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duction\Magmarkd\CM group\Data\Priority 1\CBIX\cbix\"/>
    </mc:Choice>
  </mc:AlternateContent>
  <bookViews>
    <workbookView xWindow="5265" yWindow="465" windowWidth="34185" windowHeight="19845"/>
  </bookViews>
  <sheets>
    <sheet name="Main" sheetId="1" r:id="rId1"/>
    <sheet name="Indices Mines Exporting Ports" sheetId="19" r:id="rId2"/>
    <sheet name="Processing Factors" sheetId="14" r:id="rId3"/>
    <sheet name="China Price Series" sheetId="13" r:id="rId4"/>
    <sheet name="Global factors" sheetId="12" r:id="rId5"/>
    <sheet name="Ship Time Charter Rates" sheetId="24" r:id="rId6"/>
    <sheet name="Ship Speeds" sheetId="22" r:id="rId7"/>
    <sheet name="Port Linkages" sheetId="20" r:id="rId8"/>
    <sheet name="Ship Fuel Zones n Types" sheetId="23" r:id="rId9"/>
    <sheet name="China n Importing Ports" sheetId="17" r:id="rId10"/>
    <sheet name="Canals" sheetId="21" r:id="rId11"/>
    <sheet name="AllowedShip Class Time Charters" sheetId="25" r:id="rId12"/>
    <sheet name="Ship Fuel Prices" sheetId="5" r:id="rId13"/>
    <sheet name="FX rates" sheetId="6" r:id="rId14"/>
  </sheets>
  <definedNames>
    <definedName name="_xlnm._FilterDatabase" localSheetId="9" hidden="1">'China n Importing Ports'!$C$18:$C$42</definedName>
    <definedName name="_xlnm._FilterDatabase" localSheetId="7" hidden="1">'Port Linkages'!$A$17:$D$158</definedName>
    <definedName name="_xlnm._FilterDatabase" localSheetId="5" hidden="1">'Ship Time Charter Rates'!$E$20:$H$1022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D10" i="1" l="1" a="1"/>
  <c r="JD10" i="1" s="1"/>
  <c r="JD11" i="1" a="1"/>
  <c r="JD11" i="1"/>
  <c r="JD12" i="1" a="1"/>
  <c r="JD12" i="1" s="1"/>
  <c r="JD13" i="1" a="1"/>
  <c r="JD13" i="1"/>
  <c r="JD14" i="1" a="1"/>
  <c r="JD14" i="1" s="1"/>
  <c r="IY10" i="1" l="1"/>
  <c r="IX10" i="1"/>
  <c r="IW10" i="1"/>
  <c r="IV10" i="1"/>
  <c r="JA10" i="1" a="1"/>
  <c r="JA10" i="1" s="1"/>
  <c r="JA13" i="1" a="1"/>
  <c r="JA13" i="1" s="1"/>
  <c r="F453" i="6" l="1"/>
  <c r="F452" i="6"/>
  <c r="F451" i="6"/>
  <c r="F450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3" i="6"/>
  <c r="F402" i="6"/>
  <c r="F401" i="6"/>
  <c r="F400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0" i="6"/>
  <c r="F329" i="6"/>
  <c r="E328" i="6"/>
  <c r="E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Y27" i="21"/>
  <c r="X27" i="21"/>
  <c r="W27" i="21"/>
  <c r="V27" i="21"/>
  <c r="U27" i="21"/>
  <c r="T27" i="21"/>
  <c r="S27" i="21"/>
  <c r="Z26" i="21"/>
  <c r="Y26" i="21"/>
  <c r="X26" i="21"/>
  <c r="W26" i="21"/>
  <c r="V26" i="21"/>
  <c r="U26" i="21"/>
  <c r="T26" i="21"/>
  <c r="S26" i="21"/>
  <c r="Z25" i="21"/>
  <c r="Y25" i="21"/>
  <c r="X25" i="21"/>
  <c r="W25" i="21"/>
  <c r="V25" i="21"/>
  <c r="U25" i="21"/>
  <c r="T25" i="21"/>
  <c r="S25" i="21"/>
  <c r="B38" i="20"/>
  <c r="B37" i="20"/>
  <c r="B36" i="20"/>
  <c r="B35" i="20"/>
  <c r="B34" i="20"/>
  <c r="B33" i="20"/>
  <c r="B32" i="20"/>
  <c r="Z31" i="20"/>
  <c r="S31" i="20"/>
  <c r="L31" i="20"/>
  <c r="E31" i="20"/>
  <c r="B31" i="20"/>
  <c r="B30" i="20"/>
  <c r="S29" i="20"/>
  <c r="L29" i="20"/>
  <c r="E29" i="20"/>
  <c r="B29" i="20"/>
  <c r="B28" i="20"/>
  <c r="S27" i="20"/>
  <c r="L27" i="20"/>
  <c r="E27" i="20"/>
  <c r="B27" i="20"/>
  <c r="B26" i="20"/>
  <c r="B25" i="20"/>
  <c r="B24" i="20"/>
  <c r="B23" i="20"/>
  <c r="Z22" i="20"/>
  <c r="S22" i="20"/>
  <c r="L22" i="20"/>
  <c r="E22" i="20"/>
  <c r="B22" i="20"/>
  <c r="Z21" i="20"/>
  <c r="S21" i="20"/>
  <c r="L21" i="20"/>
  <c r="E21" i="20"/>
  <c r="B21" i="20"/>
  <c r="AU20" i="20"/>
  <c r="AN20" i="20"/>
  <c r="AG20" i="20"/>
  <c r="Z20" i="20"/>
  <c r="S20" i="20"/>
  <c r="B20" i="20"/>
  <c r="Z19" i="20"/>
  <c r="S19" i="20"/>
  <c r="L19" i="20"/>
  <c r="E19" i="20"/>
  <c r="B19" i="20"/>
  <c r="Z18" i="20"/>
  <c r="S18" i="20"/>
  <c r="L18" i="20"/>
  <c r="E18" i="20"/>
  <c r="B18" i="20"/>
  <c r="B9" i="20"/>
  <c r="A9" i="20"/>
  <c r="B8" i="20"/>
  <c r="A8" i="20"/>
  <c r="B7" i="20"/>
  <c r="A7" i="20"/>
  <c r="B6" i="20"/>
  <c r="A6" i="20"/>
  <c r="B5" i="20"/>
  <c r="A5" i="20"/>
  <c r="B4" i="20"/>
  <c r="A4" i="20"/>
  <c r="B3" i="20"/>
  <c r="A3" i="20"/>
  <c r="B2" i="20"/>
  <c r="A2" i="20"/>
  <c r="C1" i="20"/>
  <c r="B1" i="20"/>
  <c r="A1" i="20"/>
  <c r="D14" i="22"/>
  <c r="D15" i="22" s="1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D35" i="22" s="1"/>
  <c r="D36" i="22" s="1"/>
  <c r="D37" i="22" s="1"/>
  <c r="D38" i="22" s="1"/>
  <c r="D39" i="22" s="1"/>
  <c r="D40" i="22" s="1"/>
  <c r="D41" i="22" s="1"/>
  <c r="D42" i="22" s="1"/>
  <c r="D43" i="22" s="1"/>
  <c r="D44" i="22" s="1"/>
  <c r="D45" i="22" s="1"/>
  <c r="D46" i="22" s="1"/>
  <c r="D47" i="22" s="1"/>
  <c r="D48" i="22" s="1"/>
  <c r="D49" i="22" s="1"/>
  <c r="D50" i="22" s="1"/>
  <c r="D51" i="22" s="1"/>
  <c r="D52" i="22" s="1"/>
  <c r="D53" i="22" s="1"/>
  <c r="D54" i="22" s="1"/>
  <c r="D55" i="22" s="1"/>
  <c r="D56" i="22" s="1"/>
  <c r="D57" i="22" s="1"/>
  <c r="D58" i="22" s="1"/>
  <c r="D59" i="22" s="1"/>
  <c r="D60" i="22" s="1"/>
  <c r="D61" i="22" s="1"/>
  <c r="D62" i="22" s="1"/>
  <c r="D63" i="22" s="1"/>
  <c r="D64" i="22" s="1"/>
  <c r="D65" i="22" s="1"/>
  <c r="D66" i="22" s="1"/>
  <c r="D67" i="22" s="1"/>
  <c r="D68" i="22" s="1"/>
  <c r="D69" i="22" s="1"/>
  <c r="D70" i="22" s="1"/>
  <c r="D71" i="22" s="1"/>
  <c r="D72" i="22" s="1"/>
  <c r="D73" i="22" s="1"/>
  <c r="D74" i="22" s="1"/>
  <c r="D75" i="22" s="1"/>
  <c r="D76" i="22" s="1"/>
  <c r="D77" i="22" s="1"/>
  <c r="D78" i="22" s="1"/>
  <c r="D79" i="22" s="1"/>
  <c r="D80" i="22" s="1"/>
  <c r="D81" i="22" s="1"/>
  <c r="D82" i="22" s="1"/>
  <c r="D83" i="22" s="1"/>
  <c r="D84" i="22" s="1"/>
  <c r="D85" i="22" s="1"/>
  <c r="D86" i="22" s="1"/>
  <c r="D87" i="22" s="1"/>
  <c r="D88" i="22" s="1"/>
  <c r="D89" i="22" s="1"/>
  <c r="D90" i="22" s="1"/>
  <c r="D91" i="22" s="1"/>
  <c r="D92" i="22" s="1"/>
  <c r="D93" i="22" s="1"/>
  <c r="D94" i="22" s="1"/>
  <c r="D95" i="22" s="1"/>
  <c r="D96" i="22" s="1"/>
  <c r="D97" i="22" s="1"/>
  <c r="D98" i="22" s="1"/>
  <c r="D99" i="22" s="1"/>
  <c r="D100" i="22" s="1"/>
  <c r="D101" i="22" s="1"/>
  <c r="D102" i="22" s="1"/>
  <c r="D103" i="22" s="1"/>
  <c r="D104" i="22" s="1"/>
  <c r="D105" i="22" s="1"/>
  <c r="D106" i="22" s="1"/>
  <c r="D107" i="22" s="1"/>
  <c r="D108" i="22" s="1"/>
  <c r="D109" i="22" s="1"/>
  <c r="D110" i="22" s="1"/>
  <c r="D111" i="22" s="1"/>
  <c r="D112" i="22" s="1"/>
  <c r="D113" i="22" s="1"/>
  <c r="D114" i="22" s="1"/>
  <c r="D115" i="22" s="1"/>
  <c r="D116" i="22" s="1"/>
  <c r="D117" i="22" s="1"/>
  <c r="D118" i="22" s="1"/>
  <c r="D119" i="22" s="1"/>
  <c r="D120" i="22" s="1"/>
  <c r="D121" i="22" s="1"/>
  <c r="D122" i="22" s="1"/>
  <c r="D123" i="22" s="1"/>
  <c r="D124" i="22" s="1"/>
  <c r="D125" i="22" s="1"/>
  <c r="D126" i="22" s="1"/>
  <c r="D127" i="22" s="1"/>
  <c r="D128" i="22" s="1"/>
  <c r="D129" i="22" s="1"/>
  <c r="D130" i="22" s="1"/>
  <c r="D131" i="22" s="1"/>
  <c r="D132" i="22" s="1"/>
  <c r="D133" i="22" s="1"/>
  <c r="D134" i="22" s="1"/>
  <c r="D135" i="22" s="1"/>
  <c r="D136" i="22" s="1"/>
  <c r="D137" i="22" s="1"/>
  <c r="D138" i="22" s="1"/>
  <c r="D139" i="22" s="1"/>
  <c r="D140" i="22" s="1"/>
  <c r="D141" i="22" s="1"/>
  <c r="D142" i="22" s="1"/>
  <c r="D143" i="22" s="1"/>
  <c r="D144" i="22" s="1"/>
  <c r="D145" i="22" s="1"/>
  <c r="D146" i="22" s="1"/>
  <c r="D147" i="22" s="1"/>
  <c r="D148" i="22" s="1"/>
  <c r="D149" i="22" s="1"/>
  <c r="D150" i="22" s="1"/>
  <c r="D151" i="22" s="1"/>
  <c r="D152" i="22" s="1"/>
  <c r="D153" i="22" s="1"/>
  <c r="D154" i="22" s="1"/>
  <c r="D155" i="22" s="1"/>
  <c r="D156" i="22" s="1"/>
  <c r="D157" i="22" s="1"/>
  <c r="D158" i="22" s="1"/>
  <c r="D159" i="22" s="1"/>
  <c r="D160" i="22" s="1"/>
  <c r="D161" i="22" s="1"/>
  <c r="D162" i="22" s="1"/>
  <c r="D163" i="22" s="1"/>
  <c r="D164" i="22" s="1"/>
  <c r="D165" i="22" s="1"/>
  <c r="D166" i="22" s="1"/>
  <c r="D167" i="22" s="1"/>
  <c r="D168" i="22" s="1"/>
  <c r="D169" i="22" s="1"/>
  <c r="D170" i="22" s="1"/>
  <c r="D171" i="22" s="1"/>
  <c r="D172" i="22" s="1"/>
  <c r="D173" i="22" s="1"/>
  <c r="D174" i="22" s="1"/>
  <c r="D175" i="22" s="1"/>
  <c r="D176" i="22" s="1"/>
  <c r="D177" i="22" s="1"/>
  <c r="D178" i="22" s="1"/>
  <c r="D179" i="22" s="1"/>
  <c r="D180" i="22" s="1"/>
  <c r="D181" i="22" s="1"/>
  <c r="D182" i="22" s="1"/>
  <c r="D183" i="22" s="1"/>
  <c r="D184" i="22" s="1"/>
  <c r="D185" i="22" s="1"/>
  <c r="D186" i="22" s="1"/>
  <c r="D187" i="22" s="1"/>
  <c r="D188" i="22" s="1"/>
  <c r="D189" i="22" s="1"/>
  <c r="D190" i="22" s="1"/>
  <c r="D191" i="22" s="1"/>
  <c r="D192" i="22" s="1"/>
  <c r="D193" i="22" s="1"/>
  <c r="D194" i="22" s="1"/>
  <c r="D195" i="22" s="1"/>
  <c r="D196" i="22" s="1"/>
  <c r="D197" i="22" s="1"/>
  <c r="D198" i="22" s="1"/>
  <c r="D199" i="22" s="1"/>
  <c r="D200" i="22" s="1"/>
  <c r="D201" i="22" s="1"/>
  <c r="D202" i="22" s="1"/>
  <c r="D203" i="22" s="1"/>
  <c r="D204" i="22" s="1"/>
  <c r="D205" i="22" s="1"/>
  <c r="D206" i="22" s="1"/>
  <c r="D207" i="22" s="1"/>
  <c r="D208" i="22" s="1"/>
  <c r="D209" i="22" s="1"/>
  <c r="D210" i="22" s="1"/>
  <c r="D211" i="22" s="1"/>
  <c r="D212" i="22" s="1"/>
  <c r="D213" i="22" s="1"/>
  <c r="D214" i="22" s="1"/>
  <c r="D215" i="22" s="1"/>
  <c r="D216" i="22" s="1"/>
  <c r="D217" i="22" s="1"/>
  <c r="D218" i="22" s="1"/>
  <c r="D219" i="22" s="1"/>
  <c r="D220" i="22" s="1"/>
  <c r="D221" i="22" s="1"/>
  <c r="D222" i="22" s="1"/>
  <c r="D223" i="22" s="1"/>
  <c r="D224" i="22" s="1"/>
  <c r="D225" i="22" s="1"/>
  <c r="D226" i="22" s="1"/>
  <c r="D227" i="22" s="1"/>
  <c r="D228" i="22" s="1"/>
  <c r="D229" i="22" s="1"/>
  <c r="D230" i="22" s="1"/>
  <c r="D231" i="22" s="1"/>
  <c r="D232" i="22" s="1"/>
  <c r="D233" i="22" s="1"/>
  <c r="D234" i="22" s="1"/>
  <c r="D235" i="22" s="1"/>
  <c r="D236" i="22" s="1"/>
  <c r="D237" i="22" s="1"/>
  <c r="D238" i="22" s="1"/>
  <c r="D239" i="22" s="1"/>
  <c r="D240" i="22" s="1"/>
  <c r="D241" i="22" s="1"/>
  <c r="D242" i="22" s="1"/>
  <c r="D243" i="22" s="1"/>
  <c r="D244" i="22" s="1"/>
  <c r="D245" i="22" s="1"/>
  <c r="D246" i="22" s="1"/>
  <c r="D247" i="22" s="1"/>
  <c r="D248" i="22" s="1"/>
  <c r="D249" i="22" s="1"/>
  <c r="D250" i="22" s="1"/>
  <c r="D251" i="22" s="1"/>
  <c r="D252" i="22" s="1"/>
  <c r="D253" i="22" s="1"/>
  <c r="D254" i="22" s="1"/>
  <c r="D255" i="22" s="1"/>
  <c r="D256" i="22" s="1"/>
  <c r="D257" i="22" s="1"/>
  <c r="D258" i="22" s="1"/>
  <c r="D259" i="22" s="1"/>
  <c r="D260" i="22" s="1"/>
  <c r="D261" i="22" s="1"/>
  <c r="D262" i="22" s="1"/>
  <c r="D263" i="22" s="1"/>
  <c r="D264" i="22" s="1"/>
  <c r="D265" i="22" s="1"/>
  <c r="D266" i="22" s="1"/>
  <c r="D267" i="22" s="1"/>
  <c r="D268" i="22" s="1"/>
  <c r="D269" i="22" s="1"/>
  <c r="D270" i="22" s="1"/>
  <c r="D271" i="22" s="1"/>
  <c r="D272" i="22" s="1"/>
  <c r="D273" i="22" s="1"/>
  <c r="D274" i="22" s="1"/>
  <c r="D275" i="22" s="1"/>
  <c r="D276" i="22" s="1"/>
  <c r="D277" i="22" s="1"/>
  <c r="D278" i="22" s="1"/>
  <c r="D279" i="22" s="1"/>
  <c r="D280" i="22" s="1"/>
  <c r="D281" i="22" s="1"/>
  <c r="D282" i="22" s="1"/>
  <c r="D283" i="22" s="1"/>
  <c r="D284" i="22" s="1"/>
  <c r="D285" i="22" s="1"/>
  <c r="D286" i="22" s="1"/>
  <c r="D287" i="22" s="1"/>
  <c r="D288" i="22" s="1"/>
  <c r="D289" i="22" s="1"/>
  <c r="D290" i="22" s="1"/>
  <c r="D291" i="22" s="1"/>
  <c r="D292" i="22" s="1"/>
  <c r="D293" i="22" s="1"/>
  <c r="D294" i="22" s="1"/>
  <c r="D295" i="22" s="1"/>
  <c r="D296" i="22" s="1"/>
  <c r="D297" i="22" s="1"/>
  <c r="D298" i="22" s="1"/>
  <c r="D299" i="22" s="1"/>
  <c r="D300" i="22" s="1"/>
  <c r="D301" i="22" s="1"/>
  <c r="D302" i="22" s="1"/>
  <c r="D303" i="22" s="1"/>
  <c r="D304" i="22" s="1"/>
  <c r="D305" i="22" s="1"/>
  <c r="D306" i="22" s="1"/>
  <c r="D307" i="22" s="1"/>
  <c r="D308" i="22" s="1"/>
  <c r="D309" i="22" s="1"/>
  <c r="D310" i="22" s="1"/>
  <c r="D311" i="22" s="1"/>
  <c r="D312" i="22" s="1"/>
  <c r="D313" i="22" s="1"/>
  <c r="D314" i="22" s="1"/>
  <c r="D315" i="22" s="1"/>
  <c r="D316" i="22" s="1"/>
  <c r="D317" i="22" s="1"/>
  <c r="D318" i="22" s="1"/>
  <c r="D319" i="22" s="1"/>
  <c r="D320" i="22" s="1"/>
  <c r="D321" i="22" s="1"/>
  <c r="D322" i="22" s="1"/>
  <c r="D323" i="22" s="1"/>
  <c r="D324" i="22" s="1"/>
  <c r="D325" i="22" s="1"/>
  <c r="D326" i="22" s="1"/>
  <c r="D327" i="22" s="1"/>
  <c r="D328" i="22" s="1"/>
  <c r="D329" i="22" s="1"/>
  <c r="D330" i="22" s="1"/>
  <c r="D331" i="22" s="1"/>
  <c r="D332" i="22" s="1"/>
  <c r="D333" i="22" s="1"/>
  <c r="D334" i="22" s="1"/>
  <c r="D335" i="22" s="1"/>
  <c r="D336" i="22" s="1"/>
  <c r="D337" i="22" s="1"/>
  <c r="D338" i="22" s="1"/>
  <c r="D339" i="22" s="1"/>
  <c r="D340" i="22" s="1"/>
  <c r="D341" i="22" s="1"/>
  <c r="D342" i="22" s="1"/>
  <c r="D343" i="22" s="1"/>
  <c r="D344" i="22" s="1"/>
  <c r="D345" i="22" s="1"/>
  <c r="D346" i="22" s="1"/>
  <c r="D347" i="22" s="1"/>
  <c r="D348" i="22" s="1"/>
  <c r="D349" i="22" s="1"/>
  <c r="D350" i="22" s="1"/>
  <c r="D351" i="22" s="1"/>
  <c r="D352" i="22" s="1"/>
  <c r="D353" i="22" s="1"/>
  <c r="D354" i="22" s="1"/>
  <c r="D355" i="22" s="1"/>
  <c r="D356" i="22" s="1"/>
  <c r="D357" i="22" s="1"/>
  <c r="D358" i="22" s="1"/>
  <c r="D359" i="22" s="1"/>
  <c r="D360" i="22" s="1"/>
  <c r="D361" i="22" s="1"/>
  <c r="D362" i="22" s="1"/>
  <c r="D363" i="22" s="1"/>
  <c r="D364" i="22" s="1"/>
  <c r="D365" i="22" s="1"/>
  <c r="D366" i="22" s="1"/>
  <c r="D367" i="22" s="1"/>
  <c r="D368" i="22" s="1"/>
  <c r="D369" i="22" s="1"/>
  <c r="D370" i="22" s="1"/>
  <c r="D371" i="22" s="1"/>
  <c r="D372" i="22" s="1"/>
  <c r="D373" i="22" s="1"/>
  <c r="D374" i="22" s="1"/>
  <c r="D375" i="22" s="1"/>
  <c r="D376" i="22" s="1"/>
  <c r="D377" i="22" s="1"/>
  <c r="D378" i="22" s="1"/>
  <c r="D379" i="22" s="1"/>
  <c r="D380" i="22" s="1"/>
  <c r="D381" i="22" s="1"/>
  <c r="D382" i="22" s="1"/>
  <c r="D383" i="22" s="1"/>
  <c r="D384" i="22" s="1"/>
  <c r="D385" i="22" s="1"/>
  <c r="D386" i="22" s="1"/>
  <c r="D387" i="22" s="1"/>
  <c r="D388" i="22" s="1"/>
  <c r="D389" i="22" s="1"/>
  <c r="D390" i="22" s="1"/>
  <c r="D391" i="22" s="1"/>
  <c r="D392" i="22" s="1"/>
  <c r="D393" i="22" s="1"/>
  <c r="D394" i="22" s="1"/>
  <c r="D395" i="22" s="1"/>
  <c r="D396" i="22" s="1"/>
  <c r="D397" i="22" s="1"/>
  <c r="D398" i="22" s="1"/>
  <c r="D399" i="22" s="1"/>
  <c r="D400" i="22" s="1"/>
  <c r="D401" i="22" s="1"/>
  <c r="D402" i="22" s="1"/>
  <c r="D403" i="22" s="1"/>
  <c r="D404" i="22" s="1"/>
  <c r="D405" i="22" s="1"/>
  <c r="D406" i="22" s="1"/>
  <c r="D407" i="22" s="1"/>
  <c r="D408" i="22" s="1"/>
  <c r="D409" i="22" s="1"/>
  <c r="D410" i="22" s="1"/>
  <c r="D411" i="22" s="1"/>
  <c r="D412" i="22" s="1"/>
  <c r="D413" i="22" s="1"/>
  <c r="D414" i="22" s="1"/>
  <c r="D415" i="22" s="1"/>
  <c r="D416" i="22" s="1"/>
  <c r="D417" i="22" s="1"/>
  <c r="D418" i="22" s="1"/>
  <c r="D419" i="22" s="1"/>
  <c r="D420" i="22" s="1"/>
  <c r="D421" i="22" s="1"/>
  <c r="D422" i="22" s="1"/>
  <c r="D423" i="22" s="1"/>
  <c r="D424" i="22" s="1"/>
  <c r="D425" i="22" s="1"/>
  <c r="D426" i="22" s="1"/>
  <c r="D427" i="22" s="1"/>
  <c r="D428" i="22" s="1"/>
  <c r="D429" i="22" s="1"/>
  <c r="D430" i="22" s="1"/>
  <c r="D431" i="22" s="1"/>
  <c r="D432" i="22" s="1"/>
  <c r="D433" i="22" s="1"/>
  <c r="D434" i="22" s="1"/>
  <c r="D435" i="22" s="1"/>
  <c r="D436" i="22" s="1"/>
  <c r="D437" i="22" s="1"/>
  <c r="D438" i="22" s="1"/>
  <c r="D439" i="22" s="1"/>
  <c r="D440" i="22" s="1"/>
  <c r="D441" i="22" s="1"/>
  <c r="D442" i="22" s="1"/>
  <c r="D443" i="22" s="1"/>
  <c r="D444" i="22" s="1"/>
  <c r="D445" i="22" s="1"/>
  <c r="D446" i="22" s="1"/>
  <c r="D447" i="22" s="1"/>
  <c r="D448" i="22" s="1"/>
  <c r="D449" i="22" s="1"/>
  <c r="D450" i="22" s="1"/>
  <c r="D451" i="22" s="1"/>
  <c r="D452" i="22" s="1"/>
  <c r="D453" i="22" s="1"/>
  <c r="D454" i="22" s="1"/>
  <c r="D455" i="22" s="1"/>
  <c r="D456" i="22" s="1"/>
  <c r="D457" i="22" s="1"/>
  <c r="D458" i="22" s="1"/>
  <c r="D459" i="22" s="1"/>
  <c r="D460" i="22" s="1"/>
  <c r="D461" i="22" s="1"/>
  <c r="D462" i="22" s="1"/>
  <c r="D463" i="22" s="1"/>
  <c r="D464" i="22" s="1"/>
  <c r="D465" i="22" s="1"/>
  <c r="D466" i="22" s="1"/>
  <c r="D467" i="22" s="1"/>
  <c r="D468" i="22" s="1"/>
  <c r="D469" i="22" s="1"/>
  <c r="D470" i="22" s="1"/>
  <c r="D471" i="22" s="1"/>
  <c r="D472" i="22" s="1"/>
  <c r="D473" i="22" s="1"/>
  <c r="D474" i="22" s="1"/>
  <c r="D475" i="22" s="1"/>
  <c r="D476" i="22" s="1"/>
  <c r="D477" i="22" s="1"/>
  <c r="D478" i="22" s="1"/>
  <c r="D479" i="22" s="1"/>
  <c r="D480" i="22" s="1"/>
  <c r="D481" i="22" s="1"/>
  <c r="D482" i="22" s="1"/>
  <c r="D483" i="22" s="1"/>
  <c r="D484" i="22" s="1"/>
  <c r="D485" i="22" s="1"/>
  <c r="D486" i="22" s="1"/>
  <c r="D487" i="22" s="1"/>
  <c r="D488" i="22" s="1"/>
  <c r="D489" i="22" s="1"/>
  <c r="D490" i="22" s="1"/>
  <c r="D491" i="22" s="1"/>
  <c r="D492" i="22" s="1"/>
  <c r="D493" i="22" s="1"/>
  <c r="D494" i="22" s="1"/>
  <c r="D495" i="22" s="1"/>
  <c r="D496" i="22" s="1"/>
  <c r="D497" i="22" s="1"/>
  <c r="D498" i="22" s="1"/>
  <c r="D499" i="22" s="1"/>
  <c r="D500" i="22" s="1"/>
  <c r="D501" i="22" s="1"/>
  <c r="D502" i="22" s="1"/>
  <c r="D503" i="22" s="1"/>
  <c r="D504" i="22" s="1"/>
  <c r="D505" i="22" s="1"/>
  <c r="D506" i="22" s="1"/>
  <c r="D507" i="22" s="1"/>
  <c r="D508" i="22" s="1"/>
  <c r="D509" i="22" s="1"/>
  <c r="D510" i="22" s="1"/>
  <c r="D511" i="22" s="1"/>
  <c r="D512" i="22" s="1"/>
  <c r="D513" i="22" s="1"/>
  <c r="D514" i="22" s="1"/>
  <c r="D515" i="22" s="1"/>
  <c r="D516" i="22" s="1"/>
  <c r="D517" i="22" s="1"/>
  <c r="D518" i="22" s="1"/>
  <c r="D519" i="22" s="1"/>
  <c r="D520" i="22" s="1"/>
  <c r="D521" i="22" s="1"/>
  <c r="D522" i="22" s="1"/>
  <c r="D523" i="22" s="1"/>
  <c r="D524" i="22" s="1"/>
  <c r="D525" i="22" s="1"/>
  <c r="D526" i="22" s="1"/>
  <c r="D527" i="22" s="1"/>
  <c r="D528" i="22" s="1"/>
  <c r="D529" i="22" s="1"/>
  <c r="D530" i="22" s="1"/>
  <c r="D531" i="22" s="1"/>
  <c r="D532" i="22" s="1"/>
  <c r="D533" i="22" s="1"/>
  <c r="D534" i="22" s="1"/>
  <c r="D535" i="22" s="1"/>
  <c r="D536" i="22" s="1"/>
  <c r="D537" i="22" s="1"/>
  <c r="D538" i="22" s="1"/>
  <c r="D539" i="22" s="1"/>
  <c r="D540" i="22" s="1"/>
  <c r="D541" i="22" s="1"/>
  <c r="D542" i="22" s="1"/>
  <c r="D543" i="22" s="1"/>
  <c r="D544" i="22" s="1"/>
  <c r="D545" i="22" s="1"/>
  <c r="D546" i="22" s="1"/>
  <c r="D547" i="22" s="1"/>
  <c r="D548" i="22" s="1"/>
  <c r="D549" i="22" s="1"/>
  <c r="D550" i="22" s="1"/>
  <c r="D551" i="22" s="1"/>
  <c r="D552" i="22" s="1"/>
  <c r="D553" i="22" s="1"/>
  <c r="D554" i="22" s="1"/>
  <c r="D555" i="22" s="1"/>
  <c r="D556" i="22" s="1"/>
  <c r="D557" i="22" s="1"/>
  <c r="D558" i="22" s="1"/>
  <c r="D559" i="22" s="1"/>
  <c r="D560" i="22" s="1"/>
  <c r="D561" i="22" s="1"/>
  <c r="D562" i="22" s="1"/>
  <c r="D563" i="22" s="1"/>
  <c r="D564" i="22" s="1"/>
  <c r="D565" i="22" s="1"/>
  <c r="D566" i="22" s="1"/>
  <c r="D567" i="22" s="1"/>
  <c r="D568" i="22" s="1"/>
  <c r="D569" i="22" s="1"/>
  <c r="D570" i="22" s="1"/>
  <c r="D571" i="22" s="1"/>
  <c r="D572" i="22" s="1"/>
  <c r="D573" i="22" s="1"/>
  <c r="D574" i="22" s="1"/>
  <c r="D575" i="22" s="1"/>
  <c r="D576" i="22" s="1"/>
  <c r="D577" i="22" s="1"/>
  <c r="D578" i="22" s="1"/>
  <c r="D579" i="22" s="1"/>
  <c r="D580" i="22" s="1"/>
  <c r="D581" i="22" s="1"/>
  <c r="D582" i="22" s="1"/>
  <c r="D583" i="22" s="1"/>
  <c r="D584" i="22" s="1"/>
  <c r="D585" i="22" s="1"/>
  <c r="D586" i="22" s="1"/>
  <c r="D587" i="22" s="1"/>
  <c r="D588" i="22" s="1"/>
  <c r="D589" i="22" s="1"/>
  <c r="D590" i="22" s="1"/>
  <c r="D591" i="22" s="1"/>
  <c r="D592" i="22" s="1"/>
  <c r="D593" i="22" s="1"/>
  <c r="D594" i="22" s="1"/>
  <c r="D595" i="22" s="1"/>
  <c r="D596" i="22" s="1"/>
  <c r="D597" i="22" s="1"/>
  <c r="D598" i="22" s="1"/>
  <c r="D599" i="22" s="1"/>
  <c r="D600" i="22" s="1"/>
  <c r="D601" i="22" s="1"/>
  <c r="D602" i="22" s="1"/>
  <c r="D603" i="22" s="1"/>
  <c r="D604" i="22" s="1"/>
  <c r="D605" i="22" s="1"/>
  <c r="D606" i="22" s="1"/>
  <c r="D607" i="22" s="1"/>
  <c r="D608" i="22" s="1"/>
  <c r="D609" i="22" s="1"/>
  <c r="D610" i="22" s="1"/>
  <c r="D611" i="22" s="1"/>
  <c r="D612" i="22" s="1"/>
  <c r="D613" i="22" s="1"/>
  <c r="D614" i="22" s="1"/>
  <c r="D615" i="22" s="1"/>
  <c r="D616" i="22" s="1"/>
  <c r="D617" i="22" s="1"/>
  <c r="D618" i="22" s="1"/>
  <c r="D619" i="22" s="1"/>
  <c r="D620" i="22" s="1"/>
  <c r="D621" i="22" s="1"/>
  <c r="D622" i="22" s="1"/>
  <c r="D623" i="22" s="1"/>
  <c r="D624" i="22" s="1"/>
  <c r="D625" i="22" s="1"/>
  <c r="D626" i="22" s="1"/>
  <c r="D627" i="22" s="1"/>
  <c r="D628" i="22" s="1"/>
  <c r="D629" i="22" s="1"/>
  <c r="D630" i="22" s="1"/>
  <c r="D631" i="22" s="1"/>
  <c r="D632" i="22" s="1"/>
  <c r="D633" i="22" s="1"/>
  <c r="D634" i="22" s="1"/>
  <c r="D635" i="22" s="1"/>
  <c r="D636" i="22" s="1"/>
  <c r="D637" i="22" s="1"/>
  <c r="D638" i="22" s="1"/>
  <c r="D639" i="22" s="1"/>
  <c r="D640" i="22" s="1"/>
  <c r="D641" i="22" s="1"/>
  <c r="D642" i="22" s="1"/>
  <c r="D643" i="22" s="1"/>
  <c r="D644" i="22" s="1"/>
  <c r="D645" i="22" s="1"/>
  <c r="D646" i="22" s="1"/>
  <c r="D647" i="22" s="1"/>
  <c r="D648" i="22" s="1"/>
  <c r="D649" i="22" s="1"/>
  <c r="D650" i="22" s="1"/>
  <c r="D651" i="22" s="1"/>
  <c r="D652" i="22" s="1"/>
  <c r="D653" i="22" s="1"/>
  <c r="D654" i="22" s="1"/>
  <c r="D655" i="22" s="1"/>
  <c r="D656" i="22" s="1"/>
  <c r="D657" i="22" s="1"/>
  <c r="D658" i="22" s="1"/>
  <c r="D659" i="22" s="1"/>
  <c r="D660" i="22" s="1"/>
  <c r="D661" i="22" s="1"/>
  <c r="D662" i="22" s="1"/>
  <c r="D663" i="22" s="1"/>
  <c r="D664" i="22" s="1"/>
  <c r="D665" i="22" s="1"/>
  <c r="D666" i="22" s="1"/>
  <c r="D667" i="22" s="1"/>
  <c r="D668" i="22" s="1"/>
  <c r="D669" i="22" s="1"/>
  <c r="D670" i="22" s="1"/>
  <c r="D671" i="22" s="1"/>
  <c r="D672" i="22" s="1"/>
  <c r="D673" i="22" s="1"/>
  <c r="D674" i="22" s="1"/>
  <c r="D675" i="22" s="1"/>
  <c r="D676" i="22" s="1"/>
  <c r="D677" i="22" s="1"/>
  <c r="D678" i="22" s="1"/>
  <c r="D679" i="22" s="1"/>
  <c r="D680" i="22" s="1"/>
  <c r="D681" i="22" s="1"/>
  <c r="D682" i="22" s="1"/>
  <c r="D683" i="22" s="1"/>
  <c r="D684" i="22" s="1"/>
  <c r="D685" i="22" s="1"/>
  <c r="D686" i="22" s="1"/>
  <c r="D687" i="22" s="1"/>
  <c r="D688" i="22" s="1"/>
  <c r="D689" i="22" s="1"/>
  <c r="D690" i="22" s="1"/>
  <c r="D691" i="22" s="1"/>
  <c r="D692" i="22" s="1"/>
  <c r="D693" i="22" s="1"/>
  <c r="D694" i="22" s="1"/>
  <c r="D695" i="22" s="1"/>
  <c r="D696" i="22" s="1"/>
  <c r="D697" i="22" s="1"/>
  <c r="D698" i="22" s="1"/>
  <c r="D699" i="22" s="1"/>
  <c r="D700" i="22" s="1"/>
  <c r="D701" i="22" s="1"/>
  <c r="D702" i="22" s="1"/>
  <c r="D703" i="22" s="1"/>
  <c r="D704" i="22" s="1"/>
  <c r="D705" i="22" s="1"/>
  <c r="D706" i="22" s="1"/>
  <c r="D707" i="22" s="1"/>
  <c r="D708" i="22" s="1"/>
  <c r="D709" i="22" s="1"/>
  <c r="D710" i="22" s="1"/>
  <c r="D711" i="22" s="1"/>
  <c r="D712" i="22" s="1"/>
  <c r="D713" i="22" s="1"/>
  <c r="D714" i="22" s="1"/>
  <c r="D715" i="22" s="1"/>
  <c r="D716" i="22" s="1"/>
  <c r="D717" i="22" s="1"/>
  <c r="D718" i="22" s="1"/>
  <c r="D719" i="22" s="1"/>
  <c r="D720" i="22" s="1"/>
  <c r="D721" i="22" s="1"/>
  <c r="D722" i="22" s="1"/>
  <c r="D723" i="22" s="1"/>
  <c r="D724" i="22" s="1"/>
  <c r="D725" i="22" s="1"/>
  <c r="D726" i="22" s="1"/>
  <c r="D727" i="22" s="1"/>
  <c r="D728" i="22" s="1"/>
  <c r="D729" i="22" s="1"/>
  <c r="D730" i="22" s="1"/>
  <c r="D731" i="22" s="1"/>
  <c r="D732" i="22" s="1"/>
  <c r="D733" i="22" s="1"/>
  <c r="D734" i="22" s="1"/>
  <c r="D735" i="22" s="1"/>
  <c r="D736" i="22" s="1"/>
  <c r="D737" i="22" s="1"/>
  <c r="D738" i="22" s="1"/>
  <c r="D739" i="22" s="1"/>
  <c r="D740" i="22" s="1"/>
  <c r="D741" i="22" s="1"/>
  <c r="D742" i="22" s="1"/>
  <c r="D743" i="22" s="1"/>
  <c r="D744" i="22" s="1"/>
  <c r="D745" i="22" s="1"/>
  <c r="D746" i="22" s="1"/>
  <c r="D747" i="22" s="1"/>
  <c r="D748" i="22" s="1"/>
  <c r="D749" i="22" s="1"/>
  <c r="D750" i="22" s="1"/>
  <c r="D751" i="22" s="1"/>
  <c r="D752" i="22" s="1"/>
  <c r="D753" i="22" s="1"/>
  <c r="D754" i="22" s="1"/>
  <c r="D755" i="22" s="1"/>
  <c r="D756" i="22" s="1"/>
  <c r="D757" i="22" s="1"/>
  <c r="D758" i="22" s="1"/>
  <c r="D759" i="22" s="1"/>
  <c r="D760" i="22" s="1"/>
  <c r="D761" i="22" s="1"/>
  <c r="D762" i="22" s="1"/>
  <c r="D763" i="22" s="1"/>
  <c r="D764" i="22" s="1"/>
  <c r="D765" i="22" s="1"/>
  <c r="D766" i="22" s="1"/>
  <c r="D767" i="22" s="1"/>
  <c r="D768" i="22" s="1"/>
  <c r="D769" i="22" s="1"/>
  <c r="D770" i="22" s="1"/>
  <c r="D771" i="22" s="1"/>
  <c r="D772" i="22" s="1"/>
  <c r="D773" i="22" s="1"/>
  <c r="D774" i="22" s="1"/>
  <c r="D775" i="22" s="1"/>
  <c r="D776" i="22" s="1"/>
  <c r="D777" i="22" s="1"/>
  <c r="D778" i="22" s="1"/>
  <c r="D779" i="22" s="1"/>
  <c r="D780" i="22" s="1"/>
  <c r="D781" i="22" s="1"/>
  <c r="D782" i="22" s="1"/>
  <c r="D783" i="22" s="1"/>
  <c r="D784" i="22" s="1"/>
  <c r="D785" i="22" s="1"/>
  <c r="D786" i="22" s="1"/>
  <c r="D787" i="22" s="1"/>
  <c r="D788" i="22" s="1"/>
  <c r="D789" i="22" s="1"/>
  <c r="D790" i="22" s="1"/>
  <c r="D791" i="22" s="1"/>
  <c r="D792" i="22" s="1"/>
  <c r="D793" i="22" s="1"/>
  <c r="D794" i="22" s="1"/>
  <c r="D795" i="22" s="1"/>
  <c r="D796" i="22" s="1"/>
  <c r="D797" i="22" s="1"/>
  <c r="D798" i="22" s="1"/>
  <c r="D799" i="22" s="1"/>
  <c r="D800" i="22" s="1"/>
  <c r="D801" i="22" s="1"/>
  <c r="D802" i="22" s="1"/>
  <c r="D803" i="22" s="1"/>
  <c r="D804" i="22" s="1"/>
  <c r="D805" i="22" s="1"/>
  <c r="D806" i="22" s="1"/>
  <c r="D807" i="22" s="1"/>
  <c r="D808" i="22" s="1"/>
  <c r="D809" i="22" s="1"/>
  <c r="D810" i="22" s="1"/>
  <c r="D811" i="22" s="1"/>
  <c r="D812" i="22" s="1"/>
  <c r="D813" i="22" s="1"/>
  <c r="D814" i="22" s="1"/>
  <c r="D815" i="22" s="1"/>
  <c r="D816" i="22" s="1"/>
  <c r="D817" i="22" s="1"/>
  <c r="D818" i="22" s="1"/>
  <c r="D819" i="22" s="1"/>
  <c r="D820" i="22" s="1"/>
  <c r="D821" i="22" s="1"/>
  <c r="D822" i="22" s="1"/>
  <c r="D823" i="22" s="1"/>
  <c r="D824" i="22" s="1"/>
  <c r="D825" i="22" s="1"/>
  <c r="D826" i="22" s="1"/>
  <c r="D827" i="22" s="1"/>
  <c r="D828" i="22" s="1"/>
  <c r="D829" i="22" s="1"/>
  <c r="D830" i="22" s="1"/>
  <c r="D831" i="22" s="1"/>
  <c r="D832" i="22" s="1"/>
  <c r="D833" i="22" s="1"/>
  <c r="D834" i="22" s="1"/>
  <c r="D835" i="22" s="1"/>
  <c r="D836" i="22" s="1"/>
  <c r="D837" i="22" s="1"/>
  <c r="D838" i="22" s="1"/>
  <c r="D839" i="22" s="1"/>
  <c r="D840" i="22" s="1"/>
  <c r="D841" i="22" s="1"/>
  <c r="D842" i="22" s="1"/>
  <c r="D843" i="22" s="1"/>
  <c r="D844" i="22" s="1"/>
  <c r="D845" i="22" s="1"/>
  <c r="D846" i="22" s="1"/>
  <c r="D847" i="22" s="1"/>
  <c r="D848" i="22" s="1"/>
  <c r="D849" i="22" s="1"/>
  <c r="D850" i="22" s="1"/>
  <c r="D851" i="22" s="1"/>
  <c r="D852" i="22" s="1"/>
  <c r="D853" i="22" s="1"/>
  <c r="D854" i="22" s="1"/>
  <c r="D855" i="22" s="1"/>
  <c r="D856" i="22" s="1"/>
  <c r="D857" i="22" s="1"/>
  <c r="D858" i="22" s="1"/>
  <c r="D859" i="22" s="1"/>
  <c r="D860" i="22" s="1"/>
  <c r="D861" i="22" s="1"/>
  <c r="D862" i="22" s="1"/>
  <c r="D863" i="22" s="1"/>
  <c r="D864" i="22" s="1"/>
  <c r="D865" i="22" s="1"/>
  <c r="D866" i="22" s="1"/>
  <c r="D867" i="22" s="1"/>
  <c r="D868" i="22" s="1"/>
  <c r="D869" i="22" s="1"/>
  <c r="D870" i="22" s="1"/>
  <c r="D871" i="22" s="1"/>
  <c r="D872" i="22" s="1"/>
  <c r="D873" i="22" s="1"/>
  <c r="D874" i="22" s="1"/>
  <c r="D875" i="22" s="1"/>
  <c r="D876" i="22" s="1"/>
  <c r="D877" i="22" s="1"/>
  <c r="D878" i="22" s="1"/>
  <c r="D879" i="22" s="1"/>
  <c r="D880" i="22" s="1"/>
  <c r="D881" i="22" s="1"/>
  <c r="D882" i="22" s="1"/>
  <c r="D883" i="22" s="1"/>
  <c r="D884" i="22" s="1"/>
  <c r="D885" i="22" s="1"/>
  <c r="D886" i="22" s="1"/>
  <c r="D887" i="22" s="1"/>
  <c r="D888" i="22" s="1"/>
  <c r="D889" i="22" s="1"/>
  <c r="D890" i="22" s="1"/>
  <c r="D891" i="22" s="1"/>
  <c r="D892" i="22" s="1"/>
  <c r="D893" i="22" s="1"/>
  <c r="D894" i="22" s="1"/>
  <c r="D895" i="22" s="1"/>
  <c r="D896" i="22" s="1"/>
  <c r="D897" i="22" s="1"/>
  <c r="D898" i="22" s="1"/>
  <c r="D899" i="22" s="1"/>
  <c r="D900" i="22" s="1"/>
  <c r="D901" i="22" s="1"/>
  <c r="D902" i="22" s="1"/>
  <c r="D903" i="22" s="1"/>
  <c r="D904" i="22" s="1"/>
  <c r="D905" i="22" s="1"/>
  <c r="D906" i="22" s="1"/>
  <c r="D907" i="22" s="1"/>
  <c r="D908" i="22" s="1"/>
  <c r="D909" i="22" s="1"/>
  <c r="D910" i="22" s="1"/>
  <c r="D911" i="22" s="1"/>
  <c r="D912" i="22" s="1"/>
  <c r="D913" i="22" s="1"/>
  <c r="D914" i="22" s="1"/>
  <c r="D915" i="22" s="1"/>
  <c r="D916" i="22" s="1"/>
  <c r="D917" i="22" s="1"/>
  <c r="D918" i="22" s="1"/>
  <c r="D919" i="22" s="1"/>
  <c r="D920" i="22" s="1"/>
  <c r="D921" i="22" s="1"/>
  <c r="D922" i="22" s="1"/>
  <c r="D923" i="22" s="1"/>
  <c r="D924" i="22" s="1"/>
  <c r="D925" i="22" s="1"/>
  <c r="D926" i="22" s="1"/>
  <c r="D927" i="22" s="1"/>
  <c r="D928" i="22" s="1"/>
  <c r="D929" i="22" s="1"/>
  <c r="D930" i="22" s="1"/>
  <c r="D931" i="22" s="1"/>
  <c r="D932" i="22" s="1"/>
  <c r="D933" i="22" s="1"/>
  <c r="D934" i="22" s="1"/>
  <c r="D935" i="22" s="1"/>
  <c r="D936" i="22" s="1"/>
  <c r="D937" i="22" s="1"/>
  <c r="D938" i="22" s="1"/>
  <c r="D939" i="22" s="1"/>
  <c r="D940" i="22" s="1"/>
  <c r="D941" i="22" s="1"/>
  <c r="D942" i="22" s="1"/>
  <c r="D943" i="22" s="1"/>
  <c r="D944" i="22" s="1"/>
  <c r="D945" i="22" s="1"/>
  <c r="D946" i="22" s="1"/>
  <c r="D947" i="22" s="1"/>
  <c r="D948" i="22" s="1"/>
  <c r="D949" i="22" s="1"/>
  <c r="D950" i="22" s="1"/>
  <c r="D951" i="22" s="1"/>
  <c r="D952" i="22" s="1"/>
  <c r="D953" i="22" s="1"/>
  <c r="D954" i="22" s="1"/>
  <c r="D955" i="22" s="1"/>
  <c r="D956" i="22" s="1"/>
  <c r="D957" i="22" s="1"/>
  <c r="D958" i="22" s="1"/>
  <c r="D959" i="22" s="1"/>
  <c r="D960" i="22" s="1"/>
  <c r="D961" i="22" s="1"/>
  <c r="D962" i="22" s="1"/>
  <c r="D963" i="22" s="1"/>
  <c r="D964" i="22" s="1"/>
  <c r="D965" i="22" s="1"/>
  <c r="D966" i="22" s="1"/>
  <c r="D967" i="22" s="1"/>
  <c r="D968" i="22" s="1"/>
  <c r="D969" i="22" s="1"/>
  <c r="D970" i="22" s="1"/>
  <c r="D971" i="22" s="1"/>
  <c r="D972" i="22" s="1"/>
  <c r="D973" i="22" s="1"/>
  <c r="D974" i="22" s="1"/>
  <c r="D975" i="22" s="1"/>
  <c r="D976" i="22" s="1"/>
  <c r="D977" i="22" s="1"/>
  <c r="D978" i="22" s="1"/>
  <c r="D979" i="22" s="1"/>
  <c r="D980" i="22" s="1"/>
  <c r="D981" i="22" s="1"/>
  <c r="D982" i="22" s="1"/>
  <c r="D983" i="22" s="1"/>
  <c r="D984" i="22" s="1"/>
  <c r="D985" i="22" s="1"/>
  <c r="D986" i="22" s="1"/>
  <c r="D987" i="22" s="1"/>
  <c r="D988" i="22" s="1"/>
  <c r="D989" i="22" s="1"/>
  <c r="D990" i="22" s="1"/>
  <c r="D991" i="22" s="1"/>
  <c r="D992" i="22" s="1"/>
  <c r="D993" i="22" s="1"/>
  <c r="D994" i="22" s="1"/>
  <c r="D995" i="22" s="1"/>
  <c r="D996" i="22" s="1"/>
  <c r="D997" i="22" s="1"/>
  <c r="D998" i="22" s="1"/>
  <c r="D999" i="22" s="1"/>
  <c r="D1000" i="22" s="1"/>
  <c r="D1001" i="22" s="1"/>
  <c r="D1002" i="22" s="1"/>
  <c r="D1003" i="22" s="1"/>
  <c r="D1004" i="22" s="1"/>
  <c r="D1005" i="22" s="1"/>
  <c r="D1006" i="22" s="1"/>
  <c r="D1007" i="22" s="1"/>
  <c r="D1008" i="22" s="1"/>
  <c r="D1009" i="22" s="1"/>
  <c r="D1010" i="22" s="1"/>
  <c r="D12" i="22"/>
  <c r="D13" i="22" s="1"/>
  <c r="I1021" i="24" a="1"/>
  <c r="I1021" i="24" s="1"/>
  <c r="I1020" i="24" a="1"/>
  <c r="I1020" i="24" s="1"/>
  <c r="I1019" i="24" a="1"/>
  <c r="I1019" i="24" s="1"/>
  <c r="I1018" i="24"/>
  <c r="I1018" i="24" a="1"/>
  <c r="I1017" i="24" a="1"/>
  <c r="I1017" i="24" s="1"/>
  <c r="I1016" i="24" a="1"/>
  <c r="I1016" i="24" s="1"/>
  <c r="I1015" i="24" a="1"/>
  <c r="I1015" i="24" s="1"/>
  <c r="I1014" i="24"/>
  <c r="I1014" i="24" a="1"/>
  <c r="I1013" i="24" a="1"/>
  <c r="I1013" i="24" s="1"/>
  <c r="I1012" i="24" a="1"/>
  <c r="I1012" i="24" s="1"/>
  <c r="I1011" i="24" a="1"/>
  <c r="I1011" i="24" s="1"/>
  <c r="I1010" i="24"/>
  <c r="I1010" i="24" a="1"/>
  <c r="I1009" i="24" a="1"/>
  <c r="I1009" i="24" s="1"/>
  <c r="I1008" i="24" a="1"/>
  <c r="I1008" i="24" s="1"/>
  <c r="I1007" i="24" a="1"/>
  <c r="I1007" i="24" s="1"/>
  <c r="I1006" i="24"/>
  <c r="I1006" i="24" a="1"/>
  <c r="I1005" i="24" a="1"/>
  <c r="I1005" i="24" s="1"/>
  <c r="I1004" i="24" a="1"/>
  <c r="I1004" i="24" s="1"/>
  <c r="I1003" i="24" a="1"/>
  <c r="I1003" i="24" s="1"/>
  <c r="I1002" i="24"/>
  <c r="I1002" i="24" a="1"/>
  <c r="I1001" i="24" a="1"/>
  <c r="I1001" i="24" s="1"/>
  <c r="I1000" i="24" a="1"/>
  <c r="I1000" i="24" s="1"/>
  <c r="I999" i="24" a="1"/>
  <c r="I999" i="24" s="1"/>
  <c r="I998" i="24"/>
  <c r="I998" i="24" a="1"/>
  <c r="I997" i="24" a="1"/>
  <c r="I997" i="24" s="1"/>
  <c r="I996" i="24" a="1"/>
  <c r="I996" i="24" s="1"/>
  <c r="I995" i="24" a="1"/>
  <c r="I995" i="24" s="1"/>
  <c r="I994" i="24"/>
  <c r="I994" i="24" a="1"/>
  <c r="I993" i="24" a="1"/>
  <c r="I993" i="24" s="1"/>
  <c r="I992" i="24" a="1"/>
  <c r="I992" i="24" s="1"/>
  <c r="I991" i="24" a="1"/>
  <c r="I991" i="24" s="1"/>
  <c r="I990" i="24"/>
  <c r="I990" i="24" a="1"/>
  <c r="I989" i="24" a="1"/>
  <c r="I989" i="24" s="1"/>
  <c r="I988" i="24" a="1"/>
  <c r="I988" i="24" s="1"/>
  <c r="I987" i="24" a="1"/>
  <c r="I987" i="24" s="1"/>
  <c r="I986" i="24"/>
  <c r="I986" i="24" a="1"/>
  <c r="I985" i="24" a="1"/>
  <c r="I985" i="24" s="1"/>
  <c r="I984" i="24" a="1"/>
  <c r="I984" i="24" s="1"/>
  <c r="I983" i="24" a="1"/>
  <c r="I983" i="24" s="1"/>
  <c r="I982" i="24"/>
  <c r="I982" i="24" a="1"/>
  <c r="I981" i="24" a="1"/>
  <c r="I981" i="24" s="1"/>
  <c r="I980" i="24" a="1"/>
  <c r="I980" i="24" s="1"/>
  <c r="I979" i="24" a="1"/>
  <c r="I979" i="24" s="1"/>
  <c r="I978" i="24"/>
  <c r="I978" i="24" a="1"/>
  <c r="I977" i="24" a="1"/>
  <c r="I977" i="24" s="1"/>
  <c r="I976" i="24" a="1"/>
  <c r="I976" i="24" s="1"/>
  <c r="I975" i="24" a="1"/>
  <c r="I975" i="24" s="1"/>
  <c r="I974" i="24"/>
  <c r="I974" i="24" a="1"/>
  <c r="I973" i="24" a="1"/>
  <c r="I973" i="24" s="1"/>
  <c r="I972" i="24" a="1"/>
  <c r="I972" i="24" s="1"/>
  <c r="I971" i="24" a="1"/>
  <c r="I971" i="24" s="1"/>
  <c r="I970" i="24"/>
  <c r="I970" i="24" a="1"/>
  <c r="I969" i="24" a="1"/>
  <c r="I969" i="24" s="1"/>
  <c r="I968" i="24" a="1"/>
  <c r="I968" i="24" s="1"/>
  <c r="I967" i="24" a="1"/>
  <c r="I967" i="24" s="1"/>
  <c r="I966" i="24"/>
  <c r="I966" i="24" a="1"/>
  <c r="I965" i="24" a="1"/>
  <c r="I965" i="24" s="1"/>
  <c r="I964" i="24" a="1"/>
  <c r="I964" i="24" s="1"/>
  <c r="I963" i="24" a="1"/>
  <c r="I963" i="24" s="1"/>
  <c r="I962" i="24"/>
  <c r="I962" i="24" a="1"/>
  <c r="I961" i="24" a="1"/>
  <c r="I961" i="24" s="1"/>
  <c r="I960" i="24" a="1"/>
  <c r="I960" i="24" s="1"/>
  <c r="I959" i="24" a="1"/>
  <c r="I959" i="24" s="1"/>
  <c r="I958" i="24"/>
  <c r="I958" i="24" a="1"/>
  <c r="I957" i="24" a="1"/>
  <c r="I957" i="24" s="1"/>
  <c r="I956" i="24" a="1"/>
  <c r="I956" i="24" s="1"/>
  <c r="I955" i="24" a="1"/>
  <c r="I955" i="24" s="1"/>
  <c r="I954" i="24"/>
  <c r="I954" i="24" a="1"/>
  <c r="I953" i="24" a="1"/>
  <c r="I953" i="24" s="1"/>
  <c r="I952" i="24" a="1"/>
  <c r="I952" i="24" s="1"/>
  <c r="I951" i="24" a="1"/>
  <c r="I951" i="24" s="1"/>
  <c r="I950" i="24"/>
  <c r="I950" i="24" a="1"/>
  <c r="I949" i="24" a="1"/>
  <c r="I949" i="24" s="1"/>
  <c r="I948" i="24" a="1"/>
  <c r="I948" i="24" s="1"/>
  <c r="I947" i="24" a="1"/>
  <c r="I947" i="24" s="1"/>
  <c r="I946" i="24"/>
  <c r="I946" i="24" a="1"/>
  <c r="I945" i="24" a="1"/>
  <c r="I945" i="24" s="1"/>
  <c r="I944" i="24" a="1"/>
  <c r="I944" i="24" s="1"/>
  <c r="I943" i="24" a="1"/>
  <c r="I943" i="24" s="1"/>
  <c r="I942" i="24"/>
  <c r="I942" i="24" a="1"/>
  <c r="I941" i="24" a="1"/>
  <c r="I941" i="24" s="1"/>
  <c r="I940" i="24" a="1"/>
  <c r="I940" i="24" s="1"/>
  <c r="I939" i="24" a="1"/>
  <c r="I939" i="24" s="1"/>
  <c r="I938" i="24"/>
  <c r="I938" i="24" a="1"/>
  <c r="I937" i="24" a="1"/>
  <c r="I937" i="24" s="1"/>
  <c r="I936" i="24" a="1"/>
  <c r="I936" i="24" s="1"/>
  <c r="I935" i="24" a="1"/>
  <c r="I935" i="24" s="1"/>
  <c r="I934" i="24"/>
  <c r="I934" i="24" a="1"/>
  <c r="I933" i="24" a="1"/>
  <c r="I933" i="24" s="1"/>
  <c r="I932" i="24" a="1"/>
  <c r="I932" i="24" s="1"/>
  <c r="I931" i="24" a="1"/>
  <c r="I931" i="24" s="1"/>
  <c r="I930" i="24"/>
  <c r="I930" i="24" a="1"/>
  <c r="I929" i="24" a="1"/>
  <c r="I929" i="24" s="1"/>
  <c r="I928" i="24" a="1"/>
  <c r="I928" i="24" s="1"/>
  <c r="I927" i="24" a="1"/>
  <c r="I927" i="24" s="1"/>
  <c r="I926" i="24"/>
  <c r="I926" i="24" a="1"/>
  <c r="I925" i="24" a="1"/>
  <c r="I925" i="24" s="1"/>
  <c r="I924" i="24" a="1"/>
  <c r="I924" i="24" s="1"/>
  <c r="I923" i="24"/>
  <c r="I923" i="24" a="1"/>
  <c r="I922" i="24"/>
  <c r="I922" i="24" a="1"/>
  <c r="I921" i="24" a="1"/>
  <c r="I921" i="24" s="1"/>
  <c r="I920" i="24"/>
  <c r="I920" i="24" a="1"/>
  <c r="I919" i="24" a="1"/>
  <c r="I919" i="24" s="1"/>
  <c r="I918" i="24"/>
  <c r="I918" i="24" a="1"/>
  <c r="I917" i="24" a="1"/>
  <c r="I917" i="24" s="1"/>
  <c r="I916" i="24"/>
  <c r="I916" i="24" a="1"/>
  <c r="I915" i="24" a="1"/>
  <c r="I915" i="24" s="1"/>
  <c r="I914" i="24"/>
  <c r="I914" i="24" a="1"/>
  <c r="I913" i="24" a="1"/>
  <c r="I913" i="24" s="1"/>
  <c r="I912" i="24"/>
  <c r="I912" i="24" a="1"/>
  <c r="I911" i="24" a="1"/>
  <c r="I911" i="24" s="1"/>
  <c r="I910" i="24"/>
  <c r="I910" i="24" a="1"/>
  <c r="I909" i="24" a="1"/>
  <c r="I909" i="24" s="1"/>
  <c r="I908" i="24"/>
  <c r="I908" i="24" a="1"/>
  <c r="I907" i="24" a="1"/>
  <c r="I907" i="24" s="1"/>
  <c r="I906" i="24"/>
  <c r="I906" i="24" a="1"/>
  <c r="I905" i="24" a="1"/>
  <c r="I905" i="24" s="1"/>
  <c r="I904" i="24"/>
  <c r="I904" i="24" a="1"/>
  <c r="I903" i="24" a="1"/>
  <c r="I903" i="24" s="1"/>
  <c r="I902" i="24"/>
  <c r="I902" i="24" a="1"/>
  <c r="I901" i="24" a="1"/>
  <c r="I901" i="24" s="1"/>
  <c r="I900" i="24"/>
  <c r="I900" i="24" a="1"/>
  <c r="I899" i="24" a="1"/>
  <c r="I899" i="24" s="1"/>
  <c r="I898" i="24"/>
  <c r="I898" i="24" a="1"/>
  <c r="I897" i="24" a="1"/>
  <c r="I897" i="24" s="1"/>
  <c r="I896" i="24"/>
  <c r="I896" i="24" a="1"/>
  <c r="I895" i="24" a="1"/>
  <c r="I895" i="24" s="1"/>
  <c r="I894" i="24"/>
  <c r="I894" i="24" a="1"/>
  <c r="I893" i="24" a="1"/>
  <c r="I893" i="24" s="1"/>
  <c r="I892" i="24"/>
  <c r="I892" i="24" a="1"/>
  <c r="I891" i="24" a="1"/>
  <c r="I891" i="24" s="1"/>
  <c r="I890" i="24"/>
  <c r="I890" i="24" a="1"/>
  <c r="I889" i="24" a="1"/>
  <c r="I889" i="24" s="1"/>
  <c r="I888" i="24"/>
  <c r="I888" i="24" a="1"/>
  <c r="I887" i="24" a="1"/>
  <c r="I887" i="24" s="1"/>
  <c r="I886" i="24"/>
  <c r="I886" i="24" a="1"/>
  <c r="I885" i="24" a="1"/>
  <c r="I885" i="24" s="1"/>
  <c r="I884" i="24"/>
  <c r="I884" i="24" a="1"/>
  <c r="I883" i="24" a="1"/>
  <c r="I883" i="24" s="1"/>
  <c r="I882" i="24"/>
  <c r="I882" i="24" a="1"/>
  <c r="I881" i="24" a="1"/>
  <c r="I881" i="24" s="1"/>
  <c r="I880" i="24"/>
  <c r="I880" i="24" a="1"/>
  <c r="I879" i="24" a="1"/>
  <c r="I879" i="24" s="1"/>
  <c r="I878" i="24"/>
  <c r="I878" i="24" a="1"/>
  <c r="I877" i="24" a="1"/>
  <c r="I877" i="24" s="1"/>
  <c r="I876" i="24"/>
  <c r="I876" i="24" a="1"/>
  <c r="I875" i="24" a="1"/>
  <c r="I875" i="24" s="1"/>
  <c r="I874" i="24"/>
  <c r="I874" i="24" a="1"/>
  <c r="I873" i="24" a="1"/>
  <c r="I873" i="24" s="1"/>
  <c r="I872" i="24"/>
  <c r="I872" i="24" a="1"/>
  <c r="I871" i="24" a="1"/>
  <c r="I871" i="24" s="1"/>
  <c r="I870" i="24"/>
  <c r="I870" i="24" a="1"/>
  <c r="I869" i="24" a="1"/>
  <c r="I869" i="24" s="1"/>
  <c r="I868" i="24"/>
  <c r="I868" i="24" a="1"/>
  <c r="I867" i="24" a="1"/>
  <c r="I867" i="24" s="1"/>
  <c r="I866" i="24"/>
  <c r="I866" i="24" a="1"/>
  <c r="I865" i="24" a="1"/>
  <c r="I865" i="24" s="1"/>
  <c r="I864" i="24"/>
  <c r="I864" i="24" a="1"/>
  <c r="I863" i="24" a="1"/>
  <c r="I863" i="24" s="1"/>
  <c r="I862" i="24"/>
  <c r="I862" i="24" a="1"/>
  <c r="I861" i="24" a="1"/>
  <c r="I861" i="24" s="1"/>
  <c r="I860" i="24"/>
  <c r="I860" i="24" a="1"/>
  <c r="I859" i="24" a="1"/>
  <c r="I859" i="24" s="1"/>
  <c r="I858" i="24"/>
  <c r="I858" i="24" a="1"/>
  <c r="I857" i="24" a="1"/>
  <c r="I857" i="24" s="1"/>
  <c r="I856" i="24"/>
  <c r="I856" i="24" a="1"/>
  <c r="I855" i="24" a="1"/>
  <c r="I855" i="24" s="1"/>
  <c r="I854" i="24"/>
  <c r="I854" i="24" a="1"/>
  <c r="I853" i="24" a="1"/>
  <c r="I853" i="24" s="1"/>
  <c r="I852" i="24"/>
  <c r="I852" i="24" a="1"/>
  <c r="I851" i="24" a="1"/>
  <c r="I851" i="24" s="1"/>
  <c r="I850" i="24"/>
  <c r="I850" i="24" a="1"/>
  <c r="I849" i="24" a="1"/>
  <c r="I849" i="24" s="1"/>
  <c r="I848" i="24"/>
  <c r="I848" i="24" a="1"/>
  <c r="I847" i="24" a="1"/>
  <c r="I847" i="24" s="1"/>
  <c r="I846" i="24"/>
  <c r="I846" i="24" a="1"/>
  <c r="I845" i="24" a="1"/>
  <c r="I845" i="24" s="1"/>
  <c r="I844" i="24"/>
  <c r="I844" i="24" a="1"/>
  <c r="I843" i="24" a="1"/>
  <c r="I843" i="24" s="1"/>
  <c r="I842" i="24"/>
  <c r="I842" i="24" a="1"/>
  <c r="I841" i="24" a="1"/>
  <c r="I841" i="24" s="1"/>
  <c r="I840" i="24"/>
  <c r="I840" i="24" a="1"/>
  <c r="I839" i="24" a="1"/>
  <c r="I839" i="24" s="1"/>
  <c r="I838" i="24"/>
  <c r="I838" i="24" a="1"/>
  <c r="I837" i="24" a="1"/>
  <c r="I837" i="24" s="1"/>
  <c r="I836" i="24"/>
  <c r="I836" i="24" a="1"/>
  <c r="I835" i="24" a="1"/>
  <c r="I835" i="24" s="1"/>
  <c r="I834" i="24"/>
  <c r="I834" i="24" a="1"/>
  <c r="I833" i="24" a="1"/>
  <c r="I833" i="24" s="1"/>
  <c r="I832" i="24"/>
  <c r="I832" i="24" a="1"/>
  <c r="I831" i="24" a="1"/>
  <c r="I831" i="24" s="1"/>
  <c r="I830" i="24"/>
  <c r="I830" i="24" a="1"/>
  <c r="I829" i="24" a="1"/>
  <c r="I829" i="24" s="1"/>
  <c r="I828" i="24"/>
  <c r="I828" i="24" a="1"/>
  <c r="I827" i="24" a="1"/>
  <c r="I827" i="24" s="1"/>
  <c r="I826" i="24"/>
  <c r="I826" i="24" a="1"/>
  <c r="I825" i="24" a="1"/>
  <c r="I825" i="24" s="1"/>
  <c r="I824" i="24"/>
  <c r="I824" i="24" a="1"/>
  <c r="I823" i="24" a="1"/>
  <c r="I823" i="24" s="1"/>
  <c r="I822" i="24"/>
  <c r="I822" i="24" a="1"/>
  <c r="I821" i="24" a="1"/>
  <c r="I821" i="24" s="1"/>
  <c r="I820" i="24"/>
  <c r="I820" i="24" a="1"/>
  <c r="I819" i="24" a="1"/>
  <c r="I819" i="24" s="1"/>
  <c r="I818" i="24"/>
  <c r="I818" i="24" a="1"/>
  <c r="I817" i="24" a="1"/>
  <c r="I817" i="24" s="1"/>
  <c r="I816" i="24"/>
  <c r="I816" i="24" a="1"/>
  <c r="I815" i="24" a="1"/>
  <c r="I815" i="24" s="1"/>
  <c r="I814" i="24"/>
  <c r="I814" i="24" a="1"/>
  <c r="I813" i="24" a="1"/>
  <c r="I813" i="24" s="1"/>
  <c r="I812" i="24"/>
  <c r="I812" i="24" a="1"/>
  <c r="I811" i="24" a="1"/>
  <c r="I811" i="24" s="1"/>
  <c r="I810" i="24"/>
  <c r="I810" i="24" a="1"/>
  <c r="I809" i="24" a="1"/>
  <c r="I809" i="24" s="1"/>
  <c r="I808" i="24"/>
  <c r="I808" i="24" a="1"/>
  <c r="I807" i="24" a="1"/>
  <c r="I807" i="24" s="1"/>
  <c r="I806" i="24"/>
  <c r="I806" i="24" a="1"/>
  <c r="I805" i="24" a="1"/>
  <c r="I805" i="24" s="1"/>
  <c r="I804" i="24"/>
  <c r="I804" i="24" a="1"/>
  <c r="I803" i="24" a="1"/>
  <c r="I803" i="24" s="1"/>
  <c r="I802" i="24"/>
  <c r="I802" i="24" a="1"/>
  <c r="I801" i="24" a="1"/>
  <c r="I801" i="24" s="1"/>
  <c r="I800" i="24"/>
  <c r="I800" i="24" a="1"/>
  <c r="I799" i="24" a="1"/>
  <c r="I799" i="24" s="1"/>
  <c r="I798" i="24"/>
  <c r="I798" i="24" a="1"/>
  <c r="I797" i="24" a="1"/>
  <c r="I797" i="24" s="1"/>
  <c r="I796" i="24"/>
  <c r="I796" i="24" a="1"/>
  <c r="I795" i="24" a="1"/>
  <c r="I795" i="24" s="1"/>
  <c r="I794" i="24"/>
  <c r="I794" i="24" a="1"/>
  <c r="I793" i="24" a="1"/>
  <c r="I793" i="24" s="1"/>
  <c r="I792" i="24"/>
  <c r="I792" i="24" a="1"/>
  <c r="I791" i="24" a="1"/>
  <c r="I791" i="24" s="1"/>
  <c r="I790" i="24"/>
  <c r="I790" i="24" a="1"/>
  <c r="I789" i="24" a="1"/>
  <c r="I789" i="24" s="1"/>
  <c r="I788" i="24"/>
  <c r="I788" i="24" a="1"/>
  <c r="I787" i="24" a="1"/>
  <c r="I787" i="24" s="1"/>
  <c r="I786" i="24"/>
  <c r="I786" i="24" a="1"/>
  <c r="I785" i="24" a="1"/>
  <c r="I785" i="24" s="1"/>
  <c r="I784" i="24"/>
  <c r="I784" i="24" a="1"/>
  <c r="I783" i="24" a="1"/>
  <c r="I783" i="24" s="1"/>
  <c r="I782" i="24"/>
  <c r="I782" i="24" a="1"/>
  <c r="I781" i="24" a="1"/>
  <c r="I781" i="24" s="1"/>
  <c r="I780" i="24"/>
  <c r="I780" i="24" a="1"/>
  <c r="I779" i="24" a="1"/>
  <c r="I779" i="24" s="1"/>
  <c r="I778" i="24"/>
  <c r="I778" i="24" a="1"/>
  <c r="I777" i="24" a="1"/>
  <c r="I777" i="24" s="1"/>
  <c r="I776" i="24"/>
  <c r="I776" i="24" a="1"/>
  <c r="I775" i="24" a="1"/>
  <c r="I775" i="24" s="1"/>
  <c r="I774" i="24"/>
  <c r="I774" i="24" a="1"/>
  <c r="I773" i="24" a="1"/>
  <c r="I773" i="24" s="1"/>
  <c r="I772" i="24"/>
  <c r="I772" i="24" a="1"/>
  <c r="I771" i="24" a="1"/>
  <c r="I771" i="24" s="1"/>
  <c r="I770" i="24"/>
  <c r="I770" i="24" a="1"/>
  <c r="I769" i="24" a="1"/>
  <c r="I769" i="24" s="1"/>
  <c r="I768" i="24"/>
  <c r="I768" i="24" a="1"/>
  <c r="I767" i="24" a="1"/>
  <c r="I767" i="24" s="1"/>
  <c r="I766" i="24"/>
  <c r="I766" i="24" a="1"/>
  <c r="I765" i="24" a="1"/>
  <c r="I765" i="24" s="1"/>
  <c r="I764" i="24"/>
  <c r="I764" i="24" a="1"/>
  <c r="I763" i="24" a="1"/>
  <c r="I763" i="24" s="1"/>
  <c r="I762" i="24"/>
  <c r="I762" i="24" a="1"/>
  <c r="I761" i="24" a="1"/>
  <c r="I761" i="24" s="1"/>
  <c r="I760" i="24"/>
  <c r="I760" i="24" a="1"/>
  <c r="I759" i="24" a="1"/>
  <c r="I759" i="24" s="1"/>
  <c r="I758" i="24"/>
  <c r="I758" i="24" a="1"/>
  <c r="I757" i="24" a="1"/>
  <c r="I757" i="24" s="1"/>
  <c r="I756" i="24"/>
  <c r="I756" i="24" a="1"/>
  <c r="I755" i="24" a="1"/>
  <c r="I755" i="24" s="1"/>
  <c r="I754" i="24"/>
  <c r="I754" i="24" a="1"/>
  <c r="I753" i="24" a="1"/>
  <c r="I753" i="24" s="1"/>
  <c r="I752" i="24"/>
  <c r="I752" i="24" a="1"/>
  <c r="I751" i="24" a="1"/>
  <c r="I751" i="24" s="1"/>
  <c r="I750" i="24"/>
  <c r="I750" i="24" a="1"/>
  <c r="I749" i="24" a="1"/>
  <c r="I749" i="24" s="1"/>
  <c r="I748" i="24"/>
  <c r="I748" i="24" a="1"/>
  <c r="I747" i="24" a="1"/>
  <c r="I747" i="24" s="1"/>
  <c r="I746" i="24"/>
  <c r="I746" i="24" a="1"/>
  <c r="I745" i="24" a="1"/>
  <c r="I745" i="24" s="1"/>
  <c r="I744" i="24"/>
  <c r="I744" i="24" a="1"/>
  <c r="I743" i="24" a="1"/>
  <c r="I743" i="24" s="1"/>
  <c r="I742" i="24"/>
  <c r="I742" i="24" a="1"/>
  <c r="I741" i="24" a="1"/>
  <c r="I741" i="24" s="1"/>
  <c r="I740" i="24"/>
  <c r="I740" i="24" a="1"/>
  <c r="I739" i="24" a="1"/>
  <c r="I739" i="24" s="1"/>
  <c r="I738" i="24"/>
  <c r="I738" i="24" a="1"/>
  <c r="I737" i="24" a="1"/>
  <c r="I737" i="24" s="1"/>
  <c r="I736" i="24"/>
  <c r="I736" i="24" a="1"/>
  <c r="I735" i="24" a="1"/>
  <c r="I735" i="24" s="1"/>
  <c r="I734" i="24"/>
  <c r="I734" i="24" a="1"/>
  <c r="I733" i="24" a="1"/>
  <c r="I733" i="24" s="1"/>
  <c r="I732" i="24"/>
  <c r="I732" i="24" a="1"/>
  <c r="I731" i="24" a="1"/>
  <c r="I731" i="24" s="1"/>
  <c r="I730" i="24"/>
  <c r="I730" i="24" a="1"/>
  <c r="I729" i="24" a="1"/>
  <c r="I729" i="24" s="1"/>
  <c r="I728" i="24"/>
  <c r="I728" i="24" a="1"/>
  <c r="I727" i="24" a="1"/>
  <c r="I727" i="24" s="1"/>
  <c r="I726" i="24"/>
  <c r="I726" i="24" a="1"/>
  <c r="I725" i="24" a="1"/>
  <c r="I725" i="24" s="1"/>
  <c r="I724" i="24"/>
  <c r="I724" i="24" a="1"/>
  <c r="I723" i="24" a="1"/>
  <c r="I723" i="24" s="1"/>
  <c r="I722" i="24"/>
  <c r="I722" i="24" a="1"/>
  <c r="I721" i="24" a="1"/>
  <c r="I721" i="24" s="1"/>
  <c r="I720" i="24"/>
  <c r="I720" i="24" a="1"/>
  <c r="I719" i="24" a="1"/>
  <c r="I719" i="24" s="1"/>
  <c r="I718" i="24"/>
  <c r="I718" i="24" a="1"/>
  <c r="I717" i="24" a="1"/>
  <c r="I717" i="24" s="1"/>
  <c r="I716" i="24"/>
  <c r="I716" i="24" a="1"/>
  <c r="I715" i="24" a="1"/>
  <c r="I715" i="24" s="1"/>
  <c r="I714" i="24"/>
  <c r="I714" i="24" a="1"/>
  <c r="I713" i="24" a="1"/>
  <c r="I713" i="24" s="1"/>
  <c r="I712" i="24"/>
  <c r="I712" i="24" a="1"/>
  <c r="I711" i="24" a="1"/>
  <c r="I711" i="24" s="1"/>
  <c r="I710" i="24"/>
  <c r="I710" i="24" a="1"/>
  <c r="I709" i="24" a="1"/>
  <c r="I709" i="24" s="1"/>
  <c r="I708" i="24"/>
  <c r="I708" i="24" a="1"/>
  <c r="I707" i="24" a="1"/>
  <c r="I707" i="24" s="1"/>
  <c r="I706" i="24"/>
  <c r="I706" i="24" a="1"/>
  <c r="I705" i="24" a="1"/>
  <c r="I705" i="24" s="1"/>
  <c r="I704" i="24"/>
  <c r="I704" i="24" a="1"/>
  <c r="I703" i="24" a="1"/>
  <c r="I703" i="24" s="1"/>
  <c r="I702" i="24"/>
  <c r="I702" i="24" a="1"/>
  <c r="I701" i="24" a="1"/>
  <c r="I701" i="24" s="1"/>
  <c r="I700" i="24"/>
  <c r="I700" i="24" a="1"/>
  <c r="I699" i="24" a="1"/>
  <c r="I699" i="24" s="1"/>
  <c r="I698" i="24"/>
  <c r="I698" i="24" a="1"/>
  <c r="I697" i="24" a="1"/>
  <c r="I697" i="24" s="1"/>
  <c r="I696" i="24"/>
  <c r="I696" i="24" a="1"/>
  <c r="I695" i="24" a="1"/>
  <c r="I695" i="24" s="1"/>
  <c r="I694" i="24"/>
  <c r="I694" i="24" a="1"/>
  <c r="I693" i="24" a="1"/>
  <c r="I693" i="24" s="1"/>
  <c r="I692" i="24"/>
  <c r="I692" i="24" a="1"/>
  <c r="I691" i="24" a="1"/>
  <c r="I691" i="24" s="1"/>
  <c r="I690" i="24"/>
  <c r="I690" i="24" a="1"/>
  <c r="I689" i="24" a="1"/>
  <c r="I689" i="24" s="1"/>
  <c r="I688" i="24"/>
  <c r="I688" i="24" a="1"/>
  <c r="I687" i="24" a="1"/>
  <c r="I687" i="24" s="1"/>
  <c r="I686" i="24"/>
  <c r="I686" i="24" a="1"/>
  <c r="I685" i="24" a="1"/>
  <c r="I685" i="24" s="1"/>
  <c r="I684" i="24"/>
  <c r="I684" i="24" a="1"/>
  <c r="I683" i="24" a="1"/>
  <c r="I683" i="24" s="1"/>
  <c r="I682" i="24"/>
  <c r="I682" i="24" a="1"/>
  <c r="I681" i="24" a="1"/>
  <c r="I681" i="24" s="1"/>
  <c r="I680" i="24"/>
  <c r="I680" i="24" a="1"/>
  <c r="I679" i="24" a="1"/>
  <c r="I679" i="24" s="1"/>
  <c r="I678" i="24"/>
  <c r="I678" i="24" a="1"/>
  <c r="I677" i="24" a="1"/>
  <c r="I677" i="24" s="1"/>
  <c r="I676" i="24"/>
  <c r="I676" i="24" a="1"/>
  <c r="I675" i="24" a="1"/>
  <c r="I675" i="24" s="1"/>
  <c r="I674" i="24"/>
  <c r="I674" i="24" a="1"/>
  <c r="I673" i="24" a="1"/>
  <c r="I673" i="24" s="1"/>
  <c r="I672" i="24"/>
  <c r="I672" i="24" a="1"/>
  <c r="I671" i="24" a="1"/>
  <c r="I671" i="24" s="1"/>
  <c r="I670" i="24"/>
  <c r="I670" i="24" a="1"/>
  <c r="I669" i="24" a="1"/>
  <c r="I669" i="24" s="1"/>
  <c r="I668" i="24"/>
  <c r="I668" i="24" a="1"/>
  <c r="I667" i="24" a="1"/>
  <c r="I667" i="24" s="1"/>
  <c r="I666" i="24"/>
  <c r="I666" i="24" a="1"/>
  <c r="I665" i="24" a="1"/>
  <c r="I665" i="24" s="1"/>
  <c r="I664" i="24"/>
  <c r="I664" i="24" a="1"/>
  <c r="I663" i="24" a="1"/>
  <c r="I663" i="24" s="1"/>
  <c r="I662" i="24"/>
  <c r="I662" i="24" a="1"/>
  <c r="I661" i="24" a="1"/>
  <c r="I661" i="24" s="1"/>
  <c r="I660" i="24"/>
  <c r="I660" i="24" a="1"/>
  <c r="I659" i="24" a="1"/>
  <c r="I659" i="24" s="1"/>
  <c r="I658" i="24"/>
  <c r="I658" i="24" a="1"/>
  <c r="I657" i="24" a="1"/>
  <c r="I657" i="24" s="1"/>
  <c r="I656" i="24"/>
  <c r="I656" i="24" a="1"/>
  <c r="I655" i="24" a="1"/>
  <c r="I655" i="24" s="1"/>
  <c r="I654" i="24"/>
  <c r="I654" i="24" a="1"/>
  <c r="I653" i="24" a="1"/>
  <c r="I653" i="24" s="1"/>
  <c r="I652" i="24"/>
  <c r="I652" i="24" a="1"/>
  <c r="I651" i="24" a="1"/>
  <c r="I651" i="24" s="1"/>
  <c r="I650" i="24"/>
  <c r="I650" i="24" a="1"/>
  <c r="I649" i="24" a="1"/>
  <c r="I649" i="24" s="1"/>
  <c r="I648" i="24"/>
  <c r="I648" i="24" a="1"/>
  <c r="I647" i="24" a="1"/>
  <c r="I647" i="24" s="1"/>
  <c r="I646" i="24"/>
  <c r="I646" i="24" a="1"/>
  <c r="I645" i="24" a="1"/>
  <c r="I645" i="24" s="1"/>
  <c r="I644" i="24" a="1"/>
  <c r="I644" i="24" s="1"/>
  <c r="I643" i="24" a="1"/>
  <c r="I643" i="24" s="1"/>
  <c r="I642" i="24"/>
  <c r="I642" i="24" a="1"/>
  <c r="I641" i="24" a="1"/>
  <c r="I641" i="24" s="1"/>
  <c r="I640" i="24" a="1"/>
  <c r="I640" i="24" s="1"/>
  <c r="I639" i="24" a="1"/>
  <c r="I639" i="24" s="1"/>
  <c r="I638" i="24"/>
  <c r="I638" i="24" a="1"/>
  <c r="I637" i="24" a="1"/>
  <c r="I637" i="24" s="1"/>
  <c r="I636" i="24" a="1"/>
  <c r="I636" i="24" s="1"/>
  <c r="I635" i="24" a="1"/>
  <c r="I635" i="24" s="1"/>
  <c r="I634" i="24"/>
  <c r="I634" i="24" a="1"/>
  <c r="I633" i="24" a="1"/>
  <c r="I633" i="24" s="1"/>
  <c r="I632" i="24" a="1"/>
  <c r="I632" i="24" s="1"/>
  <c r="I631" i="24" a="1"/>
  <c r="I631" i="24" s="1"/>
  <c r="I630" i="24"/>
  <c r="I630" i="24" a="1"/>
  <c r="I629" i="24" a="1"/>
  <c r="I629" i="24" s="1"/>
  <c r="I628" i="24" a="1"/>
  <c r="I628" i="24" s="1"/>
  <c r="I627" i="24" a="1"/>
  <c r="I627" i="24" s="1"/>
  <c r="I626" i="24"/>
  <c r="I626" i="24" a="1"/>
  <c r="I625" i="24" a="1"/>
  <c r="I625" i="24" s="1"/>
  <c r="I624" i="24" a="1"/>
  <c r="I624" i="24" s="1"/>
  <c r="I623" i="24" a="1"/>
  <c r="I623" i="24" s="1"/>
  <c r="I622" i="24"/>
  <c r="I622" i="24" a="1"/>
  <c r="I621" i="24" a="1"/>
  <c r="I621" i="24" s="1"/>
  <c r="I620" i="24"/>
  <c r="I620" i="24" a="1"/>
  <c r="I619" i="24" a="1"/>
  <c r="I619" i="24" s="1"/>
  <c r="I618" i="24"/>
  <c r="I618" i="24" a="1"/>
  <c r="I617" i="24" a="1"/>
  <c r="I617" i="24" s="1"/>
  <c r="I616" i="24"/>
  <c r="I616" i="24" a="1"/>
  <c r="I615" i="24" a="1"/>
  <c r="I615" i="24" s="1"/>
  <c r="I614" i="24"/>
  <c r="I614" i="24" a="1"/>
  <c r="I613" i="24" a="1"/>
  <c r="I613" i="24" s="1"/>
  <c r="I612" i="24"/>
  <c r="I612" i="24" a="1"/>
  <c r="I611" i="24" a="1"/>
  <c r="I611" i="24" s="1"/>
  <c r="I610" i="24"/>
  <c r="I610" i="24" a="1"/>
  <c r="I609" i="24" a="1"/>
  <c r="I609" i="24" s="1"/>
  <c r="I608" i="24"/>
  <c r="I608" i="24" a="1"/>
  <c r="I607" i="24" a="1"/>
  <c r="I607" i="24" s="1"/>
  <c r="I606" i="24"/>
  <c r="I606" i="24" a="1"/>
  <c r="I605" i="24" a="1"/>
  <c r="I605" i="24" s="1"/>
  <c r="I604" i="24"/>
  <c r="I604" i="24" a="1"/>
  <c r="I603" i="24" a="1"/>
  <c r="I603" i="24" s="1"/>
  <c r="I602" i="24"/>
  <c r="I602" i="24" a="1"/>
  <c r="I601" i="24" a="1"/>
  <c r="I601" i="24" s="1"/>
  <c r="I600" i="24"/>
  <c r="I600" i="24" a="1"/>
  <c r="I599" i="24" a="1"/>
  <c r="I599" i="24" s="1"/>
  <c r="I598" i="24"/>
  <c r="I598" i="24" a="1"/>
  <c r="I597" i="24" a="1"/>
  <c r="I597" i="24" s="1"/>
  <c r="I596" i="24"/>
  <c r="I596" i="24" a="1"/>
  <c r="I595" i="24" a="1"/>
  <c r="I595" i="24" s="1"/>
  <c r="I594" i="24"/>
  <c r="I594" i="24" a="1"/>
  <c r="I593" i="24" a="1"/>
  <c r="I593" i="24" s="1"/>
  <c r="I592" i="24"/>
  <c r="I592" i="24" a="1"/>
  <c r="I591" i="24" a="1"/>
  <c r="I591" i="24" s="1"/>
  <c r="I590" i="24"/>
  <c r="I590" i="24" a="1"/>
  <c r="I589" i="24" a="1"/>
  <c r="I589" i="24" s="1"/>
  <c r="I588" i="24"/>
  <c r="I588" i="24" a="1"/>
  <c r="I587" i="24" a="1"/>
  <c r="I587" i="24" s="1"/>
  <c r="I586" i="24"/>
  <c r="I586" i="24" a="1"/>
  <c r="I585" i="24" a="1"/>
  <c r="I585" i="24" s="1"/>
  <c r="I584" i="24"/>
  <c r="I584" i="24" a="1"/>
  <c r="I583" i="24" a="1"/>
  <c r="I583" i="24" s="1"/>
  <c r="I582" i="24"/>
  <c r="I582" i="24" a="1"/>
  <c r="I581" i="24" a="1"/>
  <c r="I581" i="24" s="1"/>
  <c r="I580" i="24"/>
  <c r="I580" i="24" a="1"/>
  <c r="I579" i="24" a="1"/>
  <c r="I579" i="24" s="1"/>
  <c r="I578" i="24"/>
  <c r="I578" i="24" a="1"/>
  <c r="I577" i="24" a="1"/>
  <c r="I577" i="24" s="1"/>
  <c r="I576" i="24"/>
  <c r="I576" i="24" a="1"/>
  <c r="I575" i="24" a="1"/>
  <c r="I575" i="24" s="1"/>
  <c r="I574" i="24"/>
  <c r="I574" i="24" a="1"/>
  <c r="I573" i="24" a="1"/>
  <c r="I573" i="24" s="1"/>
  <c r="I572" i="24"/>
  <c r="I572" i="24" a="1"/>
  <c r="I571" i="24" a="1"/>
  <c r="I571" i="24" s="1"/>
  <c r="I570" i="24"/>
  <c r="I570" i="24" a="1"/>
  <c r="I569" i="24" a="1"/>
  <c r="I569" i="24" s="1"/>
  <c r="I568" i="24"/>
  <c r="I568" i="24" a="1"/>
  <c r="I567" i="24" a="1"/>
  <c r="I567" i="24" s="1"/>
  <c r="I566" i="24"/>
  <c r="I566" i="24" a="1"/>
  <c r="I565" i="24" a="1"/>
  <c r="I565" i="24" s="1"/>
  <c r="I564" i="24"/>
  <c r="I564" i="24" a="1"/>
  <c r="I563" i="24" a="1"/>
  <c r="I563" i="24" s="1"/>
  <c r="I562" i="24"/>
  <c r="I562" i="24" a="1"/>
  <c r="I561" i="24" a="1"/>
  <c r="I561" i="24" s="1"/>
  <c r="I560" i="24"/>
  <c r="I560" i="24" a="1"/>
  <c r="I559" i="24" a="1"/>
  <c r="I559" i="24" s="1"/>
  <c r="I558" i="24"/>
  <c r="I558" i="24" a="1"/>
  <c r="I557" i="24" a="1"/>
  <c r="I557" i="24" s="1"/>
  <c r="I556" i="24"/>
  <c r="I556" i="24" a="1"/>
  <c r="I555" i="24" a="1"/>
  <c r="I555" i="24" s="1"/>
  <c r="I554" i="24"/>
  <c r="I554" i="24" a="1"/>
  <c r="I553" i="24" a="1"/>
  <c r="I553" i="24" s="1"/>
  <c r="I552" i="24"/>
  <c r="I552" i="24" a="1"/>
  <c r="I551" i="24" a="1"/>
  <c r="I551" i="24" s="1"/>
  <c r="I550" i="24"/>
  <c r="I550" i="24" a="1"/>
  <c r="I549" i="24" a="1"/>
  <c r="I549" i="24" s="1"/>
  <c r="I548" i="24"/>
  <c r="I548" i="24" a="1"/>
  <c r="I547" i="24" a="1"/>
  <c r="I547" i="24" s="1"/>
  <c r="I546" i="24"/>
  <c r="I546" i="24" a="1"/>
  <c r="I545" i="24" a="1"/>
  <c r="I545" i="24" s="1"/>
  <c r="I544" i="24"/>
  <c r="I544" i="24" a="1"/>
  <c r="I543" i="24" a="1"/>
  <c r="I543" i="24" s="1"/>
  <c r="I542" i="24"/>
  <c r="I542" i="24" a="1"/>
  <c r="I541" i="24" a="1"/>
  <c r="I541" i="24" s="1"/>
  <c r="I540" i="24"/>
  <c r="I540" i="24" a="1"/>
  <c r="I539" i="24" a="1"/>
  <c r="I539" i="24" s="1"/>
  <c r="I538" i="24"/>
  <c r="I538" i="24" a="1"/>
  <c r="I537" i="24" a="1"/>
  <c r="I537" i="24" s="1"/>
  <c r="I536" i="24"/>
  <c r="I536" i="24" a="1"/>
  <c r="I535" i="24" a="1"/>
  <c r="I535" i="24" s="1"/>
  <c r="I534" i="24"/>
  <c r="I534" i="24" a="1"/>
  <c r="I533" i="24" a="1"/>
  <c r="I533" i="24" s="1"/>
  <c r="I532" i="24"/>
  <c r="I532" i="24" a="1"/>
  <c r="I531" i="24" a="1"/>
  <c r="I531" i="24" s="1"/>
  <c r="I530" i="24"/>
  <c r="I530" i="24" a="1"/>
  <c r="I529" i="24" a="1"/>
  <c r="I529" i="24" s="1"/>
  <c r="I528" i="24"/>
  <c r="I528" i="24" a="1"/>
  <c r="I527" i="24" a="1"/>
  <c r="I527" i="24" s="1"/>
  <c r="I526" i="24"/>
  <c r="I526" i="24" a="1"/>
  <c r="I525" i="24" a="1"/>
  <c r="I525" i="24" s="1"/>
  <c r="I524" i="24"/>
  <c r="I524" i="24" a="1"/>
  <c r="I523" i="24" a="1"/>
  <c r="I523" i="24" s="1"/>
  <c r="I522" i="24"/>
  <c r="I522" i="24" a="1"/>
  <c r="I521" i="24" a="1"/>
  <c r="I521" i="24" s="1"/>
  <c r="I520" i="24"/>
  <c r="I520" i="24" a="1"/>
  <c r="I519" i="24" a="1"/>
  <c r="I519" i="24" s="1"/>
  <c r="I518" i="24"/>
  <c r="I518" i="24" a="1"/>
  <c r="I517" i="24" a="1"/>
  <c r="I517" i="24" s="1"/>
  <c r="I516" i="24"/>
  <c r="I516" i="24" a="1"/>
  <c r="I515" i="24" a="1"/>
  <c r="I515" i="24" s="1"/>
  <c r="I514" i="24"/>
  <c r="I514" i="24" a="1"/>
  <c r="I513" i="24" a="1"/>
  <c r="I513" i="24" s="1"/>
  <c r="I512" i="24"/>
  <c r="I512" i="24" a="1"/>
  <c r="I511" i="24" a="1"/>
  <c r="I511" i="24" s="1"/>
  <c r="I510" i="24"/>
  <c r="I510" i="24" a="1"/>
  <c r="I509" i="24" a="1"/>
  <c r="I509" i="24" s="1"/>
  <c r="I508" i="24"/>
  <c r="I508" i="24" a="1"/>
  <c r="I507" i="24" a="1"/>
  <c r="I507" i="24" s="1"/>
  <c r="I506" i="24"/>
  <c r="I506" i="24" a="1"/>
  <c r="I505" i="24" a="1"/>
  <c r="I505" i="24" s="1"/>
  <c r="I504" i="24"/>
  <c r="I504" i="24" a="1"/>
  <c r="I503" i="24" a="1"/>
  <c r="I503" i="24" s="1"/>
  <c r="I502" i="24"/>
  <c r="I502" i="24" a="1"/>
  <c r="I501" i="24" a="1"/>
  <c r="I501" i="24" s="1"/>
  <c r="I500" i="24"/>
  <c r="I500" i="24" a="1"/>
  <c r="I499" i="24" a="1"/>
  <c r="I499" i="24" s="1"/>
  <c r="I498" i="24"/>
  <c r="I498" i="24" a="1"/>
  <c r="I497" i="24" a="1"/>
  <c r="I497" i="24" s="1"/>
  <c r="I496" i="24"/>
  <c r="I496" i="24" a="1"/>
  <c r="I495" i="24" a="1"/>
  <c r="I495" i="24" s="1"/>
  <c r="I494" i="24"/>
  <c r="I494" i="24" a="1"/>
  <c r="I493" i="24" a="1"/>
  <c r="I493" i="24" s="1"/>
  <c r="I492" i="24"/>
  <c r="I492" i="24" a="1"/>
  <c r="I491" i="24" a="1"/>
  <c r="I491" i="24" s="1"/>
  <c r="I490" i="24"/>
  <c r="I490" i="24" a="1"/>
  <c r="I489" i="24" a="1"/>
  <c r="I489" i="24" s="1"/>
  <c r="I488" i="24"/>
  <c r="I488" i="24" a="1"/>
  <c r="I487" i="24" a="1"/>
  <c r="I487" i="24" s="1"/>
  <c r="I486" i="24"/>
  <c r="I486" i="24" a="1"/>
  <c r="I485" i="24" a="1"/>
  <c r="I485" i="24" s="1"/>
  <c r="I484" i="24"/>
  <c r="I484" i="24" a="1"/>
  <c r="I483" i="24" a="1"/>
  <c r="I483" i="24" s="1"/>
  <c r="I482" i="24"/>
  <c r="I482" i="24" a="1"/>
  <c r="I481" i="24" a="1"/>
  <c r="I481" i="24" s="1"/>
  <c r="I480" i="24"/>
  <c r="I480" i="24" a="1"/>
  <c r="I479" i="24" a="1"/>
  <c r="I479" i="24" s="1"/>
  <c r="I478" i="24"/>
  <c r="I478" i="24" a="1"/>
  <c r="I477" i="24" a="1"/>
  <c r="I477" i="24" s="1"/>
  <c r="I476" i="24"/>
  <c r="I476" i="24" a="1"/>
  <c r="I475" i="24" a="1"/>
  <c r="I475" i="24" s="1"/>
  <c r="I474" i="24"/>
  <c r="I474" i="24" a="1"/>
  <c r="I473" i="24" a="1"/>
  <c r="I473" i="24" s="1"/>
  <c r="I472" i="24"/>
  <c r="I472" i="24" a="1"/>
  <c r="I471" i="24" a="1"/>
  <c r="I471" i="24" s="1"/>
  <c r="I470" i="24"/>
  <c r="I470" i="24" a="1"/>
  <c r="I469" i="24" a="1"/>
  <c r="I469" i="24" s="1"/>
  <c r="I468" i="24"/>
  <c r="I468" i="24" a="1"/>
  <c r="I467" i="24" a="1"/>
  <c r="I467" i="24" s="1"/>
  <c r="I466" i="24"/>
  <c r="I466" i="24" a="1"/>
  <c r="I465" i="24" a="1"/>
  <c r="I465" i="24" s="1"/>
  <c r="I464" i="24"/>
  <c r="I464" i="24" a="1"/>
  <c r="I463" i="24" a="1"/>
  <c r="I463" i="24" s="1"/>
  <c r="I462" i="24"/>
  <c r="I462" i="24" a="1"/>
  <c r="I461" i="24" a="1"/>
  <c r="I461" i="24" s="1"/>
  <c r="I460" i="24"/>
  <c r="I460" i="24" a="1"/>
  <c r="I459" i="24" a="1"/>
  <c r="I459" i="24" s="1"/>
  <c r="I458" i="24"/>
  <c r="I458" i="24" a="1"/>
  <c r="I457" i="24" a="1"/>
  <c r="I457" i="24" s="1"/>
  <c r="I456" i="24"/>
  <c r="I456" i="24" a="1"/>
  <c r="I455" i="24" a="1"/>
  <c r="I455" i="24" s="1"/>
  <c r="I454" i="24"/>
  <c r="I454" i="24" a="1"/>
  <c r="I453" i="24" a="1"/>
  <c r="I453" i="24" s="1"/>
  <c r="I452" i="24"/>
  <c r="I452" i="24" a="1"/>
  <c r="I451" i="24" a="1"/>
  <c r="I451" i="24" s="1"/>
  <c r="I450" i="24"/>
  <c r="I450" i="24" a="1"/>
  <c r="I449" i="24" a="1"/>
  <c r="I449" i="24" s="1"/>
  <c r="I448" i="24"/>
  <c r="I448" i="24" a="1"/>
  <c r="I447" i="24" a="1"/>
  <c r="I447" i="24" s="1"/>
  <c r="I446" i="24"/>
  <c r="I446" i="24" a="1"/>
  <c r="I445" i="24" a="1"/>
  <c r="I445" i="24" s="1"/>
  <c r="I444" i="24"/>
  <c r="I444" i="24" a="1"/>
  <c r="I443" i="24" a="1"/>
  <c r="I443" i="24" s="1"/>
  <c r="I442" i="24"/>
  <c r="I442" i="24" a="1"/>
  <c r="I441" i="24" a="1"/>
  <c r="I441" i="24" s="1"/>
  <c r="I440" i="24"/>
  <c r="I440" i="24" a="1"/>
  <c r="I439" i="24" a="1"/>
  <c r="I439" i="24" s="1"/>
  <c r="I438" i="24"/>
  <c r="I438" i="24" a="1"/>
  <c r="I437" i="24" a="1"/>
  <c r="I437" i="24" s="1"/>
  <c r="I436" i="24"/>
  <c r="I436" i="24" a="1"/>
  <c r="I435" i="24" a="1"/>
  <c r="I435" i="24" s="1"/>
  <c r="I434" i="24"/>
  <c r="I434" i="24" a="1"/>
  <c r="I433" i="24" a="1"/>
  <c r="I433" i="24" s="1"/>
  <c r="I432" i="24"/>
  <c r="I432" i="24" a="1"/>
  <c r="I431" i="24" a="1"/>
  <c r="I431" i="24" s="1"/>
  <c r="I430" i="24"/>
  <c r="I430" i="24" a="1"/>
  <c r="I429" i="24" a="1"/>
  <c r="I429" i="24" s="1"/>
  <c r="I428" i="24"/>
  <c r="I428" i="24" a="1"/>
  <c r="I427" i="24" a="1"/>
  <c r="I427" i="24" s="1"/>
  <c r="I426" i="24"/>
  <c r="I426" i="24" a="1"/>
  <c r="I425" i="24" a="1"/>
  <c r="I425" i="24" s="1"/>
  <c r="I424" i="24"/>
  <c r="I424" i="24" a="1"/>
  <c r="I423" i="24" a="1"/>
  <c r="I423" i="24" s="1"/>
  <c r="I422" i="24"/>
  <c r="I422" i="24" a="1"/>
  <c r="I421" i="24" a="1"/>
  <c r="I421" i="24" s="1"/>
  <c r="I420" i="24"/>
  <c r="I420" i="24" a="1"/>
  <c r="I419" i="24" a="1"/>
  <c r="I419" i="24" s="1"/>
  <c r="I418" i="24"/>
  <c r="I418" i="24" a="1"/>
  <c r="I417" i="24" a="1"/>
  <c r="I417" i="24" s="1"/>
  <c r="I416" i="24"/>
  <c r="I416" i="24" a="1"/>
  <c r="I415" i="24" a="1"/>
  <c r="I415" i="24" s="1"/>
  <c r="I414" i="24"/>
  <c r="I414" i="24" a="1"/>
  <c r="I413" i="24" a="1"/>
  <c r="I413" i="24" s="1"/>
  <c r="I412" i="24"/>
  <c r="I412" i="24" a="1"/>
  <c r="I411" i="24" a="1"/>
  <c r="I411" i="24" s="1"/>
  <c r="I410" i="24"/>
  <c r="I410" i="24" a="1"/>
  <c r="I409" i="24" a="1"/>
  <c r="I409" i="24" s="1"/>
  <c r="I408" i="24"/>
  <c r="I408" i="24" a="1"/>
  <c r="I407" i="24" a="1"/>
  <c r="I407" i="24" s="1"/>
  <c r="I406" i="24"/>
  <c r="I406" i="24" a="1"/>
  <c r="I405" i="24" a="1"/>
  <c r="I405" i="24" s="1"/>
  <c r="I404" i="24"/>
  <c r="I404" i="24" a="1"/>
  <c r="I403" i="24" a="1"/>
  <c r="I403" i="24" s="1"/>
  <c r="I402" i="24"/>
  <c r="I402" i="24" a="1"/>
  <c r="I401" i="24" a="1"/>
  <c r="I401" i="24" s="1"/>
  <c r="I400" i="24"/>
  <c r="I400" i="24" a="1"/>
  <c r="I399" i="24" a="1"/>
  <c r="I399" i="24" s="1"/>
  <c r="I398" i="24"/>
  <c r="I398" i="24" a="1"/>
  <c r="I397" i="24" a="1"/>
  <c r="I397" i="24" s="1"/>
  <c r="I396" i="24"/>
  <c r="I396" i="24" a="1"/>
  <c r="I395" i="24" a="1"/>
  <c r="I395" i="24" s="1"/>
  <c r="I394" i="24"/>
  <c r="I394" i="24" a="1"/>
  <c r="I393" i="24" a="1"/>
  <c r="I393" i="24" s="1"/>
  <c r="I392" i="24"/>
  <c r="I392" i="24" a="1"/>
  <c r="I391" i="24" a="1"/>
  <c r="I391" i="24" s="1"/>
  <c r="I390" i="24"/>
  <c r="I390" i="24" a="1"/>
  <c r="I389" i="24" a="1"/>
  <c r="I389" i="24" s="1"/>
  <c r="I388" i="24"/>
  <c r="I388" i="24" a="1"/>
  <c r="I387" i="24" a="1"/>
  <c r="I387" i="24" s="1"/>
  <c r="I386" i="24"/>
  <c r="I386" i="24" a="1"/>
  <c r="I385" i="24" a="1"/>
  <c r="I385" i="24" s="1"/>
  <c r="I384" i="24"/>
  <c r="I384" i="24" a="1"/>
  <c r="I383" i="24" a="1"/>
  <c r="I383" i="24" s="1"/>
  <c r="I382" i="24"/>
  <c r="I382" i="24" a="1"/>
  <c r="I381" i="24" a="1"/>
  <c r="I381" i="24" s="1"/>
  <c r="I380" i="24"/>
  <c r="I380" i="24" a="1"/>
  <c r="I379" i="24" a="1"/>
  <c r="I379" i="24" s="1"/>
  <c r="I378" i="24"/>
  <c r="I378" i="24" a="1"/>
  <c r="I377" i="24" a="1"/>
  <c r="I377" i="24" s="1"/>
  <c r="I376" i="24"/>
  <c r="I376" i="24" a="1"/>
  <c r="I375" i="24" a="1"/>
  <c r="I375" i="24" s="1"/>
  <c r="I374" i="24"/>
  <c r="I374" i="24" a="1"/>
  <c r="I373" i="24" a="1"/>
  <c r="I373" i="24" s="1"/>
  <c r="I372" i="24"/>
  <c r="I372" i="24" a="1"/>
  <c r="I371" i="24" a="1"/>
  <c r="I371" i="24" s="1"/>
  <c r="I370" i="24"/>
  <c r="I370" i="24" a="1"/>
  <c r="I369" i="24" a="1"/>
  <c r="I369" i="24" s="1"/>
  <c r="I368" i="24"/>
  <c r="I368" i="24" a="1"/>
  <c r="I367" i="24" a="1"/>
  <c r="I367" i="24" s="1"/>
  <c r="I366" i="24"/>
  <c r="I366" i="24" a="1"/>
  <c r="I365" i="24" a="1"/>
  <c r="I365" i="24" s="1"/>
  <c r="I364" i="24"/>
  <c r="I364" i="24" a="1"/>
  <c r="I363" i="24" a="1"/>
  <c r="I363" i="24" s="1"/>
  <c r="I362" i="24"/>
  <c r="I362" i="24" a="1"/>
  <c r="I361" i="24" a="1"/>
  <c r="I361" i="24" s="1"/>
  <c r="I360" i="24"/>
  <c r="I360" i="24" a="1"/>
  <c r="I359" i="24" a="1"/>
  <c r="I359" i="24" s="1"/>
  <c r="I358" i="24"/>
  <c r="I358" i="24" a="1"/>
  <c r="I357" i="24" a="1"/>
  <c r="I357" i="24" s="1"/>
  <c r="I356" i="24"/>
  <c r="I356" i="24" a="1"/>
  <c r="I355" i="24" a="1"/>
  <c r="I355" i="24" s="1"/>
  <c r="I354" i="24"/>
  <c r="I354" i="24" a="1"/>
  <c r="I353" i="24" a="1"/>
  <c r="I353" i="24" s="1"/>
  <c r="I352" i="24"/>
  <c r="I352" i="24" a="1"/>
  <c r="I351" i="24" a="1"/>
  <c r="I351" i="24" s="1"/>
  <c r="I350" i="24"/>
  <c r="I350" i="24" a="1"/>
  <c r="I349" i="24" a="1"/>
  <c r="I349" i="24" s="1"/>
  <c r="I348" i="24"/>
  <c r="I348" i="24" a="1"/>
  <c r="I347" i="24" a="1"/>
  <c r="I347" i="24" s="1"/>
  <c r="I346" i="24"/>
  <c r="I346" i="24" a="1"/>
  <c r="I345" i="24" a="1"/>
  <c r="I345" i="24" s="1"/>
  <c r="I344" i="24"/>
  <c r="I344" i="24" a="1"/>
  <c r="I343" i="24" a="1"/>
  <c r="I343" i="24" s="1"/>
  <c r="I342" i="24"/>
  <c r="I342" i="24" a="1"/>
  <c r="I341" i="24" a="1"/>
  <c r="I341" i="24" s="1"/>
  <c r="I340" i="24"/>
  <c r="I340" i="24" a="1"/>
  <c r="I339" i="24" a="1"/>
  <c r="I339" i="24" s="1"/>
  <c r="I338" i="24"/>
  <c r="I338" i="24" a="1"/>
  <c r="I337" i="24" a="1"/>
  <c r="I337" i="24" s="1"/>
  <c r="I336" i="24"/>
  <c r="I336" i="24" a="1"/>
  <c r="I335" i="24" a="1"/>
  <c r="I335" i="24" s="1"/>
  <c r="I334" i="24"/>
  <c r="I334" i="24" a="1"/>
  <c r="I333" i="24" a="1"/>
  <c r="I333" i="24" s="1"/>
  <c r="I332" i="24"/>
  <c r="I332" i="24" a="1"/>
  <c r="I331" i="24" a="1"/>
  <c r="I331" i="24" s="1"/>
  <c r="I330" i="24"/>
  <c r="I330" i="24" a="1"/>
  <c r="I329" i="24" a="1"/>
  <c r="I329" i="24" s="1"/>
  <c r="I328" i="24"/>
  <c r="I328" i="24" a="1"/>
  <c r="I327" i="24" a="1"/>
  <c r="I327" i="24" s="1"/>
  <c r="I326" i="24"/>
  <c r="I326" i="24" a="1"/>
  <c r="I325" i="24" a="1"/>
  <c r="I325" i="24" s="1"/>
  <c r="I324" i="24"/>
  <c r="I324" i="24" a="1"/>
  <c r="I323" i="24" a="1"/>
  <c r="I323" i="24" s="1"/>
  <c r="I322" i="24"/>
  <c r="I322" i="24" a="1"/>
  <c r="I321" i="24" a="1"/>
  <c r="I321" i="24" s="1"/>
  <c r="I320" i="24"/>
  <c r="I320" i="24" a="1"/>
  <c r="I319" i="24" a="1"/>
  <c r="I319" i="24" s="1"/>
  <c r="I318" i="24"/>
  <c r="I318" i="24" a="1"/>
  <c r="I317" i="24" a="1"/>
  <c r="I317" i="24" s="1"/>
  <c r="I316" i="24"/>
  <c r="I316" i="24" a="1"/>
  <c r="I315" i="24" a="1"/>
  <c r="I315" i="24" s="1"/>
  <c r="I314" i="24"/>
  <c r="I314" i="24" a="1"/>
  <c r="I313" i="24" a="1"/>
  <c r="I313" i="24" s="1"/>
  <c r="I312" i="24"/>
  <c r="I312" i="24" a="1"/>
  <c r="I311" i="24" a="1"/>
  <c r="I311" i="24" s="1"/>
  <c r="I310" i="24"/>
  <c r="I310" i="24" a="1"/>
  <c r="I309" i="24" a="1"/>
  <c r="I309" i="24" s="1"/>
  <c r="I308" i="24"/>
  <c r="I308" i="24" a="1"/>
  <c r="I307" i="24" a="1"/>
  <c r="I307" i="24" s="1"/>
  <c r="I306" i="24"/>
  <c r="I306" i="24" a="1"/>
  <c r="I305" i="24" a="1"/>
  <c r="I305" i="24" s="1"/>
  <c r="I304" i="24"/>
  <c r="I304" i="24" a="1"/>
  <c r="I303" i="24" a="1"/>
  <c r="I303" i="24" s="1"/>
  <c r="I302" i="24"/>
  <c r="I302" i="24" a="1"/>
  <c r="I301" i="24" a="1"/>
  <c r="I301" i="24" s="1"/>
  <c r="I300" i="24"/>
  <c r="I300" i="24" a="1"/>
  <c r="I299" i="24" a="1"/>
  <c r="I299" i="24" s="1"/>
  <c r="I298" i="24"/>
  <c r="I298" i="24" a="1"/>
  <c r="I297" i="24" a="1"/>
  <c r="I297" i="24" s="1"/>
  <c r="I296" i="24"/>
  <c r="I296" i="24" a="1"/>
  <c r="I295" i="24" a="1"/>
  <c r="I295" i="24" s="1"/>
  <c r="I294" i="24"/>
  <c r="I294" i="24" a="1"/>
  <c r="I293" i="24" a="1"/>
  <c r="I293" i="24" s="1"/>
  <c r="I292" i="24"/>
  <c r="I292" i="24" a="1"/>
  <c r="I291" i="24" a="1"/>
  <c r="I291" i="24" s="1"/>
  <c r="I290" i="24"/>
  <c r="I290" i="24" a="1"/>
  <c r="I289" i="24" a="1"/>
  <c r="I289" i="24" s="1"/>
  <c r="I288" i="24"/>
  <c r="I288" i="24" a="1"/>
  <c r="I287" i="24" a="1"/>
  <c r="I287" i="24" s="1"/>
  <c r="I286" i="24"/>
  <c r="I286" i="24" a="1"/>
  <c r="I285" i="24" a="1"/>
  <c r="I285" i="24" s="1"/>
  <c r="I284" i="24"/>
  <c r="I284" i="24" a="1"/>
  <c r="I283" i="24" a="1"/>
  <c r="I283" i="24" s="1"/>
  <c r="I282" i="24"/>
  <c r="I282" i="24" a="1"/>
  <c r="I281" i="24" a="1"/>
  <c r="I281" i="24" s="1"/>
  <c r="I280" i="24"/>
  <c r="I280" i="24" a="1"/>
  <c r="I279" i="24" a="1"/>
  <c r="I279" i="24" s="1"/>
  <c r="I278" i="24"/>
  <c r="I278" i="24" a="1"/>
  <c r="I277" i="24" a="1"/>
  <c r="I277" i="24" s="1"/>
  <c r="I276" i="24"/>
  <c r="I276" i="24" a="1"/>
  <c r="I275" i="24" a="1"/>
  <c r="I275" i="24" s="1"/>
  <c r="I274" i="24"/>
  <c r="I274" i="24" a="1"/>
  <c r="I273" i="24" a="1"/>
  <c r="I273" i="24" s="1"/>
  <c r="I272" i="24"/>
  <c r="I272" i="24" a="1"/>
  <c r="I271" i="24" a="1"/>
  <c r="I271" i="24" s="1"/>
  <c r="I270" i="24"/>
  <c r="I270" i="24" a="1"/>
  <c r="I269" i="24" a="1"/>
  <c r="I269" i="24" s="1"/>
  <c r="I268" i="24"/>
  <c r="I268" i="24" a="1"/>
  <c r="I267" i="24" a="1"/>
  <c r="I267" i="24" s="1"/>
  <c r="I266" i="24"/>
  <c r="I266" i="24" a="1"/>
  <c r="I265" i="24" a="1"/>
  <c r="I265" i="24" s="1"/>
  <c r="I264" i="24"/>
  <c r="I264" i="24" a="1"/>
  <c r="I263" i="24" a="1"/>
  <c r="I263" i="24" s="1"/>
  <c r="I262" i="24"/>
  <c r="I262" i="24" a="1"/>
  <c r="I261" i="24" a="1"/>
  <c r="I261" i="24" s="1"/>
  <c r="I260" i="24"/>
  <c r="I260" i="24" a="1"/>
  <c r="I259" i="24" a="1"/>
  <c r="I259" i="24" s="1"/>
  <c r="I258" i="24"/>
  <c r="I258" i="24" a="1"/>
  <c r="I257" i="24" a="1"/>
  <c r="I257" i="24" s="1"/>
  <c r="I256" i="24"/>
  <c r="I256" i="24" a="1"/>
  <c r="I255" i="24" a="1"/>
  <c r="I255" i="24" s="1"/>
  <c r="I254" i="24"/>
  <c r="I254" i="24" a="1"/>
  <c r="I253" i="24" a="1"/>
  <c r="I253" i="24" s="1"/>
  <c r="I252" i="24"/>
  <c r="I252" i="24" a="1"/>
  <c r="I251" i="24" a="1"/>
  <c r="I251" i="24" s="1"/>
  <c r="I250" i="24"/>
  <c r="I250" i="24" a="1"/>
  <c r="I249" i="24" a="1"/>
  <c r="I249" i="24" s="1"/>
  <c r="I248" i="24"/>
  <c r="I248" i="24" a="1"/>
  <c r="I247" i="24" a="1"/>
  <c r="I247" i="24" s="1"/>
  <c r="I246" i="24"/>
  <c r="I246" i="24" a="1"/>
  <c r="I245" i="24" a="1"/>
  <c r="I245" i="24" s="1"/>
  <c r="I244" i="24"/>
  <c r="I244" i="24" a="1"/>
  <c r="I243" i="24" a="1"/>
  <c r="I243" i="24" s="1"/>
  <c r="I242" i="24"/>
  <c r="I242" i="24" a="1"/>
  <c r="I241" i="24" a="1"/>
  <c r="I241" i="24" s="1"/>
  <c r="I240" i="24"/>
  <c r="I240" i="24" a="1"/>
  <c r="I239" i="24" a="1"/>
  <c r="I239" i="24" s="1"/>
  <c r="I238" i="24"/>
  <c r="I238" i="24" a="1"/>
  <c r="I237" i="24" a="1"/>
  <c r="I237" i="24" s="1"/>
  <c r="I236" i="24"/>
  <c r="I236" i="24" a="1"/>
  <c r="I235" i="24" a="1"/>
  <c r="I235" i="24" s="1"/>
  <c r="I234" i="24"/>
  <c r="I234" i="24" a="1"/>
  <c r="I233" i="24" a="1"/>
  <c r="I233" i="24" s="1"/>
  <c r="I232" i="24"/>
  <c r="I232" i="24" a="1"/>
  <c r="I231" i="24" a="1"/>
  <c r="I231" i="24" s="1"/>
  <c r="I230" i="24"/>
  <c r="I230" i="24" a="1"/>
  <c r="I229" i="24" a="1"/>
  <c r="I229" i="24" s="1"/>
  <c r="I228" i="24"/>
  <c r="I228" i="24" a="1"/>
  <c r="I227" i="24" a="1"/>
  <c r="I227" i="24" s="1"/>
  <c r="I226" i="24"/>
  <c r="I226" i="24" a="1"/>
  <c r="I225" i="24" a="1"/>
  <c r="I225" i="24" s="1"/>
  <c r="I224" i="24"/>
  <c r="I224" i="24" a="1"/>
  <c r="I223" i="24" a="1"/>
  <c r="I223" i="24" s="1"/>
  <c r="I222" i="24"/>
  <c r="I222" i="24" a="1"/>
  <c r="I221" i="24" a="1"/>
  <c r="I221" i="24" s="1"/>
  <c r="I220" i="24"/>
  <c r="I220" i="24" a="1"/>
  <c r="I219" i="24" a="1"/>
  <c r="I219" i="24" s="1"/>
  <c r="I218" i="24"/>
  <c r="I218" i="24" a="1"/>
  <c r="I217" i="24" a="1"/>
  <c r="I217" i="24" s="1"/>
  <c r="I216" i="24"/>
  <c r="I216" i="24" a="1"/>
  <c r="I215" i="24" a="1"/>
  <c r="I215" i="24" s="1"/>
  <c r="I214" i="24"/>
  <c r="I214" i="24" a="1"/>
  <c r="I213" i="24" a="1"/>
  <c r="I213" i="24" s="1"/>
  <c r="I212" i="24"/>
  <c r="I212" i="24" a="1"/>
  <c r="I211" i="24" a="1"/>
  <c r="I211" i="24" s="1"/>
  <c r="I210" i="24"/>
  <c r="I210" i="24" a="1"/>
  <c r="I209" i="24" a="1"/>
  <c r="I209" i="24" s="1"/>
  <c r="I208" i="24"/>
  <c r="I208" i="24" a="1"/>
  <c r="I207" i="24" a="1"/>
  <c r="I207" i="24" s="1"/>
  <c r="I206" i="24"/>
  <c r="I206" i="24" a="1"/>
  <c r="I205" i="24" a="1"/>
  <c r="I205" i="24" s="1"/>
  <c r="I204" i="24"/>
  <c r="I204" i="24" a="1"/>
  <c r="I203" i="24" a="1"/>
  <c r="I203" i="24" s="1"/>
  <c r="I202" i="24"/>
  <c r="I202" i="24" a="1"/>
  <c r="I201" i="24" a="1"/>
  <c r="I201" i="24" s="1"/>
  <c r="I200" i="24"/>
  <c r="I200" i="24" a="1"/>
  <c r="I199" i="24" a="1"/>
  <c r="I199" i="24" s="1"/>
  <c r="I198" i="24"/>
  <c r="I198" i="24" a="1"/>
  <c r="I197" i="24" a="1"/>
  <c r="I197" i="24" s="1"/>
  <c r="I196" i="24"/>
  <c r="I196" i="24" a="1"/>
  <c r="I195" i="24" a="1"/>
  <c r="I195" i="24" s="1"/>
  <c r="I194" i="24"/>
  <c r="I194" i="24" a="1"/>
  <c r="I193" i="24" a="1"/>
  <c r="I193" i="24" s="1"/>
  <c r="I192" i="24"/>
  <c r="I192" i="24" a="1"/>
  <c r="I191" i="24" a="1"/>
  <c r="I191" i="24" s="1"/>
  <c r="I190" i="24"/>
  <c r="I190" i="24" a="1"/>
  <c r="I189" i="24" a="1"/>
  <c r="I189" i="24" s="1"/>
  <c r="I188" i="24"/>
  <c r="I188" i="24" a="1"/>
  <c r="I187" i="24" a="1"/>
  <c r="I187" i="24" s="1"/>
  <c r="I186" i="24"/>
  <c r="I186" i="24" a="1"/>
  <c r="I185" i="24" a="1"/>
  <c r="I185" i="24" s="1"/>
  <c r="I184" i="24"/>
  <c r="I184" i="24" a="1"/>
  <c r="I183" i="24" a="1"/>
  <c r="I183" i="24" s="1"/>
  <c r="I182" i="24"/>
  <c r="I182" i="24" a="1"/>
  <c r="I181" i="24" a="1"/>
  <c r="I181" i="24" s="1"/>
  <c r="I180" i="24"/>
  <c r="I180" i="24" a="1"/>
  <c r="I179" i="24" a="1"/>
  <c r="I179" i="24" s="1"/>
  <c r="I178" i="24"/>
  <c r="I178" i="24" a="1"/>
  <c r="I177" i="24" a="1"/>
  <c r="I177" i="24" s="1"/>
  <c r="I176" i="24"/>
  <c r="I176" i="24" a="1"/>
  <c r="I175" i="24" a="1"/>
  <c r="I175" i="24" s="1"/>
  <c r="I174" i="24"/>
  <c r="I174" i="24" a="1"/>
  <c r="I173" i="24" a="1"/>
  <c r="I173" i="24" s="1"/>
  <c r="I172" i="24"/>
  <c r="I172" i="24" a="1"/>
  <c r="I171" i="24" a="1"/>
  <c r="I171" i="24" s="1"/>
  <c r="I170" i="24"/>
  <c r="I170" i="24" a="1"/>
  <c r="I169" i="24" a="1"/>
  <c r="I169" i="24" s="1"/>
  <c r="I168" i="24"/>
  <c r="I168" i="24" a="1"/>
  <c r="I167" i="24" a="1"/>
  <c r="I167" i="24" s="1"/>
  <c r="I166" i="24"/>
  <c r="I166" i="24" a="1"/>
  <c r="I165" i="24" a="1"/>
  <c r="I165" i="24" s="1"/>
  <c r="I164" i="24"/>
  <c r="I164" i="24" a="1"/>
  <c r="I163" i="24" a="1"/>
  <c r="I163" i="24" s="1"/>
  <c r="I162" i="24"/>
  <c r="I162" i="24" a="1"/>
  <c r="I161" i="24" a="1"/>
  <c r="I161" i="24" s="1"/>
  <c r="I160" i="24"/>
  <c r="I160" i="24" a="1"/>
  <c r="I159" i="24" a="1"/>
  <c r="I159" i="24" s="1"/>
  <c r="I158" i="24"/>
  <c r="I158" i="24" a="1"/>
  <c r="I157" i="24" a="1"/>
  <c r="I157" i="24" s="1"/>
  <c r="I156" i="24"/>
  <c r="I156" i="24" a="1"/>
  <c r="I155" i="24" a="1"/>
  <c r="I155" i="24" s="1"/>
  <c r="I154" i="24"/>
  <c r="I154" i="24" a="1"/>
  <c r="I153" i="24" a="1"/>
  <c r="I153" i="24" s="1"/>
  <c r="I152" i="24"/>
  <c r="I152" i="24" a="1"/>
  <c r="I151" i="24" a="1"/>
  <c r="I151" i="24" s="1"/>
  <c r="I150" i="24"/>
  <c r="I150" i="24" a="1"/>
  <c r="I149" i="24" a="1"/>
  <c r="I149" i="24" s="1"/>
  <c r="I148" i="24"/>
  <c r="I148" i="24" a="1"/>
  <c r="I147" i="24" a="1"/>
  <c r="I147" i="24" s="1"/>
  <c r="I146" i="24"/>
  <c r="I146" i="24" a="1"/>
  <c r="I145" i="24" a="1"/>
  <c r="I145" i="24" s="1"/>
  <c r="I144" i="24"/>
  <c r="I144" i="24" a="1"/>
  <c r="I143" i="24" a="1"/>
  <c r="I143" i="24" s="1"/>
  <c r="I142" i="24"/>
  <c r="I142" i="24" a="1"/>
  <c r="I141" i="24" a="1"/>
  <c r="I141" i="24" s="1"/>
  <c r="I140" i="24"/>
  <c r="I140" i="24" a="1"/>
  <c r="I139" i="24" a="1"/>
  <c r="I139" i="24" s="1"/>
  <c r="I138" i="24"/>
  <c r="I138" i="24" a="1"/>
  <c r="I137" i="24" a="1"/>
  <c r="I137" i="24" s="1"/>
  <c r="I136" i="24"/>
  <c r="I136" i="24" a="1"/>
  <c r="I135" i="24" a="1"/>
  <c r="I135" i="24" s="1"/>
  <c r="I134" i="24"/>
  <c r="I134" i="24" a="1"/>
  <c r="I133" i="24" a="1"/>
  <c r="I133" i="24" s="1"/>
  <c r="I132" i="24"/>
  <c r="I132" i="24" a="1"/>
  <c r="I131" i="24" a="1"/>
  <c r="I131" i="24" s="1"/>
  <c r="I130" i="24"/>
  <c r="I130" i="24" a="1"/>
  <c r="I129" i="24" a="1"/>
  <c r="I129" i="24" s="1"/>
  <c r="I128" i="24"/>
  <c r="I128" i="24" a="1"/>
  <c r="I127" i="24" a="1"/>
  <c r="I127" i="24" s="1"/>
  <c r="I126" i="24"/>
  <c r="I126" i="24" a="1"/>
  <c r="I125" i="24" a="1"/>
  <c r="I125" i="24" s="1"/>
  <c r="I124" i="24"/>
  <c r="I124" i="24" a="1"/>
  <c r="I123" i="24" a="1"/>
  <c r="I123" i="24" s="1"/>
  <c r="I122" i="24"/>
  <c r="I122" i="24" a="1"/>
  <c r="I121" i="24" a="1"/>
  <c r="I121" i="24" s="1"/>
  <c r="I120" i="24"/>
  <c r="I120" i="24" a="1"/>
  <c r="I119" i="24" a="1"/>
  <c r="I119" i="24" s="1"/>
  <c r="I118" i="24"/>
  <c r="I118" i="24" a="1"/>
  <c r="I117" i="24" a="1"/>
  <c r="I117" i="24" s="1"/>
  <c r="I116" i="24"/>
  <c r="I116" i="24" a="1"/>
  <c r="I115" i="24" a="1"/>
  <c r="I115" i="24" s="1"/>
  <c r="I114" i="24"/>
  <c r="I114" i="24" a="1"/>
  <c r="I113" i="24" a="1"/>
  <c r="I113" i="24" s="1"/>
  <c r="I112" i="24"/>
  <c r="I112" i="24" a="1"/>
  <c r="I111" i="24" a="1"/>
  <c r="I111" i="24" s="1"/>
  <c r="I110" i="24"/>
  <c r="I110" i="24" a="1"/>
  <c r="I109" i="24" a="1"/>
  <c r="I109" i="24" s="1"/>
  <c r="I108" i="24"/>
  <c r="I108" i="24" a="1"/>
  <c r="I107" i="24" a="1"/>
  <c r="I107" i="24" s="1"/>
  <c r="I106" i="24"/>
  <c r="I106" i="24" a="1"/>
  <c r="I105" i="24" a="1"/>
  <c r="I105" i="24" s="1"/>
  <c r="I104" i="24"/>
  <c r="I104" i="24" a="1"/>
  <c r="I103" i="24" a="1"/>
  <c r="I103" i="24" s="1"/>
  <c r="I102" i="24"/>
  <c r="I102" i="24" a="1"/>
  <c r="I101" i="24" a="1"/>
  <c r="I101" i="24" s="1"/>
  <c r="I100" i="24"/>
  <c r="I100" i="24" a="1"/>
  <c r="I99" i="24" a="1"/>
  <c r="I99" i="24" s="1"/>
  <c r="I98" i="24"/>
  <c r="I98" i="24" a="1"/>
  <c r="I97" i="24" a="1"/>
  <c r="I97" i="24" s="1"/>
  <c r="I96" i="24"/>
  <c r="I96" i="24" a="1"/>
  <c r="I95" i="24" a="1"/>
  <c r="I95" i="24" s="1"/>
  <c r="I94" i="24"/>
  <c r="I94" i="24" a="1"/>
  <c r="I93" i="24" a="1"/>
  <c r="I93" i="24" s="1"/>
  <c r="I92" i="24"/>
  <c r="I92" i="24" a="1"/>
  <c r="I91" i="24" a="1"/>
  <c r="I91" i="24" s="1"/>
  <c r="I90" i="24"/>
  <c r="I90" i="24" a="1"/>
  <c r="I89" i="24" a="1"/>
  <c r="I89" i="24" s="1"/>
  <c r="I88" i="24"/>
  <c r="I88" i="24" a="1"/>
  <c r="I87" i="24" a="1"/>
  <c r="I87" i="24" s="1"/>
  <c r="I86" i="24"/>
  <c r="I86" i="24" a="1"/>
  <c r="I85" i="24" a="1"/>
  <c r="I85" i="24" s="1"/>
  <c r="I84" i="24"/>
  <c r="I84" i="24" a="1"/>
  <c r="I83" i="24" a="1"/>
  <c r="I83" i="24" s="1"/>
  <c r="I82" i="24"/>
  <c r="I82" i="24" a="1"/>
  <c r="I81" i="24" a="1"/>
  <c r="I81" i="24" s="1"/>
  <c r="I80" i="24"/>
  <c r="I80" i="24" a="1"/>
  <c r="I79" i="24" a="1"/>
  <c r="I79" i="24" s="1"/>
  <c r="I78" i="24"/>
  <c r="I78" i="24" a="1"/>
  <c r="I77" i="24" a="1"/>
  <c r="I77" i="24" s="1"/>
  <c r="I76" i="24"/>
  <c r="I76" i="24" a="1"/>
  <c r="I75" i="24" a="1"/>
  <c r="I75" i="24" s="1"/>
  <c r="I74" i="24"/>
  <c r="I74" i="24" a="1"/>
  <c r="I73" i="24" a="1"/>
  <c r="I73" i="24" s="1"/>
  <c r="I72" i="24"/>
  <c r="I72" i="24" a="1"/>
  <c r="I71" i="24" a="1"/>
  <c r="I71" i="24" s="1"/>
  <c r="I70" i="24"/>
  <c r="I70" i="24" a="1"/>
  <c r="I69" i="24" a="1"/>
  <c r="I69" i="24" s="1"/>
  <c r="I68" i="24"/>
  <c r="I68" i="24" a="1"/>
  <c r="I67" i="24" a="1"/>
  <c r="I67" i="24" s="1"/>
  <c r="I66" i="24"/>
  <c r="I66" i="24" a="1"/>
  <c r="I65" i="24" a="1"/>
  <c r="I65" i="24" s="1"/>
  <c r="I64" i="24" a="1"/>
  <c r="I64" i="24" s="1"/>
  <c r="I63" i="24" a="1"/>
  <c r="I63" i="24" s="1"/>
  <c r="I62" i="24"/>
  <c r="I62" i="24" a="1"/>
  <c r="I61" i="24" a="1"/>
  <c r="I61" i="24" s="1"/>
  <c r="I60" i="24" a="1"/>
  <c r="I60" i="24" s="1"/>
  <c r="I59" i="24" a="1"/>
  <c r="I59" i="24" s="1"/>
  <c r="I58" i="24"/>
  <c r="I58" i="24" a="1"/>
  <c r="I57" i="24" a="1"/>
  <c r="I57" i="24" s="1"/>
  <c r="I56" i="24" a="1"/>
  <c r="I56" i="24" s="1"/>
  <c r="I55" i="24" a="1"/>
  <c r="I55" i="24" s="1"/>
  <c r="I54" i="24"/>
  <c r="I54" i="24" a="1"/>
  <c r="I53" i="24" a="1"/>
  <c r="I53" i="24" s="1"/>
  <c r="I52" i="24" a="1"/>
  <c r="I52" i="24" s="1"/>
  <c r="I51" i="24" a="1"/>
  <c r="I51" i="24" s="1"/>
  <c r="I50" i="24"/>
  <c r="I50" i="24" a="1"/>
  <c r="I49" i="24" a="1"/>
  <c r="I49" i="24" s="1"/>
  <c r="I48" i="24" a="1"/>
  <c r="I48" i="24" s="1"/>
  <c r="I47" i="24" a="1"/>
  <c r="I47" i="24" s="1"/>
  <c r="I46" i="24"/>
  <c r="I46" i="24" a="1"/>
  <c r="I45" i="24" a="1"/>
  <c r="I45" i="24" s="1"/>
  <c r="I44" i="24" a="1"/>
  <c r="I44" i="24" s="1"/>
  <c r="I43" i="24" a="1"/>
  <c r="I43" i="24" s="1"/>
  <c r="I42" i="24"/>
  <c r="I42" i="24" a="1"/>
  <c r="I41" i="24" a="1"/>
  <c r="I41" i="24" s="1"/>
  <c r="I40" i="24" a="1"/>
  <c r="I40" i="24" s="1"/>
  <c r="I39" i="24" a="1"/>
  <c r="I39" i="24" s="1"/>
  <c r="I38" i="24"/>
  <c r="I38" i="24" a="1"/>
  <c r="I37" i="24" a="1"/>
  <c r="I37" i="24" s="1"/>
  <c r="I36" i="24" a="1"/>
  <c r="I36" i="24" s="1"/>
  <c r="I35" i="24" a="1"/>
  <c r="I35" i="24" s="1"/>
  <c r="I34" i="24"/>
  <c r="I34" i="24" a="1"/>
  <c r="I33" i="24" a="1"/>
  <c r="I33" i="24" s="1"/>
  <c r="I32" i="24" a="1"/>
  <c r="I32" i="24" s="1"/>
  <c r="I31" i="24" a="1"/>
  <c r="I31" i="24" s="1"/>
  <c r="I30" i="24"/>
  <c r="I30" i="24" a="1"/>
  <c r="I29" i="24" a="1"/>
  <c r="I29" i="24" s="1"/>
  <c r="I28" i="24" a="1"/>
  <c r="I28" i="24" s="1"/>
  <c r="I27" i="24" a="1"/>
  <c r="I27" i="24" s="1"/>
  <c r="I26" i="24"/>
  <c r="I26" i="24" a="1"/>
  <c r="I25" i="24" a="1"/>
  <c r="I25" i="24" s="1"/>
  <c r="I24" i="24" a="1"/>
  <c r="I24" i="24" s="1"/>
  <c r="I23" i="24" a="1"/>
  <c r="I23" i="24" s="1"/>
  <c r="D23" i="24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D59" i="24" s="1"/>
  <c r="D60" i="24" s="1"/>
  <c r="D61" i="24" s="1"/>
  <c r="D62" i="24" s="1"/>
  <c r="D63" i="24" s="1"/>
  <c r="D64" i="24" s="1"/>
  <c r="D65" i="24" s="1"/>
  <c r="D66" i="24" s="1"/>
  <c r="D67" i="24" s="1"/>
  <c r="D68" i="24" s="1"/>
  <c r="D69" i="24" s="1"/>
  <c r="D70" i="24" s="1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89" i="24" s="1"/>
  <c r="D90" i="24" s="1"/>
  <c r="D91" i="24" s="1"/>
  <c r="D92" i="24" s="1"/>
  <c r="D93" i="24" s="1"/>
  <c r="D94" i="24" s="1"/>
  <c r="D95" i="24" s="1"/>
  <c r="D96" i="24" s="1"/>
  <c r="D97" i="24" s="1"/>
  <c r="D98" i="24" s="1"/>
  <c r="D99" i="24" s="1"/>
  <c r="D100" i="24" s="1"/>
  <c r="D101" i="24" s="1"/>
  <c r="D102" i="24" s="1"/>
  <c r="D103" i="24" s="1"/>
  <c r="D104" i="24" s="1"/>
  <c r="D105" i="24" s="1"/>
  <c r="D106" i="24" s="1"/>
  <c r="D107" i="24" s="1"/>
  <c r="D108" i="24" s="1"/>
  <c r="D109" i="24" s="1"/>
  <c r="D110" i="24" s="1"/>
  <c r="D111" i="24" s="1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24" i="24" s="1"/>
  <c r="D125" i="24" s="1"/>
  <c r="D126" i="24" s="1"/>
  <c r="D127" i="24" s="1"/>
  <c r="D128" i="24" s="1"/>
  <c r="D129" i="24" s="1"/>
  <c r="D130" i="24" s="1"/>
  <c r="D131" i="24" s="1"/>
  <c r="D132" i="24" s="1"/>
  <c r="D133" i="24" s="1"/>
  <c r="D134" i="24" s="1"/>
  <c r="D135" i="24" s="1"/>
  <c r="D136" i="24" s="1"/>
  <c r="D137" i="24" s="1"/>
  <c r="D138" i="24" s="1"/>
  <c r="D139" i="24" s="1"/>
  <c r="D140" i="24" s="1"/>
  <c r="D141" i="24" s="1"/>
  <c r="D142" i="24" s="1"/>
  <c r="D143" i="24" s="1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D157" i="24" s="1"/>
  <c r="D158" i="24" s="1"/>
  <c r="D159" i="24" s="1"/>
  <c r="D160" i="24" s="1"/>
  <c r="D161" i="24" s="1"/>
  <c r="D162" i="24" s="1"/>
  <c r="D163" i="24" s="1"/>
  <c r="D164" i="24" s="1"/>
  <c r="D165" i="24" s="1"/>
  <c r="D166" i="24" s="1"/>
  <c r="D167" i="24" s="1"/>
  <c r="D168" i="24" s="1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D183" i="24" s="1"/>
  <c r="D184" i="24" s="1"/>
  <c r="D185" i="24" s="1"/>
  <c r="D186" i="24" s="1"/>
  <c r="D187" i="24" s="1"/>
  <c r="D188" i="24" s="1"/>
  <c r="D189" i="24" s="1"/>
  <c r="D190" i="24" s="1"/>
  <c r="D191" i="24" s="1"/>
  <c r="D192" i="24" s="1"/>
  <c r="D193" i="24" s="1"/>
  <c r="D194" i="24" s="1"/>
  <c r="D195" i="24" s="1"/>
  <c r="D196" i="24" s="1"/>
  <c r="D197" i="24" s="1"/>
  <c r="D198" i="24" s="1"/>
  <c r="D199" i="24" s="1"/>
  <c r="D200" i="24" s="1"/>
  <c r="D201" i="24" s="1"/>
  <c r="D202" i="24" s="1"/>
  <c r="D203" i="24" s="1"/>
  <c r="D204" i="24" s="1"/>
  <c r="D205" i="24" s="1"/>
  <c r="D206" i="24" s="1"/>
  <c r="D207" i="24" s="1"/>
  <c r="D208" i="24" s="1"/>
  <c r="D209" i="24" s="1"/>
  <c r="D210" i="24" s="1"/>
  <c r="D211" i="24" s="1"/>
  <c r="D212" i="24" s="1"/>
  <c r="D213" i="24" s="1"/>
  <c r="D214" i="24" s="1"/>
  <c r="D215" i="24" s="1"/>
  <c r="D216" i="24" s="1"/>
  <c r="D217" i="24" s="1"/>
  <c r="D218" i="24" s="1"/>
  <c r="D219" i="24" s="1"/>
  <c r="D220" i="24" s="1"/>
  <c r="D221" i="24" s="1"/>
  <c r="D222" i="24" s="1"/>
  <c r="D223" i="24" s="1"/>
  <c r="D224" i="24" s="1"/>
  <c r="D225" i="24" s="1"/>
  <c r="D226" i="24" s="1"/>
  <c r="D227" i="24" s="1"/>
  <c r="D228" i="24" s="1"/>
  <c r="D229" i="24" s="1"/>
  <c r="D230" i="24" s="1"/>
  <c r="D231" i="24" s="1"/>
  <c r="D232" i="24" s="1"/>
  <c r="D233" i="24" s="1"/>
  <c r="D234" i="24" s="1"/>
  <c r="D235" i="24" s="1"/>
  <c r="D236" i="24" s="1"/>
  <c r="D237" i="24" s="1"/>
  <c r="D238" i="24" s="1"/>
  <c r="D239" i="24" s="1"/>
  <c r="D240" i="24" s="1"/>
  <c r="D241" i="24" s="1"/>
  <c r="D242" i="24" s="1"/>
  <c r="D243" i="24" s="1"/>
  <c r="D244" i="24" s="1"/>
  <c r="D245" i="24" s="1"/>
  <c r="D246" i="24" s="1"/>
  <c r="D247" i="24" s="1"/>
  <c r="D248" i="24" s="1"/>
  <c r="D249" i="24" s="1"/>
  <c r="D250" i="24" s="1"/>
  <c r="D251" i="24" s="1"/>
  <c r="D252" i="24" s="1"/>
  <c r="D253" i="24" s="1"/>
  <c r="D254" i="24" s="1"/>
  <c r="D255" i="24" s="1"/>
  <c r="D256" i="24" s="1"/>
  <c r="D257" i="24" s="1"/>
  <c r="D258" i="24" s="1"/>
  <c r="D259" i="24" s="1"/>
  <c r="D260" i="24" s="1"/>
  <c r="D261" i="24" s="1"/>
  <c r="D262" i="24" s="1"/>
  <c r="D263" i="24" s="1"/>
  <c r="D264" i="24" s="1"/>
  <c r="D265" i="24" s="1"/>
  <c r="D266" i="24" s="1"/>
  <c r="D267" i="24" s="1"/>
  <c r="D268" i="24" s="1"/>
  <c r="D269" i="24" s="1"/>
  <c r="D270" i="24" s="1"/>
  <c r="D271" i="24" s="1"/>
  <c r="D272" i="24" s="1"/>
  <c r="D273" i="24" s="1"/>
  <c r="D274" i="24" s="1"/>
  <c r="D275" i="24" s="1"/>
  <c r="D276" i="24" s="1"/>
  <c r="D277" i="24" s="1"/>
  <c r="D278" i="24" s="1"/>
  <c r="D279" i="24" s="1"/>
  <c r="D280" i="24" s="1"/>
  <c r="D281" i="24" s="1"/>
  <c r="D282" i="24" s="1"/>
  <c r="D283" i="24" s="1"/>
  <c r="D284" i="24" s="1"/>
  <c r="D285" i="24" s="1"/>
  <c r="D286" i="24" s="1"/>
  <c r="D287" i="24" s="1"/>
  <c r="D288" i="24" s="1"/>
  <c r="D289" i="24" s="1"/>
  <c r="D290" i="24" s="1"/>
  <c r="D291" i="24" s="1"/>
  <c r="D292" i="24" s="1"/>
  <c r="D293" i="24" s="1"/>
  <c r="D294" i="24" s="1"/>
  <c r="D295" i="24" s="1"/>
  <c r="D296" i="24" s="1"/>
  <c r="D297" i="24" s="1"/>
  <c r="D298" i="24" s="1"/>
  <c r="D299" i="24" s="1"/>
  <c r="D300" i="24" s="1"/>
  <c r="D301" i="24" s="1"/>
  <c r="D302" i="24" s="1"/>
  <c r="D303" i="24" s="1"/>
  <c r="D304" i="24" s="1"/>
  <c r="D305" i="24" s="1"/>
  <c r="D306" i="24" s="1"/>
  <c r="D307" i="24" s="1"/>
  <c r="D308" i="24" s="1"/>
  <c r="D309" i="24" s="1"/>
  <c r="D310" i="24" s="1"/>
  <c r="D311" i="24" s="1"/>
  <c r="D312" i="24" s="1"/>
  <c r="D313" i="24" s="1"/>
  <c r="D314" i="24" s="1"/>
  <c r="D315" i="24" s="1"/>
  <c r="D316" i="24" s="1"/>
  <c r="D317" i="24" s="1"/>
  <c r="D318" i="24" s="1"/>
  <c r="D319" i="24" s="1"/>
  <c r="D320" i="24" s="1"/>
  <c r="D321" i="24" s="1"/>
  <c r="D322" i="24" s="1"/>
  <c r="D323" i="24" s="1"/>
  <c r="D324" i="24" s="1"/>
  <c r="D325" i="24" s="1"/>
  <c r="D326" i="24" s="1"/>
  <c r="D327" i="24" s="1"/>
  <c r="D328" i="24" s="1"/>
  <c r="D329" i="24" s="1"/>
  <c r="D330" i="24" s="1"/>
  <c r="D331" i="24" s="1"/>
  <c r="D332" i="24" s="1"/>
  <c r="D333" i="24" s="1"/>
  <c r="D334" i="24" s="1"/>
  <c r="D335" i="24" s="1"/>
  <c r="D336" i="24" s="1"/>
  <c r="D337" i="24" s="1"/>
  <c r="D338" i="24" s="1"/>
  <c r="D339" i="24" s="1"/>
  <c r="D340" i="24" s="1"/>
  <c r="D341" i="24" s="1"/>
  <c r="D342" i="24" s="1"/>
  <c r="D343" i="24" s="1"/>
  <c r="D344" i="24" s="1"/>
  <c r="D345" i="24" s="1"/>
  <c r="D346" i="24" s="1"/>
  <c r="D347" i="24" s="1"/>
  <c r="D348" i="24" s="1"/>
  <c r="D349" i="24" s="1"/>
  <c r="D350" i="24" s="1"/>
  <c r="D351" i="24" s="1"/>
  <c r="D352" i="24" s="1"/>
  <c r="D353" i="24" s="1"/>
  <c r="D354" i="24" s="1"/>
  <c r="D355" i="24" s="1"/>
  <c r="D356" i="24" s="1"/>
  <c r="D357" i="24" s="1"/>
  <c r="D358" i="24" s="1"/>
  <c r="D359" i="24" s="1"/>
  <c r="D360" i="24" s="1"/>
  <c r="D361" i="24" s="1"/>
  <c r="D362" i="24" s="1"/>
  <c r="D363" i="24" s="1"/>
  <c r="D364" i="24" s="1"/>
  <c r="D365" i="24" s="1"/>
  <c r="D366" i="24" s="1"/>
  <c r="D367" i="24" s="1"/>
  <c r="D368" i="24" s="1"/>
  <c r="D369" i="24" s="1"/>
  <c r="D370" i="24" s="1"/>
  <c r="D371" i="24" s="1"/>
  <c r="D372" i="24" s="1"/>
  <c r="D373" i="24" s="1"/>
  <c r="D374" i="24" s="1"/>
  <c r="D375" i="24" s="1"/>
  <c r="D376" i="24" s="1"/>
  <c r="D377" i="24" s="1"/>
  <c r="D378" i="24" s="1"/>
  <c r="D379" i="24" s="1"/>
  <c r="D380" i="24" s="1"/>
  <c r="D381" i="24" s="1"/>
  <c r="D382" i="24" s="1"/>
  <c r="D383" i="24" s="1"/>
  <c r="D384" i="24" s="1"/>
  <c r="D385" i="24" s="1"/>
  <c r="D386" i="24" s="1"/>
  <c r="D387" i="24" s="1"/>
  <c r="D388" i="24" s="1"/>
  <c r="D389" i="24" s="1"/>
  <c r="D390" i="24" s="1"/>
  <c r="D391" i="24" s="1"/>
  <c r="D392" i="24" s="1"/>
  <c r="D393" i="24" s="1"/>
  <c r="D394" i="24" s="1"/>
  <c r="D395" i="24" s="1"/>
  <c r="D396" i="24" s="1"/>
  <c r="D397" i="24" s="1"/>
  <c r="D398" i="24" s="1"/>
  <c r="D399" i="24" s="1"/>
  <c r="D400" i="24" s="1"/>
  <c r="D401" i="24" s="1"/>
  <c r="D402" i="24" s="1"/>
  <c r="D403" i="24" s="1"/>
  <c r="D404" i="24" s="1"/>
  <c r="D405" i="24" s="1"/>
  <c r="D406" i="24" s="1"/>
  <c r="D407" i="24" s="1"/>
  <c r="D408" i="24" s="1"/>
  <c r="D409" i="24" s="1"/>
  <c r="D410" i="24" s="1"/>
  <c r="D411" i="24" s="1"/>
  <c r="D412" i="24" s="1"/>
  <c r="D413" i="24" s="1"/>
  <c r="D414" i="24" s="1"/>
  <c r="D415" i="24" s="1"/>
  <c r="D416" i="24" s="1"/>
  <c r="D417" i="24" s="1"/>
  <c r="D418" i="24" s="1"/>
  <c r="D419" i="24" s="1"/>
  <c r="D420" i="24" s="1"/>
  <c r="D421" i="24" s="1"/>
  <c r="D422" i="24" s="1"/>
  <c r="D423" i="24" s="1"/>
  <c r="D424" i="24" s="1"/>
  <c r="D425" i="24" s="1"/>
  <c r="D426" i="24" s="1"/>
  <c r="D427" i="24" s="1"/>
  <c r="D428" i="24" s="1"/>
  <c r="D429" i="24" s="1"/>
  <c r="D430" i="24" s="1"/>
  <c r="D431" i="24" s="1"/>
  <c r="D432" i="24" s="1"/>
  <c r="D433" i="24" s="1"/>
  <c r="D434" i="24" s="1"/>
  <c r="D435" i="24" s="1"/>
  <c r="D436" i="24" s="1"/>
  <c r="D437" i="24" s="1"/>
  <c r="D438" i="24" s="1"/>
  <c r="D439" i="24" s="1"/>
  <c r="D440" i="24" s="1"/>
  <c r="D441" i="24" s="1"/>
  <c r="D442" i="24" s="1"/>
  <c r="D443" i="24" s="1"/>
  <c r="D444" i="24" s="1"/>
  <c r="D445" i="24" s="1"/>
  <c r="D446" i="24" s="1"/>
  <c r="D447" i="24" s="1"/>
  <c r="D448" i="24" s="1"/>
  <c r="D449" i="24" s="1"/>
  <c r="D450" i="24" s="1"/>
  <c r="D451" i="24" s="1"/>
  <c r="D452" i="24" s="1"/>
  <c r="D453" i="24" s="1"/>
  <c r="D454" i="24" s="1"/>
  <c r="D455" i="24" s="1"/>
  <c r="D456" i="24" s="1"/>
  <c r="D457" i="24" s="1"/>
  <c r="D458" i="24" s="1"/>
  <c r="D459" i="24" s="1"/>
  <c r="D460" i="24" s="1"/>
  <c r="D461" i="24" s="1"/>
  <c r="D462" i="24" s="1"/>
  <c r="D463" i="24" s="1"/>
  <c r="D464" i="24" s="1"/>
  <c r="D465" i="24" s="1"/>
  <c r="D466" i="24" s="1"/>
  <c r="D467" i="24" s="1"/>
  <c r="D468" i="24" s="1"/>
  <c r="D469" i="24" s="1"/>
  <c r="D470" i="24" s="1"/>
  <c r="D471" i="24" s="1"/>
  <c r="D472" i="24" s="1"/>
  <c r="D473" i="24" s="1"/>
  <c r="D474" i="24" s="1"/>
  <c r="D475" i="24" s="1"/>
  <c r="D476" i="24" s="1"/>
  <c r="D477" i="24" s="1"/>
  <c r="D478" i="24" s="1"/>
  <c r="D479" i="24" s="1"/>
  <c r="D480" i="24" s="1"/>
  <c r="D481" i="24" s="1"/>
  <c r="D482" i="24" s="1"/>
  <c r="D483" i="24" s="1"/>
  <c r="D484" i="24" s="1"/>
  <c r="D485" i="24" s="1"/>
  <c r="D486" i="24" s="1"/>
  <c r="D487" i="24" s="1"/>
  <c r="D488" i="24" s="1"/>
  <c r="D489" i="24" s="1"/>
  <c r="D490" i="24" s="1"/>
  <c r="D491" i="24" s="1"/>
  <c r="D492" i="24" s="1"/>
  <c r="D493" i="24" s="1"/>
  <c r="D494" i="24" s="1"/>
  <c r="D495" i="24" s="1"/>
  <c r="D496" i="24" s="1"/>
  <c r="D497" i="24" s="1"/>
  <c r="D498" i="24" s="1"/>
  <c r="D499" i="24" s="1"/>
  <c r="D500" i="24" s="1"/>
  <c r="D501" i="24" s="1"/>
  <c r="D502" i="24" s="1"/>
  <c r="D503" i="24" s="1"/>
  <c r="D504" i="24" s="1"/>
  <c r="D505" i="24" s="1"/>
  <c r="D506" i="24" s="1"/>
  <c r="D507" i="24" s="1"/>
  <c r="D508" i="24" s="1"/>
  <c r="D509" i="24" s="1"/>
  <c r="D510" i="24" s="1"/>
  <c r="D511" i="24" s="1"/>
  <c r="D512" i="24" s="1"/>
  <c r="D513" i="24" s="1"/>
  <c r="D514" i="24" s="1"/>
  <c r="D515" i="24" s="1"/>
  <c r="D516" i="24" s="1"/>
  <c r="D517" i="24" s="1"/>
  <c r="D518" i="24" s="1"/>
  <c r="D519" i="24" s="1"/>
  <c r="D520" i="24" s="1"/>
  <c r="D521" i="24" s="1"/>
  <c r="D522" i="24" s="1"/>
  <c r="D523" i="24" s="1"/>
  <c r="D524" i="24" s="1"/>
  <c r="D525" i="24" s="1"/>
  <c r="D526" i="24" s="1"/>
  <c r="D527" i="24" s="1"/>
  <c r="D528" i="24" s="1"/>
  <c r="D529" i="24" s="1"/>
  <c r="D530" i="24" s="1"/>
  <c r="D531" i="24" s="1"/>
  <c r="D532" i="24" s="1"/>
  <c r="D533" i="24" s="1"/>
  <c r="D534" i="24" s="1"/>
  <c r="D535" i="24" s="1"/>
  <c r="D536" i="24" s="1"/>
  <c r="D537" i="24" s="1"/>
  <c r="D538" i="24" s="1"/>
  <c r="D539" i="24" s="1"/>
  <c r="D540" i="24" s="1"/>
  <c r="D541" i="24" s="1"/>
  <c r="D542" i="24" s="1"/>
  <c r="D543" i="24" s="1"/>
  <c r="D544" i="24" s="1"/>
  <c r="D545" i="24" s="1"/>
  <c r="D546" i="24" s="1"/>
  <c r="D547" i="24" s="1"/>
  <c r="D548" i="24" s="1"/>
  <c r="D549" i="24" s="1"/>
  <c r="D550" i="24" s="1"/>
  <c r="D551" i="24" s="1"/>
  <c r="D552" i="24" s="1"/>
  <c r="D553" i="24" s="1"/>
  <c r="D554" i="24" s="1"/>
  <c r="D555" i="24" s="1"/>
  <c r="D556" i="24" s="1"/>
  <c r="D557" i="24" s="1"/>
  <c r="D558" i="24" s="1"/>
  <c r="D559" i="24" s="1"/>
  <c r="D560" i="24" s="1"/>
  <c r="D561" i="24" s="1"/>
  <c r="D562" i="24" s="1"/>
  <c r="D563" i="24" s="1"/>
  <c r="D564" i="24" s="1"/>
  <c r="D565" i="24" s="1"/>
  <c r="D566" i="24" s="1"/>
  <c r="D567" i="24" s="1"/>
  <c r="D568" i="24" s="1"/>
  <c r="D569" i="24" s="1"/>
  <c r="D570" i="24" s="1"/>
  <c r="D571" i="24" s="1"/>
  <c r="D572" i="24" s="1"/>
  <c r="D573" i="24" s="1"/>
  <c r="D574" i="24" s="1"/>
  <c r="D575" i="24" s="1"/>
  <c r="D576" i="24" s="1"/>
  <c r="D577" i="24" s="1"/>
  <c r="D578" i="24" s="1"/>
  <c r="D579" i="24" s="1"/>
  <c r="D580" i="24" s="1"/>
  <c r="D581" i="24" s="1"/>
  <c r="D582" i="24" s="1"/>
  <c r="D583" i="24" s="1"/>
  <c r="D584" i="24" s="1"/>
  <c r="D585" i="24" s="1"/>
  <c r="D586" i="24" s="1"/>
  <c r="D587" i="24" s="1"/>
  <c r="D588" i="24" s="1"/>
  <c r="D589" i="24" s="1"/>
  <c r="D590" i="24" s="1"/>
  <c r="D591" i="24" s="1"/>
  <c r="D592" i="24" s="1"/>
  <c r="D593" i="24" s="1"/>
  <c r="D594" i="24" s="1"/>
  <c r="D595" i="24" s="1"/>
  <c r="D596" i="24" s="1"/>
  <c r="D597" i="24" s="1"/>
  <c r="D598" i="24" s="1"/>
  <c r="D599" i="24" s="1"/>
  <c r="D600" i="24" s="1"/>
  <c r="D601" i="24" s="1"/>
  <c r="D602" i="24" s="1"/>
  <c r="D603" i="24" s="1"/>
  <c r="D604" i="24" s="1"/>
  <c r="D605" i="24" s="1"/>
  <c r="D606" i="24" s="1"/>
  <c r="D607" i="24" s="1"/>
  <c r="D608" i="24" s="1"/>
  <c r="D609" i="24" s="1"/>
  <c r="D610" i="24" s="1"/>
  <c r="D611" i="24" s="1"/>
  <c r="D612" i="24" s="1"/>
  <c r="D613" i="24" s="1"/>
  <c r="D614" i="24" s="1"/>
  <c r="D615" i="24" s="1"/>
  <c r="D616" i="24" s="1"/>
  <c r="D617" i="24" s="1"/>
  <c r="D618" i="24" s="1"/>
  <c r="D619" i="24" s="1"/>
  <c r="D620" i="24" s="1"/>
  <c r="D621" i="24" s="1"/>
  <c r="D622" i="24" s="1"/>
  <c r="D623" i="24" s="1"/>
  <c r="D624" i="24" s="1"/>
  <c r="D625" i="24" s="1"/>
  <c r="D626" i="24" s="1"/>
  <c r="D627" i="24" s="1"/>
  <c r="D628" i="24" s="1"/>
  <c r="D629" i="24" s="1"/>
  <c r="D630" i="24" s="1"/>
  <c r="D631" i="24" s="1"/>
  <c r="D632" i="24" s="1"/>
  <c r="D633" i="24" s="1"/>
  <c r="D634" i="24" s="1"/>
  <c r="D635" i="24" s="1"/>
  <c r="D636" i="24" s="1"/>
  <c r="D637" i="24" s="1"/>
  <c r="D638" i="24" s="1"/>
  <c r="D639" i="24" s="1"/>
  <c r="D640" i="24" s="1"/>
  <c r="D641" i="24" s="1"/>
  <c r="D642" i="24" s="1"/>
  <c r="D643" i="24" s="1"/>
  <c r="D644" i="24" s="1"/>
  <c r="D645" i="24" s="1"/>
  <c r="D646" i="24" s="1"/>
  <c r="D647" i="24" s="1"/>
  <c r="D648" i="24" s="1"/>
  <c r="D649" i="24" s="1"/>
  <c r="D650" i="24" s="1"/>
  <c r="D651" i="24" s="1"/>
  <c r="D652" i="24" s="1"/>
  <c r="D653" i="24" s="1"/>
  <c r="D654" i="24" s="1"/>
  <c r="D655" i="24" s="1"/>
  <c r="D656" i="24" s="1"/>
  <c r="D657" i="24" s="1"/>
  <c r="D658" i="24" s="1"/>
  <c r="D659" i="24" s="1"/>
  <c r="D660" i="24" s="1"/>
  <c r="D661" i="24" s="1"/>
  <c r="D662" i="24" s="1"/>
  <c r="D663" i="24" s="1"/>
  <c r="D664" i="24" s="1"/>
  <c r="D665" i="24" s="1"/>
  <c r="D666" i="24" s="1"/>
  <c r="D667" i="24" s="1"/>
  <c r="D668" i="24" s="1"/>
  <c r="D669" i="24" s="1"/>
  <c r="D670" i="24" s="1"/>
  <c r="D671" i="24" s="1"/>
  <c r="D672" i="24" s="1"/>
  <c r="D673" i="24" s="1"/>
  <c r="D674" i="24" s="1"/>
  <c r="D675" i="24" s="1"/>
  <c r="D676" i="24" s="1"/>
  <c r="D677" i="24" s="1"/>
  <c r="D678" i="24" s="1"/>
  <c r="D679" i="24" s="1"/>
  <c r="D680" i="24" s="1"/>
  <c r="D681" i="24" s="1"/>
  <c r="D682" i="24" s="1"/>
  <c r="D683" i="24" s="1"/>
  <c r="D684" i="24" s="1"/>
  <c r="D685" i="24" s="1"/>
  <c r="D686" i="24" s="1"/>
  <c r="D687" i="24" s="1"/>
  <c r="D688" i="24" s="1"/>
  <c r="D689" i="24" s="1"/>
  <c r="D690" i="24" s="1"/>
  <c r="D691" i="24" s="1"/>
  <c r="D692" i="24" s="1"/>
  <c r="D693" i="24" s="1"/>
  <c r="D694" i="24" s="1"/>
  <c r="D695" i="24" s="1"/>
  <c r="D696" i="24" s="1"/>
  <c r="D697" i="24" s="1"/>
  <c r="D698" i="24" s="1"/>
  <c r="D699" i="24" s="1"/>
  <c r="D700" i="24" s="1"/>
  <c r="D701" i="24" s="1"/>
  <c r="D702" i="24" s="1"/>
  <c r="D703" i="24" s="1"/>
  <c r="D704" i="24" s="1"/>
  <c r="D705" i="24" s="1"/>
  <c r="D706" i="24" s="1"/>
  <c r="D707" i="24" s="1"/>
  <c r="D708" i="24" s="1"/>
  <c r="D709" i="24" s="1"/>
  <c r="D710" i="24" s="1"/>
  <c r="D711" i="24" s="1"/>
  <c r="D712" i="24" s="1"/>
  <c r="D713" i="24" s="1"/>
  <c r="D714" i="24" s="1"/>
  <c r="D715" i="24" s="1"/>
  <c r="D716" i="24" s="1"/>
  <c r="D717" i="24" s="1"/>
  <c r="D718" i="24" s="1"/>
  <c r="D719" i="24" s="1"/>
  <c r="D720" i="24" s="1"/>
  <c r="D721" i="24" s="1"/>
  <c r="D722" i="24" s="1"/>
  <c r="D723" i="24" s="1"/>
  <c r="D724" i="24" s="1"/>
  <c r="D725" i="24" s="1"/>
  <c r="D726" i="24" s="1"/>
  <c r="D727" i="24" s="1"/>
  <c r="D728" i="24" s="1"/>
  <c r="D729" i="24" s="1"/>
  <c r="D730" i="24" s="1"/>
  <c r="D731" i="24" s="1"/>
  <c r="D732" i="24" s="1"/>
  <c r="D733" i="24" s="1"/>
  <c r="D734" i="24" s="1"/>
  <c r="D735" i="24" s="1"/>
  <c r="D736" i="24" s="1"/>
  <c r="D737" i="24" s="1"/>
  <c r="D738" i="24" s="1"/>
  <c r="D739" i="24" s="1"/>
  <c r="D740" i="24" s="1"/>
  <c r="D741" i="24" s="1"/>
  <c r="D742" i="24" s="1"/>
  <c r="D743" i="24" s="1"/>
  <c r="D744" i="24" s="1"/>
  <c r="D745" i="24" s="1"/>
  <c r="D746" i="24" s="1"/>
  <c r="D747" i="24" s="1"/>
  <c r="D748" i="24" s="1"/>
  <c r="D749" i="24" s="1"/>
  <c r="D750" i="24" s="1"/>
  <c r="D751" i="24" s="1"/>
  <c r="D752" i="24" s="1"/>
  <c r="D753" i="24" s="1"/>
  <c r="D754" i="24" s="1"/>
  <c r="D755" i="24" s="1"/>
  <c r="D756" i="24" s="1"/>
  <c r="D757" i="24" s="1"/>
  <c r="D758" i="24" s="1"/>
  <c r="D759" i="24" s="1"/>
  <c r="D760" i="24" s="1"/>
  <c r="D761" i="24" s="1"/>
  <c r="D762" i="24" s="1"/>
  <c r="D763" i="24" s="1"/>
  <c r="D764" i="24" s="1"/>
  <c r="D765" i="24" s="1"/>
  <c r="D766" i="24" s="1"/>
  <c r="D767" i="24" s="1"/>
  <c r="D768" i="24" s="1"/>
  <c r="D769" i="24" s="1"/>
  <c r="D770" i="24" s="1"/>
  <c r="D771" i="24" s="1"/>
  <c r="D772" i="24" s="1"/>
  <c r="D773" i="24" s="1"/>
  <c r="D774" i="24" s="1"/>
  <c r="D775" i="24" s="1"/>
  <c r="D776" i="24" s="1"/>
  <c r="D777" i="24" s="1"/>
  <c r="D778" i="24" s="1"/>
  <c r="D779" i="24" s="1"/>
  <c r="D780" i="24" s="1"/>
  <c r="D781" i="24" s="1"/>
  <c r="D782" i="24" s="1"/>
  <c r="D783" i="24" s="1"/>
  <c r="D784" i="24" s="1"/>
  <c r="D785" i="24" s="1"/>
  <c r="D786" i="24" s="1"/>
  <c r="D787" i="24" s="1"/>
  <c r="D788" i="24" s="1"/>
  <c r="D789" i="24" s="1"/>
  <c r="D790" i="24" s="1"/>
  <c r="D791" i="24" s="1"/>
  <c r="D792" i="24" s="1"/>
  <c r="D793" i="24" s="1"/>
  <c r="D794" i="24" s="1"/>
  <c r="D795" i="24" s="1"/>
  <c r="D796" i="24" s="1"/>
  <c r="D797" i="24" s="1"/>
  <c r="D798" i="24" s="1"/>
  <c r="D799" i="24" s="1"/>
  <c r="D800" i="24" s="1"/>
  <c r="D801" i="24" s="1"/>
  <c r="D802" i="24" s="1"/>
  <c r="D803" i="24" s="1"/>
  <c r="D804" i="24" s="1"/>
  <c r="D805" i="24" s="1"/>
  <c r="D806" i="24" s="1"/>
  <c r="D807" i="24" s="1"/>
  <c r="D808" i="24" s="1"/>
  <c r="D809" i="24" s="1"/>
  <c r="D810" i="24" s="1"/>
  <c r="D811" i="24" s="1"/>
  <c r="D812" i="24" s="1"/>
  <c r="D813" i="24" s="1"/>
  <c r="D814" i="24" s="1"/>
  <c r="D815" i="24" s="1"/>
  <c r="D816" i="24" s="1"/>
  <c r="D817" i="24" s="1"/>
  <c r="D818" i="24" s="1"/>
  <c r="D819" i="24" s="1"/>
  <c r="D820" i="24" s="1"/>
  <c r="D821" i="24" s="1"/>
  <c r="D822" i="24" s="1"/>
  <c r="D823" i="24" s="1"/>
  <c r="D824" i="24" s="1"/>
  <c r="D825" i="24" s="1"/>
  <c r="D826" i="24" s="1"/>
  <c r="D827" i="24" s="1"/>
  <c r="D828" i="24" s="1"/>
  <c r="D829" i="24" s="1"/>
  <c r="D830" i="24" s="1"/>
  <c r="D831" i="24" s="1"/>
  <c r="D832" i="24" s="1"/>
  <c r="D833" i="24" s="1"/>
  <c r="D834" i="24" s="1"/>
  <c r="D835" i="24" s="1"/>
  <c r="D836" i="24" s="1"/>
  <c r="D837" i="24" s="1"/>
  <c r="D838" i="24" s="1"/>
  <c r="D839" i="24" s="1"/>
  <c r="D840" i="24" s="1"/>
  <c r="D841" i="24" s="1"/>
  <c r="D842" i="24" s="1"/>
  <c r="D843" i="24" s="1"/>
  <c r="D844" i="24" s="1"/>
  <c r="D845" i="24" s="1"/>
  <c r="D846" i="24" s="1"/>
  <c r="D847" i="24" s="1"/>
  <c r="D848" i="24" s="1"/>
  <c r="D849" i="24" s="1"/>
  <c r="D850" i="24" s="1"/>
  <c r="D851" i="24" s="1"/>
  <c r="D852" i="24" s="1"/>
  <c r="D853" i="24" s="1"/>
  <c r="D854" i="24" s="1"/>
  <c r="D855" i="24" s="1"/>
  <c r="D856" i="24" s="1"/>
  <c r="D857" i="24" s="1"/>
  <c r="D858" i="24" s="1"/>
  <c r="D859" i="24" s="1"/>
  <c r="D860" i="24" s="1"/>
  <c r="D861" i="24" s="1"/>
  <c r="D862" i="24" s="1"/>
  <c r="D863" i="24" s="1"/>
  <c r="D864" i="24" s="1"/>
  <c r="D865" i="24" s="1"/>
  <c r="D866" i="24" s="1"/>
  <c r="D867" i="24" s="1"/>
  <c r="D868" i="24" s="1"/>
  <c r="D869" i="24" s="1"/>
  <c r="D870" i="24" s="1"/>
  <c r="D871" i="24" s="1"/>
  <c r="D872" i="24" s="1"/>
  <c r="D873" i="24" s="1"/>
  <c r="D874" i="24" s="1"/>
  <c r="D875" i="24" s="1"/>
  <c r="D876" i="24" s="1"/>
  <c r="D877" i="24" s="1"/>
  <c r="D878" i="24" s="1"/>
  <c r="D879" i="24" s="1"/>
  <c r="D880" i="24" s="1"/>
  <c r="D881" i="24" s="1"/>
  <c r="D882" i="24" s="1"/>
  <c r="D883" i="24" s="1"/>
  <c r="D884" i="24" s="1"/>
  <c r="D885" i="24" s="1"/>
  <c r="D886" i="24" s="1"/>
  <c r="D887" i="24" s="1"/>
  <c r="D888" i="24" s="1"/>
  <c r="D889" i="24" s="1"/>
  <c r="D890" i="24" s="1"/>
  <c r="D891" i="24" s="1"/>
  <c r="D892" i="24" s="1"/>
  <c r="D893" i="24" s="1"/>
  <c r="D894" i="24" s="1"/>
  <c r="D895" i="24" s="1"/>
  <c r="D896" i="24" s="1"/>
  <c r="D897" i="24" s="1"/>
  <c r="D898" i="24" s="1"/>
  <c r="D899" i="24" s="1"/>
  <c r="D900" i="24" s="1"/>
  <c r="D901" i="24" s="1"/>
  <c r="D902" i="24" s="1"/>
  <c r="D903" i="24" s="1"/>
  <c r="D904" i="24" s="1"/>
  <c r="D905" i="24" s="1"/>
  <c r="D906" i="24" s="1"/>
  <c r="D907" i="24" s="1"/>
  <c r="D908" i="24" s="1"/>
  <c r="D909" i="24" s="1"/>
  <c r="D910" i="24" s="1"/>
  <c r="D911" i="24" s="1"/>
  <c r="D912" i="24" s="1"/>
  <c r="D913" i="24" s="1"/>
  <c r="D914" i="24" s="1"/>
  <c r="D915" i="24" s="1"/>
  <c r="D916" i="24" s="1"/>
  <c r="D917" i="24" s="1"/>
  <c r="D918" i="24" s="1"/>
  <c r="D919" i="24" s="1"/>
  <c r="D920" i="24" s="1"/>
  <c r="D921" i="24" s="1"/>
  <c r="D922" i="24" s="1"/>
  <c r="D923" i="24" s="1"/>
  <c r="D924" i="24" s="1"/>
  <c r="D925" i="24" s="1"/>
  <c r="D926" i="24" s="1"/>
  <c r="D927" i="24" s="1"/>
  <c r="D928" i="24" s="1"/>
  <c r="D929" i="24" s="1"/>
  <c r="D930" i="24" s="1"/>
  <c r="D931" i="24" s="1"/>
  <c r="D932" i="24" s="1"/>
  <c r="D933" i="24" s="1"/>
  <c r="D934" i="24" s="1"/>
  <c r="D935" i="24" s="1"/>
  <c r="D936" i="24" s="1"/>
  <c r="D937" i="24" s="1"/>
  <c r="D938" i="24" s="1"/>
  <c r="D939" i="24" s="1"/>
  <c r="D940" i="24" s="1"/>
  <c r="D941" i="24" s="1"/>
  <c r="D942" i="24" s="1"/>
  <c r="D943" i="24" s="1"/>
  <c r="D944" i="24" s="1"/>
  <c r="D945" i="24" s="1"/>
  <c r="D946" i="24" s="1"/>
  <c r="D947" i="24" s="1"/>
  <c r="D948" i="24" s="1"/>
  <c r="D949" i="24" s="1"/>
  <c r="D950" i="24" s="1"/>
  <c r="D951" i="24" s="1"/>
  <c r="D952" i="24" s="1"/>
  <c r="D953" i="24" s="1"/>
  <c r="D954" i="24" s="1"/>
  <c r="D955" i="24" s="1"/>
  <c r="D956" i="24" s="1"/>
  <c r="D957" i="24" s="1"/>
  <c r="D958" i="24" s="1"/>
  <c r="D959" i="24" s="1"/>
  <c r="D960" i="24" s="1"/>
  <c r="D961" i="24" s="1"/>
  <c r="D962" i="24" s="1"/>
  <c r="D963" i="24" s="1"/>
  <c r="D964" i="24" s="1"/>
  <c r="D965" i="24" s="1"/>
  <c r="D966" i="24" s="1"/>
  <c r="D967" i="24" s="1"/>
  <c r="D968" i="24" s="1"/>
  <c r="D969" i="24" s="1"/>
  <c r="D970" i="24" s="1"/>
  <c r="D971" i="24" s="1"/>
  <c r="D972" i="24" s="1"/>
  <c r="D973" i="24" s="1"/>
  <c r="D974" i="24" s="1"/>
  <c r="D975" i="24" s="1"/>
  <c r="D976" i="24" s="1"/>
  <c r="D977" i="24" s="1"/>
  <c r="D978" i="24" s="1"/>
  <c r="D979" i="24" s="1"/>
  <c r="D980" i="24" s="1"/>
  <c r="D981" i="24" s="1"/>
  <c r="D982" i="24" s="1"/>
  <c r="D983" i="24" s="1"/>
  <c r="D984" i="24" s="1"/>
  <c r="D985" i="24" s="1"/>
  <c r="D986" i="24" s="1"/>
  <c r="D987" i="24" s="1"/>
  <c r="D988" i="24" s="1"/>
  <c r="D989" i="24" s="1"/>
  <c r="D990" i="24" s="1"/>
  <c r="D991" i="24" s="1"/>
  <c r="D992" i="24" s="1"/>
  <c r="D993" i="24" s="1"/>
  <c r="D994" i="24" s="1"/>
  <c r="D995" i="24" s="1"/>
  <c r="D996" i="24" s="1"/>
  <c r="D997" i="24" s="1"/>
  <c r="D998" i="24" s="1"/>
  <c r="D999" i="24" s="1"/>
  <c r="D1000" i="24" s="1"/>
  <c r="D1001" i="24" s="1"/>
  <c r="D1002" i="24" s="1"/>
  <c r="D1003" i="24" s="1"/>
  <c r="D1004" i="24" s="1"/>
  <c r="D1005" i="24" s="1"/>
  <c r="D1006" i="24" s="1"/>
  <c r="D1007" i="24" s="1"/>
  <c r="D1008" i="24" s="1"/>
  <c r="D1009" i="24" s="1"/>
  <c r="D1010" i="24" s="1"/>
  <c r="D1011" i="24" s="1"/>
  <c r="D1012" i="24" s="1"/>
  <c r="D1013" i="24" s="1"/>
  <c r="D1014" i="24" s="1"/>
  <c r="D1015" i="24" s="1"/>
  <c r="D1016" i="24" s="1"/>
  <c r="D1017" i="24" s="1"/>
  <c r="D1018" i="24" s="1"/>
  <c r="D1019" i="24" s="1"/>
  <c r="D1020" i="24" s="1"/>
  <c r="D1021" i="24" s="1"/>
  <c r="I22" i="24"/>
  <c r="I22" i="24" a="1"/>
  <c r="J5" i="12"/>
  <c r="F87" i="1"/>
  <c r="F85" i="1"/>
  <c r="F84" i="1"/>
  <c r="F83" i="1"/>
  <c r="KJ78" i="1" a="1"/>
  <c r="KJ78" i="1" s="1"/>
  <c r="JU78" i="1" a="1"/>
  <c r="JU78" i="1" s="1"/>
  <c r="GX78" i="1" a="1"/>
  <c r="GX78" i="1" s="1"/>
  <c r="FR78" i="1"/>
  <c r="BQ78" i="1"/>
  <c r="AS78" i="1"/>
  <c r="AN78" i="1"/>
  <c r="AO78" i="1" s="1" a="1"/>
  <c r="AO78" i="1" s="1"/>
  <c r="AL78" i="1"/>
  <c r="AE78" i="1"/>
  <c r="ID78" i="1" s="1"/>
  <c r="AC78" i="1"/>
  <c r="AB78" i="1"/>
  <c r="AA78" i="1"/>
  <c r="Z78" i="1"/>
  <c r="Y78" i="1"/>
  <c r="X78" i="1"/>
  <c r="W78" i="1"/>
  <c r="O78" i="1"/>
  <c r="L78" i="1"/>
  <c r="AI78" i="1" s="1"/>
  <c r="J78" i="1"/>
  <c r="AG78" i="1" s="1"/>
  <c r="C78" i="1"/>
  <c r="KK77" i="1" a="1"/>
  <c r="KK77" i="1" s="1"/>
  <c r="KC77" i="1" a="1"/>
  <c r="KC77" i="1" s="1"/>
  <c r="JY77" i="1" a="1"/>
  <c r="JY77" i="1" s="1"/>
  <c r="JT77" i="1" a="1"/>
  <c r="JT77" i="1" s="1"/>
  <c r="JQ77" i="1" a="1"/>
  <c r="JQ77" i="1" s="1"/>
  <c r="JL77" i="1" a="1"/>
  <c r="JL77" i="1" s="1"/>
  <c r="JI77" i="1" a="1"/>
  <c r="JI77" i="1" s="1"/>
  <c r="JC77" i="1" a="1"/>
  <c r="JC77" i="1" s="1"/>
  <c r="HA77" i="1" a="1"/>
  <c r="HA77" i="1" s="1"/>
  <c r="GY77" i="1" a="1"/>
  <c r="GY77" i="1" s="1"/>
  <c r="GW77" i="1" a="1"/>
  <c r="GW77" i="1" s="1"/>
  <c r="FP77" i="1"/>
  <c r="AS77" i="1"/>
  <c r="AO77" i="1"/>
  <c r="ADK77" i="1" s="1" a="1"/>
  <c r="ADK77" i="1" s="1"/>
  <c r="AN77" i="1"/>
  <c r="AO77" i="1" s="1" a="1"/>
  <c r="AL77" i="1"/>
  <c r="AE77" i="1"/>
  <c r="ID77" i="1" s="1"/>
  <c r="AC77" i="1"/>
  <c r="AB77" i="1"/>
  <c r="AA77" i="1"/>
  <c r="Z77" i="1"/>
  <c r="Y77" i="1"/>
  <c r="X77" i="1"/>
  <c r="W77" i="1"/>
  <c r="O77" i="1"/>
  <c r="L77" i="1"/>
  <c r="AI77" i="1" s="1"/>
  <c r="FR77" i="1" s="1"/>
  <c r="J77" i="1"/>
  <c r="AG77" i="1" s="1"/>
  <c r="BO77" i="1" s="1"/>
  <c r="C77" i="1"/>
  <c r="KL76" i="1" a="1"/>
  <c r="KL76" i="1" s="1"/>
  <c r="KK76" i="1" a="1"/>
  <c r="KK76" i="1" s="1"/>
  <c r="KI76" i="1" a="1"/>
  <c r="KI76" i="1" s="1"/>
  <c r="KH76" i="1"/>
  <c r="KH76" i="1" a="1"/>
  <c r="KC76" i="1"/>
  <c r="KC76" i="1" a="1"/>
  <c r="KA76" i="1" a="1"/>
  <c r="KA76" i="1" s="1"/>
  <c r="JZ76" i="1" a="1"/>
  <c r="JZ76" i="1" s="1"/>
  <c r="JY76" i="1" a="1"/>
  <c r="JY76" i="1" s="1"/>
  <c r="JW76" i="1" a="1"/>
  <c r="JW76" i="1" s="1"/>
  <c r="JV76" i="1"/>
  <c r="JV76" i="1" a="1"/>
  <c r="JT76" i="1"/>
  <c r="JT76" i="1" a="1"/>
  <c r="JS76" i="1" a="1"/>
  <c r="JS76" i="1" s="1"/>
  <c r="JR76" i="1" a="1"/>
  <c r="JR76" i="1" s="1"/>
  <c r="JQ76" i="1" a="1"/>
  <c r="JQ76" i="1" s="1"/>
  <c r="JO76" i="1" a="1"/>
  <c r="JO76" i="1" s="1"/>
  <c r="JN76" i="1"/>
  <c r="JN76" i="1" a="1"/>
  <c r="JL76" i="1"/>
  <c r="JL76" i="1" a="1"/>
  <c r="JK76" i="1" a="1"/>
  <c r="JK76" i="1" s="1"/>
  <c r="JJ76" i="1" a="1"/>
  <c r="JJ76" i="1" s="1"/>
  <c r="JI76" i="1" a="1"/>
  <c r="JI76" i="1" s="1"/>
  <c r="JG76" i="1" a="1"/>
  <c r="JG76" i="1" s="1"/>
  <c r="JF76" i="1"/>
  <c r="JF76" i="1" a="1"/>
  <c r="JC76" i="1"/>
  <c r="JC76" i="1" a="1"/>
  <c r="JB76" i="1" a="1"/>
  <c r="JB76" i="1" s="1"/>
  <c r="JA76" i="1" a="1"/>
  <c r="JA76" i="1" s="1"/>
  <c r="IW76" i="1" s="1"/>
  <c r="IX76" i="1"/>
  <c r="HD76" i="1" a="1"/>
  <c r="HD76" i="1" s="1"/>
  <c r="GZ76" i="1"/>
  <c r="GZ76" i="1" a="1"/>
  <c r="GX76" i="1" a="1"/>
  <c r="GX76" i="1" s="1"/>
  <c r="GV76" i="1" a="1"/>
  <c r="GV76" i="1" s="1"/>
  <c r="FR76" i="1"/>
  <c r="AS76" i="1"/>
  <c r="AN76" i="1"/>
  <c r="AO76" i="1" s="1" a="1"/>
  <c r="AO76" i="1" s="1"/>
  <c r="AI76" i="1"/>
  <c r="BQ76" i="1" s="1"/>
  <c r="AE76" i="1"/>
  <c r="ID76" i="1" s="1"/>
  <c r="AC76" i="1"/>
  <c r="AB76" i="1"/>
  <c r="AA76" i="1"/>
  <c r="Z76" i="1"/>
  <c r="Y76" i="1"/>
  <c r="X76" i="1"/>
  <c r="W76" i="1"/>
  <c r="O76" i="1"/>
  <c r="AL76" i="1" s="1"/>
  <c r="L76" i="1"/>
  <c r="J76" i="1"/>
  <c r="AG76" i="1" s="1"/>
  <c r="C76" i="1"/>
  <c r="IE75" i="1"/>
  <c r="HB75" i="1" a="1"/>
  <c r="HB75" i="1" s="1"/>
  <c r="FR75" i="1"/>
  <c r="BO75" i="1"/>
  <c r="AS75" i="1"/>
  <c r="AN75" i="1"/>
  <c r="AI75" i="1"/>
  <c r="BQ75" i="1" s="1"/>
  <c r="AE75" i="1"/>
  <c r="ID75" i="1" s="1"/>
  <c r="AC75" i="1"/>
  <c r="AB75" i="1"/>
  <c r="AA75" i="1"/>
  <c r="Z75" i="1"/>
  <c r="Y75" i="1"/>
  <c r="X75" i="1"/>
  <c r="W75" i="1"/>
  <c r="O75" i="1"/>
  <c r="AL75" i="1" s="1"/>
  <c r="L75" i="1"/>
  <c r="J75" i="1"/>
  <c r="AG75" i="1" s="1"/>
  <c r="FP75" i="1" s="1"/>
  <c r="C75" i="1"/>
  <c r="SS74" i="1" a="1"/>
  <c r="SS74" i="1" s="1"/>
  <c r="OB74" i="1" a="1"/>
  <c r="OB74" i="1" s="1"/>
  <c r="NT74" i="1" a="1"/>
  <c r="NT74" i="1" s="1"/>
  <c r="NL74" i="1" a="1"/>
  <c r="NL74" i="1" s="1"/>
  <c r="KL74" i="1" a="1"/>
  <c r="KL74" i="1" s="1"/>
  <c r="KK74" i="1" a="1"/>
  <c r="KK74" i="1" s="1"/>
  <c r="KJ74" i="1" a="1"/>
  <c r="KJ74" i="1" s="1"/>
  <c r="KI74" i="1" a="1"/>
  <c r="KI74" i="1" s="1"/>
  <c r="KH74" i="1" a="1"/>
  <c r="KH74" i="1" s="1"/>
  <c r="KD74" i="1" a="1"/>
  <c r="KD74" i="1" s="1"/>
  <c r="KC74" i="1" a="1"/>
  <c r="KC74" i="1" s="1"/>
  <c r="KA74" i="1" a="1"/>
  <c r="KA74" i="1" s="1"/>
  <c r="JZ74" i="1" a="1"/>
  <c r="JZ74" i="1" s="1"/>
  <c r="JY74" i="1" a="1"/>
  <c r="JY74" i="1" s="1"/>
  <c r="JX74" i="1" a="1"/>
  <c r="JX74" i="1" s="1"/>
  <c r="JW74" i="1" a="1"/>
  <c r="JW74" i="1" s="1"/>
  <c r="JV74" i="1" a="1"/>
  <c r="JV74" i="1" s="1"/>
  <c r="JU74" i="1" a="1"/>
  <c r="JU74" i="1" s="1"/>
  <c r="JT74" i="1" a="1"/>
  <c r="JT74" i="1" s="1"/>
  <c r="JS74" i="1" a="1"/>
  <c r="JS74" i="1" s="1"/>
  <c r="JR74" i="1" a="1"/>
  <c r="JR74" i="1" s="1"/>
  <c r="JQ74" i="1" a="1"/>
  <c r="JQ74" i="1" s="1"/>
  <c r="JP74" i="1" a="1"/>
  <c r="JP74" i="1" s="1"/>
  <c r="JO74" i="1" a="1"/>
  <c r="JO74" i="1" s="1"/>
  <c r="JN74" i="1" a="1"/>
  <c r="JN74" i="1" s="1"/>
  <c r="JM74" i="1" a="1"/>
  <c r="JM74" i="1" s="1"/>
  <c r="JL74" i="1" a="1"/>
  <c r="JL74" i="1" s="1"/>
  <c r="JK74" i="1" a="1"/>
  <c r="JK74" i="1" s="1"/>
  <c r="JJ74" i="1" a="1"/>
  <c r="JJ74" i="1" s="1"/>
  <c r="JI74" i="1" a="1"/>
  <c r="JI74" i="1" s="1"/>
  <c r="JH74" i="1" a="1"/>
  <c r="JH74" i="1" s="1"/>
  <c r="JG74" i="1" a="1"/>
  <c r="JG74" i="1" s="1"/>
  <c r="JF74" i="1" a="1"/>
  <c r="JF74" i="1" s="1"/>
  <c r="JD74" i="1" a="1"/>
  <c r="JD74" i="1" s="1"/>
  <c r="JC74" i="1" a="1"/>
  <c r="JC74" i="1" s="1"/>
  <c r="JB74" i="1" a="1"/>
  <c r="JB74" i="1" s="1"/>
  <c r="JA74" i="1" a="1"/>
  <c r="JA74" i="1" s="1"/>
  <c r="IY74" i="1" s="1"/>
  <c r="IX74" i="1"/>
  <c r="IV74" i="1"/>
  <c r="HC74" i="1"/>
  <c r="HC74" i="1" a="1"/>
  <c r="HA74" i="1"/>
  <c r="HA74" i="1" a="1"/>
  <c r="GY74" i="1"/>
  <c r="GY74" i="1" a="1"/>
  <c r="GW74" i="1"/>
  <c r="GW74" i="1" a="1"/>
  <c r="AS74" i="1"/>
  <c r="AR74" i="1" a="1"/>
  <c r="AR74" i="1" s="1"/>
  <c r="AQ74" i="1" a="1"/>
  <c r="AQ74" i="1" s="1"/>
  <c r="AKB74" i="1" s="1" a="1"/>
  <c r="AKB74" i="1" s="1"/>
  <c r="AO74" i="1" a="1"/>
  <c r="AO74" i="1" s="1"/>
  <c r="ALF74" i="1" s="1" a="1"/>
  <c r="ALF74" i="1" s="1"/>
  <c r="AN74" i="1"/>
  <c r="AI74" i="1"/>
  <c r="AG74" i="1"/>
  <c r="AE74" i="1"/>
  <c r="ID74" i="1" s="1"/>
  <c r="AC74" i="1"/>
  <c r="AB74" i="1"/>
  <c r="AA74" i="1"/>
  <c r="Z74" i="1"/>
  <c r="Y74" i="1"/>
  <c r="X74" i="1"/>
  <c r="W74" i="1"/>
  <c r="O74" i="1"/>
  <c r="AL74" i="1" s="1"/>
  <c r="FU74" i="1" s="1"/>
  <c r="L74" i="1"/>
  <c r="J74" i="1"/>
  <c r="C74" i="1"/>
  <c r="KL73" i="1" a="1"/>
  <c r="KL73" i="1" s="1"/>
  <c r="KK73" i="1" a="1"/>
  <c r="KK73" i="1" s="1"/>
  <c r="KJ73" i="1" a="1"/>
  <c r="KJ73" i="1" s="1"/>
  <c r="KI73" i="1" a="1"/>
  <c r="KI73" i="1" s="1"/>
  <c r="KH73" i="1" a="1"/>
  <c r="KH73" i="1" s="1"/>
  <c r="KD73" i="1" a="1"/>
  <c r="KD73" i="1" s="1"/>
  <c r="KC73" i="1" a="1"/>
  <c r="KC73" i="1" s="1"/>
  <c r="KA73" i="1" a="1"/>
  <c r="KA73" i="1" s="1"/>
  <c r="JZ73" i="1" a="1"/>
  <c r="JZ73" i="1" s="1"/>
  <c r="JY73" i="1" a="1"/>
  <c r="JY73" i="1" s="1"/>
  <c r="JX73" i="1" a="1"/>
  <c r="JX73" i="1" s="1"/>
  <c r="JW73" i="1" a="1"/>
  <c r="JW73" i="1" s="1"/>
  <c r="JV73" i="1" a="1"/>
  <c r="JV73" i="1" s="1"/>
  <c r="JU73" i="1" a="1"/>
  <c r="JU73" i="1" s="1"/>
  <c r="JT73" i="1" a="1"/>
  <c r="JT73" i="1" s="1"/>
  <c r="JS73" i="1" a="1"/>
  <c r="JS73" i="1" s="1"/>
  <c r="JR73" i="1" a="1"/>
  <c r="JR73" i="1" s="1"/>
  <c r="JQ73" i="1" a="1"/>
  <c r="JQ73" i="1" s="1"/>
  <c r="JP73" i="1" a="1"/>
  <c r="JP73" i="1" s="1"/>
  <c r="JO73" i="1" a="1"/>
  <c r="JO73" i="1" s="1"/>
  <c r="JN73" i="1" a="1"/>
  <c r="JN73" i="1" s="1"/>
  <c r="JM73" i="1" a="1"/>
  <c r="JM73" i="1" s="1"/>
  <c r="JL73" i="1" a="1"/>
  <c r="JL73" i="1" s="1"/>
  <c r="JK73" i="1" a="1"/>
  <c r="JK73" i="1" s="1"/>
  <c r="JJ73" i="1" a="1"/>
  <c r="JJ73" i="1" s="1"/>
  <c r="JI73" i="1" a="1"/>
  <c r="JI73" i="1" s="1"/>
  <c r="JH73" i="1" a="1"/>
  <c r="JH73" i="1" s="1"/>
  <c r="JG73" i="1" a="1"/>
  <c r="JG73" i="1" s="1"/>
  <c r="JF73" i="1" a="1"/>
  <c r="JF73" i="1" s="1"/>
  <c r="JD73" i="1" a="1"/>
  <c r="JD73" i="1" s="1"/>
  <c r="JC73" i="1" a="1"/>
  <c r="JC73" i="1" s="1"/>
  <c r="JB73" i="1" a="1"/>
  <c r="JB73" i="1" s="1"/>
  <c r="JA73" i="1" a="1"/>
  <c r="JA73" i="1" s="1"/>
  <c r="IX73" i="1" s="1"/>
  <c r="ID73" i="1"/>
  <c r="FU73" i="1"/>
  <c r="AS73" i="1"/>
  <c r="AO73" i="1" a="1"/>
  <c r="AO73" i="1" s="1"/>
  <c r="AN73" i="1"/>
  <c r="AI73" i="1"/>
  <c r="AE73" i="1"/>
  <c r="AC73" i="1"/>
  <c r="AB73" i="1"/>
  <c r="AA73" i="1"/>
  <c r="Z73" i="1"/>
  <c r="Y73" i="1"/>
  <c r="X73" i="1"/>
  <c r="W73" i="1"/>
  <c r="O73" i="1"/>
  <c r="AL73" i="1" s="1"/>
  <c r="BT73" i="1" s="1"/>
  <c r="L73" i="1"/>
  <c r="J73" i="1"/>
  <c r="AG73" i="1" s="1"/>
  <c r="C73" i="1"/>
  <c r="FP72" i="1"/>
  <c r="AS72" i="1"/>
  <c r="AN72" i="1"/>
  <c r="AL72" i="1"/>
  <c r="AE72" i="1"/>
  <c r="ID72" i="1" s="1"/>
  <c r="AC72" i="1"/>
  <c r="AB72" i="1"/>
  <c r="AA72" i="1"/>
  <c r="Z72" i="1"/>
  <c r="Y72" i="1"/>
  <c r="X72" i="1"/>
  <c r="W72" i="1"/>
  <c r="O72" i="1"/>
  <c r="L72" i="1"/>
  <c r="AI72" i="1" s="1"/>
  <c r="FR72" i="1" s="1"/>
  <c r="J72" i="1"/>
  <c r="AG72" i="1" s="1"/>
  <c r="BO72" i="1" s="1"/>
  <c r="C72" i="1"/>
  <c r="KL71" i="1" a="1"/>
  <c r="KL71" i="1" s="1"/>
  <c r="KK71" i="1" a="1"/>
  <c r="KK71" i="1" s="1"/>
  <c r="KJ71" i="1" a="1"/>
  <c r="KJ71" i="1" s="1"/>
  <c r="KI71" i="1"/>
  <c r="KI71" i="1" a="1"/>
  <c r="KH71" i="1" a="1"/>
  <c r="KH71" i="1" s="1"/>
  <c r="KD71" i="1" a="1"/>
  <c r="KD71" i="1" s="1"/>
  <c r="KC71" i="1" a="1"/>
  <c r="KC71" i="1" s="1"/>
  <c r="KA71" i="1"/>
  <c r="KA71" i="1" a="1"/>
  <c r="JZ71" i="1" a="1"/>
  <c r="JZ71" i="1" s="1"/>
  <c r="JY71" i="1" a="1"/>
  <c r="JY71" i="1" s="1"/>
  <c r="JX71" i="1" a="1"/>
  <c r="JX71" i="1" s="1"/>
  <c r="JW71" i="1"/>
  <c r="JW71" i="1" a="1"/>
  <c r="JV71" i="1" a="1"/>
  <c r="JV71" i="1" s="1"/>
  <c r="JU71" i="1" a="1"/>
  <c r="JU71" i="1" s="1"/>
  <c r="JT71" i="1" a="1"/>
  <c r="JT71" i="1" s="1"/>
  <c r="JS71" i="1"/>
  <c r="JS71" i="1" a="1"/>
  <c r="JR71" i="1" a="1"/>
  <c r="JR71" i="1" s="1"/>
  <c r="JQ71" i="1" a="1"/>
  <c r="JQ71" i="1" s="1"/>
  <c r="JP71" i="1" a="1"/>
  <c r="JP71" i="1" s="1"/>
  <c r="JO71" i="1"/>
  <c r="JO71" i="1" a="1"/>
  <c r="JN71" i="1" a="1"/>
  <c r="JN71" i="1" s="1"/>
  <c r="JM71" i="1" a="1"/>
  <c r="JM71" i="1" s="1"/>
  <c r="JL71" i="1" a="1"/>
  <c r="JL71" i="1" s="1"/>
  <c r="JK71" i="1"/>
  <c r="JK71" i="1" a="1"/>
  <c r="JJ71" i="1" a="1"/>
  <c r="JJ71" i="1" s="1"/>
  <c r="JI71" i="1" a="1"/>
  <c r="JI71" i="1" s="1"/>
  <c r="JH71" i="1" a="1"/>
  <c r="JH71" i="1" s="1"/>
  <c r="JG71" i="1"/>
  <c r="JG71" i="1" a="1"/>
  <c r="JF71" i="1" a="1"/>
  <c r="JF71" i="1" s="1"/>
  <c r="JD71" i="1" a="1"/>
  <c r="JD71" i="1" s="1"/>
  <c r="JC71" i="1" a="1"/>
  <c r="JC71" i="1" s="1"/>
  <c r="JB71" i="1" a="1"/>
  <c r="JB71" i="1" s="1"/>
  <c r="JA71" i="1" a="1"/>
  <c r="JA71" i="1" s="1"/>
  <c r="IV71" i="1" s="1"/>
  <c r="ID71" i="1"/>
  <c r="HH71" i="1" a="1"/>
  <c r="HH71" i="1" s="1"/>
  <c r="HF71" i="1" a="1"/>
  <c r="HF71" i="1" s="1"/>
  <c r="HC71" i="1" a="1"/>
  <c r="HC71" i="1" s="1"/>
  <c r="HA71" i="1"/>
  <c r="HA71" i="1" a="1"/>
  <c r="GY71" i="1" a="1"/>
  <c r="GY71" i="1" s="1"/>
  <c r="GW71" i="1" a="1"/>
  <c r="GW71" i="1" s="1"/>
  <c r="AS71" i="1"/>
  <c r="AO71" i="1"/>
  <c r="AR71" i="1" s="1" a="1"/>
  <c r="AR71" i="1" s="1"/>
  <c r="AO71" i="1" a="1"/>
  <c r="AN71" i="1"/>
  <c r="AL71" i="1"/>
  <c r="FU71" i="1" s="1"/>
  <c r="AE71" i="1"/>
  <c r="AC71" i="1"/>
  <c r="AB71" i="1"/>
  <c r="AA71" i="1"/>
  <c r="Z71" i="1"/>
  <c r="Y71" i="1"/>
  <c r="X71" i="1"/>
  <c r="W71" i="1"/>
  <c r="O71" i="1"/>
  <c r="L71" i="1"/>
  <c r="AI71" i="1" s="1"/>
  <c r="J71" i="1"/>
  <c r="AG71" i="1" s="1"/>
  <c r="C71" i="1"/>
  <c r="KJ63" i="1" a="1"/>
  <c r="KJ63" i="1" s="1"/>
  <c r="KA63" i="1" a="1"/>
  <c r="KA63" i="1" s="1"/>
  <c r="JX63" i="1" a="1"/>
  <c r="JX63" i="1" s="1"/>
  <c r="JS63" i="1" a="1"/>
  <c r="JS63" i="1" s="1"/>
  <c r="JP63" i="1" a="1"/>
  <c r="JP63" i="1" s="1"/>
  <c r="JK63" i="1" a="1"/>
  <c r="JK63" i="1" s="1"/>
  <c r="JH63" i="1" a="1"/>
  <c r="JH63" i="1" s="1"/>
  <c r="JB63" i="1" a="1"/>
  <c r="JB63" i="1" s="1"/>
  <c r="GW63" i="1" a="1"/>
  <c r="GW63" i="1" s="1"/>
  <c r="AS63" i="1"/>
  <c r="AN63" i="1"/>
  <c r="AE63" i="1"/>
  <c r="ID63" i="1" s="1"/>
  <c r="AC63" i="1"/>
  <c r="AB63" i="1"/>
  <c r="AA63" i="1"/>
  <c r="Z63" i="1"/>
  <c r="Y63" i="1"/>
  <c r="X63" i="1"/>
  <c r="W63" i="1"/>
  <c r="C63" i="1"/>
  <c r="NO62" i="1" a="1"/>
  <c r="NO62" i="1" s="1"/>
  <c r="KJ62" i="1" a="1"/>
  <c r="KJ62" i="1" s="1"/>
  <c r="KD62" i="1" a="1"/>
  <c r="KD62" i="1" s="1"/>
  <c r="JX62" i="1" a="1"/>
  <c r="JX62" i="1" s="1"/>
  <c r="JU62" i="1" a="1"/>
  <c r="JU62" i="1" s="1"/>
  <c r="IE62" i="1"/>
  <c r="HD62" i="1" a="1"/>
  <c r="HD62" i="1" s="1"/>
  <c r="HB62" i="1" a="1"/>
  <c r="HB62" i="1" s="1"/>
  <c r="GZ62" i="1" a="1"/>
  <c r="GZ62" i="1" s="1"/>
  <c r="GX62" i="1" a="1"/>
  <c r="GX62" i="1" s="1"/>
  <c r="GV62" i="1" a="1"/>
  <c r="GV62" i="1" s="1"/>
  <c r="AS62" i="1"/>
  <c r="AN62" i="1"/>
  <c r="AO62" i="1" s="1" a="1"/>
  <c r="AO62" i="1" s="1"/>
  <c r="AE62" i="1"/>
  <c r="ID62" i="1" s="1"/>
  <c r="AC62" i="1"/>
  <c r="AB62" i="1"/>
  <c r="AA62" i="1"/>
  <c r="Z62" i="1"/>
  <c r="Y62" i="1"/>
  <c r="X62" i="1"/>
  <c r="W62" i="1"/>
  <c r="C62" i="1"/>
  <c r="KK61" i="1" a="1"/>
  <c r="KK61" i="1" s="1"/>
  <c r="KH61" i="1" a="1"/>
  <c r="KH61" i="1" s="1"/>
  <c r="JY61" i="1" a="1"/>
  <c r="JY61" i="1" s="1"/>
  <c r="JV61" i="1" a="1"/>
  <c r="JV61" i="1" s="1"/>
  <c r="JQ61" i="1" a="1"/>
  <c r="JQ61" i="1" s="1"/>
  <c r="JN61" i="1" a="1"/>
  <c r="JN61" i="1" s="1"/>
  <c r="JI61" i="1" a="1"/>
  <c r="JI61" i="1" s="1"/>
  <c r="JF61" i="1" a="1"/>
  <c r="JF61" i="1" s="1"/>
  <c r="ID61" i="1"/>
  <c r="HC61" i="1" a="1"/>
  <c r="HC61" i="1" s="1"/>
  <c r="GY61" i="1" a="1"/>
  <c r="GY61" i="1" s="1"/>
  <c r="GW61" i="1"/>
  <c r="GW61" i="1" a="1"/>
  <c r="AS61" i="1"/>
  <c r="AN61" i="1"/>
  <c r="AE61" i="1"/>
  <c r="AC61" i="1"/>
  <c r="AB61" i="1"/>
  <c r="AA61" i="1"/>
  <c r="Z61" i="1"/>
  <c r="Y61" i="1"/>
  <c r="X61" i="1"/>
  <c r="W61" i="1"/>
  <c r="C61" i="1"/>
  <c r="KH60" i="1" a="1"/>
  <c r="KH60" i="1" s="1"/>
  <c r="KA60" i="1" a="1"/>
  <c r="KA60" i="1" s="1"/>
  <c r="JV60" i="1" a="1"/>
  <c r="JV60" i="1" s="1"/>
  <c r="JS60" i="1" a="1"/>
  <c r="JS60" i="1" s="1"/>
  <c r="JN60" i="1" a="1"/>
  <c r="JN60" i="1" s="1"/>
  <c r="JK60" i="1" a="1"/>
  <c r="JK60" i="1" s="1"/>
  <c r="JF60" i="1" a="1"/>
  <c r="JF60" i="1" s="1"/>
  <c r="JB60" i="1" a="1"/>
  <c r="JB60" i="1" s="1"/>
  <c r="GZ60" i="1" a="1"/>
  <c r="GZ60" i="1" s="1"/>
  <c r="AS60" i="1"/>
  <c r="AN60" i="1"/>
  <c r="AE60" i="1"/>
  <c r="ID60" i="1" s="1"/>
  <c r="AC60" i="1"/>
  <c r="AB60" i="1"/>
  <c r="AA60" i="1"/>
  <c r="Z60" i="1"/>
  <c r="Y60" i="1"/>
  <c r="X60" i="1"/>
  <c r="W60" i="1"/>
  <c r="C60" i="1"/>
  <c r="AS59" i="1"/>
  <c r="AN59" i="1"/>
  <c r="AE59" i="1"/>
  <c r="ID59" i="1" s="1"/>
  <c r="AC59" i="1"/>
  <c r="AB59" i="1"/>
  <c r="AA59" i="1"/>
  <c r="Z59" i="1"/>
  <c r="Y59" i="1"/>
  <c r="X59" i="1"/>
  <c r="W59" i="1"/>
  <c r="C59" i="1"/>
  <c r="KL58" i="1" a="1"/>
  <c r="KL58" i="1" s="1"/>
  <c r="KH58" i="1" a="1"/>
  <c r="KH58" i="1" s="1"/>
  <c r="JZ58" i="1" a="1"/>
  <c r="JZ58" i="1" s="1"/>
  <c r="JV58" i="1" a="1"/>
  <c r="JV58" i="1" s="1"/>
  <c r="JR58" i="1" a="1"/>
  <c r="JR58" i="1" s="1"/>
  <c r="JN58" i="1" a="1"/>
  <c r="JN58" i="1" s="1"/>
  <c r="JJ58" i="1" a="1"/>
  <c r="JJ58" i="1" s="1"/>
  <c r="JF58" i="1" a="1"/>
  <c r="JF58" i="1" s="1"/>
  <c r="JA58" i="1" a="1"/>
  <c r="JA58" i="1" s="1"/>
  <c r="ID58" i="1"/>
  <c r="AS58" i="1"/>
  <c r="AN58" i="1"/>
  <c r="AE58" i="1"/>
  <c r="AC58" i="1"/>
  <c r="AB58" i="1"/>
  <c r="AA58" i="1"/>
  <c r="Z58" i="1"/>
  <c r="Y58" i="1"/>
  <c r="X58" i="1"/>
  <c r="W58" i="1"/>
  <c r="C58" i="1"/>
  <c r="KL57" i="1" a="1"/>
  <c r="KL57" i="1" s="1"/>
  <c r="KK57" i="1" a="1"/>
  <c r="KK57" i="1" s="1"/>
  <c r="KH57" i="1" a="1"/>
  <c r="KH57" i="1" s="1"/>
  <c r="KD57" i="1" a="1"/>
  <c r="KD57" i="1" s="1"/>
  <c r="JZ57" i="1" a="1"/>
  <c r="JZ57" i="1" s="1"/>
  <c r="JY57" i="1" a="1"/>
  <c r="JY57" i="1" s="1"/>
  <c r="JV57" i="1" a="1"/>
  <c r="JV57" i="1" s="1"/>
  <c r="JU57" i="1" a="1"/>
  <c r="JU57" i="1" s="1"/>
  <c r="JR57" i="1" a="1"/>
  <c r="JR57" i="1" s="1"/>
  <c r="JQ57" i="1" a="1"/>
  <c r="JQ57" i="1" s="1"/>
  <c r="JN57" i="1" a="1"/>
  <c r="JN57" i="1" s="1"/>
  <c r="JM57" i="1" a="1"/>
  <c r="JM57" i="1" s="1"/>
  <c r="JJ57" i="1" a="1"/>
  <c r="JJ57" i="1" s="1"/>
  <c r="JI57" i="1" a="1"/>
  <c r="JI57" i="1" s="1"/>
  <c r="JF57" i="1" a="1"/>
  <c r="JF57" i="1" s="1"/>
  <c r="JD57" i="1" a="1"/>
  <c r="JD57" i="1" s="1"/>
  <c r="JA57" i="1" a="1"/>
  <c r="JA57" i="1" s="1"/>
  <c r="IX57" i="1" s="1"/>
  <c r="ID57" i="1"/>
  <c r="HC57" i="1" a="1"/>
  <c r="HC57" i="1" s="1"/>
  <c r="HM57" i="1" s="1" a="1"/>
  <c r="HM57" i="1" s="1"/>
  <c r="GY57" i="1" a="1"/>
  <c r="GY57" i="1" s="1"/>
  <c r="AS57" i="1"/>
  <c r="AN57" i="1"/>
  <c r="AE57" i="1"/>
  <c r="AC57" i="1"/>
  <c r="AB57" i="1"/>
  <c r="AA57" i="1"/>
  <c r="Z57" i="1"/>
  <c r="Y57" i="1"/>
  <c r="X57" i="1"/>
  <c r="W57" i="1"/>
  <c r="C57" i="1"/>
  <c r="NV56" i="1" a="1"/>
  <c r="NV56" i="1" s="1"/>
  <c r="JZ56" i="1" a="1"/>
  <c r="JZ56" i="1" s="1"/>
  <c r="JR56" i="1" a="1"/>
  <c r="JR56" i="1" s="1"/>
  <c r="JO56" i="1" a="1"/>
  <c r="JO56" i="1" s="1"/>
  <c r="JG56" i="1" a="1"/>
  <c r="JG56" i="1" s="1"/>
  <c r="ID56" i="1"/>
  <c r="HD56" i="1" a="1"/>
  <c r="HD56" i="1" s="1"/>
  <c r="GV56" i="1" a="1"/>
  <c r="GV56" i="1" s="1"/>
  <c r="AS56" i="1"/>
  <c r="AO56" i="1" a="1"/>
  <c r="AO56" i="1" s="1"/>
  <c r="AN56" i="1"/>
  <c r="AE56" i="1"/>
  <c r="AC56" i="1"/>
  <c r="AB56" i="1"/>
  <c r="AA56" i="1"/>
  <c r="Z56" i="1"/>
  <c r="Y56" i="1"/>
  <c r="X56" i="1"/>
  <c r="W56" i="1"/>
  <c r="C56" i="1"/>
  <c r="KL55" i="1" a="1"/>
  <c r="KL55" i="1" s="1"/>
  <c r="KK55" i="1" a="1"/>
  <c r="KK55" i="1" s="1"/>
  <c r="KH55" i="1" a="1"/>
  <c r="KH55" i="1" s="1"/>
  <c r="KD55" i="1" a="1"/>
  <c r="KD55" i="1" s="1"/>
  <c r="JZ55" i="1" a="1"/>
  <c r="JZ55" i="1" s="1"/>
  <c r="JY55" i="1" a="1"/>
  <c r="JY55" i="1" s="1"/>
  <c r="JV55" i="1" a="1"/>
  <c r="JV55" i="1" s="1"/>
  <c r="JU55" i="1" a="1"/>
  <c r="JU55" i="1" s="1"/>
  <c r="JR55" i="1" a="1"/>
  <c r="JR55" i="1" s="1"/>
  <c r="JQ55" i="1" a="1"/>
  <c r="JQ55" i="1" s="1"/>
  <c r="JN55" i="1" a="1"/>
  <c r="JN55" i="1" s="1"/>
  <c r="JM55" i="1" a="1"/>
  <c r="JM55" i="1" s="1"/>
  <c r="JJ55" i="1" a="1"/>
  <c r="JJ55" i="1" s="1"/>
  <c r="JI55" i="1" a="1"/>
  <c r="JI55" i="1" s="1"/>
  <c r="JF55" i="1" a="1"/>
  <c r="JF55" i="1" s="1"/>
  <c r="JD55" i="1" a="1"/>
  <c r="JD55" i="1" s="1"/>
  <c r="JA55" i="1" a="1"/>
  <c r="JA55" i="1" s="1"/>
  <c r="IX55" i="1" s="1"/>
  <c r="ID55" i="1"/>
  <c r="HH55" i="1" a="1"/>
  <c r="HH55" i="1" s="1"/>
  <c r="HC55" i="1" a="1"/>
  <c r="HC55" i="1" s="1"/>
  <c r="HM55" i="1" s="1" a="1"/>
  <c r="HM55" i="1" s="1"/>
  <c r="GY55" i="1" a="1"/>
  <c r="GY55" i="1" s="1"/>
  <c r="AS55" i="1"/>
  <c r="AN55" i="1"/>
  <c r="AO55" i="1" s="1" a="1"/>
  <c r="AO55" i="1" s="1"/>
  <c r="AE55" i="1"/>
  <c r="AC55" i="1"/>
  <c r="AB55" i="1"/>
  <c r="AA55" i="1"/>
  <c r="Z55" i="1"/>
  <c r="Y55" i="1"/>
  <c r="X55" i="1"/>
  <c r="W55" i="1"/>
  <c r="C55" i="1"/>
  <c r="FO26" i="1"/>
  <c r="BN26" i="1"/>
  <c r="AS26" i="1"/>
  <c r="AF26" i="1"/>
  <c r="AE26" i="1"/>
  <c r="ID26" i="1" s="1"/>
  <c r="AC26" i="1"/>
  <c r="AB26" i="1"/>
  <c r="AA26" i="1"/>
  <c r="Z26" i="1"/>
  <c r="Y26" i="1"/>
  <c r="X26" i="1"/>
  <c r="W26" i="1"/>
  <c r="C26" i="1"/>
  <c r="HC26" i="1" s="1" a="1"/>
  <c r="HC26" i="1" s="1"/>
  <c r="KM23" i="1" a="1"/>
  <c r="KM23" i="1" s="1"/>
  <c r="KL23" i="1" a="1"/>
  <c r="KL23" i="1" s="1"/>
  <c r="KK23" i="1" a="1"/>
  <c r="KK23" i="1" s="1"/>
  <c r="KJ23" i="1" a="1"/>
  <c r="KJ23" i="1" s="1"/>
  <c r="KI23" i="1" a="1"/>
  <c r="KI23" i="1" s="1"/>
  <c r="KH23" i="1" a="1"/>
  <c r="KH23" i="1" s="1"/>
  <c r="KD23" i="1" a="1"/>
  <c r="KD23" i="1" s="1"/>
  <c r="KC23" i="1" a="1"/>
  <c r="KC23" i="1" s="1"/>
  <c r="KA23" i="1" a="1"/>
  <c r="KA23" i="1" s="1"/>
  <c r="JZ23" i="1" a="1"/>
  <c r="JZ23" i="1" s="1"/>
  <c r="JY23" i="1" a="1"/>
  <c r="JY23" i="1" s="1"/>
  <c r="JX23" i="1" a="1"/>
  <c r="JX23" i="1" s="1"/>
  <c r="JW23" i="1" a="1"/>
  <c r="JW23" i="1" s="1"/>
  <c r="JV23" i="1" a="1"/>
  <c r="JV23" i="1" s="1"/>
  <c r="JU23" i="1" a="1"/>
  <c r="JU23" i="1" s="1"/>
  <c r="JT23" i="1" a="1"/>
  <c r="JT23" i="1" s="1"/>
  <c r="JS23" i="1" a="1"/>
  <c r="JS23" i="1" s="1"/>
  <c r="JR23" i="1" a="1"/>
  <c r="JR23" i="1" s="1"/>
  <c r="JQ23" i="1" a="1"/>
  <c r="JQ23" i="1" s="1"/>
  <c r="JP23" i="1" a="1"/>
  <c r="JP23" i="1" s="1"/>
  <c r="JO23" i="1" a="1"/>
  <c r="JO23" i="1" s="1"/>
  <c r="JN23" i="1" a="1"/>
  <c r="JN23" i="1" s="1"/>
  <c r="JM23" i="1" a="1"/>
  <c r="JM23" i="1" s="1"/>
  <c r="JL23" i="1" a="1"/>
  <c r="JL23" i="1" s="1"/>
  <c r="JK23" i="1" a="1"/>
  <c r="JK23" i="1" s="1"/>
  <c r="JJ23" i="1" a="1"/>
  <c r="JJ23" i="1" s="1"/>
  <c r="JI23" i="1" a="1"/>
  <c r="JI23" i="1" s="1"/>
  <c r="JH23" i="1" a="1"/>
  <c r="JH23" i="1" s="1"/>
  <c r="JG23" i="1" a="1"/>
  <c r="JG23" i="1" s="1"/>
  <c r="JF23" i="1" a="1"/>
  <c r="JF23" i="1" s="1"/>
  <c r="JD23" i="1" a="1"/>
  <c r="JD23" i="1" s="1"/>
  <c r="JC23" i="1" a="1"/>
  <c r="JC23" i="1" s="1"/>
  <c r="JB23" i="1" a="1"/>
  <c r="JB23" i="1" s="1"/>
  <c r="JA23" i="1" a="1"/>
  <c r="JA23" i="1" s="1"/>
  <c r="IV23" i="1" s="1"/>
  <c r="IE23" i="1"/>
  <c r="HD23" i="1"/>
  <c r="HD23" i="1" a="1"/>
  <c r="HC23" i="1"/>
  <c r="HC23" i="1" a="1"/>
  <c r="HB23" i="1"/>
  <c r="HB23" i="1" a="1"/>
  <c r="HA23" i="1"/>
  <c r="HA23" i="1" a="1"/>
  <c r="GZ23" i="1"/>
  <c r="GZ23" i="1" a="1"/>
  <c r="GY23" i="1"/>
  <c r="GY23" i="1" a="1"/>
  <c r="GX23" i="1"/>
  <c r="GX23" i="1" a="1"/>
  <c r="GW23" i="1"/>
  <c r="GW23" i="1" a="1"/>
  <c r="GV23" i="1"/>
  <c r="GV23" i="1" a="1"/>
  <c r="AS23" i="1"/>
  <c r="AR23" i="1" a="1"/>
  <c r="AR23" i="1" s="1"/>
  <c r="AO23" i="1" a="1"/>
  <c r="AO23" i="1" s="1"/>
  <c r="AN23" i="1"/>
  <c r="AE23" i="1"/>
  <c r="ID23" i="1" s="1"/>
  <c r="AC23" i="1"/>
  <c r="AB23" i="1"/>
  <c r="AA23" i="1"/>
  <c r="Z23" i="1"/>
  <c r="Y23" i="1"/>
  <c r="X23" i="1"/>
  <c r="W23" i="1"/>
  <c r="KM22" i="1" a="1"/>
  <c r="KM22" i="1" s="1"/>
  <c r="KL22" i="1" a="1"/>
  <c r="KL22" i="1" s="1"/>
  <c r="KK22" i="1" a="1"/>
  <c r="KK22" i="1" s="1"/>
  <c r="KJ22" i="1" a="1"/>
  <c r="KJ22" i="1" s="1"/>
  <c r="KI22" i="1" a="1"/>
  <c r="KI22" i="1" s="1"/>
  <c r="KH22" i="1" a="1"/>
  <c r="KH22" i="1" s="1"/>
  <c r="KD22" i="1" a="1"/>
  <c r="KD22" i="1" s="1"/>
  <c r="KC22" i="1" a="1"/>
  <c r="KC22" i="1" s="1"/>
  <c r="KA22" i="1" a="1"/>
  <c r="KA22" i="1" s="1"/>
  <c r="JZ22" i="1" a="1"/>
  <c r="JZ22" i="1" s="1"/>
  <c r="JY22" i="1" a="1"/>
  <c r="JY22" i="1" s="1"/>
  <c r="JX22" i="1" a="1"/>
  <c r="JX22" i="1" s="1"/>
  <c r="JW22" i="1" a="1"/>
  <c r="JW22" i="1" s="1"/>
  <c r="JV22" i="1" a="1"/>
  <c r="JV22" i="1" s="1"/>
  <c r="JU22" i="1" a="1"/>
  <c r="JU22" i="1" s="1"/>
  <c r="JT22" i="1" a="1"/>
  <c r="JT22" i="1" s="1"/>
  <c r="JS22" i="1" a="1"/>
  <c r="JS22" i="1" s="1"/>
  <c r="JR22" i="1" a="1"/>
  <c r="JR22" i="1" s="1"/>
  <c r="JQ22" i="1" a="1"/>
  <c r="JQ22" i="1" s="1"/>
  <c r="JP22" i="1" a="1"/>
  <c r="JP22" i="1" s="1"/>
  <c r="JO22" i="1" a="1"/>
  <c r="JO22" i="1" s="1"/>
  <c r="JN22" i="1" a="1"/>
  <c r="JN22" i="1" s="1"/>
  <c r="JM22" i="1" a="1"/>
  <c r="JM22" i="1" s="1"/>
  <c r="JL22" i="1" a="1"/>
  <c r="JL22" i="1" s="1"/>
  <c r="JK22" i="1" a="1"/>
  <c r="JK22" i="1" s="1"/>
  <c r="JJ22" i="1" a="1"/>
  <c r="JJ22" i="1" s="1"/>
  <c r="JI22" i="1" a="1"/>
  <c r="JI22" i="1" s="1"/>
  <c r="JH22" i="1" a="1"/>
  <c r="JH22" i="1" s="1"/>
  <c r="JG22" i="1" a="1"/>
  <c r="JG22" i="1" s="1"/>
  <c r="JF22" i="1" a="1"/>
  <c r="JF22" i="1" s="1"/>
  <c r="JD22" i="1" a="1"/>
  <c r="JD22" i="1" s="1"/>
  <c r="JC22" i="1" a="1"/>
  <c r="JC22" i="1" s="1"/>
  <c r="JB22" i="1" a="1"/>
  <c r="JB22" i="1" s="1"/>
  <c r="JA22" i="1" a="1"/>
  <c r="JA22" i="1" s="1"/>
  <c r="IX22" i="1"/>
  <c r="IE22" i="1"/>
  <c r="ID22" i="1"/>
  <c r="IP22" i="1" s="1" a="1"/>
  <c r="IP22" i="1" s="1"/>
  <c r="HD22" i="1"/>
  <c r="HD22" i="1" a="1"/>
  <c r="HC22" i="1"/>
  <c r="HC22" i="1" a="1"/>
  <c r="HB22" i="1"/>
  <c r="HB22" i="1" a="1"/>
  <c r="HA22" i="1"/>
  <c r="HA22" i="1" a="1"/>
  <c r="GZ22" i="1"/>
  <c r="GZ22" i="1" a="1"/>
  <c r="GY22" i="1"/>
  <c r="GY22" i="1" a="1"/>
  <c r="GX22" i="1"/>
  <c r="GX22" i="1" a="1"/>
  <c r="GW22" i="1"/>
  <c r="GW22" i="1" a="1"/>
  <c r="GV22" i="1"/>
  <c r="GV22" i="1" a="1"/>
  <c r="AS22" i="1"/>
  <c r="AE22" i="1"/>
  <c r="AC22" i="1"/>
  <c r="AB22" i="1"/>
  <c r="AA22" i="1"/>
  <c r="Z22" i="1"/>
  <c r="Y22" i="1"/>
  <c r="X22" i="1"/>
  <c r="W22" i="1"/>
  <c r="KM21" i="1" a="1"/>
  <c r="KM21" i="1" s="1"/>
  <c r="KL21" i="1" a="1"/>
  <c r="KL21" i="1" s="1"/>
  <c r="KK21" i="1" a="1"/>
  <c r="KK21" i="1" s="1"/>
  <c r="KJ21" i="1" a="1"/>
  <c r="KJ21" i="1" s="1"/>
  <c r="KI21" i="1" a="1"/>
  <c r="KI21" i="1" s="1"/>
  <c r="KH21" i="1" a="1"/>
  <c r="KH21" i="1" s="1"/>
  <c r="KD21" i="1" a="1"/>
  <c r="KD21" i="1" s="1"/>
  <c r="KC21" i="1" a="1"/>
  <c r="KC21" i="1" s="1"/>
  <c r="KA21" i="1" a="1"/>
  <c r="KA21" i="1" s="1"/>
  <c r="JZ21" i="1" a="1"/>
  <c r="JZ21" i="1" s="1"/>
  <c r="JY21" i="1" a="1"/>
  <c r="JY21" i="1" s="1"/>
  <c r="JX21" i="1" a="1"/>
  <c r="JX21" i="1" s="1"/>
  <c r="JW21" i="1" a="1"/>
  <c r="JW21" i="1" s="1"/>
  <c r="JV21" i="1" a="1"/>
  <c r="JV21" i="1" s="1"/>
  <c r="JU21" i="1" a="1"/>
  <c r="JU21" i="1" s="1"/>
  <c r="JT21" i="1" a="1"/>
  <c r="JT21" i="1" s="1"/>
  <c r="JS21" i="1" a="1"/>
  <c r="JS21" i="1" s="1"/>
  <c r="JR21" i="1" a="1"/>
  <c r="JR21" i="1" s="1"/>
  <c r="JQ21" i="1" a="1"/>
  <c r="JQ21" i="1" s="1"/>
  <c r="JP21" i="1" a="1"/>
  <c r="JP21" i="1" s="1"/>
  <c r="JO21" i="1" a="1"/>
  <c r="JO21" i="1" s="1"/>
  <c r="JN21" i="1" a="1"/>
  <c r="JN21" i="1" s="1"/>
  <c r="JM21" i="1" a="1"/>
  <c r="JM21" i="1" s="1"/>
  <c r="JL21" i="1" a="1"/>
  <c r="JL21" i="1" s="1"/>
  <c r="JK21" i="1" a="1"/>
  <c r="JK21" i="1" s="1"/>
  <c r="JJ21" i="1" a="1"/>
  <c r="JJ21" i="1" s="1"/>
  <c r="JI21" i="1" a="1"/>
  <c r="JI21" i="1" s="1"/>
  <c r="JH21" i="1" a="1"/>
  <c r="JH21" i="1" s="1"/>
  <c r="JG21" i="1" a="1"/>
  <c r="JG21" i="1" s="1"/>
  <c r="JF21" i="1" a="1"/>
  <c r="JF21" i="1" s="1"/>
  <c r="JD21" i="1" a="1"/>
  <c r="JD21" i="1" s="1"/>
  <c r="JC21" i="1" a="1"/>
  <c r="JC21" i="1" s="1"/>
  <c r="JB21" i="1" a="1"/>
  <c r="JB21" i="1" s="1"/>
  <c r="JA21" i="1" a="1"/>
  <c r="JA21" i="1" s="1"/>
  <c r="IX21" i="1" s="1"/>
  <c r="IE21" i="1"/>
  <c r="HD21" i="1"/>
  <c r="HD21" i="1" a="1"/>
  <c r="HC21" i="1"/>
  <c r="HC21" i="1" a="1"/>
  <c r="HB21" i="1"/>
  <c r="HB21" i="1" a="1"/>
  <c r="HA21" i="1"/>
  <c r="HA21" i="1" a="1"/>
  <c r="GZ21" i="1"/>
  <c r="GZ21" i="1" a="1"/>
  <c r="GY21" i="1"/>
  <c r="GY21" i="1" a="1"/>
  <c r="GX21" i="1"/>
  <c r="GX21" i="1" a="1"/>
  <c r="GW21" i="1"/>
  <c r="GW21" i="1" a="1"/>
  <c r="GV21" i="1"/>
  <c r="GV21" i="1" a="1"/>
  <c r="AS21" i="1"/>
  <c r="AE21" i="1"/>
  <c r="ID21" i="1" s="1"/>
  <c r="AC21" i="1"/>
  <c r="AB21" i="1"/>
  <c r="AA21" i="1"/>
  <c r="Z21" i="1"/>
  <c r="Y21" i="1"/>
  <c r="X21" i="1"/>
  <c r="W21" i="1"/>
  <c r="KM20" i="1" a="1"/>
  <c r="KM20" i="1" s="1"/>
  <c r="KL20" i="1" a="1"/>
  <c r="KL20" i="1" s="1"/>
  <c r="KK20" i="1"/>
  <c r="KK20" i="1" a="1"/>
  <c r="KJ20" i="1" a="1"/>
  <c r="KJ20" i="1" s="1"/>
  <c r="KI20" i="1" a="1"/>
  <c r="KI20" i="1" s="1"/>
  <c r="KH20" i="1" a="1"/>
  <c r="KH20" i="1" s="1"/>
  <c r="KD20" i="1"/>
  <c r="KD20" i="1" a="1"/>
  <c r="KC20" i="1" a="1"/>
  <c r="KC20" i="1" s="1"/>
  <c r="KA20" i="1" a="1"/>
  <c r="KA20" i="1" s="1"/>
  <c r="JZ20" i="1" a="1"/>
  <c r="JZ20" i="1" s="1"/>
  <c r="JY20" i="1"/>
  <c r="JY20" i="1" a="1"/>
  <c r="JX20" i="1" a="1"/>
  <c r="JX20" i="1" s="1"/>
  <c r="JW20" i="1" a="1"/>
  <c r="JW20" i="1" s="1"/>
  <c r="JV20" i="1" a="1"/>
  <c r="JV20" i="1" s="1"/>
  <c r="JU20" i="1"/>
  <c r="JU20" i="1" a="1"/>
  <c r="JT20" i="1" a="1"/>
  <c r="JT20" i="1" s="1"/>
  <c r="JS20" i="1" a="1"/>
  <c r="JS20" i="1" s="1"/>
  <c r="JR20" i="1" a="1"/>
  <c r="JR20" i="1" s="1"/>
  <c r="JQ20" i="1"/>
  <c r="JQ20" i="1" a="1"/>
  <c r="JP20" i="1" a="1"/>
  <c r="JP20" i="1" s="1"/>
  <c r="JO20" i="1" a="1"/>
  <c r="JO20" i="1" s="1"/>
  <c r="JN20" i="1" a="1"/>
  <c r="JN20" i="1" s="1"/>
  <c r="JM20" i="1"/>
  <c r="JM20" i="1" a="1"/>
  <c r="JL20" i="1" a="1"/>
  <c r="JL20" i="1" s="1"/>
  <c r="JK20" i="1" a="1"/>
  <c r="JK20" i="1" s="1"/>
  <c r="JJ20" i="1" a="1"/>
  <c r="JJ20" i="1" s="1"/>
  <c r="JI20" i="1"/>
  <c r="JI20" i="1" a="1"/>
  <c r="JH20" i="1" a="1"/>
  <c r="JH20" i="1" s="1"/>
  <c r="JG20" i="1" a="1"/>
  <c r="JG20" i="1" s="1"/>
  <c r="IV20" i="1" s="1"/>
  <c r="JF20" i="1" a="1"/>
  <c r="JF20" i="1" s="1"/>
  <c r="JD20" i="1"/>
  <c r="JD20" i="1" a="1"/>
  <c r="JC20" i="1" a="1"/>
  <c r="JC20" i="1" s="1"/>
  <c r="JB20" i="1" a="1"/>
  <c r="JB20" i="1" s="1"/>
  <c r="JA20" i="1" a="1"/>
  <c r="JA20" i="1" s="1"/>
  <c r="IW20" i="1" s="1"/>
  <c r="IY20" i="1"/>
  <c r="IN20" i="1" a="1"/>
  <c r="IN20" i="1" s="1"/>
  <c r="BA20" i="1" s="1"/>
  <c r="BV20" i="1" s="1"/>
  <c r="IK20" i="1" a="1"/>
  <c r="IK20" i="1" s="1"/>
  <c r="AK20" i="1" s="1"/>
  <c r="IF20" i="1" a="1"/>
  <c r="IF20" i="1" s="1"/>
  <c r="AF20" i="1" s="1"/>
  <c r="IE20" i="1"/>
  <c r="ID20" i="1"/>
  <c r="IP20" i="1" s="1" a="1"/>
  <c r="IP20" i="1" s="1"/>
  <c r="HD20" i="1"/>
  <c r="HD20" i="1" a="1"/>
  <c r="HC20" i="1"/>
  <c r="HF20" i="1" s="1" a="1"/>
  <c r="HF20" i="1" s="1"/>
  <c r="HC20" i="1" a="1"/>
  <c r="HB20" i="1"/>
  <c r="HB20" i="1" a="1"/>
  <c r="HA20" i="1"/>
  <c r="HA20" i="1" a="1"/>
  <c r="GZ20" i="1"/>
  <c r="GZ20" i="1" a="1"/>
  <c r="GY20" i="1"/>
  <c r="GY20" i="1" a="1"/>
  <c r="GX20" i="1"/>
  <c r="GX20" i="1" a="1"/>
  <c r="GW20" i="1"/>
  <c r="GW20" i="1" a="1"/>
  <c r="GV20" i="1"/>
  <c r="GV20" i="1" a="1"/>
  <c r="AS20" i="1"/>
  <c r="AE20" i="1"/>
  <c r="AC20" i="1"/>
  <c r="AB20" i="1"/>
  <c r="AA20" i="1"/>
  <c r="Z20" i="1"/>
  <c r="Y20" i="1"/>
  <c r="X20" i="1"/>
  <c r="W20" i="1"/>
  <c r="KM19" i="1" a="1"/>
  <c r="KM19" i="1" s="1"/>
  <c r="KL19" i="1" a="1"/>
  <c r="KL19" i="1" s="1"/>
  <c r="KK19" i="1" a="1"/>
  <c r="KK19" i="1" s="1"/>
  <c r="KJ19" i="1"/>
  <c r="KJ19" i="1" a="1"/>
  <c r="KI19" i="1" a="1"/>
  <c r="KI19" i="1" s="1"/>
  <c r="KH19" i="1" a="1"/>
  <c r="KH19" i="1" s="1"/>
  <c r="KD19" i="1" a="1"/>
  <c r="KD19" i="1" s="1"/>
  <c r="KC19" i="1"/>
  <c r="KC19" i="1" a="1"/>
  <c r="KA19" i="1" a="1"/>
  <c r="KA19" i="1" s="1"/>
  <c r="JZ19" i="1" a="1"/>
  <c r="JZ19" i="1" s="1"/>
  <c r="JY19" i="1" a="1"/>
  <c r="JY19" i="1" s="1"/>
  <c r="JX19" i="1"/>
  <c r="JX19" i="1" a="1"/>
  <c r="JW19" i="1" a="1"/>
  <c r="JW19" i="1" s="1"/>
  <c r="JV19" i="1" a="1"/>
  <c r="JV19" i="1" s="1"/>
  <c r="JU19" i="1" a="1"/>
  <c r="JU19" i="1" s="1"/>
  <c r="JT19" i="1"/>
  <c r="JT19" i="1" a="1"/>
  <c r="JS19" i="1" a="1"/>
  <c r="JS19" i="1" s="1"/>
  <c r="JR19" i="1" a="1"/>
  <c r="JR19" i="1" s="1"/>
  <c r="JQ19" i="1" a="1"/>
  <c r="JQ19" i="1" s="1"/>
  <c r="JP19" i="1"/>
  <c r="JP19" i="1" a="1"/>
  <c r="JO19" i="1" a="1"/>
  <c r="JO19" i="1" s="1"/>
  <c r="JN19" i="1" a="1"/>
  <c r="JN19" i="1" s="1"/>
  <c r="JM19" i="1" a="1"/>
  <c r="JM19" i="1" s="1"/>
  <c r="JL19" i="1"/>
  <c r="JL19" i="1" a="1"/>
  <c r="JK19" i="1" a="1"/>
  <c r="JK19" i="1" s="1"/>
  <c r="JJ19" i="1" a="1"/>
  <c r="JJ19" i="1" s="1"/>
  <c r="JI19" i="1" a="1"/>
  <c r="JI19" i="1" s="1"/>
  <c r="JH19" i="1"/>
  <c r="JH19" i="1" a="1"/>
  <c r="JG19" i="1" a="1"/>
  <c r="JG19" i="1" s="1"/>
  <c r="JF19" i="1" a="1"/>
  <c r="JF19" i="1" s="1"/>
  <c r="JD19" i="1" a="1"/>
  <c r="JD19" i="1" s="1"/>
  <c r="JC19" i="1"/>
  <c r="JC19" i="1" a="1"/>
  <c r="JB19" i="1" a="1"/>
  <c r="JB19" i="1" s="1"/>
  <c r="JA19" i="1" a="1"/>
  <c r="JA19" i="1" s="1"/>
  <c r="IE19" i="1"/>
  <c r="HD19" i="1" a="1"/>
  <c r="HD19" i="1" s="1"/>
  <c r="HC19" i="1" a="1"/>
  <c r="HC19" i="1" s="1"/>
  <c r="HB19" i="1" a="1"/>
  <c r="HB19" i="1" s="1"/>
  <c r="HA19" i="1" a="1"/>
  <c r="HA19" i="1" s="1"/>
  <c r="GZ19" i="1" a="1"/>
  <c r="GZ19" i="1" s="1"/>
  <c r="GY19" i="1" a="1"/>
  <c r="GY19" i="1" s="1"/>
  <c r="GX19" i="1" a="1"/>
  <c r="GX19" i="1" s="1"/>
  <c r="GW19" i="1" a="1"/>
  <c r="GW19" i="1" s="1"/>
  <c r="GV19" i="1" a="1"/>
  <c r="GV19" i="1" s="1"/>
  <c r="AS19" i="1"/>
  <c r="AE19" i="1"/>
  <c r="ID19" i="1" s="1"/>
  <c r="AC19" i="1"/>
  <c r="AB19" i="1"/>
  <c r="AA19" i="1"/>
  <c r="Z19" i="1"/>
  <c r="Y19" i="1"/>
  <c r="X19" i="1"/>
  <c r="W19" i="1"/>
  <c r="KM18" i="1" a="1"/>
  <c r="KM18" i="1" s="1"/>
  <c r="KL18" i="1" a="1"/>
  <c r="KL18" i="1" s="1"/>
  <c r="KK18" i="1" a="1"/>
  <c r="KK18" i="1" s="1"/>
  <c r="KJ18" i="1" a="1"/>
  <c r="KJ18" i="1" s="1"/>
  <c r="KI18" i="1" a="1"/>
  <c r="KI18" i="1" s="1"/>
  <c r="KH18" i="1" a="1"/>
  <c r="KH18" i="1" s="1"/>
  <c r="KD18" i="1" a="1"/>
  <c r="KD18" i="1" s="1"/>
  <c r="KC18" i="1" a="1"/>
  <c r="KC18" i="1" s="1"/>
  <c r="KA18" i="1" a="1"/>
  <c r="KA18" i="1" s="1"/>
  <c r="JZ18" i="1" a="1"/>
  <c r="JZ18" i="1" s="1"/>
  <c r="JY18" i="1" a="1"/>
  <c r="JY18" i="1" s="1"/>
  <c r="JX18" i="1" a="1"/>
  <c r="JX18" i="1" s="1"/>
  <c r="JW18" i="1" a="1"/>
  <c r="JW18" i="1" s="1"/>
  <c r="JV18" i="1" a="1"/>
  <c r="JV18" i="1" s="1"/>
  <c r="JU18" i="1" a="1"/>
  <c r="JU18" i="1" s="1"/>
  <c r="JT18" i="1" a="1"/>
  <c r="JT18" i="1" s="1"/>
  <c r="JS18" i="1" a="1"/>
  <c r="JS18" i="1" s="1"/>
  <c r="JR18" i="1" a="1"/>
  <c r="JR18" i="1" s="1"/>
  <c r="JQ18" i="1" a="1"/>
  <c r="JQ18" i="1" s="1"/>
  <c r="JP18" i="1" a="1"/>
  <c r="JP18" i="1" s="1"/>
  <c r="JO18" i="1" a="1"/>
  <c r="JO18" i="1" s="1"/>
  <c r="JN18" i="1" a="1"/>
  <c r="JN18" i="1" s="1"/>
  <c r="JM18" i="1" a="1"/>
  <c r="JM18" i="1" s="1"/>
  <c r="JL18" i="1" a="1"/>
  <c r="JL18" i="1" s="1"/>
  <c r="JK18" i="1" a="1"/>
  <c r="JK18" i="1" s="1"/>
  <c r="JJ18" i="1" a="1"/>
  <c r="JJ18" i="1" s="1"/>
  <c r="JI18" i="1" a="1"/>
  <c r="JI18" i="1" s="1"/>
  <c r="JH18" i="1" a="1"/>
  <c r="JH18" i="1" s="1"/>
  <c r="JG18" i="1" a="1"/>
  <c r="JG18" i="1" s="1"/>
  <c r="JF18" i="1" a="1"/>
  <c r="JF18" i="1" s="1"/>
  <c r="JD18" i="1" a="1"/>
  <c r="JD18" i="1" s="1"/>
  <c r="JC18" i="1" a="1"/>
  <c r="JC18" i="1" s="1"/>
  <c r="JB18" i="1" a="1"/>
  <c r="JB18" i="1" s="1"/>
  <c r="JA18" i="1" a="1"/>
  <c r="JA18" i="1" s="1"/>
  <c r="IX18" i="1"/>
  <c r="IR18" i="1" a="1"/>
  <c r="IR18" i="1" s="1"/>
  <c r="AU18" i="1" s="1"/>
  <c r="IL18" i="1" a="1"/>
  <c r="IL18" i="1" s="1"/>
  <c r="AL18" i="1" s="1"/>
  <c r="FU18" i="1" s="1"/>
  <c r="IJ18" i="1" a="1"/>
  <c r="IJ18" i="1" s="1"/>
  <c r="AJ18" i="1" s="1"/>
  <c r="BR18" i="1" s="1"/>
  <c r="IE18" i="1"/>
  <c r="HD18" i="1"/>
  <c r="HD18" i="1" a="1"/>
  <c r="HC18" i="1"/>
  <c r="HM18" i="1" s="1" a="1"/>
  <c r="HM18" i="1" s="1"/>
  <c r="HC18" i="1" a="1"/>
  <c r="HB18" i="1"/>
  <c r="HB18" i="1" a="1"/>
  <c r="HA18" i="1"/>
  <c r="HA18" i="1" a="1"/>
  <c r="GZ18" i="1"/>
  <c r="GZ18" i="1" a="1"/>
  <c r="GY18" i="1"/>
  <c r="GY18" i="1" a="1"/>
  <c r="GX18" i="1"/>
  <c r="GX18" i="1" a="1"/>
  <c r="GW18" i="1"/>
  <c r="GW18" i="1" a="1"/>
  <c r="GV18" i="1"/>
  <c r="GV18" i="1" a="1"/>
  <c r="FS18" i="1"/>
  <c r="EM18" i="1" a="1"/>
  <c r="EM18" i="1" s="1"/>
  <c r="EG18" i="1" a="1"/>
  <c r="EG18" i="1" s="1"/>
  <c r="BT18" i="1"/>
  <c r="AS18" i="1"/>
  <c r="AE18" i="1"/>
  <c r="ID18" i="1" s="1"/>
  <c r="IN18" i="1" s="1" a="1"/>
  <c r="IN18" i="1" s="1"/>
  <c r="BA18" i="1" s="1"/>
  <c r="BV18" i="1" s="1"/>
  <c r="AC18" i="1"/>
  <c r="AB18" i="1"/>
  <c r="AA18" i="1"/>
  <c r="Z18" i="1"/>
  <c r="Y18" i="1"/>
  <c r="X18" i="1"/>
  <c r="W18" i="1"/>
  <c r="KM17" i="1" a="1"/>
  <c r="KM17" i="1" s="1"/>
  <c r="KL17" i="1" a="1"/>
  <c r="KL17" i="1" s="1"/>
  <c r="KK17" i="1" a="1"/>
  <c r="KK17" i="1" s="1"/>
  <c r="KJ17" i="1" a="1"/>
  <c r="KJ17" i="1" s="1"/>
  <c r="KI17" i="1" a="1"/>
  <c r="KI17" i="1" s="1"/>
  <c r="KH17" i="1" a="1"/>
  <c r="KH17" i="1" s="1"/>
  <c r="KD17" i="1" a="1"/>
  <c r="KD17" i="1" s="1"/>
  <c r="KC17" i="1" a="1"/>
  <c r="KC17" i="1" s="1"/>
  <c r="KA17" i="1" a="1"/>
  <c r="KA17" i="1" s="1"/>
  <c r="JZ17" i="1" a="1"/>
  <c r="JZ17" i="1" s="1"/>
  <c r="JY17" i="1" a="1"/>
  <c r="JY17" i="1" s="1"/>
  <c r="JX17" i="1" a="1"/>
  <c r="JX17" i="1" s="1"/>
  <c r="JW17" i="1" a="1"/>
  <c r="JW17" i="1" s="1"/>
  <c r="JV17" i="1" a="1"/>
  <c r="JV17" i="1" s="1"/>
  <c r="JU17" i="1" a="1"/>
  <c r="JU17" i="1" s="1"/>
  <c r="JT17" i="1" a="1"/>
  <c r="JT17" i="1" s="1"/>
  <c r="JS17" i="1" a="1"/>
  <c r="JS17" i="1" s="1"/>
  <c r="JR17" i="1" a="1"/>
  <c r="JR17" i="1" s="1"/>
  <c r="JQ17" i="1" a="1"/>
  <c r="JQ17" i="1" s="1"/>
  <c r="JP17" i="1" a="1"/>
  <c r="JP17" i="1" s="1"/>
  <c r="JO17" i="1" a="1"/>
  <c r="JO17" i="1" s="1"/>
  <c r="JN17" i="1" a="1"/>
  <c r="JN17" i="1" s="1"/>
  <c r="JM17" i="1" a="1"/>
  <c r="JM17" i="1" s="1"/>
  <c r="JL17" i="1" a="1"/>
  <c r="JL17" i="1" s="1"/>
  <c r="JK17" i="1" a="1"/>
  <c r="JK17" i="1" s="1"/>
  <c r="JJ17" i="1" a="1"/>
  <c r="JJ17" i="1" s="1"/>
  <c r="JI17" i="1" a="1"/>
  <c r="JI17" i="1" s="1"/>
  <c r="JH17" i="1" a="1"/>
  <c r="JH17" i="1" s="1"/>
  <c r="JG17" i="1" a="1"/>
  <c r="JG17" i="1" s="1"/>
  <c r="JF17" i="1" a="1"/>
  <c r="JF17" i="1" s="1"/>
  <c r="JD17" i="1" a="1"/>
  <c r="JD17" i="1" s="1"/>
  <c r="JC17" i="1" a="1"/>
  <c r="JC17" i="1" s="1"/>
  <c r="JB17" i="1" a="1"/>
  <c r="JB17" i="1" s="1"/>
  <c r="JA17" i="1" a="1"/>
  <c r="JA17" i="1" s="1"/>
  <c r="IX17" i="1" s="1"/>
  <c r="IV17" i="1"/>
  <c r="IE17" i="1"/>
  <c r="HD17" i="1"/>
  <c r="HD17" i="1" a="1"/>
  <c r="HC17" i="1"/>
  <c r="HC17" i="1" a="1"/>
  <c r="HB17" i="1"/>
  <c r="HB17" i="1" a="1"/>
  <c r="HA17" i="1"/>
  <c r="HA17" i="1" a="1"/>
  <c r="GZ17" i="1"/>
  <c r="GZ17" i="1" a="1"/>
  <c r="GY17" i="1"/>
  <c r="GY17" i="1" a="1"/>
  <c r="GX17" i="1"/>
  <c r="GX17" i="1" a="1"/>
  <c r="GW17" i="1"/>
  <c r="GW17" i="1" a="1"/>
  <c r="GV17" i="1"/>
  <c r="GV17" i="1" a="1"/>
  <c r="AS17" i="1"/>
  <c r="AE17" i="1"/>
  <c r="ID17" i="1" s="1"/>
  <c r="AC17" i="1"/>
  <c r="AB17" i="1"/>
  <c r="AA17" i="1"/>
  <c r="Z17" i="1"/>
  <c r="Y17" i="1"/>
  <c r="X17" i="1"/>
  <c r="W17" i="1"/>
  <c r="KM16" i="1" a="1"/>
  <c r="KM16" i="1" s="1"/>
  <c r="KL16" i="1" a="1"/>
  <c r="KL16" i="1" s="1"/>
  <c r="KK16" i="1" a="1"/>
  <c r="KK16" i="1" s="1"/>
  <c r="KJ16" i="1" a="1"/>
  <c r="KJ16" i="1" s="1"/>
  <c r="KI16" i="1" a="1"/>
  <c r="KI16" i="1" s="1"/>
  <c r="KH16" i="1" a="1"/>
  <c r="KH16" i="1" s="1"/>
  <c r="KD16" i="1" a="1"/>
  <c r="KD16" i="1" s="1"/>
  <c r="KC16" i="1" a="1"/>
  <c r="KC16" i="1" s="1"/>
  <c r="KA16" i="1" a="1"/>
  <c r="KA16" i="1" s="1"/>
  <c r="JZ16" i="1" a="1"/>
  <c r="JZ16" i="1" s="1"/>
  <c r="JY16" i="1" a="1"/>
  <c r="JY16" i="1" s="1"/>
  <c r="JX16" i="1" a="1"/>
  <c r="JX16" i="1" s="1"/>
  <c r="JW16" i="1" a="1"/>
  <c r="JW16" i="1" s="1"/>
  <c r="JV16" i="1" a="1"/>
  <c r="JV16" i="1" s="1"/>
  <c r="JU16" i="1" a="1"/>
  <c r="JU16" i="1" s="1"/>
  <c r="JT16" i="1" a="1"/>
  <c r="JT16" i="1" s="1"/>
  <c r="JS16" i="1" a="1"/>
  <c r="JS16" i="1" s="1"/>
  <c r="JR16" i="1" a="1"/>
  <c r="JR16" i="1" s="1"/>
  <c r="JQ16" i="1" a="1"/>
  <c r="JQ16" i="1" s="1"/>
  <c r="JP16" i="1" a="1"/>
  <c r="JP16" i="1" s="1"/>
  <c r="JO16" i="1" a="1"/>
  <c r="JO16" i="1" s="1"/>
  <c r="JN16" i="1" a="1"/>
  <c r="JN16" i="1" s="1"/>
  <c r="JM16" i="1" a="1"/>
  <c r="JM16" i="1" s="1"/>
  <c r="JL16" i="1" a="1"/>
  <c r="JL16" i="1" s="1"/>
  <c r="JK16" i="1" a="1"/>
  <c r="JK16" i="1" s="1"/>
  <c r="JJ16" i="1" a="1"/>
  <c r="JJ16" i="1" s="1"/>
  <c r="JI16" i="1" a="1"/>
  <c r="JI16" i="1" s="1"/>
  <c r="JH16" i="1" a="1"/>
  <c r="JH16" i="1" s="1"/>
  <c r="JG16" i="1" a="1"/>
  <c r="JG16" i="1" s="1"/>
  <c r="JF16" i="1" a="1"/>
  <c r="JF16" i="1" s="1"/>
  <c r="JD16" i="1" a="1"/>
  <c r="JD16" i="1" s="1"/>
  <c r="JC16" i="1" a="1"/>
  <c r="JC16" i="1" s="1"/>
  <c r="JB16" i="1" a="1"/>
  <c r="JB16" i="1" s="1"/>
  <c r="JA16" i="1" a="1"/>
  <c r="JA16" i="1" s="1"/>
  <c r="IX16" i="1"/>
  <c r="IV16" i="1"/>
  <c r="IE16" i="1"/>
  <c r="ID16" i="1"/>
  <c r="IR16" i="1" s="1" a="1"/>
  <c r="IR16" i="1" s="1"/>
  <c r="AU16" i="1" s="1"/>
  <c r="HD16" i="1"/>
  <c r="HD16" i="1" a="1"/>
  <c r="HC16" i="1"/>
  <c r="HC16" i="1" a="1"/>
  <c r="HB16" i="1"/>
  <c r="HB16" i="1" a="1"/>
  <c r="HA16" i="1"/>
  <c r="HA16" i="1" a="1"/>
  <c r="GZ16" i="1"/>
  <c r="GZ16" i="1" a="1"/>
  <c r="GY16" i="1"/>
  <c r="GY16" i="1" a="1"/>
  <c r="GX16" i="1"/>
  <c r="GX16" i="1" a="1"/>
  <c r="GW16" i="1"/>
  <c r="GW16" i="1" a="1"/>
  <c r="GV16" i="1"/>
  <c r="GV16" i="1" a="1"/>
  <c r="AS16" i="1"/>
  <c r="AE16" i="1"/>
  <c r="AC16" i="1"/>
  <c r="AB16" i="1"/>
  <c r="AA16" i="1"/>
  <c r="Z16" i="1"/>
  <c r="Y16" i="1"/>
  <c r="X16" i="1"/>
  <c r="W16" i="1"/>
  <c r="KM15" i="1" a="1"/>
  <c r="KM15" i="1" s="1"/>
  <c r="KL15" i="1" a="1"/>
  <c r="KL15" i="1" s="1"/>
  <c r="KK15" i="1" a="1"/>
  <c r="KK15" i="1" s="1"/>
  <c r="KJ15" i="1" a="1"/>
  <c r="KJ15" i="1" s="1"/>
  <c r="KI15" i="1" a="1"/>
  <c r="KI15" i="1" s="1"/>
  <c r="KH15" i="1" a="1"/>
  <c r="KH15" i="1" s="1"/>
  <c r="KD15" i="1" a="1"/>
  <c r="KD15" i="1" s="1"/>
  <c r="KC15" i="1" a="1"/>
  <c r="KC15" i="1" s="1"/>
  <c r="KA15" i="1" a="1"/>
  <c r="KA15" i="1" s="1"/>
  <c r="JZ15" i="1" a="1"/>
  <c r="JZ15" i="1" s="1"/>
  <c r="JY15" i="1" a="1"/>
  <c r="JY15" i="1" s="1"/>
  <c r="JX15" i="1" a="1"/>
  <c r="JX15" i="1" s="1"/>
  <c r="JW15" i="1" a="1"/>
  <c r="JW15" i="1" s="1"/>
  <c r="JV15" i="1" a="1"/>
  <c r="JV15" i="1" s="1"/>
  <c r="JU15" i="1" a="1"/>
  <c r="JU15" i="1" s="1"/>
  <c r="JT15" i="1" a="1"/>
  <c r="JT15" i="1" s="1"/>
  <c r="JS15" i="1" a="1"/>
  <c r="JS15" i="1" s="1"/>
  <c r="JR15" i="1" a="1"/>
  <c r="JR15" i="1" s="1"/>
  <c r="JQ15" i="1" a="1"/>
  <c r="JQ15" i="1" s="1"/>
  <c r="JP15" i="1" a="1"/>
  <c r="JP15" i="1" s="1"/>
  <c r="JO15" i="1" a="1"/>
  <c r="JO15" i="1" s="1"/>
  <c r="JN15" i="1" a="1"/>
  <c r="JN15" i="1" s="1"/>
  <c r="JM15" i="1" a="1"/>
  <c r="JM15" i="1" s="1"/>
  <c r="JL15" i="1" a="1"/>
  <c r="JL15" i="1" s="1"/>
  <c r="JK15" i="1" a="1"/>
  <c r="JK15" i="1" s="1"/>
  <c r="JJ15" i="1" a="1"/>
  <c r="JJ15" i="1" s="1"/>
  <c r="JI15" i="1" a="1"/>
  <c r="JI15" i="1" s="1"/>
  <c r="JH15" i="1" a="1"/>
  <c r="JH15" i="1" s="1"/>
  <c r="JG15" i="1" a="1"/>
  <c r="JG15" i="1" s="1"/>
  <c r="JF15" i="1" a="1"/>
  <c r="JF15" i="1" s="1"/>
  <c r="JD15" i="1" a="1"/>
  <c r="JD15" i="1" s="1"/>
  <c r="JC15" i="1" a="1"/>
  <c r="JC15" i="1" s="1"/>
  <c r="JB15" i="1" a="1"/>
  <c r="JB15" i="1" s="1"/>
  <c r="JA15" i="1" a="1"/>
  <c r="JA15" i="1" s="1"/>
  <c r="IX15" i="1" s="1"/>
  <c r="IE15" i="1"/>
  <c r="HD15" i="1"/>
  <c r="HD15" i="1" a="1"/>
  <c r="HC15" i="1"/>
  <c r="HC15" i="1" a="1"/>
  <c r="HB15" i="1"/>
  <c r="HB15" i="1" a="1"/>
  <c r="HA15" i="1"/>
  <c r="HA15" i="1" a="1"/>
  <c r="GZ15" i="1"/>
  <c r="GZ15" i="1" a="1"/>
  <c r="GY15" i="1"/>
  <c r="GY15" i="1" a="1"/>
  <c r="GX15" i="1"/>
  <c r="GX15" i="1" a="1"/>
  <c r="GW15" i="1"/>
  <c r="GW15" i="1" a="1"/>
  <c r="GV15" i="1"/>
  <c r="GV15" i="1" a="1"/>
  <c r="AS15" i="1"/>
  <c r="AE15" i="1"/>
  <c r="ID15" i="1" s="1"/>
  <c r="AC15" i="1"/>
  <c r="AB15" i="1"/>
  <c r="AA15" i="1"/>
  <c r="Z15" i="1"/>
  <c r="Y15" i="1"/>
  <c r="X15" i="1"/>
  <c r="W15" i="1"/>
  <c r="KM14" i="1" a="1"/>
  <c r="KM14" i="1" s="1"/>
  <c r="KL14" i="1"/>
  <c r="KL14" i="1" a="1"/>
  <c r="KK14" i="1" a="1"/>
  <c r="KK14" i="1" s="1"/>
  <c r="KJ14" i="1" a="1"/>
  <c r="KJ14" i="1" s="1"/>
  <c r="KI14" i="1" a="1"/>
  <c r="KI14" i="1" s="1"/>
  <c r="KH14" i="1"/>
  <c r="KH14" i="1" a="1"/>
  <c r="KD14" i="1" a="1"/>
  <c r="KD14" i="1" s="1"/>
  <c r="KC14" i="1" a="1"/>
  <c r="KC14" i="1" s="1"/>
  <c r="KA14" i="1" a="1"/>
  <c r="KA14" i="1" s="1"/>
  <c r="JZ14" i="1"/>
  <c r="JZ14" i="1" a="1"/>
  <c r="JY14" i="1" a="1"/>
  <c r="JY14" i="1" s="1"/>
  <c r="JX14" i="1" a="1"/>
  <c r="JX14" i="1" s="1"/>
  <c r="JW14" i="1" a="1"/>
  <c r="JW14" i="1" s="1"/>
  <c r="JV14" i="1"/>
  <c r="JV14" i="1" a="1"/>
  <c r="JU14" i="1" a="1"/>
  <c r="JU14" i="1" s="1"/>
  <c r="JT14" i="1" a="1"/>
  <c r="JT14" i="1" s="1"/>
  <c r="JS14" i="1" a="1"/>
  <c r="JS14" i="1" s="1"/>
  <c r="JR14" i="1"/>
  <c r="JR14" i="1" a="1"/>
  <c r="JQ14" i="1" a="1"/>
  <c r="JQ14" i="1" s="1"/>
  <c r="JP14" i="1" a="1"/>
  <c r="JP14" i="1" s="1"/>
  <c r="JO14" i="1" a="1"/>
  <c r="JO14" i="1" s="1"/>
  <c r="JN14" i="1"/>
  <c r="JN14" i="1" a="1"/>
  <c r="JM14" i="1" a="1"/>
  <c r="JM14" i="1" s="1"/>
  <c r="JL14" i="1" a="1"/>
  <c r="JL14" i="1" s="1"/>
  <c r="JK14" i="1" a="1"/>
  <c r="JK14" i="1" s="1"/>
  <c r="JJ14" i="1"/>
  <c r="JJ14" i="1" a="1"/>
  <c r="JI14" i="1" a="1"/>
  <c r="JI14" i="1" s="1"/>
  <c r="JH14" i="1" a="1"/>
  <c r="JH14" i="1" s="1"/>
  <c r="JG14" i="1" a="1"/>
  <c r="JG14" i="1" s="1"/>
  <c r="JF14" i="1"/>
  <c r="JF14" i="1" a="1"/>
  <c r="JC14" i="1" a="1"/>
  <c r="JC14" i="1" s="1"/>
  <c r="JB14" i="1" a="1"/>
  <c r="JB14" i="1" s="1"/>
  <c r="JA14" i="1"/>
  <c r="IY14" i="1" s="1"/>
  <c r="JA14" i="1" a="1"/>
  <c r="IX14" i="1"/>
  <c r="IV14" i="1"/>
  <c r="IE14" i="1"/>
  <c r="HD14" i="1"/>
  <c r="HD14" i="1" a="1"/>
  <c r="HC14" i="1"/>
  <c r="HI14" i="1" s="1" a="1"/>
  <c r="HI14" i="1" s="1"/>
  <c r="HW14" i="1" s="1"/>
  <c r="HC14" i="1" a="1"/>
  <c r="HB14" i="1"/>
  <c r="HB14" i="1" a="1"/>
  <c r="HA14" i="1"/>
  <c r="HA14" i="1" a="1"/>
  <c r="GZ14" i="1"/>
  <c r="GZ14" i="1" a="1"/>
  <c r="GY14" i="1"/>
  <c r="GY14" i="1" a="1"/>
  <c r="GX14" i="1"/>
  <c r="GX14" i="1" a="1"/>
  <c r="GW14" i="1"/>
  <c r="GW14" i="1" a="1"/>
  <c r="GV14" i="1"/>
  <c r="GV14" i="1" a="1"/>
  <c r="AS14" i="1"/>
  <c r="AE14" i="1"/>
  <c r="ID14" i="1" s="1"/>
  <c r="AC14" i="1"/>
  <c r="AB14" i="1"/>
  <c r="AA14" i="1"/>
  <c r="Z14" i="1"/>
  <c r="Y14" i="1"/>
  <c r="X14" i="1"/>
  <c r="W14" i="1"/>
  <c r="KM13" i="1" a="1"/>
  <c r="KM13" i="1" s="1"/>
  <c r="KL13" i="1" a="1"/>
  <c r="KL13" i="1" s="1"/>
  <c r="KK13" i="1"/>
  <c r="KK13" i="1" a="1"/>
  <c r="KJ13" i="1" a="1"/>
  <c r="KJ13" i="1" s="1"/>
  <c r="KI13" i="1" a="1"/>
  <c r="KI13" i="1" s="1"/>
  <c r="KH13" i="1" a="1"/>
  <c r="KH13" i="1" s="1"/>
  <c r="KD13" i="1"/>
  <c r="KD13" i="1" a="1"/>
  <c r="KC13" i="1" a="1"/>
  <c r="KC13" i="1" s="1"/>
  <c r="KA13" i="1" a="1"/>
  <c r="KA13" i="1" s="1"/>
  <c r="JZ13" i="1" a="1"/>
  <c r="JZ13" i="1" s="1"/>
  <c r="JY13" i="1"/>
  <c r="JY13" i="1" a="1"/>
  <c r="JX13" i="1" a="1"/>
  <c r="JX13" i="1" s="1"/>
  <c r="JW13" i="1" a="1"/>
  <c r="JW13" i="1" s="1"/>
  <c r="JV13" i="1" a="1"/>
  <c r="JV13" i="1" s="1"/>
  <c r="JU13" i="1"/>
  <c r="JU13" i="1" a="1"/>
  <c r="JT13" i="1" a="1"/>
  <c r="JT13" i="1" s="1"/>
  <c r="JS13" i="1" a="1"/>
  <c r="JS13" i="1" s="1"/>
  <c r="JR13" i="1" a="1"/>
  <c r="JR13" i="1" s="1"/>
  <c r="JQ13" i="1"/>
  <c r="JQ13" i="1" a="1"/>
  <c r="JP13" i="1" a="1"/>
  <c r="JP13" i="1" s="1"/>
  <c r="JO13" i="1" a="1"/>
  <c r="JO13" i="1" s="1"/>
  <c r="JN13" i="1" a="1"/>
  <c r="JN13" i="1" s="1"/>
  <c r="JM13" i="1"/>
  <c r="JM13" i="1" a="1"/>
  <c r="JL13" i="1" a="1"/>
  <c r="JL13" i="1" s="1"/>
  <c r="JK13" i="1" a="1"/>
  <c r="JK13" i="1" s="1"/>
  <c r="JJ13" i="1" a="1"/>
  <c r="JJ13" i="1" s="1"/>
  <c r="JI13" i="1"/>
  <c r="JI13" i="1" a="1"/>
  <c r="JH13" i="1" a="1"/>
  <c r="JH13" i="1" s="1"/>
  <c r="JG13" i="1" a="1"/>
  <c r="JG13" i="1" s="1"/>
  <c r="IV13" i="1" s="1"/>
  <c r="JF13" i="1" a="1"/>
  <c r="JF13" i="1" s="1"/>
  <c r="JC13" i="1" a="1"/>
  <c r="JC13" i="1" s="1"/>
  <c r="JB13" i="1" a="1"/>
  <c r="JB13" i="1" s="1"/>
  <c r="IW13" i="1"/>
  <c r="IY13" i="1"/>
  <c r="IE13" i="1"/>
  <c r="ID13" i="1"/>
  <c r="IR13" i="1" s="1" a="1"/>
  <c r="IR13" i="1" s="1"/>
  <c r="AU13" i="1" s="1"/>
  <c r="HH13" i="1" a="1"/>
  <c r="HH13" i="1" s="1"/>
  <c r="HD13" i="1"/>
  <c r="HD13" i="1" a="1"/>
  <c r="HC13" i="1"/>
  <c r="HF13" i="1" s="1" a="1"/>
  <c r="HF13" i="1" s="1"/>
  <c r="HC13" i="1" a="1"/>
  <c r="HB13" i="1"/>
  <c r="HB13" i="1" a="1"/>
  <c r="HA13" i="1"/>
  <c r="HA13" i="1" a="1"/>
  <c r="GZ13" i="1"/>
  <c r="GZ13" i="1" a="1"/>
  <c r="GY13" i="1"/>
  <c r="GY13" i="1" a="1"/>
  <c r="GX13" i="1"/>
  <c r="GX13" i="1" a="1"/>
  <c r="GW13" i="1"/>
  <c r="GW13" i="1" a="1"/>
  <c r="GV13" i="1"/>
  <c r="GV13" i="1" a="1"/>
  <c r="AS13" i="1"/>
  <c r="AE13" i="1"/>
  <c r="AC13" i="1"/>
  <c r="AB13" i="1"/>
  <c r="AA13" i="1"/>
  <c r="Z13" i="1"/>
  <c r="Y13" i="1"/>
  <c r="X13" i="1"/>
  <c r="W13" i="1"/>
  <c r="KM12" i="1" a="1"/>
  <c r="KM12" i="1" s="1"/>
  <c r="KL12" i="1"/>
  <c r="KL12" i="1" a="1"/>
  <c r="KK12" i="1" a="1"/>
  <c r="KK12" i="1" s="1"/>
  <c r="KJ12" i="1" a="1"/>
  <c r="KJ12" i="1" s="1"/>
  <c r="KI12" i="1" a="1"/>
  <c r="KI12" i="1" s="1"/>
  <c r="KH12" i="1" a="1"/>
  <c r="KH12" i="1" s="1"/>
  <c r="KD12" i="1" a="1"/>
  <c r="KD12" i="1" s="1"/>
  <c r="KC12" i="1"/>
  <c r="KC12" i="1" a="1"/>
  <c r="KA12" i="1" a="1"/>
  <c r="KA12" i="1" s="1"/>
  <c r="JZ12" i="1"/>
  <c r="JZ12" i="1" a="1"/>
  <c r="JY12" i="1" a="1"/>
  <c r="JY12" i="1" s="1"/>
  <c r="JX12" i="1" a="1"/>
  <c r="JX12" i="1" s="1"/>
  <c r="JW12" i="1" a="1"/>
  <c r="JW12" i="1" s="1"/>
  <c r="JV12" i="1" a="1"/>
  <c r="JV12" i="1" s="1"/>
  <c r="JU12" i="1" a="1"/>
  <c r="JU12" i="1" s="1"/>
  <c r="JT12" i="1"/>
  <c r="JT12" i="1" a="1"/>
  <c r="JS12" i="1" a="1"/>
  <c r="JS12" i="1" s="1"/>
  <c r="JR12" i="1"/>
  <c r="JR12" i="1" a="1"/>
  <c r="JQ12" i="1" a="1"/>
  <c r="JQ12" i="1" s="1"/>
  <c r="JP12" i="1" a="1"/>
  <c r="JP12" i="1" s="1"/>
  <c r="JO12" i="1" a="1"/>
  <c r="JO12" i="1" s="1"/>
  <c r="JN12" i="1" a="1"/>
  <c r="JN12" i="1" s="1"/>
  <c r="JM12" i="1" a="1"/>
  <c r="JM12" i="1" s="1"/>
  <c r="JL12" i="1"/>
  <c r="JL12" i="1" a="1"/>
  <c r="JK12" i="1" a="1"/>
  <c r="JK12" i="1" s="1"/>
  <c r="JJ12" i="1"/>
  <c r="JJ12" i="1" a="1"/>
  <c r="JI12" i="1" a="1"/>
  <c r="JI12" i="1" s="1"/>
  <c r="JH12" i="1" a="1"/>
  <c r="JH12" i="1" s="1"/>
  <c r="JG12" i="1" a="1"/>
  <c r="JG12" i="1" s="1"/>
  <c r="JF12" i="1" a="1"/>
  <c r="JF12" i="1" s="1"/>
  <c r="IV12" i="1" s="1"/>
  <c r="JC12" i="1"/>
  <c r="JC12" i="1" a="1"/>
  <c r="JB12" i="1" a="1"/>
  <c r="JB12" i="1" s="1"/>
  <c r="JA12" i="1"/>
  <c r="IY12" i="1" s="1"/>
  <c r="JA12" i="1" a="1"/>
  <c r="IE12" i="1"/>
  <c r="HK12" i="1" a="1"/>
  <c r="HK12" i="1" s="1"/>
  <c r="HP12" i="1" s="1"/>
  <c r="HI12" i="1" a="1"/>
  <c r="HI12" i="1" s="1"/>
  <c r="HD12" i="1"/>
  <c r="HD12" i="1" a="1"/>
  <c r="HC12" i="1"/>
  <c r="HC12" i="1" a="1"/>
  <c r="HB12" i="1"/>
  <c r="HB12" i="1" a="1"/>
  <c r="HA12" i="1"/>
  <c r="HA12" i="1" a="1"/>
  <c r="GZ12" i="1"/>
  <c r="GZ12" i="1" a="1"/>
  <c r="GY12" i="1"/>
  <c r="GY12" i="1" a="1"/>
  <c r="GX12" i="1"/>
  <c r="GX12" i="1" a="1"/>
  <c r="GW12" i="1"/>
  <c r="GW12" i="1" a="1"/>
  <c r="GV12" i="1"/>
  <c r="GV12" i="1" a="1"/>
  <c r="AS12" i="1"/>
  <c r="AE12" i="1"/>
  <c r="ID12" i="1" s="1"/>
  <c r="AC12" i="1"/>
  <c r="AB12" i="1"/>
  <c r="AA12" i="1"/>
  <c r="Z12" i="1"/>
  <c r="Y12" i="1"/>
  <c r="X12" i="1"/>
  <c r="W12" i="1"/>
  <c r="KM11" i="1"/>
  <c r="KM11" i="1" a="1"/>
  <c r="KL11" i="1" a="1"/>
  <c r="KL11" i="1" s="1"/>
  <c r="KK11" i="1"/>
  <c r="KK11" i="1" a="1"/>
  <c r="KJ11" i="1" a="1"/>
  <c r="KJ11" i="1" s="1"/>
  <c r="KI11" i="1"/>
  <c r="KI11" i="1" a="1"/>
  <c r="KH11" i="1" a="1"/>
  <c r="KH11" i="1" s="1"/>
  <c r="KD11" i="1"/>
  <c r="KD11" i="1" a="1"/>
  <c r="KC11" i="1" a="1"/>
  <c r="KC11" i="1" s="1"/>
  <c r="KA11" i="1"/>
  <c r="KA11" i="1" a="1"/>
  <c r="JZ11" i="1" a="1"/>
  <c r="JZ11" i="1" s="1"/>
  <c r="JY11" i="1"/>
  <c r="JY11" i="1" a="1"/>
  <c r="JX11" i="1" a="1"/>
  <c r="JX11" i="1" s="1"/>
  <c r="JW11" i="1"/>
  <c r="JW11" i="1" a="1"/>
  <c r="JV11" i="1" a="1"/>
  <c r="JV11" i="1" s="1"/>
  <c r="JU11" i="1"/>
  <c r="JU11" i="1" a="1"/>
  <c r="JT11" i="1" a="1"/>
  <c r="JT11" i="1" s="1"/>
  <c r="JS11" i="1"/>
  <c r="JS11" i="1" a="1"/>
  <c r="JR11" i="1" a="1"/>
  <c r="JR11" i="1" s="1"/>
  <c r="JQ11" i="1"/>
  <c r="JQ11" i="1" a="1"/>
  <c r="JP11" i="1" a="1"/>
  <c r="JP11" i="1" s="1"/>
  <c r="JO11" i="1"/>
  <c r="JO11" i="1" a="1"/>
  <c r="JN11" i="1" a="1"/>
  <c r="JN11" i="1" s="1"/>
  <c r="JM11" i="1"/>
  <c r="JM11" i="1" a="1"/>
  <c r="JL11" i="1" a="1"/>
  <c r="JL11" i="1" s="1"/>
  <c r="JK11" i="1"/>
  <c r="JK11" i="1" a="1"/>
  <c r="JJ11" i="1" a="1"/>
  <c r="JJ11" i="1" s="1"/>
  <c r="JI11" i="1"/>
  <c r="JI11" i="1" a="1"/>
  <c r="JH11" i="1" a="1"/>
  <c r="JH11" i="1" s="1"/>
  <c r="JG11" i="1"/>
  <c r="JG11" i="1" a="1"/>
  <c r="JF11" i="1" a="1"/>
  <c r="JF11" i="1" s="1"/>
  <c r="JC11" i="1" a="1"/>
  <c r="JC11" i="1" s="1"/>
  <c r="JB11" i="1" a="1"/>
  <c r="JB11" i="1" s="1"/>
  <c r="JA11" i="1" a="1"/>
  <c r="JA11" i="1" s="1"/>
  <c r="IE11" i="1"/>
  <c r="HD11" i="1"/>
  <c r="HD11" i="1" a="1"/>
  <c r="HC11" i="1"/>
  <c r="HM11" i="1" s="1" a="1"/>
  <c r="HM11" i="1" s="1"/>
  <c r="HC11" i="1" a="1"/>
  <c r="HB11" i="1"/>
  <c r="HB11" i="1" a="1"/>
  <c r="HA11" i="1"/>
  <c r="HA11" i="1" a="1"/>
  <c r="GZ11" i="1"/>
  <c r="GZ11" i="1" a="1"/>
  <c r="GY11" i="1"/>
  <c r="GY11" i="1" a="1"/>
  <c r="GX11" i="1"/>
  <c r="GX11" i="1" a="1"/>
  <c r="GW11" i="1"/>
  <c r="GW11" i="1" a="1"/>
  <c r="GV11" i="1"/>
  <c r="GV11" i="1" a="1"/>
  <c r="AS11" i="1"/>
  <c r="AE11" i="1"/>
  <c r="ID11" i="1" s="1"/>
  <c r="AC11" i="1"/>
  <c r="AB11" i="1"/>
  <c r="AA11" i="1"/>
  <c r="Z11" i="1"/>
  <c r="Y11" i="1"/>
  <c r="X11" i="1"/>
  <c r="W11" i="1"/>
  <c r="KM10" i="1" a="1"/>
  <c r="KM10" i="1" s="1"/>
  <c r="KL10" i="1" a="1"/>
  <c r="KL10" i="1" s="1"/>
  <c r="KK10" i="1" a="1"/>
  <c r="KK10" i="1" s="1"/>
  <c r="KJ10" i="1" a="1"/>
  <c r="KJ10" i="1" s="1"/>
  <c r="KI10" i="1" a="1"/>
  <c r="KI10" i="1" s="1"/>
  <c r="KH10" i="1" a="1"/>
  <c r="KH10" i="1" s="1"/>
  <c r="KD10" i="1" a="1"/>
  <c r="KD10" i="1" s="1"/>
  <c r="KC10" i="1" a="1"/>
  <c r="KC10" i="1" s="1"/>
  <c r="KA10" i="1" a="1"/>
  <c r="KA10" i="1" s="1"/>
  <c r="JZ10" i="1" a="1"/>
  <c r="JZ10" i="1" s="1"/>
  <c r="JY10" i="1" a="1"/>
  <c r="JY10" i="1" s="1"/>
  <c r="JX10" i="1" a="1"/>
  <c r="JX10" i="1" s="1"/>
  <c r="JW10" i="1" a="1"/>
  <c r="JW10" i="1" s="1"/>
  <c r="JV10" i="1" a="1"/>
  <c r="JV10" i="1" s="1"/>
  <c r="JU10" i="1" a="1"/>
  <c r="JU10" i="1" s="1"/>
  <c r="JT10" i="1" a="1"/>
  <c r="JT10" i="1" s="1"/>
  <c r="JS10" i="1" a="1"/>
  <c r="JS10" i="1" s="1"/>
  <c r="JR10" i="1" a="1"/>
  <c r="JR10" i="1" s="1"/>
  <c r="JQ10" i="1" a="1"/>
  <c r="JQ10" i="1" s="1"/>
  <c r="JP10" i="1" a="1"/>
  <c r="JP10" i="1" s="1"/>
  <c r="JO10" i="1" a="1"/>
  <c r="JO10" i="1" s="1"/>
  <c r="JN10" i="1" a="1"/>
  <c r="JN10" i="1" s="1"/>
  <c r="JM10" i="1" a="1"/>
  <c r="JM10" i="1" s="1"/>
  <c r="JL10" i="1" a="1"/>
  <c r="JL10" i="1" s="1"/>
  <c r="JK10" i="1" a="1"/>
  <c r="JK10" i="1" s="1"/>
  <c r="JJ10" i="1" a="1"/>
  <c r="JJ10" i="1" s="1"/>
  <c r="JI10" i="1" a="1"/>
  <c r="JI10" i="1" s="1"/>
  <c r="JH10" i="1" a="1"/>
  <c r="JH10" i="1" s="1"/>
  <c r="JG10" i="1" a="1"/>
  <c r="JG10" i="1" s="1"/>
  <c r="JF10" i="1" a="1"/>
  <c r="JF10" i="1" s="1"/>
  <c r="JC10" i="1" a="1"/>
  <c r="JC10" i="1" s="1"/>
  <c r="JB10" i="1" a="1"/>
  <c r="JB10" i="1" s="1"/>
  <c r="IE10" i="1"/>
  <c r="HD10" i="1"/>
  <c r="HD10" i="1" a="1"/>
  <c r="HC10" i="1"/>
  <c r="HK10" i="1" s="1" a="1"/>
  <c r="HK10" i="1" s="1"/>
  <c r="HP10" i="1" s="1"/>
  <c r="HC10" i="1" a="1"/>
  <c r="HB10" i="1"/>
  <c r="HB10" i="1" a="1"/>
  <c r="HA10" i="1"/>
  <c r="HA10" i="1" a="1"/>
  <c r="GZ10" i="1"/>
  <c r="GZ10" i="1" a="1"/>
  <c r="GY10" i="1"/>
  <c r="GY10" i="1" a="1"/>
  <c r="GX10" i="1"/>
  <c r="GX10" i="1" a="1"/>
  <c r="GW10" i="1"/>
  <c r="GW10" i="1" a="1"/>
  <c r="GV10" i="1"/>
  <c r="GV10" i="1" a="1"/>
  <c r="AS10" i="1"/>
  <c r="AO10" i="1" a="1"/>
  <c r="AO10" i="1" s="1"/>
  <c r="AN10" i="1"/>
  <c r="AE10" i="1"/>
  <c r="ID10" i="1" s="1"/>
  <c r="AC10" i="1"/>
  <c r="AB10" i="1"/>
  <c r="AA10" i="1"/>
  <c r="Z10" i="1"/>
  <c r="Y10" i="1"/>
  <c r="X10" i="1"/>
  <c r="W10" i="1"/>
  <c r="ALX25" i="1"/>
  <c r="DK25" i="1"/>
  <c r="AIV25" i="1"/>
  <c r="AI25" i="1"/>
  <c r="VX25" i="1"/>
  <c r="ACH25" i="1"/>
  <c r="MZ25" i="1"/>
  <c r="AFC25" i="1"/>
  <c r="AGZ25" i="1"/>
  <c r="ANR25" i="1"/>
  <c r="ADX25" i="1"/>
  <c r="AKP25" i="1"/>
  <c r="MB25" i="1"/>
  <c r="XJ25" i="1"/>
  <c r="DD25" i="1"/>
  <c r="EU25" i="1"/>
  <c r="PT25" i="1"/>
  <c r="MR25" i="1"/>
  <c r="IR25" i="1"/>
  <c r="KA25" i="1"/>
  <c r="ALS25" i="1"/>
  <c r="AHR25" i="1"/>
  <c r="SG25" i="1"/>
  <c r="ZU25" i="1"/>
  <c r="WF25" i="1"/>
  <c r="TD25" i="1"/>
  <c r="AHD25" i="1"/>
  <c r="NO25" i="1"/>
  <c r="NC25" i="1"/>
  <c r="LZ25" i="1"/>
  <c r="GH25" i="1"/>
  <c r="MU25" i="1"/>
  <c r="TT25" i="1"/>
  <c r="AV25" i="1"/>
  <c r="QR25" i="1"/>
  <c r="AMA25" i="1"/>
  <c r="XH25" i="1"/>
  <c r="DJ25" i="1"/>
  <c r="HC25" i="1"/>
  <c r="YK25" i="1"/>
  <c r="OV25" i="1"/>
  <c r="AJO25" i="1"/>
  <c r="LT25" i="1"/>
  <c r="AFK25" i="1"/>
  <c r="FX25" i="1"/>
  <c r="ANU25" i="1"/>
  <c r="ALV25" i="1"/>
  <c r="TM25" i="1"/>
  <c r="KZ25" i="1"/>
  <c r="GR25" i="1"/>
  <c r="AEB25" i="1"/>
  <c r="LO25" i="1"/>
  <c r="AFB25" i="1"/>
  <c r="QK25" i="1"/>
  <c r="FE25" i="1"/>
  <c r="DE25" i="1"/>
  <c r="TK25" i="1"/>
  <c r="PG25" i="1"/>
  <c r="AQ25" i="1"/>
  <c r="UH25" i="1"/>
  <c r="SB25" i="1"/>
  <c r="EC25" i="1"/>
  <c r="TO25" i="1"/>
  <c r="AGD25" i="1"/>
  <c r="ACY25" i="1"/>
  <c r="YY25" i="1"/>
  <c r="AIW25" i="1"/>
  <c r="OO25" i="1"/>
  <c r="WM25" i="1"/>
  <c r="SI25" i="1"/>
  <c r="ADY25" i="1"/>
  <c r="JQ25" i="1"/>
  <c r="VW25" i="1"/>
  <c r="ZF25" i="1"/>
  <c r="GO25" i="1"/>
  <c r="KK25" i="1"/>
  <c r="AID25" i="1"/>
  <c r="AKD25" i="1"/>
  <c r="AAY25" i="1"/>
  <c r="IV25" i="1"/>
  <c r="AKR25" i="1"/>
  <c r="ABT25" i="1"/>
  <c r="ZX25" i="1"/>
  <c r="AHL25" i="1"/>
  <c r="JL25" i="1"/>
  <c r="ADT25" i="1"/>
  <c r="AIA25" i="1"/>
  <c r="CR25" i="1"/>
  <c r="AK25" i="1"/>
  <c r="AFM25" i="1"/>
  <c r="NI25" i="1"/>
  <c r="XI25" i="1"/>
  <c r="UL25" i="1"/>
  <c r="AHP25" i="1"/>
  <c r="LK25" i="1"/>
  <c r="AES25" i="1"/>
  <c r="BW25" i="1"/>
  <c r="ANZ25" i="1"/>
  <c r="AGR25" i="1"/>
  <c r="AJL25" i="1"/>
  <c r="ANT25" i="1"/>
  <c r="AFT25" i="1"/>
  <c r="WV25" i="1"/>
  <c r="AOJ25" i="1"/>
  <c r="QZ25" i="1"/>
  <c r="QB25" i="1"/>
  <c r="QL25" i="1"/>
  <c r="KV25" i="1"/>
  <c r="AOE25" i="1"/>
  <c r="AGU25" i="1"/>
  <c r="IK25" i="1"/>
  <c r="QE25" i="1"/>
  <c r="ND25" i="1"/>
  <c r="BK25" i="1"/>
  <c r="YI25" i="1"/>
  <c r="AFE25" i="1"/>
  <c r="TY25" i="1"/>
  <c r="AJA25" i="1"/>
  <c r="CU25" i="1"/>
  <c r="MN25" i="1"/>
  <c r="DZ25" i="1"/>
  <c r="GP25" i="1"/>
  <c r="DY25" i="1"/>
  <c r="AEC25" i="1"/>
  <c r="AAB25" i="1"/>
  <c r="GC25" i="1"/>
  <c r="JH25" i="1"/>
  <c r="ADP25" i="1"/>
  <c r="AFO25" i="1"/>
  <c r="DG25" i="1"/>
  <c r="ACM25" i="1"/>
  <c r="APJ25" i="1"/>
  <c r="ACP25" i="1"/>
  <c r="PE25" i="1"/>
  <c r="AHC25" i="1"/>
  <c r="AEE25" i="1"/>
  <c r="AAQ25" i="1"/>
  <c r="ANN25" i="1"/>
  <c r="XO25" i="1"/>
  <c r="AKL25" i="1"/>
  <c r="ST25" i="1"/>
  <c r="KG25" i="1"/>
  <c r="AAN25" i="1"/>
  <c r="PO25" i="1"/>
  <c r="AHG25" i="1"/>
  <c r="YR25" i="1"/>
  <c r="VP25" i="1"/>
  <c r="FS25" i="1"/>
  <c r="UE25" i="1"/>
  <c r="EE25" i="1"/>
  <c r="ABP25" i="1"/>
  <c r="ABK25" i="1"/>
  <c r="KD25" i="1"/>
  <c r="ANJ25" i="1"/>
  <c r="PA25" i="1"/>
  <c r="QS25" i="1"/>
  <c r="AEM25" i="1"/>
  <c r="KJ25" i="1"/>
  <c r="AAW25" i="1"/>
  <c r="ABB25" i="1"/>
  <c r="AOV25" i="1"/>
  <c r="AOP25" i="1"/>
  <c r="AIT25" i="1"/>
  <c r="SQ25" i="1"/>
  <c r="XC25" i="1"/>
  <c r="SL25" i="1"/>
  <c r="GU25" i="1"/>
  <c r="AIF25" i="1"/>
  <c r="ADV25" i="1"/>
  <c r="NS25" i="1"/>
  <c r="QM25" i="1"/>
  <c r="XP25" i="1"/>
  <c r="ALR25" i="1"/>
  <c r="YJ25" i="1"/>
  <c r="YB25" i="1"/>
  <c r="KT25" i="1"/>
  <c r="AFQ25" i="1"/>
  <c r="OL25" i="1"/>
  <c r="DB25" i="1"/>
  <c r="GJ25" i="1"/>
  <c r="AOU25" i="1"/>
  <c r="ABM25" i="1"/>
  <c r="AEV25" i="1"/>
  <c r="CD25" i="1"/>
  <c r="ZP25" i="1"/>
  <c r="JX25" i="1"/>
  <c r="ZC25" i="1"/>
  <c r="VH25" i="1"/>
  <c r="EZ25" i="1"/>
  <c r="SM25" i="1"/>
  <c r="LL25" i="1"/>
  <c r="ZW25" i="1"/>
  <c r="QJ25" i="1"/>
  <c r="AFJ25" i="1"/>
  <c r="ALF25" i="1"/>
  <c r="ANO25" i="1"/>
  <c r="GL25" i="1"/>
  <c r="IQ25" i="1"/>
  <c r="WO25" i="1"/>
  <c r="JD25" i="1"/>
  <c r="AGF25" i="1"/>
  <c r="OZ25" i="1"/>
  <c r="AEY25" i="1"/>
  <c r="ABI25" i="1"/>
  <c r="QI25" i="1"/>
  <c r="NU25" i="1"/>
  <c r="DI25" i="1"/>
  <c r="ANF25" i="1"/>
  <c r="MJ25" i="1"/>
  <c r="QA25" i="1"/>
  <c r="LS25" i="1"/>
  <c r="VT25" i="1"/>
  <c r="JO25" i="1"/>
  <c r="FG25" i="1"/>
  <c r="EV25" i="1"/>
  <c r="AGJ25" i="1"/>
  <c r="RW25" i="1"/>
  <c r="ACL25" i="1"/>
  <c r="AMV25" i="1"/>
  <c r="FF25" i="1"/>
  <c r="KL25" i="1"/>
  <c r="APD25" i="1"/>
  <c r="ADS25" i="1"/>
  <c r="YA25" i="1"/>
  <c r="BT25" i="1"/>
  <c r="AOO25" i="1"/>
  <c r="AET25" i="1"/>
  <c r="UW25" i="1"/>
  <c r="ET25" i="1"/>
  <c r="BV25" i="1"/>
  <c r="AEO25" i="1"/>
  <c r="ZY25" i="1"/>
  <c r="AGX25" i="1"/>
  <c r="AFY25" i="1"/>
  <c r="XG25" i="1"/>
  <c r="AFH25" i="1"/>
  <c r="QY25" i="1"/>
  <c r="AKU25" i="1"/>
  <c r="LW25" i="1"/>
  <c r="IU25" i="1"/>
  <c r="AHW25" i="1"/>
  <c r="AMR25" i="1"/>
  <c r="GY25" i="1"/>
  <c r="ANH25" i="1"/>
  <c r="UU25" i="1"/>
  <c r="SZ25" i="1"/>
  <c r="ZS25" i="1"/>
  <c r="AGK25" i="1"/>
  <c r="HD25" i="1"/>
  <c r="AIO25" i="1"/>
  <c r="ALB25" i="1"/>
  <c r="HU25" i="1"/>
  <c r="PS25" i="1"/>
  <c r="AKZ25" i="1"/>
  <c r="YF25" i="1"/>
  <c r="YD25" i="1"/>
  <c r="AH25" i="1"/>
  <c r="AOT25" i="1"/>
  <c r="VJ25" i="1"/>
  <c r="HZ25" i="1"/>
  <c r="XF25" i="1"/>
  <c r="RQ25" i="1"/>
  <c r="PX25" i="1"/>
  <c r="KB25" i="1"/>
  <c r="ANX25" i="1"/>
  <c r="SE25" i="1"/>
  <c r="HP25" i="1"/>
  <c r="DL25" i="1"/>
  <c r="UF25" i="1"/>
  <c r="UA25" i="1"/>
  <c r="ADE25" i="1"/>
  <c r="GI25" i="1"/>
  <c r="VG25" i="1"/>
  <c r="JZ25" i="1"/>
  <c r="AAG25" i="1"/>
  <c r="MX25" i="1"/>
  <c r="AAR25" i="1"/>
  <c r="AF25" i="1"/>
  <c r="FV25" i="1"/>
  <c r="AND25" i="1"/>
  <c r="NY25" i="1"/>
  <c r="AP25" i="1"/>
  <c r="ACB25" i="1"/>
  <c r="AIP25" i="1"/>
  <c r="AME25" i="1"/>
  <c r="AHH25" i="1"/>
  <c r="FI25" i="1"/>
  <c r="ALN25" i="1"/>
  <c r="XD25" i="1"/>
  <c r="ADR25" i="1"/>
  <c r="AFS25" i="1"/>
  <c r="XL25" i="1"/>
  <c r="WJ25" i="1"/>
  <c r="AGP25" i="1"/>
  <c r="ABD25" i="1"/>
  <c r="GN25" i="1"/>
  <c r="KP25" i="1"/>
  <c r="SA25" i="1"/>
  <c r="OH25" i="1"/>
  <c r="FA25" i="1"/>
  <c r="CN25" i="1"/>
  <c r="PC25" i="1"/>
  <c r="ALP25" i="1"/>
  <c r="SJ25" i="1"/>
  <c r="AOB25" i="1"/>
  <c r="TG25" i="1"/>
  <c r="ADG25" i="1"/>
  <c r="JW25" i="1"/>
  <c r="ABZ25" i="1"/>
  <c r="WQ25" i="1"/>
  <c r="DS25" i="1"/>
  <c r="APL25" i="1"/>
  <c r="KU25" i="1"/>
  <c r="AOR25" i="1"/>
  <c r="AGQ25" i="1"/>
  <c r="ABL25" i="1"/>
  <c r="LD25" i="1"/>
  <c r="XN25" i="1"/>
  <c r="IM25" i="1"/>
  <c r="LX25" i="1"/>
  <c r="IZ25" i="1"/>
  <c r="UJ25" i="1"/>
  <c r="AJC25" i="1"/>
  <c r="AHN25" i="1"/>
  <c r="RU25" i="1"/>
  <c r="MW25" i="1"/>
  <c r="LR25" i="1"/>
  <c r="AFW25" i="1"/>
  <c r="UD25" i="1"/>
  <c r="ALI25" i="1"/>
  <c r="PW25" i="1"/>
  <c r="HW25" i="1"/>
  <c r="RV25" i="1"/>
  <c r="JG25" i="1"/>
  <c r="AML25" i="1"/>
  <c r="SR25" i="1"/>
  <c r="ANB25" i="1"/>
  <c r="ALG25" i="1"/>
  <c r="UT25" i="1"/>
  <c r="AIB25" i="1"/>
  <c r="EM25" i="1"/>
  <c r="ANC25" i="1"/>
  <c r="ACJ25" i="1"/>
  <c r="WX25" i="1"/>
  <c r="JC25" i="1"/>
  <c r="ALY25" i="1"/>
  <c r="BB25" i="1"/>
  <c r="CV25" i="1"/>
  <c r="GW25" i="1"/>
  <c r="AKW25" i="1"/>
  <c r="CS25" i="1"/>
  <c r="AJE25" i="1"/>
  <c r="FZ25" i="1"/>
  <c r="GX25" i="1"/>
  <c r="AKH25" i="1"/>
  <c r="IP25" i="1"/>
  <c r="FH25" i="1"/>
  <c r="CY25" i="1"/>
  <c r="JM25" i="1"/>
  <c r="YX25" i="1"/>
  <c r="VV25" i="1"/>
  <c r="AII25" i="1"/>
  <c r="MP25" i="1"/>
  <c r="TZ25" i="1"/>
  <c r="AMZ25" i="1"/>
  <c r="IA25" i="1"/>
  <c r="HR25" i="1"/>
  <c r="EJ25" i="1"/>
  <c r="XB25" i="1"/>
  <c r="EP25" i="1"/>
  <c r="PI25" i="1"/>
  <c r="VC25" i="1"/>
  <c r="NK25" i="1"/>
  <c r="AHQ25" i="1"/>
  <c r="AEJ25" i="1"/>
  <c r="ER25" i="1"/>
  <c r="XV25" i="1"/>
  <c r="APM25" i="1"/>
  <c r="AIL25" i="1"/>
  <c r="BP25" i="1"/>
  <c r="OW25" i="1"/>
  <c r="KE25" i="1"/>
  <c r="CB25" i="1"/>
  <c r="CG25" i="1"/>
  <c r="JV25" i="1"/>
  <c r="AAL25" i="1"/>
  <c r="ABQ25" i="1"/>
  <c r="GD25" i="1"/>
  <c r="VZ25" i="1"/>
  <c r="APE25" i="1"/>
  <c r="EN25" i="1"/>
  <c r="ZJ25" i="1"/>
  <c r="OG25" i="1"/>
  <c r="TW25" i="1"/>
  <c r="JY25" i="1"/>
  <c r="QF25" i="1"/>
  <c r="RD25" i="1"/>
  <c r="CH25" i="1"/>
  <c r="FM25" i="1"/>
  <c r="LE25" i="1"/>
  <c r="RG25" i="1"/>
  <c r="CL25" i="1"/>
  <c r="PP25" i="1"/>
  <c r="JT25" i="1"/>
  <c r="NF25" i="1"/>
  <c r="AIG25" i="1"/>
  <c r="HH25" i="1"/>
  <c r="DH25" i="1"/>
  <c r="IH25" i="1"/>
  <c r="EY25" i="1"/>
  <c r="JK25" i="1"/>
  <c r="TJ25" i="1"/>
  <c r="UI25" i="1"/>
  <c r="LC25" i="1"/>
  <c r="AHB25" i="1"/>
  <c r="YS25" i="1"/>
  <c r="EF25" i="1"/>
  <c r="APG25" i="1"/>
  <c r="FR25" i="1"/>
  <c r="AAD25" i="1"/>
  <c r="LV25" i="1"/>
  <c r="AMY25" i="1"/>
  <c r="VS25" i="1"/>
  <c r="ABC25" i="1"/>
  <c r="AFR25" i="1"/>
  <c r="WZ25" i="1"/>
  <c r="AOZ25" i="1"/>
  <c r="ABV25" i="1"/>
  <c r="QU25" i="1"/>
  <c r="UQ25" i="1"/>
  <c r="AAT25" i="1"/>
  <c r="FT25" i="1"/>
  <c r="AFD25" i="1"/>
  <c r="SD25" i="1"/>
  <c r="KR25" i="1"/>
  <c r="AGY25" i="1"/>
  <c r="AAU25" i="1"/>
  <c r="AEX25" i="1"/>
  <c r="AJF25" i="1"/>
  <c r="DQ25" i="1"/>
  <c r="TC25" i="1"/>
  <c r="BG25" i="1"/>
  <c r="AFP25" i="1"/>
  <c r="AN25" i="1"/>
  <c r="VN25" i="1"/>
  <c r="AGH25" i="1"/>
  <c r="OA25" i="1"/>
  <c r="AIE25" i="1"/>
  <c r="ABR25" i="1"/>
  <c r="HK25" i="1"/>
  <c r="UY25" i="1"/>
  <c r="WT25" i="1"/>
  <c r="GQ25" i="1"/>
  <c r="ABX25" i="1"/>
  <c r="AL25" i="1"/>
  <c r="AMF25" i="1"/>
  <c r="AEQ25" i="1"/>
  <c r="AER25" i="1"/>
  <c r="CE25" i="1"/>
  <c r="AMJ25" i="1"/>
  <c r="AJK25" i="1"/>
  <c r="AEK25" i="1"/>
  <c r="BY25" i="1"/>
  <c r="ANS25" i="1"/>
  <c r="TB25" i="1"/>
  <c r="AGO25" i="1"/>
  <c r="WG25" i="1"/>
  <c r="DF25" i="1"/>
  <c r="YT25" i="1"/>
  <c r="HB25" i="1"/>
  <c r="AMI25" i="1"/>
  <c r="AMD25" i="1"/>
  <c r="ES25" i="1"/>
  <c r="AHK25" i="1"/>
  <c r="AHF25" i="1"/>
  <c r="RL25" i="1"/>
  <c r="ZV25" i="1"/>
  <c r="AOY25" i="1"/>
  <c r="WA25" i="1"/>
  <c r="AMP25" i="1"/>
  <c r="AAP25" i="1"/>
  <c r="XW25" i="1"/>
  <c r="PZ25" i="1"/>
  <c r="WP25" i="1"/>
  <c r="OQ25" i="1"/>
  <c r="SP25" i="1"/>
  <c r="KI25" i="1"/>
  <c r="CJ25" i="1"/>
  <c r="VU25" i="1"/>
  <c r="AHT25" i="1"/>
  <c r="AS25" i="1"/>
  <c r="HV25" i="1"/>
  <c r="AOK25" i="1"/>
  <c r="XY25" i="1"/>
  <c r="AGL25" i="1"/>
  <c r="JI25" i="1"/>
  <c r="OX25" i="1"/>
  <c r="ADJ25" i="1"/>
  <c r="HJ25" i="1"/>
  <c r="AGN25" i="1"/>
  <c r="AAJ25" i="1"/>
  <c r="AHO25" i="1"/>
  <c r="ML25" i="1"/>
  <c r="WR25" i="1"/>
  <c r="QN25" i="1"/>
  <c r="HG25" i="1"/>
  <c r="HN25" i="1"/>
  <c r="VO25" i="1"/>
  <c r="MC25" i="1"/>
  <c r="ACR25" i="1"/>
  <c r="AJD25" i="1"/>
  <c r="AHZ25" i="1"/>
  <c r="AJN25" i="1"/>
  <c r="AKV25" i="1"/>
  <c r="AHX25" i="1"/>
  <c r="AEI25" i="1"/>
  <c r="MF25" i="1"/>
  <c r="ABW25" i="1"/>
  <c r="VR25" i="1"/>
  <c r="IN25" i="1"/>
  <c r="PY25" i="1"/>
  <c r="GA25" i="1"/>
  <c r="ACU25" i="1"/>
  <c r="PL25" i="1"/>
  <c r="SO25" i="1"/>
  <c r="AJI25" i="1"/>
  <c r="JE25" i="1"/>
  <c r="EK25" i="1"/>
  <c r="AAK25" i="1"/>
  <c r="NB25" i="1"/>
  <c r="ID25" i="1"/>
  <c r="ACV25" i="1"/>
  <c r="EB25" i="1"/>
  <c r="OB25" i="1"/>
  <c r="AFN25" i="1"/>
  <c r="AJS25" i="1"/>
  <c r="YU25" i="1"/>
  <c r="AFU25" i="1"/>
  <c r="EI25" i="1"/>
  <c r="AHM25" i="1"/>
  <c r="ON25" i="1"/>
  <c r="MI25" i="1"/>
  <c r="ABS25" i="1"/>
  <c r="APA25" i="1"/>
  <c r="AGW25" i="1"/>
  <c r="ZR25" i="1"/>
  <c r="AKM25" i="1"/>
  <c r="IB25" i="1"/>
  <c r="AAH25" i="1"/>
  <c r="NW25" i="1"/>
  <c r="WH25" i="1"/>
  <c r="AOH25" i="1"/>
  <c r="DC25" i="1"/>
  <c r="NP25" i="1"/>
  <c r="DT25" i="1"/>
  <c r="ACF25" i="1"/>
  <c r="AEU25" i="1"/>
  <c r="ALW25" i="1"/>
  <c r="NA25" i="1"/>
  <c r="FY25" i="1"/>
  <c r="AAE25" i="1"/>
  <c r="AOC25" i="1"/>
  <c r="ABA25" i="1"/>
  <c r="ABF25" i="1"/>
  <c r="AOD25" i="1"/>
  <c r="BH25" i="1"/>
  <c r="AEH25" i="1"/>
  <c r="ZE25" i="1"/>
  <c r="ED25" i="1"/>
  <c r="ACN25" i="1"/>
  <c r="FU25" i="1"/>
  <c r="AMN25" i="1"/>
  <c r="RE25" i="1"/>
  <c r="ANW25" i="1"/>
  <c r="BM25" i="1"/>
  <c r="BD25" i="1"/>
  <c r="AEA25" i="1"/>
  <c r="AHU25" i="1"/>
  <c r="WD25" i="1"/>
  <c r="FQ25" i="1"/>
  <c r="HS25" i="1"/>
  <c r="AMH25" i="1"/>
  <c r="WE25" i="1"/>
  <c r="AKX25" i="1"/>
  <c r="VY25" i="1"/>
  <c r="EG25" i="1"/>
  <c r="MM25" i="1"/>
  <c r="ABG25" i="1"/>
  <c r="KW25" i="1"/>
  <c r="ACS25" i="1"/>
  <c r="NQ25" i="1"/>
  <c r="JF25" i="1"/>
  <c r="AOW25" i="1"/>
  <c r="PQ25" i="1"/>
  <c r="NR25" i="1"/>
  <c r="TA25" i="1"/>
  <c r="AKO25" i="1"/>
  <c r="AFF25" i="1"/>
  <c r="QO25" i="1"/>
  <c r="AMM25" i="1"/>
  <c r="KX25" i="1"/>
  <c r="QC25" i="1"/>
  <c r="XR25" i="1"/>
  <c r="VF25" i="1"/>
  <c r="IX25" i="1"/>
  <c r="TI25" i="1"/>
  <c r="AIR25" i="1"/>
  <c r="NN25" i="1"/>
  <c r="IS25" i="1"/>
  <c r="EH25" i="1"/>
  <c r="CT25" i="1"/>
  <c r="ANE25" i="1"/>
  <c r="NJ25" i="1"/>
  <c r="AMU25" i="1"/>
  <c r="YP25" i="1"/>
  <c r="UZ25" i="1"/>
  <c r="NZ25" i="1"/>
  <c r="AO25" i="1"/>
  <c r="AHV25" i="1"/>
  <c r="LA25" i="1"/>
  <c r="TX25" i="1"/>
  <c r="HY25" i="1"/>
  <c r="AFA25" i="1"/>
  <c r="YC25" i="1"/>
  <c r="SU25" i="1"/>
  <c r="UV25" i="1"/>
  <c r="RB25" i="1"/>
  <c r="HA25" i="1"/>
  <c r="XS25" i="1"/>
  <c r="CK25" i="1"/>
  <c r="AJG25" i="1"/>
  <c r="LM25" i="1"/>
  <c r="ABJ25" i="1"/>
  <c r="BQ25" i="1"/>
  <c r="AKS25" i="1"/>
  <c r="WC25" i="1"/>
  <c r="CP25" i="1"/>
  <c r="ANA25" i="1"/>
  <c r="AAZ25" i="1"/>
  <c r="OF25" i="1"/>
  <c r="JN25" i="1"/>
  <c r="NT25" i="1"/>
  <c r="IL25" i="1"/>
  <c r="NV25" i="1"/>
  <c r="OI25" i="1"/>
  <c r="LQ25" i="1"/>
  <c r="AEF25" i="1"/>
  <c r="SK25" i="1"/>
  <c r="JS25" i="1"/>
  <c r="AGM25" i="1"/>
  <c r="DW25" i="1"/>
  <c r="UN25" i="1"/>
  <c r="QQ25" i="1"/>
  <c r="AIX25" i="1"/>
  <c r="AT25" i="1"/>
  <c r="UO25" i="1"/>
  <c r="AIC25" i="1"/>
  <c r="ADI25" i="1"/>
  <c r="KY25" i="1"/>
  <c r="AAI25" i="1"/>
  <c r="MQ25" i="1"/>
  <c r="DX25" i="1"/>
  <c r="UB25" i="1"/>
  <c r="RZ25" i="1"/>
  <c r="ADN25" i="1"/>
  <c r="OM25" i="1"/>
  <c r="WN25" i="1"/>
  <c r="BX25" i="1"/>
  <c r="TR25" i="1"/>
  <c r="AJW25" i="1"/>
  <c r="GM25" i="1"/>
  <c r="ZN25" i="1"/>
  <c r="APK25" i="1"/>
  <c r="FK25" i="1"/>
  <c r="AOA25" i="1"/>
  <c r="ADF25" i="1"/>
  <c r="AMS25" i="1"/>
  <c r="LF25" i="1"/>
  <c r="EO25" i="1"/>
  <c r="RK25" i="1"/>
  <c r="OY25" i="1"/>
  <c r="FC25" i="1"/>
  <c r="ALE25" i="1"/>
  <c r="WK25" i="1"/>
  <c r="AOX25" i="1"/>
  <c r="CQ25" i="1"/>
  <c r="LY25" i="1"/>
  <c r="AHI25" i="1"/>
  <c r="ABY25" i="1"/>
  <c r="ACE25" i="1"/>
  <c r="YO25" i="1"/>
  <c r="UR25" i="1"/>
  <c r="CI25" i="1"/>
  <c r="BJ25" i="1"/>
  <c r="BN25" i="1"/>
  <c r="ANY25" i="1"/>
  <c r="DA25" i="1"/>
  <c r="AED25" i="1"/>
  <c r="GK25" i="1"/>
  <c r="AGB25" i="1"/>
  <c r="WY25" i="1"/>
  <c r="FO25" i="1"/>
  <c r="AKK25" i="1"/>
  <c r="AHA25" i="1"/>
  <c r="AJQ25" i="1"/>
  <c r="XT25" i="1"/>
  <c r="IF25" i="1"/>
  <c r="CZ25" i="1"/>
  <c r="AFG25" i="1"/>
  <c r="RN25" i="1"/>
  <c r="RH25" i="1"/>
  <c r="ZD25" i="1"/>
  <c r="RX25" i="1"/>
  <c r="MD25" i="1"/>
  <c r="ALT25" i="1"/>
  <c r="QD25" i="1"/>
  <c r="ME25" i="1"/>
  <c r="VQ25" i="1"/>
  <c r="AG25" i="1"/>
  <c r="ZH25" i="1"/>
  <c r="ALQ25" i="1"/>
  <c r="QT25" i="1"/>
  <c r="DR25" i="1"/>
  <c r="SW25" i="1"/>
  <c r="QW25" i="1"/>
  <c r="YM25" i="1"/>
  <c r="JR25" i="1"/>
  <c r="HM25" i="1"/>
  <c r="AKJ25" i="1"/>
  <c r="YW25" i="1"/>
  <c r="CX25" i="1"/>
  <c r="AJY25" i="1"/>
  <c r="OS25" i="1"/>
  <c r="ANV25" i="1"/>
  <c r="AHJ25" i="1"/>
  <c r="OU25" i="1"/>
  <c r="AJH25" i="1"/>
  <c r="ZL25" i="1"/>
  <c r="AAA25" i="1"/>
  <c r="AIJ25" i="1"/>
  <c r="TS25" i="1"/>
  <c r="ACA25" i="1"/>
  <c r="RY25" i="1"/>
  <c r="AIK25" i="1"/>
  <c r="OP25" i="1"/>
  <c r="YH25" i="1"/>
  <c r="AJM25" i="1"/>
  <c r="QP25" i="1"/>
  <c r="PM25" i="1"/>
  <c r="XK25" i="1"/>
  <c r="AAF25" i="1"/>
  <c r="OD25" i="1"/>
  <c r="OJ25" i="1"/>
  <c r="HF25" i="1"/>
  <c r="AIH25" i="1"/>
  <c r="LH25" i="1"/>
  <c r="RA25" i="1"/>
  <c r="ADC25" i="1"/>
  <c r="EL25" i="1"/>
  <c r="PJ25" i="1"/>
  <c r="FP25" i="1"/>
  <c r="AAS25" i="1"/>
  <c r="MV25" i="1"/>
  <c r="FL25" i="1"/>
  <c r="AMX25" i="1"/>
  <c r="LP25" i="1"/>
  <c r="NL25" i="1"/>
  <c r="BZ25" i="1"/>
  <c r="AKI25" i="1"/>
  <c r="AIM25" i="1"/>
  <c r="BE25" i="1"/>
  <c r="AOM25" i="1"/>
  <c r="ADU25" i="1"/>
  <c r="DM25" i="1"/>
  <c r="NX25" i="1"/>
  <c r="IG25" i="1"/>
  <c r="AMB25" i="1"/>
  <c r="AAX25" i="1"/>
  <c r="ANK25" i="1"/>
  <c r="JB25" i="1"/>
  <c r="ACK25" i="1"/>
  <c r="BC25" i="1"/>
  <c r="CM25" i="1"/>
  <c r="MG25" i="1"/>
  <c r="FD25" i="1"/>
  <c r="AJB25" i="1"/>
  <c r="IT25" i="1"/>
  <c r="UG25" i="1"/>
  <c r="GG25" i="1"/>
  <c r="ACD25" i="1"/>
  <c r="OT25" i="1"/>
  <c r="MH25" i="1"/>
  <c r="AOI25" i="1"/>
  <c r="AHS25" i="1"/>
  <c r="WL25" i="1"/>
  <c r="AJJ25" i="1"/>
  <c r="APF25" i="1"/>
  <c r="AZ25" i="1"/>
  <c r="AIQ25" i="1"/>
  <c r="AKF25" i="1"/>
  <c r="AKY25" i="1"/>
  <c r="QH25" i="1"/>
  <c r="HE25" i="1"/>
  <c r="GV25" i="1"/>
  <c r="FW25" i="1"/>
  <c r="AEN25" i="1"/>
  <c r="AJR25" i="1"/>
  <c r="ALC25" i="1"/>
  <c r="UK25" i="1"/>
  <c r="MA25" i="1"/>
  <c r="UC25" i="1"/>
  <c r="AOF25" i="1"/>
  <c r="CW25" i="1"/>
  <c r="GE25" i="1"/>
  <c r="BF25" i="1"/>
  <c r="IO25" i="1"/>
  <c r="SF25" i="1"/>
  <c r="NH25" i="1"/>
  <c r="HL25" i="1"/>
  <c r="YE25" i="1"/>
  <c r="YN25" i="1"/>
  <c r="VI25" i="1"/>
  <c r="AR25" i="1"/>
  <c r="TQ25" i="1"/>
  <c r="XX25" i="1"/>
  <c r="KO25" i="1"/>
  <c r="TL25" i="1"/>
  <c r="AJU25" i="1"/>
  <c r="RP25" i="1"/>
  <c r="ACC25" i="1"/>
  <c r="AMW25" i="1"/>
  <c r="VE25" i="1"/>
  <c r="AIS25" i="1"/>
  <c r="XA25" i="1"/>
  <c r="AOG25" i="1"/>
  <c r="ACG25" i="1"/>
  <c r="ACZ25" i="1"/>
  <c r="RJ25" i="1"/>
  <c r="VK25" i="1"/>
  <c r="DP25" i="1"/>
  <c r="SS25" i="1"/>
  <c r="HO25" i="1"/>
  <c r="DU25" i="1"/>
  <c r="AJP25" i="1"/>
  <c r="ZT25" i="1"/>
  <c r="AU25" i="1"/>
  <c r="RT25" i="1"/>
  <c r="AIU25" i="1"/>
  <c r="JJ25" i="1"/>
  <c r="TU25" i="1"/>
  <c r="BU25" i="1"/>
  <c r="AHY25" i="1"/>
  <c r="LG25" i="1"/>
  <c r="ALO25" i="1"/>
  <c r="APC25" i="1"/>
  <c r="YV25" i="1"/>
  <c r="GZ25" i="1"/>
  <c r="NG25" i="1"/>
  <c r="AAC25" i="1"/>
  <c r="OR25" i="1"/>
  <c r="FN25" i="1"/>
  <c r="EX25" i="1"/>
  <c r="IW25" i="1"/>
  <c r="ZO25" i="1"/>
  <c r="HT25" i="1"/>
  <c r="AIN25" i="1"/>
  <c r="EQ25" i="1"/>
  <c r="APB25" i="1"/>
  <c r="ABH25" i="1"/>
  <c r="MY25" i="1"/>
  <c r="PH25" i="1"/>
  <c r="HQ25" i="1"/>
  <c r="BI25" i="1"/>
  <c r="ADD25" i="1"/>
  <c r="TH25" i="1"/>
  <c r="AAM25" i="1"/>
  <c r="JP25" i="1"/>
  <c r="AKB25" i="1"/>
  <c r="EW25" i="1"/>
  <c r="API25" i="1"/>
  <c r="OC25" i="1"/>
  <c r="QG25" i="1"/>
  <c r="PB25" i="1"/>
  <c r="RR25" i="1"/>
  <c r="LI25" i="1"/>
  <c r="AGS25" i="1"/>
  <c r="IY25" i="1"/>
  <c r="ADQ25" i="1"/>
  <c r="UP25" i="1"/>
  <c r="PN25" i="1"/>
  <c r="YL25" i="1"/>
  <c r="ADM25" i="1"/>
  <c r="ACQ25" i="1"/>
  <c r="PU25" i="1"/>
  <c r="AON25" i="1"/>
  <c r="HI25" i="1"/>
  <c r="QV25" i="1"/>
  <c r="AAO25" i="1"/>
  <c r="ACO25" i="1"/>
  <c r="HX25" i="1"/>
  <c r="BL25" i="1"/>
  <c r="RC25" i="1"/>
  <c r="FB25" i="1"/>
  <c r="BO25" i="1"/>
  <c r="MT25" i="1"/>
  <c r="AW25" i="1"/>
  <c r="KH25" i="1"/>
  <c r="ABE25" i="1"/>
  <c r="RS25" i="1"/>
  <c r="AJ25" i="1"/>
  <c r="AEZ25" i="1"/>
  <c r="WS25" i="1"/>
  <c r="LN25" i="1"/>
  <c r="ABU25" i="1"/>
  <c r="LB25" i="1"/>
  <c r="YQ25" i="1"/>
  <c r="PF25" i="1"/>
  <c r="JU25" i="1"/>
  <c r="MK25" i="1"/>
  <c r="OK25" i="1"/>
  <c r="ANL25" i="1"/>
  <c r="ALK25" i="1"/>
  <c r="VD25" i="1"/>
  <c r="AOQ25" i="1"/>
  <c r="AKG25" i="1"/>
  <c r="ZM25" i="1"/>
  <c r="CF25" i="1"/>
  <c r="LU25" i="1"/>
  <c r="PV25" i="1"/>
  <c r="ADO25" i="1"/>
  <c r="YZ25" i="1"/>
  <c r="GS25" i="1"/>
  <c r="UX25" i="1"/>
  <c r="ZA25" i="1"/>
  <c r="ALJ25" i="1"/>
  <c r="APH25" i="1"/>
  <c r="KC25" i="1"/>
  <c r="SC25" i="1"/>
  <c r="IC25" i="1"/>
  <c r="IJ25" i="1"/>
  <c r="AOL25" i="1"/>
  <c r="ZG25" i="1"/>
  <c r="MS25" i="1"/>
  <c r="AJX25" i="1"/>
  <c r="DO25" i="1"/>
  <c r="JA25" i="1"/>
  <c r="AM25" i="1"/>
  <c r="ZK25" i="1"/>
  <c r="XZ25" i="1"/>
  <c r="ADB25" i="1"/>
  <c r="ADH25" i="1"/>
  <c r="VA25" i="1"/>
  <c r="AFI25" i="1"/>
  <c r="AJZ25" i="1"/>
  <c r="VM25" i="1"/>
  <c r="AHE25" i="1"/>
  <c r="WI25" i="1"/>
  <c r="XQ25" i="1"/>
  <c r="AMC25" i="1"/>
  <c r="ADK25" i="1"/>
  <c r="ADW25" i="1"/>
  <c r="WB25" i="1"/>
  <c r="AAV25" i="1"/>
  <c r="DV25" i="1"/>
  <c r="AFZ25" i="1"/>
  <c r="AGE25" i="1"/>
  <c r="IE25" i="1"/>
  <c r="ALU25" i="1"/>
  <c r="OE25" i="1"/>
  <c r="ACI25" i="1"/>
  <c r="KQ25" i="1"/>
  <c r="GF25" i="1"/>
  <c r="CA25" i="1"/>
  <c r="ADA25" i="1"/>
  <c r="TP25" i="1"/>
  <c r="II25" i="1"/>
  <c r="EA25" i="1"/>
  <c r="XU25" i="1"/>
  <c r="KS25" i="1"/>
  <c r="RI25" i="1"/>
  <c r="RM25" i="1"/>
  <c r="NE25" i="1"/>
  <c r="XM25" i="1"/>
  <c r="VL25" i="1"/>
  <c r="ABN25" i="1"/>
  <c r="RF25" i="1"/>
  <c r="ALD25" i="1"/>
  <c r="AY25" i="1"/>
  <c r="US25" i="1"/>
  <c r="ABO25" i="1"/>
  <c r="AGC25" i="1"/>
  <c r="AEL25" i="1"/>
  <c r="CO25" i="1"/>
  <c r="ACX25" i="1"/>
  <c r="ANQ25" i="1"/>
  <c r="ANG25" i="1"/>
  <c r="ALZ25" i="1"/>
  <c r="PK25" i="1"/>
  <c r="AGG25" i="1"/>
  <c r="TN25" i="1"/>
  <c r="AMG25" i="1"/>
  <c r="AMQ25" i="1"/>
  <c r="XE25" i="1"/>
  <c r="TF25" i="1"/>
  <c r="AMT25" i="1"/>
  <c r="BS25" i="1"/>
  <c r="TV25" i="1"/>
  <c r="ZQ25" i="1"/>
  <c r="AIY25" i="1"/>
  <c r="ALA25" i="1"/>
  <c r="AKN25" i="1"/>
  <c r="AKA25" i="1"/>
  <c r="AEW25" i="1"/>
  <c r="KM25" i="1"/>
  <c r="ANI25" i="1"/>
  <c r="AFL25" i="1"/>
  <c r="FJ25" i="1"/>
  <c r="AKT25" i="1"/>
  <c r="ANP25" i="1"/>
  <c r="KN25" i="1"/>
  <c r="ADZ25" i="1"/>
  <c r="AJV25" i="1"/>
  <c r="AFV25" i="1"/>
  <c r="GT25" i="1"/>
  <c r="AIZ25" i="1"/>
  <c r="AJT25" i="1"/>
  <c r="PD25" i="1"/>
  <c r="SN25" i="1"/>
  <c r="QX25" i="1"/>
  <c r="AGT25" i="1"/>
  <c r="RO25" i="1"/>
  <c r="ALM25" i="1"/>
  <c r="NM25" i="1"/>
  <c r="SX25" i="1"/>
  <c r="BR25" i="1"/>
  <c r="MO25" i="1"/>
  <c r="AEG25" i="1"/>
  <c r="WW25" i="1"/>
  <c r="AGA25" i="1"/>
  <c r="SY25" i="1"/>
  <c r="AMO25" i="1"/>
  <c r="AFX25" i="1"/>
  <c r="ALL25" i="1"/>
  <c r="AGV25" i="1"/>
  <c r="SV25" i="1"/>
  <c r="ZI25" i="1"/>
  <c r="VB25" i="1"/>
  <c r="TE25" i="1"/>
  <c r="BA25" i="1"/>
  <c r="ADL25" i="1"/>
  <c r="AX25" i="1"/>
  <c r="AMK25" i="1"/>
  <c r="WU25" i="1"/>
  <c r="PR25" i="1"/>
  <c r="ACW25" i="1"/>
  <c r="ZZ25" i="1"/>
  <c r="AKQ25" i="1"/>
  <c r="AKC25" i="1"/>
  <c r="LJ25" i="1"/>
  <c r="KF25" i="1"/>
  <c r="YG25" i="1"/>
  <c r="ACT25" i="1"/>
  <c r="ZB25" i="1"/>
  <c r="AKE25" i="1"/>
  <c r="SH25" i="1"/>
  <c r="CC25" i="1"/>
  <c r="UM25" i="1"/>
  <c r="ANM25" i="1"/>
  <c r="DN25" i="1"/>
  <c r="AGI25" i="1"/>
  <c r="AOS25" i="1"/>
  <c r="ALH25" i="1"/>
  <c r="AEP25" i="1"/>
  <c r="GB25" i="1"/>
  <c r="GW26" i="1" l="1" a="1"/>
  <c r="GW26" i="1" s="1"/>
  <c r="GY26" i="1" a="1"/>
  <c r="GY26" i="1" s="1"/>
  <c r="HA26" i="1" a="1"/>
  <c r="HA26" i="1" s="1"/>
  <c r="IY11" i="1"/>
  <c r="IX11" i="1"/>
  <c r="IW11" i="1"/>
  <c r="IV11" i="1"/>
  <c r="IR12" i="1" a="1"/>
  <c r="IR12" i="1" s="1"/>
  <c r="AU12" i="1" s="1"/>
  <c r="IM12" i="1" a="1"/>
  <c r="IM12" i="1" s="1"/>
  <c r="AM12" i="1" s="1"/>
  <c r="IJ12" i="1" a="1"/>
  <c r="IJ12" i="1" s="1"/>
  <c r="AJ12" i="1" s="1"/>
  <c r="IO12" i="1" a="1"/>
  <c r="IO12" i="1" s="1"/>
  <c r="IL12" i="1" a="1"/>
  <c r="IL12" i="1" s="1"/>
  <c r="AL12" i="1" s="1"/>
  <c r="IG12" i="1" a="1"/>
  <c r="IG12" i="1" s="1"/>
  <c r="AG12" i="1" s="1"/>
  <c r="IQ12" i="1" a="1"/>
  <c r="IQ12" i="1" s="1"/>
  <c r="AT12" i="1" s="1"/>
  <c r="IN12" i="1" a="1"/>
  <c r="IN12" i="1" s="1"/>
  <c r="BA12" i="1" s="1"/>
  <c r="BV12" i="1" s="1"/>
  <c r="II12" i="1" a="1"/>
  <c r="II12" i="1" s="1"/>
  <c r="AI12" i="1" s="1"/>
  <c r="IF12" i="1" a="1"/>
  <c r="IF12" i="1" s="1"/>
  <c r="AF12" i="1" s="1"/>
  <c r="IP12" i="1" a="1"/>
  <c r="IP12" i="1" s="1"/>
  <c r="IK12" i="1" a="1"/>
  <c r="IK12" i="1" s="1"/>
  <c r="AK12" i="1" s="1"/>
  <c r="IH12" i="1" a="1"/>
  <c r="IH12" i="1" s="1"/>
  <c r="AH12" i="1" s="1"/>
  <c r="BH16" i="1"/>
  <c r="K40" i="1" s="1"/>
  <c r="EK16" i="1" a="1"/>
  <c r="EK16" i="1" s="1"/>
  <c r="EG16" i="1" a="1"/>
  <c r="EG16" i="1" s="1"/>
  <c r="EN16" i="1" a="1"/>
  <c r="EN16" i="1" s="1"/>
  <c r="EJ16" i="1" a="1"/>
  <c r="EJ16" i="1" s="1"/>
  <c r="EF16" i="1" a="1"/>
  <c r="EF16" i="1" s="1"/>
  <c r="EM16" i="1" a="1"/>
  <c r="EM16" i="1" s="1"/>
  <c r="EI16" i="1" a="1"/>
  <c r="EI16" i="1" s="1"/>
  <c r="EL16" i="1" a="1"/>
  <c r="EL16" i="1" s="1"/>
  <c r="EH16" i="1" a="1"/>
  <c r="EH16" i="1" s="1"/>
  <c r="ADN10" i="1" a="1"/>
  <c r="ADN10" i="1" s="1"/>
  <c r="ADJ10" i="1" a="1"/>
  <c r="ADJ10" i="1" s="1"/>
  <c r="ADF10" i="1" a="1"/>
  <c r="ADF10" i="1" s="1"/>
  <c r="ADB10" i="1" a="1"/>
  <c r="ADB10" i="1" s="1"/>
  <c r="ACX10" i="1" a="1"/>
  <c r="ACX10" i="1" s="1"/>
  <c r="ACT10" i="1" a="1"/>
  <c r="ACT10" i="1" s="1"/>
  <c r="OD10" i="1" a="1"/>
  <c r="OD10" i="1" s="1"/>
  <c r="NZ10" i="1" a="1"/>
  <c r="NZ10" i="1" s="1"/>
  <c r="NV10" i="1" a="1"/>
  <c r="NV10" i="1" s="1"/>
  <c r="NR10" i="1" a="1"/>
  <c r="NR10" i="1" s="1"/>
  <c r="NN10" i="1" a="1"/>
  <c r="NN10" i="1" s="1"/>
  <c r="NJ10" i="1" a="1"/>
  <c r="NJ10" i="1" s="1"/>
  <c r="OA10" i="1" a="1"/>
  <c r="OA10" i="1" s="1"/>
  <c r="NS10" i="1" a="1"/>
  <c r="NS10" i="1" s="1"/>
  <c r="NK10" i="1" a="1"/>
  <c r="NK10" i="1" s="1"/>
  <c r="AQ10" i="1" a="1"/>
  <c r="AQ10" i="1" s="1"/>
  <c r="ALB10" i="1" s="1" a="1"/>
  <c r="ALB10" i="1" s="1"/>
  <c r="ALD10" i="1" a="1"/>
  <c r="ALD10" i="1" s="1"/>
  <c r="AKX10" i="1" a="1"/>
  <c r="AKX10" i="1" s="1"/>
  <c r="AKT10" i="1" a="1"/>
  <c r="AKT10" i="1" s="1"/>
  <c r="AKP10" i="1" a="1"/>
  <c r="AKP10" i="1" s="1"/>
  <c r="AKL10" i="1" a="1"/>
  <c r="AKL10" i="1" s="1"/>
  <c r="ADP10" i="1" a="1"/>
  <c r="ADP10" i="1" s="1"/>
  <c r="ADL10" i="1" a="1"/>
  <c r="ADL10" i="1" s="1"/>
  <c r="ADH10" i="1" a="1"/>
  <c r="ADH10" i="1" s="1"/>
  <c r="ADD10" i="1" a="1"/>
  <c r="ADD10" i="1" s="1"/>
  <c r="ACZ10" i="1" a="1"/>
  <c r="ACZ10" i="1" s="1"/>
  <c r="ACV10" i="1" a="1"/>
  <c r="ACV10" i="1" s="1"/>
  <c r="VT10" i="1" a="1"/>
  <c r="VT10" i="1" s="1"/>
  <c r="VP10" i="1" a="1"/>
  <c r="VP10" i="1" s="1"/>
  <c r="VL10" i="1" a="1"/>
  <c r="VL10" i="1" s="1"/>
  <c r="VH10" i="1" a="1"/>
  <c r="VH10" i="1" s="1"/>
  <c r="VD10" i="1" a="1"/>
  <c r="VD10" i="1" s="1"/>
  <c r="OF10" i="1" a="1"/>
  <c r="OF10" i="1" s="1"/>
  <c r="OB10" i="1" a="1"/>
  <c r="OB10" i="1" s="1"/>
  <c r="NX10" i="1" a="1"/>
  <c r="NX10" i="1" s="1"/>
  <c r="NT10" i="1" a="1"/>
  <c r="NT10" i="1" s="1"/>
  <c r="NP10" i="1" a="1"/>
  <c r="NP10" i="1" s="1"/>
  <c r="NL10" i="1" a="1"/>
  <c r="NL10" i="1" s="1"/>
  <c r="AR10" i="1" a="1"/>
  <c r="AR10" i="1" s="1"/>
  <c r="OE10" i="1" a="1"/>
  <c r="OE10" i="1" s="1"/>
  <c r="NW10" i="1" a="1"/>
  <c r="NW10" i="1" s="1"/>
  <c r="NO10" i="1" a="1"/>
  <c r="NO10" i="1" s="1"/>
  <c r="AQ3" i="1" a="1"/>
  <c r="AQ3" i="1" s="1"/>
  <c r="ALG10" i="1" a="1"/>
  <c r="ALG10" i="1" s="1"/>
  <c r="ALC10" i="1" a="1"/>
  <c r="ALC10" i="1" s="1"/>
  <c r="AKY10" i="1" a="1"/>
  <c r="AKY10" i="1" s="1"/>
  <c r="AKU10" i="1" a="1"/>
  <c r="AKU10" i="1" s="1"/>
  <c r="AKQ10" i="1" a="1"/>
  <c r="AKQ10" i="1" s="1"/>
  <c r="AKM10" i="1" a="1"/>
  <c r="AKM10" i="1" s="1"/>
  <c r="ADM10" i="1" a="1"/>
  <c r="ADM10" i="1" s="1"/>
  <c r="ADI10" i="1" a="1"/>
  <c r="ADI10" i="1" s="1"/>
  <c r="ADE10" i="1" a="1"/>
  <c r="ADE10" i="1" s="1"/>
  <c r="ADA10" i="1" a="1"/>
  <c r="ADA10" i="1" s="1"/>
  <c r="AGU10" i="1" s="1"/>
  <c r="ACW10" i="1" a="1"/>
  <c r="ACW10" i="1" s="1"/>
  <c r="VW10" i="1" a="1"/>
  <c r="VW10" i="1" s="1"/>
  <c r="VS10" i="1" a="1"/>
  <c r="VS10" i="1" s="1"/>
  <c r="VO10" i="1" a="1"/>
  <c r="VO10" i="1" s="1"/>
  <c r="VK10" i="1" a="1"/>
  <c r="VK10" i="1" s="1"/>
  <c r="VG10" i="1" a="1"/>
  <c r="VG10" i="1" s="1"/>
  <c r="VC10" i="1" a="1"/>
  <c r="VC10" i="1" s="1"/>
  <c r="NY10" i="1" a="1"/>
  <c r="NY10" i="1" s="1"/>
  <c r="NQ10" i="1" a="1"/>
  <c r="NQ10" i="1" s="1"/>
  <c r="RK10" i="1" s="1"/>
  <c r="ALE10" i="1" a="1"/>
  <c r="ALE10" i="1" s="1"/>
  <c r="ALA10" i="1" a="1"/>
  <c r="ALA10" i="1" s="1"/>
  <c r="AKW10" i="1" a="1"/>
  <c r="AKW10" i="1" s="1"/>
  <c r="AKS10" i="1" a="1"/>
  <c r="AKS10" i="1" s="1"/>
  <c r="AKO10" i="1" a="1"/>
  <c r="AKO10" i="1" s="1"/>
  <c r="AKK10" i="1" a="1"/>
  <c r="AKK10" i="1" s="1"/>
  <c r="ADO10" i="1" a="1"/>
  <c r="ADO10" i="1" s="1"/>
  <c r="ADK10" i="1" a="1"/>
  <c r="ADK10" i="1" s="1"/>
  <c r="ADG10" i="1" a="1"/>
  <c r="ADG10" i="1" s="1"/>
  <c r="ADC10" i="1" a="1"/>
  <c r="ADC10" i="1" s="1"/>
  <c r="ACY10" i="1" a="1"/>
  <c r="ACY10" i="1" s="1"/>
  <c r="ACU10" i="1" a="1"/>
  <c r="ACU10" i="1" s="1"/>
  <c r="VU10" i="1" a="1"/>
  <c r="VU10" i="1" s="1"/>
  <c r="VQ10" i="1" a="1"/>
  <c r="VQ10" i="1" s="1"/>
  <c r="VM10" i="1" a="1"/>
  <c r="VM10" i="1" s="1"/>
  <c r="VI10" i="1" a="1"/>
  <c r="VI10" i="1" s="1"/>
  <c r="VE10" i="1" a="1"/>
  <c r="VE10" i="1" s="1"/>
  <c r="VA10" i="1" a="1"/>
  <c r="VA10" i="1" s="1"/>
  <c r="OC10" i="1" a="1"/>
  <c r="OC10" i="1" s="1"/>
  <c r="NU10" i="1" a="1"/>
  <c r="NU10" i="1" s="1"/>
  <c r="NM10" i="1" a="1"/>
  <c r="NM10" i="1" s="1"/>
  <c r="BH13" i="1"/>
  <c r="K37" i="1" s="1"/>
  <c r="EM13" i="1" a="1"/>
  <c r="EM13" i="1" s="1"/>
  <c r="EJ13" i="1" a="1"/>
  <c r="EJ13" i="1" s="1"/>
  <c r="EL13" i="1" a="1"/>
  <c r="EL13" i="1" s="1"/>
  <c r="EG13" i="1" a="1"/>
  <c r="EG13" i="1" s="1"/>
  <c r="EN13" i="1" a="1"/>
  <c r="EN13" i="1" s="1"/>
  <c r="EI13" i="1" a="1"/>
  <c r="EI13" i="1" s="1"/>
  <c r="EF13" i="1" a="1"/>
  <c r="EF13" i="1" s="1"/>
  <c r="EK13" i="1" a="1"/>
  <c r="EK13" i="1" s="1"/>
  <c r="EH13" i="1" a="1"/>
  <c r="EH13" i="1" s="1"/>
  <c r="IP14" i="1" a="1"/>
  <c r="IP14" i="1" s="1"/>
  <c r="IK14" i="1" a="1"/>
  <c r="IK14" i="1" s="1"/>
  <c r="AK14" i="1" s="1"/>
  <c r="IH14" i="1" a="1"/>
  <c r="IH14" i="1" s="1"/>
  <c r="AH14" i="1" s="1"/>
  <c r="IR14" i="1" a="1"/>
  <c r="IR14" i="1" s="1"/>
  <c r="AU14" i="1" s="1"/>
  <c r="IM14" i="1" a="1"/>
  <c r="IM14" i="1" s="1"/>
  <c r="AM14" i="1" s="1"/>
  <c r="IJ14" i="1" a="1"/>
  <c r="IJ14" i="1" s="1"/>
  <c r="AJ14" i="1" s="1"/>
  <c r="IO14" i="1" a="1"/>
  <c r="IO14" i="1" s="1"/>
  <c r="AN14" i="1" s="1"/>
  <c r="AO14" i="1" s="1" a="1"/>
  <c r="AO14" i="1" s="1"/>
  <c r="IL14" i="1" a="1"/>
  <c r="IL14" i="1" s="1"/>
  <c r="AL14" i="1" s="1"/>
  <c r="IG14" i="1" a="1"/>
  <c r="IG14" i="1" s="1"/>
  <c r="AG14" i="1" s="1"/>
  <c r="IQ14" i="1" a="1"/>
  <c r="IQ14" i="1" s="1"/>
  <c r="AT14" i="1" s="1"/>
  <c r="IN14" i="1" a="1"/>
  <c r="IN14" i="1" s="1"/>
  <c r="BA14" i="1" s="1"/>
  <c r="BV14" i="1" s="1"/>
  <c r="II14" i="1" a="1"/>
  <c r="II14" i="1" s="1"/>
  <c r="AI14" i="1" s="1"/>
  <c r="IF14" i="1" a="1"/>
  <c r="IF14" i="1" s="1"/>
  <c r="AF14" i="1" s="1"/>
  <c r="IQ17" i="1" a="1"/>
  <c r="IQ17" i="1" s="1"/>
  <c r="AT17" i="1" s="1"/>
  <c r="IM17" i="1" a="1"/>
  <c r="IM17" i="1" s="1"/>
  <c r="AM17" i="1" s="1"/>
  <c r="II17" i="1" a="1"/>
  <c r="II17" i="1" s="1"/>
  <c r="AI17" i="1" s="1"/>
  <c r="IP17" i="1" a="1"/>
  <c r="IP17" i="1" s="1"/>
  <c r="IL17" i="1" a="1"/>
  <c r="IL17" i="1" s="1"/>
  <c r="AL17" i="1" s="1"/>
  <c r="IH17" i="1" a="1"/>
  <c r="IH17" i="1" s="1"/>
  <c r="AH17" i="1" s="1"/>
  <c r="IO17" i="1" a="1"/>
  <c r="IO17" i="1" s="1"/>
  <c r="AN17" i="1" s="1"/>
  <c r="AO17" i="1" s="1" a="1"/>
  <c r="AO17" i="1" s="1"/>
  <c r="IK17" i="1" a="1"/>
  <c r="IK17" i="1" s="1"/>
  <c r="AK17" i="1" s="1"/>
  <c r="IG17" i="1" a="1"/>
  <c r="IG17" i="1" s="1"/>
  <c r="AG17" i="1" s="1"/>
  <c r="IR17" i="1" a="1"/>
  <c r="IR17" i="1" s="1"/>
  <c r="AU17" i="1" s="1"/>
  <c r="IN17" i="1" a="1"/>
  <c r="IN17" i="1" s="1"/>
  <c r="BA17" i="1" s="1"/>
  <c r="BV17" i="1" s="1"/>
  <c r="IJ17" i="1" a="1"/>
  <c r="IJ17" i="1" s="1"/>
  <c r="AJ17" i="1" s="1"/>
  <c r="IF17" i="1" a="1"/>
  <c r="IF17" i="1" s="1"/>
  <c r="AF17" i="1" s="1"/>
  <c r="IQ10" i="1" a="1"/>
  <c r="IQ10" i="1" s="1"/>
  <c r="AT10" i="1" s="1"/>
  <c r="IO10" i="1" a="1"/>
  <c r="IO10" i="1" s="1"/>
  <c r="IM10" i="1" a="1"/>
  <c r="IM10" i="1" s="1"/>
  <c r="AM10" i="1" s="1"/>
  <c r="II10" i="1" a="1"/>
  <c r="II10" i="1" s="1"/>
  <c r="AI10" i="1" s="1"/>
  <c r="IG10" i="1" a="1"/>
  <c r="IG10" i="1" s="1"/>
  <c r="AG10" i="1" s="1"/>
  <c r="IR10" i="1" a="1"/>
  <c r="IR10" i="1" s="1"/>
  <c r="AU10" i="1" s="1"/>
  <c r="IN10" i="1" a="1"/>
  <c r="IN10" i="1" s="1"/>
  <c r="BA10" i="1" s="1"/>
  <c r="BV10" i="1" s="1"/>
  <c r="IJ10" i="1" a="1"/>
  <c r="IJ10" i="1" s="1"/>
  <c r="AJ10" i="1" s="1"/>
  <c r="IF10" i="1" a="1"/>
  <c r="IF10" i="1" s="1"/>
  <c r="AF10" i="1" s="1"/>
  <c r="IK10" i="1" a="1"/>
  <c r="IK10" i="1" s="1"/>
  <c r="AK10" i="1" s="1"/>
  <c r="IP10" i="1" a="1"/>
  <c r="IP10" i="1" s="1"/>
  <c r="AP10" i="1" s="1" a="1"/>
  <c r="AP10" i="1" s="1"/>
  <c r="IL10" i="1" a="1"/>
  <c r="IL10" i="1" s="1"/>
  <c r="AL10" i="1" s="1"/>
  <c r="IH10" i="1" a="1"/>
  <c r="IH10" i="1" s="1"/>
  <c r="AH10" i="1" s="1"/>
  <c r="IR11" i="1" a="1"/>
  <c r="IR11" i="1" s="1"/>
  <c r="AU11" i="1" s="1"/>
  <c r="IP11" i="1" a="1"/>
  <c r="IP11" i="1" s="1"/>
  <c r="IN11" i="1" a="1"/>
  <c r="IN11" i="1" s="1"/>
  <c r="BA11" i="1" s="1"/>
  <c r="BV11" i="1" s="1"/>
  <c r="IL11" i="1" a="1"/>
  <c r="IL11" i="1" s="1"/>
  <c r="AL11" i="1" s="1"/>
  <c r="IJ11" i="1" a="1"/>
  <c r="IJ11" i="1" s="1"/>
  <c r="AJ11" i="1" s="1"/>
  <c r="IH11" i="1" a="1"/>
  <c r="IH11" i="1" s="1"/>
  <c r="AH11" i="1" s="1"/>
  <c r="IF11" i="1" a="1"/>
  <c r="IF11" i="1" s="1"/>
  <c r="AF11" i="1" s="1"/>
  <c r="IQ11" i="1" a="1"/>
  <c r="IQ11" i="1" s="1"/>
  <c r="AT11" i="1" s="1"/>
  <c r="IO11" i="1" a="1"/>
  <c r="IO11" i="1" s="1"/>
  <c r="AN11" i="1" s="1"/>
  <c r="AO11" i="1" s="1" a="1"/>
  <c r="AO11" i="1" s="1"/>
  <c r="IM11" i="1" a="1"/>
  <c r="IM11" i="1" s="1"/>
  <c r="AM11" i="1" s="1"/>
  <c r="IK11" i="1" a="1"/>
  <c r="IK11" i="1" s="1"/>
  <c r="AK11" i="1" s="1"/>
  <c r="II11" i="1" a="1"/>
  <c r="II11" i="1" s="1"/>
  <c r="AI11" i="1" s="1"/>
  <c r="IG11" i="1" a="1"/>
  <c r="IG11" i="1" s="1"/>
  <c r="AG11" i="1" s="1"/>
  <c r="IO15" i="1" a="1"/>
  <c r="IO15" i="1" s="1"/>
  <c r="IK15" i="1" a="1"/>
  <c r="IK15" i="1" s="1"/>
  <c r="AK15" i="1" s="1"/>
  <c r="IG15" i="1" a="1"/>
  <c r="IG15" i="1" s="1"/>
  <c r="AG15" i="1" s="1"/>
  <c r="IR15" i="1" a="1"/>
  <c r="IR15" i="1" s="1"/>
  <c r="AU15" i="1" s="1"/>
  <c r="IN15" i="1" a="1"/>
  <c r="IN15" i="1" s="1"/>
  <c r="BA15" i="1" s="1"/>
  <c r="BV15" i="1" s="1"/>
  <c r="IJ15" i="1" a="1"/>
  <c r="IJ15" i="1" s="1"/>
  <c r="AJ15" i="1" s="1"/>
  <c r="IF15" i="1" a="1"/>
  <c r="IF15" i="1" s="1"/>
  <c r="AF15" i="1" s="1"/>
  <c r="IQ15" i="1" a="1"/>
  <c r="IQ15" i="1" s="1"/>
  <c r="AT15" i="1" s="1"/>
  <c r="IM15" i="1" a="1"/>
  <c r="IM15" i="1" s="1"/>
  <c r="AM15" i="1" s="1"/>
  <c r="II15" i="1" a="1"/>
  <c r="II15" i="1" s="1"/>
  <c r="AI15" i="1" s="1"/>
  <c r="IP15" i="1" a="1"/>
  <c r="IP15" i="1" s="1"/>
  <c r="IL15" i="1" a="1"/>
  <c r="IL15" i="1" s="1"/>
  <c r="AL15" i="1" s="1"/>
  <c r="IH15" i="1" a="1"/>
  <c r="IH15" i="1" s="1"/>
  <c r="AH15" i="1" s="1"/>
  <c r="IH13" i="1" a="1"/>
  <c r="IH13" i="1" s="1"/>
  <c r="AH13" i="1" s="1"/>
  <c r="IM13" i="1" a="1"/>
  <c r="IM13" i="1" s="1"/>
  <c r="AM13" i="1" s="1"/>
  <c r="IP13" i="1" a="1"/>
  <c r="IP13" i="1" s="1"/>
  <c r="IW14" i="1"/>
  <c r="IG16" i="1" a="1"/>
  <c r="IG16" i="1" s="1"/>
  <c r="AG16" i="1" s="1"/>
  <c r="IK16" i="1" a="1"/>
  <c r="IK16" i="1" s="1"/>
  <c r="AK16" i="1" s="1"/>
  <c r="IO16" i="1" a="1"/>
  <c r="IO16" i="1" s="1"/>
  <c r="EW18" i="1" a="1"/>
  <c r="EW18" i="1" s="1"/>
  <c r="EU18" i="1" a="1"/>
  <c r="EU18" i="1" s="1"/>
  <c r="ES18" i="1" a="1"/>
  <c r="ES18" i="1" s="1"/>
  <c r="FG18" i="1" s="1"/>
  <c r="EQ18" i="1" a="1"/>
  <c r="EQ18" i="1" s="1"/>
  <c r="EV18" i="1" a="1"/>
  <c r="EV18" i="1" s="1"/>
  <c r="EN18" i="1" a="1"/>
  <c r="EN18" i="1" s="1"/>
  <c r="EL18" i="1" a="1"/>
  <c r="EL18" i="1" s="1"/>
  <c r="EJ18" i="1" a="1"/>
  <c r="EJ18" i="1" s="1"/>
  <c r="EH18" i="1" a="1"/>
  <c r="EH18" i="1" s="1"/>
  <c r="EF18" i="1" a="1"/>
  <c r="EF18" i="1" s="1"/>
  <c r="BG18" i="1"/>
  <c r="J42" i="1" s="1"/>
  <c r="HK19" i="1" a="1"/>
  <c r="HK19" i="1" s="1"/>
  <c r="HP19" i="1" s="1"/>
  <c r="HI19" i="1" a="1"/>
  <c r="HI19" i="1" s="1"/>
  <c r="HG19" i="1" a="1"/>
  <c r="HG19" i="1" s="1"/>
  <c r="HM19" i="1" a="1"/>
  <c r="HM19" i="1" s="1"/>
  <c r="HJ19" i="1" a="1"/>
  <c r="HJ19" i="1" s="1"/>
  <c r="HH19" i="1" a="1"/>
  <c r="HH19" i="1" s="1"/>
  <c r="HF19" i="1" a="1"/>
  <c r="HF19" i="1" s="1"/>
  <c r="HF10" i="1" a="1"/>
  <c r="HF10" i="1" s="1"/>
  <c r="HO10" i="1" s="1"/>
  <c r="HQ10" i="1" s="1"/>
  <c r="HR10" i="1" s="1"/>
  <c r="HH10" i="1" a="1"/>
  <c r="HH10" i="1" s="1"/>
  <c r="HJ10" i="1" a="1"/>
  <c r="HJ10" i="1" s="1"/>
  <c r="HV10" i="1" s="1"/>
  <c r="HM10" i="1" a="1"/>
  <c r="HM10" i="1" s="1"/>
  <c r="HG11" i="1" a="1"/>
  <c r="HG11" i="1" s="1"/>
  <c r="HI11" i="1" a="1"/>
  <c r="HI11" i="1" s="1"/>
  <c r="HW11" i="1" s="1"/>
  <c r="HK11" i="1" a="1"/>
  <c r="HK11" i="1" s="1"/>
  <c r="HP11" i="1" s="1"/>
  <c r="IW12" i="1"/>
  <c r="HK13" i="1" a="1"/>
  <c r="HK13" i="1" s="1"/>
  <c r="HP13" i="1" s="1"/>
  <c r="HI13" i="1" a="1"/>
  <c r="HI13" i="1" s="1"/>
  <c r="HG13" i="1" a="1"/>
  <c r="HG13" i="1" s="1"/>
  <c r="HM13" i="1" a="1"/>
  <c r="HM13" i="1" s="1"/>
  <c r="IF13" i="1" a="1"/>
  <c r="IF13" i="1" s="1"/>
  <c r="AF13" i="1" s="1"/>
  <c r="IK13" i="1" a="1"/>
  <c r="IK13" i="1" s="1"/>
  <c r="AK13" i="1" s="1"/>
  <c r="IN13" i="1" a="1"/>
  <c r="IN13" i="1" s="1"/>
  <c r="BA13" i="1" s="1"/>
  <c r="BV13" i="1" s="1"/>
  <c r="HM14" i="1" a="1"/>
  <c r="HM14" i="1" s="1"/>
  <c r="HJ14" i="1" a="1"/>
  <c r="HJ14" i="1" s="1"/>
  <c r="HV14" i="1" s="1"/>
  <c r="HH14" i="1" a="1"/>
  <c r="HH14" i="1" s="1"/>
  <c r="HF14" i="1" a="1"/>
  <c r="HF14" i="1" s="1"/>
  <c r="HO14" i="1" s="1"/>
  <c r="HQ14" i="1" s="1"/>
  <c r="HR14" i="1" s="1"/>
  <c r="HG14" i="1" a="1"/>
  <c r="HG14" i="1" s="1"/>
  <c r="HK15" i="1" a="1"/>
  <c r="HK15" i="1" s="1"/>
  <c r="HP15" i="1" s="1"/>
  <c r="HI15" i="1" a="1"/>
  <c r="HI15" i="1" s="1"/>
  <c r="HW15" i="1" s="1"/>
  <c r="HG15" i="1" a="1"/>
  <c r="HG15" i="1" s="1"/>
  <c r="HM15" i="1" a="1"/>
  <c r="HM15" i="1" s="1"/>
  <c r="HJ15" i="1" a="1"/>
  <c r="HJ15" i="1" s="1"/>
  <c r="HH15" i="1" a="1"/>
  <c r="HH15" i="1" s="1"/>
  <c r="HF15" i="1" a="1"/>
  <c r="HF15" i="1" s="1"/>
  <c r="IW15" i="1"/>
  <c r="IY15" i="1"/>
  <c r="IH16" i="1" a="1"/>
  <c r="IH16" i="1" s="1"/>
  <c r="AH16" i="1" s="1"/>
  <c r="IL16" i="1" a="1"/>
  <c r="IL16" i="1" s="1"/>
  <c r="AL16" i="1" s="1"/>
  <c r="IP16" i="1" a="1"/>
  <c r="IP16" i="1" s="1"/>
  <c r="EP18" i="1" a="1"/>
  <c r="EP18" i="1" s="1"/>
  <c r="HO19" i="1"/>
  <c r="IR23" i="1" a="1"/>
  <c r="IR23" i="1" s="1"/>
  <c r="AU23" i="1" s="1"/>
  <c r="IP23" i="1" a="1"/>
  <c r="IP23" i="1" s="1"/>
  <c r="IN23" i="1" a="1"/>
  <c r="IN23" i="1" s="1"/>
  <c r="BA23" i="1" s="1"/>
  <c r="BV23" i="1" s="1"/>
  <c r="IL23" i="1" a="1"/>
  <c r="IL23" i="1" s="1"/>
  <c r="AL23" i="1" s="1"/>
  <c r="IJ23" i="1" a="1"/>
  <c r="IJ23" i="1" s="1"/>
  <c r="AJ23" i="1" s="1"/>
  <c r="IH23" i="1" a="1"/>
  <c r="IH23" i="1" s="1"/>
  <c r="AH23" i="1" s="1"/>
  <c r="IF23" i="1" a="1"/>
  <c r="IF23" i="1" s="1"/>
  <c r="AF23" i="1" s="1"/>
  <c r="IQ23" i="1" a="1"/>
  <c r="IQ23" i="1" s="1"/>
  <c r="AT23" i="1" s="1"/>
  <c r="II23" i="1" a="1"/>
  <c r="II23" i="1" s="1"/>
  <c r="AI23" i="1" s="1"/>
  <c r="IO23" i="1" a="1"/>
  <c r="IO23" i="1" s="1"/>
  <c r="IG23" i="1" a="1"/>
  <c r="IG23" i="1" s="1"/>
  <c r="AG23" i="1" s="1"/>
  <c r="IM23" i="1" a="1"/>
  <c r="IM23" i="1" s="1"/>
  <c r="AM23" i="1" s="1"/>
  <c r="IK23" i="1" a="1"/>
  <c r="IK23" i="1" s="1"/>
  <c r="AK23" i="1" s="1"/>
  <c r="HM12" i="1" a="1"/>
  <c r="HM12" i="1" s="1"/>
  <c r="HJ12" i="1" a="1"/>
  <c r="HJ12" i="1" s="1"/>
  <c r="HV12" i="1" s="1"/>
  <c r="HH12" i="1" a="1"/>
  <c r="HH12" i="1" s="1"/>
  <c r="HF12" i="1" a="1"/>
  <c r="HF12" i="1" s="1"/>
  <c r="HO12" i="1" s="1"/>
  <c r="HQ12" i="1" s="1"/>
  <c r="HR12" i="1" s="1"/>
  <c r="HG12" i="1" a="1"/>
  <c r="HG12" i="1" s="1"/>
  <c r="IX12" i="1"/>
  <c r="HW12" i="1" s="1"/>
  <c r="HJ13" i="1" a="1"/>
  <c r="HJ13" i="1" s="1"/>
  <c r="HV13" i="1" s="1"/>
  <c r="II13" i="1" a="1"/>
  <c r="II13" i="1" s="1"/>
  <c r="AI13" i="1" s="1"/>
  <c r="IL13" i="1" a="1"/>
  <c r="IL13" i="1" s="1"/>
  <c r="AL13" i="1" s="1"/>
  <c r="IQ13" i="1" a="1"/>
  <c r="IQ13" i="1" s="1"/>
  <c r="AT13" i="1" s="1"/>
  <c r="IX13" i="1"/>
  <c r="HM16" i="1" a="1"/>
  <c r="HM16" i="1" s="1"/>
  <c r="HJ16" i="1" a="1"/>
  <c r="HJ16" i="1" s="1"/>
  <c r="HV16" i="1" s="1"/>
  <c r="HH16" i="1" a="1"/>
  <c r="HH16" i="1" s="1"/>
  <c r="HF16" i="1" a="1"/>
  <c r="HF16" i="1" s="1"/>
  <c r="HO16" i="1" s="1"/>
  <c r="HQ16" i="1" s="1"/>
  <c r="HR16" i="1" s="1"/>
  <c r="HK16" i="1" a="1"/>
  <c r="HK16" i="1" s="1"/>
  <c r="HP16" i="1" s="1"/>
  <c r="HI16" i="1" a="1"/>
  <c r="HI16" i="1" s="1"/>
  <c r="HW16" i="1" s="1"/>
  <c r="HG16" i="1" a="1"/>
  <c r="HG16" i="1" s="1"/>
  <c r="II16" i="1" a="1"/>
  <c r="II16" i="1" s="1"/>
  <c r="AI16" i="1" s="1"/>
  <c r="IM16" i="1" a="1"/>
  <c r="IM16" i="1" s="1"/>
  <c r="AM16" i="1" s="1"/>
  <c r="IQ16" i="1" a="1"/>
  <c r="IQ16" i="1" s="1"/>
  <c r="AT16" i="1" s="1"/>
  <c r="IY16" i="1"/>
  <c r="IW16" i="1"/>
  <c r="EI18" i="1" a="1"/>
  <c r="EI18" i="1" s="1"/>
  <c r="EZ18" i="1" s="1"/>
  <c r="ER18" i="1" a="1"/>
  <c r="ER18" i="1" s="1"/>
  <c r="IF18" i="1" a="1"/>
  <c r="IF18" i="1" s="1"/>
  <c r="AF18" i="1" s="1"/>
  <c r="IY18" i="1"/>
  <c r="IW18" i="1"/>
  <c r="IV18" i="1"/>
  <c r="FO20" i="1"/>
  <c r="BN20" i="1"/>
  <c r="HG10" i="1" a="1"/>
  <c r="HG10" i="1" s="1"/>
  <c r="HI10" i="1" a="1"/>
  <c r="HI10" i="1" s="1"/>
  <c r="HF11" i="1" a="1"/>
  <c r="HF11" i="1" s="1"/>
  <c r="HO11" i="1" s="1"/>
  <c r="HQ11" i="1" s="1"/>
  <c r="HR11" i="1" s="1"/>
  <c r="HH11" i="1" a="1"/>
  <c r="HH11" i="1" s="1"/>
  <c r="HJ11" i="1" a="1"/>
  <c r="HJ11" i="1" s="1"/>
  <c r="HV11" i="1" s="1"/>
  <c r="HO13" i="1"/>
  <c r="HQ13" i="1" s="1"/>
  <c r="HR13" i="1" s="1"/>
  <c r="IG13" i="1" a="1"/>
  <c r="IG13" i="1" s="1"/>
  <c r="AG13" i="1" s="1"/>
  <c r="IJ13" i="1" a="1"/>
  <c r="IJ13" i="1" s="1"/>
  <c r="AJ13" i="1" s="1"/>
  <c r="IO13" i="1" a="1"/>
  <c r="IO13" i="1" s="1"/>
  <c r="AN13" i="1" s="1"/>
  <c r="AO13" i="1" s="1" a="1"/>
  <c r="AO13" i="1" s="1"/>
  <c r="HK14" i="1" a="1"/>
  <c r="HK14" i="1" s="1"/>
  <c r="HP14" i="1" s="1"/>
  <c r="HO15" i="1"/>
  <c r="IV15" i="1"/>
  <c r="IF16" i="1" a="1"/>
  <c r="IF16" i="1" s="1"/>
  <c r="AF16" i="1" s="1"/>
  <c r="IJ16" i="1" a="1"/>
  <c r="IJ16" i="1" s="1"/>
  <c r="AJ16" i="1" s="1"/>
  <c r="IN16" i="1" a="1"/>
  <c r="IN16" i="1" s="1"/>
  <c r="BA16" i="1" s="1"/>
  <c r="BV16" i="1" s="1"/>
  <c r="HK17" i="1" a="1"/>
  <c r="HK17" i="1" s="1"/>
  <c r="HP17" i="1" s="1"/>
  <c r="HI17" i="1" a="1"/>
  <c r="HI17" i="1" s="1"/>
  <c r="HW17" i="1" s="1"/>
  <c r="HG17" i="1" a="1"/>
  <c r="HG17" i="1" s="1"/>
  <c r="HM17" i="1" a="1"/>
  <c r="HM17" i="1" s="1"/>
  <c r="HJ17" i="1" a="1"/>
  <c r="HJ17" i="1" s="1"/>
  <c r="HV17" i="1" s="1"/>
  <c r="HH17" i="1" a="1"/>
  <c r="HH17" i="1" s="1"/>
  <c r="HF17" i="1" a="1"/>
  <c r="HF17" i="1" s="1"/>
  <c r="HO17" i="1" s="1"/>
  <c r="HQ17" i="1" s="1"/>
  <c r="HR17" i="1" s="1"/>
  <c r="IW17" i="1"/>
  <c r="IY17" i="1"/>
  <c r="IQ18" i="1" a="1"/>
  <c r="IQ18" i="1" s="1"/>
  <c r="AT18" i="1" s="1"/>
  <c r="IO18" i="1" a="1"/>
  <c r="IO18" i="1" s="1"/>
  <c r="AN18" i="1" s="1"/>
  <c r="AO18" i="1" s="1" a="1"/>
  <c r="AO18" i="1" s="1"/>
  <c r="IM18" i="1" a="1"/>
  <c r="IM18" i="1" s="1"/>
  <c r="AM18" i="1" s="1"/>
  <c r="IK18" i="1" a="1"/>
  <c r="IK18" i="1" s="1"/>
  <c r="AK18" i="1" s="1"/>
  <c r="II18" i="1" a="1"/>
  <c r="II18" i="1" s="1"/>
  <c r="AI18" i="1" s="1"/>
  <c r="IG18" i="1" a="1"/>
  <c r="IG18" i="1" s="1"/>
  <c r="AG18" i="1" s="1"/>
  <c r="EK18" i="1" a="1"/>
  <c r="EK18" i="1" s="1"/>
  <c r="ET18" i="1" a="1"/>
  <c r="ET18" i="1" s="1"/>
  <c r="FF18" i="1" s="1"/>
  <c r="IH18" i="1" a="1"/>
  <c r="IH18" i="1" s="1"/>
  <c r="AH18" i="1" s="1"/>
  <c r="IP18" i="1" a="1"/>
  <c r="IP18" i="1" s="1"/>
  <c r="IQ19" i="1" a="1"/>
  <c r="IQ19" i="1" s="1"/>
  <c r="AT19" i="1" s="1"/>
  <c r="IO19" i="1" a="1"/>
  <c r="IO19" i="1" s="1"/>
  <c r="IM19" i="1" a="1"/>
  <c r="IM19" i="1" s="1"/>
  <c r="AM19" i="1" s="1"/>
  <c r="IK19" i="1" a="1"/>
  <c r="IK19" i="1" s="1"/>
  <c r="AK19" i="1" s="1"/>
  <c r="II19" i="1" a="1"/>
  <c r="II19" i="1" s="1"/>
  <c r="AI19" i="1" s="1"/>
  <c r="IG19" i="1" a="1"/>
  <c r="IG19" i="1" s="1"/>
  <c r="AG19" i="1" s="1"/>
  <c r="IR19" i="1" a="1"/>
  <c r="IR19" i="1" s="1"/>
  <c r="AU19" i="1" s="1"/>
  <c r="IP19" i="1" a="1"/>
  <c r="IP19" i="1" s="1"/>
  <c r="IN19" i="1" a="1"/>
  <c r="IN19" i="1" s="1"/>
  <c r="BA19" i="1" s="1"/>
  <c r="BV19" i="1" s="1"/>
  <c r="IL19" i="1" a="1"/>
  <c r="IL19" i="1" s="1"/>
  <c r="AL19" i="1" s="1"/>
  <c r="IJ19" i="1" a="1"/>
  <c r="IJ19" i="1" s="1"/>
  <c r="AJ19" i="1" s="1"/>
  <c r="IH19" i="1" a="1"/>
  <c r="IH19" i="1" s="1"/>
  <c r="AH19" i="1" s="1"/>
  <c r="IF19" i="1" a="1"/>
  <c r="IF19" i="1" s="1"/>
  <c r="AF19" i="1" s="1"/>
  <c r="IY19" i="1"/>
  <c r="IW19" i="1"/>
  <c r="IV19" i="1"/>
  <c r="IX19" i="1"/>
  <c r="BS20" i="1"/>
  <c r="FT20" i="1"/>
  <c r="IQ21" i="1" a="1"/>
  <c r="IQ21" i="1" s="1"/>
  <c r="AT21" i="1" s="1"/>
  <c r="IM21" i="1" a="1"/>
  <c r="IM21" i="1" s="1"/>
  <c r="AM21" i="1" s="1"/>
  <c r="II21" i="1" a="1"/>
  <c r="II21" i="1" s="1"/>
  <c r="AI21" i="1" s="1"/>
  <c r="IP21" i="1" a="1"/>
  <c r="IP21" i="1" s="1"/>
  <c r="IL21" i="1" a="1"/>
  <c r="IL21" i="1" s="1"/>
  <c r="AL21" i="1" s="1"/>
  <c r="IH21" i="1" a="1"/>
  <c r="IH21" i="1" s="1"/>
  <c r="AH21" i="1" s="1"/>
  <c r="IO21" i="1" a="1"/>
  <c r="IO21" i="1" s="1"/>
  <c r="IK21" i="1" a="1"/>
  <c r="IK21" i="1" s="1"/>
  <c r="AK21" i="1" s="1"/>
  <c r="IG21" i="1" a="1"/>
  <c r="IG21" i="1" s="1"/>
  <c r="AG21" i="1" s="1"/>
  <c r="IR21" i="1" a="1"/>
  <c r="IR21" i="1" s="1"/>
  <c r="AU21" i="1" s="1"/>
  <c r="IN21" i="1" a="1"/>
  <c r="IN21" i="1" s="1"/>
  <c r="BA21" i="1" s="1"/>
  <c r="BV21" i="1" s="1"/>
  <c r="IJ21" i="1" a="1"/>
  <c r="IJ21" i="1" s="1"/>
  <c r="AJ21" i="1" s="1"/>
  <c r="IF21" i="1" a="1"/>
  <c r="IF21" i="1" s="1"/>
  <c r="AF21" i="1" s="1"/>
  <c r="HJ20" i="1" a="1"/>
  <c r="HJ20" i="1" s="1"/>
  <c r="HV20" i="1" s="1"/>
  <c r="II20" i="1" a="1"/>
  <c r="II20" i="1" s="1"/>
  <c r="AI20" i="1" s="1"/>
  <c r="IL20" i="1" a="1"/>
  <c r="IL20" i="1" s="1"/>
  <c r="AL20" i="1" s="1"/>
  <c r="IQ20" i="1" a="1"/>
  <c r="IQ20" i="1" s="1"/>
  <c r="AT20" i="1" s="1"/>
  <c r="IX20" i="1"/>
  <c r="HK22" i="1" a="1"/>
  <c r="HK22" i="1" s="1"/>
  <c r="HP22" i="1" s="1"/>
  <c r="HI22" i="1" a="1"/>
  <c r="HI22" i="1" s="1"/>
  <c r="HW22" i="1" s="1"/>
  <c r="HG22" i="1" a="1"/>
  <c r="HG22" i="1" s="1"/>
  <c r="HM22" i="1" a="1"/>
  <c r="HM22" i="1" s="1"/>
  <c r="HJ22" i="1" a="1"/>
  <c r="HJ22" i="1" s="1"/>
  <c r="HH22" i="1" a="1"/>
  <c r="HH22" i="1" s="1"/>
  <c r="HF22" i="1" a="1"/>
  <c r="HF22" i="1" s="1"/>
  <c r="II22" i="1" a="1"/>
  <c r="II22" i="1" s="1"/>
  <c r="AI22" i="1" s="1"/>
  <c r="IM22" i="1" a="1"/>
  <c r="IM22" i="1" s="1"/>
  <c r="AM22" i="1" s="1"/>
  <c r="IQ22" i="1" a="1"/>
  <c r="IQ22" i="1" s="1"/>
  <c r="AT22" i="1" s="1"/>
  <c r="IW22" i="1"/>
  <c r="IY22" i="1"/>
  <c r="AP23" i="1" a="1"/>
  <c r="AP23" i="1" s="1"/>
  <c r="VH23" i="1" a="1"/>
  <c r="VH23" i="1" s="1"/>
  <c r="VP23" i="1" a="1"/>
  <c r="VP23" i="1" s="1"/>
  <c r="HG18" i="1" a="1"/>
  <c r="HG18" i="1" s="1"/>
  <c r="HI18" i="1" a="1"/>
  <c r="HI18" i="1" s="1"/>
  <c r="HW18" i="1" s="1"/>
  <c r="HK18" i="1" a="1"/>
  <c r="HK18" i="1" s="1"/>
  <c r="HP18" i="1" s="1"/>
  <c r="HO20" i="1"/>
  <c r="HH20" i="1" a="1"/>
  <c r="HH20" i="1" s="1"/>
  <c r="IG20" i="1" a="1"/>
  <c r="IG20" i="1" s="1"/>
  <c r="AG20" i="1" s="1"/>
  <c r="IJ20" i="1" a="1"/>
  <c r="IJ20" i="1" s="1"/>
  <c r="AJ20" i="1" s="1"/>
  <c r="IO20" i="1" a="1"/>
  <c r="IO20" i="1" s="1"/>
  <c r="AN20" i="1" s="1"/>
  <c r="AO20" i="1" s="1" a="1"/>
  <c r="AO20" i="1" s="1"/>
  <c r="IR20" i="1" a="1"/>
  <c r="IR20" i="1" s="1"/>
  <c r="AU20" i="1" s="1"/>
  <c r="IV21" i="1"/>
  <c r="IF22" i="1" a="1"/>
  <c r="IF22" i="1" s="1"/>
  <c r="AF22" i="1" s="1"/>
  <c r="IJ22" i="1" a="1"/>
  <c r="IJ22" i="1" s="1"/>
  <c r="AJ22" i="1" s="1"/>
  <c r="IN22" i="1" a="1"/>
  <c r="IN22" i="1" s="1"/>
  <c r="BA22" i="1" s="1"/>
  <c r="BV22" i="1" s="1"/>
  <c r="IR22" i="1" a="1"/>
  <c r="IR22" i="1" s="1"/>
  <c r="AU22" i="1" s="1"/>
  <c r="IY23" i="1"/>
  <c r="IX23" i="1"/>
  <c r="IW23" i="1"/>
  <c r="VB23" i="1" a="1"/>
  <c r="VB23" i="1" s="1"/>
  <c r="VJ23" i="1" a="1"/>
  <c r="VJ23" i="1" s="1"/>
  <c r="VR23" i="1" a="1"/>
  <c r="VR23" i="1" s="1"/>
  <c r="AR55" i="1" a="1"/>
  <c r="AR55" i="1" s="1"/>
  <c r="OB55" i="1" a="1"/>
  <c r="OB55" i="1" s="1"/>
  <c r="NY55" i="1" a="1"/>
  <c r="NY55" i="1" s="1"/>
  <c r="NT55" i="1" a="1"/>
  <c r="NT55" i="1" s="1"/>
  <c r="NQ55" i="1" a="1"/>
  <c r="NQ55" i="1" s="1"/>
  <c r="RK55" i="1" s="1"/>
  <c r="NL55" i="1" a="1"/>
  <c r="NL55" i="1" s="1"/>
  <c r="AQ55" i="1" a="1"/>
  <c r="AQ55" i="1" s="1"/>
  <c r="ADO55" i="1" a="1"/>
  <c r="ADO55" i="1" s="1"/>
  <c r="ACT55" i="1" a="1"/>
  <c r="ACT55" i="1" s="1"/>
  <c r="NP55" i="1" a="1"/>
  <c r="NP55" i="1" s="1"/>
  <c r="ADB55" i="1" a="1"/>
  <c r="ADB55" i="1" s="1"/>
  <c r="NX55" i="1" a="1"/>
  <c r="NX55" i="1" s="1"/>
  <c r="NM55" i="1" a="1"/>
  <c r="NM55" i="1" s="1"/>
  <c r="AKM55" i="1" a="1"/>
  <c r="AKM55" i="1" s="1"/>
  <c r="ADJ55" i="1" a="1"/>
  <c r="ADJ55" i="1" s="1"/>
  <c r="ACY55" i="1" a="1"/>
  <c r="ACY55" i="1" s="1"/>
  <c r="VI55" i="1" a="1"/>
  <c r="VI55" i="1" s="1"/>
  <c r="OF55" i="1" a="1"/>
  <c r="OF55" i="1" s="1"/>
  <c r="NU55" i="1" a="1"/>
  <c r="NU55" i="1" s="1"/>
  <c r="AKU55" i="1" a="1"/>
  <c r="AKU55" i="1" s="1"/>
  <c r="ADG55" i="1" a="1"/>
  <c r="ADG55" i="1" s="1"/>
  <c r="VQ55" i="1" a="1"/>
  <c r="VQ55" i="1" s="1"/>
  <c r="OC55" i="1" a="1"/>
  <c r="OC55" i="1" s="1"/>
  <c r="IH20" i="1" a="1"/>
  <c r="IH20" i="1" s="1"/>
  <c r="AH20" i="1" s="1"/>
  <c r="IM20" i="1" a="1"/>
  <c r="IM20" i="1" s="1"/>
  <c r="AM20" i="1" s="1"/>
  <c r="HO22" i="1"/>
  <c r="IG22" i="1" a="1"/>
  <c r="IG22" i="1" s="1"/>
  <c r="AG22" i="1" s="1"/>
  <c r="IK22" i="1" a="1"/>
  <c r="IK22" i="1" s="1"/>
  <c r="AK22" i="1" s="1"/>
  <c r="IO22" i="1" a="1"/>
  <c r="IO22" i="1" s="1"/>
  <c r="IV22" i="1"/>
  <c r="VD23" i="1" a="1"/>
  <c r="VD23" i="1" s="1"/>
  <c r="VL23" i="1" a="1"/>
  <c r="VL23" i="1" s="1"/>
  <c r="VT23" i="1" a="1"/>
  <c r="VT23" i="1" s="1"/>
  <c r="AAA23" i="1"/>
  <c r="HF18" i="1" a="1"/>
  <c r="HF18" i="1" s="1"/>
  <c r="HO18" i="1" s="1"/>
  <c r="HQ18" i="1" s="1"/>
  <c r="HR18" i="1" s="1"/>
  <c r="HH18" i="1" a="1"/>
  <c r="HH18" i="1" s="1"/>
  <c r="HJ18" i="1" a="1"/>
  <c r="HJ18" i="1" s="1"/>
  <c r="HV18" i="1" s="1"/>
  <c r="HK20" i="1" a="1"/>
  <c r="HK20" i="1" s="1"/>
  <c r="HP20" i="1" s="1"/>
  <c r="HI20" i="1" a="1"/>
  <c r="HI20" i="1" s="1"/>
  <c r="HW20" i="1" s="1"/>
  <c r="HG20" i="1" a="1"/>
  <c r="HG20" i="1" s="1"/>
  <c r="HM20" i="1" a="1"/>
  <c r="HM20" i="1" s="1"/>
  <c r="HM21" i="1" a="1"/>
  <c r="HM21" i="1" s="1"/>
  <c r="HJ21" i="1" a="1"/>
  <c r="HJ21" i="1" s="1"/>
  <c r="HV21" i="1" s="1"/>
  <c r="HH21" i="1" a="1"/>
  <c r="HH21" i="1" s="1"/>
  <c r="HF21" i="1" a="1"/>
  <c r="HF21" i="1" s="1"/>
  <c r="HO21" i="1" s="1"/>
  <c r="HQ21" i="1" s="1"/>
  <c r="HR21" i="1" s="1"/>
  <c r="HK21" i="1" a="1"/>
  <c r="HK21" i="1" s="1"/>
  <c r="HP21" i="1" s="1"/>
  <c r="HI21" i="1" a="1"/>
  <c r="HI21" i="1" s="1"/>
  <c r="HW21" i="1" s="1"/>
  <c r="HG21" i="1" a="1"/>
  <c r="HG21" i="1" s="1"/>
  <c r="IY21" i="1"/>
  <c r="IW21" i="1"/>
  <c r="IH22" i="1" a="1"/>
  <c r="IH22" i="1" s="1"/>
  <c r="AH22" i="1" s="1"/>
  <c r="IL22" i="1" a="1"/>
  <c r="IL22" i="1" s="1"/>
  <c r="AL22" i="1" s="1"/>
  <c r="ALG23" i="1" a="1"/>
  <c r="ALG23" i="1" s="1"/>
  <c r="ALE23" i="1" a="1"/>
  <c r="ALE23" i="1" s="1"/>
  <c r="ALC23" i="1" a="1"/>
  <c r="ALC23" i="1" s="1"/>
  <c r="ALA23" i="1" a="1"/>
  <c r="ALA23" i="1" s="1"/>
  <c r="AKY23" i="1" a="1"/>
  <c r="AKY23" i="1" s="1"/>
  <c r="AKW23" i="1" a="1"/>
  <c r="AKW23" i="1" s="1"/>
  <c r="AKU23" i="1" a="1"/>
  <c r="AKU23" i="1" s="1"/>
  <c r="AKS23" i="1" a="1"/>
  <c r="AKS23" i="1" s="1"/>
  <c r="AKQ23" i="1" a="1"/>
  <c r="AKQ23" i="1" s="1"/>
  <c r="AKO23" i="1" a="1"/>
  <c r="AKO23" i="1" s="1"/>
  <c r="AKM23" i="1" a="1"/>
  <c r="AKM23" i="1" s="1"/>
  <c r="AKK23" i="1" a="1"/>
  <c r="AKK23" i="1" s="1"/>
  <c r="AHR23" i="1"/>
  <c r="ADK23" i="1" a="1"/>
  <c r="ADK23" i="1" s="1"/>
  <c r="ADC23" i="1" a="1"/>
  <c r="ADC23" i="1" s="1"/>
  <c r="ACU23" i="1" a="1"/>
  <c r="ACU23" i="1" s="1"/>
  <c r="VW23" i="1" a="1"/>
  <c r="VW23" i="1" s="1"/>
  <c r="VU23" i="1" a="1"/>
  <c r="VU23" i="1" s="1"/>
  <c r="VS23" i="1" a="1"/>
  <c r="VS23" i="1" s="1"/>
  <c r="VQ23" i="1" a="1"/>
  <c r="VQ23" i="1" s="1"/>
  <c r="VO23" i="1" a="1"/>
  <c r="VO23" i="1" s="1"/>
  <c r="VM23" i="1" a="1"/>
  <c r="VM23" i="1" s="1"/>
  <c r="VK23" i="1" a="1"/>
  <c r="VK23" i="1" s="1"/>
  <c r="VI23" i="1" a="1"/>
  <c r="VI23" i="1" s="1"/>
  <c r="VG23" i="1" a="1"/>
  <c r="VG23" i="1" s="1"/>
  <c r="VE23" i="1" a="1"/>
  <c r="VE23" i="1" s="1"/>
  <c r="VC23" i="1" a="1"/>
  <c r="VC23" i="1" s="1"/>
  <c r="VA23" i="1" a="1"/>
  <c r="VA23" i="1" s="1"/>
  <c r="SH23" i="1"/>
  <c r="OE23" i="1" a="1"/>
  <c r="OE23" i="1" s="1"/>
  <c r="OC23" i="1" a="1"/>
  <c r="OC23" i="1" s="1"/>
  <c r="OA23" i="1" a="1"/>
  <c r="OA23" i="1" s="1"/>
  <c r="NW23" i="1" a="1"/>
  <c r="NW23" i="1" s="1"/>
  <c r="NU23" i="1" a="1"/>
  <c r="NU23" i="1" s="1"/>
  <c r="NS23" i="1" a="1"/>
  <c r="NS23" i="1" s="1"/>
  <c r="NO23" i="1" a="1"/>
  <c r="NO23" i="1" s="1"/>
  <c r="NM23" i="1" a="1"/>
  <c r="NM23" i="1" s="1"/>
  <c r="NK23" i="1" a="1"/>
  <c r="NK23" i="1" s="1"/>
  <c r="AQ23" i="1" a="1"/>
  <c r="AQ23" i="1" s="1"/>
  <c r="ADN23" i="1" s="1" a="1"/>
  <c r="ADN23" i="1" s="1"/>
  <c r="ALF23" i="1" a="1"/>
  <c r="ALF23" i="1" s="1"/>
  <c r="ALD23" i="1" a="1"/>
  <c r="ALD23" i="1" s="1"/>
  <c r="ALB23" i="1" a="1"/>
  <c r="ALB23" i="1" s="1"/>
  <c r="AKZ23" i="1" a="1"/>
  <c r="AKZ23" i="1" s="1"/>
  <c r="AKX23" i="1" a="1"/>
  <c r="AKX23" i="1" s="1"/>
  <c r="AKV23" i="1" a="1"/>
  <c r="AKV23" i="1" s="1"/>
  <c r="AKT23" i="1" a="1"/>
  <c r="AKT23" i="1" s="1"/>
  <c r="AKR23" i="1" a="1"/>
  <c r="AKR23" i="1" s="1"/>
  <c r="AKP23" i="1" a="1"/>
  <c r="AKP23" i="1" s="1"/>
  <c r="AKN23" i="1" a="1"/>
  <c r="AKN23" i="1" s="1"/>
  <c r="AKL23" i="1" a="1"/>
  <c r="AKL23" i="1" s="1"/>
  <c r="HP23" i="1"/>
  <c r="HM23" i="1" a="1"/>
  <c r="HM23" i="1" s="1"/>
  <c r="HJ23" i="1" a="1"/>
  <c r="HJ23" i="1" s="1"/>
  <c r="HV23" i="1" s="1"/>
  <c r="HH23" i="1" a="1"/>
  <c r="HH23" i="1" s="1"/>
  <c r="HF23" i="1" a="1"/>
  <c r="HF23" i="1" s="1"/>
  <c r="HO23" i="1" s="1"/>
  <c r="HQ23" i="1" s="1"/>
  <c r="HR23" i="1" s="1"/>
  <c r="HK23" i="1" a="1"/>
  <c r="HK23" i="1" s="1"/>
  <c r="HI23" i="1" a="1"/>
  <c r="HI23" i="1" s="1"/>
  <c r="HW23" i="1" s="1"/>
  <c r="HG23" i="1" a="1"/>
  <c r="HG23" i="1" s="1"/>
  <c r="KQ23" i="1"/>
  <c r="NJ23" i="1" a="1"/>
  <c r="NJ23" i="1" s="1"/>
  <c r="NR23" i="1" a="1"/>
  <c r="NR23" i="1" s="1"/>
  <c r="NZ23" i="1" a="1"/>
  <c r="NZ23" i="1" s="1"/>
  <c r="VF23" i="1" a="1"/>
  <c r="VF23" i="1" s="1"/>
  <c r="VN23" i="1" a="1"/>
  <c r="VN23" i="1" s="1"/>
  <c r="VV23" i="1" a="1"/>
  <c r="VV23" i="1" s="1"/>
  <c r="ACV23" i="1" a="1"/>
  <c r="ACV23" i="1" s="1"/>
  <c r="ADD23" i="1" a="1"/>
  <c r="ADD23" i="1" s="1"/>
  <c r="ADL23" i="1" a="1"/>
  <c r="ADL23" i="1" s="1"/>
  <c r="HM26" i="1" a="1"/>
  <c r="HM26" i="1" s="1"/>
  <c r="HJ26" i="1" a="1"/>
  <c r="HJ26" i="1" s="1"/>
  <c r="HH26" i="1" a="1"/>
  <c r="HH26" i="1" s="1"/>
  <c r="HF26" i="1" a="1"/>
  <c r="HF26" i="1" s="1"/>
  <c r="JA26" i="1" a="1"/>
  <c r="JA26" i="1" s="1"/>
  <c r="IY26" i="1" s="1"/>
  <c r="JC26" i="1" a="1"/>
  <c r="JC26" i="1" s="1"/>
  <c r="JF26" i="1" a="1"/>
  <c r="JF26" i="1" s="1"/>
  <c r="JH26" i="1" a="1"/>
  <c r="JH26" i="1" s="1"/>
  <c r="JJ26" i="1" a="1"/>
  <c r="JJ26" i="1" s="1"/>
  <c r="JL26" i="1" a="1"/>
  <c r="JL26" i="1" s="1"/>
  <c r="JN26" i="1" a="1"/>
  <c r="JN26" i="1" s="1"/>
  <c r="JP26" i="1" a="1"/>
  <c r="JP26" i="1" s="1"/>
  <c r="JR26" i="1" a="1"/>
  <c r="JR26" i="1" s="1"/>
  <c r="JT26" i="1" a="1"/>
  <c r="JT26" i="1" s="1"/>
  <c r="JV26" i="1" a="1"/>
  <c r="JV26" i="1" s="1"/>
  <c r="JX26" i="1" a="1"/>
  <c r="JX26" i="1" s="1"/>
  <c r="JZ26" i="1" a="1"/>
  <c r="JZ26" i="1" s="1"/>
  <c r="KC26" i="1" a="1"/>
  <c r="KC26" i="1" s="1"/>
  <c r="KH26" i="1" a="1"/>
  <c r="KH26" i="1" s="1"/>
  <c r="KJ26" i="1" a="1"/>
  <c r="KJ26" i="1" s="1"/>
  <c r="KL26" i="1" a="1"/>
  <c r="KL26" i="1" s="1"/>
  <c r="AQ56" i="1" a="1"/>
  <c r="AQ56" i="1" s="1"/>
  <c r="NN56" i="1" a="1"/>
  <c r="NN56" i="1" s="1"/>
  <c r="NY56" i="1" a="1"/>
  <c r="NY56" i="1" s="1"/>
  <c r="VB56" i="1" a="1"/>
  <c r="VB56" i="1" s="1"/>
  <c r="VM56" i="1" a="1"/>
  <c r="VM56" i="1" s="1"/>
  <c r="AKQ56" i="1" a="1"/>
  <c r="AKQ56" i="1" s="1"/>
  <c r="GV26" i="1" a="1"/>
  <c r="GV26" i="1" s="1"/>
  <c r="GX26" i="1" a="1"/>
  <c r="GX26" i="1" s="1"/>
  <c r="GZ26" i="1" a="1"/>
  <c r="GZ26" i="1" s="1"/>
  <c r="HB26" i="1" a="1"/>
  <c r="HB26" i="1" s="1"/>
  <c r="HD26" i="1" a="1"/>
  <c r="HD26" i="1" s="1"/>
  <c r="HG26" i="1" a="1"/>
  <c r="HG26" i="1" s="1"/>
  <c r="HI26" i="1" a="1"/>
  <c r="HI26" i="1" s="1"/>
  <c r="HK26" i="1" a="1"/>
  <c r="HK26" i="1" s="1"/>
  <c r="IE26" i="1"/>
  <c r="IN26" i="1" s="1" a="1"/>
  <c r="IN26" i="1" s="1"/>
  <c r="BA26" i="1" s="1"/>
  <c r="BV26" i="1" s="1"/>
  <c r="HC56" i="1" a="1"/>
  <c r="HC56" i="1" s="1"/>
  <c r="HM56" i="1" s="1" a="1"/>
  <c r="HM56" i="1" s="1"/>
  <c r="HA56" i="1" a="1"/>
  <c r="HA56" i="1" s="1"/>
  <c r="GY56" i="1" a="1"/>
  <c r="GY56" i="1" s="1"/>
  <c r="GW56" i="1" a="1"/>
  <c r="GW56" i="1" s="1"/>
  <c r="ALF56" i="1" a="1"/>
  <c r="ALF56" i="1" s="1"/>
  <c r="ALA56" i="1" a="1"/>
  <c r="ALA56" i="1" s="1"/>
  <c r="AKX56" i="1" a="1"/>
  <c r="AKX56" i="1" s="1"/>
  <c r="AKS56" i="1" a="1"/>
  <c r="AKS56" i="1" s="1"/>
  <c r="AKP56" i="1" a="1"/>
  <c r="AKP56" i="1" s="1"/>
  <c r="AKK56" i="1" a="1"/>
  <c r="AKK56" i="1" s="1"/>
  <c r="AID56" i="1" a="1"/>
  <c r="AID56" i="1" s="1"/>
  <c r="AIA56" i="1" a="1"/>
  <c r="AIA56" i="1" s="1"/>
  <c r="ADE56" i="1" a="1"/>
  <c r="ADE56" i="1" s="1"/>
  <c r="ADB56" i="1" a="1"/>
  <c r="ADB56" i="1" s="1"/>
  <c r="VW56" i="1" a="1"/>
  <c r="VW56" i="1" s="1"/>
  <c r="VT56" i="1" a="1"/>
  <c r="VT56" i="1" s="1"/>
  <c r="VO56" i="1" a="1"/>
  <c r="VO56" i="1" s="1"/>
  <c r="VL56" i="1" a="1"/>
  <c r="VL56" i="1" s="1"/>
  <c r="VG56" i="1" a="1"/>
  <c r="VG56" i="1" s="1"/>
  <c r="VD56" i="1" a="1"/>
  <c r="VD56" i="1" s="1"/>
  <c r="SR56" i="1" a="1"/>
  <c r="SR56" i="1" s="1"/>
  <c r="SO56" i="1" a="1"/>
  <c r="SO56" i="1" s="1"/>
  <c r="OF56" i="1" a="1"/>
  <c r="OF56" i="1" s="1"/>
  <c r="OA56" i="1" a="1"/>
  <c r="OA56" i="1" s="1"/>
  <c r="NX56" i="1" a="1"/>
  <c r="NX56" i="1" s="1"/>
  <c r="NS56" i="1" a="1"/>
  <c r="NS56" i="1" s="1"/>
  <c r="NP56" i="1" a="1"/>
  <c r="NP56" i="1" s="1"/>
  <c r="NK56" i="1" a="1"/>
  <c r="NK56" i="1" s="1"/>
  <c r="KK56" i="1" a="1"/>
  <c r="KK56" i="1" s="1"/>
  <c r="ADJ56" i="1" s="1" a="1"/>
  <c r="ADJ56" i="1" s="1"/>
  <c r="KC56" i="1" a="1"/>
  <c r="KC56" i="1" s="1"/>
  <c r="JY56" i="1" a="1"/>
  <c r="JY56" i="1" s="1"/>
  <c r="JT56" i="1" a="1"/>
  <c r="JT56" i="1" s="1"/>
  <c r="JQ56" i="1" a="1"/>
  <c r="JQ56" i="1" s="1"/>
  <c r="JL56" i="1" a="1"/>
  <c r="JL56" i="1" s="1"/>
  <c r="JI56" i="1" a="1"/>
  <c r="JI56" i="1" s="1"/>
  <c r="JC56" i="1" a="1"/>
  <c r="JC56" i="1" s="1"/>
  <c r="GX56" i="1" a="1"/>
  <c r="GX56" i="1" s="1"/>
  <c r="ALC56" i="1" a="1"/>
  <c r="ALC56" i="1" s="1"/>
  <c r="AKZ56" i="1" a="1"/>
  <c r="AKZ56" i="1" s="1"/>
  <c r="AKU56" i="1" a="1"/>
  <c r="AKU56" i="1" s="1"/>
  <c r="AKR56" i="1" a="1"/>
  <c r="AKR56" i="1" s="1"/>
  <c r="AKM56" i="1" a="1"/>
  <c r="AKM56" i="1" s="1"/>
  <c r="AIC56" i="1" a="1"/>
  <c r="AIC56" i="1" s="1"/>
  <c r="ADO56" i="1" a="1"/>
  <c r="ADO56" i="1" s="1"/>
  <c r="ADL56" i="1" a="1"/>
  <c r="ADL56" i="1" s="1"/>
  <c r="ADG56" i="1" a="1"/>
  <c r="ADG56" i="1" s="1"/>
  <c r="ADD56" i="1" a="1"/>
  <c r="ADD56" i="1" s="1"/>
  <c r="ACY56" i="1" a="1"/>
  <c r="ACY56" i="1" s="1"/>
  <c r="ACV56" i="1" a="1"/>
  <c r="ACV56" i="1" s="1"/>
  <c r="VV56" i="1" a="1"/>
  <c r="VV56" i="1" s="1"/>
  <c r="VQ56" i="1" a="1"/>
  <c r="VQ56" i="1" s="1"/>
  <c r="VN56" i="1" a="1"/>
  <c r="VN56" i="1" s="1"/>
  <c r="VI56" i="1" a="1"/>
  <c r="VI56" i="1" s="1"/>
  <c r="VF56" i="1" a="1"/>
  <c r="VF56" i="1" s="1"/>
  <c r="VA56" i="1" a="1"/>
  <c r="VA56" i="1" s="1"/>
  <c r="ST56" i="1" a="1"/>
  <c r="ST56" i="1" s="1"/>
  <c r="SQ56" i="1" a="1"/>
  <c r="SQ56" i="1" s="1"/>
  <c r="OC56" i="1" a="1"/>
  <c r="OC56" i="1" s="1"/>
  <c r="NZ56" i="1" a="1"/>
  <c r="NZ56" i="1" s="1"/>
  <c r="NU56" i="1" a="1"/>
  <c r="NU56" i="1" s="1"/>
  <c r="NR56" i="1" a="1"/>
  <c r="NR56" i="1" s="1"/>
  <c r="NM56" i="1" a="1"/>
  <c r="NM56" i="1" s="1"/>
  <c r="NJ56" i="1" a="1"/>
  <c r="NJ56" i="1" s="1"/>
  <c r="KH56" i="1" a="1"/>
  <c r="KH56" i="1" s="1"/>
  <c r="KA56" i="1" a="1"/>
  <c r="KA56" i="1" s="1"/>
  <c r="JV56" i="1" a="1"/>
  <c r="JV56" i="1" s="1"/>
  <c r="JS56" i="1" a="1"/>
  <c r="JS56" i="1" s="1"/>
  <c r="JN56" i="1" a="1"/>
  <c r="JN56" i="1" s="1"/>
  <c r="JK56" i="1" a="1"/>
  <c r="JK56" i="1" s="1"/>
  <c r="JF56" i="1" a="1"/>
  <c r="JF56" i="1" s="1"/>
  <c r="JB56" i="1" a="1"/>
  <c r="JB56" i="1" s="1"/>
  <c r="GZ56" i="1" a="1"/>
  <c r="GZ56" i="1" s="1"/>
  <c r="ALE56" i="1" a="1"/>
  <c r="ALE56" i="1" s="1"/>
  <c r="ALB56" i="1" a="1"/>
  <c r="ALB56" i="1" s="1"/>
  <c r="AKW56" i="1" a="1"/>
  <c r="AKW56" i="1" s="1"/>
  <c r="AKT56" i="1" a="1"/>
  <c r="AKT56" i="1" s="1"/>
  <c r="AKO56" i="1" a="1"/>
  <c r="AKO56" i="1" s="1"/>
  <c r="AKL56" i="1" a="1"/>
  <c r="AKL56" i="1" s="1"/>
  <c r="AIE56" i="1" a="1"/>
  <c r="AIE56" i="1" s="1"/>
  <c r="AHZ56" i="1" a="1"/>
  <c r="AHZ56" i="1" s="1"/>
  <c r="ADN56" i="1" a="1"/>
  <c r="ADN56" i="1" s="1"/>
  <c r="ADI56" i="1" a="1"/>
  <c r="ADI56" i="1" s="1"/>
  <c r="ADF56" i="1" a="1"/>
  <c r="ADF56" i="1" s="1"/>
  <c r="ADA56" i="1" a="1"/>
  <c r="ADA56" i="1" s="1"/>
  <c r="ACX56" i="1" a="1"/>
  <c r="ACX56" i="1" s="1"/>
  <c r="VS56" i="1" a="1"/>
  <c r="VS56" i="1" s="1"/>
  <c r="VP56" i="1" a="1"/>
  <c r="VP56" i="1" s="1"/>
  <c r="VK56" i="1" a="1"/>
  <c r="VK56" i="1" s="1"/>
  <c r="VH56" i="1" a="1"/>
  <c r="VH56" i="1" s="1"/>
  <c r="VC56" i="1" a="1"/>
  <c r="VC56" i="1" s="1"/>
  <c r="SS56" i="1" a="1"/>
  <c r="SS56" i="1" s="1"/>
  <c r="OE56" i="1" a="1"/>
  <c r="OE56" i="1" s="1"/>
  <c r="OB56" i="1" a="1"/>
  <c r="OB56" i="1" s="1"/>
  <c r="NW56" i="1" a="1"/>
  <c r="NW56" i="1" s="1"/>
  <c r="NT56" i="1" a="1"/>
  <c r="NT56" i="1" s="1"/>
  <c r="NO56" i="1" a="1"/>
  <c r="NO56" i="1" s="1"/>
  <c r="NL56" i="1" a="1"/>
  <c r="NL56" i="1" s="1"/>
  <c r="KJ56" i="1" a="1"/>
  <c r="KJ56" i="1" s="1"/>
  <c r="KD56" i="1" a="1"/>
  <c r="KD56" i="1" s="1"/>
  <c r="JX56" i="1" a="1"/>
  <c r="JX56" i="1" s="1"/>
  <c r="JU56" i="1" a="1"/>
  <c r="JU56" i="1" s="1"/>
  <c r="JP56" i="1" a="1"/>
  <c r="JP56" i="1" s="1"/>
  <c r="JM56" i="1" a="1"/>
  <c r="JM56" i="1" s="1"/>
  <c r="JH56" i="1" a="1"/>
  <c r="JH56" i="1" s="1"/>
  <c r="JD56" i="1" a="1"/>
  <c r="JD56" i="1" s="1"/>
  <c r="IE56" i="1"/>
  <c r="IM56" i="1" s="1" a="1"/>
  <c r="IM56" i="1" s="1"/>
  <c r="AM56" i="1" s="1"/>
  <c r="HK56" i="1" a="1"/>
  <c r="HK56" i="1" s="1"/>
  <c r="HB56" i="1" a="1"/>
  <c r="HB56" i="1" s="1"/>
  <c r="AR56" i="1" a="1"/>
  <c r="AR56" i="1" s="1"/>
  <c r="IR56" i="1" a="1"/>
  <c r="IR56" i="1" s="1"/>
  <c r="AU56" i="1" s="1"/>
  <c r="JJ56" i="1" a="1"/>
  <c r="JJ56" i="1" s="1"/>
  <c r="KI56" i="1" a="1"/>
  <c r="KI56" i="1" s="1"/>
  <c r="NQ56" i="1" a="1"/>
  <c r="NQ56" i="1" s="1"/>
  <c r="SP56" i="1" a="1"/>
  <c r="SP56" i="1" s="1"/>
  <c r="VE56" i="1" a="1"/>
  <c r="VE56" i="1" s="1"/>
  <c r="ACU56" i="1" a="1"/>
  <c r="ACU56" i="1" s="1"/>
  <c r="ADP56" i="1" a="1"/>
  <c r="ADP56" i="1" s="1"/>
  <c r="ALD56" i="1" a="1"/>
  <c r="ALD56" i="1" s="1"/>
  <c r="HH57" i="1" a="1"/>
  <c r="HH57" i="1" s="1"/>
  <c r="JB26" i="1" a="1"/>
  <c r="JB26" i="1" s="1"/>
  <c r="JD26" i="1" a="1"/>
  <c r="JD26" i="1" s="1"/>
  <c r="JG26" i="1" a="1"/>
  <c r="JG26" i="1" s="1"/>
  <c r="JI26" i="1" a="1"/>
  <c r="JI26" i="1" s="1"/>
  <c r="JK26" i="1" a="1"/>
  <c r="JK26" i="1" s="1"/>
  <c r="JM26" i="1" a="1"/>
  <c r="JM26" i="1" s="1"/>
  <c r="JO26" i="1" a="1"/>
  <c r="JO26" i="1" s="1"/>
  <c r="JQ26" i="1" a="1"/>
  <c r="JQ26" i="1" s="1"/>
  <c r="JS26" i="1" a="1"/>
  <c r="JS26" i="1" s="1"/>
  <c r="JU26" i="1" a="1"/>
  <c r="JU26" i="1" s="1"/>
  <c r="JW26" i="1" a="1"/>
  <c r="JW26" i="1" s="1"/>
  <c r="JY26" i="1" a="1"/>
  <c r="JY26" i="1" s="1"/>
  <c r="KA26" i="1" a="1"/>
  <c r="KA26" i="1" s="1"/>
  <c r="KD26" i="1" a="1"/>
  <c r="KD26" i="1" s="1"/>
  <c r="KI26" i="1" a="1"/>
  <c r="KI26" i="1" s="1"/>
  <c r="KK26" i="1" a="1"/>
  <c r="KK26" i="1" s="1"/>
  <c r="KM26" i="1" a="1"/>
  <c r="KM26" i="1" s="1"/>
  <c r="IJ56" i="1" a="1"/>
  <c r="IJ56" i="1" s="1"/>
  <c r="AJ56" i="1" s="1"/>
  <c r="JA56" i="1" a="1"/>
  <c r="JA56" i="1" s="1"/>
  <c r="IW56" i="1" s="1"/>
  <c r="JW56" i="1" a="1"/>
  <c r="JW56" i="1" s="1"/>
  <c r="KL56" i="1" a="1"/>
  <c r="KL56" i="1" s="1"/>
  <c r="OD56" i="1" a="1"/>
  <c r="OD56" i="1" s="1"/>
  <c r="VR56" i="1" a="1"/>
  <c r="VR56" i="1" s="1"/>
  <c r="ADH56" i="1" a="1"/>
  <c r="ADH56" i="1" s="1"/>
  <c r="AKV56" i="1" a="1"/>
  <c r="AKV56" i="1" s="1"/>
  <c r="ALG56" i="1" a="1"/>
  <c r="ALG56" i="1" s="1"/>
  <c r="KK59" i="1" a="1"/>
  <c r="KK59" i="1" s="1"/>
  <c r="KI59" i="1" a="1"/>
  <c r="KI59" i="1" s="1"/>
  <c r="KD59" i="1" a="1"/>
  <c r="KD59" i="1" s="1"/>
  <c r="KA59" i="1" a="1"/>
  <c r="KA59" i="1" s="1"/>
  <c r="JY59" i="1" a="1"/>
  <c r="JY59" i="1" s="1"/>
  <c r="JW59" i="1" a="1"/>
  <c r="JW59" i="1" s="1"/>
  <c r="JU59" i="1" a="1"/>
  <c r="JU59" i="1" s="1"/>
  <c r="JS59" i="1" a="1"/>
  <c r="JS59" i="1" s="1"/>
  <c r="JQ59" i="1" a="1"/>
  <c r="JQ59" i="1" s="1"/>
  <c r="JO59" i="1" a="1"/>
  <c r="JO59" i="1" s="1"/>
  <c r="JM59" i="1" a="1"/>
  <c r="JM59" i="1" s="1"/>
  <c r="JK59" i="1" a="1"/>
  <c r="JK59" i="1" s="1"/>
  <c r="JI59" i="1" a="1"/>
  <c r="JI59" i="1" s="1"/>
  <c r="JG59" i="1" a="1"/>
  <c r="JG59" i="1" s="1"/>
  <c r="JD59" i="1" a="1"/>
  <c r="JD59" i="1" s="1"/>
  <c r="JB59" i="1" a="1"/>
  <c r="JB59" i="1" s="1"/>
  <c r="AO59" i="1" a="1"/>
  <c r="AO59" i="1" s="1"/>
  <c r="IE59" i="1"/>
  <c r="IN59" i="1" s="1" a="1"/>
  <c r="IN59" i="1" s="1"/>
  <c r="BA59" i="1" s="1"/>
  <c r="BV59" i="1" s="1"/>
  <c r="HK59" i="1" a="1"/>
  <c r="HK59" i="1" s="1"/>
  <c r="HI59" i="1" a="1"/>
  <c r="HI59" i="1" s="1"/>
  <c r="HD59" i="1" a="1"/>
  <c r="HD59" i="1" s="1"/>
  <c r="HB59" i="1" a="1"/>
  <c r="HB59" i="1" s="1"/>
  <c r="GZ59" i="1" a="1"/>
  <c r="GZ59" i="1" s="1"/>
  <c r="GX59" i="1" a="1"/>
  <c r="GX59" i="1" s="1"/>
  <c r="GV59" i="1" a="1"/>
  <c r="GV59" i="1" s="1"/>
  <c r="ADO59" i="1" a="1"/>
  <c r="ADO59" i="1" s="1"/>
  <c r="ADK59" i="1" a="1"/>
  <c r="ADK59" i="1" s="1"/>
  <c r="ADG59" i="1" a="1"/>
  <c r="ADG59" i="1" s="1"/>
  <c r="ADC59" i="1" a="1"/>
  <c r="ADC59" i="1" s="1"/>
  <c r="ACY59" i="1" a="1"/>
  <c r="ACY59" i="1" s="1"/>
  <c r="ACU59" i="1" a="1"/>
  <c r="ACU59" i="1" s="1"/>
  <c r="HJ59" i="1" a="1"/>
  <c r="HJ59" i="1" s="1"/>
  <c r="HH59" i="1" a="1"/>
  <c r="HH59" i="1" s="1"/>
  <c r="HF59" i="1" a="1"/>
  <c r="HF59" i="1" s="1"/>
  <c r="HC59" i="1" a="1"/>
  <c r="HC59" i="1" s="1"/>
  <c r="HG59" i="1" s="1" a="1"/>
  <c r="HG59" i="1" s="1"/>
  <c r="HA59" i="1" a="1"/>
  <c r="HA59" i="1" s="1"/>
  <c r="GY59" i="1" a="1"/>
  <c r="GY59" i="1" s="1"/>
  <c r="HP59" i="1" s="1"/>
  <c r="GW59" i="1" a="1"/>
  <c r="GW59" i="1" s="1"/>
  <c r="JF59" i="1" a="1"/>
  <c r="JF59" i="1" s="1"/>
  <c r="JN59" i="1" a="1"/>
  <c r="JN59" i="1" s="1"/>
  <c r="JV59" i="1" a="1"/>
  <c r="JV59" i="1" s="1"/>
  <c r="KH59" i="1" a="1"/>
  <c r="KH59" i="1" s="1"/>
  <c r="NM59" i="1" a="1"/>
  <c r="NM59" i="1" s="1"/>
  <c r="OC59" i="1" a="1"/>
  <c r="OC59" i="1" s="1"/>
  <c r="HA55" i="1" a="1"/>
  <c r="HA55" i="1" s="1"/>
  <c r="HJ55" i="1" a="1"/>
  <c r="HJ55" i="1" s="1"/>
  <c r="IY55" i="1"/>
  <c r="JC55" i="1" a="1"/>
  <c r="JC55" i="1" s="1"/>
  <c r="JG55" i="1" a="1"/>
  <c r="JG55" i="1" s="1"/>
  <c r="JL55" i="1" a="1"/>
  <c r="JL55" i="1" s="1"/>
  <c r="JO55" i="1" a="1"/>
  <c r="JO55" i="1" s="1"/>
  <c r="JT55" i="1" a="1"/>
  <c r="JT55" i="1" s="1"/>
  <c r="JW55" i="1" a="1"/>
  <c r="JW55" i="1" s="1"/>
  <c r="KC55" i="1" a="1"/>
  <c r="KC55" i="1" s="1"/>
  <c r="KI55" i="1" a="1"/>
  <c r="KI55" i="1" s="1"/>
  <c r="NK55" i="1" a="1"/>
  <c r="NK55" i="1" s="1"/>
  <c r="NN55" i="1" a="1"/>
  <c r="NN55" i="1" s="1"/>
  <c r="NS55" i="1" a="1"/>
  <c r="NS55" i="1" s="1"/>
  <c r="NV55" i="1" a="1"/>
  <c r="NV55" i="1" s="1"/>
  <c r="OA55" i="1" a="1"/>
  <c r="OA55" i="1" s="1"/>
  <c r="OD55" i="1" a="1"/>
  <c r="OD55" i="1" s="1"/>
  <c r="SR55" i="1" a="1"/>
  <c r="SR55" i="1" s="1"/>
  <c r="SU55" i="1" a="1"/>
  <c r="SU55" i="1" s="1"/>
  <c r="VB55" i="1" a="1"/>
  <c r="VB55" i="1" s="1"/>
  <c r="VG55" i="1" a="1"/>
  <c r="VG55" i="1" s="1"/>
  <c r="VJ55" i="1" a="1"/>
  <c r="VJ55" i="1" s="1"/>
  <c r="VO55" i="1" a="1"/>
  <c r="VO55" i="1" s="1"/>
  <c r="VR55" i="1" a="1"/>
  <c r="VR55" i="1" s="1"/>
  <c r="VW55" i="1" a="1"/>
  <c r="VW55" i="1" s="1"/>
  <c r="ACW55" i="1" a="1"/>
  <c r="ACW55" i="1" s="1"/>
  <c r="ACZ55" i="1" a="1"/>
  <c r="ACZ55" i="1" s="1"/>
  <c r="ADE55" i="1" a="1"/>
  <c r="ADE55" i="1" s="1"/>
  <c r="ADH55" i="1" a="1"/>
  <c r="ADH55" i="1" s="1"/>
  <c r="ADM55" i="1" a="1"/>
  <c r="ADM55" i="1" s="1"/>
  <c r="ADP55" i="1" a="1"/>
  <c r="ADP55" i="1" s="1"/>
  <c r="AHY55" i="1" a="1"/>
  <c r="AHY55" i="1" s="1"/>
  <c r="AID55" i="1" a="1"/>
  <c r="AID55" i="1" s="1"/>
  <c r="AKK55" i="1" a="1"/>
  <c r="AKK55" i="1" s="1"/>
  <c r="AKN55" i="1" a="1"/>
  <c r="AKN55" i="1" s="1"/>
  <c r="AKS55" i="1" a="1"/>
  <c r="AKS55" i="1" s="1"/>
  <c r="AKV55" i="1" a="1"/>
  <c r="AKV55" i="1" s="1"/>
  <c r="ALA55" i="1" a="1"/>
  <c r="ALA55" i="1" s="1"/>
  <c r="ALD55" i="1" a="1"/>
  <c r="ALD55" i="1" s="1"/>
  <c r="GW57" i="1" a="1"/>
  <c r="GW57" i="1" s="1"/>
  <c r="HF57" i="1" a="1"/>
  <c r="HF57" i="1" s="1"/>
  <c r="JB57" i="1" a="1"/>
  <c r="JB57" i="1" s="1"/>
  <c r="JH57" i="1" a="1"/>
  <c r="JH57" i="1" s="1"/>
  <c r="JK57" i="1" a="1"/>
  <c r="JK57" i="1" s="1"/>
  <c r="JP57" i="1" a="1"/>
  <c r="JP57" i="1" s="1"/>
  <c r="JS57" i="1" a="1"/>
  <c r="JS57" i="1" s="1"/>
  <c r="JX57" i="1" a="1"/>
  <c r="JX57" i="1" s="1"/>
  <c r="KA57" i="1" a="1"/>
  <c r="KA57" i="1" s="1"/>
  <c r="KJ57" i="1" a="1"/>
  <c r="KJ57" i="1" s="1"/>
  <c r="JB58" i="1" a="1"/>
  <c r="JB58" i="1" s="1"/>
  <c r="JG58" i="1" a="1"/>
  <c r="JG58" i="1" s="1"/>
  <c r="JK58" i="1" a="1"/>
  <c r="JK58" i="1" s="1"/>
  <c r="JO58" i="1" a="1"/>
  <c r="JO58" i="1" s="1"/>
  <c r="JS58" i="1" a="1"/>
  <c r="JS58" i="1" s="1"/>
  <c r="JW58" i="1" a="1"/>
  <c r="JW58" i="1" s="1"/>
  <c r="KA58" i="1" a="1"/>
  <c r="KA58" i="1" s="1"/>
  <c r="KI58" i="1" a="1"/>
  <c r="KI58" i="1" s="1"/>
  <c r="NN58" i="1" a="1"/>
  <c r="NN58" i="1" s="1"/>
  <c r="NV58" i="1" a="1"/>
  <c r="NV58" i="1" s="1"/>
  <c r="OD58" i="1" a="1"/>
  <c r="OD58" i="1" s="1"/>
  <c r="JH59" i="1" a="1"/>
  <c r="JH59" i="1" s="1"/>
  <c r="JP59" i="1" a="1"/>
  <c r="JP59" i="1" s="1"/>
  <c r="JX59" i="1" a="1"/>
  <c r="JX59" i="1" s="1"/>
  <c r="KJ59" i="1" a="1"/>
  <c r="KJ59" i="1" s="1"/>
  <c r="NO59" i="1" a="1"/>
  <c r="NO59" i="1" s="1"/>
  <c r="NW59" i="1" a="1"/>
  <c r="NW59" i="1" s="1"/>
  <c r="OE59" i="1" a="1"/>
  <c r="OE59" i="1" s="1"/>
  <c r="HH61" i="1" a="1"/>
  <c r="HH61" i="1" s="1"/>
  <c r="HM61" i="1" a="1"/>
  <c r="HM61" i="1" s="1"/>
  <c r="SP55" i="1" a="1"/>
  <c r="SP55" i="1" s="1"/>
  <c r="SS55" i="1" a="1"/>
  <c r="SS55" i="1" s="1"/>
  <c r="VE55" i="1" a="1"/>
  <c r="VE55" i="1" s="1"/>
  <c r="VH55" i="1" a="1"/>
  <c r="VH55" i="1" s="1"/>
  <c r="VM55" i="1" a="1"/>
  <c r="VM55" i="1" s="1"/>
  <c r="VP55" i="1" a="1"/>
  <c r="VP55" i="1" s="1"/>
  <c r="VU55" i="1" a="1"/>
  <c r="VU55" i="1" s="1"/>
  <c r="ACU55" i="1" a="1"/>
  <c r="ACU55" i="1" s="1"/>
  <c r="ACX55" i="1" a="1"/>
  <c r="ACX55" i="1" s="1"/>
  <c r="ADC55" i="1" a="1"/>
  <c r="ADC55" i="1" s="1"/>
  <c r="ADF55" i="1" a="1"/>
  <c r="ADF55" i="1" s="1"/>
  <c r="ADK55" i="1" a="1"/>
  <c r="ADK55" i="1" s="1"/>
  <c r="ADN55" i="1" a="1"/>
  <c r="ADN55" i="1" s="1"/>
  <c r="AIB55" i="1" a="1"/>
  <c r="AIB55" i="1" s="1"/>
  <c r="AIE55" i="1" a="1"/>
  <c r="AIE55" i="1" s="1"/>
  <c r="AKL55" i="1" a="1"/>
  <c r="AKL55" i="1" s="1"/>
  <c r="AKQ55" i="1" a="1"/>
  <c r="AKQ55" i="1" s="1"/>
  <c r="AKT55" i="1" a="1"/>
  <c r="AKT55" i="1" s="1"/>
  <c r="AKY55" i="1" a="1"/>
  <c r="AKY55" i="1" s="1"/>
  <c r="ALB55" i="1" a="1"/>
  <c r="ALB55" i="1" s="1"/>
  <c r="ALG55" i="1" a="1"/>
  <c r="ALG55" i="1" s="1"/>
  <c r="IY58" i="1"/>
  <c r="HJ58" i="1" a="1"/>
  <c r="HJ58" i="1" s="1"/>
  <c r="HF58" i="1" a="1"/>
  <c r="HF58" i="1" s="1"/>
  <c r="HC58" i="1" a="1"/>
  <c r="HC58" i="1" s="1"/>
  <c r="HM58" i="1" s="1" a="1"/>
  <c r="HM58" i="1" s="1"/>
  <c r="HA58" i="1" a="1"/>
  <c r="HA58" i="1" s="1"/>
  <c r="GY58" i="1" a="1"/>
  <c r="GY58" i="1" s="1"/>
  <c r="GW58" i="1" a="1"/>
  <c r="GW58" i="1" s="1"/>
  <c r="IW58" i="1"/>
  <c r="IE58" i="1"/>
  <c r="IQ58" i="1" s="1" a="1"/>
  <c r="IQ58" i="1" s="1"/>
  <c r="AT58" i="1" s="1"/>
  <c r="HK58" i="1" a="1"/>
  <c r="HK58" i="1" s="1"/>
  <c r="HI58" i="1" a="1"/>
  <c r="HI58" i="1" s="1"/>
  <c r="HG58" i="1" a="1"/>
  <c r="HG58" i="1" s="1"/>
  <c r="HD58" i="1" a="1"/>
  <c r="HD58" i="1" s="1"/>
  <c r="HB58" i="1" a="1"/>
  <c r="HB58" i="1" s="1"/>
  <c r="GZ58" i="1" a="1"/>
  <c r="GZ58" i="1" s="1"/>
  <c r="GX58" i="1" a="1"/>
  <c r="GX58" i="1" s="1"/>
  <c r="GV58" i="1" a="1"/>
  <c r="GV58" i="1" s="1"/>
  <c r="HO58" i="1" s="1"/>
  <c r="AO58" i="1" a="1"/>
  <c r="AO58" i="1" s="1"/>
  <c r="NR58" i="1" s="1" a="1"/>
  <c r="NR58" i="1" s="1"/>
  <c r="IV58" i="1"/>
  <c r="JC58" i="1" a="1"/>
  <c r="JC58" i="1" s="1"/>
  <c r="JH58" i="1" a="1"/>
  <c r="JH58" i="1" s="1"/>
  <c r="JL58" i="1" a="1"/>
  <c r="JL58" i="1" s="1"/>
  <c r="JP58" i="1" a="1"/>
  <c r="JP58" i="1" s="1"/>
  <c r="JT58" i="1" a="1"/>
  <c r="JT58" i="1" s="1"/>
  <c r="JX58" i="1" a="1"/>
  <c r="JX58" i="1" s="1"/>
  <c r="KC58" i="1" a="1"/>
  <c r="KC58" i="1" s="1"/>
  <c r="KJ58" i="1" a="1"/>
  <c r="KJ58" i="1" s="1"/>
  <c r="NO58" i="1" a="1"/>
  <c r="NO58" i="1" s="1"/>
  <c r="NS58" i="1" a="1"/>
  <c r="NS58" i="1" s="1"/>
  <c r="NW58" i="1" a="1"/>
  <c r="NW58" i="1" s="1"/>
  <c r="OE58" i="1" a="1"/>
  <c r="OE58" i="1" s="1"/>
  <c r="JA59" i="1" a="1"/>
  <c r="JA59" i="1" s="1"/>
  <c r="IX59" i="1" s="1"/>
  <c r="JJ59" i="1" a="1"/>
  <c r="JJ59" i="1" s="1"/>
  <c r="JR59" i="1" a="1"/>
  <c r="JR59" i="1" s="1"/>
  <c r="JZ59" i="1" a="1"/>
  <c r="JZ59" i="1" s="1"/>
  <c r="KL59" i="1" a="1"/>
  <c r="KL59" i="1" s="1"/>
  <c r="NQ59" i="1" a="1"/>
  <c r="NQ59" i="1" s="1"/>
  <c r="RK59" i="1" s="1"/>
  <c r="NY59" i="1" a="1"/>
  <c r="NY59" i="1" s="1"/>
  <c r="IW55" i="1"/>
  <c r="IE55" i="1"/>
  <c r="IK55" i="1" s="1" a="1"/>
  <c r="IK55" i="1" s="1"/>
  <c r="AK55" i="1" s="1"/>
  <c r="HK55" i="1" a="1"/>
  <c r="HK55" i="1" s="1"/>
  <c r="HP55" i="1" s="1"/>
  <c r="HI55" i="1" a="1"/>
  <c r="HI55" i="1" s="1"/>
  <c r="HW55" i="1" s="1"/>
  <c r="HG55" i="1" a="1"/>
  <c r="HG55" i="1" s="1"/>
  <c r="HD55" i="1" a="1"/>
  <c r="HD55" i="1" s="1"/>
  <c r="HB55" i="1" a="1"/>
  <c r="HB55" i="1" s="1"/>
  <c r="GZ55" i="1" a="1"/>
  <c r="GZ55" i="1" s="1"/>
  <c r="GX55" i="1" a="1"/>
  <c r="GX55" i="1" s="1"/>
  <c r="GV55" i="1" a="1"/>
  <c r="GV55" i="1" s="1"/>
  <c r="GW55" i="1" a="1"/>
  <c r="GW55" i="1" s="1"/>
  <c r="HF55" i="1" a="1"/>
  <c r="HF55" i="1" s="1"/>
  <c r="IV55" i="1"/>
  <c r="JB55" i="1" a="1"/>
  <c r="JB55" i="1" s="1"/>
  <c r="JH55" i="1" a="1"/>
  <c r="JH55" i="1" s="1"/>
  <c r="JK55" i="1" a="1"/>
  <c r="JK55" i="1" s="1"/>
  <c r="JP55" i="1" a="1"/>
  <c r="JP55" i="1" s="1"/>
  <c r="JS55" i="1" a="1"/>
  <c r="JS55" i="1" s="1"/>
  <c r="JX55" i="1" a="1"/>
  <c r="JX55" i="1" s="1"/>
  <c r="KA55" i="1" a="1"/>
  <c r="KA55" i="1" s="1"/>
  <c r="KJ55" i="1" a="1"/>
  <c r="KJ55" i="1" s="1"/>
  <c r="NJ55" i="1" a="1"/>
  <c r="NJ55" i="1" s="1"/>
  <c r="NO55" i="1" a="1"/>
  <c r="NO55" i="1" s="1"/>
  <c r="NR55" i="1" a="1"/>
  <c r="NR55" i="1" s="1"/>
  <c r="RL55" i="1" s="1"/>
  <c r="NW55" i="1" a="1"/>
  <c r="NW55" i="1" s="1"/>
  <c r="NZ55" i="1" a="1"/>
  <c r="NZ55" i="1" s="1"/>
  <c r="OE55" i="1" a="1"/>
  <c r="OE55" i="1" s="1"/>
  <c r="SQ55" i="1" a="1"/>
  <c r="SQ55" i="1" s="1"/>
  <c r="VC55" i="1" a="1"/>
  <c r="VC55" i="1" s="1"/>
  <c r="VF55" i="1" a="1"/>
  <c r="VF55" i="1" s="1"/>
  <c r="VK55" i="1" a="1"/>
  <c r="VK55" i="1" s="1"/>
  <c r="VN55" i="1" a="1"/>
  <c r="VN55" i="1" s="1"/>
  <c r="VS55" i="1" a="1"/>
  <c r="VS55" i="1" s="1"/>
  <c r="VV55" i="1" a="1"/>
  <c r="VV55" i="1" s="1"/>
  <c r="ACV55" i="1" a="1"/>
  <c r="ACV55" i="1" s="1"/>
  <c r="ADA55" i="1" a="1"/>
  <c r="ADA55" i="1" s="1"/>
  <c r="AGU55" i="1" s="1"/>
  <c r="ADD55" i="1" a="1"/>
  <c r="ADD55" i="1" s="1"/>
  <c r="ADI55" i="1" a="1"/>
  <c r="ADI55" i="1" s="1"/>
  <c r="ADL55" i="1" a="1"/>
  <c r="ADL55" i="1" s="1"/>
  <c r="AHZ55" i="1" a="1"/>
  <c r="AHZ55" i="1" s="1"/>
  <c r="AIC55" i="1" a="1"/>
  <c r="AIC55" i="1" s="1"/>
  <c r="AKO55" i="1" a="1"/>
  <c r="AKO55" i="1" s="1"/>
  <c r="AKR55" i="1" a="1"/>
  <c r="AKR55" i="1" s="1"/>
  <c r="AKW55" i="1" a="1"/>
  <c r="AKW55" i="1" s="1"/>
  <c r="AKZ55" i="1" a="1"/>
  <c r="AKZ55" i="1" s="1"/>
  <c r="ALE55" i="1" a="1"/>
  <c r="ALE55" i="1" s="1"/>
  <c r="IW57" i="1"/>
  <c r="IE57" i="1"/>
  <c r="IM57" i="1" s="1" a="1"/>
  <c r="IM57" i="1" s="1"/>
  <c r="AM57" i="1" s="1"/>
  <c r="HK57" i="1" a="1"/>
  <c r="HK57" i="1" s="1"/>
  <c r="HP57" i="1" s="1"/>
  <c r="HI57" i="1" a="1"/>
  <c r="HI57" i="1" s="1"/>
  <c r="HW57" i="1" s="1"/>
  <c r="HG57" i="1" a="1"/>
  <c r="HG57" i="1" s="1"/>
  <c r="HD57" i="1" a="1"/>
  <c r="HD57" i="1" s="1"/>
  <c r="HB57" i="1" a="1"/>
  <c r="HB57" i="1" s="1"/>
  <c r="GZ57" i="1" a="1"/>
  <c r="GZ57" i="1" s="1"/>
  <c r="GX57" i="1" a="1"/>
  <c r="GX57" i="1" s="1"/>
  <c r="GV57" i="1" a="1"/>
  <c r="GV57" i="1" s="1"/>
  <c r="HO57" i="1" s="1"/>
  <c r="AO57" i="1" a="1"/>
  <c r="AO57" i="1" s="1"/>
  <c r="NO57" i="1" s="1" a="1"/>
  <c r="NO57" i="1" s="1"/>
  <c r="HA57" i="1" a="1"/>
  <c r="HA57" i="1" s="1"/>
  <c r="HJ57" i="1" a="1"/>
  <c r="HJ57" i="1" s="1"/>
  <c r="IY57" i="1"/>
  <c r="JC57" i="1" a="1"/>
  <c r="JC57" i="1" s="1"/>
  <c r="JG57" i="1" a="1"/>
  <c r="JG57" i="1" s="1"/>
  <c r="IV57" i="1" s="1"/>
  <c r="JL57" i="1" a="1"/>
  <c r="JL57" i="1" s="1"/>
  <c r="JO57" i="1" a="1"/>
  <c r="JO57" i="1" s="1"/>
  <c r="JT57" i="1" a="1"/>
  <c r="JT57" i="1" s="1"/>
  <c r="JW57" i="1" a="1"/>
  <c r="JW57" i="1" s="1"/>
  <c r="KC57" i="1" a="1"/>
  <c r="KC57" i="1" s="1"/>
  <c r="KI57" i="1" a="1"/>
  <c r="KI57" i="1" s="1"/>
  <c r="NV57" i="1" a="1"/>
  <c r="NV57" i="1" s="1"/>
  <c r="ADH57" i="1" a="1"/>
  <c r="ADH57" i="1" s="1"/>
  <c r="IH58" i="1" a="1"/>
  <c r="IH58" i="1" s="1"/>
  <c r="AH58" i="1" s="1"/>
  <c r="IX58" i="1"/>
  <c r="JD58" i="1" a="1"/>
  <c r="JD58" i="1" s="1"/>
  <c r="JI58" i="1" a="1"/>
  <c r="JI58" i="1" s="1"/>
  <c r="JM58" i="1" a="1"/>
  <c r="JM58" i="1" s="1"/>
  <c r="JQ58" i="1" a="1"/>
  <c r="JQ58" i="1" s="1"/>
  <c r="JU58" i="1" a="1"/>
  <c r="JU58" i="1" s="1"/>
  <c r="JY58" i="1" a="1"/>
  <c r="JY58" i="1" s="1"/>
  <c r="KD58" i="1" a="1"/>
  <c r="KD58" i="1" s="1"/>
  <c r="KK58" i="1" a="1"/>
  <c r="KK58" i="1" s="1"/>
  <c r="ADD58" i="1" s="1" a="1"/>
  <c r="ADD58" i="1" s="1"/>
  <c r="NL58" i="1" a="1"/>
  <c r="NL58" i="1" s="1"/>
  <c r="NP58" i="1" a="1"/>
  <c r="NP58" i="1" s="1"/>
  <c r="NT58" i="1" a="1"/>
  <c r="NT58" i="1" s="1"/>
  <c r="NX58" i="1" a="1"/>
  <c r="NX58" i="1" s="1"/>
  <c r="OB58" i="1" a="1"/>
  <c r="OB58" i="1" s="1"/>
  <c r="OF58" i="1" a="1"/>
  <c r="OF58" i="1" s="1"/>
  <c r="ACT58" i="1" a="1"/>
  <c r="ACT58" i="1" s="1"/>
  <c r="ADB58" i="1" a="1"/>
  <c r="ADB58" i="1" s="1"/>
  <c r="ADF58" i="1" a="1"/>
  <c r="ADF58" i="1" s="1"/>
  <c r="ADJ58" i="1" a="1"/>
  <c r="ADJ58" i="1" s="1"/>
  <c r="JC59" i="1" a="1"/>
  <c r="JC59" i="1" s="1"/>
  <c r="JL59" i="1" a="1"/>
  <c r="JL59" i="1" s="1"/>
  <c r="JT59" i="1" a="1"/>
  <c r="JT59" i="1" s="1"/>
  <c r="KC59" i="1" a="1"/>
  <c r="KC59" i="1" s="1"/>
  <c r="NK59" i="1" a="1"/>
  <c r="NK59" i="1" s="1"/>
  <c r="NS59" i="1" a="1"/>
  <c r="NS59" i="1" s="1"/>
  <c r="OA59" i="1" a="1"/>
  <c r="OA59" i="1" s="1"/>
  <c r="GX60" i="1" a="1"/>
  <c r="GX60" i="1" s="1"/>
  <c r="JC60" i="1" a="1"/>
  <c r="JC60" i="1" s="1"/>
  <c r="JI60" i="1" a="1"/>
  <c r="JI60" i="1" s="1"/>
  <c r="JL60" i="1" a="1"/>
  <c r="JL60" i="1" s="1"/>
  <c r="JQ60" i="1" a="1"/>
  <c r="JQ60" i="1" s="1"/>
  <c r="JT60" i="1" a="1"/>
  <c r="JT60" i="1" s="1"/>
  <c r="JY60" i="1" a="1"/>
  <c r="JY60" i="1" s="1"/>
  <c r="KC60" i="1" a="1"/>
  <c r="KC60" i="1" s="1"/>
  <c r="KK60" i="1" a="1"/>
  <c r="KK60" i="1" s="1"/>
  <c r="ADL61" i="1" a="1"/>
  <c r="ADL61" i="1" s="1"/>
  <c r="ADD61" i="1" a="1"/>
  <c r="ADD61" i="1" s="1"/>
  <c r="ACV61" i="1" a="1"/>
  <c r="ACV61" i="1" s="1"/>
  <c r="IE61" i="1"/>
  <c r="IN61" i="1" s="1" a="1"/>
  <c r="IN61" i="1" s="1"/>
  <c r="BA61" i="1" s="1"/>
  <c r="BV61" i="1" s="1"/>
  <c r="HK61" i="1" a="1"/>
  <c r="HK61" i="1" s="1"/>
  <c r="HP61" i="1" s="1"/>
  <c r="HI61" i="1" a="1"/>
  <c r="HI61" i="1" s="1"/>
  <c r="HG61" i="1" a="1"/>
  <c r="HG61" i="1" s="1"/>
  <c r="HD61" i="1" a="1"/>
  <c r="HD61" i="1" s="1"/>
  <c r="HB61" i="1" a="1"/>
  <c r="HB61" i="1" s="1"/>
  <c r="GZ61" i="1" a="1"/>
  <c r="GZ61" i="1" s="1"/>
  <c r="GX61" i="1" a="1"/>
  <c r="GX61" i="1" s="1"/>
  <c r="GV61" i="1" a="1"/>
  <c r="GV61" i="1" s="1"/>
  <c r="ADM61" i="1" a="1"/>
  <c r="ADM61" i="1" s="1"/>
  <c r="ADE61" i="1" a="1"/>
  <c r="ADE61" i="1" s="1"/>
  <c r="ACW61" i="1" a="1"/>
  <c r="ACW61" i="1" s="1"/>
  <c r="AO61" i="1" a="1"/>
  <c r="AO61" i="1" s="1"/>
  <c r="NX61" i="1" s="1" a="1"/>
  <c r="NX61" i="1" s="1"/>
  <c r="HA61" i="1" a="1"/>
  <c r="HA61" i="1" s="1"/>
  <c r="HJ61" i="1" a="1"/>
  <c r="HJ61" i="1" s="1"/>
  <c r="IG61" i="1" a="1"/>
  <c r="IG61" i="1" s="1"/>
  <c r="AG61" i="1" s="1"/>
  <c r="IJ61" i="1" a="1"/>
  <c r="IJ61" i="1" s="1"/>
  <c r="AJ61" i="1" s="1"/>
  <c r="IO61" i="1" a="1"/>
  <c r="IO61" i="1" s="1"/>
  <c r="JC61" i="1" a="1"/>
  <c r="JC61" i="1" s="1"/>
  <c r="JG61" i="1" a="1"/>
  <c r="JG61" i="1" s="1"/>
  <c r="JL61" i="1" a="1"/>
  <c r="JL61" i="1" s="1"/>
  <c r="JO61" i="1" a="1"/>
  <c r="JO61" i="1" s="1"/>
  <c r="JT61" i="1" a="1"/>
  <c r="JT61" i="1" s="1"/>
  <c r="JW61" i="1" a="1"/>
  <c r="JW61" i="1" s="1"/>
  <c r="KC61" i="1" a="1"/>
  <c r="KC61" i="1" s="1"/>
  <c r="KI61" i="1" a="1"/>
  <c r="KI61" i="1" s="1"/>
  <c r="NN61" i="1" a="1"/>
  <c r="NN61" i="1" s="1"/>
  <c r="NS61" i="1" a="1"/>
  <c r="NS61" i="1" s="1"/>
  <c r="NV61" i="1" a="1"/>
  <c r="NV61" i="1" s="1"/>
  <c r="OD61" i="1" a="1"/>
  <c r="OD61" i="1" s="1"/>
  <c r="AR62" i="1" a="1"/>
  <c r="AR62" i="1" s="1"/>
  <c r="AQ62" i="1" a="1"/>
  <c r="AQ62" i="1" s="1"/>
  <c r="ALE62" i="1" s="1" a="1"/>
  <c r="ALE62" i="1" s="1"/>
  <c r="OB62" i="1" a="1"/>
  <c r="OB62" i="1" s="1"/>
  <c r="VP62" i="1" a="1"/>
  <c r="VP62" i="1" s="1"/>
  <c r="AKT62" i="1" a="1"/>
  <c r="AKT62" i="1" s="1"/>
  <c r="HC60" i="1" a="1"/>
  <c r="HC60" i="1" s="1"/>
  <c r="HI60" i="1" s="1" a="1"/>
  <c r="HI60" i="1" s="1"/>
  <c r="HA60" i="1" a="1"/>
  <c r="HA60" i="1" s="1"/>
  <c r="GY60" i="1" a="1"/>
  <c r="GY60" i="1" s="1"/>
  <c r="GW60" i="1" a="1"/>
  <c r="GW60" i="1" s="1"/>
  <c r="AO60" i="1" a="1"/>
  <c r="AO60" i="1" s="1"/>
  <c r="NU60" i="1" s="1" a="1"/>
  <c r="NU60" i="1" s="1"/>
  <c r="GV60" i="1" a="1"/>
  <c r="GV60" i="1" s="1"/>
  <c r="HD60" i="1" a="1"/>
  <c r="HD60" i="1" s="1"/>
  <c r="JA60" i="1" a="1"/>
  <c r="JA60" i="1" s="1"/>
  <c r="IW60" i="1" s="1"/>
  <c r="JG60" i="1" a="1"/>
  <c r="JG60" i="1" s="1"/>
  <c r="JJ60" i="1" a="1"/>
  <c r="JJ60" i="1" s="1"/>
  <c r="JO60" i="1" a="1"/>
  <c r="JO60" i="1" s="1"/>
  <c r="JR60" i="1" a="1"/>
  <c r="JR60" i="1" s="1"/>
  <c r="JW60" i="1" a="1"/>
  <c r="JW60" i="1" s="1"/>
  <c r="JZ60" i="1" a="1"/>
  <c r="JZ60" i="1" s="1"/>
  <c r="KI60" i="1" a="1"/>
  <c r="KI60" i="1" s="1"/>
  <c r="KL60" i="1" a="1"/>
  <c r="KL60" i="1" s="1"/>
  <c r="NQ60" i="1" a="1"/>
  <c r="NQ60" i="1" s="1"/>
  <c r="RK60" i="1" s="1"/>
  <c r="NY60" i="1" a="1"/>
  <c r="NY60" i="1" s="1"/>
  <c r="ACZ60" i="1" a="1"/>
  <c r="ACZ60" i="1" s="1"/>
  <c r="ADH60" i="1" a="1"/>
  <c r="ADH60" i="1" s="1"/>
  <c r="ADP60" i="1" a="1"/>
  <c r="ADP60" i="1" s="1"/>
  <c r="IM61" i="1" a="1"/>
  <c r="IM61" i="1" s="1"/>
  <c r="AM61" i="1" s="1"/>
  <c r="IP61" i="1" a="1"/>
  <c r="IP61" i="1" s="1"/>
  <c r="JA61" i="1" a="1"/>
  <c r="JA61" i="1" s="1"/>
  <c r="IX61" i="1" s="1"/>
  <c r="JD61" i="1" a="1"/>
  <c r="JD61" i="1" s="1"/>
  <c r="JJ61" i="1" a="1"/>
  <c r="JJ61" i="1" s="1"/>
  <c r="JM61" i="1" a="1"/>
  <c r="JM61" i="1" s="1"/>
  <c r="JR61" i="1" a="1"/>
  <c r="JR61" i="1" s="1"/>
  <c r="JU61" i="1" a="1"/>
  <c r="JU61" i="1" s="1"/>
  <c r="JZ61" i="1" a="1"/>
  <c r="JZ61" i="1" s="1"/>
  <c r="KD61" i="1" a="1"/>
  <c r="KD61" i="1" s="1"/>
  <c r="KL61" i="1" a="1"/>
  <c r="KL61" i="1" s="1"/>
  <c r="NL61" i="1" a="1"/>
  <c r="NL61" i="1" s="1"/>
  <c r="NQ61" i="1" a="1"/>
  <c r="NQ61" i="1" s="1"/>
  <c r="NT61" i="1" a="1"/>
  <c r="NT61" i="1" s="1"/>
  <c r="OB61" i="1" a="1"/>
  <c r="OB61" i="1" s="1"/>
  <c r="IQ62" i="1" a="1"/>
  <c r="IQ62" i="1" s="1"/>
  <c r="AT62" i="1" s="1"/>
  <c r="IO62" i="1" a="1"/>
  <c r="IO62" i="1" s="1"/>
  <c r="IM62" i="1" a="1"/>
  <c r="IM62" i="1" s="1"/>
  <c r="AM62" i="1" s="1"/>
  <c r="IK62" i="1" a="1"/>
  <c r="IK62" i="1" s="1"/>
  <c r="AK62" i="1" s="1"/>
  <c r="II62" i="1" a="1"/>
  <c r="II62" i="1" s="1"/>
  <c r="AI62" i="1" s="1"/>
  <c r="IG62" i="1" a="1"/>
  <c r="IG62" i="1" s="1"/>
  <c r="AG62" i="1" s="1"/>
  <c r="IR62" i="1" a="1"/>
  <c r="IR62" i="1" s="1"/>
  <c r="AU62" i="1" s="1"/>
  <c r="IP62" i="1" a="1"/>
  <c r="IP62" i="1" s="1"/>
  <c r="AP62" i="1" s="1" a="1"/>
  <c r="AP62" i="1" s="1"/>
  <c r="IN62" i="1" a="1"/>
  <c r="IN62" i="1" s="1"/>
  <c r="BA62" i="1" s="1"/>
  <c r="BV62" i="1" s="1"/>
  <c r="IL62" i="1" a="1"/>
  <c r="IL62" i="1" s="1"/>
  <c r="AL62" i="1" s="1"/>
  <c r="IJ62" i="1" a="1"/>
  <c r="IJ62" i="1" s="1"/>
  <c r="AJ62" i="1" s="1"/>
  <c r="IH62" i="1" a="1"/>
  <c r="IH62" i="1" s="1"/>
  <c r="AH62" i="1" s="1"/>
  <c r="IF62" i="1" a="1"/>
  <c r="IF62" i="1" s="1"/>
  <c r="AF62" i="1" s="1"/>
  <c r="NT62" i="1" a="1"/>
  <c r="NT62" i="1" s="1"/>
  <c r="OE62" i="1" a="1"/>
  <c r="OE62" i="1" s="1"/>
  <c r="VH62" i="1" a="1"/>
  <c r="VH62" i="1" s="1"/>
  <c r="VS62" i="1" a="1"/>
  <c r="VS62" i="1" s="1"/>
  <c r="AKL62" i="1" a="1"/>
  <c r="AKL62" i="1" s="1"/>
  <c r="AKW62" i="1" a="1"/>
  <c r="AKW62" i="1" s="1"/>
  <c r="HB60" i="1" a="1"/>
  <c r="HB60" i="1" s="1"/>
  <c r="IE60" i="1"/>
  <c r="IP60" i="1" s="1" a="1"/>
  <c r="IP60" i="1" s="1"/>
  <c r="JD60" i="1" a="1"/>
  <c r="JD60" i="1" s="1"/>
  <c r="JH60" i="1" a="1"/>
  <c r="JH60" i="1" s="1"/>
  <c r="JM60" i="1" a="1"/>
  <c r="JM60" i="1" s="1"/>
  <c r="JP60" i="1" a="1"/>
  <c r="JP60" i="1" s="1"/>
  <c r="JU60" i="1" a="1"/>
  <c r="JU60" i="1" s="1"/>
  <c r="JX60" i="1" a="1"/>
  <c r="JX60" i="1" s="1"/>
  <c r="KD60" i="1" a="1"/>
  <c r="KD60" i="1" s="1"/>
  <c r="KJ60" i="1" a="1"/>
  <c r="KJ60" i="1" s="1"/>
  <c r="NO60" i="1" a="1"/>
  <c r="NO60" i="1" s="1"/>
  <c r="NW60" i="1" a="1"/>
  <c r="NW60" i="1" s="1"/>
  <c r="OE60" i="1" a="1"/>
  <c r="OE60" i="1" s="1"/>
  <c r="ACX60" i="1" a="1"/>
  <c r="ACX60" i="1" s="1"/>
  <c r="ADA60" i="1" a="1"/>
  <c r="ADA60" i="1" s="1"/>
  <c r="AGU60" i="1" s="1"/>
  <c r="ADI60" i="1" a="1"/>
  <c r="ADI60" i="1" s="1"/>
  <c r="ADN60" i="1" a="1"/>
  <c r="ADN60" i="1" s="1"/>
  <c r="HF61" i="1" a="1"/>
  <c r="HF61" i="1" s="1"/>
  <c r="IF61" i="1" a="1"/>
  <c r="IF61" i="1" s="1"/>
  <c r="AF61" i="1" s="1"/>
  <c r="IK61" i="1" a="1"/>
  <c r="IK61" i="1" s="1"/>
  <c r="AK61" i="1" s="1"/>
  <c r="IV61" i="1"/>
  <c r="JB61" i="1" a="1"/>
  <c r="JB61" i="1" s="1"/>
  <c r="JH61" i="1" a="1"/>
  <c r="JH61" i="1" s="1"/>
  <c r="JK61" i="1" a="1"/>
  <c r="JK61" i="1" s="1"/>
  <c r="JP61" i="1" a="1"/>
  <c r="JP61" i="1" s="1"/>
  <c r="JS61" i="1" a="1"/>
  <c r="JS61" i="1" s="1"/>
  <c r="JX61" i="1" a="1"/>
  <c r="JX61" i="1" s="1"/>
  <c r="KA61" i="1" a="1"/>
  <c r="KA61" i="1" s="1"/>
  <c r="KJ61" i="1" a="1"/>
  <c r="KJ61" i="1" s="1"/>
  <c r="NJ61" i="1" a="1"/>
  <c r="NJ61" i="1" s="1"/>
  <c r="NO61" i="1" a="1"/>
  <c r="NO61" i="1" s="1"/>
  <c r="NR61" i="1" a="1"/>
  <c r="NR61" i="1" s="1"/>
  <c r="NW61" i="1" a="1"/>
  <c r="NW61" i="1" s="1"/>
  <c r="NZ61" i="1" a="1"/>
  <c r="NZ61" i="1" s="1"/>
  <c r="OE61" i="1" a="1"/>
  <c r="OE61" i="1" s="1"/>
  <c r="NL62" i="1" a="1"/>
  <c r="NL62" i="1" s="1"/>
  <c r="NW62" i="1" a="1"/>
  <c r="NW62" i="1" s="1"/>
  <c r="VK62" i="1" a="1"/>
  <c r="VK62" i="1" s="1"/>
  <c r="AKO62" i="1" a="1"/>
  <c r="AKO62" i="1" s="1"/>
  <c r="JB62" i="1" a="1"/>
  <c r="JB62" i="1" s="1"/>
  <c r="JD62" i="1" a="1"/>
  <c r="JD62" i="1" s="1"/>
  <c r="JG62" i="1" a="1"/>
  <c r="JG62" i="1" s="1"/>
  <c r="JI62" i="1" a="1"/>
  <c r="JI62" i="1" s="1"/>
  <c r="JK62" i="1" a="1"/>
  <c r="JK62" i="1" s="1"/>
  <c r="JM62" i="1" a="1"/>
  <c r="JM62" i="1" s="1"/>
  <c r="JO62" i="1" a="1"/>
  <c r="JO62" i="1" s="1"/>
  <c r="JQ62" i="1" a="1"/>
  <c r="JQ62" i="1" s="1"/>
  <c r="JS62" i="1" a="1"/>
  <c r="JS62" i="1" s="1"/>
  <c r="JV62" i="1" a="1"/>
  <c r="JV62" i="1" s="1"/>
  <c r="KA62" i="1" a="1"/>
  <c r="KA62" i="1" s="1"/>
  <c r="KH62" i="1" a="1"/>
  <c r="KH62" i="1" s="1"/>
  <c r="NJ62" i="1" a="1"/>
  <c r="NJ62" i="1" s="1"/>
  <c r="NM62" i="1" a="1"/>
  <c r="NM62" i="1" s="1"/>
  <c r="NR62" i="1" a="1"/>
  <c r="NR62" i="1" s="1"/>
  <c r="NU62" i="1" a="1"/>
  <c r="NU62" i="1" s="1"/>
  <c r="NZ62" i="1" a="1"/>
  <c r="NZ62" i="1" s="1"/>
  <c r="OC62" i="1" a="1"/>
  <c r="OC62" i="1" s="1"/>
  <c r="SQ62" i="1" a="1"/>
  <c r="SQ62" i="1" s="1"/>
  <c r="ST62" i="1" a="1"/>
  <c r="ST62" i="1" s="1"/>
  <c r="VA62" i="1" a="1"/>
  <c r="VA62" i="1" s="1"/>
  <c r="VF62" i="1" a="1"/>
  <c r="VF62" i="1" s="1"/>
  <c r="VI62" i="1" a="1"/>
  <c r="VI62" i="1" s="1"/>
  <c r="VN62" i="1" a="1"/>
  <c r="VN62" i="1" s="1"/>
  <c r="VQ62" i="1" a="1"/>
  <c r="VQ62" i="1" s="1"/>
  <c r="VV62" i="1" a="1"/>
  <c r="VV62" i="1" s="1"/>
  <c r="AIC62" i="1" a="1"/>
  <c r="AIC62" i="1" s="1"/>
  <c r="AKM62" i="1" a="1"/>
  <c r="AKM62" i="1" s="1"/>
  <c r="AKR62" i="1" a="1"/>
  <c r="AKR62" i="1" s="1"/>
  <c r="AKU62" i="1" a="1"/>
  <c r="AKU62" i="1" s="1"/>
  <c r="AKZ62" i="1" a="1"/>
  <c r="AKZ62" i="1" s="1"/>
  <c r="ALC62" i="1" a="1"/>
  <c r="ALC62" i="1" s="1"/>
  <c r="HC63" i="1" a="1"/>
  <c r="HC63" i="1" s="1"/>
  <c r="HF63" i="1" s="1" a="1"/>
  <c r="HF63" i="1" s="1"/>
  <c r="JF63" i="1" a="1"/>
  <c r="JF63" i="1" s="1"/>
  <c r="JI63" i="1" a="1"/>
  <c r="JI63" i="1" s="1"/>
  <c r="JN63" i="1" a="1"/>
  <c r="JN63" i="1" s="1"/>
  <c r="JQ63" i="1" a="1"/>
  <c r="JQ63" i="1" s="1"/>
  <c r="JV63" i="1" a="1"/>
  <c r="JV63" i="1" s="1"/>
  <c r="JY63" i="1" a="1"/>
  <c r="JY63" i="1" s="1"/>
  <c r="KH63" i="1" a="1"/>
  <c r="KH63" i="1" s="1"/>
  <c r="KK63" i="1" a="1"/>
  <c r="KK63" i="1" s="1"/>
  <c r="ADE63" i="1" s="1" a="1"/>
  <c r="ADE63" i="1" s="1"/>
  <c r="GW62" i="1" a="1"/>
  <c r="GW62" i="1" s="1"/>
  <c r="HO62" i="1" s="1"/>
  <c r="GY62" i="1" a="1"/>
  <c r="GY62" i="1" s="1"/>
  <c r="HA62" i="1" a="1"/>
  <c r="HA62" i="1" s="1"/>
  <c r="HC62" i="1" a="1"/>
  <c r="HC62" i="1" s="1"/>
  <c r="HH62" i="1" s="1" a="1"/>
  <c r="HH62" i="1" s="1"/>
  <c r="HF62" i="1" a="1"/>
  <c r="HF62" i="1" s="1"/>
  <c r="HJ62" i="1" a="1"/>
  <c r="HJ62" i="1" s="1"/>
  <c r="HM62" i="1" a="1"/>
  <c r="HM62" i="1" s="1"/>
  <c r="JT62" i="1" a="1"/>
  <c r="JT62" i="1" s="1"/>
  <c r="JY62" i="1" a="1"/>
  <c r="JY62" i="1" s="1"/>
  <c r="KC62" i="1" a="1"/>
  <c r="KC62" i="1" s="1"/>
  <c r="KK62" i="1" a="1"/>
  <c r="KK62" i="1" s="1"/>
  <c r="ADI62" i="1" s="1" a="1"/>
  <c r="ADI62" i="1" s="1"/>
  <c r="NK62" i="1" a="1"/>
  <c r="NK62" i="1" s="1"/>
  <c r="NP62" i="1" a="1"/>
  <c r="NP62" i="1" s="1"/>
  <c r="NS62" i="1" a="1"/>
  <c r="NS62" i="1" s="1"/>
  <c r="NX62" i="1" a="1"/>
  <c r="NX62" i="1" s="1"/>
  <c r="OA62" i="1" a="1"/>
  <c r="OA62" i="1" s="1"/>
  <c r="OF62" i="1" a="1"/>
  <c r="OF62" i="1" s="1"/>
  <c r="SO62" i="1" a="1"/>
  <c r="SO62" i="1" s="1"/>
  <c r="SR62" i="1" a="1"/>
  <c r="SR62" i="1" s="1"/>
  <c r="VD62" i="1" a="1"/>
  <c r="VD62" i="1" s="1"/>
  <c r="VG62" i="1" a="1"/>
  <c r="VG62" i="1" s="1"/>
  <c r="VL62" i="1" a="1"/>
  <c r="VL62" i="1" s="1"/>
  <c r="VO62" i="1" a="1"/>
  <c r="VO62" i="1" s="1"/>
  <c r="VT62" i="1" a="1"/>
  <c r="VT62" i="1" s="1"/>
  <c r="VW62" i="1" a="1"/>
  <c r="VW62" i="1" s="1"/>
  <c r="ACW62" i="1" a="1"/>
  <c r="ACW62" i="1" s="1"/>
  <c r="ADM62" i="1" a="1"/>
  <c r="ADM62" i="1" s="1"/>
  <c r="AIA62" i="1" a="1"/>
  <c r="AIA62" i="1" s="1"/>
  <c r="AID62" i="1" a="1"/>
  <c r="AID62" i="1" s="1"/>
  <c r="AKK62" i="1" a="1"/>
  <c r="AKK62" i="1" s="1"/>
  <c r="AKP62" i="1" a="1"/>
  <c r="AKP62" i="1" s="1"/>
  <c r="AKS62" i="1" a="1"/>
  <c r="AKS62" i="1" s="1"/>
  <c r="AKX62" i="1" a="1"/>
  <c r="AKX62" i="1" s="1"/>
  <c r="ALA62" i="1" a="1"/>
  <c r="ALA62" i="1" s="1"/>
  <c r="ALF62" i="1" a="1"/>
  <c r="ALF62" i="1" s="1"/>
  <c r="ADJ63" i="1" a="1"/>
  <c r="ADJ63" i="1" s="1"/>
  <c r="ADB63" i="1" a="1"/>
  <c r="ADB63" i="1" s="1"/>
  <c r="ACT63" i="1" a="1"/>
  <c r="ACT63" i="1" s="1"/>
  <c r="OE63" i="1" a="1"/>
  <c r="OE63" i="1" s="1"/>
  <c r="OA63" i="1" a="1"/>
  <c r="OA63" i="1" s="1"/>
  <c r="NY63" i="1" a="1"/>
  <c r="NY63" i="1" s="1"/>
  <c r="NW63" i="1" a="1"/>
  <c r="NW63" i="1" s="1"/>
  <c r="NS63" i="1" a="1"/>
  <c r="NS63" i="1" s="1"/>
  <c r="NQ63" i="1" a="1"/>
  <c r="NQ63" i="1" s="1"/>
  <c r="NO63" i="1" a="1"/>
  <c r="NO63" i="1" s="1"/>
  <c r="NK63" i="1" a="1"/>
  <c r="NK63" i="1" s="1"/>
  <c r="ADL63" i="1" a="1"/>
  <c r="ADL63" i="1" s="1"/>
  <c r="ADD63" i="1" a="1"/>
  <c r="ADD63" i="1" s="1"/>
  <c r="ACV63" i="1" a="1"/>
  <c r="ACV63" i="1" s="1"/>
  <c r="ADN63" i="1" a="1"/>
  <c r="ADN63" i="1" s="1"/>
  <c r="ADF63" i="1" a="1"/>
  <c r="ADF63" i="1" s="1"/>
  <c r="ACX63" i="1" a="1"/>
  <c r="ACX63" i="1" s="1"/>
  <c r="OF63" i="1" a="1"/>
  <c r="OF63" i="1" s="1"/>
  <c r="OB63" i="1" a="1"/>
  <c r="OB63" i="1" s="1"/>
  <c r="NZ63" i="1" a="1"/>
  <c r="NZ63" i="1" s="1"/>
  <c r="NX63" i="1" a="1"/>
  <c r="NX63" i="1" s="1"/>
  <c r="NT63" i="1" a="1"/>
  <c r="NT63" i="1" s="1"/>
  <c r="NR63" i="1" a="1"/>
  <c r="NR63" i="1" s="1"/>
  <c r="NP63" i="1" a="1"/>
  <c r="NP63" i="1" s="1"/>
  <c r="NL63" i="1" a="1"/>
  <c r="NL63" i="1" s="1"/>
  <c r="NJ63" i="1" a="1"/>
  <c r="NJ63" i="1" s="1"/>
  <c r="ADK63" i="1" a="1"/>
  <c r="ADK63" i="1" s="1"/>
  <c r="ADC63" i="1" a="1"/>
  <c r="ADC63" i="1" s="1"/>
  <c r="ACU63" i="1" a="1"/>
  <c r="ACU63" i="1" s="1"/>
  <c r="IE63" i="1"/>
  <c r="IP63" i="1" s="1" a="1"/>
  <c r="IP63" i="1" s="1"/>
  <c r="HI63" i="1" a="1"/>
  <c r="HI63" i="1" s="1"/>
  <c r="HG63" i="1" a="1"/>
  <c r="HG63" i="1" s="1"/>
  <c r="HD63" i="1" a="1"/>
  <c r="HD63" i="1" s="1"/>
  <c r="HB63" i="1" a="1"/>
  <c r="HB63" i="1" s="1"/>
  <c r="GZ63" i="1" a="1"/>
  <c r="GZ63" i="1" s="1"/>
  <c r="GX63" i="1" a="1"/>
  <c r="GX63" i="1" s="1"/>
  <c r="GV63" i="1" a="1"/>
  <c r="GV63" i="1" s="1"/>
  <c r="AO63" i="1" a="1"/>
  <c r="AO63" i="1" s="1"/>
  <c r="HA63" i="1" a="1"/>
  <c r="HA63" i="1" s="1"/>
  <c r="HJ63" i="1" a="1"/>
  <c r="HJ63" i="1" s="1"/>
  <c r="JC63" i="1" a="1"/>
  <c r="JC63" i="1" s="1"/>
  <c r="JG63" i="1" a="1"/>
  <c r="JG63" i="1" s="1"/>
  <c r="JL63" i="1" a="1"/>
  <c r="JL63" i="1" s="1"/>
  <c r="JO63" i="1" a="1"/>
  <c r="JO63" i="1" s="1"/>
  <c r="JT63" i="1" a="1"/>
  <c r="JT63" i="1" s="1"/>
  <c r="JW63" i="1" a="1"/>
  <c r="JW63" i="1" s="1"/>
  <c r="KC63" i="1" a="1"/>
  <c r="KC63" i="1" s="1"/>
  <c r="KI63" i="1" a="1"/>
  <c r="KI63" i="1" s="1"/>
  <c r="BO71" i="1"/>
  <c r="FP71" i="1"/>
  <c r="JA62" i="1" a="1"/>
  <c r="JA62" i="1" s="1"/>
  <c r="IW62" i="1" s="1"/>
  <c r="JC62" i="1" a="1"/>
  <c r="JC62" i="1" s="1"/>
  <c r="JF62" i="1" a="1"/>
  <c r="JF62" i="1" s="1"/>
  <c r="JH62" i="1" a="1"/>
  <c r="JH62" i="1" s="1"/>
  <c r="JJ62" i="1" a="1"/>
  <c r="JJ62" i="1" s="1"/>
  <c r="JL62" i="1" a="1"/>
  <c r="JL62" i="1" s="1"/>
  <c r="JN62" i="1" a="1"/>
  <c r="JN62" i="1" s="1"/>
  <c r="AHR62" i="1" s="1"/>
  <c r="JP62" i="1" a="1"/>
  <c r="JP62" i="1" s="1"/>
  <c r="JR62" i="1" a="1"/>
  <c r="JR62" i="1" s="1"/>
  <c r="JW62" i="1" a="1"/>
  <c r="JW62" i="1" s="1"/>
  <c r="JZ62" i="1" a="1"/>
  <c r="JZ62" i="1" s="1"/>
  <c r="KI62" i="1" a="1"/>
  <c r="KI62" i="1" s="1"/>
  <c r="KL62" i="1" a="1"/>
  <c r="KL62" i="1" s="1"/>
  <c r="NN62" i="1" a="1"/>
  <c r="NN62" i="1" s="1"/>
  <c r="NQ62" i="1" a="1"/>
  <c r="NQ62" i="1" s="1"/>
  <c r="RK62" i="1" s="1"/>
  <c r="NV62" i="1" a="1"/>
  <c r="NV62" i="1" s="1"/>
  <c r="NY62" i="1" a="1"/>
  <c r="NY62" i="1" s="1"/>
  <c r="OD62" i="1" a="1"/>
  <c r="OD62" i="1" s="1"/>
  <c r="SP62" i="1" a="1"/>
  <c r="SP62" i="1" s="1"/>
  <c r="SU62" i="1" a="1"/>
  <c r="SU62" i="1" s="1"/>
  <c r="VB62" i="1" a="1"/>
  <c r="VB62" i="1" s="1"/>
  <c r="VE62" i="1" a="1"/>
  <c r="VE62" i="1" s="1"/>
  <c r="VJ62" i="1" a="1"/>
  <c r="VJ62" i="1" s="1"/>
  <c r="VM62" i="1" a="1"/>
  <c r="VM62" i="1" s="1"/>
  <c r="VR62" i="1" a="1"/>
  <c r="VR62" i="1" s="1"/>
  <c r="VU62" i="1" a="1"/>
  <c r="VU62" i="1" s="1"/>
  <c r="ACU62" i="1" a="1"/>
  <c r="ACU62" i="1" s="1"/>
  <c r="ACZ62" i="1" a="1"/>
  <c r="ACZ62" i="1" s="1"/>
  <c r="ADH62" i="1" a="1"/>
  <c r="ADH62" i="1" s="1"/>
  <c r="ADK62" i="1" a="1"/>
  <c r="ADK62" i="1" s="1"/>
  <c r="ADP62" i="1" a="1"/>
  <c r="ADP62" i="1" s="1"/>
  <c r="AHY62" i="1" a="1"/>
  <c r="AHY62" i="1" s="1"/>
  <c r="AIB62" i="1" a="1"/>
  <c r="AIB62" i="1" s="1"/>
  <c r="AKN62" i="1" a="1"/>
  <c r="AKN62" i="1" s="1"/>
  <c r="AKQ62" i="1" a="1"/>
  <c r="AKQ62" i="1" s="1"/>
  <c r="AKV62" i="1" a="1"/>
  <c r="AKV62" i="1" s="1"/>
  <c r="AKY62" i="1" a="1"/>
  <c r="AKY62" i="1" s="1"/>
  <c r="ALD62" i="1" a="1"/>
  <c r="ALD62" i="1" s="1"/>
  <c r="ALG62" i="1" a="1"/>
  <c r="ALG62" i="1" s="1"/>
  <c r="GY63" i="1" a="1"/>
  <c r="GY63" i="1" s="1"/>
  <c r="JA63" i="1" a="1"/>
  <c r="JA63" i="1" s="1"/>
  <c r="IV63" i="1" s="1"/>
  <c r="JD63" i="1" a="1"/>
  <c r="JD63" i="1" s="1"/>
  <c r="JJ63" i="1" a="1"/>
  <c r="JJ63" i="1" s="1"/>
  <c r="JM63" i="1" a="1"/>
  <c r="JM63" i="1" s="1"/>
  <c r="JR63" i="1" a="1"/>
  <c r="JR63" i="1" s="1"/>
  <c r="JU63" i="1" a="1"/>
  <c r="JU63" i="1" s="1"/>
  <c r="JZ63" i="1" a="1"/>
  <c r="JZ63" i="1" s="1"/>
  <c r="KD63" i="1" a="1"/>
  <c r="KD63" i="1" s="1"/>
  <c r="KL63" i="1" a="1"/>
  <c r="KL63" i="1" s="1"/>
  <c r="BT71" i="1"/>
  <c r="FR71" i="1"/>
  <c r="BQ71" i="1"/>
  <c r="ALE71" i="1" a="1"/>
  <c r="ALE71" i="1" s="1"/>
  <c r="ALA71" i="1" a="1"/>
  <c r="ALA71" i="1" s="1"/>
  <c r="AKW71" i="1" a="1"/>
  <c r="AKW71" i="1" s="1"/>
  <c r="AKO71" i="1" a="1"/>
  <c r="AKO71" i="1" s="1"/>
  <c r="AKK71" i="1" a="1"/>
  <c r="AKK71" i="1" s="1"/>
  <c r="AHR71" i="1"/>
  <c r="ADM71" i="1" a="1"/>
  <c r="ADM71" i="1" s="1"/>
  <c r="ADH71" i="1" a="1"/>
  <c r="ADH71" i="1" s="1"/>
  <c r="ADE71" i="1" a="1"/>
  <c r="ADE71" i="1" s="1"/>
  <c r="ACZ71" i="1" a="1"/>
  <c r="ACZ71" i="1" s="1"/>
  <c r="ACW71" i="1" a="1"/>
  <c r="ACW71" i="1" s="1"/>
  <c r="VW71" i="1" a="1"/>
  <c r="VW71" i="1" s="1"/>
  <c r="VR71" i="1" a="1"/>
  <c r="VR71" i="1" s="1"/>
  <c r="VJ71" i="1" a="1"/>
  <c r="VJ71" i="1" s="1"/>
  <c r="VG71" i="1" a="1"/>
  <c r="VG71" i="1" s="1"/>
  <c r="VB71" i="1" a="1"/>
  <c r="VB71" i="1" s="1"/>
  <c r="OD71" i="1" a="1"/>
  <c r="OD71" i="1" s="1"/>
  <c r="OA71" i="1" a="1"/>
  <c r="OA71" i="1" s="1"/>
  <c r="NV71" i="1" a="1"/>
  <c r="NV71" i="1" s="1"/>
  <c r="NS71" i="1" a="1"/>
  <c r="NS71" i="1" s="1"/>
  <c r="NN71" i="1" a="1"/>
  <c r="NN71" i="1" s="1"/>
  <c r="NK71" i="1" a="1"/>
  <c r="NK71" i="1" s="1"/>
  <c r="ALD71" i="1" a="1"/>
  <c r="ALD71" i="1" s="1"/>
  <c r="AKZ71" i="1" a="1"/>
  <c r="AKZ71" i="1" s="1"/>
  <c r="AKR71" i="1" a="1"/>
  <c r="AKR71" i="1" s="1"/>
  <c r="AKN71" i="1" a="1"/>
  <c r="AKN71" i="1" s="1"/>
  <c r="ADP71" i="1" a="1"/>
  <c r="ADP71" i="1" s="1"/>
  <c r="ADJ71" i="1" a="1"/>
  <c r="ADJ71" i="1" s="1"/>
  <c r="ADG71" i="1" a="1"/>
  <c r="ADG71" i="1" s="1"/>
  <c r="ADB71" i="1" a="1"/>
  <c r="ADB71" i="1" s="1"/>
  <c r="ACY71" i="1" a="1"/>
  <c r="ACY71" i="1" s="1"/>
  <c r="ACT71" i="1" a="1"/>
  <c r="ACT71" i="1" s="1"/>
  <c r="AAA71" i="1"/>
  <c r="VT71" i="1" a="1"/>
  <c r="VT71" i="1" s="1"/>
  <c r="VQ71" i="1" a="1"/>
  <c r="VQ71" i="1" s="1"/>
  <c r="VI71" i="1" a="1"/>
  <c r="VI71" i="1" s="1"/>
  <c r="VD71" i="1" a="1"/>
  <c r="VD71" i="1" s="1"/>
  <c r="VA71" i="1" a="1"/>
  <c r="VA71" i="1" s="1"/>
  <c r="SH71" i="1"/>
  <c r="OF71" i="1" a="1"/>
  <c r="OF71" i="1" s="1"/>
  <c r="OC71" i="1" a="1"/>
  <c r="OC71" i="1" s="1"/>
  <c r="NX71" i="1" a="1"/>
  <c r="NX71" i="1" s="1"/>
  <c r="NU71" i="1" a="1"/>
  <c r="NU71" i="1" s="1"/>
  <c r="NP71" i="1" a="1"/>
  <c r="NP71" i="1" s="1"/>
  <c r="NM71" i="1" a="1"/>
  <c r="NM71" i="1" s="1"/>
  <c r="AQ71" i="1" a="1"/>
  <c r="AQ71" i="1" s="1"/>
  <c r="ALG71" i="1" a="1"/>
  <c r="ALG71" i="1" s="1"/>
  <c r="ALC71" i="1" a="1"/>
  <c r="ALC71" i="1" s="1"/>
  <c r="AKY71" i="1" a="1"/>
  <c r="AKY71" i="1" s="1"/>
  <c r="AKU71" i="1" a="1"/>
  <c r="AKU71" i="1" s="1"/>
  <c r="AKQ71" i="1" a="1"/>
  <c r="AKQ71" i="1" s="1"/>
  <c r="AKM71" i="1" a="1"/>
  <c r="AKM71" i="1" s="1"/>
  <c r="ADO71" i="1" a="1"/>
  <c r="ADO71" i="1" s="1"/>
  <c r="ADL71" i="1" a="1"/>
  <c r="ADL71" i="1" s="1"/>
  <c r="ADI71" i="1" a="1"/>
  <c r="ADI71" i="1" s="1"/>
  <c r="ADD71" i="1" a="1"/>
  <c r="ADD71" i="1" s="1"/>
  <c r="ADA71" i="1" a="1"/>
  <c r="ADA71" i="1" s="1"/>
  <c r="AGU71" i="1" s="1"/>
  <c r="ACV71" i="1" a="1"/>
  <c r="ACV71" i="1" s="1"/>
  <c r="VV71" i="1" a="1"/>
  <c r="VV71" i="1" s="1"/>
  <c r="VS71" i="1" a="1"/>
  <c r="VS71" i="1" s="1"/>
  <c r="VN71" i="1" a="1"/>
  <c r="VN71" i="1" s="1"/>
  <c r="VK71" i="1" a="1"/>
  <c r="VK71" i="1" s="1"/>
  <c r="VF71" i="1" a="1"/>
  <c r="VF71" i="1" s="1"/>
  <c r="VC71" i="1" a="1"/>
  <c r="VC71" i="1" s="1"/>
  <c r="OE71" i="1" a="1"/>
  <c r="OE71" i="1" s="1"/>
  <c r="NZ71" i="1" a="1"/>
  <c r="NZ71" i="1" s="1"/>
  <c r="NW71" i="1" a="1"/>
  <c r="NW71" i="1" s="1"/>
  <c r="NR71" i="1" a="1"/>
  <c r="NR71" i="1" s="1"/>
  <c r="NO71" i="1" a="1"/>
  <c r="NO71" i="1" s="1"/>
  <c r="NJ71" i="1" a="1"/>
  <c r="NJ71" i="1" s="1"/>
  <c r="KQ71" i="1"/>
  <c r="ALF71" i="1" a="1"/>
  <c r="ALF71" i="1" s="1"/>
  <c r="ALB71" i="1" a="1"/>
  <c r="ALB71" i="1" s="1"/>
  <c r="AKX71" i="1" a="1"/>
  <c r="AKX71" i="1" s="1"/>
  <c r="AKT71" i="1" a="1"/>
  <c r="AKT71" i="1" s="1"/>
  <c r="AKP71" i="1" a="1"/>
  <c r="AKP71" i="1" s="1"/>
  <c r="AKL71" i="1" a="1"/>
  <c r="AKL71" i="1" s="1"/>
  <c r="ADN71" i="1" a="1"/>
  <c r="ADN71" i="1" s="1"/>
  <c r="ADK71" i="1" a="1"/>
  <c r="ADK71" i="1" s="1"/>
  <c r="ADF71" i="1" a="1"/>
  <c r="ADF71" i="1" s="1"/>
  <c r="ADC71" i="1" a="1"/>
  <c r="ADC71" i="1" s="1"/>
  <c r="ACX71" i="1" a="1"/>
  <c r="ACX71" i="1" s="1"/>
  <c r="ACU71" i="1" a="1"/>
  <c r="ACU71" i="1" s="1"/>
  <c r="VU71" i="1" a="1"/>
  <c r="VU71" i="1" s="1"/>
  <c r="VP71" i="1" a="1"/>
  <c r="VP71" i="1" s="1"/>
  <c r="VM71" i="1" a="1"/>
  <c r="VM71" i="1" s="1"/>
  <c r="VH71" i="1" a="1"/>
  <c r="VH71" i="1" s="1"/>
  <c r="VE71" i="1" a="1"/>
  <c r="VE71" i="1" s="1"/>
  <c r="OB71" i="1" a="1"/>
  <c r="OB71" i="1" s="1"/>
  <c r="NY71" i="1" a="1"/>
  <c r="NY71" i="1" s="1"/>
  <c r="NT71" i="1" a="1"/>
  <c r="NT71" i="1" s="1"/>
  <c r="NQ71" i="1" a="1"/>
  <c r="NQ71" i="1" s="1"/>
  <c r="RK71" i="1" s="1"/>
  <c r="NL71" i="1" a="1"/>
  <c r="NL71" i="1" s="1"/>
  <c r="IY71" i="1"/>
  <c r="IX71" i="1"/>
  <c r="HJ71" i="1" a="1"/>
  <c r="HJ71" i="1" s="1"/>
  <c r="HV71" i="1" s="1"/>
  <c r="HM71" i="1" a="1"/>
  <c r="HM71" i="1" s="1"/>
  <c r="OE72" i="1" a="1"/>
  <c r="OE72" i="1" s="1"/>
  <c r="OC72" i="1" a="1"/>
  <c r="OC72" i="1" s="1"/>
  <c r="OA72" i="1" a="1"/>
  <c r="OA72" i="1" s="1"/>
  <c r="NW72" i="1" a="1"/>
  <c r="NW72" i="1" s="1"/>
  <c r="NU72" i="1" a="1"/>
  <c r="NU72" i="1" s="1"/>
  <c r="NS72" i="1" a="1"/>
  <c r="NS72" i="1" s="1"/>
  <c r="NO72" i="1" a="1"/>
  <c r="NO72" i="1" s="1"/>
  <c r="NM72" i="1" a="1"/>
  <c r="NM72" i="1" s="1"/>
  <c r="NK72" i="1" a="1"/>
  <c r="NK72" i="1" s="1"/>
  <c r="KL72" i="1" a="1"/>
  <c r="KL72" i="1" s="1"/>
  <c r="KJ72" i="1" a="1"/>
  <c r="KJ72" i="1" s="1"/>
  <c r="KH72" i="1" a="1"/>
  <c r="KH72" i="1" s="1"/>
  <c r="KC72" i="1" a="1"/>
  <c r="KC72" i="1" s="1"/>
  <c r="JZ72" i="1" a="1"/>
  <c r="JZ72" i="1" s="1"/>
  <c r="JX72" i="1" a="1"/>
  <c r="JX72" i="1" s="1"/>
  <c r="JV72" i="1" a="1"/>
  <c r="JV72" i="1" s="1"/>
  <c r="JT72" i="1" a="1"/>
  <c r="JT72" i="1" s="1"/>
  <c r="JR72" i="1" a="1"/>
  <c r="JR72" i="1" s="1"/>
  <c r="JP72" i="1" a="1"/>
  <c r="JP72" i="1" s="1"/>
  <c r="JN72" i="1" a="1"/>
  <c r="JN72" i="1" s="1"/>
  <c r="JL72" i="1" a="1"/>
  <c r="JL72" i="1" s="1"/>
  <c r="JJ72" i="1" a="1"/>
  <c r="JJ72" i="1" s="1"/>
  <c r="JH72" i="1" a="1"/>
  <c r="JH72" i="1" s="1"/>
  <c r="JF72" i="1" a="1"/>
  <c r="JF72" i="1" s="1"/>
  <c r="JC72" i="1" a="1"/>
  <c r="JC72" i="1" s="1"/>
  <c r="JA72" i="1" a="1"/>
  <c r="JA72" i="1" s="1"/>
  <c r="IV72" i="1"/>
  <c r="OD72" i="1" a="1"/>
  <c r="OD72" i="1" s="1"/>
  <c r="OB72" i="1" a="1"/>
  <c r="OB72" i="1" s="1"/>
  <c r="NZ72" i="1" a="1"/>
  <c r="NZ72" i="1" s="1"/>
  <c r="NV72" i="1" a="1"/>
  <c r="NV72" i="1" s="1"/>
  <c r="NT72" i="1" a="1"/>
  <c r="NT72" i="1" s="1"/>
  <c r="NR72" i="1" a="1"/>
  <c r="NR72" i="1" s="1"/>
  <c r="NN72" i="1" a="1"/>
  <c r="NN72" i="1" s="1"/>
  <c r="NL72" i="1" a="1"/>
  <c r="NL72" i="1" s="1"/>
  <c r="NJ72" i="1" a="1"/>
  <c r="NJ72" i="1" s="1"/>
  <c r="KK72" i="1" a="1"/>
  <c r="KK72" i="1" s="1"/>
  <c r="ADO72" i="1" s="1" a="1"/>
  <c r="ADO72" i="1" s="1"/>
  <c r="KI72" i="1" a="1"/>
  <c r="KI72" i="1" s="1"/>
  <c r="KD72" i="1" a="1"/>
  <c r="KD72" i="1" s="1"/>
  <c r="KA72" i="1" a="1"/>
  <c r="KA72" i="1" s="1"/>
  <c r="JY72" i="1" a="1"/>
  <c r="JY72" i="1" s="1"/>
  <c r="JW72" i="1" a="1"/>
  <c r="JW72" i="1" s="1"/>
  <c r="JU72" i="1" a="1"/>
  <c r="JU72" i="1" s="1"/>
  <c r="JS72" i="1" a="1"/>
  <c r="JS72" i="1" s="1"/>
  <c r="JQ72" i="1" a="1"/>
  <c r="JQ72" i="1" s="1"/>
  <c r="JO72" i="1" a="1"/>
  <c r="JO72" i="1" s="1"/>
  <c r="JM72" i="1" a="1"/>
  <c r="JM72" i="1" s="1"/>
  <c r="JK72" i="1" a="1"/>
  <c r="JK72" i="1" s="1"/>
  <c r="JI72" i="1" a="1"/>
  <c r="JI72" i="1" s="1"/>
  <c r="JG72" i="1" a="1"/>
  <c r="JG72" i="1" s="1"/>
  <c r="JD72" i="1" a="1"/>
  <c r="JD72" i="1" s="1"/>
  <c r="JB72" i="1" a="1"/>
  <c r="JB72" i="1" s="1"/>
  <c r="IX72" i="1"/>
  <c r="AO72" i="1" a="1"/>
  <c r="AO72" i="1" s="1"/>
  <c r="GW72" i="1" a="1"/>
  <c r="GW72" i="1" s="1"/>
  <c r="HA72" i="1" a="1"/>
  <c r="HA72" i="1" s="1"/>
  <c r="HF72" i="1" a="1"/>
  <c r="HF72" i="1" s="1"/>
  <c r="HJ72" i="1" a="1"/>
  <c r="HJ72" i="1" s="1"/>
  <c r="HV72" i="1" s="1"/>
  <c r="IY72" i="1"/>
  <c r="IP73" i="1" a="1"/>
  <c r="IP73" i="1" s="1"/>
  <c r="AP73" i="1" s="1" a="1"/>
  <c r="AP73" i="1" s="1"/>
  <c r="AAK73" i="1" s="1" a="1"/>
  <c r="AAK73" i="1" s="1"/>
  <c r="IN73" i="1" a="1"/>
  <c r="IN73" i="1" s="1"/>
  <c r="BA73" i="1" s="1"/>
  <c r="BV73" i="1" s="1"/>
  <c r="IL73" i="1" a="1"/>
  <c r="IL73" i="1" s="1"/>
  <c r="IH73" i="1" a="1"/>
  <c r="IH73" i="1" s="1"/>
  <c r="AH73" i="1" s="1"/>
  <c r="IF73" i="1" a="1"/>
  <c r="IF73" i="1" s="1"/>
  <c r="AF73" i="1" s="1"/>
  <c r="IM73" i="1" a="1"/>
  <c r="IM73" i="1" s="1"/>
  <c r="AM73" i="1" s="1"/>
  <c r="GX72" i="1" a="1"/>
  <c r="GX72" i="1" s="1"/>
  <c r="HB72" i="1" a="1"/>
  <c r="HB72" i="1" s="1"/>
  <c r="HG72" i="1" a="1"/>
  <c r="HG72" i="1" s="1"/>
  <c r="IE72" i="1"/>
  <c r="IM72" i="1" s="1" a="1"/>
  <c r="IM72" i="1" s="1"/>
  <c r="AM72" i="1" s="1"/>
  <c r="AAA73" i="1"/>
  <c r="AHR73" i="1"/>
  <c r="KQ73" i="1"/>
  <c r="AQ73" i="1" a="1"/>
  <c r="AQ73" i="1" s="1"/>
  <c r="VQ73" i="1" s="1" a="1"/>
  <c r="VQ73" i="1" s="1"/>
  <c r="ADO73" i="1" a="1"/>
  <c r="ADO73" i="1" s="1"/>
  <c r="ADG73" i="1" a="1"/>
  <c r="ADG73" i="1" s="1"/>
  <c r="ACY73" i="1" a="1"/>
  <c r="ACY73" i="1" s="1"/>
  <c r="VI73" i="1" a="1"/>
  <c r="VI73" i="1" s="1"/>
  <c r="SH73" i="1"/>
  <c r="OE73" i="1" a="1"/>
  <c r="OE73" i="1" s="1"/>
  <c r="OC73" i="1" a="1"/>
  <c r="OC73" i="1" s="1"/>
  <c r="OA73" i="1" a="1"/>
  <c r="OA73" i="1" s="1"/>
  <c r="NY73" i="1" a="1"/>
  <c r="NY73" i="1" s="1"/>
  <c r="NW73" i="1" a="1"/>
  <c r="NW73" i="1" s="1"/>
  <c r="NU73" i="1" a="1"/>
  <c r="NU73" i="1" s="1"/>
  <c r="NS73" i="1" a="1"/>
  <c r="NS73" i="1" s="1"/>
  <c r="NQ73" i="1" a="1"/>
  <c r="NQ73" i="1" s="1"/>
  <c r="RK73" i="1" s="1"/>
  <c r="NO73" i="1" a="1"/>
  <c r="NO73" i="1" s="1"/>
  <c r="NM73" i="1" a="1"/>
  <c r="NM73" i="1" s="1"/>
  <c r="NK73" i="1" a="1"/>
  <c r="NK73" i="1" s="1"/>
  <c r="IG73" i="1" a="1"/>
  <c r="IG73" i="1" s="1"/>
  <c r="IO73" i="1" a="1"/>
  <c r="IO73" i="1" s="1"/>
  <c r="BQ72" i="1"/>
  <c r="GY72" i="1" a="1"/>
  <c r="GY72" i="1" s="1"/>
  <c r="HC72" i="1" a="1"/>
  <c r="HC72" i="1" s="1"/>
  <c r="HK72" i="1" s="1" a="1"/>
  <c r="HK72" i="1" s="1"/>
  <c r="HH72" i="1" a="1"/>
  <c r="HH72" i="1" s="1"/>
  <c r="HM72" i="1" a="1"/>
  <c r="HM72" i="1" s="1"/>
  <c r="BQ73" i="1"/>
  <c r="FR73" i="1"/>
  <c r="II73" i="1" a="1"/>
  <c r="II73" i="1" s="1"/>
  <c r="IQ73" i="1" a="1"/>
  <c r="IQ73" i="1" s="1"/>
  <c r="AT73" i="1" s="1"/>
  <c r="IO72" i="1" a="1"/>
  <c r="IO72" i="1" s="1"/>
  <c r="IK72" i="1" a="1"/>
  <c r="IK72" i="1" s="1"/>
  <c r="AK72" i="1" s="1"/>
  <c r="IG72" i="1" a="1"/>
  <c r="IG72" i="1" s="1"/>
  <c r="IP72" i="1" a="1"/>
  <c r="IP72" i="1" s="1"/>
  <c r="IL72" i="1" a="1"/>
  <c r="IL72" i="1" s="1"/>
  <c r="IH72" i="1" a="1"/>
  <c r="IH72" i="1" s="1"/>
  <c r="AH72" i="1" s="1"/>
  <c r="FU72" i="1"/>
  <c r="BT72" i="1"/>
  <c r="GV72" i="1" a="1"/>
  <c r="GV72" i="1" s="1"/>
  <c r="GZ72" i="1" a="1"/>
  <c r="GZ72" i="1" s="1"/>
  <c r="HD72" i="1" a="1"/>
  <c r="HD72" i="1" s="1"/>
  <c r="HI72" i="1" a="1"/>
  <c r="HI72" i="1" s="1"/>
  <c r="IW72" i="1"/>
  <c r="FP73" i="1"/>
  <c r="BO73" i="1"/>
  <c r="AR73" i="1" a="1"/>
  <c r="AR73" i="1" s="1"/>
  <c r="IK73" i="1" a="1"/>
  <c r="IK73" i="1" s="1"/>
  <c r="AK73" i="1" s="1"/>
  <c r="IV73" i="1"/>
  <c r="HM74" i="1" a="1"/>
  <c r="HM74" i="1" s="1"/>
  <c r="HJ74" i="1" a="1"/>
  <c r="HJ74" i="1" s="1"/>
  <c r="HV74" i="1" s="1"/>
  <c r="HH74" i="1" a="1"/>
  <c r="HH74" i="1" s="1"/>
  <c r="HF74" i="1" a="1"/>
  <c r="HF74" i="1" s="1"/>
  <c r="TB74" i="1" a="1"/>
  <c r="TB74" i="1" s="1"/>
  <c r="TJ74" i="1" a="1"/>
  <c r="TJ74" i="1" s="1"/>
  <c r="TR74" i="1" a="1"/>
  <c r="TR74" i="1" s="1"/>
  <c r="TZ74" i="1" a="1"/>
  <c r="TZ74" i="1" s="1"/>
  <c r="UH74" i="1" a="1"/>
  <c r="UH74" i="1" s="1"/>
  <c r="UP74" i="1" a="1"/>
  <c r="UP74" i="1" s="1"/>
  <c r="VH74" i="1" a="1"/>
  <c r="VH74" i="1" s="1"/>
  <c r="VP74" i="1" a="1"/>
  <c r="VP74" i="1" s="1"/>
  <c r="ACX74" i="1" a="1"/>
  <c r="ACX74" i="1" s="1"/>
  <c r="ADF74" i="1" a="1"/>
  <c r="ADF74" i="1" s="1"/>
  <c r="ADN74" i="1" a="1"/>
  <c r="ADN74" i="1" s="1"/>
  <c r="AIE74" i="1" a="1"/>
  <c r="AIE74" i="1" s="1"/>
  <c r="AIN74" i="1" a="1"/>
  <c r="AIN74" i="1" s="1"/>
  <c r="AIV74" i="1" a="1"/>
  <c r="AIV74" i="1" s="1"/>
  <c r="AJD74" i="1" a="1"/>
  <c r="AJD74" i="1" s="1"/>
  <c r="AJL74" i="1" a="1"/>
  <c r="AJL74" i="1" s="1"/>
  <c r="AJT74" i="1" a="1"/>
  <c r="AJT74" i="1" s="1"/>
  <c r="AKL74" i="1" a="1"/>
  <c r="AKL74" i="1" s="1"/>
  <c r="AKT74" i="1" a="1"/>
  <c r="AKT74" i="1" s="1"/>
  <c r="ALB74" i="1" a="1"/>
  <c r="ALB74" i="1" s="1"/>
  <c r="ALF73" i="1" a="1"/>
  <c r="ALF73" i="1" s="1"/>
  <c r="ALB73" i="1" a="1"/>
  <c r="ALB73" i="1" s="1"/>
  <c r="AKX73" i="1" a="1"/>
  <c r="AKX73" i="1" s="1"/>
  <c r="AKT73" i="1" a="1"/>
  <c r="AKT73" i="1" s="1"/>
  <c r="AKP73" i="1" a="1"/>
  <c r="AKP73" i="1" s="1"/>
  <c r="AKL73" i="1" a="1"/>
  <c r="AKL73" i="1" s="1"/>
  <c r="AIC73" i="1" a="1"/>
  <c r="AIC73" i="1" s="1"/>
  <c r="AHY73" i="1" a="1"/>
  <c r="AHY73" i="1" s="1"/>
  <c r="ADP73" i="1" a="1"/>
  <c r="ADP73" i="1" s="1"/>
  <c r="ADN73" i="1" a="1"/>
  <c r="ADN73" i="1" s="1"/>
  <c r="ADL73" i="1" a="1"/>
  <c r="ADL73" i="1" s="1"/>
  <c r="ADJ73" i="1" a="1"/>
  <c r="ADJ73" i="1" s="1"/>
  <c r="ADH73" i="1" a="1"/>
  <c r="ADH73" i="1" s="1"/>
  <c r="ADF73" i="1" a="1"/>
  <c r="ADF73" i="1" s="1"/>
  <c r="ADD73" i="1" a="1"/>
  <c r="ADD73" i="1" s="1"/>
  <c r="ADB73" i="1" a="1"/>
  <c r="ADB73" i="1" s="1"/>
  <c r="ACZ73" i="1" a="1"/>
  <c r="ACZ73" i="1" s="1"/>
  <c r="ACX73" i="1" a="1"/>
  <c r="ACX73" i="1" s="1"/>
  <c r="ACV73" i="1" a="1"/>
  <c r="ACV73" i="1" s="1"/>
  <c r="ACT73" i="1" a="1"/>
  <c r="ACT73" i="1" s="1"/>
  <c r="AAM73" i="1" a="1"/>
  <c r="AAM73" i="1" s="1"/>
  <c r="AAI73" i="1" a="1"/>
  <c r="AAI73" i="1" s="1"/>
  <c r="VV73" i="1" a="1"/>
  <c r="VV73" i="1" s="1"/>
  <c r="VR73" i="1" a="1"/>
  <c r="VR73" i="1" s="1"/>
  <c r="VN73" i="1" a="1"/>
  <c r="VN73" i="1" s="1"/>
  <c r="VJ73" i="1" a="1"/>
  <c r="VJ73" i="1" s="1"/>
  <c r="VF73" i="1" a="1"/>
  <c r="VF73" i="1" s="1"/>
  <c r="VB73" i="1" a="1"/>
  <c r="VB73" i="1" s="1"/>
  <c r="ALG73" i="1" a="1"/>
  <c r="ALG73" i="1" s="1"/>
  <c r="ALC73" i="1" a="1"/>
  <c r="ALC73" i="1" s="1"/>
  <c r="AKY73" i="1" a="1"/>
  <c r="AKY73" i="1" s="1"/>
  <c r="AKU73" i="1" a="1"/>
  <c r="AKU73" i="1" s="1"/>
  <c r="AKQ73" i="1" a="1"/>
  <c r="AKQ73" i="1" s="1"/>
  <c r="AKM73" i="1" a="1"/>
  <c r="AKM73" i="1" s="1"/>
  <c r="AID73" i="1" a="1"/>
  <c r="AID73" i="1" s="1"/>
  <c r="AHZ73" i="1" a="1"/>
  <c r="AHZ73" i="1" s="1"/>
  <c r="GV73" i="1" a="1"/>
  <c r="GV73" i="1" s="1"/>
  <c r="GX73" i="1" a="1"/>
  <c r="GX73" i="1" s="1"/>
  <c r="GZ73" i="1" a="1"/>
  <c r="GZ73" i="1" s="1"/>
  <c r="HB73" i="1" a="1"/>
  <c r="HB73" i="1" s="1"/>
  <c r="HD73" i="1" a="1"/>
  <c r="HD73" i="1" s="1"/>
  <c r="IE73" i="1"/>
  <c r="IR73" i="1" s="1" a="1"/>
  <c r="IR73" i="1" s="1"/>
  <c r="AU73" i="1" s="1"/>
  <c r="IW73" i="1"/>
  <c r="VG73" i="1" a="1"/>
  <c r="VG73" i="1" s="1"/>
  <c r="VW73" i="1" a="1"/>
  <c r="VW73" i="1" s="1"/>
  <c r="AAH73" i="1" a="1"/>
  <c r="AAH73" i="1" s="1"/>
  <c r="ACW73" i="1" a="1"/>
  <c r="ACW73" i="1" s="1"/>
  <c r="ADE73" i="1" a="1"/>
  <c r="ADE73" i="1" s="1"/>
  <c r="ADM73" i="1" a="1"/>
  <c r="ADM73" i="1" s="1"/>
  <c r="AKC74" i="1" a="1"/>
  <c r="AKC74" i="1" s="1"/>
  <c r="AKA74" i="1" a="1"/>
  <c r="AKA74" i="1" s="1"/>
  <c r="AJY74" i="1" a="1"/>
  <c r="AJY74" i="1" s="1"/>
  <c r="AJW74" i="1" a="1"/>
  <c r="AJW74" i="1" s="1"/>
  <c r="AJU74" i="1" a="1"/>
  <c r="AJU74" i="1" s="1"/>
  <c r="AJS74" i="1" a="1"/>
  <c r="AJS74" i="1" s="1"/>
  <c r="AJQ74" i="1" a="1"/>
  <c r="AJQ74" i="1" s="1"/>
  <c r="AJO74" i="1" a="1"/>
  <c r="AJO74" i="1" s="1"/>
  <c r="AJM74" i="1" a="1"/>
  <c r="AJM74" i="1" s="1"/>
  <c r="AJK74" i="1" a="1"/>
  <c r="AJK74" i="1" s="1"/>
  <c r="AJI74" i="1" a="1"/>
  <c r="AJI74" i="1" s="1"/>
  <c r="AJG74" i="1" a="1"/>
  <c r="AJG74" i="1" s="1"/>
  <c r="AJE74" i="1" a="1"/>
  <c r="AJE74" i="1" s="1"/>
  <c r="AJC74" i="1" a="1"/>
  <c r="AJC74" i="1" s="1"/>
  <c r="AJA74" i="1" a="1"/>
  <c r="AJA74" i="1" s="1"/>
  <c r="AIY74" i="1" a="1"/>
  <c r="AIY74" i="1" s="1"/>
  <c r="AIW74" i="1" a="1"/>
  <c r="AIW74" i="1" s="1"/>
  <c r="AIU74" i="1" a="1"/>
  <c r="AIU74" i="1" s="1"/>
  <c r="AIS74" i="1" a="1"/>
  <c r="AIS74" i="1" s="1"/>
  <c r="AIQ74" i="1" a="1"/>
  <c r="AIQ74" i="1" s="1"/>
  <c r="AIO74" i="1" a="1"/>
  <c r="AIO74" i="1" s="1"/>
  <c r="AIM74" i="1" a="1"/>
  <c r="AIM74" i="1" s="1"/>
  <c r="AIK74" i="1" a="1"/>
  <c r="AIK74" i="1" s="1"/>
  <c r="AII74" i="1" a="1"/>
  <c r="AII74" i="1" s="1"/>
  <c r="AIG74" i="1" a="1"/>
  <c r="AIG74" i="1" s="1"/>
  <c r="US74" i="1" a="1"/>
  <c r="US74" i="1" s="1"/>
  <c r="UQ74" i="1" a="1"/>
  <c r="UQ74" i="1" s="1"/>
  <c r="UO74" i="1" a="1"/>
  <c r="UO74" i="1" s="1"/>
  <c r="UM74" i="1" a="1"/>
  <c r="UM74" i="1" s="1"/>
  <c r="UK74" i="1" a="1"/>
  <c r="UK74" i="1" s="1"/>
  <c r="UI74" i="1" a="1"/>
  <c r="UI74" i="1" s="1"/>
  <c r="UG74" i="1" a="1"/>
  <c r="UG74" i="1" s="1"/>
  <c r="UE74" i="1" a="1"/>
  <c r="UE74" i="1" s="1"/>
  <c r="UC74" i="1" a="1"/>
  <c r="UC74" i="1" s="1"/>
  <c r="UA74" i="1" a="1"/>
  <c r="UA74" i="1" s="1"/>
  <c r="TY74" i="1" a="1"/>
  <c r="TY74" i="1" s="1"/>
  <c r="TW74" i="1" a="1"/>
  <c r="TW74" i="1" s="1"/>
  <c r="TU74" i="1" a="1"/>
  <c r="TU74" i="1" s="1"/>
  <c r="TS74" i="1" a="1"/>
  <c r="TS74" i="1" s="1"/>
  <c r="TQ74" i="1" a="1"/>
  <c r="TQ74" i="1" s="1"/>
  <c r="TO74" i="1" a="1"/>
  <c r="TO74" i="1" s="1"/>
  <c r="TM74" i="1" a="1"/>
  <c r="TM74" i="1" s="1"/>
  <c r="TK74" i="1" a="1"/>
  <c r="TK74" i="1" s="1"/>
  <c r="TI74" i="1" a="1"/>
  <c r="TI74" i="1" s="1"/>
  <c r="TG74" i="1" a="1"/>
  <c r="TG74" i="1" s="1"/>
  <c r="TE74" i="1" a="1"/>
  <c r="TE74" i="1" s="1"/>
  <c r="TC74" i="1" a="1"/>
  <c r="TC74" i="1" s="1"/>
  <c r="TA74" i="1" a="1"/>
  <c r="TA74" i="1" s="1"/>
  <c r="SY74" i="1" a="1"/>
  <c r="SY74" i="1" s="1"/>
  <c r="SW74" i="1" a="1"/>
  <c r="SW74" i="1" s="1"/>
  <c r="ST74" i="1" a="1"/>
  <c r="ST74" i="1" s="1"/>
  <c r="SR74" i="1" a="1"/>
  <c r="SR74" i="1" s="1"/>
  <c r="SP74" i="1" a="1"/>
  <c r="SP74" i="1" s="1"/>
  <c r="BT74" i="1"/>
  <c r="NN74" i="1" a="1"/>
  <c r="NN74" i="1" s="1"/>
  <c r="NV74" i="1" a="1"/>
  <c r="NV74" i="1" s="1"/>
  <c r="OD74" i="1" a="1"/>
  <c r="OD74" i="1" s="1"/>
  <c r="SU74" i="1" a="1"/>
  <c r="SU74" i="1" s="1"/>
  <c r="TD74" i="1" a="1"/>
  <c r="TD74" i="1" s="1"/>
  <c r="TL74" i="1" a="1"/>
  <c r="TL74" i="1" s="1"/>
  <c r="TT74" i="1" a="1"/>
  <c r="TT74" i="1" s="1"/>
  <c r="UB74" i="1" a="1"/>
  <c r="UB74" i="1" s="1"/>
  <c r="UJ74" i="1" a="1"/>
  <c r="UJ74" i="1" s="1"/>
  <c r="UR74" i="1" a="1"/>
  <c r="UR74" i="1" s="1"/>
  <c r="VB74" i="1" a="1"/>
  <c r="VB74" i="1" s="1"/>
  <c r="VJ74" i="1" a="1"/>
  <c r="VJ74" i="1" s="1"/>
  <c r="VR74" i="1" a="1"/>
  <c r="VR74" i="1" s="1"/>
  <c r="ACZ74" i="1" a="1"/>
  <c r="ACZ74" i="1" s="1"/>
  <c r="ADH74" i="1" a="1"/>
  <c r="ADH74" i="1" s="1"/>
  <c r="ADP74" i="1" a="1"/>
  <c r="ADP74" i="1" s="1"/>
  <c r="AHY74" i="1" a="1"/>
  <c r="AHY74" i="1" s="1"/>
  <c r="AIH74" i="1" a="1"/>
  <c r="AIH74" i="1" s="1"/>
  <c r="AIP74" i="1" a="1"/>
  <c r="AIP74" i="1" s="1"/>
  <c r="AIX74" i="1" a="1"/>
  <c r="AIX74" i="1" s="1"/>
  <c r="AJF74" i="1" a="1"/>
  <c r="AJF74" i="1" s="1"/>
  <c r="AJN74" i="1" a="1"/>
  <c r="AJN74" i="1" s="1"/>
  <c r="AJV74" i="1" a="1"/>
  <c r="AJV74" i="1" s="1"/>
  <c r="AKN74" i="1" a="1"/>
  <c r="AKN74" i="1" s="1"/>
  <c r="AKV74" i="1" a="1"/>
  <c r="AKV74" i="1" s="1"/>
  <c r="ALD74" i="1" a="1"/>
  <c r="ALD74" i="1" s="1"/>
  <c r="FU75" i="1"/>
  <c r="BT75" i="1"/>
  <c r="IQ75" i="1" a="1"/>
  <c r="IQ75" i="1" s="1"/>
  <c r="AT75" i="1" s="1"/>
  <c r="IO75" i="1" a="1"/>
  <c r="IO75" i="1" s="1"/>
  <c r="IM75" i="1" a="1"/>
  <c r="IM75" i="1" s="1"/>
  <c r="AM75" i="1" s="1"/>
  <c r="IK75" i="1" a="1"/>
  <c r="IK75" i="1" s="1"/>
  <c r="AK75" i="1" s="1"/>
  <c r="II75" i="1" a="1"/>
  <c r="II75" i="1" s="1"/>
  <c r="IG75" i="1" a="1"/>
  <c r="IG75" i="1" s="1"/>
  <c r="IR75" i="1" a="1"/>
  <c r="IR75" i="1" s="1"/>
  <c r="AU75" i="1" s="1"/>
  <c r="IP75" i="1" a="1"/>
  <c r="IP75" i="1" s="1"/>
  <c r="IN75" i="1" a="1"/>
  <c r="IN75" i="1" s="1"/>
  <c r="BA75" i="1" s="1"/>
  <c r="BV75" i="1" s="1"/>
  <c r="IL75" i="1" a="1"/>
  <c r="IL75" i="1" s="1"/>
  <c r="IJ75" i="1" a="1"/>
  <c r="IJ75" i="1" s="1"/>
  <c r="AJ75" i="1" s="1"/>
  <c r="IH75" i="1" a="1"/>
  <c r="IH75" i="1" s="1"/>
  <c r="AH75" i="1" s="1"/>
  <c r="IF75" i="1" a="1"/>
  <c r="IF75" i="1" s="1"/>
  <c r="AF75" i="1" s="1"/>
  <c r="AO75" i="1" a="1"/>
  <c r="AO75" i="1" s="1"/>
  <c r="GV75" i="1" a="1"/>
  <c r="GV75" i="1" s="1"/>
  <c r="HD75" i="1" a="1"/>
  <c r="HD75" i="1" s="1"/>
  <c r="NJ73" i="1" a="1"/>
  <c r="NJ73" i="1" s="1"/>
  <c r="NL73" i="1" a="1"/>
  <c r="NL73" i="1" s="1"/>
  <c r="NN73" i="1" a="1"/>
  <c r="NN73" i="1" s="1"/>
  <c r="NP73" i="1" a="1"/>
  <c r="NP73" i="1" s="1"/>
  <c r="NR73" i="1" a="1"/>
  <c r="NR73" i="1" s="1"/>
  <c r="RL73" i="1" s="1"/>
  <c r="NT73" i="1" a="1"/>
  <c r="NT73" i="1" s="1"/>
  <c r="NV73" i="1" a="1"/>
  <c r="NV73" i="1" s="1"/>
  <c r="NX73" i="1" a="1"/>
  <c r="NX73" i="1" s="1"/>
  <c r="NZ73" i="1" a="1"/>
  <c r="NZ73" i="1" s="1"/>
  <c r="OB73" i="1" a="1"/>
  <c r="OB73" i="1" s="1"/>
  <c r="OD73" i="1" a="1"/>
  <c r="OD73" i="1" s="1"/>
  <c r="OF73" i="1" a="1"/>
  <c r="OF73" i="1" s="1"/>
  <c r="SQ73" i="1" a="1"/>
  <c r="SQ73" i="1" s="1"/>
  <c r="SS73" i="1" a="1"/>
  <c r="SS73" i="1" s="1"/>
  <c r="SU73" i="1" a="1"/>
  <c r="SU73" i="1" s="1"/>
  <c r="VM73" i="1" a="1"/>
  <c r="VM73" i="1" s="1"/>
  <c r="VU73" i="1" a="1"/>
  <c r="VU73" i="1" s="1"/>
  <c r="ACU73" i="1" a="1"/>
  <c r="ACU73" i="1" s="1"/>
  <c r="ADC73" i="1" a="1"/>
  <c r="ADC73" i="1" s="1"/>
  <c r="ADK73" i="1" a="1"/>
  <c r="ADK73" i="1" s="1"/>
  <c r="BO74" i="1"/>
  <c r="FP74" i="1"/>
  <c r="NP74" i="1" a="1"/>
  <c r="NP74" i="1" s="1"/>
  <c r="NX74" i="1" a="1"/>
  <c r="NX74" i="1" s="1"/>
  <c r="OF74" i="1" a="1"/>
  <c r="OF74" i="1" s="1"/>
  <c r="SO74" i="1" a="1"/>
  <c r="SO74" i="1" s="1"/>
  <c r="SX74" i="1" a="1"/>
  <c r="SX74" i="1" s="1"/>
  <c r="TF74" i="1" a="1"/>
  <c r="TF74" i="1" s="1"/>
  <c r="TN74" i="1" a="1"/>
  <c r="TN74" i="1" s="1"/>
  <c r="TV74" i="1" a="1"/>
  <c r="TV74" i="1" s="1"/>
  <c r="UD74" i="1" a="1"/>
  <c r="UD74" i="1" s="1"/>
  <c r="UL74" i="1" a="1"/>
  <c r="UL74" i="1" s="1"/>
  <c r="VD74" i="1" a="1"/>
  <c r="VD74" i="1" s="1"/>
  <c r="VL74" i="1" a="1"/>
  <c r="VL74" i="1" s="1"/>
  <c r="VT74" i="1" a="1"/>
  <c r="VT74" i="1" s="1"/>
  <c r="AAA74" i="1"/>
  <c r="ACT74" i="1" a="1"/>
  <c r="ACT74" i="1" s="1"/>
  <c r="ADB74" i="1" a="1"/>
  <c r="ADB74" i="1" s="1"/>
  <c r="AGV74" i="1" s="1"/>
  <c r="ADJ74" i="1" a="1"/>
  <c r="ADJ74" i="1" s="1"/>
  <c r="AIA74" i="1" a="1"/>
  <c r="AIA74" i="1" s="1"/>
  <c r="AIJ74" i="1" a="1"/>
  <c r="AIJ74" i="1" s="1"/>
  <c r="AIR74" i="1" a="1"/>
  <c r="AIR74" i="1" s="1"/>
  <c r="AIZ74" i="1" a="1"/>
  <c r="AIZ74" i="1" s="1"/>
  <c r="AJH74" i="1" a="1"/>
  <c r="AJH74" i="1" s="1"/>
  <c r="AJP74" i="1" a="1"/>
  <c r="AJP74" i="1" s="1"/>
  <c r="AJX74" i="1" a="1"/>
  <c r="AJX74" i="1" s="1"/>
  <c r="AKP74" i="1" a="1"/>
  <c r="AKP74" i="1" s="1"/>
  <c r="AKX74" i="1" a="1"/>
  <c r="AKX74" i="1" s="1"/>
  <c r="OF75" i="1" a="1"/>
  <c r="OF75" i="1" s="1"/>
  <c r="OB75" i="1" a="1"/>
  <c r="OB75" i="1" s="1"/>
  <c r="NX75" i="1" a="1"/>
  <c r="NX75" i="1" s="1"/>
  <c r="NT75" i="1" a="1"/>
  <c r="NT75" i="1" s="1"/>
  <c r="NP75" i="1" a="1"/>
  <c r="NP75" i="1" s="1"/>
  <c r="NL75" i="1" a="1"/>
  <c r="NL75" i="1" s="1"/>
  <c r="OC75" i="1" a="1"/>
  <c r="OC75" i="1" s="1"/>
  <c r="NU75" i="1" a="1"/>
  <c r="NU75" i="1" s="1"/>
  <c r="NM75" i="1" a="1"/>
  <c r="NM75" i="1" s="1"/>
  <c r="KL75" i="1" a="1"/>
  <c r="KL75" i="1" s="1"/>
  <c r="KJ75" i="1" a="1"/>
  <c r="KJ75" i="1" s="1"/>
  <c r="KH75" i="1" a="1"/>
  <c r="KH75" i="1" s="1"/>
  <c r="KC75" i="1" a="1"/>
  <c r="KC75" i="1" s="1"/>
  <c r="JZ75" i="1" a="1"/>
  <c r="JZ75" i="1" s="1"/>
  <c r="JX75" i="1" a="1"/>
  <c r="JX75" i="1" s="1"/>
  <c r="JV75" i="1" a="1"/>
  <c r="JV75" i="1" s="1"/>
  <c r="JT75" i="1" a="1"/>
  <c r="JT75" i="1" s="1"/>
  <c r="JR75" i="1" a="1"/>
  <c r="JR75" i="1" s="1"/>
  <c r="JP75" i="1" a="1"/>
  <c r="JP75" i="1" s="1"/>
  <c r="JN75" i="1" a="1"/>
  <c r="JN75" i="1" s="1"/>
  <c r="JL75" i="1" a="1"/>
  <c r="JL75" i="1" s="1"/>
  <c r="JJ75" i="1" a="1"/>
  <c r="JJ75" i="1" s="1"/>
  <c r="JH75" i="1" a="1"/>
  <c r="JH75" i="1" s="1"/>
  <c r="JF75" i="1" a="1"/>
  <c r="JF75" i="1" s="1"/>
  <c r="JC75" i="1" a="1"/>
  <c r="JC75" i="1" s="1"/>
  <c r="JA75" i="1" a="1"/>
  <c r="JA75" i="1" s="1"/>
  <c r="IV75" i="1"/>
  <c r="IY75" i="1"/>
  <c r="HJ75" i="1" a="1"/>
  <c r="HJ75" i="1" s="1"/>
  <c r="HV75" i="1" s="1"/>
  <c r="HF75" i="1" a="1"/>
  <c r="HF75" i="1" s="1"/>
  <c r="HC75" i="1" a="1"/>
  <c r="HC75" i="1" s="1"/>
  <c r="HK75" i="1" s="1" a="1"/>
  <c r="HK75" i="1" s="1"/>
  <c r="HA75" i="1" a="1"/>
  <c r="HA75" i="1" s="1"/>
  <c r="GY75" i="1" a="1"/>
  <c r="GY75" i="1" s="1"/>
  <c r="GW75" i="1" a="1"/>
  <c r="GW75" i="1" s="1"/>
  <c r="OA75" i="1" a="1"/>
  <c r="OA75" i="1" s="1"/>
  <c r="NW75" i="1" a="1"/>
  <c r="NW75" i="1" s="1"/>
  <c r="NS75" i="1" a="1"/>
  <c r="NS75" i="1" s="1"/>
  <c r="NK75" i="1" a="1"/>
  <c r="NK75" i="1" s="1"/>
  <c r="KK75" i="1" a="1"/>
  <c r="KK75" i="1" s="1"/>
  <c r="ADN75" i="1" s="1" a="1"/>
  <c r="ADN75" i="1" s="1"/>
  <c r="KI75" i="1" a="1"/>
  <c r="KI75" i="1" s="1"/>
  <c r="KD75" i="1" a="1"/>
  <c r="KD75" i="1" s="1"/>
  <c r="KA75" i="1" a="1"/>
  <c r="KA75" i="1" s="1"/>
  <c r="JY75" i="1" a="1"/>
  <c r="JY75" i="1" s="1"/>
  <c r="JW75" i="1" a="1"/>
  <c r="JW75" i="1" s="1"/>
  <c r="JU75" i="1" a="1"/>
  <c r="JU75" i="1" s="1"/>
  <c r="JS75" i="1" a="1"/>
  <c r="JS75" i="1" s="1"/>
  <c r="JQ75" i="1" a="1"/>
  <c r="JQ75" i="1" s="1"/>
  <c r="JO75" i="1" a="1"/>
  <c r="JO75" i="1" s="1"/>
  <c r="JM75" i="1" a="1"/>
  <c r="JM75" i="1" s="1"/>
  <c r="JK75" i="1" a="1"/>
  <c r="JK75" i="1" s="1"/>
  <c r="JI75" i="1" a="1"/>
  <c r="JI75" i="1" s="1"/>
  <c r="JG75" i="1" a="1"/>
  <c r="JG75" i="1" s="1"/>
  <c r="JD75" i="1" a="1"/>
  <c r="JD75" i="1" s="1"/>
  <c r="JB75" i="1" a="1"/>
  <c r="JB75" i="1" s="1"/>
  <c r="IX75" i="1"/>
  <c r="GX75" i="1" a="1"/>
  <c r="GX75" i="1" s="1"/>
  <c r="GV71" i="1" a="1"/>
  <c r="GV71" i="1" s="1"/>
  <c r="HO71" i="1" s="1"/>
  <c r="GX71" i="1" a="1"/>
  <c r="GX71" i="1" s="1"/>
  <c r="GZ71" i="1" a="1"/>
  <c r="GZ71" i="1" s="1"/>
  <c r="HB71" i="1" a="1"/>
  <c r="HB71" i="1" s="1"/>
  <c r="HD71" i="1" a="1"/>
  <c r="HD71" i="1" s="1"/>
  <c r="HG71" i="1" a="1"/>
  <c r="HG71" i="1" s="1"/>
  <c r="HI71" i="1" a="1"/>
  <c r="HI71" i="1" s="1"/>
  <c r="HW71" i="1" s="1"/>
  <c r="HK71" i="1" a="1"/>
  <c r="HK71" i="1" s="1"/>
  <c r="HP71" i="1" s="1"/>
  <c r="IE71" i="1"/>
  <c r="IR71" i="1" s="1" a="1"/>
  <c r="IR71" i="1" s="1"/>
  <c r="AU71" i="1" s="1"/>
  <c r="IW71" i="1"/>
  <c r="GW73" i="1" a="1"/>
  <c r="GW73" i="1" s="1"/>
  <c r="GY73" i="1" a="1"/>
  <c r="GY73" i="1" s="1"/>
  <c r="HA73" i="1" a="1"/>
  <c r="HA73" i="1" s="1"/>
  <c r="HC73" i="1" a="1"/>
  <c r="HC73" i="1" s="1"/>
  <c r="HG73" i="1" s="1" a="1"/>
  <c r="HG73" i="1" s="1"/>
  <c r="HF73" i="1" a="1"/>
  <c r="HF73" i="1" s="1"/>
  <c r="HH73" i="1" a="1"/>
  <c r="HH73" i="1" s="1"/>
  <c r="HJ73" i="1" a="1"/>
  <c r="HJ73" i="1" s="1"/>
  <c r="HV73" i="1" s="1"/>
  <c r="HM73" i="1" a="1"/>
  <c r="HM73" i="1" s="1"/>
  <c r="IY73" i="1"/>
  <c r="VC73" i="1" a="1"/>
  <c r="VC73" i="1" s="1"/>
  <c r="VK73" i="1" a="1"/>
  <c r="VK73" i="1" s="1"/>
  <c r="VS73" i="1" a="1"/>
  <c r="VS73" i="1" s="1"/>
  <c r="AAL73" i="1" a="1"/>
  <c r="AAL73" i="1" s="1"/>
  <c r="ADA73" i="1" a="1"/>
  <c r="ADA73" i="1" s="1"/>
  <c r="AGU73" i="1" s="1"/>
  <c r="ADI73" i="1" a="1"/>
  <c r="ADI73" i="1" s="1"/>
  <c r="FR74" i="1"/>
  <c r="BQ74" i="1"/>
  <c r="AHR74" i="1"/>
  <c r="VW74" i="1" a="1"/>
  <c r="VW74" i="1" s="1"/>
  <c r="VU74" i="1" a="1"/>
  <c r="VU74" i="1" s="1"/>
  <c r="VS74" i="1" a="1"/>
  <c r="VS74" i="1" s="1"/>
  <c r="VQ74" i="1" a="1"/>
  <c r="VQ74" i="1" s="1"/>
  <c r="VO74" i="1" a="1"/>
  <c r="VO74" i="1" s="1"/>
  <c r="VM74" i="1" a="1"/>
  <c r="VM74" i="1" s="1"/>
  <c r="VK74" i="1" a="1"/>
  <c r="VK74" i="1" s="1"/>
  <c r="VI74" i="1" a="1"/>
  <c r="VI74" i="1" s="1"/>
  <c r="VG74" i="1" a="1"/>
  <c r="VG74" i="1" s="1"/>
  <c r="VE74" i="1" a="1"/>
  <c r="VE74" i="1" s="1"/>
  <c r="VC74" i="1" a="1"/>
  <c r="VC74" i="1" s="1"/>
  <c r="VA74" i="1" a="1"/>
  <c r="VA74" i="1" s="1"/>
  <c r="SH74" i="1"/>
  <c r="OE74" i="1" a="1"/>
  <c r="OE74" i="1" s="1"/>
  <c r="OC74" i="1" a="1"/>
  <c r="OC74" i="1" s="1"/>
  <c r="OA74" i="1" a="1"/>
  <c r="OA74" i="1" s="1"/>
  <c r="NY74" i="1" a="1"/>
  <c r="NY74" i="1" s="1"/>
  <c r="NW74" i="1" a="1"/>
  <c r="NW74" i="1" s="1"/>
  <c r="NU74" i="1" a="1"/>
  <c r="NU74" i="1" s="1"/>
  <c r="NS74" i="1" a="1"/>
  <c r="NS74" i="1" s="1"/>
  <c r="NQ74" i="1" a="1"/>
  <c r="NQ74" i="1" s="1"/>
  <c r="RK74" i="1" s="1"/>
  <c r="NO74" i="1" a="1"/>
  <c r="NO74" i="1" s="1"/>
  <c r="NM74" i="1" a="1"/>
  <c r="NM74" i="1" s="1"/>
  <c r="NK74" i="1" a="1"/>
  <c r="NK74" i="1" s="1"/>
  <c r="KQ74" i="1"/>
  <c r="NJ74" i="1" a="1"/>
  <c r="NJ74" i="1" s="1"/>
  <c r="NR74" i="1" a="1"/>
  <c r="NR74" i="1" s="1"/>
  <c r="NZ74" i="1" a="1"/>
  <c r="NZ74" i="1" s="1"/>
  <c r="SQ74" i="1" a="1"/>
  <c r="SQ74" i="1" s="1"/>
  <c r="SZ74" i="1" a="1"/>
  <c r="SZ74" i="1" s="1"/>
  <c r="TH74" i="1" a="1"/>
  <c r="TH74" i="1" s="1"/>
  <c r="TP74" i="1" a="1"/>
  <c r="TP74" i="1" s="1"/>
  <c r="TX74" i="1" a="1"/>
  <c r="TX74" i="1" s="1"/>
  <c r="UF74" i="1" a="1"/>
  <c r="UF74" i="1" s="1"/>
  <c r="UN74" i="1" a="1"/>
  <c r="UN74" i="1" s="1"/>
  <c r="VF74" i="1" a="1"/>
  <c r="VF74" i="1" s="1"/>
  <c r="VN74" i="1" a="1"/>
  <c r="VN74" i="1" s="1"/>
  <c r="VV74" i="1" a="1"/>
  <c r="VV74" i="1" s="1"/>
  <c r="ACV74" i="1" a="1"/>
  <c r="ACV74" i="1" s="1"/>
  <c r="ADD74" i="1" a="1"/>
  <c r="ADD74" i="1" s="1"/>
  <c r="ADL74" i="1" a="1"/>
  <c r="ADL74" i="1" s="1"/>
  <c r="AIC74" i="1" a="1"/>
  <c r="AIC74" i="1" s="1"/>
  <c r="AIL74" i="1" a="1"/>
  <c r="AIL74" i="1" s="1"/>
  <c r="AIT74" i="1" a="1"/>
  <c r="AIT74" i="1" s="1"/>
  <c r="AJB74" i="1" a="1"/>
  <c r="AJB74" i="1" s="1"/>
  <c r="AJJ74" i="1" a="1"/>
  <c r="AJJ74" i="1" s="1"/>
  <c r="AJR74" i="1" a="1"/>
  <c r="AJR74" i="1" s="1"/>
  <c r="AJZ74" i="1" a="1"/>
  <c r="AJZ74" i="1" s="1"/>
  <c r="AKR74" i="1" a="1"/>
  <c r="AKR74" i="1" s="1"/>
  <c r="AKZ74" i="1" a="1"/>
  <c r="AKZ74" i="1" s="1"/>
  <c r="GZ75" i="1" a="1"/>
  <c r="GZ75" i="1" s="1"/>
  <c r="IW75" i="1"/>
  <c r="ADO75" i="1" a="1"/>
  <c r="ADO75" i="1" s="1"/>
  <c r="ACU74" i="1" a="1"/>
  <c r="ACU74" i="1" s="1"/>
  <c r="ACW74" i="1" a="1"/>
  <c r="ACW74" i="1" s="1"/>
  <c r="ACY74" i="1" a="1"/>
  <c r="ACY74" i="1" s="1"/>
  <c r="ADA74" i="1" a="1"/>
  <c r="ADA74" i="1" s="1"/>
  <c r="AGU74" i="1" s="1"/>
  <c r="ADC74" i="1" a="1"/>
  <c r="ADC74" i="1" s="1"/>
  <c r="ADE74" i="1" a="1"/>
  <c r="ADE74" i="1" s="1"/>
  <c r="ADG74" i="1" a="1"/>
  <c r="ADG74" i="1" s="1"/>
  <c r="ADI74" i="1" a="1"/>
  <c r="ADI74" i="1" s="1"/>
  <c r="ADK74" i="1" a="1"/>
  <c r="ADK74" i="1" s="1"/>
  <c r="ADM74" i="1" a="1"/>
  <c r="ADM74" i="1" s="1"/>
  <c r="ADO74" i="1" a="1"/>
  <c r="ADO74" i="1" s="1"/>
  <c r="AHZ74" i="1" a="1"/>
  <c r="AHZ74" i="1" s="1"/>
  <c r="AIB74" i="1" a="1"/>
  <c r="AIB74" i="1" s="1"/>
  <c r="AID74" i="1" a="1"/>
  <c r="AID74" i="1" s="1"/>
  <c r="AKK74" i="1" a="1"/>
  <c r="AKK74" i="1" s="1"/>
  <c r="AKM74" i="1" a="1"/>
  <c r="AKM74" i="1" s="1"/>
  <c r="AKO74" i="1" a="1"/>
  <c r="AKO74" i="1" s="1"/>
  <c r="AKQ74" i="1" a="1"/>
  <c r="AKQ74" i="1" s="1"/>
  <c r="AKS74" i="1" a="1"/>
  <c r="AKS74" i="1" s="1"/>
  <c r="AKU74" i="1" a="1"/>
  <c r="AKU74" i="1" s="1"/>
  <c r="AKW74" i="1" a="1"/>
  <c r="AKW74" i="1" s="1"/>
  <c r="AKY74" i="1" a="1"/>
  <c r="AKY74" i="1" s="1"/>
  <c r="ALA74" i="1" a="1"/>
  <c r="ALA74" i="1" s="1"/>
  <c r="ALC74" i="1" a="1"/>
  <c r="ALC74" i="1" s="1"/>
  <c r="ALE74" i="1" a="1"/>
  <c r="ALE74" i="1" s="1"/>
  <c r="ALG74" i="1" a="1"/>
  <c r="ALG74" i="1" s="1"/>
  <c r="AAA76" i="1"/>
  <c r="VH76" i="1" a="1"/>
  <c r="VH76" i="1" s="1"/>
  <c r="OF76" i="1" a="1"/>
  <c r="OF76" i="1" s="1"/>
  <c r="OA76" i="1" a="1"/>
  <c r="OA76" i="1" s="1"/>
  <c r="NX76" i="1" a="1"/>
  <c r="NX76" i="1" s="1"/>
  <c r="NS76" i="1" a="1"/>
  <c r="NS76" i="1" s="1"/>
  <c r="NP76" i="1" a="1"/>
  <c r="NP76" i="1" s="1"/>
  <c r="NK76" i="1" a="1"/>
  <c r="NK76" i="1" s="1"/>
  <c r="AHR76" i="1"/>
  <c r="KQ76" i="1"/>
  <c r="ADG76" i="1" a="1"/>
  <c r="ADG76" i="1" s="1"/>
  <c r="SH76" i="1"/>
  <c r="NV76" i="1" a="1"/>
  <c r="NV76" i="1" s="1"/>
  <c r="AQ76" i="1" a="1"/>
  <c r="AQ76" i="1" s="1"/>
  <c r="VL76" i="1" s="1" a="1"/>
  <c r="VL76" i="1" s="1"/>
  <c r="ADC76" i="1" a="1"/>
  <c r="ADC76" i="1" s="1"/>
  <c r="OD76" i="1" a="1"/>
  <c r="OD76" i="1" s="1"/>
  <c r="ADO76" i="1" a="1"/>
  <c r="ADO76" i="1" s="1"/>
  <c r="ACY76" i="1" a="1"/>
  <c r="ACY76" i="1" s="1"/>
  <c r="VI76" i="1" a="1"/>
  <c r="VI76" i="1" s="1"/>
  <c r="NQ76" i="1" a="1"/>
  <c r="NQ76" i="1" s="1"/>
  <c r="RK76" i="1" s="1"/>
  <c r="AKO76" i="1" a="1"/>
  <c r="AKO76" i="1" s="1"/>
  <c r="ADK76" i="1" a="1"/>
  <c r="ADK76" i="1" s="1"/>
  <c r="ACU76" i="1" a="1"/>
  <c r="ACU76" i="1" s="1"/>
  <c r="VE76" i="1" a="1"/>
  <c r="VE76" i="1" s="1"/>
  <c r="NY76" i="1" a="1"/>
  <c r="NY76" i="1" s="1"/>
  <c r="NN76" i="1" a="1"/>
  <c r="NN76" i="1" s="1"/>
  <c r="AR76" i="1" a="1"/>
  <c r="AR76" i="1" s="1"/>
  <c r="GV74" i="1" a="1"/>
  <c r="GV74" i="1" s="1"/>
  <c r="HO74" i="1" s="1"/>
  <c r="HQ74" i="1" s="1"/>
  <c r="HR74" i="1" s="1"/>
  <c r="GX74" i="1" a="1"/>
  <c r="GX74" i="1" s="1"/>
  <c r="GZ74" i="1" a="1"/>
  <c r="GZ74" i="1" s="1"/>
  <c r="HB74" i="1" a="1"/>
  <c r="HB74" i="1" s="1"/>
  <c r="HD74" i="1" a="1"/>
  <c r="HD74" i="1" s="1"/>
  <c r="HG74" i="1" a="1"/>
  <c r="HG74" i="1" s="1"/>
  <c r="HI74" i="1" a="1"/>
  <c r="HI74" i="1" s="1"/>
  <c r="HW74" i="1" s="1"/>
  <c r="HK74" i="1" a="1"/>
  <c r="HK74" i="1" s="1"/>
  <c r="HP74" i="1" s="1"/>
  <c r="IE74" i="1"/>
  <c r="IF74" i="1" s="1" a="1"/>
  <c r="IF74" i="1" s="1"/>
  <c r="AF74" i="1" s="1"/>
  <c r="IW74" i="1"/>
  <c r="FP76" i="1"/>
  <c r="BO76" i="1"/>
  <c r="ACU77" i="1" a="1"/>
  <c r="ACU77" i="1" s="1"/>
  <c r="FU76" i="1"/>
  <c r="BT76" i="1"/>
  <c r="AQ77" i="1" a="1"/>
  <c r="AQ77" i="1" s="1"/>
  <c r="AR77" i="1" a="1"/>
  <c r="AR77" i="1" s="1"/>
  <c r="ADG77" i="1" a="1"/>
  <c r="ADG77" i="1" s="1"/>
  <c r="VQ77" i="1" a="1"/>
  <c r="VQ77" i="1" s="1"/>
  <c r="VA77" i="1" a="1"/>
  <c r="VA77" i="1" s="1"/>
  <c r="OF77" i="1" a="1"/>
  <c r="OF77" i="1" s="1"/>
  <c r="NK77" i="1" a="1"/>
  <c r="NK77" i="1" s="1"/>
  <c r="ALC77" i="1" a="1"/>
  <c r="ALC77" i="1" s="1"/>
  <c r="ADC77" i="1" a="1"/>
  <c r="ADC77" i="1" s="1"/>
  <c r="VM77" i="1" a="1"/>
  <c r="VM77" i="1" s="1"/>
  <c r="NS77" i="1" a="1"/>
  <c r="NS77" i="1" s="1"/>
  <c r="AKU77" i="1" a="1"/>
  <c r="AKU77" i="1" s="1"/>
  <c r="ADO77" i="1" a="1"/>
  <c r="ADO77" i="1" s="1"/>
  <c r="ACY77" i="1" a="1"/>
  <c r="ACY77" i="1" s="1"/>
  <c r="VI77" i="1" a="1"/>
  <c r="VI77" i="1" s="1"/>
  <c r="OA77" i="1" a="1"/>
  <c r="OA77" i="1" s="1"/>
  <c r="NP77" i="1" a="1"/>
  <c r="NP77" i="1" s="1"/>
  <c r="NX77" i="1" a="1"/>
  <c r="NX77" i="1" s="1"/>
  <c r="VE77" i="1" a="1"/>
  <c r="VE77" i="1" s="1"/>
  <c r="AKM77" i="1" a="1"/>
  <c r="AKM77" i="1" s="1"/>
  <c r="IY76" i="1"/>
  <c r="HH76" i="1" a="1"/>
  <c r="HH76" i="1" s="1"/>
  <c r="HC76" i="1" a="1"/>
  <c r="HC76" i="1" s="1"/>
  <c r="HJ76" i="1" s="1" a="1"/>
  <c r="HJ76" i="1" s="1"/>
  <c r="HV76" i="1" s="1"/>
  <c r="HA76" i="1" a="1"/>
  <c r="HA76" i="1" s="1"/>
  <c r="GY76" i="1" a="1"/>
  <c r="GY76" i="1" s="1"/>
  <c r="GW76" i="1" a="1"/>
  <c r="GW76" i="1" s="1"/>
  <c r="ALD76" i="1" a="1"/>
  <c r="ALD76" i="1" s="1"/>
  <c r="AKZ76" i="1" a="1"/>
  <c r="AKZ76" i="1" s="1"/>
  <c r="AKV76" i="1" a="1"/>
  <c r="AKV76" i="1" s="1"/>
  <c r="AKR76" i="1" a="1"/>
  <c r="AKR76" i="1" s="1"/>
  <c r="AKN76" i="1" a="1"/>
  <c r="AKN76" i="1" s="1"/>
  <c r="HB76" i="1" a="1"/>
  <c r="HB76" i="1" s="1"/>
  <c r="IE76" i="1"/>
  <c r="IQ76" i="1" s="1" a="1"/>
  <c r="IQ76" i="1" s="1"/>
  <c r="AT76" i="1" s="1"/>
  <c r="IV76" i="1"/>
  <c r="JD76" i="1" a="1"/>
  <c r="JD76" i="1" s="1"/>
  <c r="JH76" i="1" a="1"/>
  <c r="JH76" i="1" s="1"/>
  <c r="JM76" i="1" a="1"/>
  <c r="JM76" i="1" s="1"/>
  <c r="JP76" i="1" a="1"/>
  <c r="JP76" i="1" s="1"/>
  <c r="JU76" i="1" a="1"/>
  <c r="JU76" i="1" s="1"/>
  <c r="JX76" i="1" a="1"/>
  <c r="JX76" i="1" s="1"/>
  <c r="KD76" i="1" a="1"/>
  <c r="KD76" i="1" s="1"/>
  <c r="KJ76" i="1" a="1"/>
  <c r="KJ76" i="1" s="1"/>
  <c r="NL76" i="1" a="1"/>
  <c r="NL76" i="1" s="1"/>
  <c r="NO76" i="1" a="1"/>
  <c r="NO76" i="1" s="1"/>
  <c r="NT76" i="1" a="1"/>
  <c r="NT76" i="1" s="1"/>
  <c r="NW76" i="1" a="1"/>
  <c r="NW76" i="1" s="1"/>
  <c r="OB76" i="1" a="1"/>
  <c r="OB76" i="1" s="1"/>
  <c r="OE76" i="1" a="1"/>
  <c r="OE76" i="1" s="1"/>
  <c r="SQ76" i="1" a="1"/>
  <c r="SQ76" i="1" s="1"/>
  <c r="VB76" i="1" a="1"/>
  <c r="VB76" i="1" s="1"/>
  <c r="VJ76" i="1" a="1"/>
  <c r="VJ76" i="1" s="1"/>
  <c r="VR76" i="1" a="1"/>
  <c r="VR76" i="1" s="1"/>
  <c r="ACV76" i="1" a="1"/>
  <c r="ACV76" i="1" s="1"/>
  <c r="ACZ76" i="1" a="1"/>
  <c r="ACZ76" i="1" s="1"/>
  <c r="ADD76" i="1" a="1"/>
  <c r="ADD76" i="1" s="1"/>
  <c r="ADH76" i="1" a="1"/>
  <c r="ADH76" i="1" s="1"/>
  <c r="ADL76" i="1" a="1"/>
  <c r="ADL76" i="1" s="1"/>
  <c r="ADP76" i="1" a="1"/>
  <c r="ADP76" i="1" s="1"/>
  <c r="AIC76" i="1" a="1"/>
  <c r="AIC76" i="1" s="1"/>
  <c r="AKY76" i="1" a="1"/>
  <c r="AKY76" i="1" s="1"/>
  <c r="NJ76" i="1" a="1"/>
  <c r="NJ76" i="1" s="1"/>
  <c r="NM76" i="1" a="1"/>
  <c r="NM76" i="1" s="1"/>
  <c r="NR76" i="1" a="1"/>
  <c r="NR76" i="1" s="1"/>
  <c r="NU76" i="1" a="1"/>
  <c r="NU76" i="1" s="1"/>
  <c r="RO76" i="1" s="1"/>
  <c r="NZ76" i="1" a="1"/>
  <c r="NZ76" i="1" s="1"/>
  <c r="OC76" i="1" a="1"/>
  <c r="OC76" i="1" s="1"/>
  <c r="VC76" i="1" a="1"/>
  <c r="VC76" i="1" s="1"/>
  <c r="VK76" i="1" a="1"/>
  <c r="VK76" i="1" s="1"/>
  <c r="VS76" i="1" a="1"/>
  <c r="VS76" i="1" s="1"/>
  <c r="ACW76" i="1" a="1"/>
  <c r="ACW76" i="1" s="1"/>
  <c r="ADA76" i="1" a="1"/>
  <c r="ADA76" i="1" s="1"/>
  <c r="AGU76" i="1" s="1"/>
  <c r="ADE76" i="1" a="1"/>
  <c r="ADE76" i="1" s="1"/>
  <c r="AGY76" i="1" s="1"/>
  <c r="ADI76" i="1" a="1"/>
  <c r="ADI76" i="1" s="1"/>
  <c r="ADM76" i="1" a="1"/>
  <c r="ADM76" i="1" s="1"/>
  <c r="AHZ76" i="1" a="1"/>
  <c r="AHZ76" i="1" s="1"/>
  <c r="AKK76" i="1" a="1"/>
  <c r="AKK76" i="1" s="1"/>
  <c r="ALA76" i="1" a="1"/>
  <c r="ALA76" i="1" s="1"/>
  <c r="BT77" i="1"/>
  <c r="FU77" i="1"/>
  <c r="KQ78" i="1"/>
  <c r="AQ78" i="1" a="1"/>
  <c r="AQ78" i="1" s="1"/>
  <c r="AR78" i="1" a="1"/>
  <c r="AR78" i="1" s="1"/>
  <c r="SH78" i="1" s="1"/>
  <c r="OB78" i="1" a="1"/>
  <c r="OB78" i="1" s="1"/>
  <c r="ACT76" i="1" a="1"/>
  <c r="ACT76" i="1" s="1"/>
  <c r="ACX76" i="1" a="1"/>
  <c r="ACX76" i="1" s="1"/>
  <c r="ADB76" i="1" a="1"/>
  <c r="ADB76" i="1" s="1"/>
  <c r="AGV76" i="1" s="1"/>
  <c r="ADF76" i="1" a="1"/>
  <c r="ADF76" i="1" s="1"/>
  <c r="ADJ76" i="1" a="1"/>
  <c r="ADJ76" i="1" s="1"/>
  <c r="ADN76" i="1" a="1"/>
  <c r="ADN76" i="1" s="1"/>
  <c r="AIA76" i="1" a="1"/>
  <c r="AIA76" i="1" s="1"/>
  <c r="AKM76" i="1" a="1"/>
  <c r="AKM76" i="1" s="1"/>
  <c r="ALC76" i="1" a="1"/>
  <c r="ALC76" i="1" s="1"/>
  <c r="BQ77" i="1"/>
  <c r="HD77" i="1" a="1"/>
  <c r="HD77" i="1" s="1"/>
  <c r="JA77" i="1" a="1"/>
  <c r="JA77" i="1" s="1"/>
  <c r="IX77" i="1" s="1"/>
  <c r="JG77" i="1" a="1"/>
  <c r="JG77" i="1" s="1"/>
  <c r="JJ77" i="1" a="1"/>
  <c r="JJ77" i="1" s="1"/>
  <c r="JO77" i="1" a="1"/>
  <c r="JO77" i="1" s="1"/>
  <c r="JR77" i="1" a="1"/>
  <c r="JR77" i="1" s="1"/>
  <c r="JW77" i="1" a="1"/>
  <c r="JW77" i="1" s="1"/>
  <c r="JZ77" i="1" a="1"/>
  <c r="JZ77" i="1" s="1"/>
  <c r="KI77" i="1" a="1"/>
  <c r="KI77" i="1" s="1"/>
  <c r="KL77" i="1" a="1"/>
  <c r="KL77" i="1" s="1"/>
  <c r="NN77" i="1" a="1"/>
  <c r="NN77" i="1" s="1"/>
  <c r="NQ77" i="1" a="1"/>
  <c r="NQ77" i="1" s="1"/>
  <c r="NV77" i="1" a="1"/>
  <c r="NV77" i="1" s="1"/>
  <c r="NY77" i="1" a="1"/>
  <c r="NY77" i="1" s="1"/>
  <c r="OD77" i="1" a="1"/>
  <c r="OD77" i="1" s="1"/>
  <c r="SQ77" i="1" a="1"/>
  <c r="SQ77" i="1" s="1"/>
  <c r="SU77" i="1" a="1"/>
  <c r="SU77" i="1" s="1"/>
  <c r="VB77" i="1" a="1"/>
  <c r="VB77" i="1" s="1"/>
  <c r="VF77" i="1" a="1"/>
  <c r="VF77" i="1" s="1"/>
  <c r="VJ77" i="1" a="1"/>
  <c r="VJ77" i="1" s="1"/>
  <c r="VN77" i="1" a="1"/>
  <c r="VN77" i="1" s="1"/>
  <c r="VR77" i="1" a="1"/>
  <c r="VR77" i="1" s="1"/>
  <c r="VV77" i="1" a="1"/>
  <c r="VV77" i="1" s="1"/>
  <c r="ACV77" i="1" a="1"/>
  <c r="ACV77" i="1" s="1"/>
  <c r="ACZ77" i="1" a="1"/>
  <c r="ACZ77" i="1" s="1"/>
  <c r="ADD77" i="1" a="1"/>
  <c r="ADD77" i="1" s="1"/>
  <c r="ADH77" i="1" a="1"/>
  <c r="ADH77" i="1" s="1"/>
  <c r="ADL77" i="1" a="1"/>
  <c r="ADL77" i="1" s="1"/>
  <c r="ADP77" i="1" a="1"/>
  <c r="ADP77" i="1" s="1"/>
  <c r="AHY77" i="1" a="1"/>
  <c r="AHY77" i="1" s="1"/>
  <c r="AIC77" i="1" a="1"/>
  <c r="AIC77" i="1" s="1"/>
  <c r="AKO77" i="1" a="1"/>
  <c r="AKO77" i="1" s="1"/>
  <c r="AKW77" i="1" a="1"/>
  <c r="AKW77" i="1" s="1"/>
  <c r="ALE77" i="1" a="1"/>
  <c r="ALE77" i="1" s="1"/>
  <c r="IQ78" i="1" a="1"/>
  <c r="IQ78" i="1" s="1"/>
  <c r="AT78" i="1" s="1"/>
  <c r="IR78" i="1" a="1"/>
  <c r="IR78" i="1" s="1"/>
  <c r="AU78" i="1" s="1"/>
  <c r="IH78" i="1" a="1"/>
  <c r="IH78" i="1" s="1"/>
  <c r="AH78" i="1" s="1"/>
  <c r="HJ77" i="1" a="1"/>
  <c r="HJ77" i="1" s="1"/>
  <c r="HH77" i="1" a="1"/>
  <c r="HH77" i="1" s="1"/>
  <c r="HF77" i="1" a="1"/>
  <c r="HF77" i="1" s="1"/>
  <c r="HC77" i="1" a="1"/>
  <c r="HC77" i="1" s="1"/>
  <c r="HG77" i="1" s="1" a="1"/>
  <c r="HG77" i="1" s="1"/>
  <c r="ALF77" i="1" a="1"/>
  <c r="ALF77" i="1" s="1"/>
  <c r="ALD77" i="1" a="1"/>
  <c r="ALD77" i="1" s="1"/>
  <c r="ALB77" i="1" a="1"/>
  <c r="ALB77" i="1" s="1"/>
  <c r="AKZ77" i="1" a="1"/>
  <c r="AKZ77" i="1" s="1"/>
  <c r="AKX77" i="1" a="1"/>
  <c r="AKX77" i="1" s="1"/>
  <c r="AKV77" i="1" a="1"/>
  <c r="AKV77" i="1" s="1"/>
  <c r="AKT77" i="1" a="1"/>
  <c r="AKT77" i="1" s="1"/>
  <c r="AKR77" i="1" a="1"/>
  <c r="AKR77" i="1" s="1"/>
  <c r="AKP77" i="1" a="1"/>
  <c r="AKP77" i="1" s="1"/>
  <c r="AKN77" i="1" a="1"/>
  <c r="AKN77" i="1" s="1"/>
  <c r="AKL77" i="1" a="1"/>
  <c r="AKL77" i="1" s="1"/>
  <c r="GV77" i="1" a="1"/>
  <c r="GV77" i="1" s="1"/>
  <c r="GX77" i="1" a="1"/>
  <c r="GX77" i="1" s="1"/>
  <c r="HP77" i="1" s="1"/>
  <c r="GZ77" i="1" a="1"/>
  <c r="GZ77" i="1" s="1"/>
  <c r="HB77" i="1" a="1"/>
  <c r="HB77" i="1" s="1"/>
  <c r="HK77" i="1" a="1"/>
  <c r="HK77" i="1" s="1"/>
  <c r="IE77" i="1"/>
  <c r="IQ77" i="1" s="1" a="1"/>
  <c r="IQ77" i="1" s="1"/>
  <c r="AT77" i="1" s="1"/>
  <c r="JD77" i="1" a="1"/>
  <c r="JD77" i="1" s="1"/>
  <c r="JH77" i="1" a="1"/>
  <c r="JH77" i="1" s="1"/>
  <c r="JM77" i="1" a="1"/>
  <c r="JM77" i="1" s="1"/>
  <c r="JP77" i="1" a="1"/>
  <c r="JP77" i="1" s="1"/>
  <c r="JU77" i="1" a="1"/>
  <c r="JU77" i="1" s="1"/>
  <c r="JX77" i="1" a="1"/>
  <c r="JX77" i="1" s="1"/>
  <c r="KD77" i="1" a="1"/>
  <c r="KD77" i="1" s="1"/>
  <c r="KJ77" i="1" a="1"/>
  <c r="KJ77" i="1" s="1"/>
  <c r="NL77" i="1" a="1"/>
  <c r="NL77" i="1" s="1"/>
  <c r="NO77" i="1" a="1"/>
  <c r="NO77" i="1" s="1"/>
  <c r="NT77" i="1" a="1"/>
  <c r="NT77" i="1" s="1"/>
  <c r="NW77" i="1" a="1"/>
  <c r="NW77" i="1" s="1"/>
  <c r="OB77" i="1" a="1"/>
  <c r="OB77" i="1" s="1"/>
  <c r="OE77" i="1" a="1"/>
  <c r="OE77" i="1" s="1"/>
  <c r="SR77" i="1" a="1"/>
  <c r="SR77" i="1" s="1"/>
  <c r="VC77" i="1" a="1"/>
  <c r="VC77" i="1" s="1"/>
  <c r="VG77" i="1" a="1"/>
  <c r="VG77" i="1" s="1"/>
  <c r="VK77" i="1" a="1"/>
  <c r="VK77" i="1" s="1"/>
  <c r="VO77" i="1" a="1"/>
  <c r="VO77" i="1" s="1"/>
  <c r="VS77" i="1" a="1"/>
  <c r="VS77" i="1" s="1"/>
  <c r="VW77" i="1" a="1"/>
  <c r="VW77" i="1" s="1"/>
  <c r="ACW77" i="1" a="1"/>
  <c r="ACW77" i="1" s="1"/>
  <c r="ADA77" i="1" a="1"/>
  <c r="ADA77" i="1" s="1"/>
  <c r="ADE77" i="1" a="1"/>
  <c r="ADE77" i="1" s="1"/>
  <c r="ADI77" i="1" a="1"/>
  <c r="ADI77" i="1" s="1"/>
  <c r="ADM77" i="1" a="1"/>
  <c r="ADM77" i="1" s="1"/>
  <c r="AHZ77" i="1" a="1"/>
  <c r="AHZ77" i="1" s="1"/>
  <c r="AID77" i="1" a="1"/>
  <c r="AID77" i="1" s="1"/>
  <c r="AKQ77" i="1" a="1"/>
  <c r="AKQ77" i="1" s="1"/>
  <c r="AKY77" i="1" a="1"/>
  <c r="AKY77" i="1" s="1"/>
  <c r="ALG77" i="1" a="1"/>
  <c r="ALG77" i="1" s="1"/>
  <c r="HI77" i="1" a="1"/>
  <c r="HI77" i="1" s="1"/>
  <c r="JB77" i="1" a="1"/>
  <c r="JB77" i="1" s="1"/>
  <c r="JF77" i="1" a="1"/>
  <c r="JF77" i="1" s="1"/>
  <c r="JK77" i="1" a="1"/>
  <c r="JK77" i="1" s="1"/>
  <c r="JN77" i="1" a="1"/>
  <c r="JN77" i="1" s="1"/>
  <c r="AAA77" i="1" s="1"/>
  <c r="JS77" i="1" a="1"/>
  <c r="JS77" i="1" s="1"/>
  <c r="JV77" i="1" a="1"/>
  <c r="JV77" i="1" s="1"/>
  <c r="KA77" i="1" a="1"/>
  <c r="KA77" i="1" s="1"/>
  <c r="KH77" i="1" a="1"/>
  <c r="KH77" i="1" s="1"/>
  <c r="NJ77" i="1" a="1"/>
  <c r="NJ77" i="1" s="1"/>
  <c r="NM77" i="1" a="1"/>
  <c r="NM77" i="1" s="1"/>
  <c r="NR77" i="1" a="1"/>
  <c r="NR77" i="1" s="1"/>
  <c r="NU77" i="1" a="1"/>
  <c r="NU77" i="1" s="1"/>
  <c r="NZ77" i="1" a="1"/>
  <c r="NZ77" i="1" s="1"/>
  <c r="OC77" i="1" a="1"/>
  <c r="OC77" i="1" s="1"/>
  <c r="SO77" i="1" a="1"/>
  <c r="SO77" i="1" s="1"/>
  <c r="SS77" i="1" a="1"/>
  <c r="SS77" i="1" s="1"/>
  <c r="VD77" i="1" a="1"/>
  <c r="VD77" i="1" s="1"/>
  <c r="VH77" i="1" a="1"/>
  <c r="VH77" i="1" s="1"/>
  <c r="VL77" i="1" a="1"/>
  <c r="VL77" i="1" s="1"/>
  <c r="VP77" i="1" a="1"/>
  <c r="VP77" i="1" s="1"/>
  <c r="VT77" i="1" a="1"/>
  <c r="VT77" i="1" s="1"/>
  <c r="ACT77" i="1" a="1"/>
  <c r="ACT77" i="1" s="1"/>
  <c r="ACX77" i="1" a="1"/>
  <c r="ACX77" i="1" s="1"/>
  <c r="ADB77" i="1" a="1"/>
  <c r="ADB77" i="1" s="1"/>
  <c r="ADF77" i="1" a="1"/>
  <c r="ADF77" i="1" s="1"/>
  <c r="ADJ77" i="1" a="1"/>
  <c r="ADJ77" i="1" s="1"/>
  <c r="ADN77" i="1" a="1"/>
  <c r="ADN77" i="1" s="1"/>
  <c r="AIA77" i="1" a="1"/>
  <c r="AIA77" i="1" s="1"/>
  <c r="AIE77" i="1" a="1"/>
  <c r="AIE77" i="1" s="1"/>
  <c r="AKK77" i="1" a="1"/>
  <c r="AKK77" i="1" s="1"/>
  <c r="AKS77" i="1" a="1"/>
  <c r="AKS77" i="1" s="1"/>
  <c r="ALA77" i="1" a="1"/>
  <c r="ALA77" i="1" s="1"/>
  <c r="FP78" i="1"/>
  <c r="BO78" i="1"/>
  <c r="FU78" i="1"/>
  <c r="BT78" i="1"/>
  <c r="HB78" i="1" a="1"/>
  <c r="HB78" i="1" s="1"/>
  <c r="HG78" i="1" a="1"/>
  <c r="HG78" i="1" s="1"/>
  <c r="JM78" i="1" a="1"/>
  <c r="JM78" i="1" s="1"/>
  <c r="JX78" i="1" a="1"/>
  <c r="JX78" i="1" s="1"/>
  <c r="NT78" i="1" a="1"/>
  <c r="NT78" i="1" s="1"/>
  <c r="OE78" i="1" a="1"/>
  <c r="OE78" i="1" s="1"/>
  <c r="SS78" i="1" a="1"/>
  <c r="SS78" i="1" s="1"/>
  <c r="VH78" i="1" a="1"/>
  <c r="VH78" i="1" s="1"/>
  <c r="VS78" i="1" a="1"/>
  <c r="VS78" i="1" s="1"/>
  <c r="ALF78" i="1" a="1"/>
  <c r="ALF78" i="1" s="1"/>
  <c r="ALD78" i="1" a="1"/>
  <c r="ALD78" i="1" s="1"/>
  <c r="ALB78" i="1" a="1"/>
  <c r="ALB78" i="1" s="1"/>
  <c r="AKZ78" i="1" a="1"/>
  <c r="AKZ78" i="1" s="1"/>
  <c r="AKX78" i="1" a="1"/>
  <c r="AKX78" i="1" s="1"/>
  <c r="AKV78" i="1" a="1"/>
  <c r="AKV78" i="1" s="1"/>
  <c r="AKT78" i="1" a="1"/>
  <c r="AKT78" i="1" s="1"/>
  <c r="AKR78" i="1" a="1"/>
  <c r="AKR78" i="1" s="1"/>
  <c r="AKP78" i="1" a="1"/>
  <c r="AKP78" i="1" s="1"/>
  <c r="AKN78" i="1" a="1"/>
  <c r="AKN78" i="1" s="1"/>
  <c r="AKL78" i="1" a="1"/>
  <c r="AKL78" i="1" s="1"/>
  <c r="ALG78" i="1" a="1"/>
  <c r="ALG78" i="1" s="1"/>
  <c r="ALC78" i="1" a="1"/>
  <c r="ALC78" i="1" s="1"/>
  <c r="AKY78" i="1" a="1"/>
  <c r="AKY78" i="1" s="1"/>
  <c r="AKU78" i="1" a="1"/>
  <c r="AKU78" i="1" s="1"/>
  <c r="AKQ78" i="1" a="1"/>
  <c r="AKQ78" i="1" s="1"/>
  <c r="AKM78" i="1" a="1"/>
  <c r="AKM78" i="1" s="1"/>
  <c r="AID78" i="1" a="1"/>
  <c r="AID78" i="1" s="1"/>
  <c r="AHY78" i="1" a="1"/>
  <c r="AHY78" i="1" s="1"/>
  <c r="IY78" i="1"/>
  <c r="HJ78" i="1" a="1"/>
  <c r="HJ78" i="1" s="1"/>
  <c r="HH78" i="1" a="1"/>
  <c r="HH78" i="1" s="1"/>
  <c r="HF78" i="1" a="1"/>
  <c r="HF78" i="1" s="1"/>
  <c r="HC78" i="1" a="1"/>
  <c r="HC78" i="1" s="1"/>
  <c r="HM78" i="1" s="1" a="1"/>
  <c r="HM78" i="1" s="1"/>
  <c r="HA78" i="1" a="1"/>
  <c r="HA78" i="1" s="1"/>
  <c r="GY78" i="1" a="1"/>
  <c r="GY78" i="1" s="1"/>
  <c r="GW78" i="1" a="1"/>
  <c r="GW78" i="1" s="1"/>
  <c r="AIA78" i="1" a="1"/>
  <c r="AIA78" i="1" s="1"/>
  <c r="ALE78" i="1" a="1"/>
  <c r="ALE78" i="1" s="1"/>
  <c r="ALA78" i="1" a="1"/>
  <c r="ALA78" i="1" s="1"/>
  <c r="AKW78" i="1" a="1"/>
  <c r="AKW78" i="1" s="1"/>
  <c r="AKS78" i="1" a="1"/>
  <c r="AKS78" i="1" s="1"/>
  <c r="AKO78" i="1" a="1"/>
  <c r="AKO78" i="1" s="1"/>
  <c r="AKK78" i="1" a="1"/>
  <c r="AKK78" i="1" s="1"/>
  <c r="AIE78" i="1" a="1"/>
  <c r="AIE78" i="1" s="1"/>
  <c r="AIB78" i="1" a="1"/>
  <c r="AIB78" i="1" s="1"/>
  <c r="VU78" i="1" a="1"/>
  <c r="VU78" i="1" s="1"/>
  <c r="VR78" i="1" a="1"/>
  <c r="VR78" i="1" s="1"/>
  <c r="VM78" i="1" a="1"/>
  <c r="VM78" i="1" s="1"/>
  <c r="VJ78" i="1" a="1"/>
  <c r="VJ78" i="1" s="1"/>
  <c r="VE78" i="1" a="1"/>
  <c r="VE78" i="1" s="1"/>
  <c r="VB78" i="1" a="1"/>
  <c r="VB78" i="1" s="1"/>
  <c r="SU78" i="1" a="1"/>
  <c r="SU78" i="1" s="1"/>
  <c r="SP78" i="1" a="1"/>
  <c r="SP78" i="1" s="1"/>
  <c r="OD78" i="1" a="1"/>
  <c r="OD78" i="1" s="1"/>
  <c r="NY78" i="1" a="1"/>
  <c r="NY78" i="1" s="1"/>
  <c r="NV78" i="1" a="1"/>
  <c r="NV78" i="1" s="1"/>
  <c r="NQ78" i="1" a="1"/>
  <c r="NQ78" i="1" s="1"/>
  <c r="NN78" i="1" a="1"/>
  <c r="NN78" i="1" s="1"/>
  <c r="KL78" i="1" a="1"/>
  <c r="KL78" i="1" s="1"/>
  <c r="KI78" i="1" a="1"/>
  <c r="KI78" i="1" s="1"/>
  <c r="JZ78" i="1" a="1"/>
  <c r="JZ78" i="1" s="1"/>
  <c r="JW78" i="1" a="1"/>
  <c r="JW78" i="1" s="1"/>
  <c r="JR78" i="1" a="1"/>
  <c r="JR78" i="1" s="1"/>
  <c r="JO78" i="1" a="1"/>
  <c r="JO78" i="1" s="1"/>
  <c r="JJ78" i="1" a="1"/>
  <c r="JJ78" i="1" s="1"/>
  <c r="JG78" i="1" a="1"/>
  <c r="JG78" i="1" s="1"/>
  <c r="JA78" i="1" a="1"/>
  <c r="JA78" i="1" s="1"/>
  <c r="VW78" i="1" a="1"/>
  <c r="VW78" i="1" s="1"/>
  <c r="VT78" i="1" a="1"/>
  <c r="VT78" i="1" s="1"/>
  <c r="VO78" i="1" a="1"/>
  <c r="VO78" i="1" s="1"/>
  <c r="VL78" i="1" a="1"/>
  <c r="VL78" i="1" s="1"/>
  <c r="VG78" i="1" a="1"/>
  <c r="VG78" i="1" s="1"/>
  <c r="VD78" i="1" a="1"/>
  <c r="VD78" i="1" s="1"/>
  <c r="SR78" i="1" a="1"/>
  <c r="SR78" i="1" s="1"/>
  <c r="SO78" i="1" a="1"/>
  <c r="SO78" i="1" s="1"/>
  <c r="OF78" i="1" a="1"/>
  <c r="OF78" i="1" s="1"/>
  <c r="OA78" i="1" a="1"/>
  <c r="OA78" i="1" s="1"/>
  <c r="NX78" i="1" a="1"/>
  <c r="NX78" i="1" s="1"/>
  <c r="NS78" i="1" a="1"/>
  <c r="NS78" i="1" s="1"/>
  <c r="NP78" i="1" a="1"/>
  <c r="NP78" i="1" s="1"/>
  <c r="NK78" i="1" a="1"/>
  <c r="NK78" i="1" s="1"/>
  <c r="KK78" i="1" a="1"/>
  <c r="KK78" i="1" s="1"/>
  <c r="ACW78" i="1" s="1" a="1"/>
  <c r="ACW78" i="1" s="1"/>
  <c r="KC78" i="1" a="1"/>
  <c r="KC78" i="1" s="1"/>
  <c r="JY78" i="1" a="1"/>
  <c r="JY78" i="1" s="1"/>
  <c r="JT78" i="1" a="1"/>
  <c r="JT78" i="1" s="1"/>
  <c r="JQ78" i="1" a="1"/>
  <c r="JQ78" i="1" s="1"/>
  <c r="JL78" i="1" a="1"/>
  <c r="JL78" i="1" s="1"/>
  <c r="JI78" i="1" a="1"/>
  <c r="JI78" i="1" s="1"/>
  <c r="JC78" i="1" a="1"/>
  <c r="JC78" i="1" s="1"/>
  <c r="IX78" i="1"/>
  <c r="AIC78" i="1" a="1"/>
  <c r="AIC78" i="1" s="1"/>
  <c r="VV78" i="1" a="1"/>
  <c r="VV78" i="1" s="1"/>
  <c r="VQ78" i="1" a="1"/>
  <c r="VQ78" i="1" s="1"/>
  <c r="VN78" i="1" a="1"/>
  <c r="VN78" i="1" s="1"/>
  <c r="VI78" i="1" a="1"/>
  <c r="VI78" i="1" s="1"/>
  <c r="VF78" i="1" a="1"/>
  <c r="VF78" i="1" s="1"/>
  <c r="VA78" i="1" a="1"/>
  <c r="VA78" i="1" s="1"/>
  <c r="ST78" i="1" a="1"/>
  <c r="ST78" i="1" s="1"/>
  <c r="SQ78" i="1" a="1"/>
  <c r="SQ78" i="1" s="1"/>
  <c r="OC78" i="1" a="1"/>
  <c r="OC78" i="1" s="1"/>
  <c r="NZ78" i="1" a="1"/>
  <c r="NZ78" i="1" s="1"/>
  <c r="NU78" i="1" a="1"/>
  <c r="NU78" i="1" s="1"/>
  <c r="NR78" i="1" a="1"/>
  <c r="NR78" i="1" s="1"/>
  <c r="NM78" i="1" a="1"/>
  <c r="NM78" i="1" s="1"/>
  <c r="NJ78" i="1" a="1"/>
  <c r="NJ78" i="1" s="1"/>
  <c r="KH78" i="1" a="1"/>
  <c r="KH78" i="1" s="1"/>
  <c r="KA78" i="1" a="1"/>
  <c r="KA78" i="1" s="1"/>
  <c r="JV78" i="1" a="1"/>
  <c r="JV78" i="1" s="1"/>
  <c r="JS78" i="1" a="1"/>
  <c r="JS78" i="1" s="1"/>
  <c r="JN78" i="1" a="1"/>
  <c r="JN78" i="1" s="1"/>
  <c r="AHR78" i="1" s="1"/>
  <c r="JK78" i="1" a="1"/>
  <c r="JK78" i="1" s="1"/>
  <c r="JF78" i="1" a="1"/>
  <c r="JF78" i="1" s="1"/>
  <c r="JB78" i="1" a="1"/>
  <c r="JB78" i="1" s="1"/>
  <c r="IW78" i="1"/>
  <c r="HI78" i="1" a="1"/>
  <c r="HI78" i="1" s="1"/>
  <c r="GZ78" i="1" a="1"/>
  <c r="GZ78" i="1" s="1"/>
  <c r="GV78" i="1" a="1"/>
  <c r="GV78" i="1" s="1"/>
  <c r="HK78" i="1" a="1"/>
  <c r="HK78" i="1" s="1"/>
  <c r="JD78" i="1" a="1"/>
  <c r="JD78" i="1" s="1"/>
  <c r="JP78" i="1" a="1"/>
  <c r="JP78" i="1" s="1"/>
  <c r="NL78" i="1" a="1"/>
  <c r="NL78" i="1" s="1"/>
  <c r="NW78" i="1" a="1"/>
  <c r="NW78" i="1" s="1"/>
  <c r="VK78" i="1" a="1"/>
  <c r="VK78" i="1" s="1"/>
  <c r="ADA78" i="1" a="1"/>
  <c r="ADA78" i="1" s="1"/>
  <c r="AGU78" i="1" s="1"/>
  <c r="HD78" i="1" a="1"/>
  <c r="HD78" i="1" s="1"/>
  <c r="IE78" i="1"/>
  <c r="IJ78" i="1" s="1" a="1"/>
  <c r="IJ78" i="1" s="1"/>
  <c r="AJ78" i="1" s="1"/>
  <c r="JH78" i="1" a="1"/>
  <c r="JH78" i="1" s="1"/>
  <c r="KD78" i="1" a="1"/>
  <c r="KD78" i="1" s="1"/>
  <c r="NO78" i="1" a="1"/>
  <c r="NO78" i="1" s="1"/>
  <c r="VC78" i="1" a="1"/>
  <c r="VC78" i="1" s="1"/>
  <c r="AHZ78" i="1" a="1"/>
  <c r="AHZ78" i="1" s="1"/>
  <c r="HO26" i="1" l="1"/>
  <c r="HW10" i="1"/>
  <c r="RL76" i="1"/>
  <c r="AGY74" i="1"/>
  <c r="RL74" i="1"/>
  <c r="IX26" i="1"/>
  <c r="HW26" i="1" s="1"/>
  <c r="HP26" i="1"/>
  <c r="FO74" i="1"/>
  <c r="BN74" i="1"/>
  <c r="AOA78" i="1"/>
  <c r="ANJ78" i="1"/>
  <c r="AHW78" i="1"/>
  <c r="AHS78" i="1"/>
  <c r="ANY78" i="1" s="1" a="1"/>
  <c r="ANY78" i="1" s="1"/>
  <c r="AHV78" i="1"/>
  <c r="AHT78" i="1"/>
  <c r="AHU78" i="1"/>
  <c r="BF76" i="1"/>
  <c r="DC76" i="1" a="1"/>
  <c r="DC76" i="1" s="1"/>
  <c r="CX76" i="1" a="1"/>
  <c r="CX76" i="1" s="1"/>
  <c r="DE76" i="1" a="1"/>
  <c r="DE76" i="1" s="1"/>
  <c r="CZ76" i="1" a="1"/>
  <c r="CZ76" i="1" s="1"/>
  <c r="CW76" i="1" a="1"/>
  <c r="CW76" i="1" s="1"/>
  <c r="CY76" i="1" a="1"/>
  <c r="CY76" i="1" s="1"/>
  <c r="DD76" i="1" a="1"/>
  <c r="DD76" i="1" s="1"/>
  <c r="DA76" i="1" a="1"/>
  <c r="DA76" i="1" s="1"/>
  <c r="BD76" i="1"/>
  <c r="DB76" i="1" a="1"/>
  <c r="DB76" i="1" s="1"/>
  <c r="ACK62" i="1" a="1"/>
  <c r="ACK62" i="1" s="1"/>
  <c r="ACH62" i="1" a="1"/>
  <c r="ACH62" i="1" s="1"/>
  <c r="ACC62" i="1" a="1"/>
  <c r="ACC62" i="1" s="1"/>
  <c r="ABZ62" i="1" a="1"/>
  <c r="ABZ62" i="1" s="1"/>
  <c r="ABU62" i="1" a="1"/>
  <c r="ABU62" i="1" s="1"/>
  <c r="ABR62" i="1" a="1"/>
  <c r="ABR62" i="1" s="1"/>
  <c r="ABM62" i="1" a="1"/>
  <c r="ABM62" i="1" s="1"/>
  <c r="ABJ62" i="1" a="1"/>
  <c r="ABJ62" i="1" s="1"/>
  <c r="ABE62" i="1" a="1"/>
  <c r="ABE62" i="1" s="1"/>
  <c r="ABB62" i="1" a="1"/>
  <c r="ABB62" i="1" s="1"/>
  <c r="AAW62" i="1" a="1"/>
  <c r="AAW62" i="1" s="1"/>
  <c r="AAT62" i="1" a="1"/>
  <c r="AAT62" i="1" s="1"/>
  <c r="MY62" i="1" a="1"/>
  <c r="MY62" i="1" s="1"/>
  <c r="MV62" i="1" a="1"/>
  <c r="MV62" i="1" s="1"/>
  <c r="MQ62" i="1" a="1"/>
  <c r="MQ62" i="1" s="1"/>
  <c r="MN62" i="1" a="1"/>
  <c r="MN62" i="1" s="1"/>
  <c r="MI62" i="1" a="1"/>
  <c r="MI62" i="1" s="1"/>
  <c r="MF62" i="1" a="1"/>
  <c r="MF62" i="1" s="1"/>
  <c r="MA62" i="1" a="1"/>
  <c r="MA62" i="1" s="1"/>
  <c r="LX62" i="1" a="1"/>
  <c r="LX62" i="1" s="1"/>
  <c r="LS62" i="1" a="1"/>
  <c r="LS62" i="1" s="1"/>
  <c r="LP62" i="1" a="1"/>
  <c r="LP62" i="1" s="1"/>
  <c r="LK62" i="1" a="1"/>
  <c r="LK62" i="1" s="1"/>
  <c r="LH62" i="1" a="1"/>
  <c r="LH62" i="1" s="1"/>
  <c r="ACJ62" i="1" a="1"/>
  <c r="ACJ62" i="1" s="1"/>
  <c r="ACE62" i="1" a="1"/>
  <c r="ACE62" i="1" s="1"/>
  <c r="ACB62" i="1" a="1"/>
  <c r="ACB62" i="1" s="1"/>
  <c r="ABW62" i="1" a="1"/>
  <c r="ABW62" i="1" s="1"/>
  <c r="ABT62" i="1" a="1"/>
  <c r="ABT62" i="1" s="1"/>
  <c r="ABO62" i="1" a="1"/>
  <c r="ABO62" i="1" s="1"/>
  <c r="ABL62" i="1" a="1"/>
  <c r="ABL62" i="1" s="1"/>
  <c r="ABG62" i="1" a="1"/>
  <c r="ABG62" i="1" s="1"/>
  <c r="ABD62" i="1" a="1"/>
  <c r="ABD62" i="1" s="1"/>
  <c r="AAY62" i="1" a="1"/>
  <c r="AAY62" i="1" s="1"/>
  <c r="AAV62" i="1" a="1"/>
  <c r="AAV62" i="1" s="1"/>
  <c r="AAQ62" i="1" a="1"/>
  <c r="AAQ62" i="1" s="1"/>
  <c r="NA62" i="1" a="1"/>
  <c r="NA62" i="1" s="1"/>
  <c r="MX62" i="1" a="1"/>
  <c r="MX62" i="1" s="1"/>
  <c r="MS62" i="1" a="1"/>
  <c r="MS62" i="1" s="1"/>
  <c r="MP62" i="1" a="1"/>
  <c r="MP62" i="1" s="1"/>
  <c r="MK62" i="1" a="1"/>
  <c r="MK62" i="1" s="1"/>
  <c r="MH62" i="1" a="1"/>
  <c r="MH62" i="1" s="1"/>
  <c r="MC62" i="1" a="1"/>
  <c r="MC62" i="1" s="1"/>
  <c r="LZ62" i="1" a="1"/>
  <c r="LZ62" i="1" s="1"/>
  <c r="LU62" i="1" a="1"/>
  <c r="LU62" i="1" s="1"/>
  <c r="LR62" i="1" a="1"/>
  <c r="LR62" i="1" s="1"/>
  <c r="LM62" i="1" a="1"/>
  <c r="LM62" i="1" s="1"/>
  <c r="LJ62" i="1" a="1"/>
  <c r="LJ62" i="1" s="1"/>
  <c r="ACL62" i="1" a="1"/>
  <c r="ACL62" i="1" s="1"/>
  <c r="ACG62" i="1" a="1"/>
  <c r="ACG62" i="1" s="1"/>
  <c r="ACD62" i="1" a="1"/>
  <c r="ACD62" i="1" s="1"/>
  <c r="ABY62" i="1" a="1"/>
  <c r="ABY62" i="1" s="1"/>
  <c r="ABV62" i="1" a="1"/>
  <c r="ABV62" i="1" s="1"/>
  <c r="ABQ62" i="1" a="1"/>
  <c r="ABQ62" i="1" s="1"/>
  <c r="ABN62" i="1" a="1"/>
  <c r="ABN62" i="1" s="1"/>
  <c r="ABI62" i="1" a="1"/>
  <c r="ABI62" i="1" s="1"/>
  <c r="ABF62" i="1" a="1"/>
  <c r="ABF62" i="1" s="1"/>
  <c r="ABA62" i="1" a="1"/>
  <c r="ABA62" i="1" s="1"/>
  <c r="AAX62" i="1" a="1"/>
  <c r="AAX62" i="1" s="1"/>
  <c r="AAS62" i="1" a="1"/>
  <c r="AAS62" i="1" s="1"/>
  <c r="AAP62" i="1" a="1"/>
  <c r="AAP62" i="1" s="1"/>
  <c r="MZ62" i="1" a="1"/>
  <c r="MZ62" i="1" s="1"/>
  <c r="MU62" i="1" a="1"/>
  <c r="MU62" i="1" s="1"/>
  <c r="MR62" i="1" a="1"/>
  <c r="MR62" i="1" s="1"/>
  <c r="MM62" i="1" a="1"/>
  <c r="MM62" i="1" s="1"/>
  <c r="MJ62" i="1" a="1"/>
  <c r="MJ62" i="1" s="1"/>
  <c r="ME62" i="1" a="1"/>
  <c r="ME62" i="1" s="1"/>
  <c r="MB62" i="1" a="1"/>
  <c r="MB62" i="1" s="1"/>
  <c r="LW62" i="1" a="1"/>
  <c r="LW62" i="1" s="1"/>
  <c r="LT62" i="1" a="1"/>
  <c r="LT62" i="1" s="1"/>
  <c r="LO62" i="1" a="1"/>
  <c r="LO62" i="1" s="1"/>
  <c r="LL62" i="1" a="1"/>
  <c r="LL62" i="1" s="1"/>
  <c r="LG62" i="1" a="1"/>
  <c r="LG62" i="1" s="1"/>
  <c r="ABS62" i="1" a="1"/>
  <c r="ABS62" i="1" s="1"/>
  <c r="ABH62" i="1" a="1"/>
  <c r="ABH62" i="1" s="1"/>
  <c r="AAL62" i="1" a="1"/>
  <c r="AAL62" i="1" s="1"/>
  <c r="MO62" i="1" a="1"/>
  <c r="MO62" i="1" s="1"/>
  <c r="MD62" i="1" a="1"/>
  <c r="MD62" i="1" s="1"/>
  <c r="LI62" i="1" a="1"/>
  <c r="LI62" i="1" s="1"/>
  <c r="ACA62" i="1" a="1"/>
  <c r="ACA62" i="1" s="1"/>
  <c r="ABP62" i="1" a="1"/>
  <c r="ABP62" i="1" s="1"/>
  <c r="AAU62" i="1" a="1"/>
  <c r="AAU62" i="1" s="1"/>
  <c r="AAI62" i="1" a="1"/>
  <c r="AAI62" i="1" s="1"/>
  <c r="MW62" i="1" a="1"/>
  <c r="MW62" i="1" s="1"/>
  <c r="ML62" i="1" a="1"/>
  <c r="ML62" i="1" s="1"/>
  <c r="LQ62" i="1" a="1"/>
  <c r="LQ62" i="1" s="1"/>
  <c r="LF62" i="1" a="1"/>
  <c r="LF62" i="1" s="1"/>
  <c r="ACI62" i="1" a="1"/>
  <c r="ACI62" i="1" s="1"/>
  <c r="ABX62" i="1" a="1"/>
  <c r="ABX62" i="1" s="1"/>
  <c r="ABC62" i="1" a="1"/>
  <c r="ABC62" i="1" s="1"/>
  <c r="AAR62" i="1" a="1"/>
  <c r="AAR62" i="1" s="1"/>
  <c r="MT62" i="1" a="1"/>
  <c r="MT62" i="1" s="1"/>
  <c r="LY62" i="1" a="1"/>
  <c r="LY62" i="1" s="1"/>
  <c r="LN62" i="1" a="1"/>
  <c r="LN62" i="1" s="1"/>
  <c r="ACF62" i="1" a="1"/>
  <c r="ACF62" i="1" s="1"/>
  <c r="ABK62" i="1" a="1"/>
  <c r="ABK62" i="1" s="1"/>
  <c r="AAZ62" i="1" a="1"/>
  <c r="AAZ62" i="1" s="1"/>
  <c r="NB62" i="1" a="1"/>
  <c r="NB62" i="1" s="1"/>
  <c r="MG62" i="1" a="1"/>
  <c r="MG62" i="1" s="1"/>
  <c r="LV62" i="1" a="1"/>
  <c r="LV62" i="1" s="1"/>
  <c r="KZ62" i="1" a="1"/>
  <c r="KZ62" i="1" s="1"/>
  <c r="LD62" i="1" a="1"/>
  <c r="LD62" i="1" s="1"/>
  <c r="AAM62" i="1" a="1"/>
  <c r="AAM62" i="1" s="1"/>
  <c r="LB62" i="1" a="1"/>
  <c r="LB62" i="1" s="1"/>
  <c r="AAN62" i="1" a="1"/>
  <c r="AAN62" i="1" s="1"/>
  <c r="KX62" i="1" a="1"/>
  <c r="KX62" i="1" s="1"/>
  <c r="LC62" i="1" a="1"/>
  <c r="LC62" i="1" s="1"/>
  <c r="AAJ62" i="1" a="1"/>
  <c r="AAJ62" i="1" s="1"/>
  <c r="LA62" i="1" a="1"/>
  <c r="LA62" i="1" s="1"/>
  <c r="AAH62" i="1" a="1"/>
  <c r="AAH62" i="1" s="1"/>
  <c r="KY62" i="1" a="1"/>
  <c r="KY62" i="1" s="1"/>
  <c r="AAK62" i="1" a="1"/>
  <c r="AAK62" i="1" s="1"/>
  <c r="HT21" i="1"/>
  <c r="HU21" i="1" s="1"/>
  <c r="HT12" i="1"/>
  <c r="HU12" i="1" s="1"/>
  <c r="HT10" i="1"/>
  <c r="HU10" i="1" s="1"/>
  <c r="SK78" i="1"/>
  <c r="YQ78" i="1"/>
  <c r="XZ78" i="1"/>
  <c r="SJ78" i="1"/>
  <c r="SI78" i="1"/>
  <c r="YO78" i="1" s="1" a="1"/>
  <c r="YO78" i="1" s="1"/>
  <c r="SM78" i="1"/>
  <c r="SL78" i="1"/>
  <c r="BH71" i="1"/>
  <c r="EN71" i="1" a="1"/>
  <c r="EN71" i="1" s="1"/>
  <c r="EI71" i="1" a="1"/>
  <c r="EI71" i="1" s="1"/>
  <c r="EF71" i="1" a="1"/>
  <c r="EF71" i="1" s="1"/>
  <c r="EK71" i="1" a="1"/>
  <c r="EK71" i="1" s="1"/>
  <c r="EH71" i="1" a="1"/>
  <c r="EH71" i="1" s="1"/>
  <c r="EM71" i="1" a="1"/>
  <c r="EM71" i="1" s="1"/>
  <c r="EL71" i="1" a="1"/>
  <c r="EL71" i="1" s="1"/>
  <c r="EG71" i="1" a="1"/>
  <c r="EG71" i="1" s="1"/>
  <c r="EJ71" i="1" a="1"/>
  <c r="EJ71" i="1" s="1"/>
  <c r="AHU62" i="1"/>
  <c r="AHS62" i="1"/>
  <c r="ANY62" i="1" s="1" a="1"/>
  <c r="ANY62" i="1" s="1"/>
  <c r="AHW62" i="1"/>
  <c r="AHV62" i="1"/>
  <c r="AHT62" i="1"/>
  <c r="AOA62" i="1"/>
  <c r="ANJ62" i="1"/>
  <c r="BF58" i="1"/>
  <c r="DE58" i="1" a="1"/>
  <c r="DE58" i="1" s="1"/>
  <c r="CZ58" i="1" a="1"/>
  <c r="CZ58" i="1" s="1"/>
  <c r="CW58" i="1" a="1"/>
  <c r="CW58" i="1" s="1"/>
  <c r="DB58" i="1" a="1"/>
  <c r="DB58" i="1" s="1"/>
  <c r="CY58" i="1" a="1"/>
  <c r="CY58" i="1" s="1"/>
  <c r="BE58" i="1"/>
  <c r="DD58" i="1" a="1"/>
  <c r="DD58" i="1" s="1"/>
  <c r="DA58" i="1" a="1"/>
  <c r="DA58" i="1" s="1"/>
  <c r="BD58" i="1"/>
  <c r="DC58" i="1" a="1"/>
  <c r="DC58" i="1" s="1"/>
  <c r="CX58" i="1" a="1"/>
  <c r="CX58" i="1" s="1"/>
  <c r="DE77" i="1" a="1"/>
  <c r="DE77" i="1" s="1"/>
  <c r="DC77" i="1" a="1"/>
  <c r="DC77" i="1" s="1"/>
  <c r="DA77" i="1" a="1"/>
  <c r="DA77" i="1" s="1"/>
  <c r="CY77" i="1" a="1"/>
  <c r="CY77" i="1" s="1"/>
  <c r="CW77" i="1" a="1"/>
  <c r="CW77" i="1" s="1"/>
  <c r="BD77" i="1"/>
  <c r="DD77" i="1" a="1"/>
  <c r="DD77" i="1" s="1"/>
  <c r="DB77" i="1" a="1"/>
  <c r="DB77" i="1" s="1"/>
  <c r="CZ77" i="1" a="1"/>
  <c r="CZ77" i="1" s="1"/>
  <c r="CX77" i="1" a="1"/>
  <c r="CX77" i="1" s="1"/>
  <c r="BF77" i="1"/>
  <c r="FV72" i="1"/>
  <c r="BU72" i="1"/>
  <c r="FT55" i="1"/>
  <c r="BS55" i="1"/>
  <c r="HT14" i="1"/>
  <c r="HU14" i="1" s="1"/>
  <c r="AFS77" i="1"/>
  <c r="AAF77" i="1"/>
  <c r="AAB77" i="1"/>
  <c r="AGH77" i="1" s="1" a="1"/>
  <c r="AGH77" i="1" s="1"/>
  <c r="AAD77" i="1"/>
  <c r="AAE77" i="1"/>
  <c r="AGJ77" i="1"/>
  <c r="AAC77" i="1"/>
  <c r="EM73" i="1" a="1"/>
  <c r="EM73" i="1" s="1"/>
  <c r="EK73" i="1" a="1"/>
  <c r="EK73" i="1" s="1"/>
  <c r="EI73" i="1" a="1"/>
  <c r="EI73" i="1" s="1"/>
  <c r="EG73" i="1" a="1"/>
  <c r="EG73" i="1" s="1"/>
  <c r="BH73" i="1"/>
  <c r="EJ73" i="1" a="1"/>
  <c r="EJ73" i="1" s="1"/>
  <c r="EH73" i="1" a="1"/>
  <c r="EH73" i="1" s="1"/>
  <c r="EN73" i="1" a="1"/>
  <c r="EN73" i="1" s="1"/>
  <c r="EF73" i="1" a="1"/>
  <c r="EF73" i="1" s="1"/>
  <c r="EL73" i="1" a="1"/>
  <c r="EL73" i="1" s="1"/>
  <c r="HT11" i="1"/>
  <c r="HU11" i="1" s="1"/>
  <c r="ACJ10" i="1" a="1"/>
  <c r="ACJ10" i="1" s="1"/>
  <c r="ACF10" i="1" a="1"/>
  <c r="ACF10" i="1" s="1"/>
  <c r="ACB10" i="1" a="1"/>
  <c r="ACB10" i="1" s="1"/>
  <c r="ABX10" i="1" a="1"/>
  <c r="ABX10" i="1" s="1"/>
  <c r="ABT10" i="1" a="1"/>
  <c r="ABT10" i="1" s="1"/>
  <c r="ABP10" i="1" a="1"/>
  <c r="ABP10" i="1" s="1"/>
  <c r="ABL10" i="1" a="1"/>
  <c r="ABL10" i="1" s="1"/>
  <c r="ABH10" i="1" a="1"/>
  <c r="ABH10" i="1" s="1"/>
  <c r="ABD10" i="1" a="1"/>
  <c r="ABD10" i="1" s="1"/>
  <c r="AAZ10" i="1" a="1"/>
  <c r="AAZ10" i="1" s="1"/>
  <c r="AAV10" i="1" a="1"/>
  <c r="AAV10" i="1" s="1"/>
  <c r="AAR10" i="1" a="1"/>
  <c r="AAR10" i="1" s="1"/>
  <c r="AAM10" i="1" a="1"/>
  <c r="AAM10" i="1" s="1"/>
  <c r="AAI10" i="1" a="1"/>
  <c r="AAI10" i="1" s="1"/>
  <c r="MZ10" i="1" a="1"/>
  <c r="MZ10" i="1" s="1"/>
  <c r="MV10" i="1" a="1"/>
  <c r="MV10" i="1" s="1"/>
  <c r="MR10" i="1" a="1"/>
  <c r="MR10" i="1" s="1"/>
  <c r="MN10" i="1" a="1"/>
  <c r="MN10" i="1" s="1"/>
  <c r="MJ10" i="1" a="1"/>
  <c r="MJ10" i="1" s="1"/>
  <c r="MF10" i="1" a="1"/>
  <c r="MF10" i="1" s="1"/>
  <c r="MB10" i="1" a="1"/>
  <c r="MB10" i="1" s="1"/>
  <c r="LX10" i="1" a="1"/>
  <c r="LX10" i="1" s="1"/>
  <c r="LT10" i="1" a="1"/>
  <c r="LT10" i="1" s="1"/>
  <c r="LP10" i="1" a="1"/>
  <c r="LP10" i="1" s="1"/>
  <c r="LL10" i="1" a="1"/>
  <c r="LL10" i="1" s="1"/>
  <c r="LH10" i="1" a="1"/>
  <c r="LH10" i="1" s="1"/>
  <c r="LC10" i="1" a="1"/>
  <c r="LC10" i="1" s="1"/>
  <c r="KY10" i="1" a="1"/>
  <c r="KY10" i="1" s="1"/>
  <c r="NA10" i="1" a="1"/>
  <c r="NA10" i="1" s="1"/>
  <c r="MY10" i="1" a="1"/>
  <c r="MY10" i="1" s="1"/>
  <c r="MW10" i="1" a="1"/>
  <c r="MW10" i="1" s="1"/>
  <c r="MU10" i="1" a="1"/>
  <c r="MU10" i="1" s="1"/>
  <c r="MS10" i="1" a="1"/>
  <c r="MS10" i="1" s="1"/>
  <c r="MQ10" i="1" a="1"/>
  <c r="MQ10" i="1" s="1"/>
  <c r="MI10" i="1" a="1"/>
  <c r="MI10" i="1" s="1"/>
  <c r="MA10" i="1" a="1"/>
  <c r="MA10" i="1" s="1"/>
  <c r="LS10" i="1" a="1"/>
  <c r="LS10" i="1" s="1"/>
  <c r="LK10" i="1" a="1"/>
  <c r="LK10" i="1" s="1"/>
  <c r="LB10" i="1" a="1"/>
  <c r="LB10" i="1" s="1"/>
  <c r="ACL10" i="1" a="1"/>
  <c r="ACL10" i="1" s="1"/>
  <c r="ACH10" i="1" a="1"/>
  <c r="ACH10" i="1" s="1"/>
  <c r="ACD10" i="1" a="1"/>
  <c r="ACD10" i="1" s="1"/>
  <c r="ABZ10" i="1" a="1"/>
  <c r="ABZ10" i="1" s="1"/>
  <c r="ABV10" i="1" a="1"/>
  <c r="ABV10" i="1" s="1"/>
  <c r="ABR10" i="1" a="1"/>
  <c r="ABR10" i="1" s="1"/>
  <c r="ABN10" i="1" a="1"/>
  <c r="ABN10" i="1" s="1"/>
  <c r="ABJ10" i="1" a="1"/>
  <c r="ABJ10" i="1" s="1"/>
  <c r="ABF10" i="1" a="1"/>
  <c r="ABF10" i="1" s="1"/>
  <c r="ABB10" i="1" a="1"/>
  <c r="ABB10" i="1" s="1"/>
  <c r="AAX10" i="1" a="1"/>
  <c r="AAX10" i="1" s="1"/>
  <c r="AAT10" i="1" a="1"/>
  <c r="AAT10" i="1" s="1"/>
  <c r="AAP10" i="1" a="1"/>
  <c r="AAP10" i="1" s="1"/>
  <c r="AAK10" i="1" a="1"/>
  <c r="AAK10" i="1" s="1"/>
  <c r="NB10" i="1" a="1"/>
  <c r="NB10" i="1" s="1"/>
  <c r="MX10" i="1" a="1"/>
  <c r="MX10" i="1" s="1"/>
  <c r="MT10" i="1" a="1"/>
  <c r="MT10" i="1" s="1"/>
  <c r="MP10" i="1" a="1"/>
  <c r="MP10" i="1" s="1"/>
  <c r="ML10" i="1" a="1"/>
  <c r="ML10" i="1" s="1"/>
  <c r="MH10" i="1" a="1"/>
  <c r="MH10" i="1" s="1"/>
  <c r="MD10" i="1" a="1"/>
  <c r="MD10" i="1" s="1"/>
  <c r="LZ10" i="1" a="1"/>
  <c r="LZ10" i="1" s="1"/>
  <c r="LV10" i="1" a="1"/>
  <c r="LV10" i="1" s="1"/>
  <c r="LR10" i="1" a="1"/>
  <c r="LR10" i="1" s="1"/>
  <c r="LN10" i="1" a="1"/>
  <c r="LN10" i="1" s="1"/>
  <c r="LJ10" i="1" a="1"/>
  <c r="LJ10" i="1" s="1"/>
  <c r="LF10" i="1" a="1"/>
  <c r="LF10" i="1" s="1"/>
  <c r="LA10" i="1" a="1"/>
  <c r="LA10" i="1" s="1"/>
  <c r="MK10" i="1" a="1"/>
  <c r="MK10" i="1" s="1"/>
  <c r="ME10" i="1" a="1"/>
  <c r="ME10" i="1" s="1"/>
  <c r="LW10" i="1" a="1"/>
  <c r="LW10" i="1" s="1"/>
  <c r="LO10" i="1" a="1"/>
  <c r="LO10" i="1" s="1"/>
  <c r="LG10" i="1" a="1"/>
  <c r="LG10" i="1" s="1"/>
  <c r="KX10" i="1" a="1"/>
  <c r="KX10" i="1" s="1"/>
  <c r="ABY10" i="1" a="1"/>
  <c r="ABY10" i="1" s="1"/>
  <c r="ABU10" i="1" a="1"/>
  <c r="ABU10" i="1" s="1"/>
  <c r="ABQ10" i="1" a="1"/>
  <c r="ABQ10" i="1" s="1"/>
  <c r="ABM10" i="1" a="1"/>
  <c r="ABM10" i="1" s="1"/>
  <c r="ABI10" i="1" a="1"/>
  <c r="ABI10" i="1" s="1"/>
  <c r="ABE10" i="1" a="1"/>
  <c r="ABE10" i="1" s="1"/>
  <c r="ABA10" i="1" a="1"/>
  <c r="ABA10" i="1" s="1"/>
  <c r="AAW10" i="1" a="1"/>
  <c r="AAW10" i="1" s="1"/>
  <c r="AAS10" i="1" a="1"/>
  <c r="AAS10" i="1" s="1"/>
  <c r="AAN10" i="1" a="1"/>
  <c r="AAN10" i="1" s="1"/>
  <c r="AAJ10" i="1" a="1"/>
  <c r="AAJ10" i="1" s="1"/>
  <c r="MO10" i="1" a="1"/>
  <c r="MO10" i="1" s="1"/>
  <c r="MG10" i="1" a="1"/>
  <c r="MG10" i="1" s="1"/>
  <c r="LY10" i="1" a="1"/>
  <c r="LY10" i="1" s="1"/>
  <c r="LQ10" i="1" a="1"/>
  <c r="LQ10" i="1" s="1"/>
  <c r="LI10" i="1" a="1"/>
  <c r="LI10" i="1" s="1"/>
  <c r="KZ10" i="1" a="1"/>
  <c r="KZ10" i="1" s="1"/>
  <c r="ACK10" i="1" a="1"/>
  <c r="ACK10" i="1" s="1"/>
  <c r="ACI10" i="1" a="1"/>
  <c r="ACI10" i="1" s="1"/>
  <c r="ACG10" i="1" a="1"/>
  <c r="ACG10" i="1" s="1"/>
  <c r="ACE10" i="1" a="1"/>
  <c r="ACE10" i="1" s="1"/>
  <c r="ACC10" i="1" a="1"/>
  <c r="ACC10" i="1" s="1"/>
  <c r="ACA10" i="1" a="1"/>
  <c r="ACA10" i="1" s="1"/>
  <c r="ABW10" i="1" a="1"/>
  <c r="ABW10" i="1" s="1"/>
  <c r="ABS10" i="1" a="1"/>
  <c r="ABS10" i="1" s="1"/>
  <c r="ABO10" i="1" a="1"/>
  <c r="ABO10" i="1" s="1"/>
  <c r="ABK10" i="1" a="1"/>
  <c r="ABK10" i="1" s="1"/>
  <c r="ABG10" i="1" a="1"/>
  <c r="ABG10" i="1" s="1"/>
  <c r="ABC10" i="1" a="1"/>
  <c r="ABC10" i="1" s="1"/>
  <c r="AAY10" i="1" a="1"/>
  <c r="AAY10" i="1" s="1"/>
  <c r="AAU10" i="1" a="1"/>
  <c r="AAU10" i="1" s="1"/>
  <c r="AAQ10" i="1" a="1"/>
  <c r="AAQ10" i="1" s="1"/>
  <c r="AAL10" i="1" a="1"/>
  <c r="AAL10" i="1" s="1"/>
  <c r="AAH10" i="1" a="1"/>
  <c r="AAH10" i="1" s="1"/>
  <c r="MM10" i="1" a="1"/>
  <c r="MM10" i="1" s="1"/>
  <c r="MC10" i="1" a="1"/>
  <c r="MC10" i="1" s="1"/>
  <c r="LU10" i="1" a="1"/>
  <c r="LU10" i="1" s="1"/>
  <c r="LM10" i="1" a="1"/>
  <c r="LM10" i="1" s="1"/>
  <c r="LD10" i="1" a="1"/>
  <c r="LD10" i="1" s="1"/>
  <c r="ADC78" i="1" a="1"/>
  <c r="ADC78" i="1" s="1"/>
  <c r="HW78" i="1"/>
  <c r="ADI78" i="1" a="1"/>
  <c r="ADI78" i="1" s="1"/>
  <c r="ACT78" i="1" a="1"/>
  <c r="ACT78" i="1" s="1"/>
  <c r="ADJ78" i="1" a="1"/>
  <c r="ADJ78" i="1" s="1"/>
  <c r="ADM78" i="1" a="1"/>
  <c r="ADM78" i="1" s="1"/>
  <c r="IP78" i="1" a="1"/>
  <c r="IP78" i="1" s="1"/>
  <c r="AP78" i="1" s="1" a="1"/>
  <c r="AP78" i="1" s="1"/>
  <c r="II78" i="1" a="1"/>
  <c r="II78" i="1" s="1"/>
  <c r="ANZ78" i="1"/>
  <c r="YP78" i="1"/>
  <c r="ADD78" i="1" a="1"/>
  <c r="ADD78" i="1" s="1"/>
  <c r="ACV78" i="1" a="1"/>
  <c r="ACV78" i="1" s="1"/>
  <c r="IV78" i="1"/>
  <c r="HV78" i="1" s="1"/>
  <c r="RK78" i="1"/>
  <c r="RL78" i="1" s="1"/>
  <c r="ACX78" i="1" a="1"/>
  <c r="ACX78" i="1" s="1"/>
  <c r="ADN78" i="1" a="1"/>
  <c r="ADN78" i="1" s="1"/>
  <c r="ACY78" i="1" a="1"/>
  <c r="ACY78" i="1" s="1"/>
  <c r="ADO78" i="1" a="1"/>
  <c r="ADO78" i="1" s="1"/>
  <c r="ACZ78" i="1" a="1"/>
  <c r="ACZ78" i="1" s="1"/>
  <c r="ADP78" i="1" a="1"/>
  <c r="ADP78" i="1" s="1"/>
  <c r="IV77" i="1"/>
  <c r="HM77" i="1" a="1"/>
  <c r="HM77" i="1" s="1"/>
  <c r="IK78" i="1" a="1"/>
  <c r="IK78" i="1" s="1"/>
  <c r="AK78" i="1" s="1"/>
  <c r="IM78" i="1" a="1"/>
  <c r="IM78" i="1" s="1"/>
  <c r="AM78" i="1" s="1"/>
  <c r="IN78" i="1" a="1"/>
  <c r="IN78" i="1" s="1"/>
  <c r="BA78" i="1" s="1"/>
  <c r="BV78" i="1" s="1"/>
  <c r="AIE76" i="1" a="1"/>
  <c r="AIE76" i="1" s="1"/>
  <c r="AKA78" i="1" a="1"/>
  <c r="AKA78" i="1" s="1"/>
  <c r="AJV78" i="1" a="1"/>
  <c r="AJV78" i="1" s="1"/>
  <c r="AJS78" i="1" a="1"/>
  <c r="AJS78" i="1" s="1"/>
  <c r="AJN78" i="1" a="1"/>
  <c r="AJN78" i="1" s="1"/>
  <c r="AJK78" i="1" a="1"/>
  <c r="AJK78" i="1" s="1"/>
  <c r="AJF78" i="1" a="1"/>
  <c r="AJF78" i="1" s="1"/>
  <c r="AJC78" i="1" a="1"/>
  <c r="AJC78" i="1" s="1"/>
  <c r="AIX78" i="1" a="1"/>
  <c r="AIX78" i="1" s="1"/>
  <c r="AIU78" i="1" a="1"/>
  <c r="AIU78" i="1" s="1"/>
  <c r="AIP78" i="1" a="1"/>
  <c r="AIP78" i="1" s="1"/>
  <c r="AIM78" i="1" a="1"/>
  <c r="AIM78" i="1" s="1"/>
  <c r="AIH78" i="1" a="1"/>
  <c r="AIH78" i="1" s="1"/>
  <c r="AKC78" i="1" a="1"/>
  <c r="AKC78" i="1" s="1"/>
  <c r="AJX78" i="1" a="1"/>
  <c r="AJX78" i="1" s="1"/>
  <c r="AJU78" i="1" a="1"/>
  <c r="AJU78" i="1" s="1"/>
  <c r="AJP78" i="1" a="1"/>
  <c r="AJP78" i="1" s="1"/>
  <c r="AJM78" i="1" a="1"/>
  <c r="AJM78" i="1" s="1"/>
  <c r="AJH78" i="1" a="1"/>
  <c r="AJH78" i="1" s="1"/>
  <c r="AJE78" i="1" a="1"/>
  <c r="AJE78" i="1" s="1"/>
  <c r="AIZ78" i="1" a="1"/>
  <c r="AIZ78" i="1" s="1"/>
  <c r="AIW78" i="1" a="1"/>
  <c r="AIW78" i="1" s="1"/>
  <c r="AIR78" i="1" a="1"/>
  <c r="AIR78" i="1" s="1"/>
  <c r="AIO78" i="1" a="1"/>
  <c r="AIO78" i="1" s="1"/>
  <c r="AIJ78" i="1" a="1"/>
  <c r="AIJ78" i="1" s="1"/>
  <c r="AIG78" i="1" a="1"/>
  <c r="AIG78" i="1" s="1"/>
  <c r="AKB78" i="1" a="1"/>
  <c r="AKB78" i="1" s="1"/>
  <c r="AJY78" i="1" a="1"/>
  <c r="AJY78" i="1" s="1"/>
  <c r="AJT78" i="1" a="1"/>
  <c r="AJT78" i="1" s="1"/>
  <c r="AJQ78" i="1" a="1"/>
  <c r="AJQ78" i="1" s="1"/>
  <c r="AJL78" i="1" a="1"/>
  <c r="AJL78" i="1" s="1"/>
  <c r="AJI78" i="1" a="1"/>
  <c r="AJI78" i="1" s="1"/>
  <c r="AJD78" i="1" a="1"/>
  <c r="AJD78" i="1" s="1"/>
  <c r="AJA78" i="1" a="1"/>
  <c r="AJA78" i="1" s="1"/>
  <c r="AIV78" i="1" a="1"/>
  <c r="AIV78" i="1" s="1"/>
  <c r="AIS78" i="1" a="1"/>
  <c r="AIS78" i="1" s="1"/>
  <c r="AIN78" i="1" a="1"/>
  <c r="AIN78" i="1" s="1"/>
  <c r="AIK78" i="1" a="1"/>
  <c r="AIK78" i="1" s="1"/>
  <c r="AJZ78" i="1" a="1"/>
  <c r="AJZ78" i="1" s="1"/>
  <c r="AJO78" i="1" a="1"/>
  <c r="AJO78" i="1" s="1"/>
  <c r="AIT78" i="1" a="1"/>
  <c r="AIT78" i="1" s="1"/>
  <c r="AII78" i="1" a="1"/>
  <c r="AII78" i="1" s="1"/>
  <c r="UR78" i="1" a="1"/>
  <c r="UR78" i="1" s="1"/>
  <c r="UM78" i="1" a="1"/>
  <c r="UM78" i="1" s="1"/>
  <c r="UJ78" i="1" a="1"/>
  <c r="UJ78" i="1" s="1"/>
  <c r="UE78" i="1" a="1"/>
  <c r="UE78" i="1" s="1"/>
  <c r="UB78" i="1" a="1"/>
  <c r="UB78" i="1" s="1"/>
  <c r="TW78" i="1" a="1"/>
  <c r="TW78" i="1" s="1"/>
  <c r="TT78" i="1" a="1"/>
  <c r="TT78" i="1" s="1"/>
  <c r="TO78" i="1" a="1"/>
  <c r="TO78" i="1" s="1"/>
  <c r="TL78" i="1" a="1"/>
  <c r="TL78" i="1" s="1"/>
  <c r="TG78" i="1" a="1"/>
  <c r="TG78" i="1" s="1"/>
  <c r="TD78" i="1" a="1"/>
  <c r="TD78" i="1" s="1"/>
  <c r="SY78" i="1" a="1"/>
  <c r="SY78" i="1" s="1"/>
  <c r="AJW78" i="1" a="1"/>
  <c r="AJW78" i="1" s="1"/>
  <c r="AJB78" i="1" a="1"/>
  <c r="AJB78" i="1" s="1"/>
  <c r="AIQ78" i="1" a="1"/>
  <c r="AIQ78" i="1" s="1"/>
  <c r="UO78" i="1" a="1"/>
  <c r="UO78" i="1" s="1"/>
  <c r="UL78" i="1" a="1"/>
  <c r="UL78" i="1" s="1"/>
  <c r="UG78" i="1" a="1"/>
  <c r="UG78" i="1" s="1"/>
  <c r="UD78" i="1" a="1"/>
  <c r="UD78" i="1" s="1"/>
  <c r="TY78" i="1" a="1"/>
  <c r="TY78" i="1" s="1"/>
  <c r="TV78" i="1" a="1"/>
  <c r="TV78" i="1" s="1"/>
  <c r="TQ78" i="1" a="1"/>
  <c r="TQ78" i="1" s="1"/>
  <c r="TN78" i="1" a="1"/>
  <c r="TN78" i="1" s="1"/>
  <c r="TI78" i="1" a="1"/>
  <c r="TI78" i="1" s="1"/>
  <c r="TF78" i="1" a="1"/>
  <c r="TF78" i="1" s="1"/>
  <c r="TA78" i="1" a="1"/>
  <c r="TA78" i="1" s="1"/>
  <c r="SX78" i="1" a="1"/>
  <c r="SX78" i="1" s="1"/>
  <c r="AJJ78" i="1" a="1"/>
  <c r="AJJ78" i="1" s="1"/>
  <c r="AIY78" i="1" a="1"/>
  <c r="AIY78" i="1" s="1"/>
  <c r="UQ78" i="1" a="1"/>
  <c r="UQ78" i="1" s="1"/>
  <c r="UN78" i="1" a="1"/>
  <c r="UN78" i="1" s="1"/>
  <c r="UI78" i="1" a="1"/>
  <c r="UI78" i="1" s="1"/>
  <c r="UF78" i="1" a="1"/>
  <c r="UF78" i="1" s="1"/>
  <c r="UA78" i="1" a="1"/>
  <c r="UA78" i="1" s="1"/>
  <c r="TX78" i="1" a="1"/>
  <c r="TX78" i="1" s="1"/>
  <c r="TS78" i="1" a="1"/>
  <c r="TS78" i="1" s="1"/>
  <c r="TP78" i="1" a="1"/>
  <c r="TP78" i="1" s="1"/>
  <c r="TK78" i="1" a="1"/>
  <c r="TK78" i="1" s="1"/>
  <c r="TH78" i="1" a="1"/>
  <c r="TH78" i="1" s="1"/>
  <c r="TC78" i="1" a="1"/>
  <c r="TC78" i="1" s="1"/>
  <c r="SZ78" i="1" a="1"/>
  <c r="SZ78" i="1" s="1"/>
  <c r="AJR78" i="1" a="1"/>
  <c r="AJR78" i="1" s="1"/>
  <c r="UP78" i="1" a="1"/>
  <c r="UP78" i="1" s="1"/>
  <c r="TU78" i="1" a="1"/>
  <c r="TU78" i="1" s="1"/>
  <c r="TJ78" i="1" a="1"/>
  <c r="TJ78" i="1" s="1"/>
  <c r="AJG78" i="1" a="1"/>
  <c r="AJG78" i="1" s="1"/>
  <c r="UC78" i="1" a="1"/>
  <c r="UC78" i="1" s="1"/>
  <c r="TR78" i="1" a="1"/>
  <c r="TR78" i="1" s="1"/>
  <c r="SW78" i="1" a="1"/>
  <c r="SW78" i="1" s="1"/>
  <c r="UK78" i="1" a="1"/>
  <c r="UK78" i="1" s="1"/>
  <c r="TZ78" i="1" a="1"/>
  <c r="TZ78" i="1" s="1"/>
  <c r="TE78" i="1" a="1"/>
  <c r="TE78" i="1" s="1"/>
  <c r="AIL78" i="1" a="1"/>
  <c r="AIL78" i="1" s="1"/>
  <c r="TM78" i="1" a="1"/>
  <c r="TM78" i="1" s="1"/>
  <c r="US78" i="1" a="1"/>
  <c r="US78" i="1" s="1"/>
  <c r="TB78" i="1" a="1"/>
  <c r="TB78" i="1" s="1"/>
  <c r="UH78" i="1" a="1"/>
  <c r="UH78" i="1" s="1"/>
  <c r="VP78" i="1" a="1"/>
  <c r="VP78" i="1" s="1"/>
  <c r="AAA78" i="1"/>
  <c r="AID76" i="1" a="1"/>
  <c r="AID76" i="1" s="1"/>
  <c r="VO76" i="1" a="1"/>
  <c r="VO76" i="1" s="1"/>
  <c r="SR76" i="1" a="1"/>
  <c r="SR76" i="1" s="1"/>
  <c r="ALG76" i="1" a="1"/>
  <c r="ALG76" i="1" s="1"/>
  <c r="AHY76" i="1" a="1"/>
  <c r="AHY76" i="1" s="1"/>
  <c r="VV76" i="1" a="1"/>
  <c r="VV76" i="1" s="1"/>
  <c r="VF76" i="1" a="1"/>
  <c r="VF76" i="1" s="1"/>
  <c r="HK76" i="1" a="1"/>
  <c r="HK76" i="1" s="1"/>
  <c r="AKP76" i="1" a="1"/>
  <c r="AKP76" i="1" s="1"/>
  <c r="AKX76" i="1" a="1"/>
  <c r="AKX76" i="1" s="1"/>
  <c r="ALF76" i="1" a="1"/>
  <c r="ALF76" i="1" s="1"/>
  <c r="SH77" i="1"/>
  <c r="AKB77" i="1" a="1"/>
  <c r="AKB77" i="1" s="1"/>
  <c r="AJX77" i="1" a="1"/>
  <c r="AJX77" i="1" s="1"/>
  <c r="AJT77" i="1" a="1"/>
  <c r="AJT77" i="1" s="1"/>
  <c r="AJP77" i="1" a="1"/>
  <c r="AJP77" i="1" s="1"/>
  <c r="AJL77" i="1" a="1"/>
  <c r="AJL77" i="1" s="1"/>
  <c r="AJH77" i="1" a="1"/>
  <c r="AJH77" i="1" s="1"/>
  <c r="AJD77" i="1" a="1"/>
  <c r="AJD77" i="1" s="1"/>
  <c r="AIZ77" i="1" a="1"/>
  <c r="AIZ77" i="1" s="1"/>
  <c r="AIV77" i="1" a="1"/>
  <c r="AIV77" i="1" s="1"/>
  <c r="AIR77" i="1" a="1"/>
  <c r="AIR77" i="1" s="1"/>
  <c r="AIN77" i="1" a="1"/>
  <c r="AIN77" i="1" s="1"/>
  <c r="AIJ77" i="1" a="1"/>
  <c r="AIJ77" i="1" s="1"/>
  <c r="UP77" i="1" a="1"/>
  <c r="UP77" i="1" s="1"/>
  <c r="UL77" i="1" a="1"/>
  <c r="UL77" i="1" s="1"/>
  <c r="UH77" i="1" a="1"/>
  <c r="UH77" i="1" s="1"/>
  <c r="UD77" i="1" a="1"/>
  <c r="UD77" i="1" s="1"/>
  <c r="TZ77" i="1" a="1"/>
  <c r="TZ77" i="1" s="1"/>
  <c r="TV77" i="1" a="1"/>
  <c r="TV77" i="1" s="1"/>
  <c r="TR77" i="1" a="1"/>
  <c r="TR77" i="1" s="1"/>
  <c r="TN77" i="1" a="1"/>
  <c r="TN77" i="1" s="1"/>
  <c r="TJ77" i="1" a="1"/>
  <c r="TJ77" i="1" s="1"/>
  <c r="TF77" i="1" a="1"/>
  <c r="TF77" i="1" s="1"/>
  <c r="TB77" i="1" a="1"/>
  <c r="TB77" i="1" s="1"/>
  <c r="SX77" i="1" a="1"/>
  <c r="SX77" i="1" s="1"/>
  <c r="AKA77" i="1" a="1"/>
  <c r="AKA77" i="1" s="1"/>
  <c r="AJW77" i="1" a="1"/>
  <c r="AJW77" i="1" s="1"/>
  <c r="AJS77" i="1" a="1"/>
  <c r="AJS77" i="1" s="1"/>
  <c r="AJO77" i="1" a="1"/>
  <c r="AJO77" i="1" s="1"/>
  <c r="AJK77" i="1" a="1"/>
  <c r="AJK77" i="1" s="1"/>
  <c r="AJG77" i="1" a="1"/>
  <c r="AJG77" i="1" s="1"/>
  <c r="AJC77" i="1" a="1"/>
  <c r="AJC77" i="1" s="1"/>
  <c r="AIY77" i="1" a="1"/>
  <c r="AIY77" i="1" s="1"/>
  <c r="AIU77" i="1" a="1"/>
  <c r="AIU77" i="1" s="1"/>
  <c r="AIQ77" i="1" a="1"/>
  <c r="AIQ77" i="1" s="1"/>
  <c r="AIM77" i="1" a="1"/>
  <c r="AIM77" i="1" s="1"/>
  <c r="AII77" i="1" a="1"/>
  <c r="AII77" i="1" s="1"/>
  <c r="US77" i="1" a="1"/>
  <c r="US77" i="1" s="1"/>
  <c r="UO77" i="1" a="1"/>
  <c r="UO77" i="1" s="1"/>
  <c r="UK77" i="1" a="1"/>
  <c r="UK77" i="1" s="1"/>
  <c r="UG77" i="1" a="1"/>
  <c r="UG77" i="1" s="1"/>
  <c r="UC77" i="1" a="1"/>
  <c r="UC77" i="1" s="1"/>
  <c r="TY77" i="1" a="1"/>
  <c r="TY77" i="1" s="1"/>
  <c r="TU77" i="1" a="1"/>
  <c r="TU77" i="1" s="1"/>
  <c r="TQ77" i="1" a="1"/>
  <c r="TQ77" i="1" s="1"/>
  <c r="TM77" i="1" a="1"/>
  <c r="TM77" i="1" s="1"/>
  <c r="TI77" i="1" a="1"/>
  <c r="TI77" i="1" s="1"/>
  <c r="TE77" i="1" a="1"/>
  <c r="TE77" i="1" s="1"/>
  <c r="TA77" i="1" a="1"/>
  <c r="TA77" i="1" s="1"/>
  <c r="SW77" i="1" a="1"/>
  <c r="SW77" i="1" s="1"/>
  <c r="AJZ77" i="1" a="1"/>
  <c r="AJZ77" i="1" s="1"/>
  <c r="AJV77" i="1" a="1"/>
  <c r="AJV77" i="1" s="1"/>
  <c r="AJR77" i="1" a="1"/>
  <c r="AJR77" i="1" s="1"/>
  <c r="AJN77" i="1" a="1"/>
  <c r="AJN77" i="1" s="1"/>
  <c r="AJJ77" i="1" a="1"/>
  <c r="AJJ77" i="1" s="1"/>
  <c r="AJF77" i="1" a="1"/>
  <c r="AJF77" i="1" s="1"/>
  <c r="AJB77" i="1" a="1"/>
  <c r="AJB77" i="1" s="1"/>
  <c r="AIX77" i="1" a="1"/>
  <c r="AIX77" i="1" s="1"/>
  <c r="AIT77" i="1" a="1"/>
  <c r="AIT77" i="1" s="1"/>
  <c r="AIP77" i="1" a="1"/>
  <c r="AIP77" i="1" s="1"/>
  <c r="AIL77" i="1" a="1"/>
  <c r="AIL77" i="1" s="1"/>
  <c r="AIH77" i="1" a="1"/>
  <c r="AIH77" i="1" s="1"/>
  <c r="UR77" i="1" a="1"/>
  <c r="UR77" i="1" s="1"/>
  <c r="UN77" i="1" a="1"/>
  <c r="UN77" i="1" s="1"/>
  <c r="UJ77" i="1" a="1"/>
  <c r="UJ77" i="1" s="1"/>
  <c r="UF77" i="1" a="1"/>
  <c r="UF77" i="1" s="1"/>
  <c r="UB77" i="1" a="1"/>
  <c r="UB77" i="1" s="1"/>
  <c r="TX77" i="1" a="1"/>
  <c r="TX77" i="1" s="1"/>
  <c r="TT77" i="1" a="1"/>
  <c r="TT77" i="1" s="1"/>
  <c r="TP77" i="1" a="1"/>
  <c r="TP77" i="1" s="1"/>
  <c r="TL77" i="1" a="1"/>
  <c r="TL77" i="1" s="1"/>
  <c r="TH77" i="1" a="1"/>
  <c r="TH77" i="1" s="1"/>
  <c r="TD77" i="1" a="1"/>
  <c r="TD77" i="1" s="1"/>
  <c r="SZ77" i="1" a="1"/>
  <c r="SZ77" i="1" s="1"/>
  <c r="AKC77" i="1" a="1"/>
  <c r="AKC77" i="1" s="1"/>
  <c r="AJM77" i="1" a="1"/>
  <c r="AJM77" i="1" s="1"/>
  <c r="AIW77" i="1" a="1"/>
  <c r="AIW77" i="1" s="1"/>
  <c r="AIG77" i="1" a="1"/>
  <c r="AIG77" i="1" s="1"/>
  <c r="UI77" i="1" a="1"/>
  <c r="UI77" i="1" s="1"/>
  <c r="TS77" i="1" a="1"/>
  <c r="TS77" i="1" s="1"/>
  <c r="TC77" i="1" a="1"/>
  <c r="TC77" i="1" s="1"/>
  <c r="AJY77" i="1" a="1"/>
  <c r="AJY77" i="1" s="1"/>
  <c r="AJI77" i="1" a="1"/>
  <c r="AJI77" i="1" s="1"/>
  <c r="AIS77" i="1" a="1"/>
  <c r="AIS77" i="1" s="1"/>
  <c r="AIB77" i="1" a="1"/>
  <c r="AIB77" i="1" s="1"/>
  <c r="UE77" i="1" a="1"/>
  <c r="UE77" i="1" s="1"/>
  <c r="TO77" i="1" a="1"/>
  <c r="TO77" i="1" s="1"/>
  <c r="SY77" i="1" a="1"/>
  <c r="SY77" i="1" s="1"/>
  <c r="AJU77" i="1" a="1"/>
  <c r="AJU77" i="1" s="1"/>
  <c r="AJE77" i="1" a="1"/>
  <c r="AJE77" i="1" s="1"/>
  <c r="AIO77" i="1" a="1"/>
  <c r="AIO77" i="1" s="1"/>
  <c r="UQ77" i="1" a="1"/>
  <c r="UQ77" i="1" s="1"/>
  <c r="UA77" i="1" a="1"/>
  <c r="UA77" i="1" s="1"/>
  <c r="TK77" i="1" a="1"/>
  <c r="TK77" i="1" s="1"/>
  <c r="ST77" i="1" a="1"/>
  <c r="ST77" i="1" s="1"/>
  <c r="SP77" i="1" a="1"/>
  <c r="SP77" i="1" s="1"/>
  <c r="AJQ77" i="1" a="1"/>
  <c r="AJQ77" i="1" s="1"/>
  <c r="UM77" i="1" a="1"/>
  <c r="UM77" i="1" s="1"/>
  <c r="AJA77" i="1" a="1"/>
  <c r="AJA77" i="1" s="1"/>
  <c r="TW77" i="1" a="1"/>
  <c r="TW77" i="1" s="1"/>
  <c r="AIK77" i="1" a="1"/>
  <c r="AIK77" i="1" s="1"/>
  <c r="VU77" i="1" a="1"/>
  <c r="VU77" i="1" s="1"/>
  <c r="TG77" i="1" a="1"/>
  <c r="TG77" i="1" s="1"/>
  <c r="IG77" i="1" a="1"/>
  <c r="IG77" i="1" s="1"/>
  <c r="IR77" i="1" a="1"/>
  <c r="IR77" i="1" s="1"/>
  <c r="AU77" i="1" s="1"/>
  <c r="IF77" i="1" a="1"/>
  <c r="IF77" i="1" s="1"/>
  <c r="AF77" i="1" s="1"/>
  <c r="VM76" i="1" a="1"/>
  <c r="VM76" i="1" s="1"/>
  <c r="VD76" i="1" a="1"/>
  <c r="VD76" i="1" s="1"/>
  <c r="VT76" i="1" a="1"/>
  <c r="VT76" i="1" s="1"/>
  <c r="HI75" i="1" a="1"/>
  <c r="HI75" i="1" s="1"/>
  <c r="HW75" i="1" s="1"/>
  <c r="XZ74" i="1"/>
  <c r="SM74" i="1"/>
  <c r="SI74" i="1"/>
  <c r="YO74" i="1" s="1" a="1"/>
  <c r="YO74" i="1" s="1"/>
  <c r="YP74" i="1" s="1"/>
  <c r="SL74" i="1"/>
  <c r="SK74" i="1"/>
  <c r="YQ74" i="1"/>
  <c r="SJ74" i="1"/>
  <c r="IM76" i="1" a="1"/>
  <c r="IM76" i="1" s="1"/>
  <c r="AM76" i="1" s="1"/>
  <c r="IL76" i="1" a="1"/>
  <c r="IL76" i="1" s="1"/>
  <c r="IF76" i="1" a="1"/>
  <c r="IF76" i="1" s="1"/>
  <c r="AF76" i="1" s="1"/>
  <c r="HG75" i="1" a="1"/>
  <c r="HG75" i="1" s="1"/>
  <c r="NO75" i="1" a="1"/>
  <c r="NO75" i="1" s="1"/>
  <c r="OE75" i="1" a="1"/>
  <c r="OE75" i="1" s="1"/>
  <c r="HP75" i="1"/>
  <c r="HH75" i="1" a="1"/>
  <c r="HH75" i="1" s="1"/>
  <c r="NQ75" i="1" a="1"/>
  <c r="NQ75" i="1" s="1"/>
  <c r="RK75" i="1" s="1"/>
  <c r="ADI75" i="1" a="1"/>
  <c r="ADI75" i="1" s="1"/>
  <c r="NN75" i="1" a="1"/>
  <c r="NN75" i="1" s="1"/>
  <c r="NV75" i="1" a="1"/>
  <c r="NV75" i="1" s="1"/>
  <c r="OD75" i="1" a="1"/>
  <c r="OD75" i="1" s="1"/>
  <c r="ACZ75" i="1" a="1"/>
  <c r="ACZ75" i="1" s="1"/>
  <c r="ADH75" i="1" a="1"/>
  <c r="ADH75" i="1" s="1"/>
  <c r="ADP75" i="1" a="1"/>
  <c r="ADP75" i="1" s="1"/>
  <c r="AAN73" i="1" a="1"/>
  <c r="AAN73" i="1" s="1"/>
  <c r="VE73" i="1" a="1"/>
  <c r="VE73" i="1" s="1"/>
  <c r="SO73" i="1" a="1"/>
  <c r="SO73" i="1" s="1"/>
  <c r="BN75" i="1"/>
  <c r="FO75" i="1"/>
  <c r="DD75" i="1" a="1"/>
  <c r="DD75" i="1" s="1"/>
  <c r="DB75" i="1" a="1"/>
  <c r="DB75" i="1" s="1"/>
  <c r="CZ75" i="1" a="1"/>
  <c r="CZ75" i="1" s="1"/>
  <c r="CX75" i="1" a="1"/>
  <c r="CX75" i="1" s="1"/>
  <c r="BF75" i="1"/>
  <c r="DE75" i="1" a="1"/>
  <c r="DE75" i="1" s="1"/>
  <c r="DC75" i="1" a="1"/>
  <c r="DC75" i="1" s="1"/>
  <c r="DA75" i="1" a="1"/>
  <c r="DA75" i="1" s="1"/>
  <c r="CY75" i="1" a="1"/>
  <c r="CY75" i="1" s="1"/>
  <c r="CW75" i="1" a="1"/>
  <c r="CW75" i="1" s="1"/>
  <c r="BD75" i="1"/>
  <c r="VO73" i="1" a="1"/>
  <c r="VO73" i="1" s="1"/>
  <c r="HO73" i="1"/>
  <c r="AKK73" i="1" a="1"/>
  <c r="AKK73" i="1" s="1"/>
  <c r="AKS73" i="1" a="1"/>
  <c r="AKS73" i="1" s="1"/>
  <c r="ALA73" i="1" a="1"/>
  <c r="ALA73" i="1" s="1"/>
  <c r="VH73" i="1" a="1"/>
  <c r="VH73" i="1" s="1"/>
  <c r="VP73" i="1" a="1"/>
  <c r="VP73" i="1" s="1"/>
  <c r="AGV73" i="1"/>
  <c r="AIE73" i="1" a="1"/>
  <c r="AIE73" i="1" s="1"/>
  <c r="AKR73" i="1" a="1"/>
  <c r="AKR73" i="1" s="1"/>
  <c r="AKZ73" i="1" a="1"/>
  <c r="AKZ73" i="1" s="1"/>
  <c r="HW72" i="1"/>
  <c r="IF72" i="1" a="1"/>
  <c r="IF72" i="1" s="1"/>
  <c r="AF72" i="1" s="1"/>
  <c r="IN72" i="1" a="1"/>
  <c r="IN72" i="1" s="1"/>
  <c r="BA72" i="1" s="1"/>
  <c r="BV72" i="1" s="1"/>
  <c r="II72" i="1" a="1"/>
  <c r="II72" i="1" s="1"/>
  <c r="IQ72" i="1" a="1"/>
  <c r="IQ72" i="1" s="1"/>
  <c r="AT72" i="1" s="1"/>
  <c r="RO73" i="1"/>
  <c r="VA73" i="1" a="1"/>
  <c r="VA73" i="1" s="1"/>
  <c r="QI73" i="1"/>
  <c r="KV73" i="1"/>
  <c r="KR73" i="1"/>
  <c r="QX73" i="1" s="1" a="1"/>
  <c r="QX73" i="1" s="1"/>
  <c r="QY73" i="1" s="1"/>
  <c r="KU73" i="1"/>
  <c r="KT73" i="1"/>
  <c r="QZ73" i="1"/>
  <c r="KS73" i="1"/>
  <c r="AAE73" i="1"/>
  <c r="AAD73" i="1"/>
  <c r="AGJ73" i="1"/>
  <c r="AFS73" i="1"/>
  <c r="AAC73" i="1"/>
  <c r="AAB73" i="1"/>
  <c r="AGH73" i="1" s="1" a="1"/>
  <c r="AGH73" i="1" s="1"/>
  <c r="AGI73" i="1" s="1"/>
  <c r="AAF73" i="1"/>
  <c r="IO74" i="1" a="1"/>
  <c r="IO74" i="1" s="1"/>
  <c r="II74" i="1" a="1"/>
  <c r="II74" i="1" s="1"/>
  <c r="IJ74" i="1" a="1"/>
  <c r="IJ74" i="1" s="1"/>
  <c r="AJ74" i="1" s="1"/>
  <c r="IJ73" i="1" a="1"/>
  <c r="IJ73" i="1" s="1"/>
  <c r="AJ73" i="1" s="1"/>
  <c r="SH72" i="1"/>
  <c r="AR72" i="1" a="1"/>
  <c r="AR72" i="1" s="1"/>
  <c r="AHR72" i="1" s="1"/>
  <c r="AP72" i="1" a="1"/>
  <c r="AP72" i="1" s="1"/>
  <c r="AAA72" i="1"/>
  <c r="KQ72" i="1"/>
  <c r="AQ72" i="1" a="1"/>
  <c r="AQ72" i="1" s="1"/>
  <c r="NP72" i="1" a="1"/>
  <c r="NP72" i="1" s="1"/>
  <c r="NX72" i="1" a="1"/>
  <c r="NX72" i="1" s="1"/>
  <c r="OF72" i="1" a="1"/>
  <c r="OF72" i="1" s="1"/>
  <c r="VF72" i="1" a="1"/>
  <c r="VF72" i="1" s="1"/>
  <c r="VN72" i="1" a="1"/>
  <c r="VN72" i="1" s="1"/>
  <c r="VV72" i="1" a="1"/>
  <c r="VV72" i="1" s="1"/>
  <c r="ACZ72" i="1" a="1"/>
  <c r="ACZ72" i="1" s="1"/>
  <c r="ADH72" i="1" a="1"/>
  <c r="ADH72" i="1" s="1"/>
  <c r="ADP72" i="1" a="1"/>
  <c r="ADP72" i="1" s="1"/>
  <c r="AKP72" i="1" a="1"/>
  <c r="AKP72" i="1" s="1"/>
  <c r="AKX72" i="1" a="1"/>
  <c r="AKX72" i="1" s="1"/>
  <c r="ALF72" i="1" a="1"/>
  <c r="ALF72" i="1" s="1"/>
  <c r="NQ72" i="1" a="1"/>
  <c r="NQ72" i="1" s="1"/>
  <c r="RK72" i="1" s="1"/>
  <c r="NY72" i="1" a="1"/>
  <c r="NY72" i="1" s="1"/>
  <c r="VA72" i="1" a="1"/>
  <c r="VA72" i="1" s="1"/>
  <c r="VI72" i="1" a="1"/>
  <c r="VI72" i="1" s="1"/>
  <c r="VQ72" i="1" a="1"/>
  <c r="VQ72" i="1" s="1"/>
  <c r="ADA72" i="1" a="1"/>
  <c r="ADA72" i="1" s="1"/>
  <c r="AGU72" i="1" s="1"/>
  <c r="ADI72" i="1" a="1"/>
  <c r="ADI72" i="1" s="1"/>
  <c r="AKK72" i="1" a="1"/>
  <c r="AKK72" i="1" s="1"/>
  <c r="AKS72" i="1" a="1"/>
  <c r="AKS72" i="1" s="1"/>
  <c r="ALA72" i="1" a="1"/>
  <c r="ALA72" i="1" s="1"/>
  <c r="IP71" i="1" a="1"/>
  <c r="IP71" i="1" s="1"/>
  <c r="AP71" i="1" s="1" a="1"/>
  <c r="AP71" i="1" s="1"/>
  <c r="IG71" i="1" a="1"/>
  <c r="IG71" i="1" s="1"/>
  <c r="AKA71" i="1" a="1"/>
  <c r="AKA71" i="1" s="1"/>
  <c r="AJW71" i="1" a="1"/>
  <c r="AJW71" i="1" s="1"/>
  <c r="AJS71" i="1" a="1"/>
  <c r="AJS71" i="1" s="1"/>
  <c r="AJO71" i="1" a="1"/>
  <c r="AJO71" i="1" s="1"/>
  <c r="AJK71" i="1" a="1"/>
  <c r="AJK71" i="1" s="1"/>
  <c r="AJG71" i="1" a="1"/>
  <c r="AJG71" i="1" s="1"/>
  <c r="AJC71" i="1" a="1"/>
  <c r="AJC71" i="1" s="1"/>
  <c r="AIY71" i="1" a="1"/>
  <c r="AIY71" i="1" s="1"/>
  <c r="AIU71" i="1" a="1"/>
  <c r="AIU71" i="1" s="1"/>
  <c r="AIQ71" i="1" a="1"/>
  <c r="AIQ71" i="1" s="1"/>
  <c r="AIM71" i="1" a="1"/>
  <c r="AIM71" i="1" s="1"/>
  <c r="AII71" i="1" a="1"/>
  <c r="AII71" i="1" s="1"/>
  <c r="AID71" i="1" a="1"/>
  <c r="AID71" i="1" s="1"/>
  <c r="AHZ71" i="1" a="1"/>
  <c r="AHZ71" i="1" s="1"/>
  <c r="UR71" i="1" a="1"/>
  <c r="UR71" i="1" s="1"/>
  <c r="UO71" i="1" a="1"/>
  <c r="UO71" i="1" s="1"/>
  <c r="UJ71" i="1" a="1"/>
  <c r="UJ71" i="1" s="1"/>
  <c r="UG71" i="1" a="1"/>
  <c r="UG71" i="1" s="1"/>
  <c r="UB71" i="1" a="1"/>
  <c r="UB71" i="1" s="1"/>
  <c r="TY71" i="1" a="1"/>
  <c r="TY71" i="1" s="1"/>
  <c r="TT71" i="1" a="1"/>
  <c r="TT71" i="1" s="1"/>
  <c r="TQ71" i="1" a="1"/>
  <c r="TQ71" i="1" s="1"/>
  <c r="TL71" i="1" a="1"/>
  <c r="TL71" i="1" s="1"/>
  <c r="TI71" i="1" a="1"/>
  <c r="TI71" i="1" s="1"/>
  <c r="TD71" i="1" a="1"/>
  <c r="TD71" i="1" s="1"/>
  <c r="TA71" i="1" a="1"/>
  <c r="TA71" i="1" s="1"/>
  <c r="SU71" i="1" a="1"/>
  <c r="SU71" i="1" s="1"/>
  <c r="SR71" i="1" a="1"/>
  <c r="SR71" i="1" s="1"/>
  <c r="AJZ71" i="1" a="1"/>
  <c r="AJZ71" i="1" s="1"/>
  <c r="AJV71" i="1" a="1"/>
  <c r="AJV71" i="1" s="1"/>
  <c r="AJR71" i="1" a="1"/>
  <c r="AJR71" i="1" s="1"/>
  <c r="AJN71" i="1" a="1"/>
  <c r="AJN71" i="1" s="1"/>
  <c r="AJJ71" i="1" a="1"/>
  <c r="AJJ71" i="1" s="1"/>
  <c r="AJF71" i="1" a="1"/>
  <c r="AJF71" i="1" s="1"/>
  <c r="AJB71" i="1" a="1"/>
  <c r="AJB71" i="1" s="1"/>
  <c r="AIX71" i="1" a="1"/>
  <c r="AIX71" i="1" s="1"/>
  <c r="AIT71" i="1" a="1"/>
  <c r="AIT71" i="1" s="1"/>
  <c r="AIP71" i="1" a="1"/>
  <c r="AIP71" i="1" s="1"/>
  <c r="AIL71" i="1" a="1"/>
  <c r="AIL71" i="1" s="1"/>
  <c r="AIH71" i="1" a="1"/>
  <c r="AIH71" i="1" s="1"/>
  <c r="AIC71" i="1" a="1"/>
  <c r="AIC71" i="1" s="1"/>
  <c r="AHY71" i="1" a="1"/>
  <c r="AHY71" i="1" s="1"/>
  <c r="UQ71" i="1" a="1"/>
  <c r="UQ71" i="1" s="1"/>
  <c r="UL71" i="1" a="1"/>
  <c r="UL71" i="1" s="1"/>
  <c r="UI71" i="1" a="1"/>
  <c r="UI71" i="1" s="1"/>
  <c r="UD71" i="1" a="1"/>
  <c r="UD71" i="1" s="1"/>
  <c r="UA71" i="1" a="1"/>
  <c r="UA71" i="1" s="1"/>
  <c r="TV71" i="1" a="1"/>
  <c r="TV71" i="1" s="1"/>
  <c r="TS71" i="1" a="1"/>
  <c r="TS71" i="1" s="1"/>
  <c r="TN71" i="1" a="1"/>
  <c r="TN71" i="1" s="1"/>
  <c r="TK71" i="1" a="1"/>
  <c r="TK71" i="1" s="1"/>
  <c r="TF71" i="1" a="1"/>
  <c r="TF71" i="1" s="1"/>
  <c r="TC71" i="1" a="1"/>
  <c r="TC71" i="1" s="1"/>
  <c r="SX71" i="1" a="1"/>
  <c r="SX71" i="1" s="1"/>
  <c r="ST71" i="1" a="1"/>
  <c r="ST71" i="1" s="1"/>
  <c r="SO71" i="1" a="1"/>
  <c r="SO71" i="1" s="1"/>
  <c r="AKC71" i="1" a="1"/>
  <c r="AKC71" i="1" s="1"/>
  <c r="AJY71" i="1" a="1"/>
  <c r="AJY71" i="1" s="1"/>
  <c r="AJU71" i="1" a="1"/>
  <c r="AJU71" i="1" s="1"/>
  <c r="AJQ71" i="1" a="1"/>
  <c r="AJQ71" i="1" s="1"/>
  <c r="AJM71" i="1" a="1"/>
  <c r="AJM71" i="1" s="1"/>
  <c r="AJI71" i="1" a="1"/>
  <c r="AJI71" i="1" s="1"/>
  <c r="AJE71" i="1" a="1"/>
  <c r="AJE71" i="1" s="1"/>
  <c r="AJA71" i="1" a="1"/>
  <c r="AJA71" i="1" s="1"/>
  <c r="AIW71" i="1" a="1"/>
  <c r="AIW71" i="1" s="1"/>
  <c r="AIS71" i="1" a="1"/>
  <c r="AIS71" i="1" s="1"/>
  <c r="AIO71" i="1" a="1"/>
  <c r="AIO71" i="1" s="1"/>
  <c r="AIK71" i="1" a="1"/>
  <c r="AIK71" i="1" s="1"/>
  <c r="AIG71" i="1" a="1"/>
  <c r="AIG71" i="1" s="1"/>
  <c r="AIB71" i="1" a="1"/>
  <c r="AIB71" i="1" s="1"/>
  <c r="US71" i="1" a="1"/>
  <c r="US71" i="1" s="1"/>
  <c r="UN71" i="1" a="1"/>
  <c r="UN71" i="1" s="1"/>
  <c r="UK71" i="1" a="1"/>
  <c r="UK71" i="1" s="1"/>
  <c r="UF71" i="1" a="1"/>
  <c r="UF71" i="1" s="1"/>
  <c r="UC71" i="1" a="1"/>
  <c r="UC71" i="1" s="1"/>
  <c r="TX71" i="1" a="1"/>
  <c r="TX71" i="1" s="1"/>
  <c r="TU71" i="1" a="1"/>
  <c r="TU71" i="1" s="1"/>
  <c r="TP71" i="1" a="1"/>
  <c r="TP71" i="1" s="1"/>
  <c r="TM71" i="1" a="1"/>
  <c r="TM71" i="1" s="1"/>
  <c r="TH71" i="1" a="1"/>
  <c r="TH71" i="1" s="1"/>
  <c r="TE71" i="1" a="1"/>
  <c r="TE71" i="1" s="1"/>
  <c r="SZ71" i="1" a="1"/>
  <c r="SZ71" i="1" s="1"/>
  <c r="SW71" i="1" a="1"/>
  <c r="SW71" i="1" s="1"/>
  <c r="SQ71" i="1" a="1"/>
  <c r="SQ71" i="1" s="1"/>
  <c r="AKB71" i="1" a="1"/>
  <c r="AKB71" i="1" s="1"/>
  <c r="AJX71" i="1" a="1"/>
  <c r="AJX71" i="1" s="1"/>
  <c r="AJT71" i="1" a="1"/>
  <c r="AJT71" i="1" s="1"/>
  <c r="AJP71" i="1" a="1"/>
  <c r="AJP71" i="1" s="1"/>
  <c r="AJL71" i="1" a="1"/>
  <c r="AJL71" i="1" s="1"/>
  <c r="AJH71" i="1" a="1"/>
  <c r="AJH71" i="1" s="1"/>
  <c r="AJD71" i="1" a="1"/>
  <c r="AJD71" i="1" s="1"/>
  <c r="AIZ71" i="1" a="1"/>
  <c r="AIZ71" i="1" s="1"/>
  <c r="AIV71" i="1" a="1"/>
  <c r="AIV71" i="1" s="1"/>
  <c r="AIR71" i="1" a="1"/>
  <c r="AIR71" i="1" s="1"/>
  <c r="AIN71" i="1" a="1"/>
  <c r="AIN71" i="1" s="1"/>
  <c r="AIJ71" i="1" a="1"/>
  <c r="AIJ71" i="1" s="1"/>
  <c r="AIE71" i="1" a="1"/>
  <c r="AIE71" i="1" s="1"/>
  <c r="AIA71" i="1" a="1"/>
  <c r="AIA71" i="1" s="1"/>
  <c r="UP71" i="1" a="1"/>
  <c r="UP71" i="1" s="1"/>
  <c r="UM71" i="1" a="1"/>
  <c r="UM71" i="1" s="1"/>
  <c r="UH71" i="1" a="1"/>
  <c r="UH71" i="1" s="1"/>
  <c r="UE71" i="1" a="1"/>
  <c r="UE71" i="1" s="1"/>
  <c r="TZ71" i="1" a="1"/>
  <c r="TZ71" i="1" s="1"/>
  <c r="TW71" i="1" a="1"/>
  <c r="TW71" i="1" s="1"/>
  <c r="TR71" i="1" a="1"/>
  <c r="TR71" i="1" s="1"/>
  <c r="TO71" i="1" a="1"/>
  <c r="TO71" i="1" s="1"/>
  <c r="TJ71" i="1" a="1"/>
  <c r="TJ71" i="1" s="1"/>
  <c r="TG71" i="1" a="1"/>
  <c r="TG71" i="1" s="1"/>
  <c r="TB71" i="1" a="1"/>
  <c r="TB71" i="1" s="1"/>
  <c r="SY71" i="1" a="1"/>
  <c r="SY71" i="1" s="1"/>
  <c r="SS71" i="1" a="1"/>
  <c r="SS71" i="1" s="1"/>
  <c r="SP71" i="1" a="1"/>
  <c r="SP71" i="1" s="1"/>
  <c r="XZ71" i="1"/>
  <c r="SM71" i="1"/>
  <c r="SI71" i="1"/>
  <c r="YO71" i="1" s="1" a="1"/>
  <c r="YO71" i="1" s="1"/>
  <c r="YP71" i="1" s="1"/>
  <c r="YQ71" i="1"/>
  <c r="SJ71" i="1"/>
  <c r="SL71" i="1"/>
  <c r="SK71" i="1"/>
  <c r="VL71" i="1" a="1"/>
  <c r="VL71" i="1" s="1"/>
  <c r="AKV71" i="1" a="1"/>
  <c r="AKV71" i="1" s="1"/>
  <c r="VO71" i="1" a="1"/>
  <c r="VO71" i="1" s="1"/>
  <c r="AKS71" i="1" a="1"/>
  <c r="AKS71" i="1" s="1"/>
  <c r="IM71" i="1" a="1"/>
  <c r="IM71" i="1" s="1"/>
  <c r="AM71" i="1" s="1"/>
  <c r="HH63" i="1" a="1"/>
  <c r="HH63" i="1" s="1"/>
  <c r="ADC62" i="1" a="1"/>
  <c r="ADC62" i="1" s="1"/>
  <c r="AR63" i="1" a="1"/>
  <c r="AR63" i="1" s="1"/>
  <c r="AQ63" i="1" a="1"/>
  <c r="AQ63" i="1" s="1"/>
  <c r="VN63" i="1" a="1"/>
  <c r="VN63" i="1" s="1"/>
  <c r="AP63" i="1" a="1"/>
  <c r="AP63" i="1" s="1"/>
  <c r="HK63" i="1" a="1"/>
  <c r="HK63" i="1" s="1"/>
  <c r="VM63" i="1" a="1"/>
  <c r="VM63" i="1" s="1"/>
  <c r="ACZ63" i="1" a="1"/>
  <c r="ACZ63" i="1" s="1"/>
  <c r="ADP63" i="1" a="1"/>
  <c r="ADP63" i="1" s="1"/>
  <c r="NN63" i="1" a="1"/>
  <c r="NN63" i="1" s="1"/>
  <c r="NV63" i="1" a="1"/>
  <c r="NV63" i="1" s="1"/>
  <c r="OD63" i="1" a="1"/>
  <c r="OD63" i="1" s="1"/>
  <c r="VP63" i="1" a="1"/>
  <c r="VP63" i="1" s="1"/>
  <c r="ADA63" i="1" a="1"/>
  <c r="ADA63" i="1" s="1"/>
  <c r="AGU63" i="1" s="1"/>
  <c r="ADG63" i="1" a="1"/>
  <c r="ADG63" i="1" s="1"/>
  <c r="NM63" i="1" a="1"/>
  <c r="NM63" i="1" s="1"/>
  <c r="NU63" i="1" a="1"/>
  <c r="NU63" i="1" s="1"/>
  <c r="OC63" i="1" a="1"/>
  <c r="OC63" i="1" s="1"/>
  <c r="VO63" i="1" a="1"/>
  <c r="VO63" i="1" s="1"/>
  <c r="ACW63" i="1" a="1"/>
  <c r="ACW63" i="1" s="1"/>
  <c r="ADM63" i="1" a="1"/>
  <c r="ADM63" i="1" s="1"/>
  <c r="AKW63" i="1" a="1"/>
  <c r="AKW63" i="1" s="1"/>
  <c r="AKU63" i="1" a="1"/>
  <c r="AKU63" i="1" s="1"/>
  <c r="AKL63" i="1" a="1"/>
  <c r="AKL63" i="1" s="1"/>
  <c r="AKT63" i="1" a="1"/>
  <c r="AKT63" i="1" s="1"/>
  <c r="ALB63" i="1" a="1"/>
  <c r="ALB63" i="1" s="1"/>
  <c r="ADB62" i="1" a="1"/>
  <c r="ADB62" i="1" s="1"/>
  <c r="VQ63" i="1" a="1"/>
  <c r="VQ63" i="1" s="1"/>
  <c r="ADG62" i="1" a="1"/>
  <c r="ADG62" i="1" s="1"/>
  <c r="IF63" i="1" a="1"/>
  <c r="IF63" i="1" s="1"/>
  <c r="AF63" i="1" s="1"/>
  <c r="ADF60" i="1" a="1"/>
  <c r="ADF60" i="1" s="1"/>
  <c r="NT60" i="1" a="1"/>
  <c r="NT60" i="1" s="1"/>
  <c r="IV60" i="1"/>
  <c r="IN63" i="1" a="1"/>
  <c r="IN63" i="1" s="1"/>
  <c r="BA63" i="1" s="1"/>
  <c r="BV63" i="1" s="1"/>
  <c r="ACX62" i="1" a="1"/>
  <c r="ACX62" i="1" s="1"/>
  <c r="FU62" i="1"/>
  <c r="BT62" i="1"/>
  <c r="FP62" i="1"/>
  <c r="BO62" i="1"/>
  <c r="NY61" i="1" a="1"/>
  <c r="NY61" i="1" s="1"/>
  <c r="IH61" i="1" a="1"/>
  <c r="IH61" i="1" s="1"/>
  <c r="AH61" i="1" s="1"/>
  <c r="ADC60" i="1" a="1"/>
  <c r="ADC60" i="1" s="1"/>
  <c r="NV60" i="1" a="1"/>
  <c r="NV60" i="1" s="1"/>
  <c r="HF60" i="1" a="1"/>
  <c r="HF60" i="1" s="1"/>
  <c r="IY60" i="1"/>
  <c r="SH62" i="1"/>
  <c r="OA61" i="1" a="1"/>
  <c r="OA61" i="1" s="1"/>
  <c r="NK61" i="1" a="1"/>
  <c r="NK61" i="1" s="1"/>
  <c r="IR61" i="1" a="1"/>
  <c r="IR61" i="1" s="1"/>
  <c r="AU61" i="1" s="1"/>
  <c r="HV61" i="1"/>
  <c r="ACY61" i="1" a="1"/>
  <c r="ACY61" i="1" s="1"/>
  <c r="ADG61" i="1" a="1"/>
  <c r="ADG61" i="1" s="1"/>
  <c r="ADO61" i="1" a="1"/>
  <c r="ADO61" i="1" s="1"/>
  <c r="HW61" i="1"/>
  <c r="ACX61" i="1" a="1"/>
  <c r="ACX61" i="1" s="1"/>
  <c r="ADF61" i="1" a="1"/>
  <c r="ADF61" i="1" s="1"/>
  <c r="ADN61" i="1" a="1"/>
  <c r="ADN61" i="1" s="1"/>
  <c r="ADM60" i="1" a="1"/>
  <c r="ADM60" i="1" s="1"/>
  <c r="ACW60" i="1" a="1"/>
  <c r="ACW60" i="1" s="1"/>
  <c r="OF60" i="1" a="1"/>
  <c r="OF60" i="1" s="1"/>
  <c r="NP60" i="1" a="1"/>
  <c r="NP60" i="1" s="1"/>
  <c r="IX60" i="1"/>
  <c r="IQ63" i="1" a="1"/>
  <c r="IQ63" i="1" s="1"/>
  <c r="AT63" i="1" s="1"/>
  <c r="IR63" i="1" a="1"/>
  <c r="IR63" i="1" s="1"/>
  <c r="AU63" i="1" s="1"/>
  <c r="ADL60" i="1" a="1"/>
  <c r="ADL60" i="1" s="1"/>
  <c r="ACV60" i="1" a="1"/>
  <c r="ACV60" i="1" s="1"/>
  <c r="OC60" i="1" a="1"/>
  <c r="OC60" i="1" s="1"/>
  <c r="NM60" i="1" a="1"/>
  <c r="NM60" i="1" s="1"/>
  <c r="II60" i="1" a="1"/>
  <c r="II60" i="1" s="1"/>
  <c r="AI60" i="1" s="1"/>
  <c r="IL60" i="1" a="1"/>
  <c r="IL60" i="1" s="1"/>
  <c r="AL60" i="1" s="1"/>
  <c r="IR60" i="1" a="1"/>
  <c r="IR60" i="1" s="1"/>
  <c r="AU60" i="1" s="1"/>
  <c r="ADN58" i="1" a="1"/>
  <c r="ADN58" i="1" s="1"/>
  <c r="ACX58" i="1" a="1"/>
  <c r="ACX58" i="1" s="1"/>
  <c r="IL58" i="1" a="1"/>
  <c r="IL58" i="1" s="1"/>
  <c r="AL58" i="1" s="1"/>
  <c r="ADM57" i="1" a="1"/>
  <c r="ADM57" i="1" s="1"/>
  <c r="ACW57" i="1" a="1"/>
  <c r="ACW57" i="1" s="1"/>
  <c r="OA57" i="1" a="1"/>
  <c r="OA57" i="1" s="1"/>
  <c r="NK57" i="1" a="1"/>
  <c r="NK57" i="1" s="1"/>
  <c r="HV57" i="1"/>
  <c r="ADA58" i="1" a="1"/>
  <c r="ADA58" i="1" s="1"/>
  <c r="AGU58" i="1" s="1"/>
  <c r="OA58" i="1" a="1"/>
  <c r="OA58" i="1" s="1"/>
  <c r="NK58" i="1" a="1"/>
  <c r="NK58" i="1" s="1"/>
  <c r="IO58" i="1" a="1"/>
  <c r="IO58" i="1" s="1"/>
  <c r="HP58" i="1"/>
  <c r="HH58" i="1" a="1"/>
  <c r="HH58" i="1" s="1"/>
  <c r="ADJ57" i="1" a="1"/>
  <c r="ADJ57" i="1" s="1"/>
  <c r="ACT57" i="1" a="1"/>
  <c r="ACT57" i="1" s="1"/>
  <c r="NU57" i="1" a="1"/>
  <c r="NU57" i="1" s="1"/>
  <c r="ADP58" i="1" a="1"/>
  <c r="ADP58" i="1" s="1"/>
  <c r="ACZ58" i="1" a="1"/>
  <c r="ACZ58" i="1" s="1"/>
  <c r="IF58" i="1" a="1"/>
  <c r="IF58" i="1" s="1"/>
  <c r="AF58" i="1" s="1"/>
  <c r="ADA57" i="1" a="1"/>
  <c r="ADA57" i="1" s="1"/>
  <c r="AGU57" i="1" s="1"/>
  <c r="OE57" i="1" a="1"/>
  <c r="OE57" i="1" s="1"/>
  <c r="HV55" i="1"/>
  <c r="NU59" i="1" a="1"/>
  <c r="NU59" i="1" s="1"/>
  <c r="HM59" i="1" a="1"/>
  <c r="HM59" i="1" s="1"/>
  <c r="ADA59" i="1" a="1"/>
  <c r="ADA59" i="1" s="1"/>
  <c r="AGU59" i="1" s="1"/>
  <c r="ADI59" i="1" a="1"/>
  <c r="ADI59" i="1" s="1"/>
  <c r="IW59" i="1"/>
  <c r="NN59" i="1" a="1"/>
  <c r="NN59" i="1" s="1"/>
  <c r="NV59" i="1" a="1"/>
  <c r="NV59" i="1" s="1"/>
  <c r="OD59" i="1" a="1"/>
  <c r="OD59" i="1" s="1"/>
  <c r="ACX59" i="1" a="1"/>
  <c r="ACX59" i="1" s="1"/>
  <c r="ADF59" i="1" a="1"/>
  <c r="ADF59" i="1" s="1"/>
  <c r="ADN59" i="1" a="1"/>
  <c r="ADN59" i="1" s="1"/>
  <c r="IM58" i="1" a="1"/>
  <c r="IM58" i="1" s="1"/>
  <c r="AM58" i="1" s="1"/>
  <c r="IF57" i="1" a="1"/>
  <c r="IF57" i="1" s="1"/>
  <c r="AF57" i="1" s="1"/>
  <c r="IL57" i="1" a="1"/>
  <c r="IL57" i="1" s="1"/>
  <c r="AL57" i="1" s="1"/>
  <c r="IO57" i="1" a="1"/>
  <c r="IO57" i="1" s="1"/>
  <c r="HG56" i="1" a="1"/>
  <c r="HG56" i="1" s="1"/>
  <c r="ACT56" i="1" a="1"/>
  <c r="ACT56" i="1" s="1"/>
  <c r="HF56" i="1" a="1"/>
  <c r="HF56" i="1" s="1"/>
  <c r="HO56" i="1" s="1"/>
  <c r="HQ56" i="1" s="1"/>
  <c r="HR56" i="1" s="1"/>
  <c r="IY56" i="1"/>
  <c r="IP56" i="1" a="1"/>
  <c r="IP56" i="1" s="1"/>
  <c r="AP56" i="1" s="1" a="1"/>
  <c r="AP56" i="1" s="1"/>
  <c r="IQ56" i="1" a="1"/>
  <c r="IQ56" i="1" s="1"/>
  <c r="AT56" i="1" s="1"/>
  <c r="AKA56" i="1" a="1"/>
  <c r="AKA56" i="1" s="1"/>
  <c r="AJX56" i="1" a="1"/>
  <c r="AJX56" i="1" s="1"/>
  <c r="AJS56" i="1" a="1"/>
  <c r="AJS56" i="1" s="1"/>
  <c r="AJP56" i="1" a="1"/>
  <c r="AJP56" i="1" s="1"/>
  <c r="AJK56" i="1" a="1"/>
  <c r="AJK56" i="1" s="1"/>
  <c r="AJH56" i="1" a="1"/>
  <c r="AJH56" i="1" s="1"/>
  <c r="AJC56" i="1" a="1"/>
  <c r="AJC56" i="1" s="1"/>
  <c r="AIZ56" i="1" a="1"/>
  <c r="AIZ56" i="1" s="1"/>
  <c r="AIU56" i="1" a="1"/>
  <c r="AIU56" i="1" s="1"/>
  <c r="AIR56" i="1" a="1"/>
  <c r="AIR56" i="1" s="1"/>
  <c r="AIM56" i="1" a="1"/>
  <c r="AIM56" i="1" s="1"/>
  <c r="AIJ56" i="1" a="1"/>
  <c r="AIJ56" i="1" s="1"/>
  <c r="UO56" i="1" a="1"/>
  <c r="UO56" i="1" s="1"/>
  <c r="UL56" i="1" a="1"/>
  <c r="UL56" i="1" s="1"/>
  <c r="UG56" i="1" a="1"/>
  <c r="UG56" i="1" s="1"/>
  <c r="UD56" i="1" a="1"/>
  <c r="UD56" i="1" s="1"/>
  <c r="TY56" i="1" a="1"/>
  <c r="TY56" i="1" s="1"/>
  <c r="TV56" i="1" a="1"/>
  <c r="TV56" i="1" s="1"/>
  <c r="TQ56" i="1" a="1"/>
  <c r="TQ56" i="1" s="1"/>
  <c r="TN56" i="1" a="1"/>
  <c r="TN56" i="1" s="1"/>
  <c r="TI56" i="1" a="1"/>
  <c r="TI56" i="1" s="1"/>
  <c r="TF56" i="1" a="1"/>
  <c r="TF56" i="1" s="1"/>
  <c r="TA56" i="1" a="1"/>
  <c r="TA56" i="1" s="1"/>
  <c r="SX56" i="1" a="1"/>
  <c r="SX56" i="1" s="1"/>
  <c r="AKC56" i="1" a="1"/>
  <c r="AKC56" i="1" s="1"/>
  <c r="AJZ56" i="1" a="1"/>
  <c r="AJZ56" i="1" s="1"/>
  <c r="AJU56" i="1" a="1"/>
  <c r="AJU56" i="1" s="1"/>
  <c r="AJR56" i="1" a="1"/>
  <c r="AJR56" i="1" s="1"/>
  <c r="AJM56" i="1" a="1"/>
  <c r="AJM56" i="1" s="1"/>
  <c r="AJJ56" i="1" a="1"/>
  <c r="AJJ56" i="1" s="1"/>
  <c r="AJE56" i="1" a="1"/>
  <c r="AJE56" i="1" s="1"/>
  <c r="AJB56" i="1" a="1"/>
  <c r="AJB56" i="1" s="1"/>
  <c r="AIW56" i="1" a="1"/>
  <c r="AIW56" i="1" s="1"/>
  <c r="AIT56" i="1" a="1"/>
  <c r="AIT56" i="1" s="1"/>
  <c r="AIO56" i="1" a="1"/>
  <c r="AIO56" i="1" s="1"/>
  <c r="AIL56" i="1" a="1"/>
  <c r="AIL56" i="1" s="1"/>
  <c r="AIG56" i="1" a="1"/>
  <c r="AIG56" i="1" s="1"/>
  <c r="UQ56" i="1" a="1"/>
  <c r="UQ56" i="1" s="1"/>
  <c r="UN56" i="1" a="1"/>
  <c r="UN56" i="1" s="1"/>
  <c r="UI56" i="1" a="1"/>
  <c r="UI56" i="1" s="1"/>
  <c r="UF56" i="1" a="1"/>
  <c r="UF56" i="1" s="1"/>
  <c r="UA56" i="1" a="1"/>
  <c r="UA56" i="1" s="1"/>
  <c r="TX56" i="1" a="1"/>
  <c r="TX56" i="1" s="1"/>
  <c r="TS56" i="1" a="1"/>
  <c r="TS56" i="1" s="1"/>
  <c r="TP56" i="1" a="1"/>
  <c r="TP56" i="1" s="1"/>
  <c r="TK56" i="1" a="1"/>
  <c r="TK56" i="1" s="1"/>
  <c r="TH56" i="1" a="1"/>
  <c r="TH56" i="1" s="1"/>
  <c r="TC56" i="1" a="1"/>
  <c r="TC56" i="1" s="1"/>
  <c r="SZ56" i="1" a="1"/>
  <c r="SZ56" i="1" s="1"/>
  <c r="AKB56" i="1" a="1"/>
  <c r="AKB56" i="1" s="1"/>
  <c r="AJW56" i="1" a="1"/>
  <c r="AJW56" i="1" s="1"/>
  <c r="AJT56" i="1" a="1"/>
  <c r="AJT56" i="1" s="1"/>
  <c r="AJO56" i="1" a="1"/>
  <c r="AJO56" i="1" s="1"/>
  <c r="AJL56" i="1" a="1"/>
  <c r="AJL56" i="1" s="1"/>
  <c r="AJG56" i="1" a="1"/>
  <c r="AJG56" i="1" s="1"/>
  <c r="AJD56" i="1" a="1"/>
  <c r="AJD56" i="1" s="1"/>
  <c r="AIY56" i="1" a="1"/>
  <c r="AIY56" i="1" s="1"/>
  <c r="AIV56" i="1" a="1"/>
  <c r="AIV56" i="1" s="1"/>
  <c r="AIQ56" i="1" a="1"/>
  <c r="AIQ56" i="1" s="1"/>
  <c r="AIN56" i="1" a="1"/>
  <c r="AIN56" i="1" s="1"/>
  <c r="AII56" i="1" a="1"/>
  <c r="AII56" i="1" s="1"/>
  <c r="US56" i="1" a="1"/>
  <c r="US56" i="1" s="1"/>
  <c r="UP56" i="1" a="1"/>
  <c r="UP56" i="1" s="1"/>
  <c r="UK56" i="1" a="1"/>
  <c r="UK56" i="1" s="1"/>
  <c r="UH56" i="1" a="1"/>
  <c r="UH56" i="1" s="1"/>
  <c r="UC56" i="1" a="1"/>
  <c r="UC56" i="1" s="1"/>
  <c r="TZ56" i="1" a="1"/>
  <c r="TZ56" i="1" s="1"/>
  <c r="TU56" i="1" a="1"/>
  <c r="TU56" i="1" s="1"/>
  <c r="TR56" i="1" a="1"/>
  <c r="TR56" i="1" s="1"/>
  <c r="TM56" i="1" a="1"/>
  <c r="TM56" i="1" s="1"/>
  <c r="TJ56" i="1" a="1"/>
  <c r="TJ56" i="1" s="1"/>
  <c r="TE56" i="1" a="1"/>
  <c r="TE56" i="1" s="1"/>
  <c r="TB56" i="1" a="1"/>
  <c r="TB56" i="1" s="1"/>
  <c r="SW56" i="1" a="1"/>
  <c r="SW56" i="1" s="1"/>
  <c r="AJY56" i="1" a="1"/>
  <c r="AJY56" i="1" s="1"/>
  <c r="AJN56" i="1" a="1"/>
  <c r="AJN56" i="1" s="1"/>
  <c r="AIS56" i="1" a="1"/>
  <c r="AIS56" i="1" s="1"/>
  <c r="AIH56" i="1" a="1"/>
  <c r="AIH56" i="1" s="1"/>
  <c r="UJ56" i="1" a="1"/>
  <c r="UJ56" i="1" s="1"/>
  <c r="TO56" i="1" a="1"/>
  <c r="TO56" i="1" s="1"/>
  <c r="TD56" i="1" a="1"/>
  <c r="TD56" i="1" s="1"/>
  <c r="AJV56" i="1" a="1"/>
  <c r="AJV56" i="1" s="1"/>
  <c r="AJA56" i="1" a="1"/>
  <c r="AJA56" i="1" s="1"/>
  <c r="AIP56" i="1" a="1"/>
  <c r="AIP56" i="1" s="1"/>
  <c r="UR56" i="1" a="1"/>
  <c r="UR56" i="1" s="1"/>
  <c r="TW56" i="1" a="1"/>
  <c r="TW56" i="1" s="1"/>
  <c r="TL56" i="1" a="1"/>
  <c r="TL56" i="1" s="1"/>
  <c r="AJI56" i="1" a="1"/>
  <c r="AJI56" i="1" s="1"/>
  <c r="AIX56" i="1" a="1"/>
  <c r="AIX56" i="1" s="1"/>
  <c r="AIB56" i="1" a="1"/>
  <c r="AIB56" i="1" s="1"/>
  <c r="UE56" i="1" a="1"/>
  <c r="UE56" i="1" s="1"/>
  <c r="TT56" i="1" a="1"/>
  <c r="TT56" i="1" s="1"/>
  <c r="SY56" i="1" a="1"/>
  <c r="SY56" i="1" s="1"/>
  <c r="AKY56" i="1" a="1"/>
  <c r="AKY56" i="1" s="1"/>
  <c r="AKN56" i="1" a="1"/>
  <c r="AKN56" i="1" s="1"/>
  <c r="AJQ56" i="1" a="1"/>
  <c r="AJQ56" i="1" s="1"/>
  <c r="AJF56" i="1" a="1"/>
  <c r="AJF56" i="1" s="1"/>
  <c r="AIK56" i="1" a="1"/>
  <c r="AIK56" i="1" s="1"/>
  <c r="AHY56" i="1" a="1"/>
  <c r="AHY56" i="1" s="1"/>
  <c r="VU56" i="1" a="1"/>
  <c r="VU56" i="1" s="1"/>
  <c r="VJ56" i="1" a="1"/>
  <c r="VJ56" i="1" s="1"/>
  <c r="UM56" i="1" a="1"/>
  <c r="UM56" i="1" s="1"/>
  <c r="UB56" i="1" a="1"/>
  <c r="UB56" i="1" s="1"/>
  <c r="TG56" i="1" a="1"/>
  <c r="TG56" i="1" s="1"/>
  <c r="SU56" i="1" a="1"/>
  <c r="SU56" i="1" s="1"/>
  <c r="IV26" i="1"/>
  <c r="HV26" i="1" s="1"/>
  <c r="IM59" i="1" a="1"/>
  <c r="IM59" i="1" s="1"/>
  <c r="AM59" i="1" s="1"/>
  <c r="IH59" i="1" a="1"/>
  <c r="IH59" i="1" s="1"/>
  <c r="AH59" i="1" s="1"/>
  <c r="IP59" i="1" a="1"/>
  <c r="IP59" i="1" s="1"/>
  <c r="IO55" i="1" a="1"/>
  <c r="IO55" i="1" s="1"/>
  <c r="IN55" i="1" a="1"/>
  <c r="IN55" i="1" s="1"/>
  <c r="BA55" i="1" s="1"/>
  <c r="BV55" i="1" s="1"/>
  <c r="IM26" i="1" a="1"/>
  <c r="IM26" i="1" s="1"/>
  <c r="AM26" i="1" s="1"/>
  <c r="IH26" i="1" a="1"/>
  <c r="IH26" i="1" s="1"/>
  <c r="AH26" i="1" s="1"/>
  <c r="IP26" i="1" a="1"/>
  <c r="IP26" i="1" s="1"/>
  <c r="ACW23" i="1" a="1"/>
  <c r="ACW23" i="1" s="1"/>
  <c r="ADE23" i="1" a="1"/>
  <c r="ADE23" i="1" s="1"/>
  <c r="ADM23" i="1" a="1"/>
  <c r="ADM23" i="1" s="1"/>
  <c r="AAD23" i="1"/>
  <c r="AHH23" i="1" s="1"/>
  <c r="AGJ23" i="1"/>
  <c r="AAC23" i="1"/>
  <c r="AFS23" i="1"/>
  <c r="AAF23" i="1"/>
  <c r="AAB23" i="1"/>
  <c r="AGH23" i="1" s="1" a="1"/>
  <c r="AGH23" i="1" s="1"/>
  <c r="AGI23" i="1" s="1"/>
  <c r="AAE23" i="1"/>
  <c r="OF23" i="1" a="1"/>
  <c r="OF23" i="1" s="1"/>
  <c r="AN22" i="1"/>
  <c r="AO22" i="1" s="1" a="1"/>
  <c r="AO22" i="1" s="1"/>
  <c r="AJZ55" i="1" a="1"/>
  <c r="AJZ55" i="1" s="1"/>
  <c r="AJW55" i="1" a="1"/>
  <c r="AJW55" i="1" s="1"/>
  <c r="AJR55" i="1" a="1"/>
  <c r="AJR55" i="1" s="1"/>
  <c r="AJO55" i="1" a="1"/>
  <c r="AJO55" i="1" s="1"/>
  <c r="AJJ55" i="1" a="1"/>
  <c r="AJJ55" i="1" s="1"/>
  <c r="AJG55" i="1" a="1"/>
  <c r="AJG55" i="1" s="1"/>
  <c r="AJB55" i="1" a="1"/>
  <c r="AJB55" i="1" s="1"/>
  <c r="AIY55" i="1" a="1"/>
  <c r="AIY55" i="1" s="1"/>
  <c r="AIT55" i="1" a="1"/>
  <c r="AIT55" i="1" s="1"/>
  <c r="AIQ55" i="1" a="1"/>
  <c r="AIQ55" i="1" s="1"/>
  <c r="AIL55" i="1" a="1"/>
  <c r="AIL55" i="1" s="1"/>
  <c r="AII55" i="1" a="1"/>
  <c r="AII55" i="1" s="1"/>
  <c r="US55" i="1" a="1"/>
  <c r="US55" i="1" s="1"/>
  <c r="UN55" i="1" a="1"/>
  <c r="UN55" i="1" s="1"/>
  <c r="UK55" i="1" a="1"/>
  <c r="UK55" i="1" s="1"/>
  <c r="UF55" i="1" a="1"/>
  <c r="UF55" i="1" s="1"/>
  <c r="UC55" i="1" a="1"/>
  <c r="UC55" i="1" s="1"/>
  <c r="TX55" i="1" a="1"/>
  <c r="TX55" i="1" s="1"/>
  <c r="TU55" i="1" a="1"/>
  <c r="TU55" i="1" s="1"/>
  <c r="TP55" i="1" a="1"/>
  <c r="TP55" i="1" s="1"/>
  <c r="TM55" i="1" a="1"/>
  <c r="TM55" i="1" s="1"/>
  <c r="TH55" i="1" a="1"/>
  <c r="TH55" i="1" s="1"/>
  <c r="TE55" i="1" a="1"/>
  <c r="TE55" i="1" s="1"/>
  <c r="SZ55" i="1" a="1"/>
  <c r="SZ55" i="1" s="1"/>
  <c r="SW55" i="1" a="1"/>
  <c r="SW55" i="1" s="1"/>
  <c r="AKB55" i="1" a="1"/>
  <c r="AKB55" i="1" s="1"/>
  <c r="AJY55" i="1" a="1"/>
  <c r="AJY55" i="1" s="1"/>
  <c r="AJT55" i="1" a="1"/>
  <c r="AJT55" i="1" s="1"/>
  <c r="AJQ55" i="1" a="1"/>
  <c r="AJQ55" i="1" s="1"/>
  <c r="AJL55" i="1" a="1"/>
  <c r="AJL55" i="1" s="1"/>
  <c r="AJI55" i="1" a="1"/>
  <c r="AJI55" i="1" s="1"/>
  <c r="AJD55" i="1" a="1"/>
  <c r="AJD55" i="1" s="1"/>
  <c r="AJA55" i="1" a="1"/>
  <c r="AJA55" i="1" s="1"/>
  <c r="AIV55" i="1" a="1"/>
  <c r="AIV55" i="1" s="1"/>
  <c r="AIS55" i="1" a="1"/>
  <c r="AIS55" i="1" s="1"/>
  <c r="AIN55" i="1" a="1"/>
  <c r="AIN55" i="1" s="1"/>
  <c r="AIK55" i="1" a="1"/>
  <c r="AIK55" i="1" s="1"/>
  <c r="UP55" i="1" a="1"/>
  <c r="UP55" i="1" s="1"/>
  <c r="UM55" i="1" a="1"/>
  <c r="UM55" i="1" s="1"/>
  <c r="UH55" i="1" a="1"/>
  <c r="UH55" i="1" s="1"/>
  <c r="UE55" i="1" a="1"/>
  <c r="UE55" i="1" s="1"/>
  <c r="TZ55" i="1" a="1"/>
  <c r="TZ55" i="1" s="1"/>
  <c r="TW55" i="1" a="1"/>
  <c r="TW55" i="1" s="1"/>
  <c r="TR55" i="1" a="1"/>
  <c r="TR55" i="1" s="1"/>
  <c r="TO55" i="1" a="1"/>
  <c r="TO55" i="1" s="1"/>
  <c r="TJ55" i="1" a="1"/>
  <c r="TJ55" i="1" s="1"/>
  <c r="TG55" i="1" a="1"/>
  <c r="TG55" i="1" s="1"/>
  <c r="TB55" i="1" a="1"/>
  <c r="TB55" i="1" s="1"/>
  <c r="SY55" i="1" a="1"/>
  <c r="SY55" i="1" s="1"/>
  <c r="AKA55" i="1" a="1"/>
  <c r="AKA55" i="1" s="1"/>
  <c r="AJV55" i="1" a="1"/>
  <c r="AJV55" i="1" s="1"/>
  <c r="AJS55" i="1" a="1"/>
  <c r="AJS55" i="1" s="1"/>
  <c r="AJN55" i="1" a="1"/>
  <c r="AJN55" i="1" s="1"/>
  <c r="AJK55" i="1" a="1"/>
  <c r="AJK55" i="1" s="1"/>
  <c r="AJF55" i="1" a="1"/>
  <c r="AJF55" i="1" s="1"/>
  <c r="AJC55" i="1" a="1"/>
  <c r="AJC55" i="1" s="1"/>
  <c r="AIX55" i="1" a="1"/>
  <c r="AIX55" i="1" s="1"/>
  <c r="AIU55" i="1" a="1"/>
  <c r="AIU55" i="1" s="1"/>
  <c r="AIP55" i="1" a="1"/>
  <c r="AIP55" i="1" s="1"/>
  <c r="AIM55" i="1" a="1"/>
  <c r="AIM55" i="1" s="1"/>
  <c r="AIH55" i="1" a="1"/>
  <c r="AIH55" i="1" s="1"/>
  <c r="UR55" i="1" a="1"/>
  <c r="UR55" i="1" s="1"/>
  <c r="UO55" i="1" a="1"/>
  <c r="UO55" i="1" s="1"/>
  <c r="UJ55" i="1" a="1"/>
  <c r="UJ55" i="1" s="1"/>
  <c r="UG55" i="1" a="1"/>
  <c r="UG55" i="1" s="1"/>
  <c r="UB55" i="1" a="1"/>
  <c r="UB55" i="1" s="1"/>
  <c r="TY55" i="1" a="1"/>
  <c r="TY55" i="1" s="1"/>
  <c r="TT55" i="1" a="1"/>
  <c r="TT55" i="1" s="1"/>
  <c r="TQ55" i="1" a="1"/>
  <c r="TQ55" i="1" s="1"/>
  <c r="TL55" i="1" a="1"/>
  <c r="TL55" i="1" s="1"/>
  <c r="TI55" i="1" a="1"/>
  <c r="TI55" i="1" s="1"/>
  <c r="TD55" i="1" a="1"/>
  <c r="TD55" i="1" s="1"/>
  <c r="TA55" i="1" a="1"/>
  <c r="TA55" i="1" s="1"/>
  <c r="AJU55" i="1" a="1"/>
  <c r="AJU55" i="1" s="1"/>
  <c r="AIZ55" i="1" a="1"/>
  <c r="AIZ55" i="1" s="1"/>
  <c r="AIO55" i="1" a="1"/>
  <c r="AIO55" i="1" s="1"/>
  <c r="UQ55" i="1" a="1"/>
  <c r="UQ55" i="1" s="1"/>
  <c r="TV55" i="1" a="1"/>
  <c r="TV55" i="1" s="1"/>
  <c r="TK55" i="1" a="1"/>
  <c r="TK55" i="1" s="1"/>
  <c r="SO55" i="1" a="1"/>
  <c r="SO55" i="1" s="1"/>
  <c r="AKC55" i="1" a="1"/>
  <c r="AKC55" i="1" s="1"/>
  <c r="AJH55" i="1" a="1"/>
  <c r="AJH55" i="1" s="1"/>
  <c r="AIW55" i="1" a="1"/>
  <c r="AIW55" i="1" s="1"/>
  <c r="AIA55" i="1" a="1"/>
  <c r="AIA55" i="1" s="1"/>
  <c r="UD55" i="1" a="1"/>
  <c r="UD55" i="1" s="1"/>
  <c r="TS55" i="1" a="1"/>
  <c r="TS55" i="1" s="1"/>
  <c r="SX55" i="1" a="1"/>
  <c r="SX55" i="1" s="1"/>
  <c r="AJP55" i="1" a="1"/>
  <c r="AJP55" i="1" s="1"/>
  <c r="AJE55" i="1" a="1"/>
  <c r="AJE55" i="1" s="1"/>
  <c r="AIJ55" i="1" a="1"/>
  <c r="AIJ55" i="1" s="1"/>
  <c r="UL55" i="1" a="1"/>
  <c r="UL55" i="1" s="1"/>
  <c r="UA55" i="1" a="1"/>
  <c r="UA55" i="1" s="1"/>
  <c r="TF55" i="1" a="1"/>
  <c r="TF55" i="1" s="1"/>
  <c r="ST55" i="1" a="1"/>
  <c r="ST55" i="1" s="1"/>
  <c r="AJX55" i="1" a="1"/>
  <c r="AJX55" i="1" s="1"/>
  <c r="AJM55" i="1" a="1"/>
  <c r="AJM55" i="1" s="1"/>
  <c r="AIR55" i="1" a="1"/>
  <c r="AIR55" i="1" s="1"/>
  <c r="AIG55" i="1" a="1"/>
  <c r="AIG55" i="1" s="1"/>
  <c r="UI55" i="1" a="1"/>
  <c r="UI55" i="1" s="1"/>
  <c r="TN55" i="1" a="1"/>
  <c r="TN55" i="1" s="1"/>
  <c r="TC55" i="1" a="1"/>
  <c r="TC55" i="1" s="1"/>
  <c r="NV23" i="1" a="1"/>
  <c r="NV23" i="1" s="1"/>
  <c r="BH20" i="1"/>
  <c r="K44" i="1" s="1"/>
  <c r="EN20" i="1" a="1"/>
  <c r="EN20" i="1" s="1"/>
  <c r="EI20" i="1" a="1"/>
  <c r="EI20" i="1" s="1"/>
  <c r="EF20" i="1" a="1"/>
  <c r="EF20" i="1" s="1"/>
  <c r="EK20" i="1" a="1"/>
  <c r="EK20" i="1" s="1"/>
  <c r="EH20" i="1" a="1"/>
  <c r="EH20" i="1" s="1"/>
  <c r="EM20" i="1" a="1"/>
  <c r="EM20" i="1" s="1"/>
  <c r="EJ20" i="1" a="1"/>
  <c r="EJ20" i="1" s="1"/>
  <c r="EL20" i="1" a="1"/>
  <c r="EL20" i="1" s="1"/>
  <c r="EG20" i="1" a="1"/>
  <c r="EG20" i="1" s="1"/>
  <c r="FV22" i="1"/>
  <c r="BU22" i="1"/>
  <c r="HV22" i="1"/>
  <c r="FU20" i="1"/>
  <c r="BT20" i="1"/>
  <c r="FO21" i="1"/>
  <c r="BN21" i="1"/>
  <c r="FP21" i="1"/>
  <c r="BO21" i="1"/>
  <c r="FU21" i="1"/>
  <c r="BT21" i="1"/>
  <c r="BF21" i="1"/>
  <c r="I45" i="1" s="1"/>
  <c r="BD21" i="1"/>
  <c r="G45" i="1" s="1"/>
  <c r="DD21" i="1" a="1"/>
  <c r="DD21" i="1" s="1"/>
  <c r="CZ21" i="1" a="1"/>
  <c r="CZ21" i="1" s="1"/>
  <c r="DC21" i="1" a="1"/>
  <c r="DC21" i="1" s="1"/>
  <c r="CY21" i="1" a="1"/>
  <c r="CY21" i="1" s="1"/>
  <c r="BE21" i="1"/>
  <c r="H45" i="1" s="1"/>
  <c r="DB21" i="1" a="1"/>
  <c r="DB21" i="1" s="1"/>
  <c r="CX21" i="1" a="1"/>
  <c r="CX21" i="1" s="1"/>
  <c r="DE21" i="1" a="1"/>
  <c r="DE21" i="1" s="1"/>
  <c r="DA21" i="1" a="1"/>
  <c r="DA21" i="1" s="1"/>
  <c r="CW21" i="1" a="1"/>
  <c r="CW21" i="1" s="1"/>
  <c r="BR19" i="1"/>
  <c r="FS19" i="1"/>
  <c r="EN19" i="1" a="1"/>
  <c r="EN19" i="1" s="1"/>
  <c r="EL19" i="1" a="1"/>
  <c r="EL19" i="1" s="1"/>
  <c r="EJ19" i="1" a="1"/>
  <c r="EJ19" i="1" s="1"/>
  <c r="EH19" i="1" a="1"/>
  <c r="EH19" i="1" s="1"/>
  <c r="EF19" i="1" a="1"/>
  <c r="EF19" i="1" s="1"/>
  <c r="BG19" i="1"/>
  <c r="J43" i="1" s="1"/>
  <c r="EM19" i="1" a="1"/>
  <c r="EM19" i="1" s="1"/>
  <c r="EK19" i="1" a="1"/>
  <c r="EK19" i="1" s="1"/>
  <c r="EI19" i="1" a="1"/>
  <c r="EI19" i="1" s="1"/>
  <c r="EG19" i="1" a="1"/>
  <c r="EG19" i="1" s="1"/>
  <c r="FV19" i="1"/>
  <c r="BU19" i="1"/>
  <c r="FQ18" i="1"/>
  <c r="BP18" i="1"/>
  <c r="BQ18" i="1"/>
  <c r="FR18" i="1"/>
  <c r="BF18" i="1"/>
  <c r="I42" i="1" s="1"/>
  <c r="BD18" i="1"/>
  <c r="G42" i="1" s="1"/>
  <c r="DD18" i="1" a="1"/>
  <c r="DD18" i="1" s="1"/>
  <c r="DB18" i="1" a="1"/>
  <c r="DB18" i="1" s="1"/>
  <c r="CZ18" i="1" a="1"/>
  <c r="CZ18" i="1" s="1"/>
  <c r="CX18" i="1" a="1"/>
  <c r="CX18" i="1" s="1"/>
  <c r="DA18" i="1" a="1"/>
  <c r="DA18" i="1" s="1"/>
  <c r="CY18" i="1" a="1"/>
  <c r="CY18" i="1" s="1"/>
  <c r="BE18" i="1"/>
  <c r="H42" i="1" s="1"/>
  <c r="DE18" i="1" a="1"/>
  <c r="DE18" i="1" s="1"/>
  <c r="CW18" i="1" a="1"/>
  <c r="CW18" i="1" s="1"/>
  <c r="DC18" i="1" a="1"/>
  <c r="DC18" i="1" s="1"/>
  <c r="FS16" i="1"/>
  <c r="BR16" i="1"/>
  <c r="AKZ13" i="1" a="1"/>
  <c r="AKZ13" i="1" s="1"/>
  <c r="ADO13" i="1" a="1"/>
  <c r="ADO13" i="1" s="1"/>
  <c r="ADL13" i="1" a="1"/>
  <c r="ADL13" i="1" s="1"/>
  <c r="ADG13" i="1" a="1"/>
  <c r="ADG13" i="1" s="1"/>
  <c r="ADD13" i="1" a="1"/>
  <c r="ADD13" i="1" s="1"/>
  <c r="ACY13" i="1" a="1"/>
  <c r="ACY13" i="1" s="1"/>
  <c r="ACV13" i="1" a="1"/>
  <c r="ACV13" i="1" s="1"/>
  <c r="VN13" i="1" a="1"/>
  <c r="VN13" i="1" s="1"/>
  <c r="OC13" i="1" a="1"/>
  <c r="OC13" i="1" s="1"/>
  <c r="NZ13" i="1" a="1"/>
  <c r="NZ13" i="1" s="1"/>
  <c r="NU13" i="1" a="1"/>
  <c r="NU13" i="1" s="1"/>
  <c r="NR13" i="1" a="1"/>
  <c r="NR13" i="1" s="1"/>
  <c r="NM13" i="1" a="1"/>
  <c r="NM13" i="1" s="1"/>
  <c r="NJ13" i="1" a="1"/>
  <c r="NJ13" i="1" s="1"/>
  <c r="KQ13" i="1"/>
  <c r="AP13" i="1" a="1"/>
  <c r="AP13" i="1" s="1"/>
  <c r="AKW13" i="1" a="1"/>
  <c r="AKW13" i="1" s="1"/>
  <c r="ADN13" i="1" a="1"/>
  <c r="ADN13" i="1" s="1"/>
  <c r="ADI13" i="1" a="1"/>
  <c r="ADI13" i="1" s="1"/>
  <c r="ADF13" i="1" a="1"/>
  <c r="ADF13" i="1" s="1"/>
  <c r="ADA13" i="1" a="1"/>
  <c r="ADA13" i="1" s="1"/>
  <c r="AGU13" i="1" s="1"/>
  <c r="ACX13" i="1" a="1"/>
  <c r="ACX13" i="1" s="1"/>
  <c r="VH13" i="1" a="1"/>
  <c r="VH13" i="1" s="1"/>
  <c r="OE13" i="1" a="1"/>
  <c r="OE13" i="1" s="1"/>
  <c r="OB13" i="1" a="1"/>
  <c r="OB13" i="1" s="1"/>
  <c r="NW13" i="1" a="1"/>
  <c r="NW13" i="1" s="1"/>
  <c r="NT13" i="1" a="1"/>
  <c r="NT13" i="1" s="1"/>
  <c r="NO13" i="1" a="1"/>
  <c r="NO13" i="1" s="1"/>
  <c r="NL13" i="1" a="1"/>
  <c r="NL13" i="1" s="1"/>
  <c r="AR13" i="1" a="1"/>
  <c r="AR13" i="1" s="1"/>
  <c r="AHR13" i="1" s="1"/>
  <c r="AKV13" i="1" a="1"/>
  <c r="AKV13" i="1" s="1"/>
  <c r="AKQ13" i="1" a="1"/>
  <c r="AKQ13" i="1" s="1"/>
  <c r="ADP13" i="1" a="1"/>
  <c r="ADP13" i="1" s="1"/>
  <c r="ADK13" i="1" a="1"/>
  <c r="ADK13" i="1" s="1"/>
  <c r="ADH13" i="1" a="1"/>
  <c r="ADH13" i="1" s="1"/>
  <c r="ADC13" i="1" a="1"/>
  <c r="ADC13" i="1" s="1"/>
  <c r="ACZ13" i="1" a="1"/>
  <c r="ACZ13" i="1" s="1"/>
  <c r="ACU13" i="1" a="1"/>
  <c r="ACU13" i="1" s="1"/>
  <c r="VU13" i="1" a="1"/>
  <c r="VU13" i="1" s="1"/>
  <c r="VJ13" i="1" a="1"/>
  <c r="VJ13" i="1" s="1"/>
  <c r="VE13" i="1" a="1"/>
  <c r="VE13" i="1" s="1"/>
  <c r="OD13" i="1" a="1"/>
  <c r="OD13" i="1" s="1"/>
  <c r="NY13" i="1" a="1"/>
  <c r="NY13" i="1" s="1"/>
  <c r="NV13" i="1" a="1"/>
  <c r="NV13" i="1" s="1"/>
  <c r="NQ13" i="1" a="1"/>
  <c r="NQ13" i="1" s="1"/>
  <c r="RK13" i="1" s="1"/>
  <c r="NN13" i="1" a="1"/>
  <c r="NN13" i="1" s="1"/>
  <c r="ALF13" i="1" a="1"/>
  <c r="ALF13" i="1" s="1"/>
  <c r="ALA13" i="1" a="1"/>
  <c r="ALA13" i="1" s="1"/>
  <c r="AKP13" i="1" a="1"/>
  <c r="AKP13" i="1" s="1"/>
  <c r="AKK13" i="1" a="1"/>
  <c r="AKK13" i="1" s="1"/>
  <c r="ADM13" i="1" a="1"/>
  <c r="ADM13" i="1" s="1"/>
  <c r="ADJ13" i="1" a="1"/>
  <c r="ADJ13" i="1" s="1"/>
  <c r="ADE13" i="1" a="1"/>
  <c r="ADE13" i="1" s="1"/>
  <c r="ADB13" i="1" a="1"/>
  <c r="ADB13" i="1" s="1"/>
  <c r="ACW13" i="1" a="1"/>
  <c r="ACW13" i="1" s="1"/>
  <c r="ACT13" i="1" a="1"/>
  <c r="ACT13" i="1" s="1"/>
  <c r="AAA13" i="1"/>
  <c r="VT13" i="1" a="1"/>
  <c r="VT13" i="1" s="1"/>
  <c r="VO13" i="1" a="1"/>
  <c r="VO13" i="1" s="1"/>
  <c r="VD13" i="1" a="1"/>
  <c r="VD13" i="1" s="1"/>
  <c r="OF13" i="1" a="1"/>
  <c r="OF13" i="1" s="1"/>
  <c r="OA13" i="1" a="1"/>
  <c r="OA13" i="1" s="1"/>
  <c r="NX13" i="1" a="1"/>
  <c r="NX13" i="1" s="1"/>
  <c r="NS13" i="1" a="1"/>
  <c r="NS13" i="1" s="1"/>
  <c r="NP13" i="1" a="1"/>
  <c r="NP13" i="1" s="1"/>
  <c r="NK13" i="1" a="1"/>
  <c r="NK13" i="1" s="1"/>
  <c r="AQ13" i="1" a="1"/>
  <c r="AQ13" i="1" s="1"/>
  <c r="AKU13" i="1" s="1" a="1"/>
  <c r="AKU13" i="1" s="1"/>
  <c r="BD13" i="1"/>
  <c r="G37" i="1" s="1"/>
  <c r="DC13" i="1" a="1"/>
  <c r="DC13" i="1" s="1"/>
  <c r="CZ13" i="1" a="1"/>
  <c r="CZ13" i="1" s="1"/>
  <c r="DE13" i="1" a="1"/>
  <c r="DE13" i="1" s="1"/>
  <c r="DB13" i="1" a="1"/>
  <c r="DB13" i="1" s="1"/>
  <c r="CW13" i="1" a="1"/>
  <c r="CW13" i="1" s="1"/>
  <c r="BF13" i="1"/>
  <c r="I37" i="1" s="1"/>
  <c r="DD13" i="1" a="1"/>
  <c r="DD13" i="1" s="1"/>
  <c r="CY13" i="1" a="1"/>
  <c r="CY13" i="1" s="1"/>
  <c r="BE13" i="1"/>
  <c r="H37" i="1" s="1"/>
  <c r="DA13" i="1" a="1"/>
  <c r="DA13" i="1" s="1"/>
  <c r="CX13" i="1" a="1"/>
  <c r="CX13" i="1" s="1"/>
  <c r="BU23" i="1"/>
  <c r="FV23" i="1"/>
  <c r="BF23" i="1"/>
  <c r="DE23" i="1" a="1"/>
  <c r="DE23" i="1" s="1"/>
  <c r="DC23" i="1" a="1"/>
  <c r="DC23" i="1" s="1"/>
  <c r="DA23" i="1" a="1"/>
  <c r="DA23" i="1" s="1"/>
  <c r="CY23" i="1" a="1"/>
  <c r="CY23" i="1" s="1"/>
  <c r="CW23" i="1" a="1"/>
  <c r="CW23" i="1" s="1"/>
  <c r="BE23" i="1"/>
  <c r="BD23" i="1"/>
  <c r="DD23" i="1" a="1"/>
  <c r="DD23" i="1" s="1"/>
  <c r="DB23" i="1" a="1"/>
  <c r="DB23" i="1" s="1"/>
  <c r="CZ23" i="1" a="1"/>
  <c r="CZ23" i="1" s="1"/>
  <c r="CX23" i="1" a="1"/>
  <c r="CX23" i="1" s="1"/>
  <c r="BT23" i="1"/>
  <c r="FU23" i="1"/>
  <c r="BS13" i="1"/>
  <c r="FT13" i="1"/>
  <c r="HW13" i="1"/>
  <c r="HW19" i="1"/>
  <c r="EY18" i="1"/>
  <c r="FA18" i="1" s="1"/>
  <c r="FB18" i="1" s="1"/>
  <c r="AN16" i="1"/>
  <c r="AO16" i="1" s="1" a="1"/>
  <c r="AO16" i="1" s="1"/>
  <c r="FQ15" i="1"/>
  <c r="BP15" i="1"/>
  <c r="FV15" i="1"/>
  <c r="BU15" i="1"/>
  <c r="AN15" i="1"/>
  <c r="AO15" i="1" s="1" a="1"/>
  <c r="AO15" i="1" s="1"/>
  <c r="BU11" i="1"/>
  <c r="FV11" i="1"/>
  <c r="BP11" i="1"/>
  <c r="FQ11" i="1"/>
  <c r="FV10" i="1"/>
  <c r="BU10" i="1"/>
  <c r="BR17" i="1"/>
  <c r="FS17" i="1"/>
  <c r="BS17" i="1"/>
  <c r="FT17" i="1"/>
  <c r="BN14" i="1"/>
  <c r="FO14" i="1"/>
  <c r="FP14" i="1"/>
  <c r="BO14" i="1"/>
  <c r="BU14" i="1"/>
  <c r="FV14" i="1"/>
  <c r="VJ10" i="1" a="1"/>
  <c r="VJ10" i="1" s="1"/>
  <c r="AKV10" i="1" a="1"/>
  <c r="AKV10" i="1" s="1"/>
  <c r="ET16" i="1" a="1"/>
  <c r="ET16" i="1" s="1"/>
  <c r="FF16" i="1" s="1"/>
  <c r="EP16" i="1" a="1"/>
  <c r="EP16" i="1" s="1"/>
  <c r="EW16" i="1" a="1"/>
  <c r="EW16" i="1" s="1"/>
  <c r="ES16" i="1" a="1"/>
  <c r="ES16" i="1" s="1"/>
  <c r="FG16" i="1" s="1"/>
  <c r="EV16" i="1" a="1"/>
  <c r="EV16" i="1" s="1"/>
  <c r="ER16" i="1" a="1"/>
  <c r="ER16" i="1" s="1"/>
  <c r="EU16" i="1" a="1"/>
  <c r="EU16" i="1" s="1"/>
  <c r="EQ16" i="1" a="1"/>
  <c r="EQ16" i="1" s="1"/>
  <c r="BN12" i="1"/>
  <c r="FO12" i="1"/>
  <c r="FP12" i="1"/>
  <c r="BO12" i="1"/>
  <c r="BU12" i="1"/>
  <c r="FV12" i="1"/>
  <c r="QI78" i="1"/>
  <c r="KV78" i="1"/>
  <c r="KR78" i="1"/>
  <c r="QX78" i="1" s="1" a="1"/>
  <c r="QX78" i="1" s="1"/>
  <c r="QY78" i="1" s="1"/>
  <c r="KT78" i="1"/>
  <c r="QZ78" i="1"/>
  <c r="KS78" i="1"/>
  <c r="KU78" i="1"/>
  <c r="RR78" i="1" s="1"/>
  <c r="HI76" i="1" a="1"/>
  <c r="HI76" i="1" s="1"/>
  <c r="HW76" i="1" s="1"/>
  <c r="HG76" i="1" a="1"/>
  <c r="HG76" i="1" s="1"/>
  <c r="HM76" i="1" a="1"/>
  <c r="HM76" i="1" s="1"/>
  <c r="KQ77" i="1"/>
  <c r="IL77" i="1" a="1"/>
  <c r="IL77" i="1" s="1"/>
  <c r="IH77" i="1" a="1"/>
  <c r="IH77" i="1" s="1"/>
  <c r="AH77" i="1" s="1"/>
  <c r="II77" i="1" a="1"/>
  <c r="II77" i="1" s="1"/>
  <c r="SK76" i="1"/>
  <c r="XZ76" i="1"/>
  <c r="SM76" i="1"/>
  <c r="SI76" i="1"/>
  <c r="YO76" i="1" s="1" a="1"/>
  <c r="YO76" i="1" s="1"/>
  <c r="YP76" i="1" s="1"/>
  <c r="SL76" i="1"/>
  <c r="YQ76" i="1"/>
  <c r="SJ76" i="1"/>
  <c r="AHU76" i="1"/>
  <c r="AOA76" i="1"/>
  <c r="ANJ76" i="1"/>
  <c r="AHW76" i="1"/>
  <c r="AHS76" i="1"/>
  <c r="ANY76" i="1" s="1" a="1"/>
  <c r="ANY76" i="1" s="1"/>
  <c r="ANZ76" i="1" s="1"/>
  <c r="AHT76" i="1"/>
  <c r="AHV76" i="1"/>
  <c r="AFS76" i="1"/>
  <c r="AAF76" i="1"/>
  <c r="AHE76" i="1" s="1"/>
  <c r="AAB76" i="1"/>
  <c r="AGH76" i="1" s="1" a="1"/>
  <c r="AGH76" i="1" s="1"/>
  <c r="AGI76" i="1" s="1"/>
  <c r="AAD76" i="1"/>
  <c r="AHH76" i="1" s="1"/>
  <c r="AAE76" i="1"/>
  <c r="AHB76" i="1" s="1"/>
  <c r="AGJ76" i="1"/>
  <c r="AAC76" i="1"/>
  <c r="KT74" i="1"/>
  <c r="QZ74" i="1"/>
  <c r="KS74" i="1"/>
  <c r="QI74" i="1"/>
  <c r="KV74" i="1"/>
  <c r="KR74" i="1"/>
  <c r="QX74" i="1" s="1" a="1"/>
  <c r="QX74" i="1" s="1"/>
  <c r="QY74" i="1" s="1"/>
  <c r="KU74" i="1"/>
  <c r="RO74" i="1"/>
  <c r="IR76" i="1" a="1"/>
  <c r="IR76" i="1" s="1"/>
  <c r="AU76" i="1" s="1"/>
  <c r="IH76" i="1" a="1"/>
  <c r="IH76" i="1" s="1"/>
  <c r="AH76" i="1" s="1"/>
  <c r="II76" i="1" a="1"/>
  <c r="II76" i="1" s="1"/>
  <c r="ADG75" i="1" a="1"/>
  <c r="ADG75" i="1" s="1"/>
  <c r="ACW75" i="1" a="1"/>
  <c r="ACW75" i="1" s="1"/>
  <c r="ACU75" i="1" a="1"/>
  <c r="ACU75" i="1" s="1"/>
  <c r="ACT75" i="1" a="1"/>
  <c r="ACT75" i="1" s="1"/>
  <c r="ADB75" i="1" a="1"/>
  <c r="ADB75" i="1" s="1"/>
  <c r="ADJ75" i="1" a="1"/>
  <c r="ADJ75" i="1" s="1"/>
  <c r="AHE73" i="1"/>
  <c r="HO75" i="1"/>
  <c r="HQ75" i="1" s="1"/>
  <c r="HR75" i="1" s="1"/>
  <c r="FQ75" i="1"/>
  <c r="BP75" i="1"/>
  <c r="FT75" i="1"/>
  <c r="BS75" i="1"/>
  <c r="HK73" i="1" a="1"/>
  <c r="HK73" i="1" s="1"/>
  <c r="FQ72" i="1"/>
  <c r="BP72" i="1"/>
  <c r="BS72" i="1"/>
  <c r="FT72" i="1"/>
  <c r="HP72" i="1"/>
  <c r="IH74" i="1" a="1"/>
  <c r="IH74" i="1" s="1"/>
  <c r="AH74" i="1" s="1"/>
  <c r="IM74" i="1" a="1"/>
  <c r="IM74" i="1" s="1"/>
  <c r="AM74" i="1" s="1"/>
  <c r="IN74" i="1" a="1"/>
  <c r="IN74" i="1" s="1"/>
  <c r="BA74" i="1" s="1"/>
  <c r="BV74" i="1" s="1"/>
  <c r="BU73" i="1"/>
  <c r="FV73" i="1"/>
  <c r="RL72" i="1"/>
  <c r="ACT72" i="1" a="1"/>
  <c r="ACT72" i="1" s="1"/>
  <c r="ADB72" i="1" a="1"/>
  <c r="ADB72" i="1" s="1"/>
  <c r="ADJ72" i="1" a="1"/>
  <c r="ADJ72" i="1" s="1"/>
  <c r="ACU72" i="1" a="1"/>
  <c r="ACU72" i="1" s="1"/>
  <c r="ADC72" i="1" a="1"/>
  <c r="ADC72" i="1" s="1"/>
  <c r="ADK72" i="1" a="1"/>
  <c r="ADK72" i="1" s="1"/>
  <c r="II71" i="1" a="1"/>
  <c r="II71" i="1" s="1"/>
  <c r="IJ71" i="1" a="1"/>
  <c r="IJ71" i="1" s="1"/>
  <c r="AJ71" i="1" s="1"/>
  <c r="RL71" i="1"/>
  <c r="AGY71" i="1"/>
  <c r="ANJ71" i="1"/>
  <c r="AHW71" i="1"/>
  <c r="AHS71" i="1"/>
  <c r="ANY71" i="1" s="1" a="1"/>
  <c r="ANY71" i="1" s="1"/>
  <c r="ANZ71" i="1" s="1"/>
  <c r="AHU71" i="1"/>
  <c r="AHV71" i="1"/>
  <c r="AOA71" i="1"/>
  <c r="AHT71" i="1"/>
  <c r="IH71" i="1" a="1"/>
  <c r="IH71" i="1" s="1"/>
  <c r="AH71" i="1" s="1"/>
  <c r="HP63" i="1"/>
  <c r="HO63" i="1"/>
  <c r="HQ63" i="1" s="1"/>
  <c r="HR63" i="1" s="1"/>
  <c r="AGV63" i="1"/>
  <c r="IY62" i="1"/>
  <c r="IX63" i="1"/>
  <c r="ADD62" i="1" a="1"/>
  <c r="ADD62" i="1" s="1"/>
  <c r="BN62" i="1"/>
  <c r="FO62" i="1"/>
  <c r="BQ62" i="1"/>
  <c r="FR62" i="1"/>
  <c r="DD62" i="1" a="1"/>
  <c r="DD62" i="1" s="1"/>
  <c r="DB62" i="1" a="1"/>
  <c r="DB62" i="1" s="1"/>
  <c r="CZ62" i="1" a="1"/>
  <c r="CZ62" i="1" s="1"/>
  <c r="CX62" i="1" a="1"/>
  <c r="CX62" i="1" s="1"/>
  <c r="BF62" i="1"/>
  <c r="DE62" i="1" a="1"/>
  <c r="DE62" i="1" s="1"/>
  <c r="DC62" i="1" a="1"/>
  <c r="DC62" i="1" s="1"/>
  <c r="DA62" i="1" a="1"/>
  <c r="DA62" i="1" s="1"/>
  <c r="CY62" i="1" a="1"/>
  <c r="CY62" i="1" s="1"/>
  <c r="CW62" i="1" a="1"/>
  <c r="CW62" i="1" s="1"/>
  <c r="BE62" i="1"/>
  <c r="BD62" i="1"/>
  <c r="HH60" i="1" a="1"/>
  <c r="HH60" i="1" s="1"/>
  <c r="AJY62" i="1" a="1"/>
  <c r="AJY62" i="1" s="1"/>
  <c r="AJV62" i="1" a="1"/>
  <c r="AJV62" i="1" s="1"/>
  <c r="AJQ62" i="1" a="1"/>
  <c r="AJQ62" i="1" s="1"/>
  <c r="AJN62" i="1" a="1"/>
  <c r="AJN62" i="1" s="1"/>
  <c r="AJI62" i="1" a="1"/>
  <c r="AJI62" i="1" s="1"/>
  <c r="AJF62" i="1" a="1"/>
  <c r="AJF62" i="1" s="1"/>
  <c r="AJA62" i="1" a="1"/>
  <c r="AJA62" i="1" s="1"/>
  <c r="AIX62" i="1" a="1"/>
  <c r="AIX62" i="1" s="1"/>
  <c r="AIS62" i="1" a="1"/>
  <c r="AIS62" i="1" s="1"/>
  <c r="AIP62" i="1" a="1"/>
  <c r="AIP62" i="1" s="1"/>
  <c r="AIK62" i="1" a="1"/>
  <c r="AIK62" i="1" s="1"/>
  <c r="AIH62" i="1" a="1"/>
  <c r="AIH62" i="1" s="1"/>
  <c r="UR62" i="1" a="1"/>
  <c r="UR62" i="1" s="1"/>
  <c r="UM62" i="1" a="1"/>
  <c r="UM62" i="1" s="1"/>
  <c r="UJ62" i="1" a="1"/>
  <c r="UJ62" i="1" s="1"/>
  <c r="UE62" i="1" a="1"/>
  <c r="UE62" i="1" s="1"/>
  <c r="UB62" i="1" a="1"/>
  <c r="UB62" i="1" s="1"/>
  <c r="TW62" i="1" a="1"/>
  <c r="TW62" i="1" s="1"/>
  <c r="TT62" i="1" a="1"/>
  <c r="TT62" i="1" s="1"/>
  <c r="TO62" i="1" a="1"/>
  <c r="TO62" i="1" s="1"/>
  <c r="TL62" i="1" a="1"/>
  <c r="TL62" i="1" s="1"/>
  <c r="TG62" i="1" a="1"/>
  <c r="TG62" i="1" s="1"/>
  <c r="TD62" i="1" a="1"/>
  <c r="TD62" i="1" s="1"/>
  <c r="SY62" i="1" a="1"/>
  <c r="SY62" i="1" s="1"/>
  <c r="AKA62" i="1" a="1"/>
  <c r="AKA62" i="1" s="1"/>
  <c r="AJX62" i="1" a="1"/>
  <c r="AJX62" i="1" s="1"/>
  <c r="AJS62" i="1" a="1"/>
  <c r="AJS62" i="1" s="1"/>
  <c r="AJP62" i="1" a="1"/>
  <c r="AJP62" i="1" s="1"/>
  <c r="AJK62" i="1" a="1"/>
  <c r="AJK62" i="1" s="1"/>
  <c r="AJH62" i="1" a="1"/>
  <c r="AJH62" i="1" s="1"/>
  <c r="AJC62" i="1" a="1"/>
  <c r="AJC62" i="1" s="1"/>
  <c r="AIZ62" i="1" a="1"/>
  <c r="AIZ62" i="1" s="1"/>
  <c r="AIU62" i="1" a="1"/>
  <c r="AIU62" i="1" s="1"/>
  <c r="AIR62" i="1" a="1"/>
  <c r="AIR62" i="1" s="1"/>
  <c r="AIM62" i="1" a="1"/>
  <c r="AIM62" i="1" s="1"/>
  <c r="AIJ62" i="1" a="1"/>
  <c r="AIJ62" i="1" s="1"/>
  <c r="UO62" i="1" a="1"/>
  <c r="UO62" i="1" s="1"/>
  <c r="UL62" i="1" a="1"/>
  <c r="UL62" i="1" s="1"/>
  <c r="UG62" i="1" a="1"/>
  <c r="UG62" i="1" s="1"/>
  <c r="UD62" i="1" a="1"/>
  <c r="UD62" i="1" s="1"/>
  <c r="TY62" i="1" a="1"/>
  <c r="TY62" i="1" s="1"/>
  <c r="TV62" i="1" a="1"/>
  <c r="TV62" i="1" s="1"/>
  <c r="TQ62" i="1" a="1"/>
  <c r="TQ62" i="1" s="1"/>
  <c r="TN62" i="1" a="1"/>
  <c r="TN62" i="1" s="1"/>
  <c r="TI62" i="1" a="1"/>
  <c r="TI62" i="1" s="1"/>
  <c r="TF62" i="1" a="1"/>
  <c r="TF62" i="1" s="1"/>
  <c r="TA62" i="1" a="1"/>
  <c r="TA62" i="1" s="1"/>
  <c r="SX62" i="1" a="1"/>
  <c r="SX62" i="1" s="1"/>
  <c r="AKC62" i="1" a="1"/>
  <c r="AKC62" i="1" s="1"/>
  <c r="AJZ62" i="1" a="1"/>
  <c r="AJZ62" i="1" s="1"/>
  <c r="AJU62" i="1" a="1"/>
  <c r="AJU62" i="1" s="1"/>
  <c r="AJR62" i="1" a="1"/>
  <c r="AJR62" i="1" s="1"/>
  <c r="AJM62" i="1" a="1"/>
  <c r="AJM62" i="1" s="1"/>
  <c r="AJJ62" i="1" a="1"/>
  <c r="AJJ62" i="1" s="1"/>
  <c r="AJE62" i="1" a="1"/>
  <c r="AJE62" i="1" s="1"/>
  <c r="AJB62" i="1" a="1"/>
  <c r="AJB62" i="1" s="1"/>
  <c r="AIW62" i="1" a="1"/>
  <c r="AIW62" i="1" s="1"/>
  <c r="AIT62" i="1" a="1"/>
  <c r="AIT62" i="1" s="1"/>
  <c r="AIO62" i="1" a="1"/>
  <c r="AIO62" i="1" s="1"/>
  <c r="AIL62" i="1" a="1"/>
  <c r="AIL62" i="1" s="1"/>
  <c r="AIG62" i="1" a="1"/>
  <c r="AIG62" i="1" s="1"/>
  <c r="UQ62" i="1" a="1"/>
  <c r="UQ62" i="1" s="1"/>
  <c r="UN62" i="1" a="1"/>
  <c r="UN62" i="1" s="1"/>
  <c r="UI62" i="1" a="1"/>
  <c r="UI62" i="1" s="1"/>
  <c r="UF62" i="1" a="1"/>
  <c r="UF62" i="1" s="1"/>
  <c r="UA62" i="1" a="1"/>
  <c r="UA62" i="1" s="1"/>
  <c r="TX62" i="1" a="1"/>
  <c r="TX62" i="1" s="1"/>
  <c r="TS62" i="1" a="1"/>
  <c r="TS62" i="1" s="1"/>
  <c r="TP62" i="1" a="1"/>
  <c r="TP62" i="1" s="1"/>
  <c r="TK62" i="1" a="1"/>
  <c r="TK62" i="1" s="1"/>
  <c r="TH62" i="1" a="1"/>
  <c r="TH62" i="1" s="1"/>
  <c r="TC62" i="1" a="1"/>
  <c r="TC62" i="1" s="1"/>
  <c r="SZ62" i="1" a="1"/>
  <c r="SZ62" i="1" s="1"/>
  <c r="AKB62" i="1" a="1"/>
  <c r="AKB62" i="1" s="1"/>
  <c r="AJG62" i="1" a="1"/>
  <c r="AJG62" i="1" s="1"/>
  <c r="AIV62" i="1" a="1"/>
  <c r="AIV62" i="1" s="1"/>
  <c r="AHZ62" i="1" a="1"/>
  <c r="AHZ62" i="1" s="1"/>
  <c r="UC62" i="1" a="1"/>
  <c r="UC62" i="1" s="1"/>
  <c r="TR62" i="1" a="1"/>
  <c r="TR62" i="1" s="1"/>
  <c r="SW62" i="1" a="1"/>
  <c r="SW62" i="1" s="1"/>
  <c r="AJO62" i="1" a="1"/>
  <c r="AJO62" i="1" s="1"/>
  <c r="AJD62" i="1" a="1"/>
  <c r="AJD62" i="1" s="1"/>
  <c r="AII62" i="1" a="1"/>
  <c r="AII62" i="1" s="1"/>
  <c r="UK62" i="1" a="1"/>
  <c r="UK62" i="1" s="1"/>
  <c r="TZ62" i="1" a="1"/>
  <c r="TZ62" i="1" s="1"/>
  <c r="TE62" i="1" a="1"/>
  <c r="TE62" i="1" s="1"/>
  <c r="SS62" i="1" a="1"/>
  <c r="SS62" i="1" s="1"/>
  <c r="AJW62" i="1" a="1"/>
  <c r="AJW62" i="1" s="1"/>
  <c r="AJL62" i="1" a="1"/>
  <c r="AJL62" i="1" s="1"/>
  <c r="AIQ62" i="1" a="1"/>
  <c r="AIQ62" i="1" s="1"/>
  <c r="AIE62" i="1" a="1"/>
  <c r="AIE62" i="1" s="1"/>
  <c r="US62" i="1" a="1"/>
  <c r="US62" i="1" s="1"/>
  <c r="UH62" i="1" a="1"/>
  <c r="UH62" i="1" s="1"/>
  <c r="TM62" i="1" a="1"/>
  <c r="TM62" i="1" s="1"/>
  <c r="TB62" i="1" a="1"/>
  <c r="TB62" i="1" s="1"/>
  <c r="AJT62" i="1" a="1"/>
  <c r="AJT62" i="1" s="1"/>
  <c r="AIY62" i="1" a="1"/>
  <c r="AIY62" i="1" s="1"/>
  <c r="AIN62" i="1" a="1"/>
  <c r="AIN62" i="1" s="1"/>
  <c r="UP62" i="1" a="1"/>
  <c r="UP62" i="1" s="1"/>
  <c r="TU62" i="1" a="1"/>
  <c r="TU62" i="1" s="1"/>
  <c r="TJ62" i="1" a="1"/>
  <c r="TJ62" i="1" s="1"/>
  <c r="AAA62" i="1"/>
  <c r="AP61" i="1" a="1"/>
  <c r="AP61" i="1" s="1"/>
  <c r="AR61" i="1" a="1"/>
  <c r="AR61" i="1" s="1"/>
  <c r="AQ61" i="1" a="1"/>
  <c r="AQ61" i="1" s="1"/>
  <c r="VG61" i="1" s="1" a="1"/>
  <c r="VG61" i="1" s="1"/>
  <c r="ADA61" i="1" a="1"/>
  <c r="ADA61" i="1" s="1"/>
  <c r="AGU61" i="1" s="1"/>
  <c r="ADI61" i="1" a="1"/>
  <c r="ADI61" i="1" s="1"/>
  <c r="AKK61" i="1" a="1"/>
  <c r="AKK61" i="1" s="1"/>
  <c r="AKS61" i="1" a="1"/>
  <c r="AKS61" i="1" s="1"/>
  <c r="ACZ61" i="1" a="1"/>
  <c r="ACZ61" i="1" s="1"/>
  <c r="ADH61" i="1" a="1"/>
  <c r="ADH61" i="1" s="1"/>
  <c r="ADP61" i="1" a="1"/>
  <c r="ADP61" i="1" s="1"/>
  <c r="AKX61" i="1" a="1"/>
  <c r="AKX61" i="1" s="1"/>
  <c r="ALF61" i="1" a="1"/>
  <c r="ALF61" i="1" s="1"/>
  <c r="ADJ60" i="1" a="1"/>
  <c r="ADJ60" i="1" s="1"/>
  <c r="ACT60" i="1" a="1"/>
  <c r="ACT60" i="1" s="1"/>
  <c r="OA60" i="1" a="1"/>
  <c r="OA60" i="1" s="1"/>
  <c r="NK60" i="1" a="1"/>
  <c r="NK60" i="1" s="1"/>
  <c r="HG60" i="1" a="1"/>
  <c r="HG60" i="1" s="1"/>
  <c r="IG63" i="1" a="1"/>
  <c r="IG63" i="1" s="1"/>
  <c r="AG63" i="1" s="1"/>
  <c r="IH63" i="1" a="1"/>
  <c r="IH63" i="1" s="1"/>
  <c r="AH63" i="1" s="1"/>
  <c r="ADN62" i="1" a="1"/>
  <c r="ADN62" i="1" s="1"/>
  <c r="VL61" i="1" a="1"/>
  <c r="VL61" i="1" s="1"/>
  <c r="NU61" i="1" a="1"/>
  <c r="NU61" i="1" s="1"/>
  <c r="ADG60" i="1" a="1"/>
  <c r="ADG60" i="1" s="1"/>
  <c r="NZ60" i="1" a="1"/>
  <c r="NZ60" i="1" s="1"/>
  <c r="NJ60" i="1" a="1"/>
  <c r="NJ60" i="1" s="1"/>
  <c r="IN60" i="1" a="1"/>
  <c r="IN60" i="1" s="1"/>
  <c r="BA60" i="1" s="1"/>
  <c r="BV60" i="1" s="1"/>
  <c r="IO60" i="1" a="1"/>
  <c r="IO60" i="1" s="1"/>
  <c r="IH60" i="1" a="1"/>
  <c r="IH60" i="1" s="1"/>
  <c r="AH60" i="1" s="1"/>
  <c r="FQ58" i="1"/>
  <c r="BP58" i="1"/>
  <c r="AHR57" i="1"/>
  <c r="AAA57" i="1"/>
  <c r="SH57" i="1"/>
  <c r="AQ57" i="1" a="1"/>
  <c r="AQ57" i="1" s="1"/>
  <c r="AKZ57" i="1" s="1" a="1"/>
  <c r="AKZ57" i="1" s="1"/>
  <c r="KQ57" i="1"/>
  <c r="ALG57" i="1" a="1"/>
  <c r="ALG57" i="1" s="1"/>
  <c r="ALB57" i="1" a="1"/>
  <c r="ALB57" i="1" s="1"/>
  <c r="AKY57" i="1" a="1"/>
  <c r="AKY57" i="1" s="1"/>
  <c r="AKT57" i="1" a="1"/>
  <c r="AKT57" i="1" s="1"/>
  <c r="AKQ57" i="1" a="1"/>
  <c r="AKQ57" i="1" s="1"/>
  <c r="AKL57" i="1" a="1"/>
  <c r="AKL57" i="1" s="1"/>
  <c r="ADF57" i="1" a="1"/>
  <c r="ADF57" i="1" s="1"/>
  <c r="ACU57" i="1" a="1"/>
  <c r="ACU57" i="1" s="1"/>
  <c r="VP57" i="1" a="1"/>
  <c r="VP57" i="1" s="1"/>
  <c r="VE57" i="1" a="1"/>
  <c r="VE57" i="1" s="1"/>
  <c r="OB57" i="1" a="1"/>
  <c r="OB57" i="1" s="1"/>
  <c r="NQ57" i="1" a="1"/>
  <c r="NQ57" i="1" s="1"/>
  <c r="RK57" i="1" s="1"/>
  <c r="ADN57" i="1" a="1"/>
  <c r="ADN57" i="1" s="1"/>
  <c r="ADC57" i="1" a="1"/>
  <c r="ADC57" i="1" s="1"/>
  <c r="VM57" i="1" a="1"/>
  <c r="VM57" i="1" s="1"/>
  <c r="NY57" i="1" a="1"/>
  <c r="NY57" i="1" s="1"/>
  <c r="AR57" i="1" a="1"/>
  <c r="AR57" i="1" s="1"/>
  <c r="ADK57" i="1" a="1"/>
  <c r="ADK57" i="1" s="1"/>
  <c r="VU57" i="1" a="1"/>
  <c r="VU57" i="1" s="1"/>
  <c r="NL57" i="1" a="1"/>
  <c r="NL57" i="1" s="1"/>
  <c r="ACX57" i="1" a="1"/>
  <c r="ACX57" i="1" s="1"/>
  <c r="VH57" i="1" a="1"/>
  <c r="VH57" i="1" s="1"/>
  <c r="NT57" i="1" a="1"/>
  <c r="NT57" i="1" s="1"/>
  <c r="ADM58" i="1" a="1"/>
  <c r="ADM58" i="1" s="1"/>
  <c r="ACW58" i="1" a="1"/>
  <c r="ACW58" i="1" s="1"/>
  <c r="IK58" i="1" a="1"/>
  <c r="IK58" i="1" s="1"/>
  <c r="AK58" i="1" s="1"/>
  <c r="HW58" i="1"/>
  <c r="HV58" i="1"/>
  <c r="ALF57" i="1" a="1"/>
  <c r="ALF57" i="1" s="1"/>
  <c r="AKP57" i="1" a="1"/>
  <c r="AKP57" i="1" s="1"/>
  <c r="ADG57" i="1" a="1"/>
  <c r="ADG57" i="1" s="1"/>
  <c r="VI57" i="1" a="1"/>
  <c r="VI57" i="1" s="1"/>
  <c r="OF57" i="1" a="1"/>
  <c r="OF57" i="1" s="1"/>
  <c r="NP57" i="1" a="1"/>
  <c r="NP57" i="1" s="1"/>
  <c r="IV59" i="1"/>
  <c r="ADL58" i="1" a="1"/>
  <c r="ADL58" i="1" s="1"/>
  <c r="ACV58" i="1" a="1"/>
  <c r="ACV58" i="1" s="1"/>
  <c r="IR58" i="1" a="1"/>
  <c r="IR58" i="1" s="1"/>
  <c r="AU58" i="1" s="1"/>
  <c r="AKW57" i="1" a="1"/>
  <c r="AKW57" i="1" s="1"/>
  <c r="ADL57" i="1" a="1"/>
  <c r="ADL57" i="1" s="1"/>
  <c r="ACV57" i="1" a="1"/>
  <c r="ACV57" i="1" s="1"/>
  <c r="VK57" i="1" a="1"/>
  <c r="VK57" i="1" s="1"/>
  <c r="NZ57" i="1" a="1"/>
  <c r="NZ57" i="1" s="1"/>
  <c r="NJ57" i="1" a="1"/>
  <c r="NJ57" i="1" s="1"/>
  <c r="ALB62" i="1" a="1"/>
  <c r="ALB62" i="1" s="1"/>
  <c r="IY59" i="1"/>
  <c r="HW59" i="1"/>
  <c r="AQ59" i="1" a="1"/>
  <c r="AQ59" i="1" s="1"/>
  <c r="AR59" i="1" a="1"/>
  <c r="AR59" i="1" s="1"/>
  <c r="AP59" i="1" a="1"/>
  <c r="AP59" i="1" s="1"/>
  <c r="NP59" i="1" a="1"/>
  <c r="NP59" i="1" s="1"/>
  <c r="NX59" i="1" a="1"/>
  <c r="NX59" i="1" s="1"/>
  <c r="OF59" i="1" a="1"/>
  <c r="OF59" i="1" s="1"/>
  <c r="VV59" i="1" a="1"/>
  <c r="VV59" i="1" s="1"/>
  <c r="ACZ59" i="1" a="1"/>
  <c r="ACZ59" i="1" s="1"/>
  <c r="ADH59" i="1" a="1"/>
  <c r="ADH59" i="1" s="1"/>
  <c r="ADP59" i="1" a="1"/>
  <c r="ADP59" i="1" s="1"/>
  <c r="AKN59" i="1" a="1"/>
  <c r="AKN59" i="1" s="1"/>
  <c r="II58" i="1" a="1"/>
  <c r="II58" i="1" s="1"/>
  <c r="AI58" i="1" s="1"/>
  <c r="IK57" i="1" a="1"/>
  <c r="IK57" i="1" s="1"/>
  <c r="AK57" i="1" s="1"/>
  <c r="IQ57" i="1" a="1"/>
  <c r="IQ57" i="1" s="1"/>
  <c r="AT57" i="1" s="1"/>
  <c r="IR57" i="1" a="1"/>
  <c r="IR57" i="1" s="1"/>
  <c r="AU57" i="1" s="1"/>
  <c r="BU56" i="1"/>
  <c r="FV56" i="1"/>
  <c r="AGU56" i="1"/>
  <c r="HI56" i="1" a="1"/>
  <c r="HI56" i="1" s="1"/>
  <c r="IX56" i="1"/>
  <c r="ADK56" i="1" a="1"/>
  <c r="ADK56" i="1" s="1"/>
  <c r="ACZ56" i="1" a="1"/>
  <c r="ACZ56" i="1" s="1"/>
  <c r="ACW56" i="1" a="1"/>
  <c r="ACW56" i="1" s="1"/>
  <c r="ADM56" i="1" a="1"/>
  <c r="ADM56" i="1" s="1"/>
  <c r="HP56" i="1"/>
  <c r="HH56" i="1" a="1"/>
  <c r="HH56" i="1" s="1"/>
  <c r="IW26" i="1"/>
  <c r="ADC56" i="1" a="1"/>
  <c r="ADC56" i="1" s="1"/>
  <c r="IF56" i="1" a="1"/>
  <c r="IF56" i="1" s="1"/>
  <c r="AF56" i="1" s="1"/>
  <c r="IG56" i="1" a="1"/>
  <c r="IG56" i="1" s="1"/>
  <c r="AG56" i="1" s="1"/>
  <c r="IQ55" i="1" a="1"/>
  <c r="IQ55" i="1" s="1"/>
  <c r="AT55" i="1" s="1"/>
  <c r="II59" i="1" a="1"/>
  <c r="II59" i="1" s="1"/>
  <c r="AI59" i="1" s="1"/>
  <c r="IG59" i="1" a="1"/>
  <c r="IG59" i="1" s="1"/>
  <c r="AG59" i="1" s="1"/>
  <c r="IJ59" i="1" a="1"/>
  <c r="IJ59" i="1" s="1"/>
  <c r="AJ59" i="1" s="1"/>
  <c r="IR59" i="1" a="1"/>
  <c r="IR59" i="1" s="1"/>
  <c r="AU59" i="1" s="1"/>
  <c r="IP55" i="1" a="1"/>
  <c r="IP55" i="1" s="1"/>
  <c r="AP55" i="1" s="1" a="1"/>
  <c r="AP55" i="1" s="1"/>
  <c r="IR55" i="1" a="1"/>
  <c r="IR55" i="1" s="1"/>
  <c r="AU55" i="1" s="1"/>
  <c r="IG26" i="1" a="1"/>
  <c r="IG26" i="1" s="1"/>
  <c r="AG26" i="1" s="1"/>
  <c r="IO26" i="1" a="1"/>
  <c r="IO26" i="1" s="1"/>
  <c r="IJ26" i="1" a="1"/>
  <c r="IJ26" i="1" s="1"/>
  <c r="AJ26" i="1" s="1"/>
  <c r="IR26" i="1" a="1"/>
  <c r="IR26" i="1" s="1"/>
  <c r="AU26" i="1" s="1"/>
  <c r="AKC23" i="1" a="1"/>
  <c r="AKC23" i="1" s="1"/>
  <c r="AKA23" i="1" a="1"/>
  <c r="AKA23" i="1" s="1"/>
  <c r="AJY23" i="1" a="1"/>
  <c r="AJY23" i="1" s="1"/>
  <c r="AJW23" i="1" a="1"/>
  <c r="AJW23" i="1" s="1"/>
  <c r="AJU23" i="1" a="1"/>
  <c r="AJU23" i="1" s="1"/>
  <c r="AJS23" i="1" a="1"/>
  <c r="AJS23" i="1" s="1"/>
  <c r="AJQ23" i="1" a="1"/>
  <c r="AJQ23" i="1" s="1"/>
  <c r="AJO23" i="1" a="1"/>
  <c r="AJO23" i="1" s="1"/>
  <c r="AJM23" i="1" a="1"/>
  <c r="AJM23" i="1" s="1"/>
  <c r="AJK23" i="1" a="1"/>
  <c r="AJK23" i="1" s="1"/>
  <c r="AJI23" i="1" a="1"/>
  <c r="AJI23" i="1" s="1"/>
  <c r="AJG23" i="1" a="1"/>
  <c r="AJG23" i="1" s="1"/>
  <c r="AJE23" i="1" a="1"/>
  <c r="AJE23" i="1" s="1"/>
  <c r="AJC23" i="1" a="1"/>
  <c r="AJC23" i="1" s="1"/>
  <c r="AJA23" i="1" a="1"/>
  <c r="AJA23" i="1" s="1"/>
  <c r="AIY23" i="1" a="1"/>
  <c r="AIY23" i="1" s="1"/>
  <c r="AIW23" i="1" a="1"/>
  <c r="AIW23" i="1" s="1"/>
  <c r="AIU23" i="1" a="1"/>
  <c r="AIU23" i="1" s="1"/>
  <c r="AIS23" i="1" a="1"/>
  <c r="AIS23" i="1" s="1"/>
  <c r="AIQ23" i="1" a="1"/>
  <c r="AIQ23" i="1" s="1"/>
  <c r="AIO23" i="1" a="1"/>
  <c r="AIO23" i="1" s="1"/>
  <c r="AIM23" i="1" a="1"/>
  <c r="AIM23" i="1" s="1"/>
  <c r="AIK23" i="1" a="1"/>
  <c r="AIK23" i="1" s="1"/>
  <c r="AII23" i="1" a="1"/>
  <c r="AII23" i="1" s="1"/>
  <c r="AIG23" i="1" a="1"/>
  <c r="AIG23" i="1" s="1"/>
  <c r="AID23" i="1" a="1"/>
  <c r="AID23" i="1" s="1"/>
  <c r="AIB23" i="1" a="1"/>
  <c r="AIB23" i="1" s="1"/>
  <c r="AHZ23" i="1" a="1"/>
  <c r="AHZ23" i="1" s="1"/>
  <c r="US23" i="1" a="1"/>
  <c r="US23" i="1" s="1"/>
  <c r="UQ23" i="1" a="1"/>
  <c r="UQ23" i="1" s="1"/>
  <c r="UO23" i="1" a="1"/>
  <c r="UO23" i="1" s="1"/>
  <c r="UM23" i="1" a="1"/>
  <c r="UM23" i="1" s="1"/>
  <c r="UK23" i="1" a="1"/>
  <c r="UK23" i="1" s="1"/>
  <c r="UI23" i="1" a="1"/>
  <c r="UI23" i="1" s="1"/>
  <c r="UG23" i="1" a="1"/>
  <c r="UG23" i="1" s="1"/>
  <c r="UE23" i="1" a="1"/>
  <c r="UE23" i="1" s="1"/>
  <c r="UC23" i="1" a="1"/>
  <c r="UC23" i="1" s="1"/>
  <c r="UA23" i="1" a="1"/>
  <c r="UA23" i="1" s="1"/>
  <c r="TY23" i="1" a="1"/>
  <c r="TY23" i="1" s="1"/>
  <c r="TW23" i="1" a="1"/>
  <c r="TW23" i="1" s="1"/>
  <c r="TU23" i="1" a="1"/>
  <c r="TU23" i="1" s="1"/>
  <c r="TS23" i="1" a="1"/>
  <c r="TS23" i="1" s="1"/>
  <c r="TQ23" i="1" a="1"/>
  <c r="TQ23" i="1" s="1"/>
  <c r="TO23" i="1" a="1"/>
  <c r="TO23" i="1" s="1"/>
  <c r="TM23" i="1" a="1"/>
  <c r="TM23" i="1" s="1"/>
  <c r="TK23" i="1" a="1"/>
  <c r="TK23" i="1" s="1"/>
  <c r="TI23" i="1" a="1"/>
  <c r="TI23" i="1" s="1"/>
  <c r="TG23" i="1" a="1"/>
  <c r="TG23" i="1" s="1"/>
  <c r="TE23" i="1" a="1"/>
  <c r="TE23" i="1" s="1"/>
  <c r="TC23" i="1" a="1"/>
  <c r="TC23" i="1" s="1"/>
  <c r="TA23" i="1" a="1"/>
  <c r="TA23" i="1" s="1"/>
  <c r="SY23" i="1" a="1"/>
  <c r="SY23" i="1" s="1"/>
  <c r="SW23" i="1" a="1"/>
  <c r="SW23" i="1" s="1"/>
  <c r="ST23" i="1" a="1"/>
  <c r="ST23" i="1" s="1"/>
  <c r="SR23" i="1" a="1"/>
  <c r="SR23" i="1" s="1"/>
  <c r="SP23" i="1" a="1"/>
  <c r="SP23" i="1" s="1"/>
  <c r="AJZ23" i="1" a="1"/>
  <c r="AJZ23" i="1" s="1"/>
  <c r="AJR23" i="1" a="1"/>
  <c r="AJR23" i="1" s="1"/>
  <c r="AJJ23" i="1" a="1"/>
  <c r="AJJ23" i="1" s="1"/>
  <c r="AJB23" i="1" a="1"/>
  <c r="AJB23" i="1" s="1"/>
  <c r="AIT23" i="1" a="1"/>
  <c r="AIT23" i="1" s="1"/>
  <c r="AIL23" i="1" a="1"/>
  <c r="AIL23" i="1" s="1"/>
  <c r="AIC23" i="1" a="1"/>
  <c r="AIC23" i="1" s="1"/>
  <c r="UN23" i="1" a="1"/>
  <c r="UN23" i="1" s="1"/>
  <c r="UF23" i="1" a="1"/>
  <c r="UF23" i="1" s="1"/>
  <c r="TX23" i="1" a="1"/>
  <c r="TX23" i="1" s="1"/>
  <c r="TP23" i="1" a="1"/>
  <c r="TP23" i="1" s="1"/>
  <c r="TH23" i="1" a="1"/>
  <c r="TH23" i="1" s="1"/>
  <c r="SZ23" i="1" a="1"/>
  <c r="SZ23" i="1" s="1"/>
  <c r="SQ23" i="1" a="1"/>
  <c r="SQ23" i="1" s="1"/>
  <c r="AJX23" i="1" a="1"/>
  <c r="AJX23" i="1" s="1"/>
  <c r="AJP23" i="1" a="1"/>
  <c r="AJP23" i="1" s="1"/>
  <c r="AJH23" i="1" a="1"/>
  <c r="AJH23" i="1" s="1"/>
  <c r="AIZ23" i="1" a="1"/>
  <c r="AIZ23" i="1" s="1"/>
  <c r="AIR23" i="1" a="1"/>
  <c r="AIR23" i="1" s="1"/>
  <c r="AIJ23" i="1" a="1"/>
  <c r="AIJ23" i="1" s="1"/>
  <c r="AIA23" i="1" a="1"/>
  <c r="AIA23" i="1" s="1"/>
  <c r="UL23" i="1" a="1"/>
  <c r="UL23" i="1" s="1"/>
  <c r="UD23" i="1" a="1"/>
  <c r="UD23" i="1" s="1"/>
  <c r="TV23" i="1" a="1"/>
  <c r="TV23" i="1" s="1"/>
  <c r="TN23" i="1" a="1"/>
  <c r="TN23" i="1" s="1"/>
  <c r="TF23" i="1" a="1"/>
  <c r="TF23" i="1" s="1"/>
  <c r="SX23" i="1" a="1"/>
  <c r="SX23" i="1" s="1"/>
  <c r="SO23" i="1" a="1"/>
  <c r="SO23" i="1" s="1"/>
  <c r="AJV23" i="1" a="1"/>
  <c r="AJV23" i="1" s="1"/>
  <c r="AJN23" i="1" a="1"/>
  <c r="AJN23" i="1" s="1"/>
  <c r="AJF23" i="1" a="1"/>
  <c r="AJF23" i="1" s="1"/>
  <c r="AIX23" i="1" a="1"/>
  <c r="AIX23" i="1" s="1"/>
  <c r="AIP23" i="1" a="1"/>
  <c r="AIP23" i="1" s="1"/>
  <c r="AIH23" i="1" a="1"/>
  <c r="AIH23" i="1" s="1"/>
  <c r="AHY23" i="1" a="1"/>
  <c r="AHY23" i="1" s="1"/>
  <c r="UR23" i="1" a="1"/>
  <c r="UR23" i="1" s="1"/>
  <c r="UJ23" i="1" a="1"/>
  <c r="UJ23" i="1" s="1"/>
  <c r="UB23" i="1" a="1"/>
  <c r="UB23" i="1" s="1"/>
  <c r="TT23" i="1" a="1"/>
  <c r="TT23" i="1" s="1"/>
  <c r="TL23" i="1" a="1"/>
  <c r="TL23" i="1" s="1"/>
  <c r="TD23" i="1" a="1"/>
  <c r="TD23" i="1" s="1"/>
  <c r="SU23" i="1" a="1"/>
  <c r="SU23" i="1" s="1"/>
  <c r="AKB23" i="1" a="1"/>
  <c r="AKB23" i="1" s="1"/>
  <c r="AJT23" i="1" a="1"/>
  <c r="AJT23" i="1" s="1"/>
  <c r="AJL23" i="1" a="1"/>
  <c r="AJL23" i="1" s="1"/>
  <c r="AJD23" i="1" a="1"/>
  <c r="AJD23" i="1" s="1"/>
  <c r="AIV23" i="1" a="1"/>
  <c r="AIV23" i="1" s="1"/>
  <c r="AIN23" i="1" a="1"/>
  <c r="AIN23" i="1" s="1"/>
  <c r="AIE23" i="1" a="1"/>
  <c r="AIE23" i="1" s="1"/>
  <c r="UP23" i="1" a="1"/>
  <c r="UP23" i="1" s="1"/>
  <c r="UH23" i="1" a="1"/>
  <c r="UH23" i="1" s="1"/>
  <c r="TZ23" i="1" a="1"/>
  <c r="TZ23" i="1" s="1"/>
  <c r="TR23" i="1" a="1"/>
  <c r="TR23" i="1" s="1"/>
  <c r="TJ23" i="1" a="1"/>
  <c r="TJ23" i="1" s="1"/>
  <c r="TB23" i="1" a="1"/>
  <c r="TB23" i="1" s="1"/>
  <c r="SS23" i="1" a="1"/>
  <c r="SS23" i="1" s="1"/>
  <c r="NQ23" i="1" a="1"/>
  <c r="NQ23" i="1" s="1"/>
  <c r="RK23" i="1" s="1"/>
  <c r="RL23" i="1" s="1"/>
  <c r="NY23" i="1" a="1"/>
  <c r="NY23" i="1" s="1"/>
  <c r="ACY23" i="1" a="1"/>
  <c r="ACY23" i="1" s="1"/>
  <c r="ADG23" i="1" a="1"/>
  <c r="ADG23" i="1" s="1"/>
  <c r="ADO23" i="1" a="1"/>
  <c r="ADO23" i="1" s="1"/>
  <c r="NX23" i="1" a="1"/>
  <c r="NX23" i="1" s="1"/>
  <c r="BS22" i="1"/>
  <c r="FT22" i="1"/>
  <c r="ALF55" i="1" a="1"/>
  <c r="ALF55" i="1" s="1"/>
  <c r="VT55" i="1" a="1"/>
  <c r="VT55" i="1" s="1"/>
  <c r="AKX55" i="1" a="1"/>
  <c r="AKX55" i="1" s="1"/>
  <c r="VA55" i="1" a="1"/>
  <c r="VA55" i="1" s="1"/>
  <c r="AKP55" i="1" a="1"/>
  <c r="AKP55" i="1" s="1"/>
  <c r="ADP23" i="1" a="1"/>
  <c r="ADP23" i="1" s="1"/>
  <c r="NN23" i="1" a="1"/>
  <c r="NN23" i="1" s="1"/>
  <c r="FS22" i="1"/>
  <c r="BR22" i="1"/>
  <c r="ADO20" i="1" a="1"/>
  <c r="ADO20" i="1" s="1"/>
  <c r="ADK20" i="1" a="1"/>
  <c r="ADK20" i="1" s="1"/>
  <c r="ADG20" i="1" a="1"/>
  <c r="ADG20" i="1" s="1"/>
  <c r="ADC20" i="1" a="1"/>
  <c r="ADC20" i="1" s="1"/>
  <c r="ACY20" i="1" a="1"/>
  <c r="ACY20" i="1" s="1"/>
  <c r="ACU20" i="1" a="1"/>
  <c r="ACU20" i="1" s="1"/>
  <c r="OD20" i="1" a="1"/>
  <c r="OD20" i="1" s="1"/>
  <c r="NY20" i="1" a="1"/>
  <c r="NY20" i="1" s="1"/>
  <c r="NV20" i="1" a="1"/>
  <c r="NV20" i="1" s="1"/>
  <c r="NQ20" i="1" a="1"/>
  <c r="NQ20" i="1" s="1"/>
  <c r="RK20" i="1" s="1"/>
  <c r="NN20" i="1" a="1"/>
  <c r="NN20" i="1" s="1"/>
  <c r="ADN20" i="1" a="1"/>
  <c r="ADN20" i="1" s="1"/>
  <c r="ADJ20" i="1" a="1"/>
  <c r="ADJ20" i="1" s="1"/>
  <c r="ADF20" i="1" a="1"/>
  <c r="ADF20" i="1" s="1"/>
  <c r="ADB20" i="1" a="1"/>
  <c r="ADB20" i="1" s="1"/>
  <c r="ACX20" i="1" a="1"/>
  <c r="ACX20" i="1" s="1"/>
  <c r="ACT20" i="1" a="1"/>
  <c r="ACT20" i="1" s="1"/>
  <c r="AAA20" i="1"/>
  <c r="OF20" i="1" a="1"/>
  <c r="OF20" i="1" s="1"/>
  <c r="OA20" i="1" a="1"/>
  <c r="OA20" i="1" s="1"/>
  <c r="NX20" i="1" a="1"/>
  <c r="NX20" i="1" s="1"/>
  <c r="NS20" i="1" a="1"/>
  <c r="NS20" i="1" s="1"/>
  <c r="NP20" i="1" a="1"/>
  <c r="NP20" i="1" s="1"/>
  <c r="NK20" i="1" a="1"/>
  <c r="NK20" i="1" s="1"/>
  <c r="AQ20" i="1" a="1"/>
  <c r="AQ20" i="1" s="1"/>
  <c r="AKS20" i="1" a="1"/>
  <c r="AKS20" i="1" s="1"/>
  <c r="ADM20" i="1" a="1"/>
  <c r="ADM20" i="1" s="1"/>
  <c r="ADI20" i="1" a="1"/>
  <c r="ADI20" i="1" s="1"/>
  <c r="ADE20" i="1" a="1"/>
  <c r="ADE20" i="1" s="1"/>
  <c r="ADA20" i="1" a="1"/>
  <c r="ADA20" i="1" s="1"/>
  <c r="AGU20" i="1" s="1"/>
  <c r="ACW20" i="1" a="1"/>
  <c r="ACW20" i="1" s="1"/>
  <c r="VO20" i="1" a="1"/>
  <c r="VO20" i="1" s="1"/>
  <c r="OC20" i="1" a="1"/>
  <c r="OC20" i="1" s="1"/>
  <c r="NZ20" i="1" a="1"/>
  <c r="NZ20" i="1" s="1"/>
  <c r="NU20" i="1" a="1"/>
  <c r="NU20" i="1" s="1"/>
  <c r="NR20" i="1" a="1"/>
  <c r="NR20" i="1" s="1"/>
  <c r="NM20" i="1" a="1"/>
  <c r="NM20" i="1" s="1"/>
  <c r="NJ20" i="1" a="1"/>
  <c r="NJ20" i="1" s="1"/>
  <c r="KQ20" i="1"/>
  <c r="AP20" i="1" a="1"/>
  <c r="AP20" i="1" s="1"/>
  <c r="ALD20" i="1" a="1"/>
  <c r="ALD20" i="1" s="1"/>
  <c r="AKN20" i="1" a="1"/>
  <c r="AKN20" i="1" s="1"/>
  <c r="ADP20" i="1" a="1"/>
  <c r="ADP20" i="1" s="1"/>
  <c r="ADL20" i="1" a="1"/>
  <c r="ADL20" i="1" s="1"/>
  <c r="ADH20" i="1" a="1"/>
  <c r="ADH20" i="1" s="1"/>
  <c r="ADD20" i="1" a="1"/>
  <c r="ADD20" i="1" s="1"/>
  <c r="ACZ20" i="1" a="1"/>
  <c r="ACZ20" i="1" s="1"/>
  <c r="ACV20" i="1" a="1"/>
  <c r="ACV20" i="1" s="1"/>
  <c r="VR20" i="1" a="1"/>
  <c r="VR20" i="1" s="1"/>
  <c r="VB20" i="1" a="1"/>
  <c r="VB20" i="1" s="1"/>
  <c r="OE20" i="1" a="1"/>
  <c r="OE20" i="1" s="1"/>
  <c r="OB20" i="1" a="1"/>
  <c r="OB20" i="1" s="1"/>
  <c r="NW20" i="1" a="1"/>
  <c r="NW20" i="1" s="1"/>
  <c r="NT20" i="1" a="1"/>
  <c r="NT20" i="1" s="1"/>
  <c r="NO20" i="1" a="1"/>
  <c r="NO20" i="1" s="1"/>
  <c r="NL20" i="1" a="1"/>
  <c r="NL20" i="1" s="1"/>
  <c r="AR20" i="1" a="1"/>
  <c r="AR20" i="1" s="1"/>
  <c r="SH20" i="1" s="1"/>
  <c r="HQ20" i="1"/>
  <c r="HR20" i="1" s="1"/>
  <c r="ADF23" i="1" a="1"/>
  <c r="ADF23" i="1" s="1"/>
  <c r="OB23" i="1" a="1"/>
  <c r="OB23" i="1" s="1"/>
  <c r="FR22" i="1"/>
  <c r="BQ22" i="1"/>
  <c r="FR20" i="1"/>
  <c r="BQ20" i="1"/>
  <c r="BR21" i="1"/>
  <c r="FS21" i="1"/>
  <c r="FT21" i="1"/>
  <c r="BS21" i="1"/>
  <c r="FU19" i="1"/>
  <c r="BT19" i="1"/>
  <c r="BO19" i="1"/>
  <c r="FP19" i="1"/>
  <c r="AN19" i="1"/>
  <c r="AO19" i="1" s="1" a="1"/>
  <c r="AO19" i="1" s="1"/>
  <c r="FT18" i="1"/>
  <c r="BS18" i="1"/>
  <c r="FO16" i="1"/>
  <c r="BN16" i="1"/>
  <c r="FS13" i="1"/>
  <c r="BR13" i="1"/>
  <c r="BF16" i="1"/>
  <c r="I40" i="1" s="1"/>
  <c r="DE16" i="1" a="1"/>
  <c r="DE16" i="1" s="1"/>
  <c r="DA16" i="1" a="1"/>
  <c r="DA16" i="1" s="1"/>
  <c r="CW16" i="1" a="1"/>
  <c r="CW16" i="1" s="1"/>
  <c r="DD16" i="1" a="1"/>
  <c r="DD16" i="1" s="1"/>
  <c r="CZ16" i="1" a="1"/>
  <c r="CZ16" i="1" s="1"/>
  <c r="DC16" i="1" a="1"/>
  <c r="DC16" i="1" s="1"/>
  <c r="CY16" i="1" a="1"/>
  <c r="CY16" i="1" s="1"/>
  <c r="BE16" i="1"/>
  <c r="H40" i="1" s="1"/>
  <c r="DB16" i="1" a="1"/>
  <c r="DB16" i="1" s="1"/>
  <c r="CX16" i="1" a="1"/>
  <c r="CX16" i="1" s="1"/>
  <c r="BT13" i="1"/>
  <c r="FU13" i="1"/>
  <c r="FP23" i="1"/>
  <c r="BO23" i="1"/>
  <c r="FO23" i="1"/>
  <c r="BN23" i="1"/>
  <c r="HQ19" i="1"/>
  <c r="HR19" i="1" s="1"/>
  <c r="BT16" i="1"/>
  <c r="FU16" i="1"/>
  <c r="HV15" i="1"/>
  <c r="FO13" i="1"/>
  <c r="BN13" i="1"/>
  <c r="HT13" i="1"/>
  <c r="HU13" i="1" s="1"/>
  <c r="HV19" i="1"/>
  <c r="FT16" i="1"/>
  <c r="BS16" i="1"/>
  <c r="FU15" i="1"/>
  <c r="BT15" i="1"/>
  <c r="BD15" i="1"/>
  <c r="G39" i="1" s="1"/>
  <c r="BF15" i="1"/>
  <c r="I39" i="1" s="1"/>
  <c r="DB15" i="1" a="1"/>
  <c r="DB15" i="1" s="1"/>
  <c r="CX15" i="1" a="1"/>
  <c r="CX15" i="1" s="1"/>
  <c r="DE15" i="1" a="1"/>
  <c r="DE15" i="1" s="1"/>
  <c r="DA15" i="1" a="1"/>
  <c r="DA15" i="1" s="1"/>
  <c r="CW15" i="1" a="1"/>
  <c r="CW15" i="1" s="1"/>
  <c r="DD15" i="1" a="1"/>
  <c r="DD15" i="1" s="1"/>
  <c r="CZ15" i="1" a="1"/>
  <c r="CZ15" i="1" s="1"/>
  <c r="DC15" i="1" a="1"/>
  <c r="DC15" i="1" s="1"/>
  <c r="CY15" i="1" a="1"/>
  <c r="CY15" i="1" s="1"/>
  <c r="BH15" i="1"/>
  <c r="K39" i="1" s="1"/>
  <c r="EL15" i="1" a="1"/>
  <c r="EL15" i="1" s="1"/>
  <c r="EH15" i="1" a="1"/>
  <c r="EH15" i="1" s="1"/>
  <c r="EK15" i="1" a="1"/>
  <c r="EK15" i="1" s="1"/>
  <c r="EG15" i="1" a="1"/>
  <c r="EG15" i="1" s="1"/>
  <c r="EN15" i="1" a="1"/>
  <c r="EN15" i="1" s="1"/>
  <c r="EJ15" i="1" a="1"/>
  <c r="EJ15" i="1" s="1"/>
  <c r="EF15" i="1" a="1"/>
  <c r="EF15" i="1" s="1"/>
  <c r="EM15" i="1" a="1"/>
  <c r="EM15" i="1" s="1"/>
  <c r="EI15" i="1" a="1"/>
  <c r="EI15" i="1" s="1"/>
  <c r="FP11" i="1"/>
  <c r="BO11" i="1"/>
  <c r="ALB11" i="1" a="1"/>
  <c r="ALB11" i="1" s="1"/>
  <c r="AKW11" i="1" a="1"/>
  <c r="AKW11" i="1" s="1"/>
  <c r="AKL11" i="1" a="1"/>
  <c r="AKL11" i="1" s="1"/>
  <c r="ADN11" i="1" a="1"/>
  <c r="ADN11" i="1" s="1"/>
  <c r="ADI11" i="1" a="1"/>
  <c r="ADI11" i="1" s="1"/>
  <c r="ADF11" i="1" a="1"/>
  <c r="ADF11" i="1" s="1"/>
  <c r="ADA11" i="1" a="1"/>
  <c r="ADA11" i="1" s="1"/>
  <c r="AGU11" i="1" s="1"/>
  <c r="ACX11" i="1" a="1"/>
  <c r="ACX11" i="1" s="1"/>
  <c r="AQ11" i="1" a="1"/>
  <c r="AQ11" i="1" s="1"/>
  <c r="ALE11" i="1" s="1" a="1"/>
  <c r="ALE11" i="1" s="1"/>
  <c r="ALD11" i="1" a="1"/>
  <c r="ALD11" i="1" s="1"/>
  <c r="AKY11" i="1" a="1"/>
  <c r="AKY11" i="1" s="1"/>
  <c r="AKV11" i="1" a="1"/>
  <c r="AKV11" i="1" s="1"/>
  <c r="AKN11" i="1" a="1"/>
  <c r="AKN11" i="1" s="1"/>
  <c r="ADP11" i="1" a="1"/>
  <c r="ADP11" i="1" s="1"/>
  <c r="ADK11" i="1" a="1"/>
  <c r="ADK11" i="1" s="1"/>
  <c r="ADH11" i="1" a="1"/>
  <c r="ADH11" i="1" s="1"/>
  <c r="ADC11" i="1" a="1"/>
  <c r="ADC11" i="1" s="1"/>
  <c r="ACZ11" i="1" a="1"/>
  <c r="ACZ11" i="1" s="1"/>
  <c r="ACU11" i="1" a="1"/>
  <c r="ACU11" i="1" s="1"/>
  <c r="VU11" i="1" a="1"/>
  <c r="VU11" i="1" s="1"/>
  <c r="VS11" i="1" a="1"/>
  <c r="VS11" i="1" s="1"/>
  <c r="VQ11" i="1" a="1"/>
  <c r="VQ11" i="1" s="1"/>
  <c r="VM11" i="1" a="1"/>
  <c r="VM11" i="1" s="1"/>
  <c r="VK11" i="1" a="1"/>
  <c r="VK11" i="1" s="1"/>
  <c r="VI11" i="1" a="1"/>
  <c r="VI11" i="1" s="1"/>
  <c r="VE11" i="1" a="1"/>
  <c r="VE11" i="1" s="1"/>
  <c r="VC11" i="1" a="1"/>
  <c r="VC11" i="1" s="1"/>
  <c r="VA11" i="1" a="1"/>
  <c r="VA11" i="1" s="1"/>
  <c r="OE11" i="1" a="1"/>
  <c r="OE11" i="1" s="1"/>
  <c r="OC11" i="1" a="1"/>
  <c r="OC11" i="1" s="1"/>
  <c r="OA11" i="1" a="1"/>
  <c r="OA11" i="1" s="1"/>
  <c r="NY11" i="1" a="1"/>
  <c r="NY11" i="1" s="1"/>
  <c r="NW11" i="1" a="1"/>
  <c r="NW11" i="1" s="1"/>
  <c r="NU11" i="1" a="1"/>
  <c r="NU11" i="1" s="1"/>
  <c r="NS11" i="1" a="1"/>
  <c r="NS11" i="1" s="1"/>
  <c r="NQ11" i="1" a="1"/>
  <c r="NQ11" i="1" s="1"/>
  <c r="RK11" i="1" s="1"/>
  <c r="NO11" i="1" a="1"/>
  <c r="NO11" i="1" s="1"/>
  <c r="NM11" i="1" a="1"/>
  <c r="NM11" i="1" s="1"/>
  <c r="NK11" i="1" a="1"/>
  <c r="NK11" i="1" s="1"/>
  <c r="ALF11" i="1" a="1"/>
  <c r="ALF11" i="1" s="1"/>
  <c r="ALA11" i="1" a="1"/>
  <c r="ALA11" i="1" s="1"/>
  <c r="AKX11" i="1" a="1"/>
  <c r="AKX11" i="1" s="1"/>
  <c r="AKP11" i="1" a="1"/>
  <c r="AKP11" i="1" s="1"/>
  <c r="AKK11" i="1" a="1"/>
  <c r="AKK11" i="1" s="1"/>
  <c r="ADM11" i="1" a="1"/>
  <c r="ADM11" i="1" s="1"/>
  <c r="ADJ11" i="1" a="1"/>
  <c r="ADJ11" i="1" s="1"/>
  <c r="ADE11" i="1" a="1"/>
  <c r="ADE11" i="1" s="1"/>
  <c r="ADB11" i="1" a="1"/>
  <c r="ADB11" i="1" s="1"/>
  <c r="ACW11" i="1" a="1"/>
  <c r="ACW11" i="1" s="1"/>
  <c r="ACT11" i="1" a="1"/>
  <c r="ACT11" i="1" s="1"/>
  <c r="AAA11" i="1"/>
  <c r="AKZ11" i="1" a="1"/>
  <c r="AKZ11" i="1" s="1"/>
  <c r="AKR11" i="1" a="1"/>
  <c r="AKR11" i="1" s="1"/>
  <c r="ADO11" i="1" a="1"/>
  <c r="ADO11" i="1" s="1"/>
  <c r="ADL11" i="1" a="1"/>
  <c r="ADL11" i="1" s="1"/>
  <c r="ADG11" i="1" a="1"/>
  <c r="ADG11" i="1" s="1"/>
  <c r="ADD11" i="1" a="1"/>
  <c r="ADD11" i="1" s="1"/>
  <c r="ACY11" i="1" a="1"/>
  <c r="ACY11" i="1" s="1"/>
  <c r="ACV11" i="1" a="1"/>
  <c r="ACV11" i="1" s="1"/>
  <c r="VT11" i="1" a="1"/>
  <c r="VT11" i="1" s="1"/>
  <c r="VR11" i="1" a="1"/>
  <c r="VR11" i="1" s="1"/>
  <c r="VN11" i="1" a="1"/>
  <c r="VN11" i="1" s="1"/>
  <c r="VF11" i="1" a="1"/>
  <c r="VF11" i="1" s="1"/>
  <c r="VB11" i="1" a="1"/>
  <c r="VB11" i="1" s="1"/>
  <c r="OF11" i="1" a="1"/>
  <c r="OF11" i="1" s="1"/>
  <c r="OB11" i="1" a="1"/>
  <c r="OB11" i="1" s="1"/>
  <c r="NX11" i="1" a="1"/>
  <c r="NX11" i="1" s="1"/>
  <c r="NT11" i="1" a="1"/>
  <c r="NT11" i="1" s="1"/>
  <c r="NP11" i="1" a="1"/>
  <c r="NP11" i="1" s="1"/>
  <c r="NL11" i="1" a="1"/>
  <c r="NL11" i="1" s="1"/>
  <c r="KQ11" i="1"/>
  <c r="AR11" i="1" a="1"/>
  <c r="AR11" i="1" s="1"/>
  <c r="AHR11" i="1" s="1"/>
  <c r="ALC11" i="1" a="1"/>
  <c r="ALC11" i="1" s="1"/>
  <c r="AKM11" i="1" a="1"/>
  <c r="AKM11" i="1" s="1"/>
  <c r="VV11" i="1" a="1"/>
  <c r="VV11" i="1" s="1"/>
  <c r="VP11" i="1" a="1"/>
  <c r="VP11" i="1" s="1"/>
  <c r="VH11" i="1" a="1"/>
  <c r="VH11" i="1" s="1"/>
  <c r="VD11" i="1" a="1"/>
  <c r="VD11" i="1" s="1"/>
  <c r="OD11" i="1" a="1"/>
  <c r="OD11" i="1" s="1"/>
  <c r="NZ11" i="1" a="1"/>
  <c r="NZ11" i="1" s="1"/>
  <c r="NV11" i="1" a="1"/>
  <c r="NV11" i="1" s="1"/>
  <c r="NR11" i="1" a="1"/>
  <c r="NR11" i="1" s="1"/>
  <c r="NN11" i="1" a="1"/>
  <c r="NN11" i="1" s="1"/>
  <c r="NJ11" i="1" a="1"/>
  <c r="NJ11" i="1" s="1"/>
  <c r="AP11" i="1" a="1"/>
  <c r="AP11" i="1" s="1"/>
  <c r="FS11" i="1"/>
  <c r="BR11" i="1"/>
  <c r="EM11" i="1" a="1"/>
  <c r="EM11" i="1" s="1"/>
  <c r="EK11" i="1" a="1"/>
  <c r="EK11" i="1" s="1"/>
  <c r="EI11" i="1" a="1"/>
  <c r="EI11" i="1" s="1"/>
  <c r="EG11" i="1" a="1"/>
  <c r="EG11" i="1" s="1"/>
  <c r="BH11" i="1"/>
  <c r="K35" i="1" s="1"/>
  <c r="EN11" i="1" a="1"/>
  <c r="EN11" i="1" s="1"/>
  <c r="EL11" i="1" a="1"/>
  <c r="EL11" i="1" s="1"/>
  <c r="EH11" i="1" a="1"/>
  <c r="EH11" i="1" s="1"/>
  <c r="EJ11" i="1" a="1"/>
  <c r="EJ11" i="1" s="1"/>
  <c r="EF11" i="1" a="1"/>
  <c r="EF11" i="1" s="1"/>
  <c r="BS10" i="1"/>
  <c r="FT10" i="1"/>
  <c r="BH10" i="1"/>
  <c r="K34" i="1" s="1"/>
  <c r="EJ10" i="1" a="1"/>
  <c r="EJ10" i="1" s="1"/>
  <c r="EF10" i="1" a="1"/>
  <c r="EF10" i="1" s="1"/>
  <c r="EM10" i="1" a="1"/>
  <c r="EM10" i="1" s="1"/>
  <c r="EI10" i="1" a="1"/>
  <c r="EI10" i="1" s="1"/>
  <c r="EN10" i="1" a="1"/>
  <c r="EN10" i="1" s="1"/>
  <c r="EL10" i="1" a="1"/>
  <c r="EL10" i="1" s="1"/>
  <c r="EH10" i="1" a="1"/>
  <c r="EH10" i="1" s="1"/>
  <c r="EK10" i="1" a="1"/>
  <c r="EK10" i="1" s="1"/>
  <c r="EG10" i="1" a="1"/>
  <c r="EG10" i="1" s="1"/>
  <c r="AHR17" i="1"/>
  <c r="ADO17" i="1" a="1"/>
  <c r="ADO17" i="1" s="1"/>
  <c r="ADM17" i="1" a="1"/>
  <c r="ADM17" i="1" s="1"/>
  <c r="ADK17" i="1" a="1"/>
  <c r="ADK17" i="1" s="1"/>
  <c r="ADI17" i="1" a="1"/>
  <c r="ADI17" i="1" s="1"/>
  <c r="ADG17" i="1" a="1"/>
  <c r="ADG17" i="1" s="1"/>
  <c r="ADE17" i="1" a="1"/>
  <c r="ADE17" i="1" s="1"/>
  <c r="ADC17" i="1" a="1"/>
  <c r="ADC17" i="1" s="1"/>
  <c r="ADA17" i="1" a="1"/>
  <c r="ADA17" i="1" s="1"/>
  <c r="AGU17" i="1" s="1"/>
  <c r="ACY17" i="1" a="1"/>
  <c r="ACY17" i="1" s="1"/>
  <c r="ACW17" i="1" a="1"/>
  <c r="ACW17" i="1" s="1"/>
  <c r="ACU17" i="1" a="1"/>
  <c r="ACU17" i="1" s="1"/>
  <c r="SH17" i="1"/>
  <c r="OE17" i="1" a="1"/>
  <c r="OE17" i="1" s="1"/>
  <c r="OC17" i="1" a="1"/>
  <c r="OC17" i="1" s="1"/>
  <c r="OA17" i="1" a="1"/>
  <c r="OA17" i="1" s="1"/>
  <c r="NY17" i="1" a="1"/>
  <c r="NY17" i="1" s="1"/>
  <c r="NW17" i="1" a="1"/>
  <c r="NW17" i="1" s="1"/>
  <c r="NU17" i="1" a="1"/>
  <c r="NU17" i="1" s="1"/>
  <c r="NS17" i="1" a="1"/>
  <c r="NS17" i="1" s="1"/>
  <c r="NQ17" i="1" a="1"/>
  <c r="NQ17" i="1" s="1"/>
  <c r="RK17" i="1" s="1"/>
  <c r="NO17" i="1" a="1"/>
  <c r="NO17" i="1" s="1"/>
  <c r="NM17" i="1" a="1"/>
  <c r="NM17" i="1" s="1"/>
  <c r="NK17" i="1" a="1"/>
  <c r="NK17" i="1" s="1"/>
  <c r="ADP17" i="1" a="1"/>
  <c r="ADP17" i="1" s="1"/>
  <c r="ADH17" i="1" a="1"/>
  <c r="ADH17" i="1" s="1"/>
  <c r="ACZ17" i="1" a="1"/>
  <c r="ACZ17" i="1" s="1"/>
  <c r="OD17" i="1" a="1"/>
  <c r="OD17" i="1" s="1"/>
  <c r="NV17" i="1" a="1"/>
  <c r="NV17" i="1" s="1"/>
  <c r="NN17" i="1" a="1"/>
  <c r="NN17" i="1" s="1"/>
  <c r="AP17" i="1" a="1"/>
  <c r="AP17" i="1" s="1"/>
  <c r="ADN17" i="1" a="1"/>
  <c r="ADN17" i="1" s="1"/>
  <c r="ADF17" i="1" a="1"/>
  <c r="ADF17" i="1" s="1"/>
  <c r="ACX17" i="1" a="1"/>
  <c r="ACX17" i="1" s="1"/>
  <c r="OB17" i="1" a="1"/>
  <c r="OB17" i="1" s="1"/>
  <c r="NT17" i="1" a="1"/>
  <c r="NT17" i="1" s="1"/>
  <c r="NL17" i="1" a="1"/>
  <c r="NL17" i="1" s="1"/>
  <c r="ADL17" i="1" a="1"/>
  <c r="ADL17" i="1" s="1"/>
  <c r="ADD17" i="1" a="1"/>
  <c r="ADD17" i="1" s="1"/>
  <c r="ACV17" i="1" a="1"/>
  <c r="ACV17" i="1" s="1"/>
  <c r="NZ17" i="1" a="1"/>
  <c r="NZ17" i="1" s="1"/>
  <c r="NR17" i="1" a="1"/>
  <c r="NR17" i="1" s="1"/>
  <c r="RL17" i="1" s="1"/>
  <c r="NJ17" i="1" a="1"/>
  <c r="NJ17" i="1" s="1"/>
  <c r="KQ17" i="1"/>
  <c r="AR17" i="1" a="1"/>
  <c r="AR17" i="1" s="1"/>
  <c r="ADJ17" i="1" a="1"/>
  <c r="ADJ17" i="1" s="1"/>
  <c r="ADB17" i="1" a="1"/>
  <c r="ADB17" i="1" s="1"/>
  <c r="ACT17" i="1" a="1"/>
  <c r="ACT17" i="1" s="1"/>
  <c r="AAA17" i="1"/>
  <c r="OF17" i="1" a="1"/>
  <c r="OF17" i="1" s="1"/>
  <c r="NX17" i="1" a="1"/>
  <c r="NX17" i="1" s="1"/>
  <c r="NP17" i="1" a="1"/>
  <c r="NP17" i="1" s="1"/>
  <c r="AQ17" i="1" a="1"/>
  <c r="AQ17" i="1" s="1"/>
  <c r="FR17" i="1"/>
  <c r="BQ17" i="1"/>
  <c r="BQ14" i="1"/>
  <c r="FR14" i="1"/>
  <c r="BT14" i="1"/>
  <c r="FU14" i="1"/>
  <c r="EJ14" i="1" a="1"/>
  <c r="EJ14" i="1" s="1"/>
  <c r="EG14" i="1" a="1"/>
  <c r="EG14" i="1" s="1"/>
  <c r="EL14" i="1" a="1"/>
  <c r="EL14" i="1" s="1"/>
  <c r="EI14" i="1" a="1"/>
  <c r="EI14" i="1" s="1"/>
  <c r="EN14" i="1" a="1"/>
  <c r="EN14" i="1" s="1"/>
  <c r="EK14" i="1" a="1"/>
  <c r="EK14" i="1" s="1"/>
  <c r="EF14" i="1" a="1"/>
  <c r="EF14" i="1" s="1"/>
  <c r="EM14" i="1" a="1"/>
  <c r="EM14" i="1" s="1"/>
  <c r="EH14" i="1" a="1"/>
  <c r="EH14" i="1" s="1"/>
  <c r="BH14" i="1"/>
  <c r="K38" i="1" s="1"/>
  <c r="VN10" i="1" a="1"/>
  <c r="VN10" i="1" s="1"/>
  <c r="AKZ10" i="1" a="1"/>
  <c r="AKZ10" i="1" s="1"/>
  <c r="FQ12" i="1"/>
  <c r="BP12" i="1"/>
  <c r="BQ12" i="1"/>
  <c r="FR12" i="1"/>
  <c r="FU12" i="1"/>
  <c r="BT12" i="1"/>
  <c r="EL12" i="1" a="1"/>
  <c r="EL12" i="1" s="1"/>
  <c r="EI12" i="1" a="1"/>
  <c r="EI12" i="1" s="1"/>
  <c r="EN12" i="1" a="1"/>
  <c r="EN12" i="1" s="1"/>
  <c r="EK12" i="1" a="1"/>
  <c r="EK12" i="1" s="1"/>
  <c r="EF12" i="1" a="1"/>
  <c r="EF12" i="1" s="1"/>
  <c r="EM12" i="1" a="1"/>
  <c r="EM12" i="1" s="1"/>
  <c r="EH12" i="1" a="1"/>
  <c r="EH12" i="1" s="1"/>
  <c r="EJ12" i="1" a="1"/>
  <c r="EJ12" i="1" s="1"/>
  <c r="EG12" i="1" a="1"/>
  <c r="EG12" i="1" s="1"/>
  <c r="BG12" i="1"/>
  <c r="J36" i="1" s="1"/>
  <c r="ADB78" i="1" a="1"/>
  <c r="ADB78" i="1" s="1"/>
  <c r="AGV78" i="1" s="1"/>
  <c r="ADE78" i="1" a="1"/>
  <c r="ADE78" i="1" s="1"/>
  <c r="AGY78" i="1" s="1"/>
  <c r="IY77" i="1"/>
  <c r="EM78" i="1" a="1"/>
  <c r="EM78" i="1" s="1"/>
  <c r="EK78" i="1" a="1"/>
  <c r="EK78" i="1" s="1"/>
  <c r="EI78" i="1" a="1"/>
  <c r="EI78" i="1" s="1"/>
  <c r="EL78" i="1" a="1"/>
  <c r="EL78" i="1" s="1"/>
  <c r="EG78" i="1" a="1"/>
  <c r="EG78" i="1" s="1"/>
  <c r="BH78" i="1"/>
  <c r="EN78" i="1" a="1"/>
  <c r="EN78" i="1" s="1"/>
  <c r="EH78" i="1" a="1"/>
  <c r="EH78" i="1" s="1"/>
  <c r="EF78" i="1" a="1"/>
  <c r="EF78" i="1" s="1"/>
  <c r="EJ78" i="1" a="1"/>
  <c r="EJ78" i="1" s="1"/>
  <c r="RK77" i="1"/>
  <c r="RL77" i="1" s="1"/>
  <c r="ADL78" i="1" a="1"/>
  <c r="ADL78" i="1" s="1"/>
  <c r="HO78" i="1"/>
  <c r="RO78" i="1"/>
  <c r="ADF78" i="1" a="1"/>
  <c r="ADF78" i="1" s="1"/>
  <c r="ADG78" i="1" a="1"/>
  <c r="ADG78" i="1" s="1"/>
  <c r="HP78" i="1"/>
  <c r="ADH78" i="1" a="1"/>
  <c r="ADH78" i="1" s="1"/>
  <c r="IG78" i="1" a="1"/>
  <c r="IG78" i="1" s="1"/>
  <c r="AGI77" i="1"/>
  <c r="IW77" i="1"/>
  <c r="HO77" i="1"/>
  <c r="HQ77" i="1" s="1"/>
  <c r="HR77" i="1" s="1"/>
  <c r="IL78" i="1" a="1"/>
  <c r="IL78" i="1" s="1"/>
  <c r="IF78" i="1" a="1"/>
  <c r="IF78" i="1" s="1"/>
  <c r="AF78" i="1" s="1"/>
  <c r="IO78" i="1" a="1"/>
  <c r="IO78" i="1" s="1"/>
  <c r="AKU76" i="1" a="1"/>
  <c r="AKU76" i="1" s="1"/>
  <c r="AKS76" i="1" a="1"/>
  <c r="AKS76" i="1" s="1"/>
  <c r="VW76" i="1" a="1"/>
  <c r="VW76" i="1" s="1"/>
  <c r="VG76" i="1" a="1"/>
  <c r="VG76" i="1" s="1"/>
  <c r="AKQ76" i="1" a="1"/>
  <c r="AKQ76" i="1" s="1"/>
  <c r="VN76" i="1" a="1"/>
  <c r="VN76" i="1" s="1"/>
  <c r="SU76" i="1" a="1"/>
  <c r="SU76" i="1" s="1"/>
  <c r="AKL76" i="1" a="1"/>
  <c r="AKL76" i="1" s="1"/>
  <c r="AKT76" i="1" a="1"/>
  <c r="AKT76" i="1" s="1"/>
  <c r="ALB76" i="1" a="1"/>
  <c r="ALB76" i="1" s="1"/>
  <c r="HF76" i="1" a="1"/>
  <c r="HF76" i="1" s="1"/>
  <c r="HO76" i="1" s="1"/>
  <c r="HQ76" i="1" s="1"/>
  <c r="HR76" i="1" s="1"/>
  <c r="IJ77" i="1" a="1"/>
  <c r="IJ77" i="1" s="1"/>
  <c r="AJ77" i="1" s="1"/>
  <c r="IK77" i="1" a="1"/>
  <c r="IK77" i="1" s="1"/>
  <c r="AK77" i="1" s="1"/>
  <c r="IN77" i="1" a="1"/>
  <c r="IN77" i="1" s="1"/>
  <c r="BA77" i="1" s="1"/>
  <c r="BV77" i="1" s="1"/>
  <c r="HT74" i="1"/>
  <c r="HU74" i="1" s="1"/>
  <c r="VU76" i="1" a="1"/>
  <c r="VU76" i="1" s="1"/>
  <c r="AKW76" i="1" a="1"/>
  <c r="AKW76" i="1" s="1"/>
  <c r="ALE76" i="1" a="1"/>
  <c r="ALE76" i="1" s="1"/>
  <c r="VA76" i="1" a="1"/>
  <c r="VA76" i="1" s="1"/>
  <c r="QI76" i="1"/>
  <c r="KV76" i="1"/>
  <c r="KR76" i="1"/>
  <c r="QX76" i="1" s="1" a="1"/>
  <c r="QX76" i="1" s="1"/>
  <c r="QY76" i="1" s="1"/>
  <c r="QZ76" i="1"/>
  <c r="KS76" i="1"/>
  <c r="KU76" i="1"/>
  <c r="KT76" i="1"/>
  <c r="ANJ74" i="1"/>
  <c r="AHW74" i="1"/>
  <c r="AHS74" i="1"/>
  <c r="ANY74" i="1" s="1" a="1"/>
  <c r="ANY74" i="1" s="1"/>
  <c r="ANZ74" i="1" s="1"/>
  <c r="AHV74" i="1"/>
  <c r="AHU74" i="1"/>
  <c r="AOA74" i="1"/>
  <c r="AHT74" i="1"/>
  <c r="HP73" i="1"/>
  <c r="HQ71" i="1"/>
  <c r="HR71" i="1" s="1"/>
  <c r="IJ76" i="1" a="1"/>
  <c r="IJ76" i="1" s="1"/>
  <c r="AJ76" i="1" s="1"/>
  <c r="IK76" i="1" a="1"/>
  <c r="IK76" i="1" s="1"/>
  <c r="AK76" i="1" s="1"/>
  <c r="IN76" i="1" a="1"/>
  <c r="IN76" i="1" s="1"/>
  <c r="BA76" i="1" s="1"/>
  <c r="BV76" i="1" s="1"/>
  <c r="HM75" i="1" a="1"/>
  <c r="HM75" i="1" s="1"/>
  <c r="NY75" i="1" a="1"/>
  <c r="NY75" i="1" s="1"/>
  <c r="ADE75" i="1" a="1"/>
  <c r="ADE75" i="1" s="1"/>
  <c r="NJ75" i="1" a="1"/>
  <c r="NJ75" i="1" s="1"/>
  <c r="NR75" i="1" a="1"/>
  <c r="NR75" i="1" s="1"/>
  <c r="RL75" i="1" s="1"/>
  <c r="NZ75" i="1" a="1"/>
  <c r="NZ75" i="1" s="1"/>
  <c r="ADC75" i="1" a="1"/>
  <c r="ADC75" i="1" s="1"/>
  <c r="ACV75" i="1" a="1"/>
  <c r="ACV75" i="1" s="1"/>
  <c r="ADD75" i="1" a="1"/>
  <c r="ADD75" i="1" s="1"/>
  <c r="ADL75" i="1" a="1"/>
  <c r="ADL75" i="1" s="1"/>
  <c r="RR73" i="1"/>
  <c r="BR75" i="1"/>
  <c r="FS75" i="1"/>
  <c r="EN75" i="1" a="1"/>
  <c r="EN75" i="1" s="1"/>
  <c r="EL75" i="1" a="1"/>
  <c r="EL75" i="1" s="1"/>
  <c r="EJ75" i="1" a="1"/>
  <c r="EJ75" i="1" s="1"/>
  <c r="EH75" i="1" a="1"/>
  <c r="EH75" i="1" s="1"/>
  <c r="EF75" i="1" a="1"/>
  <c r="EF75" i="1" s="1"/>
  <c r="EM75" i="1" a="1"/>
  <c r="EM75" i="1" s="1"/>
  <c r="EK75" i="1" a="1"/>
  <c r="EK75" i="1" s="1"/>
  <c r="EI75" i="1" a="1"/>
  <c r="EI75" i="1" s="1"/>
  <c r="EG75" i="1" a="1"/>
  <c r="EG75" i="1" s="1"/>
  <c r="BH75" i="1"/>
  <c r="BU75" i="1"/>
  <c r="FV75" i="1"/>
  <c r="RX74" i="1"/>
  <c r="HI73" i="1" a="1"/>
  <c r="HI73" i="1" s="1"/>
  <c r="HW73" i="1" s="1"/>
  <c r="AIB73" i="1" a="1"/>
  <c r="AIB73" i="1" s="1"/>
  <c r="AKO73" i="1" a="1"/>
  <c r="AKO73" i="1" s="1"/>
  <c r="AKW73" i="1" a="1"/>
  <c r="AKW73" i="1" s="1"/>
  <c r="ALE73" i="1" a="1"/>
  <c r="ALE73" i="1" s="1"/>
  <c r="VD73" i="1" a="1"/>
  <c r="VD73" i="1" s="1"/>
  <c r="VL73" i="1" a="1"/>
  <c r="VL73" i="1" s="1"/>
  <c r="VT73" i="1" a="1"/>
  <c r="VT73" i="1" s="1"/>
  <c r="AHH73" i="1"/>
  <c r="AIA73" i="1" a="1"/>
  <c r="AIA73" i="1" s="1"/>
  <c r="AKN73" i="1" a="1"/>
  <c r="AKN73" i="1" s="1"/>
  <c r="AKV73" i="1" a="1"/>
  <c r="AKV73" i="1" s="1"/>
  <c r="ALD73" i="1" a="1"/>
  <c r="ALD73" i="1" s="1"/>
  <c r="IJ72" i="1" a="1"/>
  <c r="IJ72" i="1" s="1"/>
  <c r="AJ72" i="1" s="1"/>
  <c r="IR72" i="1" a="1"/>
  <c r="IR72" i="1" s="1"/>
  <c r="AU72" i="1" s="1"/>
  <c r="BF73" i="1"/>
  <c r="DE73" i="1" a="1"/>
  <c r="DE73" i="1" s="1"/>
  <c r="DC73" i="1" a="1"/>
  <c r="DC73" i="1" s="1"/>
  <c r="DA73" i="1" a="1"/>
  <c r="DA73" i="1" s="1"/>
  <c r="CY73" i="1" a="1"/>
  <c r="CY73" i="1" s="1"/>
  <c r="CW73" i="1" a="1"/>
  <c r="CW73" i="1" s="1"/>
  <c r="BD73" i="1"/>
  <c r="CZ73" i="1" a="1"/>
  <c r="CZ73" i="1" s="1"/>
  <c r="CX73" i="1" a="1"/>
  <c r="CX73" i="1" s="1"/>
  <c r="DD73" i="1" a="1"/>
  <c r="DD73" i="1" s="1"/>
  <c r="DB73" i="1" a="1"/>
  <c r="DB73" i="1" s="1"/>
  <c r="IG74" i="1" a="1"/>
  <c r="IG74" i="1" s="1"/>
  <c r="IL74" i="1" a="1"/>
  <c r="IL74" i="1" s="1"/>
  <c r="IQ74" i="1" a="1"/>
  <c r="IQ74" i="1" s="1"/>
  <c r="AT74" i="1" s="1"/>
  <c r="IR74" i="1" a="1"/>
  <c r="IR74" i="1" s="1"/>
  <c r="AU74" i="1" s="1"/>
  <c r="FO73" i="1"/>
  <c r="BN73" i="1"/>
  <c r="ACV72" i="1" a="1"/>
  <c r="ACV72" i="1" s="1"/>
  <c r="ADD72" i="1" a="1"/>
  <c r="ADD72" i="1" s="1"/>
  <c r="ADL72" i="1" a="1"/>
  <c r="ADL72" i="1" s="1"/>
  <c r="RO72" i="1"/>
  <c r="ACW72" i="1" a="1"/>
  <c r="ACW72" i="1" s="1"/>
  <c r="ADE72" i="1" a="1"/>
  <c r="ADE72" i="1" s="1"/>
  <c r="ADM72" i="1" a="1"/>
  <c r="ADM72" i="1" s="1"/>
  <c r="IK71" i="1" a="1"/>
  <c r="IK71" i="1" s="1"/>
  <c r="AK71" i="1" s="1"/>
  <c r="IL71" i="1" a="1"/>
  <c r="IL71" i="1" s="1"/>
  <c r="IO71" i="1" a="1"/>
  <c r="IO71" i="1" s="1"/>
  <c r="KT71" i="1"/>
  <c r="QZ71" i="1"/>
  <c r="QI71" i="1"/>
  <c r="KS71" i="1"/>
  <c r="KR71" i="1"/>
  <c r="QX71" i="1" s="1" a="1"/>
  <c r="QX71" i="1" s="1"/>
  <c r="QY71" i="1" s="1"/>
  <c r="KV71" i="1"/>
  <c r="KU71" i="1"/>
  <c r="RR71" i="1" s="1"/>
  <c r="AGV71" i="1"/>
  <c r="IV62" i="1"/>
  <c r="IY63" i="1"/>
  <c r="IW63" i="1"/>
  <c r="ADH63" i="1" a="1"/>
  <c r="ADH63" i="1" s="1"/>
  <c r="ADI63" i="1" a="1"/>
  <c r="ADI63" i="1" s="1"/>
  <c r="ACY63" i="1" a="1"/>
  <c r="ACY63" i="1" s="1"/>
  <c r="ADO63" i="1" a="1"/>
  <c r="ADO63" i="1" s="1"/>
  <c r="RK63" i="1"/>
  <c r="RL63" i="1" s="1"/>
  <c r="ADJ62" i="1" a="1"/>
  <c r="ADJ62" i="1" s="1"/>
  <c r="ACT62" i="1" a="1"/>
  <c r="ACT62" i="1" s="1"/>
  <c r="HI62" i="1" a="1"/>
  <c r="HI62" i="1" s="1"/>
  <c r="HG62" i="1" a="1"/>
  <c r="HG62" i="1" s="1"/>
  <c r="HQ62" i="1" s="1"/>
  <c r="HR62" i="1" s="1"/>
  <c r="HK62" i="1" a="1"/>
  <c r="HK62" i="1" s="1"/>
  <c r="HP62" i="1" s="1"/>
  <c r="IN71" i="1" a="1"/>
  <c r="IN71" i="1" s="1"/>
  <c r="BA71" i="1" s="1"/>
  <c r="BV71" i="1" s="1"/>
  <c r="HM63" i="1" a="1"/>
  <c r="HM63" i="1" s="1"/>
  <c r="ADO62" i="1" a="1"/>
  <c r="ADO62" i="1" s="1"/>
  <c r="ACY62" i="1" a="1"/>
  <c r="ACY62" i="1" s="1"/>
  <c r="RL62" i="1"/>
  <c r="ADA62" i="1" a="1"/>
  <c r="ADA62" i="1" s="1"/>
  <c r="AGU62" i="1" s="1"/>
  <c r="BS61" i="1"/>
  <c r="FT61" i="1"/>
  <c r="OB60" i="1" a="1"/>
  <c r="OB60" i="1" s="1"/>
  <c r="NL60" i="1" a="1"/>
  <c r="NL60" i="1" s="1"/>
  <c r="HK60" i="1" a="1"/>
  <c r="HK60" i="1" s="1"/>
  <c r="HP60" i="1" s="1"/>
  <c r="FQ62" i="1"/>
  <c r="BP62" i="1"/>
  <c r="FT62" i="1"/>
  <c r="BS62" i="1"/>
  <c r="RK61" i="1"/>
  <c r="RL61" i="1" s="1"/>
  <c r="ADK60" i="1" a="1"/>
  <c r="ADK60" i="1" s="1"/>
  <c r="ACU60" i="1" a="1"/>
  <c r="ACU60" i="1" s="1"/>
  <c r="OD60" i="1" a="1"/>
  <c r="OD60" i="1" s="1"/>
  <c r="NN60" i="1" a="1"/>
  <c r="NN60" i="1" s="1"/>
  <c r="HJ60" i="1" a="1"/>
  <c r="HJ60" i="1" s="1"/>
  <c r="HV60" i="1" s="1"/>
  <c r="ADF62" i="1" a="1"/>
  <c r="ADF62" i="1" s="1"/>
  <c r="KQ62" i="1"/>
  <c r="FS61" i="1"/>
  <c r="BR61" i="1"/>
  <c r="ACU61" i="1" a="1"/>
  <c r="ACU61" i="1" s="1"/>
  <c r="ADC61" i="1" a="1"/>
  <c r="ADC61" i="1" s="1"/>
  <c r="ADK61" i="1" a="1"/>
  <c r="ADK61" i="1" s="1"/>
  <c r="AKM61" i="1" a="1"/>
  <c r="AKM61" i="1" s="1"/>
  <c r="AKU61" i="1" a="1"/>
  <c r="AKU61" i="1" s="1"/>
  <c r="ALC61" i="1" a="1"/>
  <c r="ALC61" i="1" s="1"/>
  <c r="HO61" i="1"/>
  <c r="HQ61" i="1" s="1"/>
  <c r="HR61" i="1" s="1"/>
  <c r="HT61" i="1" s="1"/>
  <c r="HU61" i="1" s="1"/>
  <c r="IQ61" i="1" a="1"/>
  <c r="IQ61" i="1" s="1"/>
  <c r="AT61" i="1" s="1"/>
  <c r="IL61" i="1" a="1"/>
  <c r="IL61" i="1" s="1"/>
  <c r="AL61" i="1" s="1"/>
  <c r="II61" i="1" a="1"/>
  <c r="II61" i="1" s="1"/>
  <c r="AI61" i="1" s="1"/>
  <c r="ACT61" i="1" a="1"/>
  <c r="ACT61" i="1" s="1"/>
  <c r="ADB61" i="1" a="1"/>
  <c r="ADB61" i="1" s="1"/>
  <c r="AGV61" i="1" s="1"/>
  <c r="ADJ61" i="1" a="1"/>
  <c r="ADJ61" i="1" s="1"/>
  <c r="AKR61" i="1" a="1"/>
  <c r="AKR61" i="1" s="1"/>
  <c r="AKZ61" i="1" a="1"/>
  <c r="AKZ61" i="1" s="1"/>
  <c r="ADE60" i="1" a="1"/>
  <c r="ADE60" i="1" s="1"/>
  <c r="NX60" i="1" a="1"/>
  <c r="NX60" i="1" s="1"/>
  <c r="II63" i="1" a="1"/>
  <c r="II63" i="1" s="1"/>
  <c r="AI63" i="1" s="1"/>
  <c r="IJ63" i="1" a="1"/>
  <c r="IJ63" i="1" s="1"/>
  <c r="AJ63" i="1" s="1"/>
  <c r="IM63" i="1" a="1"/>
  <c r="IM63" i="1" s="1"/>
  <c r="AM63" i="1" s="1"/>
  <c r="VC62" i="1" a="1"/>
  <c r="VC62" i="1" s="1"/>
  <c r="VI61" i="1" a="1"/>
  <c r="VI61" i="1" s="1"/>
  <c r="OF61" i="1" a="1"/>
  <c r="OF61" i="1" s="1"/>
  <c r="NP61" i="1" a="1"/>
  <c r="NP61" i="1" s="1"/>
  <c r="ADD60" i="1" a="1"/>
  <c r="ADD60" i="1" s="1"/>
  <c r="IQ60" i="1" a="1"/>
  <c r="IQ60" i="1" s="1"/>
  <c r="AT60" i="1" s="1"/>
  <c r="IJ60" i="1" a="1"/>
  <c r="IJ60" i="1" s="1"/>
  <c r="AJ60" i="1" s="1"/>
  <c r="IK60" i="1" a="1"/>
  <c r="IK60" i="1" s="1"/>
  <c r="AK60" i="1" s="1"/>
  <c r="AKV57" i="1" a="1"/>
  <c r="AKV57" i="1" s="1"/>
  <c r="ADE57" i="1" a="1"/>
  <c r="ADE57" i="1" s="1"/>
  <c r="AGY57" i="1" s="1"/>
  <c r="VR57" i="1" a="1"/>
  <c r="VR57" i="1" s="1"/>
  <c r="VB57" i="1" a="1"/>
  <c r="VB57" i="1" s="1"/>
  <c r="NS57" i="1" a="1"/>
  <c r="NS57" i="1" s="1"/>
  <c r="HQ57" i="1"/>
  <c r="HR57" i="1" s="1"/>
  <c r="FV57" i="1"/>
  <c r="BU57" i="1"/>
  <c r="ADI58" i="1" a="1"/>
  <c r="ADI58" i="1" s="1"/>
  <c r="IG58" i="1" a="1"/>
  <c r="IG58" i="1" s="1"/>
  <c r="AG58" i="1" s="1"/>
  <c r="AAA58" i="1"/>
  <c r="AHR58" i="1"/>
  <c r="AR58" i="1" a="1"/>
  <c r="AR58" i="1" s="1"/>
  <c r="KQ58" i="1"/>
  <c r="AQ58" i="1" a="1"/>
  <c r="AQ58" i="1" s="1"/>
  <c r="ADO58" i="1" a="1"/>
  <c r="ADO58" i="1" s="1"/>
  <c r="ADK58" i="1" a="1"/>
  <c r="ADK58" i="1" s="1"/>
  <c r="ADG58" i="1" a="1"/>
  <c r="ADG58" i="1" s="1"/>
  <c r="ADC58" i="1" a="1"/>
  <c r="ADC58" i="1" s="1"/>
  <c r="ACY58" i="1" a="1"/>
  <c r="ACY58" i="1" s="1"/>
  <c r="ACU58" i="1" a="1"/>
  <c r="ACU58" i="1" s="1"/>
  <c r="VM58" i="1" a="1"/>
  <c r="VM58" i="1" s="1"/>
  <c r="SH58" i="1"/>
  <c r="OC58" i="1" a="1"/>
  <c r="OC58" i="1" s="1"/>
  <c r="NY58" i="1" a="1"/>
  <c r="NY58" i="1" s="1"/>
  <c r="NU58" i="1" a="1"/>
  <c r="NU58" i="1" s="1"/>
  <c r="RO58" i="1" s="1"/>
  <c r="NQ58" i="1" a="1"/>
  <c r="NQ58" i="1" s="1"/>
  <c r="RK58" i="1" s="1"/>
  <c r="NM58" i="1" a="1"/>
  <c r="NM58" i="1" s="1"/>
  <c r="AKS58" i="1" a="1"/>
  <c r="AKS58" i="1" s="1"/>
  <c r="ALC57" i="1" a="1"/>
  <c r="ALC57" i="1" s="1"/>
  <c r="AKM57" i="1" a="1"/>
  <c r="AKM57" i="1" s="1"/>
  <c r="ADB57" i="1" a="1"/>
  <c r="ADB57" i="1" s="1"/>
  <c r="AGV57" i="1" s="1"/>
  <c r="VT57" i="1" a="1"/>
  <c r="VT57" i="1" s="1"/>
  <c r="VD57" i="1" a="1"/>
  <c r="VD57" i="1" s="1"/>
  <c r="OC57" i="1" a="1"/>
  <c r="OC57" i="1" s="1"/>
  <c r="NM57" i="1" a="1"/>
  <c r="NM57" i="1" s="1"/>
  <c r="ADH58" i="1" a="1"/>
  <c r="ADH58" i="1" s="1"/>
  <c r="NZ58" i="1" a="1"/>
  <c r="NZ58" i="1" s="1"/>
  <c r="NJ58" i="1" a="1"/>
  <c r="NJ58" i="1" s="1"/>
  <c r="IN58" i="1" a="1"/>
  <c r="IN58" i="1" s="1"/>
  <c r="BA58" i="1" s="1"/>
  <c r="BV58" i="1" s="1"/>
  <c r="AKR57" i="1" a="1"/>
  <c r="AKR57" i="1" s="1"/>
  <c r="ADI57" i="1" a="1"/>
  <c r="ADI57" i="1" s="1"/>
  <c r="VV57" i="1" a="1"/>
  <c r="VV57" i="1" s="1"/>
  <c r="VF57" i="1" a="1"/>
  <c r="VF57" i="1" s="1"/>
  <c r="NW57" i="1" a="1"/>
  <c r="NW57" i="1" s="1"/>
  <c r="VQ59" i="1" a="1"/>
  <c r="VQ59" i="1" s="1"/>
  <c r="AKQ59" i="1" a="1"/>
  <c r="AKQ59" i="1" s="1"/>
  <c r="ALG59" i="1" a="1"/>
  <c r="ALG59" i="1" s="1"/>
  <c r="ACW59" i="1" a="1"/>
  <c r="ACW59" i="1" s="1"/>
  <c r="ADE59" i="1" a="1"/>
  <c r="ADE59" i="1" s="1"/>
  <c r="ADM59" i="1" a="1"/>
  <c r="ADM59" i="1" s="1"/>
  <c r="AKZ59" i="1" a="1"/>
  <c r="AKZ59" i="1" s="1"/>
  <c r="AKU59" i="1" a="1"/>
  <c r="AKU59" i="1" s="1"/>
  <c r="NJ59" i="1" a="1"/>
  <c r="NJ59" i="1" s="1"/>
  <c r="NR59" i="1" a="1"/>
  <c r="NR59" i="1" s="1"/>
  <c r="RL59" i="1" s="1"/>
  <c r="NZ59" i="1" a="1"/>
  <c r="NZ59" i="1" s="1"/>
  <c r="VH59" i="1" a="1"/>
  <c r="VH59" i="1" s="1"/>
  <c r="VP59" i="1" a="1"/>
  <c r="VP59" i="1" s="1"/>
  <c r="ACT59" i="1" a="1"/>
  <c r="ACT59" i="1" s="1"/>
  <c r="ADB59" i="1" a="1"/>
  <c r="ADB59" i="1" s="1"/>
  <c r="AGV59" i="1" s="1"/>
  <c r="ADJ59" i="1" a="1"/>
  <c r="ADJ59" i="1" s="1"/>
  <c r="AKS59" i="1" a="1"/>
  <c r="AKS59" i="1" s="1"/>
  <c r="II55" i="1" a="1"/>
  <c r="II55" i="1" s="1"/>
  <c r="AI55" i="1" s="1"/>
  <c r="IP58" i="1" a="1"/>
  <c r="IP58" i="1" s="1"/>
  <c r="AP58" i="1" s="1" a="1"/>
  <c r="AP58" i="1" s="1"/>
  <c r="IN57" i="1" a="1"/>
  <c r="IN57" i="1" s="1"/>
  <c r="BA57" i="1" s="1"/>
  <c r="BV57" i="1" s="1"/>
  <c r="IG57" i="1" a="1"/>
  <c r="IG57" i="1" s="1"/>
  <c r="AG57" i="1" s="1"/>
  <c r="IV56" i="1"/>
  <c r="AGV56" i="1"/>
  <c r="HJ56" i="1" a="1"/>
  <c r="HJ56" i="1" s="1"/>
  <c r="HV56" i="1" s="1"/>
  <c r="IM55" i="1" a="1"/>
  <c r="IM55" i="1" s="1"/>
  <c r="AM55" i="1" s="1"/>
  <c r="IH56" i="1" a="1"/>
  <c r="IH56" i="1" s="1"/>
  <c r="AH56" i="1" s="1"/>
  <c r="II56" i="1" a="1"/>
  <c r="II56" i="1" s="1"/>
  <c r="AI56" i="1" s="1"/>
  <c r="IL56" i="1" a="1"/>
  <c r="IL56" i="1" s="1"/>
  <c r="AL56" i="1" s="1"/>
  <c r="IL55" i="1" a="1"/>
  <c r="IL55" i="1" s="1"/>
  <c r="AL55" i="1" s="1"/>
  <c r="IQ59" i="1" a="1"/>
  <c r="IQ59" i="1" s="1"/>
  <c r="AT59" i="1" s="1"/>
  <c r="IO59" i="1" a="1"/>
  <c r="IO59" i="1" s="1"/>
  <c r="IL59" i="1" a="1"/>
  <c r="IL59" i="1" s="1"/>
  <c r="AL59" i="1" s="1"/>
  <c r="KQ59" i="1" s="1"/>
  <c r="IG55" i="1" a="1"/>
  <c r="IG55" i="1" s="1"/>
  <c r="AG55" i="1" s="1"/>
  <c r="IF55" i="1" a="1"/>
  <c r="IF55" i="1" s="1"/>
  <c r="AF55" i="1" s="1"/>
  <c r="II26" i="1" a="1"/>
  <c r="II26" i="1" s="1"/>
  <c r="AI26" i="1" s="1"/>
  <c r="IQ26" i="1" a="1"/>
  <c r="IQ26" i="1" s="1"/>
  <c r="AT26" i="1" s="1"/>
  <c r="IL26" i="1" a="1"/>
  <c r="IL26" i="1" s="1"/>
  <c r="AL26" i="1" s="1"/>
  <c r="XZ23" i="1"/>
  <c r="SM23" i="1"/>
  <c r="SI23" i="1"/>
  <c r="YO23" i="1" s="1" a="1"/>
  <c r="YO23" i="1" s="1"/>
  <c r="YP23" i="1" s="1"/>
  <c r="SL23" i="1"/>
  <c r="SK23" i="1"/>
  <c r="YQ23" i="1"/>
  <c r="SJ23" i="1"/>
  <c r="ADA23" i="1" a="1"/>
  <c r="ADA23" i="1" s="1"/>
  <c r="AGU23" i="1" s="1"/>
  <c r="ADI23" i="1" a="1"/>
  <c r="ADI23" i="1" s="1"/>
  <c r="FU22" i="1"/>
  <c r="BT22" i="1"/>
  <c r="ADB23" i="1" a="1"/>
  <c r="ADB23" i="1" s="1"/>
  <c r="AGV23" i="1" s="1"/>
  <c r="NP23" i="1" a="1"/>
  <c r="NP23" i="1" s="1"/>
  <c r="BO22" i="1"/>
  <c r="FP22" i="1"/>
  <c r="FV20" i="1"/>
  <c r="BU20" i="1"/>
  <c r="VL55" i="1" a="1"/>
  <c r="VL55" i="1" s="1"/>
  <c r="ADH23" i="1" a="1"/>
  <c r="ADH23" i="1" s="1"/>
  <c r="AHB23" i="1" s="1"/>
  <c r="FO22" i="1"/>
  <c r="BN22" i="1"/>
  <c r="BR20" i="1"/>
  <c r="FS20" i="1"/>
  <c r="ACX23" i="1" a="1"/>
  <c r="ACX23" i="1" s="1"/>
  <c r="NT23" i="1" a="1"/>
  <c r="NT23" i="1" s="1"/>
  <c r="ACK23" i="1" a="1"/>
  <c r="ACK23" i="1" s="1"/>
  <c r="ACI23" i="1" a="1"/>
  <c r="ACI23" i="1" s="1"/>
  <c r="ACG23" i="1" a="1"/>
  <c r="ACG23" i="1" s="1"/>
  <c r="ACE23" i="1" a="1"/>
  <c r="ACE23" i="1" s="1"/>
  <c r="ACC23" i="1" a="1"/>
  <c r="ACC23" i="1" s="1"/>
  <c r="ACA23" i="1" a="1"/>
  <c r="ACA23" i="1" s="1"/>
  <c r="ABY23" i="1" a="1"/>
  <c r="ABY23" i="1" s="1"/>
  <c r="ABW23" i="1" a="1"/>
  <c r="ABW23" i="1" s="1"/>
  <c r="ABU23" i="1" a="1"/>
  <c r="ABU23" i="1" s="1"/>
  <c r="ABS23" i="1" a="1"/>
  <c r="ABS23" i="1" s="1"/>
  <c r="ABQ23" i="1" a="1"/>
  <c r="ABQ23" i="1" s="1"/>
  <c r="ABO23" i="1" a="1"/>
  <c r="ABO23" i="1" s="1"/>
  <c r="ABM23" i="1" a="1"/>
  <c r="ABM23" i="1" s="1"/>
  <c r="ABK23" i="1" a="1"/>
  <c r="ABK23" i="1" s="1"/>
  <c r="ABI23" i="1" a="1"/>
  <c r="ABI23" i="1" s="1"/>
  <c r="ABG23" i="1" a="1"/>
  <c r="ABG23" i="1" s="1"/>
  <c r="ABE23" i="1" a="1"/>
  <c r="ABE23" i="1" s="1"/>
  <c r="ABC23" i="1" a="1"/>
  <c r="ABC23" i="1" s="1"/>
  <c r="ABA23" i="1" a="1"/>
  <c r="ABA23" i="1" s="1"/>
  <c r="AAY23" i="1" a="1"/>
  <c r="AAY23" i="1" s="1"/>
  <c r="AAW23" i="1" a="1"/>
  <c r="AAW23" i="1" s="1"/>
  <c r="AAU23" i="1" a="1"/>
  <c r="AAU23" i="1" s="1"/>
  <c r="AAS23" i="1" a="1"/>
  <c r="AAS23" i="1" s="1"/>
  <c r="AAQ23" i="1" a="1"/>
  <c r="AAQ23" i="1" s="1"/>
  <c r="AAN23" i="1" a="1"/>
  <c r="AAN23" i="1" s="1"/>
  <c r="AAL23" i="1" a="1"/>
  <c r="AAL23" i="1" s="1"/>
  <c r="AAJ23" i="1" a="1"/>
  <c r="AAJ23" i="1" s="1"/>
  <c r="AAH23" i="1" a="1"/>
  <c r="AAH23" i="1" s="1"/>
  <c r="NA23" i="1" a="1"/>
  <c r="NA23" i="1" s="1"/>
  <c r="MY23" i="1" a="1"/>
  <c r="MY23" i="1" s="1"/>
  <c r="MW23" i="1" a="1"/>
  <c r="MW23" i="1" s="1"/>
  <c r="MU23" i="1" a="1"/>
  <c r="MU23" i="1" s="1"/>
  <c r="MS23" i="1" a="1"/>
  <c r="MS23" i="1" s="1"/>
  <c r="MQ23" i="1" a="1"/>
  <c r="MQ23" i="1" s="1"/>
  <c r="MO23" i="1" a="1"/>
  <c r="MO23" i="1" s="1"/>
  <c r="MM23" i="1" a="1"/>
  <c r="MM23" i="1" s="1"/>
  <c r="MK23" i="1" a="1"/>
  <c r="MK23" i="1" s="1"/>
  <c r="MI23" i="1" a="1"/>
  <c r="MI23" i="1" s="1"/>
  <c r="MG23" i="1" a="1"/>
  <c r="MG23" i="1" s="1"/>
  <c r="ME23" i="1" a="1"/>
  <c r="ME23" i="1" s="1"/>
  <c r="MC23" i="1" a="1"/>
  <c r="MC23" i="1" s="1"/>
  <c r="MA23" i="1" a="1"/>
  <c r="MA23" i="1" s="1"/>
  <c r="LY23" i="1" a="1"/>
  <c r="LY23" i="1" s="1"/>
  <c r="LW23" i="1" a="1"/>
  <c r="LW23" i="1" s="1"/>
  <c r="LU23" i="1" a="1"/>
  <c r="LU23" i="1" s="1"/>
  <c r="LS23" i="1" a="1"/>
  <c r="LS23" i="1" s="1"/>
  <c r="LQ23" i="1" a="1"/>
  <c r="LQ23" i="1" s="1"/>
  <c r="LO23" i="1" a="1"/>
  <c r="LO23" i="1" s="1"/>
  <c r="LM23" i="1" a="1"/>
  <c r="LM23" i="1" s="1"/>
  <c r="LK23" i="1" a="1"/>
  <c r="LK23" i="1" s="1"/>
  <c r="LI23" i="1" a="1"/>
  <c r="LI23" i="1" s="1"/>
  <c r="LG23" i="1" a="1"/>
  <c r="LG23" i="1" s="1"/>
  <c r="LD23" i="1" a="1"/>
  <c r="LD23" i="1" s="1"/>
  <c r="LB23" i="1" a="1"/>
  <c r="LB23" i="1" s="1"/>
  <c r="KZ23" i="1" a="1"/>
  <c r="KZ23" i="1" s="1"/>
  <c r="KX23" i="1" a="1"/>
  <c r="KX23" i="1" s="1"/>
  <c r="ACL23" i="1" a="1"/>
  <c r="ACL23" i="1" s="1"/>
  <c r="ACD23" i="1" a="1"/>
  <c r="ACD23" i="1" s="1"/>
  <c r="ABV23" i="1" a="1"/>
  <c r="ABV23" i="1" s="1"/>
  <c r="ABN23" i="1" a="1"/>
  <c r="ABN23" i="1" s="1"/>
  <c r="ABF23" i="1" a="1"/>
  <c r="ABF23" i="1" s="1"/>
  <c r="AAX23" i="1" a="1"/>
  <c r="AAX23" i="1" s="1"/>
  <c r="AAP23" i="1" a="1"/>
  <c r="AAP23" i="1" s="1"/>
  <c r="MZ23" i="1" a="1"/>
  <c r="MZ23" i="1" s="1"/>
  <c r="MR23" i="1" a="1"/>
  <c r="MR23" i="1" s="1"/>
  <c r="MJ23" i="1" a="1"/>
  <c r="MJ23" i="1" s="1"/>
  <c r="MB23" i="1" a="1"/>
  <c r="MB23" i="1" s="1"/>
  <c r="LT23" i="1" a="1"/>
  <c r="LT23" i="1" s="1"/>
  <c r="LL23" i="1" a="1"/>
  <c r="LL23" i="1" s="1"/>
  <c r="LC23" i="1" a="1"/>
  <c r="LC23" i="1" s="1"/>
  <c r="ACJ23" i="1" a="1"/>
  <c r="ACJ23" i="1" s="1"/>
  <c r="ACB23" i="1" a="1"/>
  <c r="ACB23" i="1" s="1"/>
  <c r="ABT23" i="1" a="1"/>
  <c r="ABT23" i="1" s="1"/>
  <c r="ABL23" i="1" a="1"/>
  <c r="ABL23" i="1" s="1"/>
  <c r="ABD23" i="1" a="1"/>
  <c r="ABD23" i="1" s="1"/>
  <c r="AAV23" i="1" a="1"/>
  <c r="AAV23" i="1" s="1"/>
  <c r="AAM23" i="1" a="1"/>
  <c r="AAM23" i="1" s="1"/>
  <c r="MX23" i="1" a="1"/>
  <c r="MX23" i="1" s="1"/>
  <c r="MP23" i="1" a="1"/>
  <c r="MP23" i="1" s="1"/>
  <c r="MH23" i="1" a="1"/>
  <c r="MH23" i="1" s="1"/>
  <c r="LZ23" i="1" a="1"/>
  <c r="LZ23" i="1" s="1"/>
  <c r="LR23" i="1" a="1"/>
  <c r="LR23" i="1" s="1"/>
  <c r="LJ23" i="1" a="1"/>
  <c r="LJ23" i="1" s="1"/>
  <c r="LA23" i="1" a="1"/>
  <c r="LA23" i="1" s="1"/>
  <c r="ACH23" i="1" a="1"/>
  <c r="ACH23" i="1" s="1"/>
  <c r="ABZ23" i="1" a="1"/>
  <c r="ABZ23" i="1" s="1"/>
  <c r="ABR23" i="1" a="1"/>
  <c r="ABR23" i="1" s="1"/>
  <c r="ABJ23" i="1" a="1"/>
  <c r="ABJ23" i="1" s="1"/>
  <c r="ABB23" i="1" a="1"/>
  <c r="ABB23" i="1" s="1"/>
  <c r="AAT23" i="1" a="1"/>
  <c r="AAT23" i="1" s="1"/>
  <c r="AAK23" i="1" a="1"/>
  <c r="AAK23" i="1" s="1"/>
  <c r="MV23" i="1" a="1"/>
  <c r="MV23" i="1" s="1"/>
  <c r="MN23" i="1" a="1"/>
  <c r="MN23" i="1" s="1"/>
  <c r="MF23" i="1" a="1"/>
  <c r="MF23" i="1" s="1"/>
  <c r="LX23" i="1" a="1"/>
  <c r="LX23" i="1" s="1"/>
  <c r="LP23" i="1" a="1"/>
  <c r="LP23" i="1" s="1"/>
  <c r="LH23" i="1" a="1"/>
  <c r="LH23" i="1" s="1"/>
  <c r="KY23" i="1" a="1"/>
  <c r="KY23" i="1" s="1"/>
  <c r="ACF23" i="1" a="1"/>
  <c r="ACF23" i="1" s="1"/>
  <c r="ABX23" i="1" a="1"/>
  <c r="ABX23" i="1" s="1"/>
  <c r="ABP23" i="1" a="1"/>
  <c r="ABP23" i="1" s="1"/>
  <c r="ABH23" i="1" a="1"/>
  <c r="ABH23" i="1" s="1"/>
  <c r="AAZ23" i="1" a="1"/>
  <c r="AAZ23" i="1" s="1"/>
  <c r="AAR23" i="1" a="1"/>
  <c r="AAR23" i="1" s="1"/>
  <c r="AAI23" i="1" a="1"/>
  <c r="AAI23" i="1" s="1"/>
  <c r="NB23" i="1" a="1"/>
  <c r="NB23" i="1" s="1"/>
  <c r="MT23" i="1" a="1"/>
  <c r="MT23" i="1" s="1"/>
  <c r="ML23" i="1" a="1"/>
  <c r="ML23" i="1" s="1"/>
  <c r="MD23" i="1" a="1"/>
  <c r="MD23" i="1" s="1"/>
  <c r="LV23" i="1" a="1"/>
  <c r="LV23" i="1" s="1"/>
  <c r="LN23" i="1" a="1"/>
  <c r="LN23" i="1" s="1"/>
  <c r="LF23" i="1" a="1"/>
  <c r="LF23" i="1" s="1"/>
  <c r="AN21" i="1"/>
  <c r="AO21" i="1" s="1" a="1"/>
  <c r="AO21" i="1" s="1"/>
  <c r="BQ21" i="1"/>
  <c r="FR21" i="1"/>
  <c r="BN19" i="1"/>
  <c r="FO19" i="1"/>
  <c r="FR19" i="1"/>
  <c r="BQ19" i="1"/>
  <c r="BD19" i="1"/>
  <c r="G43" i="1" s="1"/>
  <c r="DD19" i="1" a="1"/>
  <c r="DD19" i="1" s="1"/>
  <c r="DB19" i="1" a="1"/>
  <c r="DB19" i="1" s="1"/>
  <c r="CZ19" i="1" a="1"/>
  <c r="CZ19" i="1" s="1"/>
  <c r="CX19" i="1" a="1"/>
  <c r="CX19" i="1" s="1"/>
  <c r="DE19" i="1" a="1"/>
  <c r="DE19" i="1" s="1"/>
  <c r="DC19" i="1" a="1"/>
  <c r="DC19" i="1" s="1"/>
  <c r="DA19" i="1" a="1"/>
  <c r="DA19" i="1" s="1"/>
  <c r="CY19" i="1" a="1"/>
  <c r="CY19" i="1" s="1"/>
  <c r="CW19" i="1" a="1"/>
  <c r="CW19" i="1" s="1"/>
  <c r="BE19" i="1"/>
  <c r="H43" i="1" s="1"/>
  <c r="BU18" i="1"/>
  <c r="FV18" i="1"/>
  <c r="HT17" i="1"/>
  <c r="HU17" i="1" s="1"/>
  <c r="BO13" i="1"/>
  <c r="FP13" i="1"/>
  <c r="FD18" i="1"/>
  <c r="FE18" i="1" s="1"/>
  <c r="BU16" i="1"/>
  <c r="FV16" i="1"/>
  <c r="HT16" i="1"/>
  <c r="HU16" i="1" s="1"/>
  <c r="FR13" i="1"/>
  <c r="BQ13" i="1"/>
  <c r="BP23" i="1"/>
  <c r="FQ23" i="1"/>
  <c r="FQ16" i="1"/>
  <c r="BP16" i="1"/>
  <c r="FP16" i="1"/>
  <c r="BO16" i="1"/>
  <c r="FV13" i="1"/>
  <c r="BU13" i="1"/>
  <c r="BN15" i="1"/>
  <c r="FO15" i="1"/>
  <c r="BO15" i="1"/>
  <c r="FP15" i="1"/>
  <c r="BQ11" i="1"/>
  <c r="FR11" i="1"/>
  <c r="BF11" i="1"/>
  <c r="I35" i="1" s="1"/>
  <c r="DE11" i="1" a="1"/>
  <c r="DE11" i="1" s="1"/>
  <c r="DC11" i="1" a="1"/>
  <c r="DC11" i="1" s="1"/>
  <c r="DA11" i="1" a="1"/>
  <c r="DA11" i="1" s="1"/>
  <c r="CY11" i="1" a="1"/>
  <c r="CY11" i="1" s="1"/>
  <c r="CW11" i="1" a="1"/>
  <c r="CW11" i="1" s="1"/>
  <c r="BD11" i="1"/>
  <c r="G35" i="1" s="1"/>
  <c r="DB11" i="1" a="1"/>
  <c r="DB11" i="1" s="1"/>
  <c r="CX11" i="1" a="1"/>
  <c r="CX11" i="1" s="1"/>
  <c r="DD11" i="1" a="1"/>
  <c r="DD11" i="1" s="1"/>
  <c r="CZ11" i="1" a="1"/>
  <c r="CZ11" i="1" s="1"/>
  <c r="AZ11" i="1"/>
  <c r="BT11" i="1"/>
  <c r="FU11" i="1"/>
  <c r="FQ10" i="1"/>
  <c r="BP10" i="1"/>
  <c r="FO10" i="1"/>
  <c r="BN10" i="1"/>
  <c r="BO10" i="1"/>
  <c r="FP10" i="1"/>
  <c r="DB10" i="1" a="1"/>
  <c r="DB10" i="1" s="1"/>
  <c r="CX10" i="1" a="1"/>
  <c r="CX10" i="1" s="1"/>
  <c r="DE10" i="1" a="1"/>
  <c r="DE10" i="1" s="1"/>
  <c r="DA10" i="1" a="1"/>
  <c r="DA10" i="1" s="1"/>
  <c r="CW10" i="1" a="1"/>
  <c r="CW10" i="1" s="1"/>
  <c r="BE10" i="1"/>
  <c r="H34" i="1" s="1"/>
  <c r="DD10" i="1" a="1"/>
  <c r="DD10" i="1" s="1"/>
  <c r="CZ10" i="1" a="1"/>
  <c r="CZ10" i="1" s="1"/>
  <c r="DC10" i="1" a="1"/>
  <c r="DC10" i="1" s="1"/>
  <c r="CY10" i="1" a="1"/>
  <c r="CY10" i="1" s="1"/>
  <c r="BF10" i="1"/>
  <c r="I34" i="1" s="1"/>
  <c r="BH17" i="1"/>
  <c r="K41" i="1" s="1"/>
  <c r="EN17" i="1" a="1"/>
  <c r="EN17" i="1" s="1"/>
  <c r="EJ17" i="1" a="1"/>
  <c r="EJ17" i="1" s="1"/>
  <c r="EF17" i="1" a="1"/>
  <c r="EF17" i="1" s="1"/>
  <c r="EM17" i="1" a="1"/>
  <c r="EM17" i="1" s="1"/>
  <c r="EI17" i="1" a="1"/>
  <c r="EI17" i="1" s="1"/>
  <c r="EL17" i="1" a="1"/>
  <c r="EL17" i="1" s="1"/>
  <c r="EH17" i="1" a="1"/>
  <c r="EH17" i="1" s="1"/>
  <c r="EK17" i="1" a="1"/>
  <c r="EK17" i="1" s="1"/>
  <c r="EG17" i="1" a="1"/>
  <c r="EG17" i="1" s="1"/>
  <c r="FQ17" i="1"/>
  <c r="BP17" i="1"/>
  <c r="FV17" i="1"/>
  <c r="BU17" i="1"/>
  <c r="ALE14" i="1" a="1"/>
  <c r="ALE14" i="1" s="1"/>
  <c r="ALA14" i="1" a="1"/>
  <c r="ALA14" i="1" s="1"/>
  <c r="AKO14" i="1" a="1"/>
  <c r="AKO14" i="1" s="1"/>
  <c r="AKK14" i="1" a="1"/>
  <c r="AKK14" i="1" s="1"/>
  <c r="ADP14" i="1" a="1"/>
  <c r="ADP14" i="1" s="1"/>
  <c r="ADM14" i="1" a="1"/>
  <c r="ADM14" i="1" s="1"/>
  <c r="ADH14" i="1" a="1"/>
  <c r="ADH14" i="1" s="1"/>
  <c r="ADE14" i="1" a="1"/>
  <c r="ADE14" i="1" s="1"/>
  <c r="ACZ14" i="1" a="1"/>
  <c r="ACZ14" i="1" s="1"/>
  <c r="ACW14" i="1" a="1"/>
  <c r="ACW14" i="1" s="1"/>
  <c r="VO14" i="1" a="1"/>
  <c r="VO14" i="1" s="1"/>
  <c r="VJ14" i="1" a="1"/>
  <c r="VJ14" i="1" s="1"/>
  <c r="OD14" i="1" a="1"/>
  <c r="OD14" i="1" s="1"/>
  <c r="OA14" i="1" a="1"/>
  <c r="OA14" i="1" s="1"/>
  <c r="NV14" i="1" a="1"/>
  <c r="NV14" i="1" s="1"/>
  <c r="NS14" i="1" a="1"/>
  <c r="NS14" i="1" s="1"/>
  <c r="NN14" i="1" a="1"/>
  <c r="NN14" i="1" s="1"/>
  <c r="NK14" i="1" a="1"/>
  <c r="NK14" i="1" s="1"/>
  <c r="AP14" i="1" a="1"/>
  <c r="AP14" i="1" s="1"/>
  <c r="AKZ14" i="1" a="1"/>
  <c r="AKZ14" i="1" s="1"/>
  <c r="AKV14" i="1" a="1"/>
  <c r="AKV14" i="1" s="1"/>
  <c r="ADO14" i="1" a="1"/>
  <c r="ADO14" i="1" s="1"/>
  <c r="ADJ14" i="1" a="1"/>
  <c r="ADJ14" i="1" s="1"/>
  <c r="ADG14" i="1" a="1"/>
  <c r="ADG14" i="1" s="1"/>
  <c r="ADB14" i="1" a="1"/>
  <c r="ADB14" i="1" s="1"/>
  <c r="ACY14" i="1" a="1"/>
  <c r="ACY14" i="1" s="1"/>
  <c r="ACT14" i="1" a="1"/>
  <c r="ACT14" i="1" s="1"/>
  <c r="AAA14" i="1"/>
  <c r="VQ14" i="1" a="1"/>
  <c r="VQ14" i="1" s="1"/>
  <c r="VL14" i="1" a="1"/>
  <c r="VL14" i="1" s="1"/>
  <c r="VA14" i="1" a="1"/>
  <c r="VA14" i="1" s="1"/>
  <c r="OF14" i="1" a="1"/>
  <c r="OF14" i="1" s="1"/>
  <c r="OC14" i="1" a="1"/>
  <c r="OC14" i="1" s="1"/>
  <c r="NX14" i="1" a="1"/>
  <c r="NX14" i="1" s="1"/>
  <c r="NU14" i="1" a="1"/>
  <c r="NU14" i="1" s="1"/>
  <c r="NP14" i="1" a="1"/>
  <c r="NP14" i="1" s="1"/>
  <c r="NM14" i="1" a="1"/>
  <c r="NM14" i="1" s="1"/>
  <c r="AR14" i="1" a="1"/>
  <c r="AR14" i="1" s="1"/>
  <c r="SH14" i="1" s="1"/>
  <c r="AKY14" i="1" a="1"/>
  <c r="AKY14" i="1" s="1"/>
  <c r="AKU14" i="1" a="1"/>
  <c r="AKU14" i="1" s="1"/>
  <c r="ADL14" i="1" a="1"/>
  <c r="ADL14" i="1" s="1"/>
  <c r="ADI14" i="1" a="1"/>
  <c r="ADI14" i="1" s="1"/>
  <c r="ADD14" i="1" a="1"/>
  <c r="ADD14" i="1" s="1"/>
  <c r="ADA14" i="1" a="1"/>
  <c r="ADA14" i="1" s="1"/>
  <c r="AGU14" i="1" s="1"/>
  <c r="ACV14" i="1" a="1"/>
  <c r="ACV14" i="1" s="1"/>
  <c r="VV14" i="1" a="1"/>
  <c r="VV14" i="1" s="1"/>
  <c r="VK14" i="1" a="1"/>
  <c r="VK14" i="1" s="1"/>
  <c r="VF14" i="1" a="1"/>
  <c r="VF14" i="1" s="1"/>
  <c r="OE14" i="1" a="1"/>
  <c r="OE14" i="1" s="1"/>
  <c r="NZ14" i="1" a="1"/>
  <c r="NZ14" i="1" s="1"/>
  <c r="NW14" i="1" a="1"/>
  <c r="NW14" i="1" s="1"/>
  <c r="NR14" i="1" a="1"/>
  <c r="NR14" i="1" s="1"/>
  <c r="NO14" i="1" a="1"/>
  <c r="NO14" i="1" s="1"/>
  <c r="NJ14" i="1" a="1"/>
  <c r="NJ14" i="1" s="1"/>
  <c r="KQ14" i="1"/>
  <c r="AQ14" i="1" a="1"/>
  <c r="AQ14" i="1" s="1"/>
  <c r="ALF14" i="1" a="1"/>
  <c r="ALF14" i="1" s="1"/>
  <c r="ALB14" i="1" a="1"/>
  <c r="ALB14" i="1" s="1"/>
  <c r="AKT14" i="1" a="1"/>
  <c r="AKT14" i="1" s="1"/>
  <c r="AKP14" i="1" a="1"/>
  <c r="AKP14" i="1" s="1"/>
  <c r="AKL14" i="1" a="1"/>
  <c r="AKL14" i="1" s="1"/>
  <c r="ADN14" i="1" a="1"/>
  <c r="ADN14" i="1" s="1"/>
  <c r="ADK14" i="1" a="1"/>
  <c r="ADK14" i="1" s="1"/>
  <c r="ADF14" i="1" a="1"/>
  <c r="ADF14" i="1" s="1"/>
  <c r="ADC14" i="1" a="1"/>
  <c r="ADC14" i="1" s="1"/>
  <c r="ACX14" i="1" a="1"/>
  <c r="ACX14" i="1" s="1"/>
  <c r="ACU14" i="1" a="1"/>
  <c r="ACU14" i="1" s="1"/>
  <c r="VU14" i="1" a="1"/>
  <c r="VU14" i="1" s="1"/>
  <c r="VP14" i="1" a="1"/>
  <c r="VP14" i="1" s="1"/>
  <c r="VM14" i="1" a="1"/>
  <c r="VM14" i="1" s="1"/>
  <c r="VH14" i="1" a="1"/>
  <c r="VH14" i="1" s="1"/>
  <c r="VE14" i="1" a="1"/>
  <c r="VE14" i="1" s="1"/>
  <c r="OB14" i="1" a="1"/>
  <c r="OB14" i="1" s="1"/>
  <c r="NY14" i="1" a="1"/>
  <c r="NY14" i="1" s="1"/>
  <c r="NT14" i="1" a="1"/>
  <c r="NT14" i="1" s="1"/>
  <c r="NQ14" i="1" a="1"/>
  <c r="NQ14" i="1" s="1"/>
  <c r="RK14" i="1" s="1"/>
  <c r="NL14" i="1" a="1"/>
  <c r="NL14" i="1" s="1"/>
  <c r="FQ14" i="1"/>
  <c r="BP14" i="1"/>
  <c r="SH10" i="1"/>
  <c r="RL10" i="1"/>
  <c r="VB10" i="1" a="1"/>
  <c r="VB10" i="1" s="1"/>
  <c r="VR10" i="1" a="1"/>
  <c r="VR10" i="1" s="1"/>
  <c r="AGV10" i="1"/>
  <c r="AKN10" i="1" a="1"/>
  <c r="AKN10" i="1" s="1"/>
  <c r="EY16" i="1"/>
  <c r="FT12" i="1"/>
  <c r="BS12" i="1"/>
  <c r="AN12" i="1"/>
  <c r="AO12" i="1" s="1" a="1"/>
  <c r="AO12" i="1" s="1"/>
  <c r="AGU77" i="1"/>
  <c r="FQ78" i="1"/>
  <c r="BP78" i="1"/>
  <c r="DE78" i="1" a="1"/>
  <c r="DE78" i="1" s="1"/>
  <c r="DC78" i="1" a="1"/>
  <c r="DC78" i="1" s="1"/>
  <c r="DA78" i="1" a="1"/>
  <c r="DA78" i="1" s="1"/>
  <c r="CY78" i="1" a="1"/>
  <c r="CY78" i="1" s="1"/>
  <c r="CW78" i="1" a="1"/>
  <c r="CW78" i="1" s="1"/>
  <c r="BD78" i="1"/>
  <c r="DD78" i="1" a="1"/>
  <c r="DD78" i="1" s="1"/>
  <c r="DB78" i="1" a="1"/>
  <c r="DB78" i="1" s="1"/>
  <c r="CZ78" i="1" a="1"/>
  <c r="CZ78" i="1" s="1"/>
  <c r="CX78" i="1" a="1"/>
  <c r="CX78" i="1" s="1"/>
  <c r="BF78" i="1"/>
  <c r="FS78" i="1"/>
  <c r="BR78" i="1"/>
  <c r="ACU78" i="1" a="1"/>
  <c r="ACU78" i="1" s="1"/>
  <c r="ADK78" i="1" a="1"/>
  <c r="ADK78" i="1" s="1"/>
  <c r="HW77" i="1"/>
  <c r="HV77" i="1"/>
  <c r="HP76" i="1"/>
  <c r="AHR77" i="1"/>
  <c r="IO77" i="1" a="1"/>
  <c r="IO77" i="1" s="1"/>
  <c r="IM77" i="1" a="1"/>
  <c r="IM77" i="1" s="1"/>
  <c r="AM77" i="1" s="1"/>
  <c r="IP77" i="1" a="1"/>
  <c r="IP77" i="1" s="1"/>
  <c r="AP77" i="1" s="1" a="1"/>
  <c r="AP77" i="1" s="1"/>
  <c r="RX76" i="1"/>
  <c r="AKB76" i="1" a="1"/>
  <c r="AKB76" i="1" s="1"/>
  <c r="AKC76" i="1" a="1"/>
  <c r="AKC76" i="1" s="1"/>
  <c r="AJX76" i="1" a="1"/>
  <c r="AJX76" i="1" s="1"/>
  <c r="AJT76" i="1" a="1"/>
  <c r="AJT76" i="1" s="1"/>
  <c r="AJP76" i="1" a="1"/>
  <c r="AJP76" i="1" s="1"/>
  <c r="AJL76" i="1" a="1"/>
  <c r="AJL76" i="1" s="1"/>
  <c r="AJH76" i="1" a="1"/>
  <c r="AJH76" i="1" s="1"/>
  <c r="AJD76" i="1" a="1"/>
  <c r="AJD76" i="1" s="1"/>
  <c r="AIZ76" i="1" a="1"/>
  <c r="AIZ76" i="1" s="1"/>
  <c r="AIV76" i="1" a="1"/>
  <c r="AIV76" i="1" s="1"/>
  <c r="AIR76" i="1" a="1"/>
  <c r="AIR76" i="1" s="1"/>
  <c r="AIN76" i="1" a="1"/>
  <c r="AIN76" i="1" s="1"/>
  <c r="AIJ76" i="1" a="1"/>
  <c r="AIJ76" i="1" s="1"/>
  <c r="UP76" i="1" a="1"/>
  <c r="UP76" i="1" s="1"/>
  <c r="UL76" i="1" a="1"/>
  <c r="UL76" i="1" s="1"/>
  <c r="UH76" i="1" a="1"/>
  <c r="UH76" i="1" s="1"/>
  <c r="UD76" i="1" a="1"/>
  <c r="UD76" i="1" s="1"/>
  <c r="TZ76" i="1" a="1"/>
  <c r="TZ76" i="1" s="1"/>
  <c r="TV76" i="1" a="1"/>
  <c r="TV76" i="1" s="1"/>
  <c r="TR76" i="1" a="1"/>
  <c r="TR76" i="1" s="1"/>
  <c r="TN76" i="1" a="1"/>
  <c r="TN76" i="1" s="1"/>
  <c r="TJ76" i="1" a="1"/>
  <c r="TJ76" i="1" s="1"/>
  <c r="TF76" i="1" a="1"/>
  <c r="TF76" i="1" s="1"/>
  <c r="TB76" i="1" a="1"/>
  <c r="TB76" i="1" s="1"/>
  <c r="SX76" i="1" a="1"/>
  <c r="SX76" i="1" s="1"/>
  <c r="SS76" i="1" a="1"/>
  <c r="SS76" i="1" s="1"/>
  <c r="SO76" i="1" a="1"/>
  <c r="SO76" i="1" s="1"/>
  <c r="AKA76" i="1" a="1"/>
  <c r="AKA76" i="1" s="1"/>
  <c r="AJW76" i="1" a="1"/>
  <c r="AJW76" i="1" s="1"/>
  <c r="AJS76" i="1" a="1"/>
  <c r="AJS76" i="1" s="1"/>
  <c r="AJO76" i="1" a="1"/>
  <c r="AJO76" i="1" s="1"/>
  <c r="AJK76" i="1" a="1"/>
  <c r="AJK76" i="1" s="1"/>
  <c r="AJG76" i="1" a="1"/>
  <c r="AJG76" i="1" s="1"/>
  <c r="AJC76" i="1" a="1"/>
  <c r="AJC76" i="1" s="1"/>
  <c r="AIY76" i="1" a="1"/>
  <c r="AIY76" i="1" s="1"/>
  <c r="AIU76" i="1" a="1"/>
  <c r="AIU76" i="1" s="1"/>
  <c r="AIQ76" i="1" a="1"/>
  <c r="AIQ76" i="1" s="1"/>
  <c r="AIM76" i="1" a="1"/>
  <c r="AIM76" i="1" s="1"/>
  <c r="AII76" i="1" a="1"/>
  <c r="AII76" i="1" s="1"/>
  <c r="US76" i="1" a="1"/>
  <c r="US76" i="1" s="1"/>
  <c r="UO76" i="1" a="1"/>
  <c r="UO76" i="1" s="1"/>
  <c r="UK76" i="1" a="1"/>
  <c r="UK76" i="1" s="1"/>
  <c r="UG76" i="1" a="1"/>
  <c r="UG76" i="1" s="1"/>
  <c r="UC76" i="1" a="1"/>
  <c r="UC76" i="1" s="1"/>
  <c r="TY76" i="1" a="1"/>
  <c r="TY76" i="1" s="1"/>
  <c r="TU76" i="1" a="1"/>
  <c r="TU76" i="1" s="1"/>
  <c r="TQ76" i="1" a="1"/>
  <c r="TQ76" i="1" s="1"/>
  <c r="TM76" i="1" a="1"/>
  <c r="TM76" i="1" s="1"/>
  <c r="TI76" i="1" a="1"/>
  <c r="TI76" i="1" s="1"/>
  <c r="TE76" i="1" a="1"/>
  <c r="TE76" i="1" s="1"/>
  <c r="TA76" i="1" a="1"/>
  <c r="TA76" i="1" s="1"/>
  <c r="SW76" i="1" a="1"/>
  <c r="SW76" i="1" s="1"/>
  <c r="AJZ76" i="1" a="1"/>
  <c r="AJZ76" i="1" s="1"/>
  <c r="AJV76" i="1" a="1"/>
  <c r="AJV76" i="1" s="1"/>
  <c r="AJR76" i="1" a="1"/>
  <c r="AJR76" i="1" s="1"/>
  <c r="AJN76" i="1" a="1"/>
  <c r="AJN76" i="1" s="1"/>
  <c r="AJJ76" i="1" a="1"/>
  <c r="AJJ76" i="1" s="1"/>
  <c r="AJF76" i="1" a="1"/>
  <c r="AJF76" i="1" s="1"/>
  <c r="AJB76" i="1" a="1"/>
  <c r="AJB76" i="1" s="1"/>
  <c r="AIX76" i="1" a="1"/>
  <c r="AIX76" i="1" s="1"/>
  <c r="AIT76" i="1" a="1"/>
  <c r="AIT76" i="1" s="1"/>
  <c r="AIP76" i="1" a="1"/>
  <c r="AIP76" i="1" s="1"/>
  <c r="AIL76" i="1" a="1"/>
  <c r="AIL76" i="1" s="1"/>
  <c r="AIH76" i="1" a="1"/>
  <c r="AIH76" i="1" s="1"/>
  <c r="UR76" i="1" a="1"/>
  <c r="UR76" i="1" s="1"/>
  <c r="UN76" i="1" a="1"/>
  <c r="UN76" i="1" s="1"/>
  <c r="UJ76" i="1" a="1"/>
  <c r="UJ76" i="1" s="1"/>
  <c r="UF76" i="1" a="1"/>
  <c r="UF76" i="1" s="1"/>
  <c r="UB76" i="1" a="1"/>
  <c r="UB76" i="1" s="1"/>
  <c r="TX76" i="1" a="1"/>
  <c r="TX76" i="1" s="1"/>
  <c r="TT76" i="1" a="1"/>
  <c r="TT76" i="1" s="1"/>
  <c r="TP76" i="1" a="1"/>
  <c r="TP76" i="1" s="1"/>
  <c r="TL76" i="1" a="1"/>
  <c r="TL76" i="1" s="1"/>
  <c r="TH76" i="1" a="1"/>
  <c r="TH76" i="1" s="1"/>
  <c r="TD76" i="1" a="1"/>
  <c r="TD76" i="1" s="1"/>
  <c r="SZ76" i="1" a="1"/>
  <c r="SZ76" i="1" s="1"/>
  <c r="AJM76" i="1" a="1"/>
  <c r="AJM76" i="1" s="1"/>
  <c r="AIW76" i="1" a="1"/>
  <c r="AIW76" i="1" s="1"/>
  <c r="AIG76" i="1" a="1"/>
  <c r="AIG76" i="1" s="1"/>
  <c r="UI76" i="1" a="1"/>
  <c r="UI76" i="1" s="1"/>
  <c r="TS76" i="1" a="1"/>
  <c r="TS76" i="1" s="1"/>
  <c r="TC76" i="1" a="1"/>
  <c r="TC76" i="1" s="1"/>
  <c r="AJY76" i="1" a="1"/>
  <c r="AJY76" i="1" s="1"/>
  <c r="AJI76" i="1" a="1"/>
  <c r="AJI76" i="1" s="1"/>
  <c r="AIS76" i="1" a="1"/>
  <c r="AIS76" i="1" s="1"/>
  <c r="AIB76" i="1" a="1"/>
  <c r="AIB76" i="1" s="1"/>
  <c r="UE76" i="1" a="1"/>
  <c r="UE76" i="1" s="1"/>
  <c r="TO76" i="1" a="1"/>
  <c r="TO76" i="1" s="1"/>
  <c r="SY76" i="1" a="1"/>
  <c r="SY76" i="1" s="1"/>
  <c r="AJU76" i="1" a="1"/>
  <c r="AJU76" i="1" s="1"/>
  <c r="AJE76" i="1" a="1"/>
  <c r="AJE76" i="1" s="1"/>
  <c r="AIO76" i="1" a="1"/>
  <c r="AIO76" i="1" s="1"/>
  <c r="UQ76" i="1" a="1"/>
  <c r="UQ76" i="1" s="1"/>
  <c r="UA76" i="1" a="1"/>
  <c r="UA76" i="1" s="1"/>
  <c r="TK76" i="1" a="1"/>
  <c r="TK76" i="1" s="1"/>
  <c r="ST76" i="1" a="1"/>
  <c r="ST76" i="1" s="1"/>
  <c r="AJQ76" i="1" a="1"/>
  <c r="AJQ76" i="1" s="1"/>
  <c r="AJA76" i="1" a="1"/>
  <c r="AJA76" i="1" s="1"/>
  <c r="AIK76" i="1" a="1"/>
  <c r="AIK76" i="1" s="1"/>
  <c r="UM76" i="1" a="1"/>
  <c r="UM76" i="1" s="1"/>
  <c r="TW76" i="1" a="1"/>
  <c r="TW76" i="1" s="1"/>
  <c r="TG76" i="1" a="1"/>
  <c r="TG76" i="1" s="1"/>
  <c r="SP76" i="1" a="1"/>
  <c r="SP76" i="1" s="1"/>
  <c r="VQ76" i="1" a="1"/>
  <c r="VQ76" i="1" s="1"/>
  <c r="VP76" i="1" a="1"/>
  <c r="VP76" i="1" s="1"/>
  <c r="IO76" i="1" a="1"/>
  <c r="IO76" i="1" s="1"/>
  <c r="IG76" i="1" a="1"/>
  <c r="IG76" i="1" s="1"/>
  <c r="IP76" i="1" a="1"/>
  <c r="IP76" i="1" s="1"/>
  <c r="AP76" i="1" s="1" a="1"/>
  <c r="AP76" i="1" s="1"/>
  <c r="ACY75" i="1" a="1"/>
  <c r="ACY75" i="1" s="1"/>
  <c r="ADA75" i="1" a="1"/>
  <c r="ADA75" i="1" s="1"/>
  <c r="AGU75" i="1" s="1"/>
  <c r="ADM75" i="1" a="1"/>
  <c r="ADM75" i="1" s="1"/>
  <c r="ADK75" i="1" a="1"/>
  <c r="ADK75" i="1" s="1"/>
  <c r="ACX75" i="1" a="1"/>
  <c r="ACX75" i="1" s="1"/>
  <c r="ADF75" i="1" a="1"/>
  <c r="ADF75" i="1" s="1"/>
  <c r="AAD74" i="1"/>
  <c r="AHH74" i="1" s="1"/>
  <c r="AGJ74" i="1"/>
  <c r="AAC74" i="1"/>
  <c r="AFS74" i="1"/>
  <c r="AAF74" i="1"/>
  <c r="AAB74" i="1"/>
  <c r="AGH74" i="1" s="1" a="1"/>
  <c r="AGH74" i="1" s="1"/>
  <c r="AGI74" i="1" s="1"/>
  <c r="AAE74" i="1"/>
  <c r="RR74" i="1"/>
  <c r="RX73" i="1"/>
  <c r="AAA75" i="1"/>
  <c r="AR75" i="1" a="1"/>
  <c r="AR75" i="1" s="1"/>
  <c r="AHR75" i="1" s="1"/>
  <c r="AP75" i="1" a="1"/>
  <c r="AP75" i="1" s="1"/>
  <c r="SH75" i="1"/>
  <c r="KQ75" i="1"/>
  <c r="AQ75" i="1" a="1"/>
  <c r="AQ75" i="1" s="1"/>
  <c r="VT75" i="1" s="1" a="1"/>
  <c r="VT75" i="1" s="1"/>
  <c r="AKM75" i="1" a="1"/>
  <c r="AKM75" i="1" s="1"/>
  <c r="VM75" i="1" a="1"/>
  <c r="VM75" i="1" s="1"/>
  <c r="AGY73" i="1"/>
  <c r="AHB73" i="1"/>
  <c r="ALC75" i="1" a="1"/>
  <c r="ALC75" i="1" s="1"/>
  <c r="FT73" i="1"/>
  <c r="BS73" i="1"/>
  <c r="HO72" i="1"/>
  <c r="HQ72" i="1" s="1"/>
  <c r="HR72" i="1" s="1"/>
  <c r="RU73" i="1"/>
  <c r="YQ73" i="1"/>
  <c r="SK73" i="1"/>
  <c r="XZ73" i="1"/>
  <c r="SJ73" i="1"/>
  <c r="SM73" i="1"/>
  <c r="SI73" i="1"/>
  <c r="YO73" i="1" s="1" a="1"/>
  <c r="YO73" i="1" s="1"/>
  <c r="YP73" i="1" s="1"/>
  <c r="SL73" i="1"/>
  <c r="AKB73" i="1" a="1"/>
  <c r="AKB73" i="1" s="1"/>
  <c r="AJZ73" i="1" a="1"/>
  <c r="AJZ73" i="1" s="1"/>
  <c r="AJX73" i="1" a="1"/>
  <c r="AJX73" i="1" s="1"/>
  <c r="AJV73" i="1" a="1"/>
  <c r="AJV73" i="1" s="1"/>
  <c r="AJT73" i="1" a="1"/>
  <c r="AJT73" i="1" s="1"/>
  <c r="AJR73" i="1" a="1"/>
  <c r="AJR73" i="1" s="1"/>
  <c r="AJP73" i="1" a="1"/>
  <c r="AJP73" i="1" s="1"/>
  <c r="AJN73" i="1" a="1"/>
  <c r="AJN73" i="1" s="1"/>
  <c r="AJL73" i="1" a="1"/>
  <c r="AJL73" i="1" s="1"/>
  <c r="AJJ73" i="1" a="1"/>
  <c r="AJJ73" i="1" s="1"/>
  <c r="AJH73" i="1" a="1"/>
  <c r="AJH73" i="1" s="1"/>
  <c r="AJF73" i="1" a="1"/>
  <c r="AJF73" i="1" s="1"/>
  <c r="AJD73" i="1" a="1"/>
  <c r="AJD73" i="1" s="1"/>
  <c r="AJB73" i="1" a="1"/>
  <c r="AJB73" i="1" s="1"/>
  <c r="AIZ73" i="1" a="1"/>
  <c r="AIZ73" i="1" s="1"/>
  <c r="AIX73" i="1" a="1"/>
  <c r="AIX73" i="1" s="1"/>
  <c r="AIV73" i="1" a="1"/>
  <c r="AIV73" i="1" s="1"/>
  <c r="AIT73" i="1" a="1"/>
  <c r="AIT73" i="1" s="1"/>
  <c r="AIR73" i="1" a="1"/>
  <c r="AIR73" i="1" s="1"/>
  <c r="AIP73" i="1" a="1"/>
  <c r="AIP73" i="1" s="1"/>
  <c r="AIN73" i="1" a="1"/>
  <c r="AIN73" i="1" s="1"/>
  <c r="AIL73" i="1" a="1"/>
  <c r="AIL73" i="1" s="1"/>
  <c r="AIJ73" i="1" a="1"/>
  <c r="AIJ73" i="1" s="1"/>
  <c r="AIH73" i="1" a="1"/>
  <c r="AIH73" i="1" s="1"/>
  <c r="UR73" i="1" a="1"/>
  <c r="UR73" i="1" s="1"/>
  <c r="UP73" i="1" a="1"/>
  <c r="UP73" i="1" s="1"/>
  <c r="UN73" i="1" a="1"/>
  <c r="UN73" i="1" s="1"/>
  <c r="UL73" i="1" a="1"/>
  <c r="UL73" i="1" s="1"/>
  <c r="UJ73" i="1" a="1"/>
  <c r="UJ73" i="1" s="1"/>
  <c r="UH73" i="1" a="1"/>
  <c r="UH73" i="1" s="1"/>
  <c r="UF73" i="1" a="1"/>
  <c r="UF73" i="1" s="1"/>
  <c r="UD73" i="1" a="1"/>
  <c r="UD73" i="1" s="1"/>
  <c r="UB73" i="1" a="1"/>
  <c r="UB73" i="1" s="1"/>
  <c r="TZ73" i="1" a="1"/>
  <c r="TZ73" i="1" s="1"/>
  <c r="TX73" i="1" a="1"/>
  <c r="TX73" i="1" s="1"/>
  <c r="TV73" i="1" a="1"/>
  <c r="TV73" i="1" s="1"/>
  <c r="TT73" i="1" a="1"/>
  <c r="TT73" i="1" s="1"/>
  <c r="TR73" i="1" a="1"/>
  <c r="TR73" i="1" s="1"/>
  <c r="TP73" i="1" a="1"/>
  <c r="TP73" i="1" s="1"/>
  <c r="TN73" i="1" a="1"/>
  <c r="TN73" i="1" s="1"/>
  <c r="TL73" i="1" a="1"/>
  <c r="TL73" i="1" s="1"/>
  <c r="TJ73" i="1" a="1"/>
  <c r="TJ73" i="1" s="1"/>
  <c r="TH73" i="1" a="1"/>
  <c r="TH73" i="1" s="1"/>
  <c r="TF73" i="1" a="1"/>
  <c r="TF73" i="1" s="1"/>
  <c r="TD73" i="1" a="1"/>
  <c r="TD73" i="1" s="1"/>
  <c r="AKC73" i="1" a="1"/>
  <c r="AKC73" i="1" s="1"/>
  <c r="AKA73" i="1" a="1"/>
  <c r="AKA73" i="1" s="1"/>
  <c r="AJY73" i="1" a="1"/>
  <c r="AJY73" i="1" s="1"/>
  <c r="AJW73" i="1" a="1"/>
  <c r="AJW73" i="1" s="1"/>
  <c r="AJU73" i="1" a="1"/>
  <c r="AJU73" i="1" s="1"/>
  <c r="AJS73" i="1" a="1"/>
  <c r="AJS73" i="1" s="1"/>
  <c r="AJQ73" i="1" a="1"/>
  <c r="AJQ73" i="1" s="1"/>
  <c r="AJO73" i="1" a="1"/>
  <c r="AJO73" i="1" s="1"/>
  <c r="AJM73" i="1" a="1"/>
  <c r="AJM73" i="1" s="1"/>
  <c r="AJK73" i="1" a="1"/>
  <c r="AJK73" i="1" s="1"/>
  <c r="AJI73" i="1" a="1"/>
  <c r="AJI73" i="1" s="1"/>
  <c r="AJG73" i="1" a="1"/>
  <c r="AJG73" i="1" s="1"/>
  <c r="AJE73" i="1" a="1"/>
  <c r="AJE73" i="1" s="1"/>
  <c r="AJC73" i="1" a="1"/>
  <c r="AJC73" i="1" s="1"/>
  <c r="AJA73" i="1" a="1"/>
  <c r="AJA73" i="1" s="1"/>
  <c r="AIY73" i="1" a="1"/>
  <c r="AIY73" i="1" s="1"/>
  <c r="AIW73" i="1" a="1"/>
  <c r="AIW73" i="1" s="1"/>
  <c r="AIU73" i="1" a="1"/>
  <c r="AIU73" i="1" s="1"/>
  <c r="AIS73" i="1" a="1"/>
  <c r="AIS73" i="1" s="1"/>
  <c r="AIQ73" i="1" a="1"/>
  <c r="AIQ73" i="1" s="1"/>
  <c r="AIO73" i="1" a="1"/>
  <c r="AIO73" i="1" s="1"/>
  <c r="AIM73" i="1" a="1"/>
  <c r="AIM73" i="1" s="1"/>
  <c r="AIK73" i="1" a="1"/>
  <c r="AIK73" i="1" s="1"/>
  <c r="AII73" i="1" a="1"/>
  <c r="AII73" i="1" s="1"/>
  <c r="AIG73" i="1" a="1"/>
  <c r="AIG73" i="1" s="1"/>
  <c r="US73" i="1" a="1"/>
  <c r="US73" i="1" s="1"/>
  <c r="UK73" i="1" a="1"/>
  <c r="UK73" i="1" s="1"/>
  <c r="UC73" i="1" a="1"/>
  <c r="UC73" i="1" s="1"/>
  <c r="TU73" i="1" a="1"/>
  <c r="TU73" i="1" s="1"/>
  <c r="TM73" i="1" a="1"/>
  <c r="TM73" i="1" s="1"/>
  <c r="TE73" i="1" a="1"/>
  <c r="TE73" i="1" s="1"/>
  <c r="UM73" i="1" a="1"/>
  <c r="UM73" i="1" s="1"/>
  <c r="UE73" i="1" a="1"/>
  <c r="UE73" i="1" s="1"/>
  <c r="TW73" i="1" a="1"/>
  <c r="TW73" i="1" s="1"/>
  <c r="TO73" i="1" a="1"/>
  <c r="TO73" i="1" s="1"/>
  <c r="TG73" i="1" a="1"/>
  <c r="TG73" i="1" s="1"/>
  <c r="TB73" i="1" a="1"/>
  <c r="TB73" i="1" s="1"/>
  <c r="SZ73" i="1" a="1"/>
  <c r="SZ73" i="1" s="1"/>
  <c r="SX73" i="1" a="1"/>
  <c r="SX73" i="1" s="1"/>
  <c r="UO73" i="1" a="1"/>
  <c r="UO73" i="1" s="1"/>
  <c r="UG73" i="1" a="1"/>
  <c r="UG73" i="1" s="1"/>
  <c r="TY73" i="1" a="1"/>
  <c r="TY73" i="1" s="1"/>
  <c r="TQ73" i="1" a="1"/>
  <c r="TQ73" i="1" s="1"/>
  <c r="TI73" i="1" a="1"/>
  <c r="TI73" i="1" s="1"/>
  <c r="UQ73" i="1" a="1"/>
  <c r="UQ73" i="1" s="1"/>
  <c r="UI73" i="1" a="1"/>
  <c r="UI73" i="1" s="1"/>
  <c r="UA73" i="1" a="1"/>
  <c r="UA73" i="1" s="1"/>
  <c r="TS73" i="1" a="1"/>
  <c r="TS73" i="1" s="1"/>
  <c r="TK73" i="1" a="1"/>
  <c r="TK73" i="1" s="1"/>
  <c r="TC73" i="1" a="1"/>
  <c r="TC73" i="1" s="1"/>
  <c r="TA73" i="1" a="1"/>
  <c r="TA73" i="1" s="1"/>
  <c r="SY73" i="1" a="1"/>
  <c r="SY73" i="1" s="1"/>
  <c r="SW73" i="1" a="1"/>
  <c r="SW73" i="1" s="1"/>
  <c r="ST73" i="1" a="1"/>
  <c r="ST73" i="1" s="1"/>
  <c r="SR73" i="1" a="1"/>
  <c r="SR73" i="1" s="1"/>
  <c r="SP73" i="1" a="1"/>
  <c r="SP73" i="1" s="1"/>
  <c r="AOA73" i="1"/>
  <c r="AHT73" i="1"/>
  <c r="AHV73" i="1"/>
  <c r="ANJ73" i="1"/>
  <c r="AHW73" i="1"/>
  <c r="AHU73" i="1"/>
  <c r="AHS73" i="1"/>
  <c r="ANY73" i="1" s="1" a="1"/>
  <c r="ANY73" i="1" s="1"/>
  <c r="ANZ73" i="1" s="1"/>
  <c r="IK74" i="1" a="1"/>
  <c r="IK74" i="1" s="1"/>
  <c r="AK74" i="1" s="1"/>
  <c r="IP74" i="1" a="1"/>
  <c r="IP74" i="1" s="1"/>
  <c r="AP74" i="1" s="1" a="1"/>
  <c r="AP74" i="1" s="1"/>
  <c r="BP73" i="1"/>
  <c r="FQ73" i="1"/>
  <c r="ACL73" i="1" a="1"/>
  <c r="ACL73" i="1" s="1"/>
  <c r="ACJ73" i="1" a="1"/>
  <c r="ACJ73" i="1" s="1"/>
  <c r="ACH73" i="1" a="1"/>
  <c r="ACH73" i="1" s="1"/>
  <c r="ACF73" i="1" a="1"/>
  <c r="ACF73" i="1" s="1"/>
  <c r="ACD73" i="1" a="1"/>
  <c r="ACD73" i="1" s="1"/>
  <c r="ACB73" i="1" a="1"/>
  <c r="ACB73" i="1" s="1"/>
  <c r="ABZ73" i="1" a="1"/>
  <c r="ABZ73" i="1" s="1"/>
  <c r="ABX73" i="1" a="1"/>
  <c r="ABX73" i="1" s="1"/>
  <c r="ABV73" i="1" a="1"/>
  <c r="ABV73" i="1" s="1"/>
  <c r="ABT73" i="1" a="1"/>
  <c r="ABT73" i="1" s="1"/>
  <c r="ABR73" i="1" a="1"/>
  <c r="ABR73" i="1" s="1"/>
  <c r="ABP73" i="1" a="1"/>
  <c r="ABP73" i="1" s="1"/>
  <c r="ABN73" i="1" a="1"/>
  <c r="ABN73" i="1" s="1"/>
  <c r="ABL73" i="1" a="1"/>
  <c r="ABL73" i="1" s="1"/>
  <c r="ABJ73" i="1" a="1"/>
  <c r="ABJ73" i="1" s="1"/>
  <c r="ABH73" i="1" a="1"/>
  <c r="ABH73" i="1" s="1"/>
  <c r="ABF73" i="1" a="1"/>
  <c r="ABF73" i="1" s="1"/>
  <c r="ABD73" i="1" a="1"/>
  <c r="ABD73" i="1" s="1"/>
  <c r="ABB73" i="1" a="1"/>
  <c r="ABB73" i="1" s="1"/>
  <c r="AAZ73" i="1" a="1"/>
  <c r="AAZ73" i="1" s="1"/>
  <c r="AAX73" i="1" a="1"/>
  <c r="AAX73" i="1" s="1"/>
  <c r="AAV73" i="1" a="1"/>
  <c r="AAV73" i="1" s="1"/>
  <c r="AAT73" i="1" a="1"/>
  <c r="AAT73" i="1" s="1"/>
  <c r="AAR73" i="1" a="1"/>
  <c r="AAR73" i="1" s="1"/>
  <c r="AAP73" i="1" a="1"/>
  <c r="AAP73" i="1" s="1"/>
  <c r="ACI73" i="1" a="1"/>
  <c r="ACI73" i="1" s="1"/>
  <c r="ACA73" i="1" a="1"/>
  <c r="ACA73" i="1" s="1"/>
  <c r="ABS73" i="1" a="1"/>
  <c r="ABS73" i="1" s="1"/>
  <c r="ABK73" i="1" a="1"/>
  <c r="ABK73" i="1" s="1"/>
  <c r="ABC73" i="1" a="1"/>
  <c r="ABC73" i="1" s="1"/>
  <c r="AAU73" i="1" a="1"/>
  <c r="AAU73" i="1" s="1"/>
  <c r="ACK73" i="1" a="1"/>
  <c r="ACK73" i="1" s="1"/>
  <c r="ACC73" i="1" a="1"/>
  <c r="ACC73" i="1" s="1"/>
  <c r="ABU73" i="1" a="1"/>
  <c r="ABU73" i="1" s="1"/>
  <c r="ABM73" i="1" a="1"/>
  <c r="ABM73" i="1" s="1"/>
  <c r="ABE73" i="1" a="1"/>
  <c r="ABE73" i="1" s="1"/>
  <c r="AAW73" i="1" a="1"/>
  <c r="AAW73" i="1" s="1"/>
  <c r="NB73" i="1" a="1"/>
  <c r="NB73" i="1" s="1"/>
  <c r="MZ73" i="1" a="1"/>
  <c r="MZ73" i="1" s="1"/>
  <c r="MX73" i="1" a="1"/>
  <c r="MX73" i="1" s="1"/>
  <c r="MV73" i="1" a="1"/>
  <c r="MV73" i="1" s="1"/>
  <c r="MT73" i="1" a="1"/>
  <c r="MT73" i="1" s="1"/>
  <c r="MR73" i="1" a="1"/>
  <c r="MR73" i="1" s="1"/>
  <c r="MP73" i="1" a="1"/>
  <c r="MP73" i="1" s="1"/>
  <c r="MN73" i="1" a="1"/>
  <c r="MN73" i="1" s="1"/>
  <c r="ML73" i="1" a="1"/>
  <c r="ML73" i="1" s="1"/>
  <c r="MJ73" i="1" a="1"/>
  <c r="MJ73" i="1" s="1"/>
  <c r="MH73" i="1" a="1"/>
  <c r="MH73" i="1" s="1"/>
  <c r="MF73" i="1" a="1"/>
  <c r="MF73" i="1" s="1"/>
  <c r="MD73" i="1" a="1"/>
  <c r="MD73" i="1" s="1"/>
  <c r="MB73" i="1" a="1"/>
  <c r="MB73" i="1" s="1"/>
  <c r="LZ73" i="1" a="1"/>
  <c r="LZ73" i="1" s="1"/>
  <c r="LX73" i="1" a="1"/>
  <c r="LX73" i="1" s="1"/>
  <c r="LV73" i="1" a="1"/>
  <c r="LV73" i="1" s="1"/>
  <c r="LT73" i="1" a="1"/>
  <c r="LT73" i="1" s="1"/>
  <c r="LR73" i="1" a="1"/>
  <c r="LR73" i="1" s="1"/>
  <c r="LP73" i="1" a="1"/>
  <c r="LP73" i="1" s="1"/>
  <c r="LN73" i="1" a="1"/>
  <c r="LN73" i="1" s="1"/>
  <c r="LL73" i="1" a="1"/>
  <c r="LL73" i="1" s="1"/>
  <c r="LJ73" i="1" a="1"/>
  <c r="LJ73" i="1" s="1"/>
  <c r="LH73" i="1" a="1"/>
  <c r="LH73" i="1" s="1"/>
  <c r="LF73" i="1" a="1"/>
  <c r="LF73" i="1" s="1"/>
  <c r="LC73" i="1" a="1"/>
  <c r="LC73" i="1" s="1"/>
  <c r="LA73" i="1" a="1"/>
  <c r="LA73" i="1" s="1"/>
  <c r="KY73" i="1" a="1"/>
  <c r="KY73" i="1" s="1"/>
  <c r="ACE73" i="1" a="1"/>
  <c r="ACE73" i="1" s="1"/>
  <c r="ABW73" i="1" a="1"/>
  <c r="ABW73" i="1" s="1"/>
  <c r="ABO73" i="1" a="1"/>
  <c r="ABO73" i="1" s="1"/>
  <c r="ABG73" i="1" a="1"/>
  <c r="ABG73" i="1" s="1"/>
  <c r="AAY73" i="1" a="1"/>
  <c r="AAY73" i="1" s="1"/>
  <c r="AAQ73" i="1" a="1"/>
  <c r="AAQ73" i="1" s="1"/>
  <c r="ACG73" i="1" a="1"/>
  <c r="ACG73" i="1" s="1"/>
  <c r="ABY73" i="1" a="1"/>
  <c r="ABY73" i="1" s="1"/>
  <c r="ABQ73" i="1" a="1"/>
  <c r="ABQ73" i="1" s="1"/>
  <c r="ABI73" i="1" a="1"/>
  <c r="ABI73" i="1" s="1"/>
  <c r="ABA73" i="1" a="1"/>
  <c r="ABA73" i="1" s="1"/>
  <c r="AAS73" i="1" a="1"/>
  <c r="AAS73" i="1" s="1"/>
  <c r="AAJ73" i="1" a="1"/>
  <c r="AAJ73" i="1" s="1"/>
  <c r="NA73" i="1" a="1"/>
  <c r="NA73" i="1" s="1"/>
  <c r="MY73" i="1" a="1"/>
  <c r="MY73" i="1" s="1"/>
  <c r="MW73" i="1" a="1"/>
  <c r="MW73" i="1" s="1"/>
  <c r="MU73" i="1" a="1"/>
  <c r="MU73" i="1" s="1"/>
  <c r="MS73" i="1" a="1"/>
  <c r="MS73" i="1" s="1"/>
  <c r="MQ73" i="1" a="1"/>
  <c r="MQ73" i="1" s="1"/>
  <c r="MO73" i="1" a="1"/>
  <c r="MO73" i="1" s="1"/>
  <c r="MM73" i="1" a="1"/>
  <c r="MM73" i="1" s="1"/>
  <c r="MK73" i="1" a="1"/>
  <c r="MK73" i="1" s="1"/>
  <c r="MI73" i="1" a="1"/>
  <c r="MI73" i="1" s="1"/>
  <c r="MG73" i="1" a="1"/>
  <c r="MG73" i="1" s="1"/>
  <c r="ME73" i="1" a="1"/>
  <c r="ME73" i="1" s="1"/>
  <c r="MC73" i="1" a="1"/>
  <c r="MC73" i="1" s="1"/>
  <c r="MA73" i="1" a="1"/>
  <c r="MA73" i="1" s="1"/>
  <c r="LY73" i="1" a="1"/>
  <c r="LY73" i="1" s="1"/>
  <c r="LW73" i="1" a="1"/>
  <c r="LW73" i="1" s="1"/>
  <c r="LU73" i="1" a="1"/>
  <c r="LU73" i="1" s="1"/>
  <c r="LS73" i="1" a="1"/>
  <c r="LS73" i="1" s="1"/>
  <c r="LQ73" i="1" a="1"/>
  <c r="LQ73" i="1" s="1"/>
  <c r="LO73" i="1" a="1"/>
  <c r="LO73" i="1" s="1"/>
  <c r="LM73" i="1" a="1"/>
  <c r="LM73" i="1" s="1"/>
  <c r="LK73" i="1" a="1"/>
  <c r="LK73" i="1" s="1"/>
  <c r="LI73" i="1" a="1"/>
  <c r="LI73" i="1" s="1"/>
  <c r="LG73" i="1" a="1"/>
  <c r="LG73" i="1" s="1"/>
  <c r="LD73" i="1" a="1"/>
  <c r="LD73" i="1" s="1"/>
  <c r="LB73" i="1" a="1"/>
  <c r="LB73" i="1" s="1"/>
  <c r="KZ73" i="1" a="1"/>
  <c r="KZ73" i="1" s="1"/>
  <c r="KX73" i="1" a="1"/>
  <c r="KX73" i="1" s="1"/>
  <c r="ACX72" i="1" a="1"/>
  <c r="ACX72" i="1" s="1"/>
  <c r="ADF72" i="1" a="1"/>
  <c r="ADF72" i="1" s="1"/>
  <c r="ADN72" i="1" a="1"/>
  <c r="ADN72" i="1" s="1"/>
  <c r="ACY72" i="1" a="1"/>
  <c r="ACY72" i="1" s="1"/>
  <c r="ADG72" i="1" a="1"/>
  <c r="ADG72" i="1" s="1"/>
  <c r="IF71" i="1" a="1"/>
  <c r="IF71" i="1" s="1"/>
  <c r="AF71" i="1" s="1"/>
  <c r="IQ71" i="1" a="1"/>
  <c r="IQ71" i="1" s="1"/>
  <c r="AT71" i="1" s="1"/>
  <c r="RO71" i="1"/>
  <c r="AAD71" i="1"/>
  <c r="AFS71" i="1"/>
  <c r="AAB71" i="1"/>
  <c r="AGH71" i="1" s="1" a="1"/>
  <c r="AGH71" i="1" s="1"/>
  <c r="AGI71" i="1" s="1"/>
  <c r="AAF71" i="1"/>
  <c r="AGJ71" i="1"/>
  <c r="AAE71" i="1"/>
  <c r="AAC71" i="1"/>
  <c r="RU71" i="1"/>
  <c r="HV63" i="1"/>
  <c r="HW63" i="1"/>
  <c r="ADE62" i="1" a="1"/>
  <c r="ADE62" i="1" s="1"/>
  <c r="AGY62" i="1" s="1"/>
  <c r="HV62" i="1"/>
  <c r="ADL62" i="1" a="1"/>
  <c r="ADL62" i="1" s="1"/>
  <c r="ACV62" i="1" a="1"/>
  <c r="ACV62" i="1" s="1"/>
  <c r="ANZ62" i="1"/>
  <c r="IX62" i="1"/>
  <c r="FO61" i="1"/>
  <c r="BN61" i="1"/>
  <c r="BR62" i="1"/>
  <c r="FS62" i="1"/>
  <c r="EN62" i="1" a="1"/>
  <c r="EN62" i="1" s="1"/>
  <c r="EL62" i="1" a="1"/>
  <c r="EL62" i="1" s="1"/>
  <c r="EJ62" i="1" a="1"/>
  <c r="EJ62" i="1" s="1"/>
  <c r="EH62" i="1" a="1"/>
  <c r="EH62" i="1" s="1"/>
  <c r="EF62" i="1" a="1"/>
  <c r="EF62" i="1" s="1"/>
  <c r="EM62" i="1" a="1"/>
  <c r="EM62" i="1" s="1"/>
  <c r="EK62" i="1" a="1"/>
  <c r="EK62" i="1" s="1"/>
  <c r="EI62" i="1" a="1"/>
  <c r="EI62" i="1" s="1"/>
  <c r="EG62" i="1" a="1"/>
  <c r="EG62" i="1" s="1"/>
  <c r="BH62" i="1"/>
  <c r="BU62" i="1"/>
  <c r="FV62" i="1"/>
  <c r="FV61" i="1"/>
  <c r="BU61" i="1"/>
  <c r="HO60" i="1"/>
  <c r="AP60" i="1" a="1"/>
  <c r="AP60" i="1" s="1"/>
  <c r="AR60" i="1" a="1"/>
  <c r="AR60" i="1" s="1"/>
  <c r="AHR60" i="1" s="1"/>
  <c r="AAA60" i="1"/>
  <c r="AQ60" i="1" a="1"/>
  <c r="AQ60" i="1" s="1"/>
  <c r="AKL60" i="1" s="1" a="1"/>
  <c r="AKL60" i="1" s="1"/>
  <c r="KQ60" i="1"/>
  <c r="RO60" i="1" s="1"/>
  <c r="HW60" i="1"/>
  <c r="HM60" i="1" a="1"/>
  <c r="HM60" i="1" s="1"/>
  <c r="IK63" i="1" a="1"/>
  <c r="IK63" i="1" s="1"/>
  <c r="AK63" i="1" s="1"/>
  <c r="IY61" i="1"/>
  <c r="BO61" i="1"/>
  <c r="FP61" i="1"/>
  <c r="IW61" i="1"/>
  <c r="AKX60" i="1" a="1"/>
  <c r="AKX60" i="1" s="1"/>
  <c r="ADB60" i="1" a="1"/>
  <c r="ADB60" i="1" s="1"/>
  <c r="AGV60" i="1" s="1"/>
  <c r="VT60" i="1" a="1"/>
  <c r="VT60" i="1" s="1"/>
  <c r="VD60" i="1" a="1"/>
  <c r="VD60" i="1" s="1"/>
  <c r="NS60" i="1" a="1"/>
  <c r="NS60" i="1" s="1"/>
  <c r="IL63" i="1" a="1"/>
  <c r="IL63" i="1" s="1"/>
  <c r="AL63" i="1" s="1"/>
  <c r="AHR63" i="1" s="1"/>
  <c r="IO63" i="1" a="1"/>
  <c r="IO63" i="1" s="1"/>
  <c r="VT61" i="1" a="1"/>
  <c r="VT61" i="1" s="1"/>
  <c r="VD61" i="1" a="1"/>
  <c r="VD61" i="1" s="1"/>
  <c r="OC61" i="1" a="1"/>
  <c r="OC61" i="1" s="1"/>
  <c r="NM61" i="1" a="1"/>
  <c r="NM61" i="1" s="1"/>
  <c r="AKZ60" i="1" a="1"/>
  <c r="AKZ60" i="1" s="1"/>
  <c r="ADO60" i="1" a="1"/>
  <c r="ADO60" i="1" s="1"/>
  <c r="ACY60" i="1" a="1"/>
  <c r="ACY60" i="1" s="1"/>
  <c r="VN60" i="1" a="1"/>
  <c r="VN60" i="1" s="1"/>
  <c r="NR60" i="1" a="1"/>
  <c r="NR60" i="1" s="1"/>
  <c r="RL60" i="1" s="1"/>
  <c r="IF60" i="1" a="1"/>
  <c r="IF60" i="1" s="1"/>
  <c r="AF60" i="1" s="1"/>
  <c r="IG60" i="1" a="1"/>
  <c r="IG60" i="1" s="1"/>
  <c r="AG60" i="1" s="1"/>
  <c r="IM60" i="1" a="1"/>
  <c r="IM60" i="1" s="1"/>
  <c r="AM60" i="1" s="1"/>
  <c r="AGV58" i="1"/>
  <c r="AKS57" i="1" a="1"/>
  <c r="AKS57" i="1" s="1"/>
  <c r="ADP57" i="1" a="1"/>
  <c r="ADP57" i="1" s="1"/>
  <c r="ACZ57" i="1" a="1"/>
  <c r="ACZ57" i="1" s="1"/>
  <c r="VO57" i="1" a="1"/>
  <c r="VO57" i="1" s="1"/>
  <c r="OD57" i="1" a="1"/>
  <c r="OD57" i="1" s="1"/>
  <c r="NN57" i="1" a="1"/>
  <c r="NN57" i="1" s="1"/>
  <c r="HO55" i="1"/>
  <c r="HQ55" i="1" s="1"/>
  <c r="HR55" i="1" s="1"/>
  <c r="HT55" i="1" s="1"/>
  <c r="HU55" i="1" s="1"/>
  <c r="ADE58" i="1" a="1"/>
  <c r="ADE58" i="1" s="1"/>
  <c r="AGY58" i="1" s="1"/>
  <c r="HQ58" i="1"/>
  <c r="HR58" i="1" s="1"/>
  <c r="AKX57" i="1" a="1"/>
  <c r="AKX57" i="1" s="1"/>
  <c r="ADO57" i="1" a="1"/>
  <c r="ADO57" i="1" s="1"/>
  <c r="ACY57" i="1" a="1"/>
  <c r="ACY57" i="1" s="1"/>
  <c r="VQ57" i="1" a="1"/>
  <c r="VQ57" i="1" s="1"/>
  <c r="VA57" i="1" a="1"/>
  <c r="VA57" i="1" s="1"/>
  <c r="NX57" i="1" a="1"/>
  <c r="NX57" i="1" s="1"/>
  <c r="IJ58" i="1" a="1"/>
  <c r="IJ58" i="1" s="1"/>
  <c r="AJ58" i="1" s="1"/>
  <c r="ALE57" i="1" a="1"/>
  <c r="ALE57" i="1" s="1"/>
  <c r="AKO57" i="1" a="1"/>
  <c r="AKO57" i="1" s="1"/>
  <c r="ADD57" i="1" a="1"/>
  <c r="ADD57" i="1" s="1"/>
  <c r="VS57" i="1" a="1"/>
  <c r="VS57" i="1" s="1"/>
  <c r="VC57" i="1" a="1"/>
  <c r="VC57" i="1" s="1"/>
  <c r="NR57" i="1" a="1"/>
  <c r="NR57" i="1" s="1"/>
  <c r="RL57" i="1" s="1"/>
  <c r="HV59" i="1"/>
  <c r="HO59" i="1"/>
  <c r="HQ59" i="1" s="1"/>
  <c r="HR59" i="1" s="1"/>
  <c r="NL59" i="1" a="1"/>
  <c r="NL59" i="1" s="1"/>
  <c r="NT59" i="1" a="1"/>
  <c r="NT59" i="1" s="1"/>
  <c r="OB59" i="1" a="1"/>
  <c r="OB59" i="1" s="1"/>
  <c r="VB59" i="1" a="1"/>
  <c r="VB59" i="1" s="1"/>
  <c r="VJ59" i="1" a="1"/>
  <c r="VJ59" i="1" s="1"/>
  <c r="VR59" i="1" a="1"/>
  <c r="VR59" i="1" s="1"/>
  <c r="ACV59" i="1" a="1"/>
  <c r="ACV59" i="1" s="1"/>
  <c r="ADD59" i="1" a="1"/>
  <c r="ADD59" i="1" s="1"/>
  <c r="ADL59" i="1" a="1"/>
  <c r="ADL59" i="1" s="1"/>
  <c r="AKV59" i="1" a="1"/>
  <c r="AKV59" i="1" s="1"/>
  <c r="IH57" i="1" a="1"/>
  <c r="IH57" i="1" s="1"/>
  <c r="AH57" i="1" s="1"/>
  <c r="BR56" i="1"/>
  <c r="FS56" i="1"/>
  <c r="IP57" i="1" a="1"/>
  <c r="IP57" i="1" s="1"/>
  <c r="AP57" i="1" s="1" a="1"/>
  <c r="AP57" i="1" s="1"/>
  <c r="II57" i="1" a="1"/>
  <c r="II57" i="1" s="1"/>
  <c r="AI57" i="1" s="1"/>
  <c r="IJ57" i="1" a="1"/>
  <c r="IJ57" i="1" s="1"/>
  <c r="AJ57" i="1" s="1"/>
  <c r="RK56" i="1"/>
  <c r="RL56" i="1" s="1"/>
  <c r="EN56" i="1" a="1"/>
  <c r="EN56" i="1" s="1"/>
  <c r="EK56" i="1" a="1"/>
  <c r="EK56" i="1" s="1"/>
  <c r="EF56" i="1" a="1"/>
  <c r="EF56" i="1" s="1"/>
  <c r="EM56" i="1" a="1"/>
  <c r="EM56" i="1" s="1"/>
  <c r="EH56" i="1" a="1"/>
  <c r="EH56" i="1" s="1"/>
  <c r="BH56" i="1"/>
  <c r="EJ56" i="1" a="1"/>
  <c r="EJ56" i="1" s="1"/>
  <c r="EG56" i="1" a="1"/>
  <c r="EG56" i="1" s="1"/>
  <c r="EI56" i="1" a="1"/>
  <c r="EI56" i="1" s="1"/>
  <c r="EL56" i="1" a="1"/>
  <c r="EL56" i="1" s="1"/>
  <c r="IH55" i="1" a="1"/>
  <c r="IH55" i="1" s="1"/>
  <c r="AH55" i="1" s="1"/>
  <c r="IK56" i="1" a="1"/>
  <c r="IK56" i="1" s="1"/>
  <c r="AK56" i="1" s="1"/>
  <c r="IN56" i="1" a="1"/>
  <c r="IN56" i="1" s="1"/>
  <c r="BA56" i="1" s="1"/>
  <c r="BV56" i="1" s="1"/>
  <c r="IO56" i="1" a="1"/>
  <c r="IO56" i="1" s="1"/>
  <c r="IK59" i="1" a="1"/>
  <c r="IK59" i="1" s="1"/>
  <c r="AK59" i="1" s="1"/>
  <c r="IF59" i="1" a="1"/>
  <c r="IF59" i="1" s="1"/>
  <c r="AF59" i="1" s="1"/>
  <c r="IJ55" i="1" a="1"/>
  <c r="IJ55" i="1" s="1"/>
  <c r="AJ55" i="1" s="1"/>
  <c r="IK26" i="1" a="1"/>
  <c r="IK26" i="1" s="1"/>
  <c r="AK26" i="1" s="1"/>
  <c r="IF26" i="1" a="1"/>
  <c r="IF26" i="1" s="1"/>
  <c r="KT23" i="1"/>
  <c r="QZ23" i="1"/>
  <c r="KS23" i="1"/>
  <c r="QI23" i="1"/>
  <c r="KV23" i="1"/>
  <c r="RU23" i="1" s="1"/>
  <c r="KR23" i="1"/>
  <c r="QX23" i="1" s="1" a="1"/>
  <c r="QX23" i="1" s="1"/>
  <c r="QY23" i="1" s="1"/>
  <c r="KU23" i="1"/>
  <c r="HT23" i="1"/>
  <c r="HU23" i="1" s="1"/>
  <c r="RO23" i="1"/>
  <c r="AHE23" i="1"/>
  <c r="ANJ23" i="1"/>
  <c r="AHW23" i="1"/>
  <c r="AHS23" i="1"/>
  <c r="ANY23" i="1" s="1" a="1"/>
  <c r="ANY23" i="1" s="1"/>
  <c r="ANZ23" i="1" s="1"/>
  <c r="AHV23" i="1"/>
  <c r="AHU23" i="1"/>
  <c r="AOA23" i="1"/>
  <c r="AHT23" i="1"/>
  <c r="BP22" i="1"/>
  <c r="FQ22" i="1"/>
  <c r="ACT23" i="1" a="1"/>
  <c r="ACT23" i="1" s="1"/>
  <c r="HQ22" i="1"/>
  <c r="HR22" i="1" s="1"/>
  <c r="HT22" i="1" s="1"/>
  <c r="HU22" i="1" s="1"/>
  <c r="FQ20" i="1"/>
  <c r="BP20" i="1"/>
  <c r="AGV55" i="1"/>
  <c r="VD55" i="1" a="1"/>
  <c r="VD55" i="1" s="1"/>
  <c r="ALC55" i="1" a="1"/>
  <c r="ALC55" i="1" s="1"/>
  <c r="ACZ23" i="1" a="1"/>
  <c r="ACZ23" i="1" s="1"/>
  <c r="OD23" i="1" a="1"/>
  <c r="OD23" i="1" s="1"/>
  <c r="RX23" i="1" s="1"/>
  <c r="EM22" i="1" a="1"/>
  <c r="EM22" i="1" s="1"/>
  <c r="EI22" i="1" a="1"/>
  <c r="EI22" i="1" s="1"/>
  <c r="EL22" i="1" a="1"/>
  <c r="EL22" i="1" s="1"/>
  <c r="EH22" i="1" a="1"/>
  <c r="EH22" i="1" s="1"/>
  <c r="EK22" i="1" a="1"/>
  <c r="EK22" i="1" s="1"/>
  <c r="EG22" i="1" a="1"/>
  <c r="EG22" i="1" s="1"/>
  <c r="EN22" i="1" a="1"/>
  <c r="EN22" i="1" s="1"/>
  <c r="EJ22" i="1" a="1"/>
  <c r="EJ22" i="1" s="1"/>
  <c r="EF22" i="1" a="1"/>
  <c r="EF22" i="1" s="1"/>
  <c r="BG22" i="1"/>
  <c r="J46" i="1" s="1"/>
  <c r="BO20" i="1"/>
  <c r="FP20" i="1"/>
  <c r="HT18" i="1"/>
  <c r="HU18" i="1" s="1"/>
  <c r="NL23" i="1" a="1"/>
  <c r="NL23" i="1" s="1"/>
  <c r="BD22" i="1"/>
  <c r="G46" i="1" s="1"/>
  <c r="BF22" i="1"/>
  <c r="I46" i="1" s="1"/>
  <c r="DC22" i="1" a="1"/>
  <c r="DC22" i="1" s="1"/>
  <c r="CY22" i="1" a="1"/>
  <c r="CY22" i="1" s="1"/>
  <c r="BE22" i="1"/>
  <c r="H46" i="1" s="1"/>
  <c r="DB22" i="1" a="1"/>
  <c r="DB22" i="1" s="1"/>
  <c r="CX22" i="1" a="1"/>
  <c r="CX22" i="1" s="1"/>
  <c r="DE22" i="1" a="1"/>
  <c r="DE22" i="1" s="1"/>
  <c r="DA22" i="1" a="1"/>
  <c r="DA22" i="1" s="1"/>
  <c r="CW22" i="1" a="1"/>
  <c r="CW22" i="1" s="1"/>
  <c r="DD22" i="1" a="1"/>
  <c r="DD22" i="1" s="1"/>
  <c r="CZ22" i="1" a="1"/>
  <c r="CZ22" i="1" s="1"/>
  <c r="DD20" i="1" a="1"/>
  <c r="DD20" i="1" s="1"/>
  <c r="CY20" i="1" a="1"/>
  <c r="CY20" i="1" s="1"/>
  <c r="BE20" i="1"/>
  <c r="H44" i="1" s="1"/>
  <c r="DA20" i="1" a="1"/>
  <c r="DA20" i="1" s="1"/>
  <c r="CX20" i="1" a="1"/>
  <c r="CX20" i="1" s="1"/>
  <c r="DC20" i="1" a="1"/>
  <c r="DC20" i="1" s="1"/>
  <c r="CZ20" i="1" a="1"/>
  <c r="CZ20" i="1" s="1"/>
  <c r="DE20" i="1" a="1"/>
  <c r="DE20" i="1" s="1"/>
  <c r="DB20" i="1" a="1"/>
  <c r="DB20" i="1" s="1"/>
  <c r="CW20" i="1" a="1"/>
  <c r="CW20" i="1" s="1"/>
  <c r="BF20" i="1"/>
  <c r="I44" i="1" s="1"/>
  <c r="ADJ23" i="1" a="1"/>
  <c r="ADJ23" i="1" s="1"/>
  <c r="EN21" i="1" a="1"/>
  <c r="EN21" i="1" s="1"/>
  <c r="EJ21" i="1" a="1"/>
  <c r="EJ21" i="1" s="1"/>
  <c r="EF21" i="1" a="1"/>
  <c r="EF21" i="1" s="1"/>
  <c r="BG21" i="1"/>
  <c r="J45" i="1" s="1"/>
  <c r="EM21" i="1" a="1"/>
  <c r="EM21" i="1" s="1"/>
  <c r="EI21" i="1" a="1"/>
  <c r="EI21" i="1" s="1"/>
  <c r="EL21" i="1" a="1"/>
  <c r="EL21" i="1" s="1"/>
  <c r="EH21" i="1" a="1"/>
  <c r="EH21" i="1" s="1"/>
  <c r="EK21" i="1" a="1"/>
  <c r="EK21" i="1" s="1"/>
  <c r="EG21" i="1" a="1"/>
  <c r="EG21" i="1" s="1"/>
  <c r="FQ21" i="1"/>
  <c r="BP21" i="1"/>
  <c r="BU21" i="1"/>
  <c r="FV21" i="1"/>
  <c r="FQ19" i="1"/>
  <c r="BP19" i="1"/>
  <c r="BS19" i="1"/>
  <c r="FT19" i="1"/>
  <c r="FP18" i="1"/>
  <c r="BO18" i="1"/>
  <c r="ALE18" i="1" a="1"/>
  <c r="ALE18" i="1" s="1"/>
  <c r="AKW18" i="1" a="1"/>
  <c r="AKW18" i="1" s="1"/>
  <c r="AKO18" i="1" a="1"/>
  <c r="AKO18" i="1" s="1"/>
  <c r="ADO18" i="1" a="1"/>
  <c r="ADO18" i="1" s="1"/>
  <c r="ADM18" i="1" a="1"/>
  <c r="ADM18" i="1" s="1"/>
  <c r="ADK18" i="1" a="1"/>
  <c r="ADK18" i="1" s="1"/>
  <c r="ADI18" i="1" a="1"/>
  <c r="ADI18" i="1" s="1"/>
  <c r="ADG18" i="1" a="1"/>
  <c r="ADG18" i="1" s="1"/>
  <c r="ADE18" i="1" a="1"/>
  <c r="ADE18" i="1" s="1"/>
  <c r="ADC18" i="1" a="1"/>
  <c r="ADC18" i="1" s="1"/>
  <c r="ADA18" i="1" a="1"/>
  <c r="ADA18" i="1" s="1"/>
  <c r="AGU18" i="1" s="1"/>
  <c r="ACY18" i="1" a="1"/>
  <c r="ACY18" i="1" s="1"/>
  <c r="ACW18" i="1" a="1"/>
  <c r="ACW18" i="1" s="1"/>
  <c r="ACU18" i="1" a="1"/>
  <c r="ACU18" i="1" s="1"/>
  <c r="VW18" i="1" a="1"/>
  <c r="VW18" i="1" s="1"/>
  <c r="VO18" i="1" a="1"/>
  <c r="VO18" i="1" s="1"/>
  <c r="VG18" i="1" a="1"/>
  <c r="VG18" i="1" s="1"/>
  <c r="SH18" i="1"/>
  <c r="OE18" i="1" a="1"/>
  <c r="OE18" i="1" s="1"/>
  <c r="OC18" i="1" a="1"/>
  <c r="OC18" i="1" s="1"/>
  <c r="OA18" i="1" a="1"/>
  <c r="OA18" i="1" s="1"/>
  <c r="NY18" i="1" a="1"/>
  <c r="NY18" i="1" s="1"/>
  <c r="NW18" i="1" a="1"/>
  <c r="NW18" i="1" s="1"/>
  <c r="NU18" i="1" a="1"/>
  <c r="NU18" i="1" s="1"/>
  <c r="NS18" i="1" a="1"/>
  <c r="NS18" i="1" s="1"/>
  <c r="NQ18" i="1" a="1"/>
  <c r="NQ18" i="1" s="1"/>
  <c r="RK18" i="1" s="1"/>
  <c r="NO18" i="1" a="1"/>
  <c r="NO18" i="1" s="1"/>
  <c r="NM18" i="1" a="1"/>
  <c r="NM18" i="1" s="1"/>
  <c r="NK18" i="1" a="1"/>
  <c r="NK18" i="1" s="1"/>
  <c r="ALD18" i="1" a="1"/>
  <c r="ALD18" i="1" s="1"/>
  <c r="AKV18" i="1" a="1"/>
  <c r="AKV18" i="1" s="1"/>
  <c r="AKN18" i="1" a="1"/>
  <c r="AKN18" i="1" s="1"/>
  <c r="ADP18" i="1" a="1"/>
  <c r="ADP18" i="1" s="1"/>
  <c r="ADN18" i="1" a="1"/>
  <c r="ADN18" i="1" s="1"/>
  <c r="ADL18" i="1" a="1"/>
  <c r="ADL18" i="1" s="1"/>
  <c r="ADJ18" i="1" a="1"/>
  <c r="ADJ18" i="1" s="1"/>
  <c r="ADH18" i="1" a="1"/>
  <c r="ADH18" i="1" s="1"/>
  <c r="ADF18" i="1" a="1"/>
  <c r="ADF18" i="1" s="1"/>
  <c r="ADD18" i="1" a="1"/>
  <c r="ADD18" i="1" s="1"/>
  <c r="ADB18" i="1" a="1"/>
  <c r="ADB18" i="1" s="1"/>
  <c r="ACZ18" i="1" a="1"/>
  <c r="ACZ18" i="1" s="1"/>
  <c r="ACX18" i="1" a="1"/>
  <c r="ACX18" i="1" s="1"/>
  <c r="ACV18" i="1" a="1"/>
  <c r="ACV18" i="1" s="1"/>
  <c r="ACT18" i="1" a="1"/>
  <c r="ACT18" i="1" s="1"/>
  <c r="AAA18" i="1"/>
  <c r="VT18" i="1" a="1"/>
  <c r="VT18" i="1" s="1"/>
  <c r="VL18" i="1" a="1"/>
  <c r="VL18" i="1" s="1"/>
  <c r="VD18" i="1" a="1"/>
  <c r="VD18" i="1" s="1"/>
  <c r="OF18" i="1" a="1"/>
  <c r="OF18" i="1" s="1"/>
  <c r="OD18" i="1" a="1"/>
  <c r="OD18" i="1" s="1"/>
  <c r="OB18" i="1" a="1"/>
  <c r="OB18" i="1" s="1"/>
  <c r="NZ18" i="1" a="1"/>
  <c r="NZ18" i="1" s="1"/>
  <c r="NX18" i="1" a="1"/>
  <c r="NX18" i="1" s="1"/>
  <c r="NV18" i="1" a="1"/>
  <c r="NV18" i="1" s="1"/>
  <c r="NT18" i="1" a="1"/>
  <c r="NT18" i="1" s="1"/>
  <c r="NR18" i="1" a="1"/>
  <c r="NR18" i="1" s="1"/>
  <c r="RL18" i="1" s="1"/>
  <c r="NP18" i="1" a="1"/>
  <c r="NP18" i="1" s="1"/>
  <c r="NN18" i="1" a="1"/>
  <c r="NN18" i="1" s="1"/>
  <c r="NL18" i="1" a="1"/>
  <c r="NL18" i="1" s="1"/>
  <c r="NJ18" i="1" a="1"/>
  <c r="NJ18" i="1" s="1"/>
  <c r="KQ18" i="1"/>
  <c r="AR18" i="1" a="1"/>
  <c r="AR18" i="1" s="1"/>
  <c r="AHR18" i="1" s="1"/>
  <c r="AP18" i="1" a="1"/>
  <c r="AP18" i="1" s="1"/>
  <c r="AQ18" i="1" a="1"/>
  <c r="AQ18" i="1" s="1"/>
  <c r="ALA18" i="1" s="1" a="1"/>
  <c r="ALA18" i="1" s="1"/>
  <c r="HQ15" i="1"/>
  <c r="HR15" i="1" s="1"/>
  <c r="BN18" i="1"/>
  <c r="FO18" i="1"/>
  <c r="BQ16" i="1"/>
  <c r="FR16" i="1"/>
  <c r="FT23" i="1"/>
  <c r="BS23" i="1"/>
  <c r="BQ23" i="1"/>
  <c r="FR23" i="1"/>
  <c r="FS23" i="1"/>
  <c r="BR23" i="1"/>
  <c r="EM23" i="1" a="1"/>
  <c r="EM23" i="1" s="1"/>
  <c r="EK23" i="1" a="1"/>
  <c r="EK23" i="1" s="1"/>
  <c r="EI23" i="1" a="1"/>
  <c r="EI23" i="1" s="1"/>
  <c r="EG23" i="1" a="1"/>
  <c r="EG23" i="1" s="1"/>
  <c r="BH23" i="1"/>
  <c r="EN23" i="1" a="1"/>
  <c r="EN23" i="1" s="1"/>
  <c r="EF23" i="1" a="1"/>
  <c r="EF23" i="1" s="1"/>
  <c r="EL23" i="1" a="1"/>
  <c r="EL23" i="1" s="1"/>
  <c r="EJ23" i="1" a="1"/>
  <c r="EJ23" i="1" s="1"/>
  <c r="EH23" i="1" a="1"/>
  <c r="EH23" i="1" s="1"/>
  <c r="BP13" i="1"/>
  <c r="FQ13" i="1"/>
  <c r="FR15" i="1"/>
  <c r="BQ15" i="1"/>
  <c r="FS15" i="1"/>
  <c r="BR15" i="1"/>
  <c r="BS15" i="1"/>
  <c r="FT15" i="1"/>
  <c r="FT11" i="1"/>
  <c r="BS11" i="1"/>
  <c r="FO11" i="1"/>
  <c r="BN11" i="1"/>
  <c r="FU10" i="1"/>
  <c r="BT10" i="1"/>
  <c r="FS10" i="1"/>
  <c r="BR10" i="1"/>
  <c r="FR10" i="1"/>
  <c r="BQ10" i="1"/>
  <c r="FO17" i="1"/>
  <c r="BN17" i="1"/>
  <c r="BO17" i="1"/>
  <c r="FP17" i="1"/>
  <c r="FU17" i="1"/>
  <c r="BT17" i="1"/>
  <c r="BD17" i="1"/>
  <c r="G41" i="1" s="1"/>
  <c r="BF17" i="1"/>
  <c r="I41" i="1" s="1"/>
  <c r="DD17" i="1" a="1"/>
  <c r="DD17" i="1" s="1"/>
  <c r="CZ17" i="1" a="1"/>
  <c r="CZ17" i="1" s="1"/>
  <c r="DC17" i="1" a="1"/>
  <c r="DC17" i="1" s="1"/>
  <c r="CY17" i="1" a="1"/>
  <c r="CY17" i="1" s="1"/>
  <c r="BE17" i="1"/>
  <c r="H41" i="1" s="1"/>
  <c r="DB17" i="1" a="1"/>
  <c r="DB17" i="1" s="1"/>
  <c r="CX17" i="1" a="1"/>
  <c r="CX17" i="1" s="1"/>
  <c r="DE17" i="1" a="1"/>
  <c r="DE17" i="1" s="1"/>
  <c r="DA17" i="1" a="1"/>
  <c r="DA17" i="1" s="1"/>
  <c r="CW17" i="1" a="1"/>
  <c r="CW17" i="1" s="1"/>
  <c r="BF14" i="1"/>
  <c r="I38" i="1" s="1"/>
  <c r="DE14" i="1" a="1"/>
  <c r="DE14" i="1" s="1"/>
  <c r="CZ14" i="1" a="1"/>
  <c r="CZ14" i="1" s="1"/>
  <c r="CW14" i="1" a="1"/>
  <c r="CW14" i="1" s="1"/>
  <c r="DB14" i="1" a="1"/>
  <c r="DB14" i="1" s="1"/>
  <c r="CY14" i="1" a="1"/>
  <c r="CY14" i="1" s="1"/>
  <c r="BE14" i="1"/>
  <c r="H38" i="1" s="1"/>
  <c r="DD14" i="1" a="1"/>
  <c r="DD14" i="1" s="1"/>
  <c r="DA14" i="1" a="1"/>
  <c r="DA14" i="1" s="1"/>
  <c r="DC14" i="1" a="1"/>
  <c r="DC14" i="1" s="1"/>
  <c r="CX14" i="1" a="1"/>
  <c r="CX14" i="1" s="1"/>
  <c r="FS14" i="1"/>
  <c r="BR14" i="1"/>
  <c r="FT14" i="1"/>
  <c r="BS14" i="1"/>
  <c r="EV13" i="1" a="1"/>
  <c r="EV13" i="1" s="1"/>
  <c r="ES13" i="1" a="1"/>
  <c r="ES13" i="1" s="1"/>
  <c r="FG13" i="1" s="1"/>
  <c r="EU13" i="1" a="1"/>
  <c r="EU13" i="1" s="1"/>
  <c r="EZ13" i="1" s="1"/>
  <c r="EP13" i="1" a="1"/>
  <c r="EP13" i="1" s="1"/>
  <c r="EY13" i="1" s="1"/>
  <c r="FA13" i="1" s="1"/>
  <c r="FB13" i="1" s="1"/>
  <c r="EW13" i="1" a="1"/>
  <c r="EW13" i="1" s="1"/>
  <c r="ER13" i="1" a="1"/>
  <c r="ER13" i="1" s="1"/>
  <c r="ET13" i="1" a="1"/>
  <c r="ET13" i="1" s="1"/>
  <c r="FF13" i="1" s="1"/>
  <c r="EQ13" i="1" a="1"/>
  <c r="EQ13" i="1" s="1"/>
  <c r="AHR10" i="1"/>
  <c r="KQ10" i="1"/>
  <c r="AAA10" i="1"/>
  <c r="AJP10" i="1" a="1"/>
  <c r="AJP10" i="1" s="1"/>
  <c r="AJL10" i="1" a="1"/>
  <c r="AJL10" i="1" s="1"/>
  <c r="AJH10" i="1" a="1"/>
  <c r="AJH10" i="1" s="1"/>
  <c r="AJD10" i="1" a="1"/>
  <c r="AJD10" i="1" s="1"/>
  <c r="AIZ10" i="1" a="1"/>
  <c r="AIZ10" i="1" s="1"/>
  <c r="AIV10" i="1" a="1"/>
  <c r="AIV10" i="1" s="1"/>
  <c r="AIR10" i="1" a="1"/>
  <c r="AIR10" i="1" s="1"/>
  <c r="AIN10" i="1" a="1"/>
  <c r="AIN10" i="1" s="1"/>
  <c r="AIJ10" i="1" a="1"/>
  <c r="AIJ10" i="1" s="1"/>
  <c r="AIE10" i="1" a="1"/>
  <c r="AIE10" i="1" s="1"/>
  <c r="AIA10" i="1" a="1"/>
  <c r="AIA10" i="1" s="1"/>
  <c r="UR10" i="1" a="1"/>
  <c r="UR10" i="1" s="1"/>
  <c r="UP10" i="1" a="1"/>
  <c r="UP10" i="1" s="1"/>
  <c r="UN10" i="1" a="1"/>
  <c r="UN10" i="1" s="1"/>
  <c r="UL10" i="1" a="1"/>
  <c r="UL10" i="1" s="1"/>
  <c r="UJ10" i="1" a="1"/>
  <c r="UJ10" i="1" s="1"/>
  <c r="UH10" i="1" a="1"/>
  <c r="UH10" i="1" s="1"/>
  <c r="UD10" i="1" a="1"/>
  <c r="UD10" i="1" s="1"/>
  <c r="TZ10" i="1" a="1"/>
  <c r="TZ10" i="1" s="1"/>
  <c r="TV10" i="1" a="1"/>
  <c r="TV10" i="1" s="1"/>
  <c r="TR10" i="1" a="1"/>
  <c r="TR10" i="1" s="1"/>
  <c r="TP10" i="1" a="1"/>
  <c r="TP10" i="1" s="1"/>
  <c r="TL10" i="1" a="1"/>
  <c r="TL10" i="1" s="1"/>
  <c r="TF10" i="1" a="1"/>
  <c r="TF10" i="1" s="1"/>
  <c r="TB10" i="1" a="1"/>
  <c r="TB10" i="1" s="1"/>
  <c r="SX10" i="1" a="1"/>
  <c r="SX10" i="1" s="1"/>
  <c r="SS10" i="1" a="1"/>
  <c r="SS10" i="1" s="1"/>
  <c r="SO10" i="1" a="1"/>
  <c r="SO10" i="1" s="1"/>
  <c r="UQ10" i="1" a="1"/>
  <c r="UQ10" i="1" s="1"/>
  <c r="UM10" i="1" a="1"/>
  <c r="UM10" i="1" s="1"/>
  <c r="UE10" i="1" a="1"/>
  <c r="UE10" i="1" s="1"/>
  <c r="TW10" i="1" a="1"/>
  <c r="TW10" i="1" s="1"/>
  <c r="TO10" i="1" a="1"/>
  <c r="TO10" i="1" s="1"/>
  <c r="TG10" i="1" a="1"/>
  <c r="TG10" i="1" s="1"/>
  <c r="SY10" i="1" a="1"/>
  <c r="SY10" i="1" s="1"/>
  <c r="SP10" i="1" a="1"/>
  <c r="SP10" i="1" s="1"/>
  <c r="AKB10" i="1" a="1"/>
  <c r="AKB10" i="1" s="1"/>
  <c r="AJZ10" i="1" a="1"/>
  <c r="AJZ10" i="1" s="1"/>
  <c r="AJX10" i="1" a="1"/>
  <c r="AJX10" i="1" s="1"/>
  <c r="AJV10" i="1" a="1"/>
  <c r="AJV10" i="1" s="1"/>
  <c r="AJT10" i="1" a="1"/>
  <c r="AJT10" i="1" s="1"/>
  <c r="AJR10" i="1" a="1"/>
  <c r="AJR10" i="1" s="1"/>
  <c r="AJN10" i="1" a="1"/>
  <c r="AJN10" i="1" s="1"/>
  <c r="AJJ10" i="1" a="1"/>
  <c r="AJJ10" i="1" s="1"/>
  <c r="AJF10" i="1" a="1"/>
  <c r="AJF10" i="1" s="1"/>
  <c r="AJB10" i="1" a="1"/>
  <c r="AJB10" i="1" s="1"/>
  <c r="AIX10" i="1" a="1"/>
  <c r="AIX10" i="1" s="1"/>
  <c r="AIT10" i="1" a="1"/>
  <c r="AIT10" i="1" s="1"/>
  <c r="AIP10" i="1" a="1"/>
  <c r="AIP10" i="1" s="1"/>
  <c r="AIL10" i="1" a="1"/>
  <c r="AIL10" i="1" s="1"/>
  <c r="AIH10" i="1" a="1"/>
  <c r="AIH10" i="1" s="1"/>
  <c r="AIC10" i="1" a="1"/>
  <c r="AIC10" i="1" s="1"/>
  <c r="AHY10" i="1" a="1"/>
  <c r="AHY10" i="1" s="1"/>
  <c r="UF10" i="1" a="1"/>
  <c r="UF10" i="1" s="1"/>
  <c r="UB10" i="1" a="1"/>
  <c r="UB10" i="1" s="1"/>
  <c r="TX10" i="1" a="1"/>
  <c r="TX10" i="1" s="1"/>
  <c r="TT10" i="1" a="1"/>
  <c r="TT10" i="1" s="1"/>
  <c r="TN10" i="1" a="1"/>
  <c r="TN10" i="1" s="1"/>
  <c r="TJ10" i="1" a="1"/>
  <c r="TJ10" i="1" s="1"/>
  <c r="TH10" i="1" a="1"/>
  <c r="TH10" i="1" s="1"/>
  <c r="TD10" i="1" a="1"/>
  <c r="TD10" i="1" s="1"/>
  <c r="SZ10" i="1" a="1"/>
  <c r="SZ10" i="1" s="1"/>
  <c r="SU10" i="1" a="1"/>
  <c r="SU10" i="1" s="1"/>
  <c r="SQ10" i="1" a="1"/>
  <c r="SQ10" i="1" s="1"/>
  <c r="US10" i="1" a="1"/>
  <c r="US10" i="1" s="1"/>
  <c r="UO10" i="1" a="1"/>
  <c r="UO10" i="1" s="1"/>
  <c r="UG10" i="1" a="1"/>
  <c r="UG10" i="1" s="1"/>
  <c r="UA10" i="1" a="1"/>
  <c r="UA10" i="1" s="1"/>
  <c r="TS10" i="1" a="1"/>
  <c r="TS10" i="1" s="1"/>
  <c r="TK10" i="1" a="1"/>
  <c r="TK10" i="1" s="1"/>
  <c r="TA10" i="1" a="1"/>
  <c r="TA10" i="1" s="1"/>
  <c r="SR10" i="1" a="1"/>
  <c r="SR10" i="1" s="1"/>
  <c r="AKC10" i="1" a="1"/>
  <c r="AKC10" i="1" s="1"/>
  <c r="AJY10" i="1" a="1"/>
  <c r="AJY10" i="1" s="1"/>
  <c r="AJU10" i="1" a="1"/>
  <c r="AJU10" i="1" s="1"/>
  <c r="AJQ10" i="1" a="1"/>
  <c r="AJQ10" i="1" s="1"/>
  <c r="AJM10" i="1" a="1"/>
  <c r="AJM10" i="1" s="1"/>
  <c r="AJI10" i="1" a="1"/>
  <c r="AJI10" i="1" s="1"/>
  <c r="AJE10" i="1" a="1"/>
  <c r="AJE10" i="1" s="1"/>
  <c r="AJA10" i="1" a="1"/>
  <c r="AJA10" i="1" s="1"/>
  <c r="AIW10" i="1" a="1"/>
  <c r="AIW10" i="1" s="1"/>
  <c r="AIS10" i="1" a="1"/>
  <c r="AIS10" i="1" s="1"/>
  <c r="AIO10" i="1" a="1"/>
  <c r="AIO10" i="1" s="1"/>
  <c r="AIK10" i="1" a="1"/>
  <c r="AIK10" i="1" s="1"/>
  <c r="AIG10" i="1" a="1"/>
  <c r="AIG10" i="1" s="1"/>
  <c r="AIB10" i="1" a="1"/>
  <c r="AIB10" i="1" s="1"/>
  <c r="UK10" i="1" a="1"/>
  <c r="UK10" i="1" s="1"/>
  <c r="UC10" i="1" a="1"/>
  <c r="UC10" i="1" s="1"/>
  <c r="TU10" i="1" a="1"/>
  <c r="TU10" i="1" s="1"/>
  <c r="TM10" i="1" a="1"/>
  <c r="TM10" i="1" s="1"/>
  <c r="TE10" i="1" a="1"/>
  <c r="TE10" i="1" s="1"/>
  <c r="SW10" i="1" a="1"/>
  <c r="SW10" i="1" s="1"/>
  <c r="AKA10" i="1" a="1"/>
  <c r="AKA10" i="1" s="1"/>
  <c r="AJW10" i="1" a="1"/>
  <c r="AJW10" i="1" s="1"/>
  <c r="AJS10" i="1" a="1"/>
  <c r="AJS10" i="1" s="1"/>
  <c r="AJO10" i="1" a="1"/>
  <c r="AJO10" i="1" s="1"/>
  <c r="AJK10" i="1" a="1"/>
  <c r="AJK10" i="1" s="1"/>
  <c r="AJG10" i="1" a="1"/>
  <c r="AJG10" i="1" s="1"/>
  <c r="AJC10" i="1" a="1"/>
  <c r="AJC10" i="1" s="1"/>
  <c r="AIY10" i="1" a="1"/>
  <c r="AIY10" i="1" s="1"/>
  <c r="AIU10" i="1" a="1"/>
  <c r="AIU10" i="1" s="1"/>
  <c r="AIQ10" i="1" a="1"/>
  <c r="AIQ10" i="1" s="1"/>
  <c r="AIM10" i="1" a="1"/>
  <c r="AIM10" i="1" s="1"/>
  <c r="AII10" i="1" a="1"/>
  <c r="AII10" i="1" s="1"/>
  <c r="AID10" i="1" a="1"/>
  <c r="AID10" i="1" s="1"/>
  <c r="AHZ10" i="1" a="1"/>
  <c r="AHZ10" i="1" s="1"/>
  <c r="UI10" i="1" a="1"/>
  <c r="UI10" i="1" s="1"/>
  <c r="TY10" i="1" a="1"/>
  <c r="TY10" i="1" s="1"/>
  <c r="TQ10" i="1" a="1"/>
  <c r="TQ10" i="1" s="1"/>
  <c r="TI10" i="1" a="1"/>
  <c r="TI10" i="1" s="1"/>
  <c r="TC10" i="1" a="1"/>
  <c r="TC10" i="1" s="1"/>
  <c r="ST10" i="1" a="1"/>
  <c r="ST10" i="1" s="1"/>
  <c r="VF10" i="1" a="1"/>
  <c r="VF10" i="1" s="1"/>
  <c r="VV10" i="1" a="1"/>
  <c r="VV10" i="1" s="1"/>
  <c r="AKR10" i="1" a="1"/>
  <c r="AKR10" i="1" s="1"/>
  <c r="ALF10" i="1" a="1"/>
  <c r="ALF10" i="1" s="1"/>
  <c r="EZ16" i="1"/>
  <c r="DB12" i="1" a="1"/>
  <c r="DB12" i="1" s="1"/>
  <c r="CY12" i="1" a="1"/>
  <c r="CY12" i="1" s="1"/>
  <c r="BE12" i="1"/>
  <c r="H36" i="1" s="1"/>
  <c r="DD12" i="1" a="1"/>
  <c r="DD12" i="1" s="1"/>
  <c r="DA12" i="1" a="1"/>
  <c r="DA12" i="1" s="1"/>
  <c r="BD12" i="1"/>
  <c r="G36" i="1" s="1"/>
  <c r="DC12" i="1" a="1"/>
  <c r="DC12" i="1" s="1"/>
  <c r="CX12" i="1" a="1"/>
  <c r="CX12" i="1" s="1"/>
  <c r="DE12" i="1" a="1"/>
  <c r="DE12" i="1" s="1"/>
  <c r="CZ12" i="1" a="1"/>
  <c r="CZ12" i="1" s="1"/>
  <c r="CW12" i="1" a="1"/>
  <c r="CW12" i="1" s="1"/>
  <c r="BR12" i="1"/>
  <c r="FS12" i="1"/>
  <c r="RL11" i="1" l="1"/>
  <c r="HQ26" i="1"/>
  <c r="HR26" i="1" s="1"/>
  <c r="HT26" i="1" s="1"/>
  <c r="HU26" i="1" s="1"/>
  <c r="RU78" i="1"/>
  <c r="RL13" i="1"/>
  <c r="RL20" i="1"/>
  <c r="AGY72" i="1"/>
  <c r="AGV17" i="1"/>
  <c r="RO17" i="1"/>
  <c r="AGY17" i="1"/>
  <c r="AGV72" i="1"/>
  <c r="RX78" i="1"/>
  <c r="AGV13" i="1"/>
  <c r="FD13" i="1"/>
  <c r="FE13" i="1" s="1"/>
  <c r="AOA75" i="1"/>
  <c r="AHT75" i="1"/>
  <c r="AHS75" i="1"/>
  <c r="ANY75" i="1" s="1" a="1"/>
  <c r="ANY75" i="1" s="1"/>
  <c r="ANZ75" i="1" s="1"/>
  <c r="ANJ75" i="1"/>
  <c r="AHW75" i="1"/>
  <c r="AHU75" i="1"/>
  <c r="AHV75" i="1"/>
  <c r="ACJ58" i="1" a="1"/>
  <c r="ACJ58" i="1" s="1"/>
  <c r="ACF58" i="1" a="1"/>
  <c r="ACF58" i="1" s="1"/>
  <c r="ACB58" i="1" a="1"/>
  <c r="ACB58" i="1" s="1"/>
  <c r="ABX58" i="1" a="1"/>
  <c r="ABX58" i="1" s="1"/>
  <c r="ABT58" i="1" a="1"/>
  <c r="ABT58" i="1" s="1"/>
  <c r="ABP58" i="1" a="1"/>
  <c r="ABP58" i="1" s="1"/>
  <c r="ABL58" i="1" a="1"/>
  <c r="ABL58" i="1" s="1"/>
  <c r="ABH58" i="1" a="1"/>
  <c r="ABH58" i="1" s="1"/>
  <c r="ABD58" i="1" a="1"/>
  <c r="ABD58" i="1" s="1"/>
  <c r="AAZ58" i="1" a="1"/>
  <c r="AAZ58" i="1" s="1"/>
  <c r="AAV58" i="1" a="1"/>
  <c r="AAV58" i="1" s="1"/>
  <c r="AAR58" i="1" a="1"/>
  <c r="AAR58" i="1" s="1"/>
  <c r="NB58" i="1" a="1"/>
  <c r="NB58" i="1" s="1"/>
  <c r="MX58" i="1" a="1"/>
  <c r="MX58" i="1" s="1"/>
  <c r="MT58" i="1" a="1"/>
  <c r="MT58" i="1" s="1"/>
  <c r="MP58" i="1" a="1"/>
  <c r="MP58" i="1" s="1"/>
  <c r="ML58" i="1" a="1"/>
  <c r="ML58" i="1" s="1"/>
  <c r="MH58" i="1" a="1"/>
  <c r="MH58" i="1" s="1"/>
  <c r="MD58" i="1" a="1"/>
  <c r="MD58" i="1" s="1"/>
  <c r="LZ58" i="1" a="1"/>
  <c r="LZ58" i="1" s="1"/>
  <c r="LV58" i="1" a="1"/>
  <c r="LV58" i="1" s="1"/>
  <c r="LR58" i="1" a="1"/>
  <c r="LR58" i="1" s="1"/>
  <c r="LN58" i="1" a="1"/>
  <c r="LN58" i="1" s="1"/>
  <c r="LJ58" i="1" a="1"/>
  <c r="LJ58" i="1" s="1"/>
  <c r="LF58" i="1" a="1"/>
  <c r="LF58" i="1" s="1"/>
  <c r="ACI58" i="1" a="1"/>
  <c r="ACI58" i="1" s="1"/>
  <c r="ACE58" i="1" a="1"/>
  <c r="ACE58" i="1" s="1"/>
  <c r="ACA58" i="1" a="1"/>
  <c r="ACA58" i="1" s="1"/>
  <c r="ABW58" i="1" a="1"/>
  <c r="ABW58" i="1" s="1"/>
  <c r="ABS58" i="1" a="1"/>
  <c r="ABS58" i="1" s="1"/>
  <c r="ABO58" i="1" a="1"/>
  <c r="ABO58" i="1" s="1"/>
  <c r="ABK58" i="1" a="1"/>
  <c r="ABK58" i="1" s="1"/>
  <c r="ABG58" i="1" a="1"/>
  <c r="ABG58" i="1" s="1"/>
  <c r="ABC58" i="1" a="1"/>
  <c r="ABC58" i="1" s="1"/>
  <c r="AAY58" i="1" a="1"/>
  <c r="AAY58" i="1" s="1"/>
  <c r="AAU58" i="1" a="1"/>
  <c r="AAU58" i="1" s="1"/>
  <c r="AAQ58" i="1" a="1"/>
  <c r="AAQ58" i="1" s="1"/>
  <c r="NA58" i="1" a="1"/>
  <c r="NA58" i="1" s="1"/>
  <c r="MW58" i="1" a="1"/>
  <c r="MW58" i="1" s="1"/>
  <c r="MS58" i="1" a="1"/>
  <c r="MS58" i="1" s="1"/>
  <c r="MO58" i="1" a="1"/>
  <c r="MO58" i="1" s="1"/>
  <c r="MK58" i="1" a="1"/>
  <c r="MK58" i="1" s="1"/>
  <c r="MG58" i="1" a="1"/>
  <c r="MG58" i="1" s="1"/>
  <c r="MC58" i="1" a="1"/>
  <c r="MC58" i="1" s="1"/>
  <c r="LY58" i="1" a="1"/>
  <c r="LY58" i="1" s="1"/>
  <c r="LU58" i="1" a="1"/>
  <c r="LU58" i="1" s="1"/>
  <c r="LQ58" i="1" a="1"/>
  <c r="LQ58" i="1" s="1"/>
  <c r="LM58" i="1" a="1"/>
  <c r="LM58" i="1" s="1"/>
  <c r="LI58" i="1" a="1"/>
  <c r="LI58" i="1" s="1"/>
  <c r="ACL58" i="1" a="1"/>
  <c r="ACL58" i="1" s="1"/>
  <c r="ACH58" i="1" a="1"/>
  <c r="ACH58" i="1" s="1"/>
  <c r="ACD58" i="1" a="1"/>
  <c r="ACD58" i="1" s="1"/>
  <c r="ABZ58" i="1" a="1"/>
  <c r="ABZ58" i="1" s="1"/>
  <c r="ABV58" i="1" a="1"/>
  <c r="ABV58" i="1" s="1"/>
  <c r="ABR58" i="1" a="1"/>
  <c r="ABR58" i="1" s="1"/>
  <c r="ABN58" i="1" a="1"/>
  <c r="ABN58" i="1" s="1"/>
  <c r="ABJ58" i="1" a="1"/>
  <c r="ABJ58" i="1" s="1"/>
  <c r="ABF58" i="1" a="1"/>
  <c r="ABF58" i="1" s="1"/>
  <c r="ABB58" i="1" a="1"/>
  <c r="ABB58" i="1" s="1"/>
  <c r="AAX58" i="1" a="1"/>
  <c r="AAX58" i="1" s="1"/>
  <c r="AAT58" i="1" a="1"/>
  <c r="AAT58" i="1" s="1"/>
  <c r="AAP58" i="1" a="1"/>
  <c r="AAP58" i="1" s="1"/>
  <c r="MZ58" i="1" a="1"/>
  <c r="MZ58" i="1" s="1"/>
  <c r="MV58" i="1" a="1"/>
  <c r="MV58" i="1" s="1"/>
  <c r="MR58" i="1" a="1"/>
  <c r="MR58" i="1" s="1"/>
  <c r="MN58" i="1" a="1"/>
  <c r="MN58" i="1" s="1"/>
  <c r="MJ58" i="1" a="1"/>
  <c r="MJ58" i="1" s="1"/>
  <c r="MF58" i="1" a="1"/>
  <c r="MF58" i="1" s="1"/>
  <c r="MB58" i="1" a="1"/>
  <c r="MB58" i="1" s="1"/>
  <c r="LX58" i="1" a="1"/>
  <c r="LX58" i="1" s="1"/>
  <c r="LT58" i="1" a="1"/>
  <c r="LT58" i="1" s="1"/>
  <c r="LP58" i="1" a="1"/>
  <c r="LP58" i="1" s="1"/>
  <c r="LL58" i="1" a="1"/>
  <c r="LL58" i="1" s="1"/>
  <c r="LH58" i="1" a="1"/>
  <c r="LH58" i="1" s="1"/>
  <c r="ACK58" i="1" a="1"/>
  <c r="ACK58" i="1" s="1"/>
  <c r="ACG58" i="1" a="1"/>
  <c r="ACG58" i="1" s="1"/>
  <c r="ACC58" i="1" a="1"/>
  <c r="ACC58" i="1" s="1"/>
  <c r="ABY58" i="1" a="1"/>
  <c r="ABY58" i="1" s="1"/>
  <c r="ABU58" i="1" a="1"/>
  <c r="ABU58" i="1" s="1"/>
  <c r="ABQ58" i="1" a="1"/>
  <c r="ABQ58" i="1" s="1"/>
  <c r="ABM58" i="1" a="1"/>
  <c r="ABM58" i="1" s="1"/>
  <c r="ABI58" i="1" a="1"/>
  <c r="ABI58" i="1" s="1"/>
  <c r="ABE58" i="1" a="1"/>
  <c r="ABE58" i="1" s="1"/>
  <c r="ABA58" i="1" a="1"/>
  <c r="ABA58" i="1" s="1"/>
  <c r="AAW58" i="1" a="1"/>
  <c r="AAW58" i="1" s="1"/>
  <c r="AAS58" i="1" a="1"/>
  <c r="AAS58" i="1" s="1"/>
  <c r="AAN58" i="1" a="1"/>
  <c r="AAN58" i="1" s="1"/>
  <c r="AAJ58" i="1" a="1"/>
  <c r="AAJ58" i="1" s="1"/>
  <c r="MY58" i="1" a="1"/>
  <c r="MY58" i="1" s="1"/>
  <c r="MU58" i="1" a="1"/>
  <c r="MU58" i="1" s="1"/>
  <c r="MQ58" i="1" a="1"/>
  <c r="MQ58" i="1" s="1"/>
  <c r="MM58" i="1" a="1"/>
  <c r="MM58" i="1" s="1"/>
  <c r="MI58" i="1" a="1"/>
  <c r="MI58" i="1" s="1"/>
  <c r="ME58" i="1" a="1"/>
  <c r="ME58" i="1" s="1"/>
  <c r="MA58" i="1" a="1"/>
  <c r="MA58" i="1" s="1"/>
  <c r="LW58" i="1" a="1"/>
  <c r="LW58" i="1" s="1"/>
  <c r="LS58" i="1" a="1"/>
  <c r="LS58" i="1" s="1"/>
  <c r="LO58" i="1" a="1"/>
  <c r="LO58" i="1" s="1"/>
  <c r="LK58" i="1" a="1"/>
  <c r="LK58" i="1" s="1"/>
  <c r="LG58" i="1" a="1"/>
  <c r="LG58" i="1" s="1"/>
  <c r="LB58" i="1" a="1"/>
  <c r="LB58" i="1" s="1"/>
  <c r="KX58" i="1" a="1"/>
  <c r="KX58" i="1" s="1"/>
  <c r="LC58" i="1" a="1"/>
  <c r="LC58" i="1" s="1"/>
  <c r="AAH58" i="1" a="1"/>
  <c r="AAH58" i="1" s="1"/>
  <c r="AAI58" i="1" a="1"/>
  <c r="AAI58" i="1" s="1"/>
  <c r="AAK58" i="1" a="1"/>
  <c r="AAK58" i="1" s="1"/>
  <c r="KZ58" i="1" a="1"/>
  <c r="KZ58" i="1" s="1"/>
  <c r="AAL58" i="1" a="1"/>
  <c r="AAL58" i="1" s="1"/>
  <c r="LA58" i="1" a="1"/>
  <c r="LA58" i="1" s="1"/>
  <c r="AAM58" i="1" a="1"/>
  <c r="AAM58" i="1" s="1"/>
  <c r="LD58" i="1" a="1"/>
  <c r="LD58" i="1" s="1"/>
  <c r="KY58" i="1" a="1"/>
  <c r="KY58" i="1" s="1"/>
  <c r="ANJ18" i="1"/>
  <c r="AHW18" i="1"/>
  <c r="AHS18" i="1"/>
  <c r="ANY18" i="1" s="1" a="1"/>
  <c r="ANY18" i="1" s="1"/>
  <c r="ANZ18" i="1" s="1"/>
  <c r="AHV18" i="1"/>
  <c r="AHU18" i="1"/>
  <c r="AOA18" i="1"/>
  <c r="AHT18" i="1"/>
  <c r="ACH57" i="1" a="1"/>
  <c r="ACH57" i="1" s="1"/>
  <c r="ACE57" i="1" a="1"/>
  <c r="ACE57" i="1" s="1"/>
  <c r="ABZ57" i="1" a="1"/>
  <c r="ABZ57" i="1" s="1"/>
  <c r="ABW57" i="1" a="1"/>
  <c r="ABW57" i="1" s="1"/>
  <c r="ABR57" i="1" a="1"/>
  <c r="ABR57" i="1" s="1"/>
  <c r="ABO57" i="1" a="1"/>
  <c r="ABO57" i="1" s="1"/>
  <c r="ABJ57" i="1" a="1"/>
  <c r="ABJ57" i="1" s="1"/>
  <c r="ABG57" i="1" a="1"/>
  <c r="ABG57" i="1" s="1"/>
  <c r="ABB57" i="1" a="1"/>
  <c r="ABB57" i="1" s="1"/>
  <c r="AAY57" i="1" a="1"/>
  <c r="AAY57" i="1" s="1"/>
  <c r="AAT57" i="1" a="1"/>
  <c r="AAT57" i="1" s="1"/>
  <c r="AAQ57" i="1" a="1"/>
  <c r="AAQ57" i="1" s="1"/>
  <c r="NA57" i="1" a="1"/>
  <c r="NA57" i="1" s="1"/>
  <c r="MV57" i="1" a="1"/>
  <c r="MV57" i="1" s="1"/>
  <c r="MS57" i="1" a="1"/>
  <c r="MS57" i="1" s="1"/>
  <c r="MN57" i="1" a="1"/>
  <c r="MN57" i="1" s="1"/>
  <c r="MK57" i="1" a="1"/>
  <c r="MK57" i="1" s="1"/>
  <c r="MF57" i="1" a="1"/>
  <c r="MF57" i="1" s="1"/>
  <c r="MC57" i="1" a="1"/>
  <c r="MC57" i="1" s="1"/>
  <c r="LX57" i="1" a="1"/>
  <c r="LX57" i="1" s="1"/>
  <c r="LU57" i="1" a="1"/>
  <c r="LU57" i="1" s="1"/>
  <c r="LP57" i="1" a="1"/>
  <c r="LP57" i="1" s="1"/>
  <c r="LM57" i="1" a="1"/>
  <c r="LM57" i="1" s="1"/>
  <c r="LH57" i="1" a="1"/>
  <c r="LH57" i="1" s="1"/>
  <c r="ACJ57" i="1" a="1"/>
  <c r="ACJ57" i="1" s="1"/>
  <c r="ACG57" i="1" a="1"/>
  <c r="ACG57" i="1" s="1"/>
  <c r="ACB57" i="1" a="1"/>
  <c r="ACB57" i="1" s="1"/>
  <c r="ABY57" i="1" a="1"/>
  <c r="ABY57" i="1" s="1"/>
  <c r="ABT57" i="1" a="1"/>
  <c r="ABT57" i="1" s="1"/>
  <c r="ABQ57" i="1" a="1"/>
  <c r="ABQ57" i="1" s="1"/>
  <c r="ABL57" i="1" a="1"/>
  <c r="ABL57" i="1" s="1"/>
  <c r="ABI57" i="1" a="1"/>
  <c r="ABI57" i="1" s="1"/>
  <c r="ABD57" i="1" a="1"/>
  <c r="ABD57" i="1" s="1"/>
  <c r="ABA57" i="1" a="1"/>
  <c r="ABA57" i="1" s="1"/>
  <c r="AAV57" i="1" a="1"/>
  <c r="AAV57" i="1" s="1"/>
  <c r="AAS57" i="1" a="1"/>
  <c r="AAS57" i="1" s="1"/>
  <c r="MX57" i="1" a="1"/>
  <c r="MX57" i="1" s="1"/>
  <c r="MU57" i="1" a="1"/>
  <c r="MU57" i="1" s="1"/>
  <c r="MP57" i="1" a="1"/>
  <c r="MP57" i="1" s="1"/>
  <c r="MM57" i="1" a="1"/>
  <c r="MM57" i="1" s="1"/>
  <c r="MH57" i="1" a="1"/>
  <c r="MH57" i="1" s="1"/>
  <c r="ME57" i="1" a="1"/>
  <c r="ME57" i="1" s="1"/>
  <c r="LZ57" i="1" a="1"/>
  <c r="LZ57" i="1" s="1"/>
  <c r="LW57" i="1" a="1"/>
  <c r="LW57" i="1" s="1"/>
  <c r="LR57" i="1" a="1"/>
  <c r="LR57" i="1" s="1"/>
  <c r="LO57" i="1" a="1"/>
  <c r="LO57" i="1" s="1"/>
  <c r="LJ57" i="1" a="1"/>
  <c r="LJ57" i="1" s="1"/>
  <c r="LG57" i="1" a="1"/>
  <c r="LG57" i="1" s="1"/>
  <c r="LA57" i="1" a="1"/>
  <c r="LA57" i="1" s="1"/>
  <c r="KX57" i="1" a="1"/>
  <c r="KX57" i="1" s="1"/>
  <c r="ACL57" i="1" a="1"/>
  <c r="ACL57" i="1" s="1"/>
  <c r="ACI57" i="1" a="1"/>
  <c r="ACI57" i="1" s="1"/>
  <c r="ACD57" i="1" a="1"/>
  <c r="ACD57" i="1" s="1"/>
  <c r="ACA57" i="1" a="1"/>
  <c r="ACA57" i="1" s="1"/>
  <c r="ABV57" i="1" a="1"/>
  <c r="ABV57" i="1" s="1"/>
  <c r="ABS57" i="1" a="1"/>
  <c r="ABS57" i="1" s="1"/>
  <c r="ABN57" i="1" a="1"/>
  <c r="ABN57" i="1" s="1"/>
  <c r="ABK57" i="1" a="1"/>
  <c r="ABK57" i="1" s="1"/>
  <c r="ABF57" i="1" a="1"/>
  <c r="ABF57" i="1" s="1"/>
  <c r="ABC57" i="1" a="1"/>
  <c r="ABC57" i="1" s="1"/>
  <c r="AAX57" i="1" a="1"/>
  <c r="AAX57" i="1" s="1"/>
  <c r="AAU57" i="1" a="1"/>
  <c r="AAU57" i="1" s="1"/>
  <c r="AAP57" i="1" a="1"/>
  <c r="AAP57" i="1" s="1"/>
  <c r="MZ57" i="1" a="1"/>
  <c r="MZ57" i="1" s="1"/>
  <c r="MW57" i="1" a="1"/>
  <c r="MW57" i="1" s="1"/>
  <c r="MR57" i="1" a="1"/>
  <c r="MR57" i="1" s="1"/>
  <c r="MO57" i="1" a="1"/>
  <c r="MO57" i="1" s="1"/>
  <c r="MJ57" i="1" a="1"/>
  <c r="MJ57" i="1" s="1"/>
  <c r="MG57" i="1" a="1"/>
  <c r="MG57" i="1" s="1"/>
  <c r="MB57" i="1" a="1"/>
  <c r="MB57" i="1" s="1"/>
  <c r="LY57" i="1" a="1"/>
  <c r="LY57" i="1" s="1"/>
  <c r="LT57" i="1" a="1"/>
  <c r="LT57" i="1" s="1"/>
  <c r="LQ57" i="1" a="1"/>
  <c r="LQ57" i="1" s="1"/>
  <c r="LL57" i="1" a="1"/>
  <c r="LL57" i="1" s="1"/>
  <c r="LI57" i="1" a="1"/>
  <c r="LI57" i="1" s="1"/>
  <c r="ABX57" i="1" a="1"/>
  <c r="ABX57" i="1" s="1"/>
  <c r="ABM57" i="1" a="1"/>
  <c r="ABM57" i="1" s="1"/>
  <c r="AAR57" i="1" a="1"/>
  <c r="AAR57" i="1" s="1"/>
  <c r="MT57" i="1" a="1"/>
  <c r="MT57" i="1" s="1"/>
  <c r="MI57" i="1" a="1"/>
  <c r="MI57" i="1" s="1"/>
  <c r="LN57" i="1" a="1"/>
  <c r="LN57" i="1" s="1"/>
  <c r="LB57" i="1" a="1"/>
  <c r="LB57" i="1" s="1"/>
  <c r="ACF57" i="1" a="1"/>
  <c r="ACF57" i="1" s="1"/>
  <c r="ABU57" i="1" a="1"/>
  <c r="ABU57" i="1" s="1"/>
  <c r="AAZ57" i="1" a="1"/>
  <c r="AAZ57" i="1" s="1"/>
  <c r="AAN57" i="1" a="1"/>
  <c r="AAN57" i="1" s="1"/>
  <c r="NB57" i="1" a="1"/>
  <c r="NB57" i="1" s="1"/>
  <c r="MQ57" i="1" a="1"/>
  <c r="MQ57" i="1" s="1"/>
  <c r="LV57" i="1" a="1"/>
  <c r="LV57" i="1" s="1"/>
  <c r="LK57" i="1" a="1"/>
  <c r="LK57" i="1" s="1"/>
  <c r="ACC57" i="1" a="1"/>
  <c r="ACC57" i="1" s="1"/>
  <c r="ABH57" i="1" a="1"/>
  <c r="ABH57" i="1" s="1"/>
  <c r="AAW57" i="1" a="1"/>
  <c r="AAW57" i="1" s="1"/>
  <c r="MY57" i="1" a="1"/>
  <c r="MY57" i="1" s="1"/>
  <c r="MD57" i="1" a="1"/>
  <c r="MD57" i="1" s="1"/>
  <c r="LS57" i="1" a="1"/>
  <c r="LS57" i="1" s="1"/>
  <c r="ACK57" i="1" a="1"/>
  <c r="ACK57" i="1" s="1"/>
  <c r="ABP57" i="1" a="1"/>
  <c r="ABP57" i="1" s="1"/>
  <c r="ABE57" i="1" a="1"/>
  <c r="ABE57" i="1" s="1"/>
  <c r="AAI57" i="1" a="1"/>
  <c r="AAI57" i="1" s="1"/>
  <c r="ML57" i="1" a="1"/>
  <c r="ML57" i="1" s="1"/>
  <c r="MA57" i="1" a="1"/>
  <c r="MA57" i="1" s="1"/>
  <c r="LF57" i="1" a="1"/>
  <c r="LF57" i="1" s="1"/>
  <c r="KZ57" i="1" a="1"/>
  <c r="KZ57" i="1" s="1"/>
  <c r="LC57" i="1" a="1"/>
  <c r="LC57" i="1" s="1"/>
  <c r="AAL57" i="1" a="1"/>
  <c r="AAL57" i="1" s="1"/>
  <c r="AAJ57" i="1" a="1"/>
  <c r="AAJ57" i="1" s="1"/>
  <c r="KY57" i="1" a="1"/>
  <c r="KY57" i="1" s="1"/>
  <c r="AAH57" i="1" a="1"/>
  <c r="AAH57" i="1" s="1"/>
  <c r="AAM57" i="1" a="1"/>
  <c r="AAM57" i="1" s="1"/>
  <c r="LD57" i="1" a="1"/>
  <c r="LD57" i="1" s="1"/>
  <c r="AAK57" i="1" a="1"/>
  <c r="AAK57" i="1" s="1"/>
  <c r="AOA63" i="1"/>
  <c r="ANJ63" i="1"/>
  <c r="AHU63" i="1"/>
  <c r="AHW63" i="1"/>
  <c r="AHV63" i="1"/>
  <c r="AHT63" i="1"/>
  <c r="AHS63" i="1"/>
  <c r="ANY63" i="1" s="1" a="1"/>
  <c r="ANY63" i="1" s="1"/>
  <c r="ANZ63" i="1" s="1"/>
  <c r="AHU60" i="1"/>
  <c r="AOA60" i="1"/>
  <c r="ANJ60" i="1"/>
  <c r="AHT60" i="1"/>
  <c r="AHS60" i="1"/>
  <c r="ANY60" i="1" s="1" a="1"/>
  <c r="ANY60" i="1" s="1"/>
  <c r="ANZ60" i="1" s="1"/>
  <c r="AHW60" i="1"/>
  <c r="AHV60" i="1"/>
  <c r="HT62" i="1"/>
  <c r="HU62" i="1" s="1"/>
  <c r="SK20" i="1"/>
  <c r="XZ20" i="1"/>
  <c r="SM20" i="1"/>
  <c r="SI20" i="1"/>
  <c r="YO20" i="1" s="1" a="1"/>
  <c r="YO20" i="1" s="1"/>
  <c r="YP20" i="1" s="1"/>
  <c r="SL20" i="1"/>
  <c r="YQ20" i="1"/>
  <c r="SJ20" i="1"/>
  <c r="XZ14" i="1"/>
  <c r="SM14" i="1"/>
  <c r="SI14" i="1"/>
  <c r="YO14" i="1" s="1" a="1"/>
  <c r="YO14" i="1" s="1"/>
  <c r="YP14" i="1" s="1"/>
  <c r="YQ14" i="1"/>
  <c r="SJ14" i="1"/>
  <c r="SL14" i="1"/>
  <c r="SK14" i="1"/>
  <c r="KU59" i="1"/>
  <c r="KT59" i="1"/>
  <c r="QI59" i="1"/>
  <c r="KV59" i="1"/>
  <c r="KR59" i="1"/>
  <c r="QX59" i="1" s="1" a="1"/>
  <c r="QX59" i="1" s="1"/>
  <c r="QY59" i="1" s="1"/>
  <c r="QZ59" i="1"/>
  <c r="KS59" i="1"/>
  <c r="AHU11" i="1"/>
  <c r="AOA11" i="1"/>
  <c r="ANJ11" i="1"/>
  <c r="AHT11" i="1"/>
  <c r="AHS11" i="1"/>
  <c r="ANY11" i="1" s="1" a="1"/>
  <c r="ANY11" i="1" s="1"/>
  <c r="ANZ11" i="1" s="1"/>
  <c r="AHW11" i="1"/>
  <c r="AHV11" i="1"/>
  <c r="AHU13" i="1"/>
  <c r="AHV13" i="1"/>
  <c r="AOA13" i="1"/>
  <c r="ANJ13" i="1"/>
  <c r="AHT13" i="1"/>
  <c r="AHS13" i="1"/>
  <c r="ANY13" i="1" s="1" a="1"/>
  <c r="ANY13" i="1" s="1"/>
  <c r="ANZ13" i="1" s="1"/>
  <c r="AHW13" i="1"/>
  <c r="AHV72" i="1"/>
  <c r="AHU72" i="1"/>
  <c r="AOA72" i="1"/>
  <c r="AHT72" i="1"/>
  <c r="AHS72" i="1"/>
  <c r="ANY72" i="1" s="1" a="1"/>
  <c r="ANY72" i="1" s="1"/>
  <c r="ANZ72" i="1" s="1"/>
  <c r="ANJ72" i="1"/>
  <c r="AHW72" i="1"/>
  <c r="XZ18" i="1"/>
  <c r="SM18" i="1"/>
  <c r="SI18" i="1"/>
  <c r="YO18" i="1" s="1" a="1"/>
  <c r="YO18" i="1" s="1"/>
  <c r="YP18" i="1" s="1"/>
  <c r="SL18" i="1"/>
  <c r="SK18" i="1"/>
  <c r="YQ18" i="1"/>
  <c r="SJ18" i="1"/>
  <c r="GD21" i="1" a="1"/>
  <c r="GD21" i="1" s="1"/>
  <c r="FZ21" i="1" a="1"/>
  <c r="FZ21" i="1" s="1"/>
  <c r="GC21" i="1" a="1"/>
  <c r="GC21" i="1" s="1"/>
  <c r="GO21" i="1" s="1"/>
  <c r="FY21" i="1" a="1"/>
  <c r="FY21" i="1" s="1"/>
  <c r="GB21" i="1" a="1"/>
  <c r="GB21" i="1" s="1"/>
  <c r="GP21" i="1" s="1"/>
  <c r="GF21" i="1" a="1"/>
  <c r="GF21" i="1" s="1"/>
  <c r="GA21" i="1" a="1"/>
  <c r="GA21" i="1" s="1"/>
  <c r="BS26" i="1"/>
  <c r="FT26" i="1"/>
  <c r="BS59" i="1"/>
  <c r="FT59" i="1"/>
  <c r="FT56" i="1"/>
  <c r="BS56" i="1"/>
  <c r="BU60" i="1"/>
  <c r="FV60" i="1"/>
  <c r="BS63" i="1"/>
  <c r="FT63" i="1"/>
  <c r="FY62" i="1" a="1"/>
  <c r="FY62" i="1" s="1"/>
  <c r="GD62" i="1" a="1"/>
  <c r="GD62" i="1" s="1"/>
  <c r="GA62" i="1" a="1"/>
  <c r="GA62" i="1" s="1"/>
  <c r="GC62" i="1" a="1"/>
  <c r="GC62" i="1" s="1"/>
  <c r="GO62" i="1" s="1"/>
  <c r="FZ62" i="1" a="1"/>
  <c r="FZ62" i="1" s="1"/>
  <c r="GF62" i="1" a="1"/>
  <c r="GF62" i="1" s="1"/>
  <c r="GB62" i="1" a="1"/>
  <c r="GB62" i="1" s="1"/>
  <c r="GP62" i="1" s="1"/>
  <c r="BD71" i="1"/>
  <c r="DD71" i="1" a="1"/>
  <c r="DD71" i="1" s="1"/>
  <c r="CY71" i="1" a="1"/>
  <c r="CY71" i="1" s="1"/>
  <c r="DA71" i="1" a="1"/>
  <c r="DA71" i="1" s="1"/>
  <c r="CX71" i="1" a="1"/>
  <c r="CX71" i="1" s="1"/>
  <c r="CZ71" i="1" a="1"/>
  <c r="CZ71" i="1" s="1"/>
  <c r="DE71" i="1" a="1"/>
  <c r="DE71" i="1" s="1"/>
  <c r="DC71" i="1" a="1"/>
  <c r="DC71" i="1" s="1"/>
  <c r="DB71" i="1" a="1"/>
  <c r="DB71" i="1" s="1"/>
  <c r="CW71" i="1" a="1"/>
  <c r="CW71" i="1" s="1"/>
  <c r="BF71" i="1"/>
  <c r="BS74" i="1"/>
  <c r="FT74" i="1"/>
  <c r="YQ75" i="1"/>
  <c r="SJ75" i="1"/>
  <c r="XZ75" i="1"/>
  <c r="SM75" i="1"/>
  <c r="SI75" i="1"/>
  <c r="YO75" i="1" s="1" a="1"/>
  <c r="YO75" i="1" s="1"/>
  <c r="YP75" i="1" s="1"/>
  <c r="SK75" i="1"/>
  <c r="SL75" i="1"/>
  <c r="CD13" i="1" a="1"/>
  <c r="CD13" i="1" s="1"/>
  <c r="CB13" i="1" a="1"/>
  <c r="CB13" i="1" s="1"/>
  <c r="CN13" i="1" s="1"/>
  <c r="BZ13" i="1" a="1"/>
  <c r="BZ13" i="1" s="1"/>
  <c r="BX13" i="1" a="1"/>
  <c r="BX13" i="1" s="1"/>
  <c r="CE13" i="1" a="1"/>
  <c r="CE13" i="1" s="1"/>
  <c r="BY13" i="1" a="1"/>
  <c r="BY13" i="1" s="1"/>
  <c r="CA13" i="1" a="1"/>
  <c r="CA13" i="1" s="1"/>
  <c r="FH13" i="1" s="1"/>
  <c r="FI13" i="1" s="1"/>
  <c r="CC13" i="1" a="1"/>
  <c r="CC13" i="1" s="1"/>
  <c r="CH13" i="1" s="1"/>
  <c r="CE16" i="1" a="1"/>
  <c r="CE16" i="1" s="1"/>
  <c r="CC16" i="1" a="1"/>
  <c r="CC16" i="1" s="1"/>
  <c r="CA16" i="1" a="1"/>
  <c r="CA16" i="1" s="1"/>
  <c r="CO16" i="1" s="1"/>
  <c r="BY16" i="1" a="1"/>
  <c r="BY16" i="1" s="1"/>
  <c r="CD16" i="1" a="1"/>
  <c r="CD16" i="1" s="1"/>
  <c r="CB16" i="1" a="1"/>
  <c r="CB16" i="1" s="1"/>
  <c r="CN16" i="1" s="1"/>
  <c r="BZ16" i="1" a="1"/>
  <c r="BZ16" i="1" s="1"/>
  <c r="BX16" i="1" a="1"/>
  <c r="BX16" i="1" s="1"/>
  <c r="FO55" i="1"/>
  <c r="BN55" i="1"/>
  <c r="DE59" i="1" a="1"/>
  <c r="DE59" i="1" s="1"/>
  <c r="DC59" i="1" a="1"/>
  <c r="DC59" i="1" s="1"/>
  <c r="DA59" i="1" a="1"/>
  <c r="DA59" i="1" s="1"/>
  <c r="CY59" i="1" a="1"/>
  <c r="CY59" i="1" s="1"/>
  <c r="CW59" i="1" a="1"/>
  <c r="CW59" i="1" s="1"/>
  <c r="BE59" i="1"/>
  <c r="BD59" i="1"/>
  <c r="BF59" i="1"/>
  <c r="DD59" i="1" a="1"/>
  <c r="DD59" i="1" s="1"/>
  <c r="DB59" i="1" a="1"/>
  <c r="DB59" i="1" s="1"/>
  <c r="CZ59" i="1" a="1"/>
  <c r="CZ59" i="1" s="1"/>
  <c r="CX59" i="1" a="1"/>
  <c r="CX59" i="1" s="1"/>
  <c r="FQ56" i="1"/>
  <c r="BP56" i="1"/>
  <c r="SK58" i="1"/>
  <c r="XZ58" i="1"/>
  <c r="SM58" i="1"/>
  <c r="SI58" i="1"/>
  <c r="YO58" i="1" s="1" a="1"/>
  <c r="YO58" i="1" s="1"/>
  <c r="YP58" i="1" s="1"/>
  <c r="SL58" i="1"/>
  <c r="YQ58" i="1"/>
  <c r="SJ58" i="1"/>
  <c r="AKC58" i="1" a="1"/>
  <c r="AKC58" i="1" s="1"/>
  <c r="AKA58" i="1" a="1"/>
  <c r="AKA58" i="1" s="1"/>
  <c r="AJY58" i="1" a="1"/>
  <c r="AJY58" i="1" s="1"/>
  <c r="AJW58" i="1" a="1"/>
  <c r="AJW58" i="1" s="1"/>
  <c r="AJU58" i="1" a="1"/>
  <c r="AJU58" i="1" s="1"/>
  <c r="AJS58" i="1" a="1"/>
  <c r="AJS58" i="1" s="1"/>
  <c r="AJQ58" i="1" a="1"/>
  <c r="AJQ58" i="1" s="1"/>
  <c r="AJO58" i="1" a="1"/>
  <c r="AJO58" i="1" s="1"/>
  <c r="AJM58" i="1" a="1"/>
  <c r="AJM58" i="1" s="1"/>
  <c r="AJK58" i="1" a="1"/>
  <c r="AJK58" i="1" s="1"/>
  <c r="AJI58" i="1" a="1"/>
  <c r="AJI58" i="1" s="1"/>
  <c r="AJG58" i="1" a="1"/>
  <c r="AJG58" i="1" s="1"/>
  <c r="AJE58" i="1" a="1"/>
  <c r="AJE58" i="1" s="1"/>
  <c r="AJC58" i="1" a="1"/>
  <c r="AJC58" i="1" s="1"/>
  <c r="AJA58" i="1" a="1"/>
  <c r="AJA58" i="1" s="1"/>
  <c r="AIY58" i="1" a="1"/>
  <c r="AIY58" i="1" s="1"/>
  <c r="AIW58" i="1" a="1"/>
  <c r="AIW58" i="1" s="1"/>
  <c r="AIU58" i="1" a="1"/>
  <c r="AIU58" i="1" s="1"/>
  <c r="AIS58" i="1" a="1"/>
  <c r="AIS58" i="1" s="1"/>
  <c r="AIQ58" i="1" a="1"/>
  <c r="AIQ58" i="1" s="1"/>
  <c r="AIO58" i="1" a="1"/>
  <c r="AIO58" i="1" s="1"/>
  <c r="AIM58" i="1" a="1"/>
  <c r="AIM58" i="1" s="1"/>
  <c r="AJV58" i="1" a="1"/>
  <c r="AJV58" i="1" s="1"/>
  <c r="AJN58" i="1" a="1"/>
  <c r="AJN58" i="1" s="1"/>
  <c r="AJF58" i="1" a="1"/>
  <c r="AJF58" i="1" s="1"/>
  <c r="AIX58" i="1" a="1"/>
  <c r="AIX58" i="1" s="1"/>
  <c r="AIP58" i="1" a="1"/>
  <c r="AIP58" i="1" s="1"/>
  <c r="AIJ58" i="1" a="1"/>
  <c r="AIJ58" i="1" s="1"/>
  <c r="UP58" i="1" a="1"/>
  <c r="UP58" i="1" s="1"/>
  <c r="UL58" i="1" a="1"/>
  <c r="UL58" i="1" s="1"/>
  <c r="UH58" i="1" a="1"/>
  <c r="UH58" i="1" s="1"/>
  <c r="UD58" i="1" a="1"/>
  <c r="UD58" i="1" s="1"/>
  <c r="TZ58" i="1" a="1"/>
  <c r="TZ58" i="1" s="1"/>
  <c r="TV58" i="1" a="1"/>
  <c r="TV58" i="1" s="1"/>
  <c r="TR58" i="1" a="1"/>
  <c r="TR58" i="1" s="1"/>
  <c r="TN58" i="1" a="1"/>
  <c r="TN58" i="1" s="1"/>
  <c r="TJ58" i="1" a="1"/>
  <c r="TJ58" i="1" s="1"/>
  <c r="TF58" i="1" a="1"/>
  <c r="TF58" i="1" s="1"/>
  <c r="TB58" i="1" a="1"/>
  <c r="TB58" i="1" s="1"/>
  <c r="SX58" i="1" a="1"/>
  <c r="SX58" i="1" s="1"/>
  <c r="AKB58" i="1" a="1"/>
  <c r="AKB58" i="1" s="1"/>
  <c r="AJT58" i="1" a="1"/>
  <c r="AJT58" i="1" s="1"/>
  <c r="AJL58" i="1" a="1"/>
  <c r="AJL58" i="1" s="1"/>
  <c r="AJD58" i="1" a="1"/>
  <c r="AJD58" i="1" s="1"/>
  <c r="AIV58" i="1" a="1"/>
  <c r="AIV58" i="1" s="1"/>
  <c r="AIN58" i="1" a="1"/>
  <c r="AIN58" i="1" s="1"/>
  <c r="AII58" i="1" a="1"/>
  <c r="AII58" i="1" s="1"/>
  <c r="US58" i="1" a="1"/>
  <c r="US58" i="1" s="1"/>
  <c r="UO58" i="1" a="1"/>
  <c r="UO58" i="1" s="1"/>
  <c r="UK58" i="1" a="1"/>
  <c r="UK58" i="1" s="1"/>
  <c r="UG58" i="1" a="1"/>
  <c r="UG58" i="1" s="1"/>
  <c r="UC58" i="1" a="1"/>
  <c r="UC58" i="1" s="1"/>
  <c r="TY58" i="1" a="1"/>
  <c r="TY58" i="1" s="1"/>
  <c r="TU58" i="1" a="1"/>
  <c r="TU58" i="1" s="1"/>
  <c r="TQ58" i="1" a="1"/>
  <c r="TQ58" i="1" s="1"/>
  <c r="TM58" i="1" a="1"/>
  <c r="TM58" i="1" s="1"/>
  <c r="TI58" i="1" a="1"/>
  <c r="TI58" i="1" s="1"/>
  <c r="TE58" i="1" a="1"/>
  <c r="TE58" i="1" s="1"/>
  <c r="TA58" i="1" a="1"/>
  <c r="TA58" i="1" s="1"/>
  <c r="SW58" i="1" a="1"/>
  <c r="SW58" i="1" s="1"/>
  <c r="AJZ58" i="1" a="1"/>
  <c r="AJZ58" i="1" s="1"/>
  <c r="AJR58" i="1" a="1"/>
  <c r="AJR58" i="1" s="1"/>
  <c r="AJJ58" i="1" a="1"/>
  <c r="AJJ58" i="1" s="1"/>
  <c r="AJB58" i="1" a="1"/>
  <c r="AJB58" i="1" s="1"/>
  <c r="AIT58" i="1" a="1"/>
  <c r="AIT58" i="1" s="1"/>
  <c r="AIL58" i="1" a="1"/>
  <c r="AIL58" i="1" s="1"/>
  <c r="AIH58" i="1" a="1"/>
  <c r="AIH58" i="1" s="1"/>
  <c r="UR58" i="1" a="1"/>
  <c r="UR58" i="1" s="1"/>
  <c r="UN58" i="1" a="1"/>
  <c r="UN58" i="1" s="1"/>
  <c r="UJ58" i="1" a="1"/>
  <c r="UJ58" i="1" s="1"/>
  <c r="UF58" i="1" a="1"/>
  <c r="UF58" i="1" s="1"/>
  <c r="UB58" i="1" a="1"/>
  <c r="UB58" i="1" s="1"/>
  <c r="TX58" i="1" a="1"/>
  <c r="TX58" i="1" s="1"/>
  <c r="TT58" i="1" a="1"/>
  <c r="TT58" i="1" s="1"/>
  <c r="TP58" i="1" a="1"/>
  <c r="TP58" i="1" s="1"/>
  <c r="TL58" i="1" a="1"/>
  <c r="TL58" i="1" s="1"/>
  <c r="TH58" i="1" a="1"/>
  <c r="TH58" i="1" s="1"/>
  <c r="TD58" i="1" a="1"/>
  <c r="TD58" i="1" s="1"/>
  <c r="SZ58" i="1" a="1"/>
  <c r="SZ58" i="1" s="1"/>
  <c r="AJX58" i="1" a="1"/>
  <c r="AJX58" i="1" s="1"/>
  <c r="AJP58" i="1" a="1"/>
  <c r="AJP58" i="1" s="1"/>
  <c r="AJH58" i="1" a="1"/>
  <c r="AJH58" i="1" s="1"/>
  <c r="AIZ58" i="1" a="1"/>
  <c r="AIZ58" i="1" s="1"/>
  <c r="AIR58" i="1" a="1"/>
  <c r="AIR58" i="1" s="1"/>
  <c r="AIK58" i="1" a="1"/>
  <c r="AIK58" i="1" s="1"/>
  <c r="AIG58" i="1" a="1"/>
  <c r="AIG58" i="1" s="1"/>
  <c r="AIB58" i="1" a="1"/>
  <c r="AIB58" i="1" s="1"/>
  <c r="UQ58" i="1" a="1"/>
  <c r="UQ58" i="1" s="1"/>
  <c r="UM58" i="1" a="1"/>
  <c r="UM58" i="1" s="1"/>
  <c r="UI58" i="1" a="1"/>
  <c r="UI58" i="1" s="1"/>
  <c r="UE58" i="1" a="1"/>
  <c r="UE58" i="1" s="1"/>
  <c r="UA58" i="1" a="1"/>
  <c r="UA58" i="1" s="1"/>
  <c r="TW58" i="1" a="1"/>
  <c r="TW58" i="1" s="1"/>
  <c r="TS58" i="1" a="1"/>
  <c r="TS58" i="1" s="1"/>
  <c r="TO58" i="1" a="1"/>
  <c r="TO58" i="1" s="1"/>
  <c r="TK58" i="1" a="1"/>
  <c r="TK58" i="1" s="1"/>
  <c r="TG58" i="1" a="1"/>
  <c r="TG58" i="1" s="1"/>
  <c r="TC58" i="1" a="1"/>
  <c r="TC58" i="1" s="1"/>
  <c r="SY58" i="1" a="1"/>
  <c r="SY58" i="1" s="1"/>
  <c r="ST58" i="1" a="1"/>
  <c r="ST58" i="1" s="1"/>
  <c r="SP58" i="1" a="1"/>
  <c r="SP58" i="1" s="1"/>
  <c r="SU58" i="1" a="1"/>
  <c r="SU58" i="1" s="1"/>
  <c r="VN58" i="1" a="1"/>
  <c r="VN58" i="1" s="1"/>
  <c r="AKR58" i="1" a="1"/>
  <c r="AKR58" i="1" s="1"/>
  <c r="ALC58" i="1" a="1"/>
  <c r="ALC58" i="1" s="1"/>
  <c r="AKU58" i="1" a="1"/>
  <c r="AKU58" i="1" s="1"/>
  <c r="AKM58" i="1" a="1"/>
  <c r="AKM58" i="1" s="1"/>
  <c r="VC58" i="1" a="1"/>
  <c r="VC58" i="1" s="1"/>
  <c r="VS58" i="1" a="1"/>
  <c r="VS58" i="1" s="1"/>
  <c r="AKL58" i="1" a="1"/>
  <c r="AKL58" i="1" s="1"/>
  <c r="VD58" i="1" a="1"/>
  <c r="VD58" i="1" s="1"/>
  <c r="VT58" i="1" a="1"/>
  <c r="VT58" i="1" s="1"/>
  <c r="AIE58" i="1" a="1"/>
  <c r="AIE58" i="1" s="1"/>
  <c r="VG58" i="1" a="1"/>
  <c r="VG58" i="1" s="1"/>
  <c r="VW58" i="1" a="1"/>
  <c r="VW58" i="1" s="1"/>
  <c r="AKT58" i="1" a="1"/>
  <c r="AKT58" i="1" s="1"/>
  <c r="VH58" i="1" a="1"/>
  <c r="VH58" i="1" s="1"/>
  <c r="AKN58" i="1" a="1"/>
  <c r="AKN58" i="1" s="1"/>
  <c r="VF58" i="1" a="1"/>
  <c r="VF58" i="1" s="1"/>
  <c r="VV58" i="1" a="1"/>
  <c r="VV58" i="1" s="1"/>
  <c r="AHY58" i="1" a="1"/>
  <c r="AHY58" i="1" s="1"/>
  <c r="ALG58" i="1" a="1"/>
  <c r="ALG58" i="1" s="1"/>
  <c r="AKY58" i="1" a="1"/>
  <c r="AKY58" i="1" s="1"/>
  <c r="AKQ58" i="1" a="1"/>
  <c r="AKQ58" i="1" s="1"/>
  <c r="VK58" i="1" a="1"/>
  <c r="VK58" i="1" s="1"/>
  <c r="AHZ58" i="1" a="1"/>
  <c r="AHZ58" i="1" s="1"/>
  <c r="ALB58" i="1" a="1"/>
  <c r="ALB58" i="1" s="1"/>
  <c r="SO58" i="1" a="1"/>
  <c r="SO58" i="1" s="1"/>
  <c r="VL58" i="1" a="1"/>
  <c r="VL58" i="1" s="1"/>
  <c r="AKV58" i="1" a="1"/>
  <c r="AKV58" i="1" s="1"/>
  <c r="SQ58" i="1" a="1"/>
  <c r="SQ58" i="1" s="1"/>
  <c r="AIC58" i="1" a="1"/>
  <c r="AIC58" i="1" s="1"/>
  <c r="SR58" i="1" a="1"/>
  <c r="SR58" i="1" s="1"/>
  <c r="AID58" i="1" a="1"/>
  <c r="AID58" i="1" s="1"/>
  <c r="SS58" i="1" a="1"/>
  <c r="SS58" i="1" s="1"/>
  <c r="VP58" i="1" a="1"/>
  <c r="VP58" i="1" s="1"/>
  <c r="AIA58" i="1" a="1"/>
  <c r="AIA58" i="1" s="1"/>
  <c r="ALD58" i="1" a="1"/>
  <c r="ALD58" i="1" s="1"/>
  <c r="AHU58" i="1"/>
  <c r="ANJ58" i="1"/>
  <c r="AHW58" i="1"/>
  <c r="AHS58" i="1"/>
  <c r="ANY58" i="1" s="1" a="1"/>
  <c r="ANY58" i="1" s="1"/>
  <c r="ANZ58" i="1" s="1"/>
  <c r="AHT58" i="1"/>
  <c r="AOA58" i="1"/>
  <c r="AHV58" i="1"/>
  <c r="FT60" i="1"/>
  <c r="BS60" i="1"/>
  <c r="VQ60" i="1" a="1"/>
  <c r="VQ60" i="1" s="1"/>
  <c r="FV63" i="1"/>
  <c r="BU63" i="1"/>
  <c r="AGY60" i="1"/>
  <c r="FR61" i="1"/>
  <c r="BQ61" i="1"/>
  <c r="AHB71" i="1"/>
  <c r="BH74" i="1"/>
  <c r="EM74" i="1" a="1"/>
  <c r="EM74" i="1" s="1"/>
  <c r="EI74" i="1" a="1"/>
  <c r="EI74" i="1" s="1"/>
  <c r="EL74" i="1" a="1"/>
  <c r="EL74" i="1" s="1"/>
  <c r="EH74" i="1" a="1"/>
  <c r="EH74" i="1" s="1"/>
  <c r="EK74" i="1" a="1"/>
  <c r="EK74" i="1" s="1"/>
  <c r="EG74" i="1" a="1"/>
  <c r="EG74" i="1" s="1"/>
  <c r="EN74" i="1" a="1"/>
  <c r="EN74" i="1" s="1"/>
  <c r="EJ74" i="1" a="1"/>
  <c r="EJ74" i="1" s="1"/>
  <c r="EF74" i="1" a="1"/>
  <c r="EF74" i="1" s="1"/>
  <c r="AHB74" i="1"/>
  <c r="AKT75" i="1" a="1"/>
  <c r="AKT75" i="1" s="1"/>
  <c r="VP75" i="1" a="1"/>
  <c r="VP75" i="1" s="1"/>
  <c r="BS77" i="1"/>
  <c r="FT77" i="1"/>
  <c r="AKC17" i="1" a="1"/>
  <c r="AKC17" i="1" s="1"/>
  <c r="AKA17" i="1" a="1"/>
  <c r="AKA17" i="1" s="1"/>
  <c r="AJY17" i="1" a="1"/>
  <c r="AJY17" i="1" s="1"/>
  <c r="AJW17" i="1" a="1"/>
  <c r="AJW17" i="1" s="1"/>
  <c r="AJU17" i="1" a="1"/>
  <c r="AJU17" i="1" s="1"/>
  <c r="AJS17" i="1" a="1"/>
  <c r="AJS17" i="1" s="1"/>
  <c r="AJQ17" i="1" a="1"/>
  <c r="AJQ17" i="1" s="1"/>
  <c r="AJO17" i="1" a="1"/>
  <c r="AJO17" i="1" s="1"/>
  <c r="AJM17" i="1" a="1"/>
  <c r="AJM17" i="1" s="1"/>
  <c r="AJK17" i="1" a="1"/>
  <c r="AJK17" i="1" s="1"/>
  <c r="AJI17" i="1" a="1"/>
  <c r="AJI17" i="1" s="1"/>
  <c r="AJG17" i="1" a="1"/>
  <c r="AJG17" i="1" s="1"/>
  <c r="AJE17" i="1" a="1"/>
  <c r="AJE17" i="1" s="1"/>
  <c r="AJC17" i="1" a="1"/>
  <c r="AJC17" i="1" s="1"/>
  <c r="AJA17" i="1" a="1"/>
  <c r="AJA17" i="1" s="1"/>
  <c r="AIY17" i="1" a="1"/>
  <c r="AIY17" i="1" s="1"/>
  <c r="AIW17" i="1" a="1"/>
  <c r="AIW17" i="1" s="1"/>
  <c r="AIU17" i="1" a="1"/>
  <c r="AIU17" i="1" s="1"/>
  <c r="AIS17" i="1" a="1"/>
  <c r="AIS17" i="1" s="1"/>
  <c r="AIQ17" i="1" a="1"/>
  <c r="AIQ17" i="1" s="1"/>
  <c r="AIO17" i="1" a="1"/>
  <c r="AIO17" i="1" s="1"/>
  <c r="AIM17" i="1" a="1"/>
  <c r="AIM17" i="1" s="1"/>
  <c r="AIK17" i="1" a="1"/>
  <c r="AIK17" i="1" s="1"/>
  <c r="AII17" i="1" a="1"/>
  <c r="AII17" i="1" s="1"/>
  <c r="AIG17" i="1" a="1"/>
  <c r="AIG17" i="1" s="1"/>
  <c r="AID17" i="1" a="1"/>
  <c r="AID17" i="1" s="1"/>
  <c r="AIB17" i="1" a="1"/>
  <c r="AIB17" i="1" s="1"/>
  <c r="AHZ17" i="1" a="1"/>
  <c r="AHZ17" i="1" s="1"/>
  <c r="US17" i="1" a="1"/>
  <c r="US17" i="1" s="1"/>
  <c r="UQ17" i="1" a="1"/>
  <c r="UQ17" i="1" s="1"/>
  <c r="UO17" i="1" a="1"/>
  <c r="UO17" i="1" s="1"/>
  <c r="UM17" i="1" a="1"/>
  <c r="UM17" i="1" s="1"/>
  <c r="UK17" i="1" a="1"/>
  <c r="UK17" i="1" s="1"/>
  <c r="UI17" i="1" a="1"/>
  <c r="UI17" i="1" s="1"/>
  <c r="UG17" i="1" a="1"/>
  <c r="UG17" i="1" s="1"/>
  <c r="UE17" i="1" a="1"/>
  <c r="UE17" i="1" s="1"/>
  <c r="UC17" i="1" a="1"/>
  <c r="UC17" i="1" s="1"/>
  <c r="UA17" i="1" a="1"/>
  <c r="UA17" i="1" s="1"/>
  <c r="TY17" i="1" a="1"/>
  <c r="TY17" i="1" s="1"/>
  <c r="TW17" i="1" a="1"/>
  <c r="TW17" i="1" s="1"/>
  <c r="TU17" i="1" a="1"/>
  <c r="TU17" i="1" s="1"/>
  <c r="TS17" i="1" a="1"/>
  <c r="TS17" i="1" s="1"/>
  <c r="TQ17" i="1" a="1"/>
  <c r="TQ17" i="1" s="1"/>
  <c r="TO17" i="1" a="1"/>
  <c r="TO17" i="1" s="1"/>
  <c r="TM17" i="1" a="1"/>
  <c r="TM17" i="1" s="1"/>
  <c r="TK17" i="1" a="1"/>
  <c r="TK17" i="1" s="1"/>
  <c r="TI17" i="1" a="1"/>
  <c r="TI17" i="1" s="1"/>
  <c r="TG17" i="1" a="1"/>
  <c r="TG17" i="1" s="1"/>
  <c r="TE17" i="1" a="1"/>
  <c r="TE17" i="1" s="1"/>
  <c r="TC17" i="1" a="1"/>
  <c r="TC17" i="1" s="1"/>
  <c r="TA17" i="1" a="1"/>
  <c r="TA17" i="1" s="1"/>
  <c r="SY17" i="1" a="1"/>
  <c r="SY17" i="1" s="1"/>
  <c r="SW17" i="1" a="1"/>
  <c r="SW17" i="1" s="1"/>
  <c r="ST17" i="1" a="1"/>
  <c r="ST17" i="1" s="1"/>
  <c r="SR17" i="1" a="1"/>
  <c r="SR17" i="1" s="1"/>
  <c r="SP17" i="1" a="1"/>
  <c r="SP17" i="1" s="1"/>
  <c r="AJV17" i="1" a="1"/>
  <c r="AJV17" i="1" s="1"/>
  <c r="AJN17" i="1" a="1"/>
  <c r="AJN17" i="1" s="1"/>
  <c r="AJF17" i="1" a="1"/>
  <c r="AJF17" i="1" s="1"/>
  <c r="AIX17" i="1" a="1"/>
  <c r="AIX17" i="1" s="1"/>
  <c r="AIP17" i="1" a="1"/>
  <c r="AIP17" i="1" s="1"/>
  <c r="AIH17" i="1" a="1"/>
  <c r="AIH17" i="1" s="1"/>
  <c r="AHY17" i="1" a="1"/>
  <c r="AHY17" i="1" s="1"/>
  <c r="UR17" i="1" a="1"/>
  <c r="UR17" i="1" s="1"/>
  <c r="UJ17" i="1" a="1"/>
  <c r="UJ17" i="1" s="1"/>
  <c r="UB17" i="1" a="1"/>
  <c r="UB17" i="1" s="1"/>
  <c r="TT17" i="1" a="1"/>
  <c r="TT17" i="1" s="1"/>
  <c r="TL17" i="1" a="1"/>
  <c r="TL17" i="1" s="1"/>
  <c r="TD17" i="1" a="1"/>
  <c r="TD17" i="1" s="1"/>
  <c r="SU17" i="1" a="1"/>
  <c r="SU17" i="1" s="1"/>
  <c r="AKB17" i="1" a="1"/>
  <c r="AKB17" i="1" s="1"/>
  <c r="AJT17" i="1" a="1"/>
  <c r="AJT17" i="1" s="1"/>
  <c r="AJL17" i="1" a="1"/>
  <c r="AJL17" i="1" s="1"/>
  <c r="AJD17" i="1" a="1"/>
  <c r="AJD17" i="1" s="1"/>
  <c r="AIV17" i="1" a="1"/>
  <c r="AIV17" i="1" s="1"/>
  <c r="AIN17" i="1" a="1"/>
  <c r="AIN17" i="1" s="1"/>
  <c r="AIE17" i="1" a="1"/>
  <c r="AIE17" i="1" s="1"/>
  <c r="UP17" i="1" a="1"/>
  <c r="UP17" i="1" s="1"/>
  <c r="UH17" i="1" a="1"/>
  <c r="UH17" i="1" s="1"/>
  <c r="TZ17" i="1" a="1"/>
  <c r="TZ17" i="1" s="1"/>
  <c r="TR17" i="1" a="1"/>
  <c r="TR17" i="1" s="1"/>
  <c r="TJ17" i="1" a="1"/>
  <c r="TJ17" i="1" s="1"/>
  <c r="TB17" i="1" a="1"/>
  <c r="TB17" i="1" s="1"/>
  <c r="SS17" i="1" a="1"/>
  <c r="SS17" i="1" s="1"/>
  <c r="AJZ17" i="1" a="1"/>
  <c r="AJZ17" i="1" s="1"/>
  <c r="AJR17" i="1" a="1"/>
  <c r="AJR17" i="1" s="1"/>
  <c r="AJJ17" i="1" a="1"/>
  <c r="AJJ17" i="1" s="1"/>
  <c r="AJB17" i="1" a="1"/>
  <c r="AJB17" i="1" s="1"/>
  <c r="AIT17" i="1" a="1"/>
  <c r="AIT17" i="1" s="1"/>
  <c r="AIL17" i="1" a="1"/>
  <c r="AIL17" i="1" s="1"/>
  <c r="AIC17" i="1" a="1"/>
  <c r="AIC17" i="1" s="1"/>
  <c r="UN17" i="1" a="1"/>
  <c r="UN17" i="1" s="1"/>
  <c r="UF17" i="1" a="1"/>
  <c r="UF17" i="1" s="1"/>
  <c r="TX17" i="1" a="1"/>
  <c r="TX17" i="1" s="1"/>
  <c r="TP17" i="1" a="1"/>
  <c r="TP17" i="1" s="1"/>
  <c r="TH17" i="1" a="1"/>
  <c r="TH17" i="1" s="1"/>
  <c r="SZ17" i="1" a="1"/>
  <c r="SZ17" i="1" s="1"/>
  <c r="SQ17" i="1" a="1"/>
  <c r="SQ17" i="1" s="1"/>
  <c r="AJX17" i="1" a="1"/>
  <c r="AJX17" i="1" s="1"/>
  <c r="AJP17" i="1" a="1"/>
  <c r="AJP17" i="1" s="1"/>
  <c r="AJH17" i="1" a="1"/>
  <c r="AJH17" i="1" s="1"/>
  <c r="AIZ17" i="1" a="1"/>
  <c r="AIZ17" i="1" s="1"/>
  <c r="AIR17" i="1" a="1"/>
  <c r="AIR17" i="1" s="1"/>
  <c r="AIJ17" i="1" a="1"/>
  <c r="AIJ17" i="1" s="1"/>
  <c r="AIA17" i="1" a="1"/>
  <c r="AIA17" i="1" s="1"/>
  <c r="UL17" i="1" a="1"/>
  <c r="UL17" i="1" s="1"/>
  <c r="UD17" i="1" a="1"/>
  <c r="UD17" i="1" s="1"/>
  <c r="TV17" i="1" a="1"/>
  <c r="TV17" i="1" s="1"/>
  <c r="TN17" i="1" a="1"/>
  <c r="TN17" i="1" s="1"/>
  <c r="TF17" i="1" a="1"/>
  <c r="TF17" i="1" s="1"/>
  <c r="SX17" i="1" a="1"/>
  <c r="SX17" i="1" s="1"/>
  <c r="SO17" i="1" a="1"/>
  <c r="SO17" i="1" s="1"/>
  <c r="VD17" i="1" a="1"/>
  <c r="VD17" i="1" s="1"/>
  <c r="AKX17" i="1" a="1"/>
  <c r="AKX17" i="1" s="1"/>
  <c r="VN17" i="1" a="1"/>
  <c r="VN17" i="1" s="1"/>
  <c r="AKT17" i="1" a="1"/>
  <c r="AKT17" i="1" s="1"/>
  <c r="VR17" i="1" a="1"/>
  <c r="VR17" i="1" s="1"/>
  <c r="AKN17" i="1" a="1"/>
  <c r="AKN17" i="1" s="1"/>
  <c r="VA17" i="1" a="1"/>
  <c r="VA17" i="1" s="1"/>
  <c r="VI17" i="1" a="1"/>
  <c r="VI17" i="1" s="1"/>
  <c r="VQ17" i="1" a="1"/>
  <c r="VQ17" i="1" s="1"/>
  <c r="AHU17" i="1"/>
  <c r="ANJ17" i="1"/>
  <c r="AHW17" i="1"/>
  <c r="AHS17" i="1"/>
  <c r="ANY17" i="1" s="1" a="1"/>
  <c r="ANY17" i="1" s="1"/>
  <c r="ANZ17" i="1" s="1"/>
  <c r="AHV17" i="1"/>
  <c r="AOA17" i="1"/>
  <c r="AHT17" i="1"/>
  <c r="AKQ17" i="1" a="1"/>
  <c r="AKQ17" i="1" s="1"/>
  <c r="AKY17" i="1" a="1"/>
  <c r="AKY17" i="1" s="1"/>
  <c r="ALG17" i="1" a="1"/>
  <c r="ALG17" i="1" s="1"/>
  <c r="AKC20" i="1" a="1"/>
  <c r="AKC20" i="1" s="1"/>
  <c r="AJY20" i="1" a="1"/>
  <c r="AJY20" i="1" s="1"/>
  <c r="AJU20" i="1" a="1"/>
  <c r="AJU20" i="1" s="1"/>
  <c r="AJQ20" i="1" a="1"/>
  <c r="AJQ20" i="1" s="1"/>
  <c r="AJM20" i="1" a="1"/>
  <c r="AJM20" i="1" s="1"/>
  <c r="AJI20" i="1" a="1"/>
  <c r="AJI20" i="1" s="1"/>
  <c r="AJE20" i="1" a="1"/>
  <c r="AJE20" i="1" s="1"/>
  <c r="AJA20" i="1" a="1"/>
  <c r="AJA20" i="1" s="1"/>
  <c r="AIW20" i="1" a="1"/>
  <c r="AIW20" i="1" s="1"/>
  <c r="AIS20" i="1" a="1"/>
  <c r="AIS20" i="1" s="1"/>
  <c r="AIO20" i="1" a="1"/>
  <c r="AIO20" i="1" s="1"/>
  <c r="AIK20" i="1" a="1"/>
  <c r="AIK20" i="1" s="1"/>
  <c r="AIG20" i="1" a="1"/>
  <c r="AIG20" i="1" s="1"/>
  <c r="AIB20" i="1" a="1"/>
  <c r="AIB20" i="1" s="1"/>
  <c r="UQ20" i="1" a="1"/>
  <c r="UQ20" i="1" s="1"/>
  <c r="UM20" i="1" a="1"/>
  <c r="UM20" i="1" s="1"/>
  <c r="UI20" i="1" a="1"/>
  <c r="UI20" i="1" s="1"/>
  <c r="UE20" i="1" a="1"/>
  <c r="UE20" i="1" s="1"/>
  <c r="UA20" i="1" a="1"/>
  <c r="UA20" i="1" s="1"/>
  <c r="TW20" i="1" a="1"/>
  <c r="TW20" i="1" s="1"/>
  <c r="TS20" i="1" a="1"/>
  <c r="TS20" i="1" s="1"/>
  <c r="TO20" i="1" a="1"/>
  <c r="TO20" i="1" s="1"/>
  <c r="TK20" i="1" a="1"/>
  <c r="TK20" i="1" s="1"/>
  <c r="TG20" i="1" a="1"/>
  <c r="TG20" i="1" s="1"/>
  <c r="TC20" i="1" a="1"/>
  <c r="TC20" i="1" s="1"/>
  <c r="SY20" i="1" a="1"/>
  <c r="SY20" i="1" s="1"/>
  <c r="ST20" i="1" a="1"/>
  <c r="ST20" i="1" s="1"/>
  <c r="SP20" i="1" a="1"/>
  <c r="SP20" i="1" s="1"/>
  <c r="AKB20" i="1" a="1"/>
  <c r="AKB20" i="1" s="1"/>
  <c r="AJX20" i="1" a="1"/>
  <c r="AJX20" i="1" s="1"/>
  <c r="AJT20" i="1" a="1"/>
  <c r="AJT20" i="1" s="1"/>
  <c r="AJP20" i="1" a="1"/>
  <c r="AJP20" i="1" s="1"/>
  <c r="AJL20" i="1" a="1"/>
  <c r="AJL20" i="1" s="1"/>
  <c r="AJH20" i="1" a="1"/>
  <c r="AJH20" i="1" s="1"/>
  <c r="AJD20" i="1" a="1"/>
  <c r="AJD20" i="1" s="1"/>
  <c r="AIZ20" i="1" a="1"/>
  <c r="AIZ20" i="1" s="1"/>
  <c r="AIV20" i="1" a="1"/>
  <c r="AIV20" i="1" s="1"/>
  <c r="AIR20" i="1" a="1"/>
  <c r="AIR20" i="1" s="1"/>
  <c r="AIN20" i="1" a="1"/>
  <c r="AIN20" i="1" s="1"/>
  <c r="AIJ20" i="1" a="1"/>
  <c r="AIJ20" i="1" s="1"/>
  <c r="AIE20" i="1" a="1"/>
  <c r="AIE20" i="1" s="1"/>
  <c r="AIA20" i="1" a="1"/>
  <c r="AIA20" i="1" s="1"/>
  <c r="UP20" i="1" a="1"/>
  <c r="UP20" i="1" s="1"/>
  <c r="UL20" i="1" a="1"/>
  <c r="UL20" i="1" s="1"/>
  <c r="UH20" i="1" a="1"/>
  <c r="UH20" i="1" s="1"/>
  <c r="UD20" i="1" a="1"/>
  <c r="UD20" i="1" s="1"/>
  <c r="TZ20" i="1" a="1"/>
  <c r="TZ20" i="1" s="1"/>
  <c r="TV20" i="1" a="1"/>
  <c r="TV20" i="1" s="1"/>
  <c r="TR20" i="1" a="1"/>
  <c r="TR20" i="1" s="1"/>
  <c r="TN20" i="1" a="1"/>
  <c r="TN20" i="1" s="1"/>
  <c r="TJ20" i="1" a="1"/>
  <c r="TJ20" i="1" s="1"/>
  <c r="TF20" i="1" a="1"/>
  <c r="TF20" i="1" s="1"/>
  <c r="TB20" i="1" a="1"/>
  <c r="TB20" i="1" s="1"/>
  <c r="SX20" i="1" a="1"/>
  <c r="SX20" i="1" s="1"/>
  <c r="SS20" i="1" a="1"/>
  <c r="SS20" i="1" s="1"/>
  <c r="SO20" i="1" a="1"/>
  <c r="SO20" i="1" s="1"/>
  <c r="AKA20" i="1" a="1"/>
  <c r="AKA20" i="1" s="1"/>
  <c r="AJW20" i="1" a="1"/>
  <c r="AJW20" i="1" s="1"/>
  <c r="AJS20" i="1" a="1"/>
  <c r="AJS20" i="1" s="1"/>
  <c r="AJO20" i="1" a="1"/>
  <c r="AJO20" i="1" s="1"/>
  <c r="AJK20" i="1" a="1"/>
  <c r="AJK20" i="1" s="1"/>
  <c r="AJG20" i="1" a="1"/>
  <c r="AJG20" i="1" s="1"/>
  <c r="AJC20" i="1" a="1"/>
  <c r="AJC20" i="1" s="1"/>
  <c r="AIY20" i="1" a="1"/>
  <c r="AIY20" i="1" s="1"/>
  <c r="AIU20" i="1" a="1"/>
  <c r="AIU20" i="1" s="1"/>
  <c r="AIQ20" i="1" a="1"/>
  <c r="AIQ20" i="1" s="1"/>
  <c r="AIM20" i="1" a="1"/>
  <c r="AIM20" i="1" s="1"/>
  <c r="AII20" i="1" a="1"/>
  <c r="AII20" i="1" s="1"/>
  <c r="AID20" i="1" a="1"/>
  <c r="AID20" i="1" s="1"/>
  <c r="AHZ20" i="1" a="1"/>
  <c r="AHZ20" i="1" s="1"/>
  <c r="US20" i="1" a="1"/>
  <c r="US20" i="1" s="1"/>
  <c r="UO20" i="1" a="1"/>
  <c r="UO20" i="1" s="1"/>
  <c r="UK20" i="1" a="1"/>
  <c r="UK20" i="1" s="1"/>
  <c r="UG20" i="1" a="1"/>
  <c r="UG20" i="1" s="1"/>
  <c r="UC20" i="1" a="1"/>
  <c r="UC20" i="1" s="1"/>
  <c r="TY20" i="1" a="1"/>
  <c r="TY20" i="1" s="1"/>
  <c r="TU20" i="1" a="1"/>
  <c r="TU20" i="1" s="1"/>
  <c r="TQ20" i="1" a="1"/>
  <c r="TQ20" i="1" s="1"/>
  <c r="TM20" i="1" a="1"/>
  <c r="TM20" i="1" s="1"/>
  <c r="TI20" i="1" a="1"/>
  <c r="TI20" i="1" s="1"/>
  <c r="TE20" i="1" a="1"/>
  <c r="TE20" i="1" s="1"/>
  <c r="TA20" i="1" a="1"/>
  <c r="TA20" i="1" s="1"/>
  <c r="SW20" i="1" a="1"/>
  <c r="SW20" i="1" s="1"/>
  <c r="SR20" i="1" a="1"/>
  <c r="SR20" i="1" s="1"/>
  <c r="AJZ20" i="1" a="1"/>
  <c r="AJZ20" i="1" s="1"/>
  <c r="AJV20" i="1" a="1"/>
  <c r="AJV20" i="1" s="1"/>
  <c r="AJR20" i="1" a="1"/>
  <c r="AJR20" i="1" s="1"/>
  <c r="AJN20" i="1" a="1"/>
  <c r="AJN20" i="1" s="1"/>
  <c r="AJJ20" i="1" a="1"/>
  <c r="AJJ20" i="1" s="1"/>
  <c r="AJF20" i="1" a="1"/>
  <c r="AJF20" i="1" s="1"/>
  <c r="AJB20" i="1" a="1"/>
  <c r="AJB20" i="1" s="1"/>
  <c r="AIX20" i="1" a="1"/>
  <c r="AIX20" i="1" s="1"/>
  <c r="AIT20" i="1" a="1"/>
  <c r="AIT20" i="1" s="1"/>
  <c r="AIP20" i="1" a="1"/>
  <c r="AIP20" i="1" s="1"/>
  <c r="AIL20" i="1" a="1"/>
  <c r="AIL20" i="1" s="1"/>
  <c r="AIH20" i="1" a="1"/>
  <c r="AIH20" i="1" s="1"/>
  <c r="AIC20" i="1" a="1"/>
  <c r="AIC20" i="1" s="1"/>
  <c r="AHY20" i="1" a="1"/>
  <c r="AHY20" i="1" s="1"/>
  <c r="UR20" i="1" a="1"/>
  <c r="UR20" i="1" s="1"/>
  <c r="UN20" i="1" a="1"/>
  <c r="UN20" i="1" s="1"/>
  <c r="UJ20" i="1" a="1"/>
  <c r="UJ20" i="1" s="1"/>
  <c r="UF20" i="1" a="1"/>
  <c r="UF20" i="1" s="1"/>
  <c r="UB20" i="1" a="1"/>
  <c r="UB20" i="1" s="1"/>
  <c r="TX20" i="1" a="1"/>
  <c r="TX20" i="1" s="1"/>
  <c r="TT20" i="1" a="1"/>
  <c r="TT20" i="1" s="1"/>
  <c r="TP20" i="1" a="1"/>
  <c r="TP20" i="1" s="1"/>
  <c r="TL20" i="1" a="1"/>
  <c r="TL20" i="1" s="1"/>
  <c r="TH20" i="1" a="1"/>
  <c r="TH20" i="1" s="1"/>
  <c r="TD20" i="1" a="1"/>
  <c r="TD20" i="1" s="1"/>
  <c r="SZ20" i="1" a="1"/>
  <c r="SZ20" i="1" s="1"/>
  <c r="SU20" i="1" a="1"/>
  <c r="SU20" i="1" s="1"/>
  <c r="SQ20" i="1" a="1"/>
  <c r="SQ20" i="1" s="1"/>
  <c r="VH20" i="1" a="1"/>
  <c r="VH20" i="1" s="1"/>
  <c r="AFS20" i="1"/>
  <c r="AAF20" i="1"/>
  <c r="AAB20" i="1"/>
  <c r="AGH20" i="1" s="1" a="1"/>
  <c r="AGH20" i="1" s="1"/>
  <c r="AGI20" i="1" s="1"/>
  <c r="AAD20" i="1"/>
  <c r="AGJ20" i="1"/>
  <c r="AAC20" i="1"/>
  <c r="AAE20" i="1"/>
  <c r="AKP20" i="1" a="1"/>
  <c r="AKP20" i="1" s="1"/>
  <c r="ALF20" i="1" a="1"/>
  <c r="ALF20" i="1" s="1"/>
  <c r="VA20" i="1" a="1"/>
  <c r="VA20" i="1" s="1"/>
  <c r="VQ20" i="1" a="1"/>
  <c r="VQ20" i="1" s="1"/>
  <c r="AKM20" i="1" a="1"/>
  <c r="AKM20" i="1" s="1"/>
  <c r="ALC20" i="1" a="1"/>
  <c r="ALC20" i="1" s="1"/>
  <c r="RR23" i="1"/>
  <c r="FS26" i="1"/>
  <c r="BR26" i="1"/>
  <c r="ACL55" i="1" a="1"/>
  <c r="ACL55" i="1" s="1"/>
  <c r="ACI55" i="1" a="1"/>
  <c r="ACI55" i="1" s="1"/>
  <c r="ACD55" i="1" a="1"/>
  <c r="ACD55" i="1" s="1"/>
  <c r="ACA55" i="1" a="1"/>
  <c r="ACA55" i="1" s="1"/>
  <c r="ABV55" i="1" a="1"/>
  <c r="ABV55" i="1" s="1"/>
  <c r="ABS55" i="1" a="1"/>
  <c r="ABS55" i="1" s="1"/>
  <c r="ABN55" i="1" a="1"/>
  <c r="ABN55" i="1" s="1"/>
  <c r="ABK55" i="1" a="1"/>
  <c r="ABK55" i="1" s="1"/>
  <c r="ABF55" i="1" a="1"/>
  <c r="ABF55" i="1" s="1"/>
  <c r="ABC55" i="1" a="1"/>
  <c r="ABC55" i="1" s="1"/>
  <c r="AAX55" i="1" a="1"/>
  <c r="AAX55" i="1" s="1"/>
  <c r="AAU55" i="1" a="1"/>
  <c r="AAU55" i="1" s="1"/>
  <c r="AAP55" i="1" a="1"/>
  <c r="AAP55" i="1" s="1"/>
  <c r="MZ55" i="1" a="1"/>
  <c r="MZ55" i="1" s="1"/>
  <c r="MW55" i="1" a="1"/>
  <c r="MW55" i="1" s="1"/>
  <c r="MR55" i="1" a="1"/>
  <c r="MR55" i="1" s="1"/>
  <c r="MO55" i="1" a="1"/>
  <c r="MO55" i="1" s="1"/>
  <c r="MJ55" i="1" a="1"/>
  <c r="MJ55" i="1" s="1"/>
  <c r="MG55" i="1" a="1"/>
  <c r="MG55" i="1" s="1"/>
  <c r="MB55" i="1" a="1"/>
  <c r="MB55" i="1" s="1"/>
  <c r="LY55" i="1" a="1"/>
  <c r="LY55" i="1" s="1"/>
  <c r="LT55" i="1" a="1"/>
  <c r="LT55" i="1" s="1"/>
  <c r="LQ55" i="1" a="1"/>
  <c r="LQ55" i="1" s="1"/>
  <c r="LL55" i="1" a="1"/>
  <c r="LL55" i="1" s="1"/>
  <c r="LI55" i="1" a="1"/>
  <c r="LI55" i="1" s="1"/>
  <c r="ACK55" i="1" a="1"/>
  <c r="ACK55" i="1" s="1"/>
  <c r="ACF55" i="1" a="1"/>
  <c r="ACF55" i="1" s="1"/>
  <c r="ACC55" i="1" a="1"/>
  <c r="ACC55" i="1" s="1"/>
  <c r="ABX55" i="1" a="1"/>
  <c r="ABX55" i="1" s="1"/>
  <c r="ABU55" i="1" a="1"/>
  <c r="ABU55" i="1" s="1"/>
  <c r="ABP55" i="1" a="1"/>
  <c r="ABP55" i="1" s="1"/>
  <c r="ABM55" i="1" a="1"/>
  <c r="ABM55" i="1" s="1"/>
  <c r="ABH55" i="1" a="1"/>
  <c r="ABH55" i="1" s="1"/>
  <c r="ABE55" i="1" a="1"/>
  <c r="ABE55" i="1" s="1"/>
  <c r="AAZ55" i="1" a="1"/>
  <c r="AAZ55" i="1" s="1"/>
  <c r="AAW55" i="1" a="1"/>
  <c r="AAW55" i="1" s="1"/>
  <c r="AAR55" i="1" a="1"/>
  <c r="AAR55" i="1" s="1"/>
  <c r="NB55" i="1" a="1"/>
  <c r="NB55" i="1" s="1"/>
  <c r="MY55" i="1" a="1"/>
  <c r="MY55" i="1" s="1"/>
  <c r="MT55" i="1" a="1"/>
  <c r="MT55" i="1" s="1"/>
  <c r="MQ55" i="1" a="1"/>
  <c r="MQ55" i="1" s="1"/>
  <c r="ML55" i="1" a="1"/>
  <c r="ML55" i="1" s="1"/>
  <c r="MI55" i="1" a="1"/>
  <c r="MI55" i="1" s="1"/>
  <c r="MD55" i="1" a="1"/>
  <c r="MD55" i="1" s="1"/>
  <c r="MA55" i="1" a="1"/>
  <c r="MA55" i="1" s="1"/>
  <c r="LV55" i="1" a="1"/>
  <c r="LV55" i="1" s="1"/>
  <c r="LS55" i="1" a="1"/>
  <c r="LS55" i="1" s="1"/>
  <c r="LN55" i="1" a="1"/>
  <c r="LN55" i="1" s="1"/>
  <c r="LK55" i="1" a="1"/>
  <c r="LK55" i="1" s="1"/>
  <c r="LF55" i="1" a="1"/>
  <c r="LF55" i="1" s="1"/>
  <c r="LB55" i="1" a="1"/>
  <c r="LB55" i="1" s="1"/>
  <c r="ACH55" i="1" a="1"/>
  <c r="ACH55" i="1" s="1"/>
  <c r="ACE55" i="1" a="1"/>
  <c r="ACE55" i="1" s="1"/>
  <c r="ABZ55" i="1" a="1"/>
  <c r="ABZ55" i="1" s="1"/>
  <c r="ABW55" i="1" a="1"/>
  <c r="ABW55" i="1" s="1"/>
  <c r="ABR55" i="1" a="1"/>
  <c r="ABR55" i="1" s="1"/>
  <c r="ABO55" i="1" a="1"/>
  <c r="ABO55" i="1" s="1"/>
  <c r="ABJ55" i="1" a="1"/>
  <c r="ABJ55" i="1" s="1"/>
  <c r="ABG55" i="1" a="1"/>
  <c r="ABG55" i="1" s="1"/>
  <c r="ABB55" i="1" a="1"/>
  <c r="ABB55" i="1" s="1"/>
  <c r="AAY55" i="1" a="1"/>
  <c r="AAY55" i="1" s="1"/>
  <c r="AAT55" i="1" a="1"/>
  <c r="AAT55" i="1" s="1"/>
  <c r="AAQ55" i="1" a="1"/>
  <c r="AAQ55" i="1" s="1"/>
  <c r="NA55" i="1" a="1"/>
  <c r="NA55" i="1" s="1"/>
  <c r="MV55" i="1" a="1"/>
  <c r="MV55" i="1" s="1"/>
  <c r="MS55" i="1" a="1"/>
  <c r="MS55" i="1" s="1"/>
  <c r="MN55" i="1" a="1"/>
  <c r="MN55" i="1" s="1"/>
  <c r="MK55" i="1" a="1"/>
  <c r="MK55" i="1" s="1"/>
  <c r="MF55" i="1" a="1"/>
  <c r="MF55" i="1" s="1"/>
  <c r="MC55" i="1" a="1"/>
  <c r="MC55" i="1" s="1"/>
  <c r="LX55" i="1" a="1"/>
  <c r="LX55" i="1" s="1"/>
  <c r="LU55" i="1" a="1"/>
  <c r="LU55" i="1" s="1"/>
  <c r="LP55" i="1" a="1"/>
  <c r="LP55" i="1" s="1"/>
  <c r="LM55" i="1" a="1"/>
  <c r="LM55" i="1" s="1"/>
  <c r="LH55" i="1" a="1"/>
  <c r="LH55" i="1" s="1"/>
  <c r="ACG55" i="1" a="1"/>
  <c r="ACG55" i="1" s="1"/>
  <c r="ABL55" i="1" a="1"/>
  <c r="ABL55" i="1" s="1"/>
  <c r="ABA55" i="1" a="1"/>
  <c r="ABA55" i="1" s="1"/>
  <c r="MH55" i="1" a="1"/>
  <c r="MH55" i="1" s="1"/>
  <c r="LW55" i="1" a="1"/>
  <c r="LW55" i="1" s="1"/>
  <c r="LA55" i="1" a="1"/>
  <c r="LA55" i="1" s="1"/>
  <c r="ABT55" i="1" a="1"/>
  <c r="ABT55" i="1" s="1"/>
  <c r="ABI55" i="1" a="1"/>
  <c r="ABI55" i="1" s="1"/>
  <c r="AAM55" i="1" a="1"/>
  <c r="AAM55" i="1" s="1"/>
  <c r="MP55" i="1" a="1"/>
  <c r="MP55" i="1" s="1"/>
  <c r="ME55" i="1" a="1"/>
  <c r="ME55" i="1" s="1"/>
  <c r="LJ55" i="1" a="1"/>
  <c r="LJ55" i="1" s="1"/>
  <c r="KX55" i="1" a="1"/>
  <c r="KX55" i="1" s="1"/>
  <c r="ACB55" i="1" a="1"/>
  <c r="ACB55" i="1" s="1"/>
  <c r="ABQ55" i="1" a="1"/>
  <c r="ABQ55" i="1" s="1"/>
  <c r="AAV55" i="1" a="1"/>
  <c r="AAV55" i="1" s="1"/>
  <c r="AAJ55" i="1" a="1"/>
  <c r="AAJ55" i="1" s="1"/>
  <c r="MX55" i="1" a="1"/>
  <c r="MX55" i="1" s="1"/>
  <c r="MM55" i="1" a="1"/>
  <c r="MM55" i="1" s="1"/>
  <c r="LR55" i="1" a="1"/>
  <c r="LR55" i="1" s="1"/>
  <c r="LG55" i="1" a="1"/>
  <c r="LG55" i="1" s="1"/>
  <c r="ACJ55" i="1" a="1"/>
  <c r="ACJ55" i="1" s="1"/>
  <c r="ABY55" i="1" a="1"/>
  <c r="ABY55" i="1" s="1"/>
  <c r="ABD55" i="1" a="1"/>
  <c r="ABD55" i="1" s="1"/>
  <c r="AAS55" i="1" a="1"/>
  <c r="AAS55" i="1" s="1"/>
  <c r="MU55" i="1" a="1"/>
  <c r="MU55" i="1" s="1"/>
  <c r="LZ55" i="1" a="1"/>
  <c r="LZ55" i="1" s="1"/>
  <c r="LO55" i="1" a="1"/>
  <c r="LO55" i="1" s="1"/>
  <c r="AAI55" i="1" a="1"/>
  <c r="AAI55" i="1" s="1"/>
  <c r="KY55" i="1" a="1"/>
  <c r="KY55" i="1" s="1"/>
  <c r="AAH55" i="1" a="1"/>
  <c r="AAH55" i="1" s="1"/>
  <c r="AAN55" i="1" a="1"/>
  <c r="AAN55" i="1" s="1"/>
  <c r="LD55" i="1" a="1"/>
  <c r="LD55" i="1" s="1"/>
  <c r="AAK55" i="1" a="1"/>
  <c r="AAK55" i="1" s="1"/>
  <c r="KZ55" i="1" a="1"/>
  <c r="KZ55" i="1" s="1"/>
  <c r="LC55" i="1" a="1"/>
  <c r="LC55" i="1" s="1"/>
  <c r="AAL55" i="1" a="1"/>
  <c r="AAL55" i="1" s="1"/>
  <c r="BO59" i="1"/>
  <c r="FP59" i="1"/>
  <c r="DC55" i="1" a="1"/>
  <c r="DC55" i="1" s="1"/>
  <c r="CZ55" i="1" a="1"/>
  <c r="CZ55" i="1" s="1"/>
  <c r="DD55" i="1" a="1"/>
  <c r="DD55" i="1" s="1"/>
  <c r="CY55" i="1" a="1"/>
  <c r="CY55" i="1" s="1"/>
  <c r="DA55" i="1" a="1"/>
  <c r="DA55" i="1" s="1"/>
  <c r="DE55" i="1" a="1"/>
  <c r="DE55" i="1" s="1"/>
  <c r="BF55" i="1"/>
  <c r="CX55" i="1" a="1"/>
  <c r="CX55" i="1" s="1"/>
  <c r="BD55" i="1"/>
  <c r="DB55" i="1" a="1"/>
  <c r="DB55" i="1" s="1"/>
  <c r="CW55" i="1" a="1"/>
  <c r="CW55" i="1" s="1"/>
  <c r="RR59" i="1"/>
  <c r="SH59" i="1"/>
  <c r="AKA59" i="1" a="1"/>
  <c r="AKA59" i="1" s="1"/>
  <c r="AJV59" i="1" a="1"/>
  <c r="AJV59" i="1" s="1"/>
  <c r="AJS59" i="1" a="1"/>
  <c r="AJS59" i="1" s="1"/>
  <c r="AJN59" i="1" a="1"/>
  <c r="AJN59" i="1" s="1"/>
  <c r="AJK59" i="1" a="1"/>
  <c r="AJK59" i="1" s="1"/>
  <c r="AJF59" i="1" a="1"/>
  <c r="AJF59" i="1" s="1"/>
  <c r="AJC59" i="1" a="1"/>
  <c r="AJC59" i="1" s="1"/>
  <c r="AIX59" i="1" a="1"/>
  <c r="AIX59" i="1" s="1"/>
  <c r="AIU59" i="1" a="1"/>
  <c r="AIU59" i="1" s="1"/>
  <c r="AIP59" i="1" a="1"/>
  <c r="AIP59" i="1" s="1"/>
  <c r="AIM59" i="1" a="1"/>
  <c r="AIM59" i="1" s="1"/>
  <c r="AIH59" i="1" a="1"/>
  <c r="AIH59" i="1" s="1"/>
  <c r="UR59" i="1" a="1"/>
  <c r="UR59" i="1" s="1"/>
  <c r="UP59" i="1" a="1"/>
  <c r="UP59" i="1" s="1"/>
  <c r="UN59" i="1" a="1"/>
  <c r="UN59" i="1" s="1"/>
  <c r="UL59" i="1" a="1"/>
  <c r="UL59" i="1" s="1"/>
  <c r="UJ59" i="1" a="1"/>
  <c r="UJ59" i="1" s="1"/>
  <c r="UH59" i="1" a="1"/>
  <c r="UH59" i="1" s="1"/>
  <c r="UF59" i="1" a="1"/>
  <c r="UF59" i="1" s="1"/>
  <c r="UD59" i="1" a="1"/>
  <c r="UD59" i="1" s="1"/>
  <c r="UB59" i="1" a="1"/>
  <c r="UB59" i="1" s="1"/>
  <c r="TZ59" i="1" a="1"/>
  <c r="TZ59" i="1" s="1"/>
  <c r="TX59" i="1" a="1"/>
  <c r="TX59" i="1" s="1"/>
  <c r="TV59" i="1" a="1"/>
  <c r="TV59" i="1" s="1"/>
  <c r="TT59" i="1" a="1"/>
  <c r="TT59" i="1" s="1"/>
  <c r="TR59" i="1" a="1"/>
  <c r="TR59" i="1" s="1"/>
  <c r="TP59" i="1" a="1"/>
  <c r="TP59" i="1" s="1"/>
  <c r="TN59" i="1" a="1"/>
  <c r="TN59" i="1" s="1"/>
  <c r="TL59" i="1" a="1"/>
  <c r="TL59" i="1" s="1"/>
  <c r="TJ59" i="1" a="1"/>
  <c r="TJ59" i="1" s="1"/>
  <c r="TH59" i="1" a="1"/>
  <c r="TH59" i="1" s="1"/>
  <c r="TF59" i="1" a="1"/>
  <c r="TF59" i="1" s="1"/>
  <c r="TD59" i="1" a="1"/>
  <c r="TD59" i="1" s="1"/>
  <c r="TB59" i="1" a="1"/>
  <c r="TB59" i="1" s="1"/>
  <c r="SZ59" i="1" a="1"/>
  <c r="SZ59" i="1" s="1"/>
  <c r="SX59" i="1" a="1"/>
  <c r="SX59" i="1" s="1"/>
  <c r="AKC59" i="1" a="1"/>
  <c r="AKC59" i="1" s="1"/>
  <c r="AJX59" i="1" a="1"/>
  <c r="AJX59" i="1" s="1"/>
  <c r="AJU59" i="1" a="1"/>
  <c r="AJU59" i="1" s="1"/>
  <c r="AJP59" i="1" a="1"/>
  <c r="AJP59" i="1" s="1"/>
  <c r="AJM59" i="1" a="1"/>
  <c r="AJM59" i="1" s="1"/>
  <c r="AJH59" i="1" a="1"/>
  <c r="AJH59" i="1" s="1"/>
  <c r="AJE59" i="1" a="1"/>
  <c r="AJE59" i="1" s="1"/>
  <c r="AIZ59" i="1" a="1"/>
  <c r="AIZ59" i="1" s="1"/>
  <c r="AIW59" i="1" a="1"/>
  <c r="AIW59" i="1" s="1"/>
  <c r="AIR59" i="1" a="1"/>
  <c r="AIR59" i="1" s="1"/>
  <c r="AIO59" i="1" a="1"/>
  <c r="AIO59" i="1" s="1"/>
  <c r="AIJ59" i="1" a="1"/>
  <c r="AIJ59" i="1" s="1"/>
  <c r="AIG59" i="1" a="1"/>
  <c r="AIG59" i="1" s="1"/>
  <c r="AJZ59" i="1" a="1"/>
  <c r="AJZ59" i="1" s="1"/>
  <c r="AJW59" i="1" a="1"/>
  <c r="AJW59" i="1" s="1"/>
  <c r="AJR59" i="1" a="1"/>
  <c r="AJR59" i="1" s="1"/>
  <c r="AJO59" i="1" a="1"/>
  <c r="AJO59" i="1" s="1"/>
  <c r="AJJ59" i="1" a="1"/>
  <c r="AJJ59" i="1" s="1"/>
  <c r="AJG59" i="1" a="1"/>
  <c r="AJG59" i="1" s="1"/>
  <c r="AJB59" i="1" a="1"/>
  <c r="AJB59" i="1" s="1"/>
  <c r="AIY59" i="1" a="1"/>
  <c r="AIY59" i="1" s="1"/>
  <c r="AIT59" i="1" a="1"/>
  <c r="AIT59" i="1" s="1"/>
  <c r="AIQ59" i="1" a="1"/>
  <c r="AIQ59" i="1" s="1"/>
  <c r="AIL59" i="1" a="1"/>
  <c r="AIL59" i="1" s="1"/>
  <c r="AII59" i="1" a="1"/>
  <c r="AII59" i="1" s="1"/>
  <c r="AKB59" i="1" a="1"/>
  <c r="AKB59" i="1" s="1"/>
  <c r="AJY59" i="1" a="1"/>
  <c r="AJY59" i="1" s="1"/>
  <c r="AJT59" i="1" a="1"/>
  <c r="AJT59" i="1" s="1"/>
  <c r="AJQ59" i="1" a="1"/>
  <c r="AJQ59" i="1" s="1"/>
  <c r="AJL59" i="1" a="1"/>
  <c r="AJL59" i="1" s="1"/>
  <c r="AJI59" i="1" a="1"/>
  <c r="AJI59" i="1" s="1"/>
  <c r="AJD59" i="1" a="1"/>
  <c r="AJD59" i="1" s="1"/>
  <c r="AJA59" i="1" a="1"/>
  <c r="AJA59" i="1" s="1"/>
  <c r="AIV59" i="1" a="1"/>
  <c r="AIV59" i="1" s="1"/>
  <c r="AIS59" i="1" a="1"/>
  <c r="AIS59" i="1" s="1"/>
  <c r="AIN59" i="1" a="1"/>
  <c r="AIN59" i="1" s="1"/>
  <c r="AIK59" i="1" a="1"/>
  <c r="AIK59" i="1" s="1"/>
  <c r="UO59" i="1" a="1"/>
  <c r="UO59" i="1" s="1"/>
  <c r="UG59" i="1" a="1"/>
  <c r="UG59" i="1" s="1"/>
  <c r="TY59" i="1" a="1"/>
  <c r="TY59" i="1" s="1"/>
  <c r="TQ59" i="1" a="1"/>
  <c r="TQ59" i="1" s="1"/>
  <c r="TI59" i="1" a="1"/>
  <c r="TI59" i="1" s="1"/>
  <c r="TA59" i="1" a="1"/>
  <c r="TA59" i="1" s="1"/>
  <c r="UM59" i="1" a="1"/>
  <c r="UM59" i="1" s="1"/>
  <c r="UE59" i="1" a="1"/>
  <c r="UE59" i="1" s="1"/>
  <c r="TW59" i="1" a="1"/>
  <c r="TW59" i="1" s="1"/>
  <c r="TO59" i="1" a="1"/>
  <c r="TO59" i="1" s="1"/>
  <c r="TG59" i="1" a="1"/>
  <c r="TG59" i="1" s="1"/>
  <c r="SY59" i="1" a="1"/>
  <c r="SY59" i="1" s="1"/>
  <c r="US59" i="1" a="1"/>
  <c r="US59" i="1" s="1"/>
  <c r="UK59" i="1" a="1"/>
  <c r="UK59" i="1" s="1"/>
  <c r="UC59" i="1" a="1"/>
  <c r="UC59" i="1" s="1"/>
  <c r="TU59" i="1" a="1"/>
  <c r="TU59" i="1" s="1"/>
  <c r="TM59" i="1" a="1"/>
  <c r="TM59" i="1" s="1"/>
  <c r="TE59" i="1" a="1"/>
  <c r="TE59" i="1" s="1"/>
  <c r="SW59" i="1" a="1"/>
  <c r="SW59" i="1" s="1"/>
  <c r="UQ59" i="1" a="1"/>
  <c r="UQ59" i="1" s="1"/>
  <c r="UI59" i="1" a="1"/>
  <c r="UI59" i="1" s="1"/>
  <c r="UA59" i="1" a="1"/>
  <c r="UA59" i="1" s="1"/>
  <c r="TS59" i="1" a="1"/>
  <c r="TS59" i="1" s="1"/>
  <c r="TK59" i="1" a="1"/>
  <c r="TK59" i="1" s="1"/>
  <c r="TC59" i="1" a="1"/>
  <c r="TC59" i="1" s="1"/>
  <c r="AID59" i="1" a="1"/>
  <c r="AID59" i="1" s="1"/>
  <c r="SO59" i="1" a="1"/>
  <c r="SO59" i="1" s="1"/>
  <c r="AKX59" i="1" a="1"/>
  <c r="AKX59" i="1" s="1"/>
  <c r="AIA59" i="1" a="1"/>
  <c r="AIA59" i="1" s="1"/>
  <c r="ALE59" i="1" a="1"/>
  <c r="ALE59" i="1" s="1"/>
  <c r="AKO59" i="1" a="1"/>
  <c r="AKO59" i="1" s="1"/>
  <c r="AKT59" i="1" a="1"/>
  <c r="AKT59" i="1" s="1"/>
  <c r="AIB59" i="1" a="1"/>
  <c r="AIB59" i="1" s="1"/>
  <c r="VI59" i="1" a="1"/>
  <c r="VI59" i="1" s="1"/>
  <c r="VC59" i="1" a="1"/>
  <c r="VC59" i="1" s="1"/>
  <c r="VU59" i="1" a="1"/>
  <c r="VU59" i="1" s="1"/>
  <c r="VW59" i="1" a="1"/>
  <c r="VW59" i="1" s="1"/>
  <c r="AHY59" i="1" a="1"/>
  <c r="AHY59" i="1" s="1"/>
  <c r="SU59" i="1" a="1"/>
  <c r="SU59" i="1" s="1"/>
  <c r="AIC59" i="1" a="1"/>
  <c r="AIC59" i="1" s="1"/>
  <c r="VK59" i="1" a="1"/>
  <c r="VK59" i="1" s="1"/>
  <c r="SP59" i="1" a="1"/>
  <c r="SP59" i="1" s="1"/>
  <c r="SR59" i="1" a="1"/>
  <c r="SR59" i="1" s="1"/>
  <c r="SS59" i="1" a="1"/>
  <c r="SS59" i="1" s="1"/>
  <c r="ALF59" i="1" a="1"/>
  <c r="ALF59" i="1" s="1"/>
  <c r="AKP59" i="1" a="1"/>
  <c r="AKP59" i="1" s="1"/>
  <c r="AKW59" i="1" a="1"/>
  <c r="AKW59" i="1" s="1"/>
  <c r="AHZ59" i="1" a="1"/>
  <c r="AHZ59" i="1" s="1"/>
  <c r="ALB59" i="1" a="1"/>
  <c r="ALB59" i="1" s="1"/>
  <c r="AKL59" i="1" a="1"/>
  <c r="AKL59" i="1" s="1"/>
  <c r="ST59" i="1" a="1"/>
  <c r="ST59" i="1" s="1"/>
  <c r="VS59" i="1" a="1"/>
  <c r="VS59" i="1" s="1"/>
  <c r="VE59" i="1" a="1"/>
  <c r="VE59" i="1" s="1"/>
  <c r="VG59" i="1" a="1"/>
  <c r="VG59" i="1" s="1"/>
  <c r="SQ59" i="1" a="1"/>
  <c r="SQ59" i="1" s="1"/>
  <c r="AIE59" i="1" a="1"/>
  <c r="AIE59" i="1" s="1"/>
  <c r="VM59" i="1" a="1"/>
  <c r="VM59" i="1" s="1"/>
  <c r="VO59" i="1" a="1"/>
  <c r="VO59" i="1" s="1"/>
  <c r="AHR59" i="1"/>
  <c r="KT57" i="1"/>
  <c r="QZ57" i="1"/>
  <c r="QI57" i="1"/>
  <c r="KS57" i="1"/>
  <c r="KR57" i="1"/>
  <c r="QX57" i="1" s="1" a="1"/>
  <c r="QX57" i="1" s="1"/>
  <c r="QY57" i="1" s="1"/>
  <c r="KV57" i="1"/>
  <c r="KU57" i="1"/>
  <c r="RR57" i="1" s="1"/>
  <c r="XZ57" i="1"/>
  <c r="SM57" i="1"/>
  <c r="SI57" i="1"/>
  <c r="YO57" i="1" s="1" a="1"/>
  <c r="YO57" i="1" s="1"/>
  <c r="YP57" i="1" s="1"/>
  <c r="YQ57" i="1"/>
  <c r="SJ57" i="1"/>
  <c r="SL57" i="1"/>
  <c r="SK57" i="1"/>
  <c r="ANJ57" i="1"/>
  <c r="AHW57" i="1"/>
  <c r="AHS57" i="1"/>
  <c r="ANY57" i="1" s="1" a="1"/>
  <c r="ANY57" i="1" s="1"/>
  <c r="ANZ57" i="1" s="1"/>
  <c r="AHV57" i="1"/>
  <c r="AHU57" i="1"/>
  <c r="AOA57" i="1"/>
  <c r="AHT57" i="1"/>
  <c r="VV60" i="1" a="1"/>
  <c r="VV60" i="1" s="1"/>
  <c r="ACL61" i="1" a="1"/>
  <c r="ACL61" i="1" s="1"/>
  <c r="ACJ61" i="1" a="1"/>
  <c r="ACJ61" i="1" s="1"/>
  <c r="ACH61" i="1" a="1"/>
  <c r="ACH61" i="1" s="1"/>
  <c r="ACF61" i="1" a="1"/>
  <c r="ACF61" i="1" s="1"/>
  <c r="ACD61" i="1" a="1"/>
  <c r="ACD61" i="1" s="1"/>
  <c r="ACB61" i="1" a="1"/>
  <c r="ACB61" i="1" s="1"/>
  <c r="ABZ61" i="1" a="1"/>
  <c r="ABZ61" i="1" s="1"/>
  <c r="ABX61" i="1" a="1"/>
  <c r="ABX61" i="1" s="1"/>
  <c r="ABV61" i="1" a="1"/>
  <c r="ABV61" i="1" s="1"/>
  <c r="ABT61" i="1" a="1"/>
  <c r="ABT61" i="1" s="1"/>
  <c r="ABR61" i="1" a="1"/>
  <c r="ABR61" i="1" s="1"/>
  <c r="ABP61" i="1" a="1"/>
  <c r="ABP61" i="1" s="1"/>
  <c r="ABN61" i="1" a="1"/>
  <c r="ABN61" i="1" s="1"/>
  <c r="ABL61" i="1" a="1"/>
  <c r="ABL61" i="1" s="1"/>
  <c r="ABJ61" i="1" a="1"/>
  <c r="ABJ61" i="1" s="1"/>
  <c r="ABH61" i="1" a="1"/>
  <c r="ABH61" i="1" s="1"/>
  <c r="ABF61" i="1" a="1"/>
  <c r="ABF61" i="1" s="1"/>
  <c r="ACK61" i="1" a="1"/>
  <c r="ACK61" i="1" s="1"/>
  <c r="ACI61" i="1" a="1"/>
  <c r="ACI61" i="1" s="1"/>
  <c r="ACG61" i="1" a="1"/>
  <c r="ACG61" i="1" s="1"/>
  <c r="ACE61" i="1" a="1"/>
  <c r="ACE61" i="1" s="1"/>
  <c r="ACC61" i="1" a="1"/>
  <c r="ACC61" i="1" s="1"/>
  <c r="ACA61" i="1" a="1"/>
  <c r="ACA61" i="1" s="1"/>
  <c r="ABY61" i="1" a="1"/>
  <c r="ABY61" i="1" s="1"/>
  <c r="ABW61" i="1" a="1"/>
  <c r="ABW61" i="1" s="1"/>
  <c r="ABU61" i="1" a="1"/>
  <c r="ABU61" i="1" s="1"/>
  <c r="ABS61" i="1" a="1"/>
  <c r="ABS61" i="1" s="1"/>
  <c r="ABQ61" i="1" a="1"/>
  <c r="ABQ61" i="1" s="1"/>
  <c r="ABO61" i="1" a="1"/>
  <c r="ABO61" i="1" s="1"/>
  <c r="ABM61" i="1" a="1"/>
  <c r="ABM61" i="1" s="1"/>
  <c r="ABK61" i="1" a="1"/>
  <c r="ABK61" i="1" s="1"/>
  <c r="ABI61" i="1" a="1"/>
  <c r="ABI61" i="1" s="1"/>
  <c r="ABG61" i="1" a="1"/>
  <c r="ABG61" i="1" s="1"/>
  <c r="ABE61" i="1" a="1"/>
  <c r="ABE61" i="1" s="1"/>
  <c r="ABC61" i="1" a="1"/>
  <c r="ABC61" i="1" s="1"/>
  <c r="ABA61" i="1" a="1"/>
  <c r="ABA61" i="1" s="1"/>
  <c r="AAY61" i="1" a="1"/>
  <c r="AAY61" i="1" s="1"/>
  <c r="ABB61" i="1" a="1"/>
  <c r="ABB61" i="1" s="1"/>
  <c r="AAX61" i="1" a="1"/>
  <c r="AAX61" i="1" s="1"/>
  <c r="AAU61" i="1" a="1"/>
  <c r="AAU61" i="1" s="1"/>
  <c r="AAP61" i="1" a="1"/>
  <c r="AAP61" i="1" s="1"/>
  <c r="MZ61" i="1" a="1"/>
  <c r="MZ61" i="1" s="1"/>
  <c r="MW61" i="1" a="1"/>
  <c r="MW61" i="1" s="1"/>
  <c r="MR61" i="1" a="1"/>
  <c r="MR61" i="1" s="1"/>
  <c r="MO61" i="1" a="1"/>
  <c r="MO61" i="1" s="1"/>
  <c r="MJ61" i="1" a="1"/>
  <c r="MJ61" i="1" s="1"/>
  <c r="MG61" i="1" a="1"/>
  <c r="MG61" i="1" s="1"/>
  <c r="MB61" i="1" a="1"/>
  <c r="MB61" i="1" s="1"/>
  <c r="LY61" i="1" a="1"/>
  <c r="LY61" i="1" s="1"/>
  <c r="LT61" i="1" a="1"/>
  <c r="LT61" i="1" s="1"/>
  <c r="LQ61" i="1" a="1"/>
  <c r="LQ61" i="1" s="1"/>
  <c r="LL61" i="1" a="1"/>
  <c r="LL61" i="1" s="1"/>
  <c r="LI61" i="1" a="1"/>
  <c r="LI61" i="1" s="1"/>
  <c r="AAW61" i="1" a="1"/>
  <c r="AAW61" i="1" s="1"/>
  <c r="AAR61" i="1" a="1"/>
  <c r="AAR61" i="1" s="1"/>
  <c r="NB61" i="1" a="1"/>
  <c r="NB61" i="1" s="1"/>
  <c r="MY61" i="1" a="1"/>
  <c r="MY61" i="1" s="1"/>
  <c r="MT61" i="1" a="1"/>
  <c r="MT61" i="1" s="1"/>
  <c r="MQ61" i="1" a="1"/>
  <c r="MQ61" i="1" s="1"/>
  <c r="ML61" i="1" a="1"/>
  <c r="ML61" i="1" s="1"/>
  <c r="MI61" i="1" a="1"/>
  <c r="MI61" i="1" s="1"/>
  <c r="MD61" i="1" a="1"/>
  <c r="MD61" i="1" s="1"/>
  <c r="MA61" i="1" a="1"/>
  <c r="MA61" i="1" s="1"/>
  <c r="LV61" i="1" a="1"/>
  <c r="LV61" i="1" s="1"/>
  <c r="LS61" i="1" a="1"/>
  <c r="LS61" i="1" s="1"/>
  <c r="LN61" i="1" a="1"/>
  <c r="LN61" i="1" s="1"/>
  <c r="LK61" i="1" a="1"/>
  <c r="LK61" i="1" s="1"/>
  <c r="LF61" i="1" a="1"/>
  <c r="LF61" i="1" s="1"/>
  <c r="ABD61" i="1" a="1"/>
  <c r="ABD61" i="1" s="1"/>
  <c r="AAZ61" i="1" a="1"/>
  <c r="AAZ61" i="1" s="1"/>
  <c r="AAT61" i="1" a="1"/>
  <c r="AAT61" i="1" s="1"/>
  <c r="AAQ61" i="1" a="1"/>
  <c r="AAQ61" i="1" s="1"/>
  <c r="NA61" i="1" a="1"/>
  <c r="NA61" i="1" s="1"/>
  <c r="MV61" i="1" a="1"/>
  <c r="MV61" i="1" s="1"/>
  <c r="MS61" i="1" a="1"/>
  <c r="MS61" i="1" s="1"/>
  <c r="MN61" i="1" a="1"/>
  <c r="MN61" i="1" s="1"/>
  <c r="MK61" i="1" a="1"/>
  <c r="MK61" i="1" s="1"/>
  <c r="MF61" i="1" a="1"/>
  <c r="MF61" i="1" s="1"/>
  <c r="MC61" i="1" a="1"/>
  <c r="MC61" i="1" s="1"/>
  <c r="LX61" i="1" a="1"/>
  <c r="LX61" i="1" s="1"/>
  <c r="LU61" i="1" a="1"/>
  <c r="LU61" i="1" s="1"/>
  <c r="LP61" i="1" a="1"/>
  <c r="LP61" i="1" s="1"/>
  <c r="LM61" i="1" a="1"/>
  <c r="LM61" i="1" s="1"/>
  <c r="LH61" i="1" a="1"/>
  <c r="LH61" i="1" s="1"/>
  <c r="AAV61" i="1" a="1"/>
  <c r="AAV61" i="1" s="1"/>
  <c r="AAS61" i="1" a="1"/>
  <c r="AAS61" i="1" s="1"/>
  <c r="MX61" i="1" a="1"/>
  <c r="MX61" i="1" s="1"/>
  <c r="MU61" i="1" a="1"/>
  <c r="MU61" i="1" s="1"/>
  <c r="MP61" i="1" a="1"/>
  <c r="MP61" i="1" s="1"/>
  <c r="MM61" i="1" a="1"/>
  <c r="MM61" i="1" s="1"/>
  <c r="MH61" i="1" a="1"/>
  <c r="MH61" i="1" s="1"/>
  <c r="ME61" i="1" a="1"/>
  <c r="ME61" i="1" s="1"/>
  <c r="LZ61" i="1" a="1"/>
  <c r="LZ61" i="1" s="1"/>
  <c r="LW61" i="1" a="1"/>
  <c r="LW61" i="1" s="1"/>
  <c r="LR61" i="1" a="1"/>
  <c r="LR61" i="1" s="1"/>
  <c r="LO61" i="1" a="1"/>
  <c r="LO61" i="1" s="1"/>
  <c r="LJ61" i="1" a="1"/>
  <c r="LJ61" i="1" s="1"/>
  <c r="LG61" i="1" a="1"/>
  <c r="LG61" i="1" s="1"/>
  <c r="LA61" i="1" a="1"/>
  <c r="LA61" i="1" s="1"/>
  <c r="KX61" i="1" a="1"/>
  <c r="KX61" i="1" s="1"/>
  <c r="AAJ61" i="1" a="1"/>
  <c r="AAJ61" i="1" s="1"/>
  <c r="LC61" i="1" a="1"/>
  <c r="LC61" i="1" s="1"/>
  <c r="AAL61" i="1" a="1"/>
  <c r="AAL61" i="1" s="1"/>
  <c r="AAM61" i="1" a="1"/>
  <c r="AAM61" i="1" s="1"/>
  <c r="KY61" i="1" a="1"/>
  <c r="KY61" i="1" s="1"/>
  <c r="LD61" i="1" a="1"/>
  <c r="LD61" i="1" s="1"/>
  <c r="AAH61" i="1" a="1"/>
  <c r="AAH61" i="1" s="1"/>
  <c r="AAI61" i="1" a="1"/>
  <c r="AAI61" i="1" s="1"/>
  <c r="AAK61" i="1" a="1"/>
  <c r="AAK61" i="1" s="1"/>
  <c r="LB61" i="1" a="1"/>
  <c r="LB61" i="1" s="1"/>
  <c r="AAN61" i="1" a="1"/>
  <c r="AAN61" i="1" s="1"/>
  <c r="KZ61" i="1" a="1"/>
  <c r="KZ61" i="1" s="1"/>
  <c r="HT63" i="1"/>
  <c r="HU63" i="1" s="1"/>
  <c r="BZ73" i="1" a="1"/>
  <c r="BZ73" i="1" s="1"/>
  <c r="BY73" i="1" a="1"/>
  <c r="BY73" i="1" s="1"/>
  <c r="CB73" i="1" a="1"/>
  <c r="CB73" i="1" s="1"/>
  <c r="CN73" i="1" s="1"/>
  <c r="CA73" i="1" a="1"/>
  <c r="CA73" i="1" s="1"/>
  <c r="CO73" i="1" s="1"/>
  <c r="CD73" i="1" a="1"/>
  <c r="CD73" i="1" s="1"/>
  <c r="CC73" i="1" a="1"/>
  <c r="CC73" i="1" s="1"/>
  <c r="CH73" i="1" s="1"/>
  <c r="BX73" i="1" a="1"/>
  <c r="BX73" i="1" s="1"/>
  <c r="CE73" i="1" a="1"/>
  <c r="CE73" i="1" s="1"/>
  <c r="EM76" i="1" a="1"/>
  <c r="EM76" i="1" s="1"/>
  <c r="EH76" i="1" a="1"/>
  <c r="EH76" i="1" s="1"/>
  <c r="BH76" i="1"/>
  <c r="EJ76" i="1" a="1"/>
  <c r="EJ76" i="1" s="1"/>
  <c r="EG76" i="1" a="1"/>
  <c r="EG76" i="1" s="1"/>
  <c r="EL76" i="1" a="1"/>
  <c r="EL76" i="1" s="1"/>
  <c r="EK76" i="1" a="1"/>
  <c r="EK76" i="1" s="1"/>
  <c r="EF76" i="1" a="1"/>
  <c r="EF76" i="1" s="1"/>
  <c r="EN76" i="1" a="1"/>
  <c r="EN76" i="1" s="1"/>
  <c r="EI76" i="1" a="1"/>
  <c r="EI76" i="1" s="1"/>
  <c r="RR76" i="1"/>
  <c r="CE12" i="1" a="1"/>
  <c r="CE12" i="1" s="1"/>
  <c r="CC12" i="1" a="1"/>
  <c r="CC12" i="1" s="1"/>
  <c r="CA12" i="1" a="1"/>
  <c r="CA12" i="1" s="1"/>
  <c r="BY12" i="1" a="1"/>
  <c r="BY12" i="1" s="1"/>
  <c r="CD12" i="1" a="1"/>
  <c r="CD12" i="1" s="1"/>
  <c r="BX12" i="1" a="1"/>
  <c r="BX12" i="1" s="1"/>
  <c r="CG12" i="1" s="1"/>
  <c r="CI12" i="1" s="1"/>
  <c r="CJ12" i="1" s="1"/>
  <c r="BZ12" i="1" a="1"/>
  <c r="BZ12" i="1" s="1"/>
  <c r="CB12" i="1" a="1"/>
  <c r="CB12" i="1" s="1"/>
  <c r="CN12" i="1" s="1"/>
  <c r="CD10" i="1" a="1"/>
  <c r="CD10" i="1" s="1"/>
  <c r="CB10" i="1" a="1"/>
  <c r="CB10" i="1" s="1"/>
  <c r="CN10" i="1" s="1"/>
  <c r="BZ10" i="1" a="1"/>
  <c r="BZ10" i="1" s="1"/>
  <c r="BX10" i="1" a="1"/>
  <c r="BX10" i="1" s="1"/>
  <c r="CE10" i="1" a="1"/>
  <c r="CE10" i="1" s="1"/>
  <c r="CC10" i="1" a="1"/>
  <c r="CC10" i="1" s="1"/>
  <c r="CA10" i="1" a="1"/>
  <c r="CA10" i="1" s="1"/>
  <c r="BY10" i="1" a="1"/>
  <c r="BY10" i="1" s="1"/>
  <c r="GF11" i="1" a="1"/>
  <c r="GF11" i="1" s="1"/>
  <c r="GC11" i="1" a="1"/>
  <c r="GC11" i="1" s="1"/>
  <c r="GO11" i="1" s="1"/>
  <c r="GA11" i="1" a="1"/>
  <c r="GA11" i="1" s="1"/>
  <c r="FY11" i="1" a="1"/>
  <c r="FY11" i="1" s="1"/>
  <c r="GB11" i="1" a="1"/>
  <c r="GB11" i="1" s="1"/>
  <c r="GP11" i="1" s="1"/>
  <c r="GD11" i="1" a="1"/>
  <c r="GD11" i="1" s="1"/>
  <c r="FZ11" i="1" a="1"/>
  <c r="FZ11" i="1" s="1"/>
  <c r="GB15" i="1" a="1"/>
  <c r="GB15" i="1" s="1"/>
  <c r="GP15" i="1" s="1"/>
  <c r="GF15" i="1" a="1"/>
  <c r="GF15" i="1" s="1"/>
  <c r="GA15" i="1" a="1"/>
  <c r="GA15" i="1" s="1"/>
  <c r="GD15" i="1" a="1"/>
  <c r="GD15" i="1" s="1"/>
  <c r="FZ15" i="1" a="1"/>
  <c r="FZ15" i="1" s="1"/>
  <c r="GC15" i="1" a="1"/>
  <c r="GC15" i="1" s="1"/>
  <c r="GO15" i="1" s="1"/>
  <c r="FY15" i="1" a="1"/>
  <c r="FY15" i="1" s="1"/>
  <c r="CE23" i="1" a="1"/>
  <c r="CE23" i="1" s="1"/>
  <c r="CC23" i="1" a="1"/>
  <c r="CC23" i="1" s="1"/>
  <c r="CA23" i="1" a="1"/>
  <c r="CA23" i="1" s="1"/>
  <c r="CO23" i="1" s="1"/>
  <c r="BY23" i="1" a="1"/>
  <c r="BY23" i="1" s="1"/>
  <c r="CD23" i="1" a="1"/>
  <c r="CD23" i="1" s="1"/>
  <c r="CB23" i="1" a="1"/>
  <c r="CB23" i="1" s="1"/>
  <c r="CN23" i="1" s="1"/>
  <c r="BZ23" i="1" a="1"/>
  <c r="BZ23" i="1" s="1"/>
  <c r="BX23" i="1" a="1"/>
  <c r="BX23" i="1" s="1"/>
  <c r="ALG13" i="1" a="1"/>
  <c r="ALG13" i="1" s="1"/>
  <c r="VC13" i="1" a="1"/>
  <c r="VC13" i="1" s="1"/>
  <c r="VS13" i="1" a="1"/>
  <c r="VS13" i="1" s="1"/>
  <c r="AKT13" i="1" a="1"/>
  <c r="AKT13" i="1" s="1"/>
  <c r="ACL13" i="1" a="1"/>
  <c r="ACL13" i="1" s="1"/>
  <c r="ACG13" i="1" a="1"/>
  <c r="ACG13" i="1" s="1"/>
  <c r="ACD13" i="1" a="1"/>
  <c r="ACD13" i="1" s="1"/>
  <c r="ABY13" i="1" a="1"/>
  <c r="ABY13" i="1" s="1"/>
  <c r="ABV13" i="1" a="1"/>
  <c r="ABV13" i="1" s="1"/>
  <c r="ABQ13" i="1" a="1"/>
  <c r="ABQ13" i="1" s="1"/>
  <c r="ABN13" i="1" a="1"/>
  <c r="ABN13" i="1" s="1"/>
  <c r="ABI13" i="1" a="1"/>
  <c r="ABI13" i="1" s="1"/>
  <c r="ABF13" i="1" a="1"/>
  <c r="ABF13" i="1" s="1"/>
  <c r="ABA13" i="1" a="1"/>
  <c r="ABA13" i="1" s="1"/>
  <c r="AAX13" i="1" a="1"/>
  <c r="AAX13" i="1" s="1"/>
  <c r="AAS13" i="1" a="1"/>
  <c r="AAS13" i="1" s="1"/>
  <c r="AAP13" i="1" a="1"/>
  <c r="AAP13" i="1" s="1"/>
  <c r="AAJ13" i="1" a="1"/>
  <c r="AAJ13" i="1" s="1"/>
  <c r="MZ13" i="1" a="1"/>
  <c r="MZ13" i="1" s="1"/>
  <c r="MU13" i="1" a="1"/>
  <c r="MU13" i="1" s="1"/>
  <c r="MR13" i="1" a="1"/>
  <c r="MR13" i="1" s="1"/>
  <c r="MM13" i="1" a="1"/>
  <c r="MM13" i="1" s="1"/>
  <c r="MJ13" i="1" a="1"/>
  <c r="MJ13" i="1" s="1"/>
  <c r="ME13" i="1" a="1"/>
  <c r="ME13" i="1" s="1"/>
  <c r="MB13" i="1" a="1"/>
  <c r="MB13" i="1" s="1"/>
  <c r="LW13" i="1" a="1"/>
  <c r="LW13" i="1" s="1"/>
  <c r="LT13" i="1" a="1"/>
  <c r="LT13" i="1" s="1"/>
  <c r="LO13" i="1" a="1"/>
  <c r="LO13" i="1" s="1"/>
  <c r="LL13" i="1" a="1"/>
  <c r="LL13" i="1" s="1"/>
  <c r="LG13" i="1" a="1"/>
  <c r="LG13" i="1" s="1"/>
  <c r="LC13" i="1" a="1"/>
  <c r="LC13" i="1" s="1"/>
  <c r="KX13" i="1" a="1"/>
  <c r="KX13" i="1" s="1"/>
  <c r="ACI13" i="1" a="1"/>
  <c r="ACI13" i="1" s="1"/>
  <c r="ACF13" i="1" a="1"/>
  <c r="ACF13" i="1" s="1"/>
  <c r="ACA13" i="1" a="1"/>
  <c r="ACA13" i="1" s="1"/>
  <c r="ABX13" i="1" a="1"/>
  <c r="ABX13" i="1" s="1"/>
  <c r="ABS13" i="1" a="1"/>
  <c r="ABS13" i="1" s="1"/>
  <c r="ABP13" i="1" a="1"/>
  <c r="ABP13" i="1" s="1"/>
  <c r="ABK13" i="1" a="1"/>
  <c r="ABK13" i="1" s="1"/>
  <c r="ABH13" i="1" a="1"/>
  <c r="ABH13" i="1" s="1"/>
  <c r="ABC13" i="1" a="1"/>
  <c r="ABC13" i="1" s="1"/>
  <c r="AAZ13" i="1" a="1"/>
  <c r="AAZ13" i="1" s="1"/>
  <c r="AAU13" i="1" a="1"/>
  <c r="AAU13" i="1" s="1"/>
  <c r="AAR13" i="1" a="1"/>
  <c r="AAR13" i="1" s="1"/>
  <c r="AAL13" i="1" a="1"/>
  <c r="AAL13" i="1" s="1"/>
  <c r="AAI13" i="1" a="1"/>
  <c r="AAI13" i="1" s="1"/>
  <c r="NB13" i="1" a="1"/>
  <c r="NB13" i="1" s="1"/>
  <c r="MW13" i="1" a="1"/>
  <c r="MW13" i="1" s="1"/>
  <c r="MT13" i="1" a="1"/>
  <c r="MT13" i="1" s="1"/>
  <c r="MO13" i="1" a="1"/>
  <c r="MO13" i="1" s="1"/>
  <c r="ML13" i="1" a="1"/>
  <c r="ML13" i="1" s="1"/>
  <c r="MG13" i="1" a="1"/>
  <c r="MG13" i="1" s="1"/>
  <c r="MD13" i="1" a="1"/>
  <c r="MD13" i="1" s="1"/>
  <c r="LY13" i="1" a="1"/>
  <c r="LY13" i="1" s="1"/>
  <c r="LV13" i="1" a="1"/>
  <c r="LV13" i="1" s="1"/>
  <c r="LQ13" i="1" a="1"/>
  <c r="LQ13" i="1" s="1"/>
  <c r="LN13" i="1" a="1"/>
  <c r="LN13" i="1" s="1"/>
  <c r="LI13" i="1" a="1"/>
  <c r="LI13" i="1" s="1"/>
  <c r="LF13" i="1" a="1"/>
  <c r="LF13" i="1" s="1"/>
  <c r="KZ13" i="1" a="1"/>
  <c r="KZ13" i="1" s="1"/>
  <c r="ACK13" i="1" a="1"/>
  <c r="ACK13" i="1" s="1"/>
  <c r="ACH13" i="1" a="1"/>
  <c r="ACH13" i="1" s="1"/>
  <c r="ACC13" i="1" a="1"/>
  <c r="ACC13" i="1" s="1"/>
  <c r="ABZ13" i="1" a="1"/>
  <c r="ABZ13" i="1" s="1"/>
  <c r="ABU13" i="1" a="1"/>
  <c r="ABU13" i="1" s="1"/>
  <c r="ABR13" i="1" a="1"/>
  <c r="ABR13" i="1" s="1"/>
  <c r="ABM13" i="1" a="1"/>
  <c r="ABM13" i="1" s="1"/>
  <c r="ABJ13" i="1" a="1"/>
  <c r="ABJ13" i="1" s="1"/>
  <c r="ABE13" i="1" a="1"/>
  <c r="ABE13" i="1" s="1"/>
  <c r="ABB13" i="1" a="1"/>
  <c r="ABB13" i="1" s="1"/>
  <c r="AAW13" i="1" a="1"/>
  <c r="AAW13" i="1" s="1"/>
  <c r="AAT13" i="1" a="1"/>
  <c r="AAT13" i="1" s="1"/>
  <c r="AAN13" i="1" a="1"/>
  <c r="AAN13" i="1" s="1"/>
  <c r="AAK13" i="1" a="1"/>
  <c r="AAK13" i="1" s="1"/>
  <c r="MY13" i="1" a="1"/>
  <c r="MY13" i="1" s="1"/>
  <c r="MV13" i="1" a="1"/>
  <c r="MV13" i="1" s="1"/>
  <c r="MQ13" i="1" a="1"/>
  <c r="MQ13" i="1" s="1"/>
  <c r="MN13" i="1" a="1"/>
  <c r="MN13" i="1" s="1"/>
  <c r="MI13" i="1" a="1"/>
  <c r="MI13" i="1" s="1"/>
  <c r="MF13" i="1" a="1"/>
  <c r="MF13" i="1" s="1"/>
  <c r="MA13" i="1" a="1"/>
  <c r="MA13" i="1" s="1"/>
  <c r="LX13" i="1" a="1"/>
  <c r="LX13" i="1" s="1"/>
  <c r="LS13" i="1" a="1"/>
  <c r="LS13" i="1" s="1"/>
  <c r="LP13" i="1" a="1"/>
  <c r="LP13" i="1" s="1"/>
  <c r="LK13" i="1" a="1"/>
  <c r="LK13" i="1" s="1"/>
  <c r="LH13" i="1" a="1"/>
  <c r="LH13" i="1" s="1"/>
  <c r="LB13" i="1" a="1"/>
  <c r="LB13" i="1" s="1"/>
  <c r="KY13" i="1" a="1"/>
  <c r="KY13" i="1" s="1"/>
  <c r="ACJ13" i="1" a="1"/>
  <c r="ACJ13" i="1" s="1"/>
  <c r="ACE13" i="1" a="1"/>
  <c r="ACE13" i="1" s="1"/>
  <c r="ACB13" i="1" a="1"/>
  <c r="ACB13" i="1" s="1"/>
  <c r="ABW13" i="1" a="1"/>
  <c r="ABW13" i="1" s="1"/>
  <c r="ABT13" i="1" a="1"/>
  <c r="ABT13" i="1" s="1"/>
  <c r="ABO13" i="1" a="1"/>
  <c r="ABO13" i="1" s="1"/>
  <c r="ABL13" i="1" a="1"/>
  <c r="ABL13" i="1" s="1"/>
  <c r="ABG13" i="1" a="1"/>
  <c r="ABG13" i="1" s="1"/>
  <c r="ABD13" i="1" a="1"/>
  <c r="ABD13" i="1" s="1"/>
  <c r="AAY13" i="1" a="1"/>
  <c r="AAY13" i="1" s="1"/>
  <c r="AAV13" i="1" a="1"/>
  <c r="AAV13" i="1" s="1"/>
  <c r="AAQ13" i="1" a="1"/>
  <c r="AAQ13" i="1" s="1"/>
  <c r="AAM13" i="1" a="1"/>
  <c r="AAM13" i="1" s="1"/>
  <c r="AAH13" i="1" a="1"/>
  <c r="AAH13" i="1" s="1"/>
  <c r="NA13" i="1" a="1"/>
  <c r="NA13" i="1" s="1"/>
  <c r="MX13" i="1" a="1"/>
  <c r="MX13" i="1" s="1"/>
  <c r="MS13" i="1" a="1"/>
  <c r="MS13" i="1" s="1"/>
  <c r="MP13" i="1" a="1"/>
  <c r="MP13" i="1" s="1"/>
  <c r="MK13" i="1" a="1"/>
  <c r="MK13" i="1" s="1"/>
  <c r="MH13" i="1" a="1"/>
  <c r="MH13" i="1" s="1"/>
  <c r="MC13" i="1" a="1"/>
  <c r="MC13" i="1" s="1"/>
  <c r="LZ13" i="1" a="1"/>
  <c r="LZ13" i="1" s="1"/>
  <c r="LU13" i="1" a="1"/>
  <c r="LU13" i="1" s="1"/>
  <c r="LR13" i="1" a="1"/>
  <c r="LR13" i="1" s="1"/>
  <c r="LM13" i="1" a="1"/>
  <c r="LM13" i="1" s="1"/>
  <c r="LJ13" i="1" a="1"/>
  <c r="LJ13" i="1" s="1"/>
  <c r="LD13" i="1" a="1"/>
  <c r="LD13" i="1" s="1"/>
  <c r="LA13" i="1" a="1"/>
  <c r="LA13" i="1" s="1"/>
  <c r="VI13" i="1" a="1"/>
  <c r="VI13" i="1" s="1"/>
  <c r="DM18" i="1" a="1"/>
  <c r="DM18" i="1" s="1"/>
  <c r="DK18" i="1" a="1"/>
  <c r="DK18" i="1" s="1"/>
  <c r="DW18" i="1" s="1"/>
  <c r="DI18" i="1" a="1"/>
  <c r="DI18" i="1" s="1"/>
  <c r="DG18" i="1" a="1"/>
  <c r="DG18" i="1" s="1"/>
  <c r="DP18" i="1" s="1"/>
  <c r="DR18" i="1" s="1"/>
  <c r="DS18" i="1" s="1"/>
  <c r="DJ18" i="1" a="1"/>
  <c r="DJ18" i="1" s="1"/>
  <c r="DX18" i="1" s="1"/>
  <c r="DH18" i="1" a="1"/>
  <c r="DH18" i="1" s="1"/>
  <c r="DN18" i="1" a="1"/>
  <c r="DN18" i="1" s="1"/>
  <c r="DL18" i="1" a="1"/>
  <c r="DL18" i="1" s="1"/>
  <c r="GD19" i="1" a="1"/>
  <c r="GD19" i="1" s="1"/>
  <c r="GI19" i="1" s="1"/>
  <c r="GB19" i="1" a="1"/>
  <c r="GB19" i="1" s="1"/>
  <c r="GP19" i="1" s="1"/>
  <c r="FZ19" i="1" a="1"/>
  <c r="FZ19" i="1" s="1"/>
  <c r="GF19" i="1" a="1"/>
  <c r="GF19" i="1" s="1"/>
  <c r="GC19" i="1" a="1"/>
  <c r="GC19" i="1" s="1"/>
  <c r="GO19" i="1" s="1"/>
  <c r="GA19" i="1" a="1"/>
  <c r="GA19" i="1" s="1"/>
  <c r="FY19" i="1" a="1"/>
  <c r="FY19" i="1" s="1"/>
  <c r="EW19" i="1" a="1"/>
  <c r="EW19" i="1" s="1"/>
  <c r="EU19" i="1" a="1"/>
  <c r="EU19" i="1" s="1"/>
  <c r="ES19" i="1" a="1"/>
  <c r="ES19" i="1" s="1"/>
  <c r="FG19" i="1" s="1"/>
  <c r="EQ19" i="1" a="1"/>
  <c r="EQ19" i="1" s="1"/>
  <c r="EV19" i="1" a="1"/>
  <c r="EV19" i="1" s="1"/>
  <c r="ET19" i="1" a="1"/>
  <c r="ET19" i="1" s="1"/>
  <c r="FF19" i="1" s="1"/>
  <c r="ER19" i="1" a="1"/>
  <c r="ER19" i="1" s="1"/>
  <c r="EP19" i="1" a="1"/>
  <c r="EP19" i="1" s="1"/>
  <c r="GC22" i="1" a="1"/>
  <c r="GC22" i="1" s="1"/>
  <c r="GO22" i="1" s="1"/>
  <c r="FY22" i="1" a="1"/>
  <c r="FY22" i="1" s="1"/>
  <c r="GB22" i="1" a="1"/>
  <c r="GB22" i="1" s="1"/>
  <c r="GP22" i="1" s="1"/>
  <c r="GF22" i="1" a="1"/>
  <c r="GF22" i="1" s="1"/>
  <c r="GA22" i="1" a="1"/>
  <c r="GA22" i="1" s="1"/>
  <c r="GD22" i="1" a="1"/>
  <c r="GD22" i="1" s="1"/>
  <c r="FZ22" i="1" a="1"/>
  <c r="FZ22" i="1" s="1"/>
  <c r="FV26" i="1"/>
  <c r="BU26" i="1"/>
  <c r="AKK59" i="1" a="1"/>
  <c r="AKK59" i="1" s="1"/>
  <c r="VT59" i="1" a="1"/>
  <c r="VT59" i="1" s="1"/>
  <c r="AKY59" i="1" a="1"/>
  <c r="AKY59" i="1" s="1"/>
  <c r="RO59" i="1"/>
  <c r="AKW58" i="1" a="1"/>
  <c r="AKW58" i="1" s="1"/>
  <c r="BT58" i="1"/>
  <c r="FU58" i="1"/>
  <c r="BH63" i="1"/>
  <c r="EL63" i="1" a="1"/>
  <c r="EL63" i="1" s="1"/>
  <c r="EG63" i="1" a="1"/>
  <c r="EG63" i="1" s="1"/>
  <c r="EN63" i="1" a="1"/>
  <c r="EN63" i="1" s="1"/>
  <c r="EI63" i="1" a="1"/>
  <c r="EI63" i="1" s="1"/>
  <c r="EF63" i="1" a="1"/>
  <c r="EF63" i="1" s="1"/>
  <c r="EK63" i="1" a="1"/>
  <c r="EK63" i="1" s="1"/>
  <c r="EH63" i="1" a="1"/>
  <c r="EH63" i="1" s="1"/>
  <c r="EM63" i="1" a="1"/>
  <c r="EM63" i="1" s="1"/>
  <c r="EJ63" i="1" a="1"/>
  <c r="EJ63" i="1" s="1"/>
  <c r="AKS60" i="1" a="1"/>
  <c r="AKS60" i="1" s="1"/>
  <c r="ALG61" i="1" a="1"/>
  <c r="ALG61" i="1" s="1"/>
  <c r="SK62" i="1"/>
  <c r="YQ62" i="1"/>
  <c r="XZ62" i="1"/>
  <c r="SJ62" i="1"/>
  <c r="SI62" i="1"/>
  <c r="YO62" i="1" s="1" a="1"/>
  <c r="YO62" i="1" s="1"/>
  <c r="YP62" i="1" s="1"/>
  <c r="SM62" i="1"/>
  <c r="SL62" i="1"/>
  <c r="AKN60" i="1" a="1"/>
  <c r="AKN60" i="1" s="1"/>
  <c r="VH61" i="1" a="1"/>
  <c r="VH61" i="1" s="1"/>
  <c r="KQ63" i="1"/>
  <c r="AGJ72" i="1"/>
  <c r="AAC72" i="1"/>
  <c r="AFS72" i="1"/>
  <c r="AAF72" i="1"/>
  <c r="AAB72" i="1"/>
  <c r="AGH72" i="1" s="1" a="1"/>
  <c r="AGH72" i="1" s="1"/>
  <c r="AGI72" i="1" s="1"/>
  <c r="AAE72" i="1"/>
  <c r="AAD72" i="1"/>
  <c r="FS73" i="1"/>
  <c r="BR73" i="1"/>
  <c r="DD72" i="1" a="1"/>
  <c r="DD72" i="1" s="1"/>
  <c r="DB72" i="1" a="1"/>
  <c r="DB72" i="1" s="1"/>
  <c r="CZ72" i="1" a="1"/>
  <c r="CZ72" i="1" s="1"/>
  <c r="CX72" i="1" a="1"/>
  <c r="CX72" i="1" s="1"/>
  <c r="DE72" i="1" a="1"/>
  <c r="DE72" i="1" s="1"/>
  <c r="DC72" i="1" a="1"/>
  <c r="DC72" i="1" s="1"/>
  <c r="DA72" i="1" a="1"/>
  <c r="DA72" i="1" s="1"/>
  <c r="CY72" i="1" a="1"/>
  <c r="CY72" i="1" s="1"/>
  <c r="CW72" i="1" a="1"/>
  <c r="CW72" i="1" s="1"/>
  <c r="BF72" i="1"/>
  <c r="BD72" i="1"/>
  <c r="DI75" i="1" a="1"/>
  <c r="DI75" i="1" s="1"/>
  <c r="DH75" i="1" a="1"/>
  <c r="DH75" i="1" s="1"/>
  <c r="DG75" i="1" a="1"/>
  <c r="DG75" i="1" s="1"/>
  <c r="DN75" i="1" a="1"/>
  <c r="DN75" i="1" s="1"/>
  <c r="DM75" i="1" a="1"/>
  <c r="DM75" i="1" s="1"/>
  <c r="DL75" i="1" a="1"/>
  <c r="DL75" i="1" s="1"/>
  <c r="DK75" i="1" a="1"/>
  <c r="DK75" i="1" s="1"/>
  <c r="DW75" i="1" s="1"/>
  <c r="DJ75" i="1" a="1"/>
  <c r="DJ75" i="1" s="1"/>
  <c r="DX75" i="1" s="1"/>
  <c r="HT75" i="1"/>
  <c r="HU75" i="1" s="1"/>
  <c r="BU76" i="1"/>
  <c r="FV76" i="1"/>
  <c r="FT78" i="1"/>
  <c r="BS78" i="1"/>
  <c r="AGY77" i="1"/>
  <c r="AGV77" i="1"/>
  <c r="ACL78" i="1" a="1"/>
  <c r="ACL78" i="1" s="1"/>
  <c r="ACJ78" i="1" a="1"/>
  <c r="ACJ78" i="1" s="1"/>
  <c r="ACH78" i="1" a="1"/>
  <c r="ACH78" i="1" s="1"/>
  <c r="ACF78" i="1" a="1"/>
  <c r="ACF78" i="1" s="1"/>
  <c r="ACD78" i="1" a="1"/>
  <c r="ACD78" i="1" s="1"/>
  <c r="ACB78" i="1" a="1"/>
  <c r="ACB78" i="1" s="1"/>
  <c r="ABZ78" i="1" a="1"/>
  <c r="ABZ78" i="1" s="1"/>
  <c r="ABX78" i="1" a="1"/>
  <c r="ABX78" i="1" s="1"/>
  <c r="ABV78" i="1" a="1"/>
  <c r="ABV78" i="1" s="1"/>
  <c r="ABT78" i="1" a="1"/>
  <c r="ABT78" i="1" s="1"/>
  <c r="ABR78" i="1" a="1"/>
  <c r="ABR78" i="1" s="1"/>
  <c r="ABP78" i="1" a="1"/>
  <c r="ABP78" i="1" s="1"/>
  <c r="ABN78" i="1" a="1"/>
  <c r="ABN78" i="1" s="1"/>
  <c r="ABL78" i="1" a="1"/>
  <c r="ABL78" i="1" s="1"/>
  <c r="ABJ78" i="1" a="1"/>
  <c r="ABJ78" i="1" s="1"/>
  <c r="ABH78" i="1" a="1"/>
  <c r="ABH78" i="1" s="1"/>
  <c r="ABF78" i="1" a="1"/>
  <c r="ABF78" i="1" s="1"/>
  <c r="ACK78" i="1" a="1"/>
  <c r="ACK78" i="1" s="1"/>
  <c r="ACI78" i="1" a="1"/>
  <c r="ACI78" i="1" s="1"/>
  <c r="ACG78" i="1" a="1"/>
  <c r="ACG78" i="1" s="1"/>
  <c r="ACC78" i="1" a="1"/>
  <c r="ACC78" i="1" s="1"/>
  <c r="ABY78" i="1" a="1"/>
  <c r="ABY78" i="1" s="1"/>
  <c r="ABU78" i="1" a="1"/>
  <c r="ABU78" i="1" s="1"/>
  <c r="ABQ78" i="1" a="1"/>
  <c r="ABQ78" i="1" s="1"/>
  <c r="ABM78" i="1" a="1"/>
  <c r="ABM78" i="1" s="1"/>
  <c r="ABI78" i="1" a="1"/>
  <c r="ABI78" i="1" s="1"/>
  <c r="ABE78" i="1" a="1"/>
  <c r="ABE78" i="1" s="1"/>
  <c r="ABB78" i="1" a="1"/>
  <c r="ABB78" i="1" s="1"/>
  <c r="AAW78" i="1" a="1"/>
  <c r="AAW78" i="1" s="1"/>
  <c r="AAT78" i="1" a="1"/>
  <c r="AAT78" i="1" s="1"/>
  <c r="MY78" i="1" a="1"/>
  <c r="MY78" i="1" s="1"/>
  <c r="MV78" i="1" a="1"/>
  <c r="MV78" i="1" s="1"/>
  <c r="MQ78" i="1" a="1"/>
  <c r="MQ78" i="1" s="1"/>
  <c r="MN78" i="1" a="1"/>
  <c r="MN78" i="1" s="1"/>
  <c r="MI78" i="1" a="1"/>
  <c r="MI78" i="1" s="1"/>
  <c r="MF78" i="1" a="1"/>
  <c r="MF78" i="1" s="1"/>
  <c r="MA78" i="1" a="1"/>
  <c r="MA78" i="1" s="1"/>
  <c r="LX78" i="1" a="1"/>
  <c r="LX78" i="1" s="1"/>
  <c r="LS78" i="1" a="1"/>
  <c r="LS78" i="1" s="1"/>
  <c r="LP78" i="1" a="1"/>
  <c r="LP78" i="1" s="1"/>
  <c r="LK78" i="1" a="1"/>
  <c r="LK78" i="1" s="1"/>
  <c r="LH78" i="1" a="1"/>
  <c r="LH78" i="1" s="1"/>
  <c r="ABD78" i="1" a="1"/>
  <c r="ABD78" i="1" s="1"/>
  <c r="AAY78" i="1" a="1"/>
  <c r="AAY78" i="1" s="1"/>
  <c r="AAV78" i="1" a="1"/>
  <c r="AAV78" i="1" s="1"/>
  <c r="AAQ78" i="1" a="1"/>
  <c r="AAQ78" i="1" s="1"/>
  <c r="NA78" i="1" a="1"/>
  <c r="NA78" i="1" s="1"/>
  <c r="MX78" i="1" a="1"/>
  <c r="MX78" i="1" s="1"/>
  <c r="MS78" i="1" a="1"/>
  <c r="MS78" i="1" s="1"/>
  <c r="MP78" i="1" a="1"/>
  <c r="MP78" i="1" s="1"/>
  <c r="MK78" i="1" a="1"/>
  <c r="MK78" i="1" s="1"/>
  <c r="MH78" i="1" a="1"/>
  <c r="MH78" i="1" s="1"/>
  <c r="MC78" i="1" a="1"/>
  <c r="MC78" i="1" s="1"/>
  <c r="LZ78" i="1" a="1"/>
  <c r="LZ78" i="1" s="1"/>
  <c r="LU78" i="1" a="1"/>
  <c r="LU78" i="1" s="1"/>
  <c r="LR78" i="1" a="1"/>
  <c r="LR78" i="1" s="1"/>
  <c r="LM78" i="1" a="1"/>
  <c r="LM78" i="1" s="1"/>
  <c r="LJ78" i="1" a="1"/>
  <c r="LJ78" i="1" s="1"/>
  <c r="ACE78" i="1" a="1"/>
  <c r="ACE78" i="1" s="1"/>
  <c r="ACA78" i="1" a="1"/>
  <c r="ACA78" i="1" s="1"/>
  <c r="ABW78" i="1" a="1"/>
  <c r="ABW78" i="1" s="1"/>
  <c r="ABS78" i="1" a="1"/>
  <c r="ABS78" i="1" s="1"/>
  <c r="ABO78" i="1" a="1"/>
  <c r="ABO78" i="1" s="1"/>
  <c r="ABK78" i="1" a="1"/>
  <c r="ABK78" i="1" s="1"/>
  <c r="ABG78" i="1" a="1"/>
  <c r="ABG78" i="1" s="1"/>
  <c r="ABA78" i="1" a="1"/>
  <c r="ABA78" i="1" s="1"/>
  <c r="AAX78" i="1" a="1"/>
  <c r="AAX78" i="1" s="1"/>
  <c r="AAS78" i="1" a="1"/>
  <c r="AAS78" i="1" s="1"/>
  <c r="AAP78" i="1" a="1"/>
  <c r="AAP78" i="1" s="1"/>
  <c r="MZ78" i="1" a="1"/>
  <c r="MZ78" i="1" s="1"/>
  <c r="MU78" i="1" a="1"/>
  <c r="MU78" i="1" s="1"/>
  <c r="MR78" i="1" a="1"/>
  <c r="MR78" i="1" s="1"/>
  <c r="MM78" i="1" a="1"/>
  <c r="MM78" i="1" s="1"/>
  <c r="MJ78" i="1" a="1"/>
  <c r="MJ78" i="1" s="1"/>
  <c r="ME78" i="1" a="1"/>
  <c r="ME78" i="1" s="1"/>
  <c r="MB78" i="1" a="1"/>
  <c r="MB78" i="1" s="1"/>
  <c r="LW78" i="1" a="1"/>
  <c r="LW78" i="1" s="1"/>
  <c r="LT78" i="1" a="1"/>
  <c r="LT78" i="1" s="1"/>
  <c r="LO78" i="1" a="1"/>
  <c r="LO78" i="1" s="1"/>
  <c r="LL78" i="1" a="1"/>
  <c r="LL78" i="1" s="1"/>
  <c r="LG78" i="1" a="1"/>
  <c r="LG78" i="1" s="1"/>
  <c r="AAZ78" i="1" a="1"/>
  <c r="AAZ78" i="1" s="1"/>
  <c r="NB78" i="1" a="1"/>
  <c r="NB78" i="1" s="1"/>
  <c r="MG78" i="1" a="1"/>
  <c r="MG78" i="1" s="1"/>
  <c r="LV78" i="1" a="1"/>
  <c r="LV78" i="1" s="1"/>
  <c r="MO78" i="1" a="1"/>
  <c r="MO78" i="1" s="1"/>
  <c r="MD78" i="1" a="1"/>
  <c r="MD78" i="1" s="1"/>
  <c r="LI78" i="1" a="1"/>
  <c r="LI78" i="1" s="1"/>
  <c r="AAU78" i="1" a="1"/>
  <c r="AAU78" i="1" s="1"/>
  <c r="MW78" i="1" a="1"/>
  <c r="MW78" i="1" s="1"/>
  <c r="ML78" i="1" a="1"/>
  <c r="ML78" i="1" s="1"/>
  <c r="LQ78" i="1" a="1"/>
  <c r="LQ78" i="1" s="1"/>
  <c r="LF78" i="1" a="1"/>
  <c r="LF78" i="1" s="1"/>
  <c r="LN78" i="1" a="1"/>
  <c r="LN78" i="1" s="1"/>
  <c r="ABC78" i="1" a="1"/>
  <c r="ABC78" i="1" s="1"/>
  <c r="MT78" i="1" a="1"/>
  <c r="MT78" i="1" s="1"/>
  <c r="AAR78" i="1" a="1"/>
  <c r="AAR78" i="1" s="1"/>
  <c r="LY78" i="1" a="1"/>
  <c r="LY78" i="1" s="1"/>
  <c r="LD78" i="1" a="1"/>
  <c r="LD78" i="1" s="1"/>
  <c r="AAI78" i="1" a="1"/>
  <c r="AAI78" i="1" s="1"/>
  <c r="AAN78" i="1" a="1"/>
  <c r="AAN78" i="1" s="1"/>
  <c r="LB78" i="1" a="1"/>
  <c r="LB78" i="1" s="1"/>
  <c r="AAH78" i="1" a="1"/>
  <c r="AAH78" i="1" s="1"/>
  <c r="LA78" i="1" a="1"/>
  <c r="LA78" i="1" s="1"/>
  <c r="LC78" i="1" a="1"/>
  <c r="LC78" i="1" s="1"/>
  <c r="AAL78" i="1" a="1"/>
  <c r="AAL78" i="1" s="1"/>
  <c r="KZ78" i="1" a="1"/>
  <c r="KZ78" i="1" s="1"/>
  <c r="AAM78" i="1" a="1"/>
  <c r="AAM78" i="1" s="1"/>
  <c r="AAJ78" i="1" a="1"/>
  <c r="AAJ78" i="1" s="1"/>
  <c r="AAK78" i="1" a="1"/>
  <c r="AAK78" i="1" s="1"/>
  <c r="KY78" i="1" a="1"/>
  <c r="KY78" i="1" s="1"/>
  <c r="KX78" i="1" a="1"/>
  <c r="KX78" i="1" s="1"/>
  <c r="AHE77" i="1"/>
  <c r="CA72" i="1" a="1"/>
  <c r="CA72" i="1" s="1"/>
  <c r="CO72" i="1" s="1"/>
  <c r="BY72" i="1" a="1"/>
  <c r="BY72" i="1" s="1"/>
  <c r="CE72" i="1" a="1"/>
  <c r="CE72" i="1" s="1"/>
  <c r="CC72" i="1" a="1"/>
  <c r="CC72" i="1" s="1"/>
  <c r="CH72" i="1" s="1"/>
  <c r="BX72" i="1" a="1"/>
  <c r="BX72" i="1" s="1"/>
  <c r="BZ72" i="1" a="1"/>
  <c r="BZ72" i="1" s="1"/>
  <c r="CB72" i="1" a="1"/>
  <c r="CB72" i="1" s="1"/>
  <c r="CN72" i="1" s="1"/>
  <c r="CD72" i="1" a="1"/>
  <c r="CD72" i="1" s="1"/>
  <c r="DL58" i="1" a="1"/>
  <c r="DL58" i="1" s="1"/>
  <c r="DG58" i="1" a="1"/>
  <c r="DG58" i="1" s="1"/>
  <c r="DP58" i="1" s="1"/>
  <c r="DR58" i="1" s="1"/>
  <c r="DS58" i="1" s="1"/>
  <c r="DK58" i="1" a="1"/>
  <c r="DK58" i="1" s="1"/>
  <c r="DW58" i="1" s="1"/>
  <c r="DI58" i="1" a="1"/>
  <c r="DI58" i="1" s="1"/>
  <c r="DJ58" i="1" a="1"/>
  <c r="DJ58" i="1" s="1"/>
  <c r="DX58" i="1" s="1"/>
  <c r="DN58" i="1" a="1"/>
  <c r="DN58" i="1" s="1"/>
  <c r="DM58" i="1" a="1"/>
  <c r="DM58" i="1" s="1"/>
  <c r="DH58" i="1" a="1"/>
  <c r="DH58" i="1" s="1"/>
  <c r="HX16" i="1"/>
  <c r="HY16" i="1" s="1"/>
  <c r="RL58" i="1"/>
  <c r="DK12" i="1" a="1"/>
  <c r="DK12" i="1" s="1"/>
  <c r="DW12" i="1" s="1"/>
  <c r="DH12" i="1" a="1"/>
  <c r="DH12" i="1" s="1"/>
  <c r="DM12" i="1" a="1"/>
  <c r="DM12" i="1" s="1"/>
  <c r="DJ12" i="1" a="1"/>
  <c r="DJ12" i="1" s="1"/>
  <c r="DX12" i="1" s="1"/>
  <c r="DL12" i="1" a="1"/>
  <c r="DL12" i="1" s="1"/>
  <c r="DQ12" i="1" s="1"/>
  <c r="DG12" i="1" a="1"/>
  <c r="DG12" i="1" s="1"/>
  <c r="DI12" i="1" a="1"/>
  <c r="DI12" i="1" s="1"/>
  <c r="DN12" i="1" a="1"/>
  <c r="DN12" i="1" s="1"/>
  <c r="CH10" i="1"/>
  <c r="EV23" i="1" a="1"/>
  <c r="EV23" i="1" s="1"/>
  <c r="ET23" i="1" a="1"/>
  <c r="ET23" i="1" s="1"/>
  <c r="FF23" i="1" s="1"/>
  <c r="ER23" i="1" a="1"/>
  <c r="ER23" i="1" s="1"/>
  <c r="EP23" i="1" a="1"/>
  <c r="EP23" i="1" s="1"/>
  <c r="EW23" i="1" a="1"/>
  <c r="EW23" i="1" s="1"/>
  <c r="EU23" i="1" a="1"/>
  <c r="EU23" i="1" s="1"/>
  <c r="ES23" i="1" a="1"/>
  <c r="ES23" i="1" s="1"/>
  <c r="FG23" i="1" s="1"/>
  <c r="EQ23" i="1" a="1"/>
  <c r="EQ23" i="1" s="1"/>
  <c r="CH23" i="1"/>
  <c r="CH16" i="1"/>
  <c r="VF18" i="1" a="1"/>
  <c r="VF18" i="1" s="1"/>
  <c r="VN18" i="1" a="1"/>
  <c r="VN18" i="1" s="1"/>
  <c r="VV18" i="1" a="1"/>
  <c r="VV18" i="1" s="1"/>
  <c r="AKP18" i="1" a="1"/>
  <c r="AKP18" i="1" s="1"/>
  <c r="AKX18" i="1" a="1"/>
  <c r="AKX18" i="1" s="1"/>
  <c r="ALF18" i="1" a="1"/>
  <c r="ALF18" i="1" s="1"/>
  <c r="RO18" i="1"/>
  <c r="VA18" i="1" a="1"/>
  <c r="VA18" i="1" s="1"/>
  <c r="VI18" i="1" a="1"/>
  <c r="VI18" i="1" s="1"/>
  <c r="VQ18" i="1" a="1"/>
  <c r="VQ18" i="1" s="1"/>
  <c r="AKQ18" i="1" a="1"/>
  <c r="AKQ18" i="1" s="1"/>
  <c r="AKY18" i="1" a="1"/>
  <c r="AKY18" i="1" s="1"/>
  <c r="ALG18" i="1" a="1"/>
  <c r="ALG18" i="1" s="1"/>
  <c r="CE21" i="1" a="1"/>
  <c r="CE21" i="1" s="1"/>
  <c r="CC21" i="1" a="1"/>
  <c r="CC21" i="1" s="1"/>
  <c r="CH21" i="1" s="1"/>
  <c r="CA21" i="1" a="1"/>
  <c r="CA21" i="1" s="1"/>
  <c r="BY21" i="1" a="1"/>
  <c r="BY21" i="1" s="1"/>
  <c r="CD21" i="1" a="1"/>
  <c r="CD21" i="1" s="1"/>
  <c r="CB21" i="1" a="1"/>
  <c r="CB21" i="1" s="1"/>
  <c r="CN21" i="1" s="1"/>
  <c r="BZ21" i="1" a="1"/>
  <c r="BZ21" i="1" s="1"/>
  <c r="BX21" i="1" a="1"/>
  <c r="BX21" i="1" s="1"/>
  <c r="EW21" i="1" a="1"/>
  <c r="EW21" i="1" s="1"/>
  <c r="ES21" i="1" a="1"/>
  <c r="ES21" i="1" s="1"/>
  <c r="FG21" i="1" s="1"/>
  <c r="EV21" i="1" a="1"/>
  <c r="EV21" i="1" s="1"/>
  <c r="ER21" i="1" a="1"/>
  <c r="ER21" i="1" s="1"/>
  <c r="EU21" i="1" a="1"/>
  <c r="EU21" i="1" s="1"/>
  <c r="EZ21" i="1" s="1"/>
  <c r="EQ21" i="1" a="1"/>
  <c r="EQ21" i="1" s="1"/>
  <c r="ET21" i="1" a="1"/>
  <c r="ET21" i="1" s="1"/>
  <c r="FF21" i="1" s="1"/>
  <c r="EP21" i="1" a="1"/>
  <c r="EP21" i="1" s="1"/>
  <c r="DL22" i="1" a="1"/>
  <c r="DL22" i="1" s="1"/>
  <c r="DQ22" i="1" s="1"/>
  <c r="DH22" i="1" a="1"/>
  <c r="DH22" i="1" s="1"/>
  <c r="DK22" i="1" a="1"/>
  <c r="DK22" i="1" s="1"/>
  <c r="DW22" i="1" s="1"/>
  <c r="DG22" i="1" a="1"/>
  <c r="DG22" i="1" s="1"/>
  <c r="DN22" i="1" a="1"/>
  <c r="DN22" i="1" s="1"/>
  <c r="DJ22" i="1" a="1"/>
  <c r="DJ22" i="1" s="1"/>
  <c r="DX22" i="1" s="1"/>
  <c r="DM22" i="1" a="1"/>
  <c r="DM22" i="1" s="1"/>
  <c r="DI22" i="1" a="1"/>
  <c r="DI22" i="1" s="1"/>
  <c r="EY22" i="1"/>
  <c r="EV22" i="1" a="1"/>
  <c r="EV22" i="1" s="1"/>
  <c r="ER22" i="1" a="1"/>
  <c r="ER22" i="1" s="1"/>
  <c r="EU22" i="1" a="1"/>
  <c r="EU22" i="1" s="1"/>
  <c r="EZ22" i="1" s="1"/>
  <c r="EQ22" i="1" a="1"/>
  <c r="EQ22" i="1" s="1"/>
  <c r="ET22" i="1" a="1"/>
  <c r="ET22" i="1" s="1"/>
  <c r="FF22" i="1" s="1"/>
  <c r="EP22" i="1" a="1"/>
  <c r="EP22" i="1" s="1"/>
  <c r="EW22" i="1" a="1"/>
  <c r="EW22" i="1" s="1"/>
  <c r="ES22" i="1" a="1"/>
  <c r="ES22" i="1" s="1"/>
  <c r="FG22" i="1" s="1"/>
  <c r="FQ55" i="1"/>
  <c r="BP55" i="1"/>
  <c r="ET56" i="1" a="1"/>
  <c r="ET56" i="1" s="1"/>
  <c r="FF56" i="1" s="1"/>
  <c r="EP56" i="1" a="1"/>
  <c r="EP56" i="1" s="1"/>
  <c r="EV56" i="1" a="1"/>
  <c r="EV56" i="1" s="1"/>
  <c r="EQ56" i="1" a="1"/>
  <c r="EQ56" i="1" s="1"/>
  <c r="EW56" i="1" a="1"/>
  <c r="EW56" i="1" s="1"/>
  <c r="ES56" i="1" a="1"/>
  <c r="ES56" i="1" s="1"/>
  <c r="FG56" i="1" s="1"/>
  <c r="ER56" i="1" a="1"/>
  <c r="ER56" i="1" s="1"/>
  <c r="EU56" i="1" a="1"/>
  <c r="EU56" i="1" s="1"/>
  <c r="FQ57" i="1"/>
  <c r="BP57" i="1"/>
  <c r="FS58" i="1"/>
  <c r="BR58" i="1"/>
  <c r="RX57" i="1"/>
  <c r="FP60" i="1"/>
  <c r="BO60" i="1"/>
  <c r="BT63" i="1"/>
  <c r="FU63" i="1"/>
  <c r="SH60" i="1"/>
  <c r="CE61" i="1" a="1"/>
  <c r="CE61" i="1" s="1"/>
  <c r="BY61" i="1" a="1"/>
  <c r="BY61" i="1" s="1"/>
  <c r="CC61" i="1" a="1"/>
  <c r="CC61" i="1" s="1"/>
  <c r="BZ61" i="1" a="1"/>
  <c r="BZ61" i="1" s="1"/>
  <c r="BX61" i="1" a="1"/>
  <c r="BX61" i="1" s="1"/>
  <c r="CD61" i="1" a="1"/>
  <c r="CD61" i="1" s="1"/>
  <c r="CB61" i="1" a="1"/>
  <c r="CB61" i="1" s="1"/>
  <c r="CN61" i="1" s="1"/>
  <c r="CA61" i="1" a="1"/>
  <c r="CA61" i="1" s="1"/>
  <c r="CO61" i="1" s="1"/>
  <c r="BZ62" i="1" a="1"/>
  <c r="BZ62" i="1" s="1"/>
  <c r="BX62" i="1" a="1"/>
  <c r="BX62" i="1" s="1"/>
  <c r="CD62" i="1" a="1"/>
  <c r="CD62" i="1" s="1"/>
  <c r="CB62" i="1" a="1"/>
  <c r="CB62" i="1" s="1"/>
  <c r="CN62" i="1" s="1"/>
  <c r="CC62" i="1" a="1"/>
  <c r="CC62" i="1" s="1"/>
  <c r="CH62" i="1" s="1"/>
  <c r="CE62" i="1" a="1"/>
  <c r="CE62" i="1" s="1"/>
  <c r="BY62" i="1" a="1"/>
  <c r="BY62" i="1" s="1"/>
  <c r="CA62" i="1" a="1"/>
  <c r="CA62" i="1" s="1"/>
  <c r="CO62" i="1" s="1"/>
  <c r="FO71" i="1"/>
  <c r="BN71" i="1"/>
  <c r="AKB75" i="1" a="1"/>
  <c r="AKB75" i="1" s="1"/>
  <c r="AJZ75" i="1" a="1"/>
  <c r="AJZ75" i="1" s="1"/>
  <c r="AJX75" i="1" a="1"/>
  <c r="AJX75" i="1" s="1"/>
  <c r="AJV75" i="1" a="1"/>
  <c r="AJV75" i="1" s="1"/>
  <c r="AJT75" i="1" a="1"/>
  <c r="AJT75" i="1" s="1"/>
  <c r="AJR75" i="1" a="1"/>
  <c r="AJR75" i="1" s="1"/>
  <c r="AJP75" i="1" a="1"/>
  <c r="AJP75" i="1" s="1"/>
  <c r="AJN75" i="1" a="1"/>
  <c r="AJN75" i="1" s="1"/>
  <c r="AJL75" i="1" a="1"/>
  <c r="AJL75" i="1" s="1"/>
  <c r="AJJ75" i="1" a="1"/>
  <c r="AJJ75" i="1" s="1"/>
  <c r="AJH75" i="1" a="1"/>
  <c r="AJH75" i="1" s="1"/>
  <c r="AJF75" i="1" a="1"/>
  <c r="AJF75" i="1" s="1"/>
  <c r="AJD75" i="1" a="1"/>
  <c r="AJD75" i="1" s="1"/>
  <c r="AJB75" i="1" a="1"/>
  <c r="AJB75" i="1" s="1"/>
  <c r="AIZ75" i="1" a="1"/>
  <c r="AIZ75" i="1" s="1"/>
  <c r="AIX75" i="1" a="1"/>
  <c r="AIX75" i="1" s="1"/>
  <c r="AIV75" i="1" a="1"/>
  <c r="AIV75" i="1" s="1"/>
  <c r="AIT75" i="1" a="1"/>
  <c r="AIT75" i="1" s="1"/>
  <c r="AIR75" i="1" a="1"/>
  <c r="AIR75" i="1" s="1"/>
  <c r="AIP75" i="1" a="1"/>
  <c r="AIP75" i="1" s="1"/>
  <c r="AIN75" i="1" a="1"/>
  <c r="AIN75" i="1" s="1"/>
  <c r="AIL75" i="1" a="1"/>
  <c r="AIL75" i="1" s="1"/>
  <c r="AIJ75" i="1" a="1"/>
  <c r="AIJ75" i="1" s="1"/>
  <c r="AIH75" i="1" a="1"/>
  <c r="AIH75" i="1" s="1"/>
  <c r="AKA75" i="1" a="1"/>
  <c r="AKA75" i="1" s="1"/>
  <c r="AJW75" i="1" a="1"/>
  <c r="AJW75" i="1" s="1"/>
  <c r="AJQ75" i="1" a="1"/>
  <c r="AJQ75" i="1" s="1"/>
  <c r="AJI75" i="1" a="1"/>
  <c r="AJI75" i="1" s="1"/>
  <c r="AJA75" i="1" a="1"/>
  <c r="AJA75" i="1" s="1"/>
  <c r="AIS75" i="1" a="1"/>
  <c r="AIS75" i="1" s="1"/>
  <c r="AIK75" i="1" a="1"/>
  <c r="AIK75" i="1" s="1"/>
  <c r="UR75" i="1" a="1"/>
  <c r="UR75" i="1" s="1"/>
  <c r="UP75" i="1" a="1"/>
  <c r="UP75" i="1" s="1"/>
  <c r="UN75" i="1" a="1"/>
  <c r="UN75" i="1" s="1"/>
  <c r="UL75" i="1" a="1"/>
  <c r="UL75" i="1" s="1"/>
  <c r="UJ75" i="1" a="1"/>
  <c r="UJ75" i="1" s="1"/>
  <c r="UH75" i="1" a="1"/>
  <c r="UH75" i="1" s="1"/>
  <c r="UF75" i="1" a="1"/>
  <c r="UF75" i="1" s="1"/>
  <c r="UD75" i="1" a="1"/>
  <c r="UD75" i="1" s="1"/>
  <c r="UB75" i="1" a="1"/>
  <c r="UB75" i="1" s="1"/>
  <c r="TZ75" i="1" a="1"/>
  <c r="TZ75" i="1" s="1"/>
  <c r="TX75" i="1" a="1"/>
  <c r="TX75" i="1" s="1"/>
  <c r="TV75" i="1" a="1"/>
  <c r="TV75" i="1" s="1"/>
  <c r="TT75" i="1" a="1"/>
  <c r="TT75" i="1" s="1"/>
  <c r="TR75" i="1" a="1"/>
  <c r="TR75" i="1" s="1"/>
  <c r="TP75" i="1" a="1"/>
  <c r="TP75" i="1" s="1"/>
  <c r="TN75" i="1" a="1"/>
  <c r="TN75" i="1" s="1"/>
  <c r="TL75" i="1" a="1"/>
  <c r="TL75" i="1" s="1"/>
  <c r="TJ75" i="1" a="1"/>
  <c r="TJ75" i="1" s="1"/>
  <c r="TH75" i="1" a="1"/>
  <c r="TH75" i="1" s="1"/>
  <c r="TF75" i="1" a="1"/>
  <c r="TF75" i="1" s="1"/>
  <c r="TD75" i="1" a="1"/>
  <c r="TD75" i="1" s="1"/>
  <c r="TB75" i="1" a="1"/>
  <c r="TB75" i="1" s="1"/>
  <c r="SZ75" i="1" a="1"/>
  <c r="SZ75" i="1" s="1"/>
  <c r="SX75" i="1" a="1"/>
  <c r="SX75" i="1" s="1"/>
  <c r="AJS75" i="1" a="1"/>
  <c r="AJS75" i="1" s="1"/>
  <c r="AJK75" i="1" a="1"/>
  <c r="AJK75" i="1" s="1"/>
  <c r="AJC75" i="1" a="1"/>
  <c r="AJC75" i="1" s="1"/>
  <c r="AIU75" i="1" a="1"/>
  <c r="AIU75" i="1" s="1"/>
  <c r="AIM75" i="1" a="1"/>
  <c r="AIM75" i="1" s="1"/>
  <c r="AJO75" i="1" a="1"/>
  <c r="AJO75" i="1" s="1"/>
  <c r="AJG75" i="1" a="1"/>
  <c r="AJG75" i="1" s="1"/>
  <c r="AIY75" i="1" a="1"/>
  <c r="AIY75" i="1" s="1"/>
  <c r="AIQ75" i="1" a="1"/>
  <c r="AIQ75" i="1" s="1"/>
  <c r="AII75" i="1" a="1"/>
  <c r="AII75" i="1" s="1"/>
  <c r="AIW75" i="1" a="1"/>
  <c r="AIW75" i="1" s="1"/>
  <c r="US75" i="1" a="1"/>
  <c r="US75" i="1" s="1"/>
  <c r="UK75" i="1" a="1"/>
  <c r="UK75" i="1" s="1"/>
  <c r="UC75" i="1" a="1"/>
  <c r="UC75" i="1" s="1"/>
  <c r="TU75" i="1" a="1"/>
  <c r="TU75" i="1" s="1"/>
  <c r="TM75" i="1" a="1"/>
  <c r="TM75" i="1" s="1"/>
  <c r="TE75" i="1" a="1"/>
  <c r="TE75" i="1" s="1"/>
  <c r="SW75" i="1" a="1"/>
  <c r="SW75" i="1" s="1"/>
  <c r="AKC75" i="1" a="1"/>
  <c r="AKC75" i="1" s="1"/>
  <c r="AJE75" i="1" a="1"/>
  <c r="AJE75" i="1" s="1"/>
  <c r="UQ75" i="1" a="1"/>
  <c r="UQ75" i="1" s="1"/>
  <c r="UI75" i="1" a="1"/>
  <c r="UI75" i="1" s="1"/>
  <c r="UA75" i="1" a="1"/>
  <c r="UA75" i="1" s="1"/>
  <c r="TS75" i="1" a="1"/>
  <c r="TS75" i="1" s="1"/>
  <c r="TK75" i="1" a="1"/>
  <c r="TK75" i="1" s="1"/>
  <c r="TC75" i="1" a="1"/>
  <c r="TC75" i="1" s="1"/>
  <c r="AJY75" i="1" a="1"/>
  <c r="AJY75" i="1" s="1"/>
  <c r="AJM75" i="1" a="1"/>
  <c r="AJM75" i="1" s="1"/>
  <c r="AIG75" i="1" a="1"/>
  <c r="AIG75" i="1" s="1"/>
  <c r="UO75" i="1" a="1"/>
  <c r="UO75" i="1" s="1"/>
  <c r="UG75" i="1" a="1"/>
  <c r="UG75" i="1" s="1"/>
  <c r="TY75" i="1" a="1"/>
  <c r="TY75" i="1" s="1"/>
  <c r="TQ75" i="1" a="1"/>
  <c r="TQ75" i="1" s="1"/>
  <c r="TI75" i="1" a="1"/>
  <c r="TI75" i="1" s="1"/>
  <c r="TA75" i="1" a="1"/>
  <c r="TA75" i="1" s="1"/>
  <c r="AJU75" i="1" a="1"/>
  <c r="AJU75" i="1" s="1"/>
  <c r="TW75" i="1" a="1"/>
  <c r="TW75" i="1" s="1"/>
  <c r="TO75" i="1" a="1"/>
  <c r="TO75" i="1" s="1"/>
  <c r="UM75" i="1" a="1"/>
  <c r="UM75" i="1" s="1"/>
  <c r="TG75" i="1" a="1"/>
  <c r="TG75" i="1" s="1"/>
  <c r="AIO75" i="1" a="1"/>
  <c r="AIO75" i="1" s="1"/>
  <c r="UE75" i="1" a="1"/>
  <c r="UE75" i="1" s="1"/>
  <c r="SY75" i="1" a="1"/>
  <c r="SY75" i="1" s="1"/>
  <c r="VU75" i="1" a="1"/>
  <c r="VU75" i="1" s="1"/>
  <c r="ALD75" i="1" a="1"/>
  <c r="ALD75" i="1" s="1"/>
  <c r="AKV75" i="1" a="1"/>
  <c r="AKV75" i="1" s="1"/>
  <c r="AKN75" i="1" a="1"/>
  <c r="AKN75" i="1" s="1"/>
  <c r="AIA75" i="1" a="1"/>
  <c r="AIA75" i="1" s="1"/>
  <c r="ALE75" i="1" a="1"/>
  <c r="ALE75" i="1" s="1"/>
  <c r="AKO75" i="1" a="1"/>
  <c r="AKO75" i="1" s="1"/>
  <c r="VR75" i="1" a="1"/>
  <c r="VR75" i="1" s="1"/>
  <c r="VJ75" i="1" a="1"/>
  <c r="VJ75" i="1" s="1"/>
  <c r="VB75" i="1" a="1"/>
  <c r="VB75" i="1" s="1"/>
  <c r="SO75" i="1" a="1"/>
  <c r="SO75" i="1" s="1"/>
  <c r="AHZ75" i="1" a="1"/>
  <c r="AHZ75" i="1" s="1"/>
  <c r="VC75" i="1" a="1"/>
  <c r="VC75" i="1" s="1"/>
  <c r="VQ75" i="1" a="1"/>
  <c r="VQ75" i="1" s="1"/>
  <c r="AKQ75" i="1" a="1"/>
  <c r="AKQ75" i="1" s="1"/>
  <c r="SR75" i="1" a="1"/>
  <c r="SR75" i="1" s="1"/>
  <c r="AHY75" i="1" a="1"/>
  <c r="AHY75" i="1" s="1"/>
  <c r="SU75" i="1" a="1"/>
  <c r="SU75" i="1" s="1"/>
  <c r="AKU75" i="1" a="1"/>
  <c r="AKU75" i="1" s="1"/>
  <c r="VI75" i="1" a="1"/>
  <c r="VI75" i="1" s="1"/>
  <c r="VW75" i="1" a="1"/>
  <c r="VW75" i="1" s="1"/>
  <c r="SP75" i="1" a="1"/>
  <c r="SP75" i="1" s="1"/>
  <c r="AKZ75" i="1" a="1"/>
  <c r="AKZ75" i="1" s="1"/>
  <c r="AKR75" i="1" a="1"/>
  <c r="AKR75" i="1" s="1"/>
  <c r="AIE75" i="1" a="1"/>
  <c r="AIE75" i="1" s="1"/>
  <c r="AKW75" i="1" a="1"/>
  <c r="AKW75" i="1" s="1"/>
  <c r="AIB75" i="1" a="1"/>
  <c r="AIB75" i="1" s="1"/>
  <c r="VV75" i="1" a="1"/>
  <c r="VV75" i="1" s="1"/>
  <c r="VN75" i="1" a="1"/>
  <c r="VN75" i="1" s="1"/>
  <c r="VF75" i="1" a="1"/>
  <c r="VF75" i="1" s="1"/>
  <c r="SS75" i="1" a="1"/>
  <c r="SS75" i="1" s="1"/>
  <c r="AID75" i="1" a="1"/>
  <c r="AID75" i="1" s="1"/>
  <c r="AKY75" i="1" a="1"/>
  <c r="AKY75" i="1" s="1"/>
  <c r="VS75" i="1" a="1"/>
  <c r="VS75" i="1" s="1"/>
  <c r="VA75" i="1" a="1"/>
  <c r="VA75" i="1" s="1"/>
  <c r="VO75" i="1" a="1"/>
  <c r="VO75" i="1" s="1"/>
  <c r="VE75" i="1" a="1"/>
  <c r="VE75" i="1" s="1"/>
  <c r="AIC75" i="1" a="1"/>
  <c r="AIC75" i="1" s="1"/>
  <c r="SQ75" i="1" a="1"/>
  <c r="SQ75" i="1" s="1"/>
  <c r="ST75" i="1" a="1"/>
  <c r="ST75" i="1" s="1"/>
  <c r="ACL75" i="1" a="1"/>
  <c r="ACL75" i="1" s="1"/>
  <c r="ACJ75" i="1" a="1"/>
  <c r="ACJ75" i="1" s="1"/>
  <c r="ACH75" i="1" a="1"/>
  <c r="ACH75" i="1" s="1"/>
  <c r="ACF75" i="1" a="1"/>
  <c r="ACF75" i="1" s="1"/>
  <c r="ACD75" i="1" a="1"/>
  <c r="ACD75" i="1" s="1"/>
  <c r="ACB75" i="1" a="1"/>
  <c r="ACB75" i="1" s="1"/>
  <c r="ABZ75" i="1" a="1"/>
  <c r="ABZ75" i="1" s="1"/>
  <c r="ABX75" i="1" a="1"/>
  <c r="ABX75" i="1" s="1"/>
  <c r="ABV75" i="1" a="1"/>
  <c r="ABV75" i="1" s="1"/>
  <c r="ABT75" i="1" a="1"/>
  <c r="ABT75" i="1" s="1"/>
  <c r="ABR75" i="1" a="1"/>
  <c r="ABR75" i="1" s="1"/>
  <c r="ABP75" i="1" a="1"/>
  <c r="ABP75" i="1" s="1"/>
  <c r="ABN75" i="1" a="1"/>
  <c r="ABN75" i="1" s="1"/>
  <c r="ABL75" i="1" a="1"/>
  <c r="ABL75" i="1" s="1"/>
  <c r="ABJ75" i="1" a="1"/>
  <c r="ABJ75" i="1" s="1"/>
  <c r="ABH75" i="1" a="1"/>
  <c r="ABH75" i="1" s="1"/>
  <c r="ABF75" i="1" a="1"/>
  <c r="ABF75" i="1" s="1"/>
  <c r="ABD75" i="1" a="1"/>
  <c r="ABD75" i="1" s="1"/>
  <c r="ABB75" i="1" a="1"/>
  <c r="ABB75" i="1" s="1"/>
  <c r="AAZ75" i="1" a="1"/>
  <c r="AAZ75" i="1" s="1"/>
  <c r="AAX75" i="1" a="1"/>
  <c r="AAX75" i="1" s="1"/>
  <c r="AAV75" i="1" a="1"/>
  <c r="AAV75" i="1" s="1"/>
  <c r="AAT75" i="1" a="1"/>
  <c r="AAT75" i="1" s="1"/>
  <c r="AAR75" i="1" a="1"/>
  <c r="AAR75" i="1" s="1"/>
  <c r="AAP75" i="1" a="1"/>
  <c r="AAP75" i="1" s="1"/>
  <c r="ACK75" i="1" a="1"/>
  <c r="ACK75" i="1" s="1"/>
  <c r="ACC75" i="1" a="1"/>
  <c r="ACC75" i="1" s="1"/>
  <c r="ABU75" i="1" a="1"/>
  <c r="ABU75" i="1" s="1"/>
  <c r="ABM75" i="1" a="1"/>
  <c r="ABM75" i="1" s="1"/>
  <c r="ABE75" i="1" a="1"/>
  <c r="ABE75" i="1" s="1"/>
  <c r="AAW75" i="1" a="1"/>
  <c r="AAW75" i="1" s="1"/>
  <c r="NB75" i="1" a="1"/>
  <c r="NB75" i="1" s="1"/>
  <c r="MZ75" i="1" a="1"/>
  <c r="MZ75" i="1" s="1"/>
  <c r="MX75" i="1" a="1"/>
  <c r="MX75" i="1" s="1"/>
  <c r="MV75" i="1" a="1"/>
  <c r="MV75" i="1" s="1"/>
  <c r="MT75" i="1" a="1"/>
  <c r="MT75" i="1" s="1"/>
  <c r="MR75" i="1" a="1"/>
  <c r="MR75" i="1" s="1"/>
  <c r="MP75" i="1" a="1"/>
  <c r="MP75" i="1" s="1"/>
  <c r="ACE75" i="1" a="1"/>
  <c r="ACE75" i="1" s="1"/>
  <c r="ABW75" i="1" a="1"/>
  <c r="ABW75" i="1" s="1"/>
  <c r="ABO75" i="1" a="1"/>
  <c r="ABO75" i="1" s="1"/>
  <c r="ABG75" i="1" a="1"/>
  <c r="ABG75" i="1" s="1"/>
  <c r="AAY75" i="1" a="1"/>
  <c r="AAY75" i="1" s="1"/>
  <c r="AAQ75" i="1" a="1"/>
  <c r="AAQ75" i="1" s="1"/>
  <c r="ACI75" i="1" a="1"/>
  <c r="ACI75" i="1" s="1"/>
  <c r="ACA75" i="1" a="1"/>
  <c r="ACA75" i="1" s="1"/>
  <c r="ABS75" i="1" a="1"/>
  <c r="ABS75" i="1" s="1"/>
  <c r="ABK75" i="1" a="1"/>
  <c r="ABK75" i="1" s="1"/>
  <c r="ABC75" i="1" a="1"/>
  <c r="ABC75" i="1" s="1"/>
  <c r="AAU75" i="1" a="1"/>
  <c r="AAU75" i="1" s="1"/>
  <c r="ABI75" i="1" a="1"/>
  <c r="ABI75" i="1" s="1"/>
  <c r="MY75" i="1" a="1"/>
  <c r="MY75" i="1" s="1"/>
  <c r="MU75" i="1" a="1"/>
  <c r="MU75" i="1" s="1"/>
  <c r="MQ75" i="1" a="1"/>
  <c r="MQ75" i="1" s="1"/>
  <c r="MK75" i="1" a="1"/>
  <c r="MK75" i="1" s="1"/>
  <c r="MH75" i="1" a="1"/>
  <c r="MH75" i="1" s="1"/>
  <c r="MC75" i="1" a="1"/>
  <c r="MC75" i="1" s="1"/>
  <c r="MA75" i="1" a="1"/>
  <c r="MA75" i="1" s="1"/>
  <c r="LY75" i="1" a="1"/>
  <c r="LY75" i="1" s="1"/>
  <c r="LW75" i="1" a="1"/>
  <c r="LW75" i="1" s="1"/>
  <c r="LU75" i="1" a="1"/>
  <c r="LU75" i="1" s="1"/>
  <c r="LS75" i="1" a="1"/>
  <c r="LS75" i="1" s="1"/>
  <c r="LQ75" i="1" a="1"/>
  <c r="LQ75" i="1" s="1"/>
  <c r="LO75" i="1" a="1"/>
  <c r="LO75" i="1" s="1"/>
  <c r="LM75" i="1" a="1"/>
  <c r="LM75" i="1" s="1"/>
  <c r="LK75" i="1" a="1"/>
  <c r="LK75" i="1" s="1"/>
  <c r="LI75" i="1" a="1"/>
  <c r="LI75" i="1" s="1"/>
  <c r="LG75" i="1" a="1"/>
  <c r="LG75" i="1" s="1"/>
  <c r="ABQ75" i="1" a="1"/>
  <c r="ABQ75" i="1" s="1"/>
  <c r="MM75" i="1" a="1"/>
  <c r="MM75" i="1" s="1"/>
  <c r="MJ75" i="1" a="1"/>
  <c r="MJ75" i="1" s="1"/>
  <c r="ME75" i="1" a="1"/>
  <c r="ME75" i="1" s="1"/>
  <c r="ABY75" i="1" a="1"/>
  <c r="ABY75" i="1" s="1"/>
  <c r="AAS75" i="1" a="1"/>
  <c r="AAS75" i="1" s="1"/>
  <c r="NA75" i="1" a="1"/>
  <c r="NA75" i="1" s="1"/>
  <c r="MW75" i="1" a="1"/>
  <c r="MW75" i="1" s="1"/>
  <c r="MS75" i="1" a="1"/>
  <c r="MS75" i="1" s="1"/>
  <c r="MO75" i="1" a="1"/>
  <c r="MO75" i="1" s="1"/>
  <c r="ML75" i="1" a="1"/>
  <c r="ML75" i="1" s="1"/>
  <c r="MG75" i="1" a="1"/>
  <c r="MG75" i="1" s="1"/>
  <c r="MD75" i="1" a="1"/>
  <c r="MD75" i="1" s="1"/>
  <c r="MB75" i="1" a="1"/>
  <c r="MB75" i="1" s="1"/>
  <c r="LZ75" i="1" a="1"/>
  <c r="LZ75" i="1" s="1"/>
  <c r="LX75" i="1" a="1"/>
  <c r="LX75" i="1" s="1"/>
  <c r="LV75" i="1" a="1"/>
  <c r="LV75" i="1" s="1"/>
  <c r="LT75" i="1" a="1"/>
  <c r="LT75" i="1" s="1"/>
  <c r="LR75" i="1" a="1"/>
  <c r="LR75" i="1" s="1"/>
  <c r="LP75" i="1" a="1"/>
  <c r="LP75" i="1" s="1"/>
  <c r="LN75" i="1" a="1"/>
  <c r="LN75" i="1" s="1"/>
  <c r="LL75" i="1" a="1"/>
  <c r="LL75" i="1" s="1"/>
  <c r="LJ75" i="1" a="1"/>
  <c r="LJ75" i="1" s="1"/>
  <c r="LH75" i="1" a="1"/>
  <c r="LH75" i="1" s="1"/>
  <c r="LF75" i="1" a="1"/>
  <c r="LF75" i="1" s="1"/>
  <c r="MI75" i="1" a="1"/>
  <c r="MI75" i="1" s="1"/>
  <c r="MF75" i="1" a="1"/>
  <c r="MF75" i="1" s="1"/>
  <c r="ABA75" i="1" a="1"/>
  <c r="ABA75" i="1" s="1"/>
  <c r="MN75" i="1" a="1"/>
  <c r="MN75" i="1" s="1"/>
  <c r="ACG75" i="1" a="1"/>
  <c r="ACG75" i="1" s="1"/>
  <c r="AAK75" i="1" a="1"/>
  <c r="AAK75" i="1" s="1"/>
  <c r="AAI75" i="1" a="1"/>
  <c r="AAI75" i="1" s="1"/>
  <c r="KX75" i="1" a="1"/>
  <c r="KX75" i="1" s="1"/>
  <c r="AAL75" i="1" a="1"/>
  <c r="AAL75" i="1" s="1"/>
  <c r="LD75" i="1" a="1"/>
  <c r="LD75" i="1" s="1"/>
  <c r="AAJ75" i="1" a="1"/>
  <c r="AAJ75" i="1" s="1"/>
  <c r="LC75" i="1" a="1"/>
  <c r="LC75" i="1" s="1"/>
  <c r="LB75" i="1" a="1"/>
  <c r="LB75" i="1" s="1"/>
  <c r="LA75" i="1" a="1"/>
  <c r="LA75" i="1" s="1"/>
  <c r="AAM75" i="1" a="1"/>
  <c r="AAM75" i="1" s="1"/>
  <c r="AAN75" i="1" a="1"/>
  <c r="AAN75" i="1" s="1"/>
  <c r="KZ75" i="1" a="1"/>
  <c r="KZ75" i="1" s="1"/>
  <c r="AAH75" i="1" a="1"/>
  <c r="AAH75" i="1" s="1"/>
  <c r="KY75" i="1" a="1"/>
  <c r="KY75" i="1" s="1"/>
  <c r="AHU77" i="1"/>
  <c r="AOA77" i="1"/>
  <c r="ANJ77" i="1"/>
  <c r="AHW77" i="1"/>
  <c r="AHS77" i="1"/>
  <c r="ANY77" i="1" s="1" a="1"/>
  <c r="ANY77" i="1" s="1"/>
  <c r="ANZ77" i="1" s="1"/>
  <c r="AHT77" i="1"/>
  <c r="AHV77" i="1"/>
  <c r="HT76" i="1"/>
  <c r="HU76" i="1" s="1"/>
  <c r="DK78" i="1" a="1"/>
  <c r="DK78" i="1" s="1"/>
  <c r="DW78" i="1" s="1"/>
  <c r="DH78" i="1" a="1"/>
  <c r="DH78" i="1" s="1"/>
  <c r="DL78" i="1" a="1"/>
  <c r="DL78" i="1" s="1"/>
  <c r="DM78" i="1" a="1"/>
  <c r="DM78" i="1" s="1"/>
  <c r="DJ78" i="1" a="1"/>
  <c r="DJ78" i="1" s="1"/>
  <c r="DX78" i="1" s="1"/>
  <c r="DI78" i="1" a="1"/>
  <c r="DI78" i="1" s="1"/>
  <c r="DN78" i="1" a="1"/>
  <c r="DN78" i="1" s="1"/>
  <c r="DG78" i="1" a="1"/>
  <c r="DG78" i="1" s="1"/>
  <c r="DP78" i="1" s="1"/>
  <c r="DR78" i="1" s="1"/>
  <c r="DS78" i="1" s="1"/>
  <c r="AKA14" i="1" a="1"/>
  <c r="AKA14" i="1" s="1"/>
  <c r="AJW14" i="1" a="1"/>
  <c r="AJW14" i="1" s="1"/>
  <c r="AJS14" i="1" a="1"/>
  <c r="AJS14" i="1" s="1"/>
  <c r="AJO14" i="1" a="1"/>
  <c r="AJO14" i="1" s="1"/>
  <c r="AJK14" i="1" a="1"/>
  <c r="AJK14" i="1" s="1"/>
  <c r="AJG14" i="1" a="1"/>
  <c r="AJG14" i="1" s="1"/>
  <c r="AJC14" i="1" a="1"/>
  <c r="AJC14" i="1" s="1"/>
  <c r="AIY14" i="1" a="1"/>
  <c r="AIY14" i="1" s="1"/>
  <c r="AIU14" i="1" a="1"/>
  <c r="AIU14" i="1" s="1"/>
  <c r="AIQ14" i="1" a="1"/>
  <c r="AIQ14" i="1" s="1"/>
  <c r="AIM14" i="1" a="1"/>
  <c r="AIM14" i="1" s="1"/>
  <c r="AII14" i="1" a="1"/>
  <c r="AII14" i="1" s="1"/>
  <c r="AID14" i="1" a="1"/>
  <c r="AID14" i="1" s="1"/>
  <c r="AHZ14" i="1" a="1"/>
  <c r="AHZ14" i="1" s="1"/>
  <c r="UR14" i="1" a="1"/>
  <c r="UR14" i="1" s="1"/>
  <c r="UO14" i="1" a="1"/>
  <c r="UO14" i="1" s="1"/>
  <c r="UJ14" i="1" a="1"/>
  <c r="UJ14" i="1" s="1"/>
  <c r="UG14" i="1" a="1"/>
  <c r="UG14" i="1" s="1"/>
  <c r="UB14" i="1" a="1"/>
  <c r="UB14" i="1" s="1"/>
  <c r="TY14" i="1" a="1"/>
  <c r="TY14" i="1" s="1"/>
  <c r="TT14" i="1" a="1"/>
  <c r="TT14" i="1" s="1"/>
  <c r="TQ14" i="1" a="1"/>
  <c r="TQ14" i="1" s="1"/>
  <c r="TL14" i="1" a="1"/>
  <c r="TL14" i="1" s="1"/>
  <c r="TI14" i="1" a="1"/>
  <c r="TI14" i="1" s="1"/>
  <c r="TD14" i="1" a="1"/>
  <c r="TD14" i="1" s="1"/>
  <c r="TA14" i="1" a="1"/>
  <c r="TA14" i="1" s="1"/>
  <c r="SU14" i="1" a="1"/>
  <c r="SU14" i="1" s="1"/>
  <c r="SR14" i="1" a="1"/>
  <c r="SR14" i="1" s="1"/>
  <c r="AJZ14" i="1" a="1"/>
  <c r="AJZ14" i="1" s="1"/>
  <c r="AJV14" i="1" a="1"/>
  <c r="AJV14" i="1" s="1"/>
  <c r="AJR14" i="1" a="1"/>
  <c r="AJR14" i="1" s="1"/>
  <c r="AJN14" i="1" a="1"/>
  <c r="AJN14" i="1" s="1"/>
  <c r="AJJ14" i="1" a="1"/>
  <c r="AJJ14" i="1" s="1"/>
  <c r="AJF14" i="1" a="1"/>
  <c r="AJF14" i="1" s="1"/>
  <c r="AJB14" i="1" a="1"/>
  <c r="AJB14" i="1" s="1"/>
  <c r="AIX14" i="1" a="1"/>
  <c r="AIX14" i="1" s="1"/>
  <c r="AIT14" i="1" a="1"/>
  <c r="AIT14" i="1" s="1"/>
  <c r="AIP14" i="1" a="1"/>
  <c r="AIP14" i="1" s="1"/>
  <c r="AIL14" i="1" a="1"/>
  <c r="AIL14" i="1" s="1"/>
  <c r="AIH14" i="1" a="1"/>
  <c r="AIH14" i="1" s="1"/>
  <c r="AIC14" i="1" a="1"/>
  <c r="AIC14" i="1" s="1"/>
  <c r="AHY14" i="1" a="1"/>
  <c r="AHY14" i="1" s="1"/>
  <c r="UQ14" i="1" a="1"/>
  <c r="UQ14" i="1" s="1"/>
  <c r="UL14" i="1" a="1"/>
  <c r="UL14" i="1" s="1"/>
  <c r="UI14" i="1" a="1"/>
  <c r="UI14" i="1" s="1"/>
  <c r="UD14" i="1" a="1"/>
  <c r="UD14" i="1" s="1"/>
  <c r="UA14" i="1" a="1"/>
  <c r="UA14" i="1" s="1"/>
  <c r="TV14" i="1" a="1"/>
  <c r="TV14" i="1" s="1"/>
  <c r="TS14" i="1" a="1"/>
  <c r="TS14" i="1" s="1"/>
  <c r="TN14" i="1" a="1"/>
  <c r="TN14" i="1" s="1"/>
  <c r="TK14" i="1" a="1"/>
  <c r="TK14" i="1" s="1"/>
  <c r="TF14" i="1" a="1"/>
  <c r="TF14" i="1" s="1"/>
  <c r="TC14" i="1" a="1"/>
  <c r="TC14" i="1" s="1"/>
  <c r="SX14" i="1" a="1"/>
  <c r="SX14" i="1" s="1"/>
  <c r="ST14" i="1" a="1"/>
  <c r="ST14" i="1" s="1"/>
  <c r="SO14" i="1" a="1"/>
  <c r="SO14" i="1" s="1"/>
  <c r="AKC14" i="1" a="1"/>
  <c r="AKC14" i="1" s="1"/>
  <c r="AJY14" i="1" a="1"/>
  <c r="AJY14" i="1" s="1"/>
  <c r="AJU14" i="1" a="1"/>
  <c r="AJU14" i="1" s="1"/>
  <c r="AJQ14" i="1" a="1"/>
  <c r="AJQ14" i="1" s="1"/>
  <c r="AJM14" i="1" a="1"/>
  <c r="AJM14" i="1" s="1"/>
  <c r="AJI14" i="1" a="1"/>
  <c r="AJI14" i="1" s="1"/>
  <c r="AJE14" i="1" a="1"/>
  <c r="AJE14" i="1" s="1"/>
  <c r="AJA14" i="1" a="1"/>
  <c r="AJA14" i="1" s="1"/>
  <c r="AIW14" i="1" a="1"/>
  <c r="AIW14" i="1" s="1"/>
  <c r="AIS14" i="1" a="1"/>
  <c r="AIS14" i="1" s="1"/>
  <c r="AIO14" i="1" a="1"/>
  <c r="AIO14" i="1" s="1"/>
  <c r="AIK14" i="1" a="1"/>
  <c r="AIK14" i="1" s="1"/>
  <c r="AIG14" i="1" a="1"/>
  <c r="AIG14" i="1" s="1"/>
  <c r="AIB14" i="1" a="1"/>
  <c r="AIB14" i="1" s="1"/>
  <c r="US14" i="1" a="1"/>
  <c r="US14" i="1" s="1"/>
  <c r="UN14" i="1" a="1"/>
  <c r="UN14" i="1" s="1"/>
  <c r="UK14" i="1" a="1"/>
  <c r="UK14" i="1" s="1"/>
  <c r="UF14" i="1" a="1"/>
  <c r="UF14" i="1" s="1"/>
  <c r="UC14" i="1" a="1"/>
  <c r="UC14" i="1" s="1"/>
  <c r="TX14" i="1" a="1"/>
  <c r="TX14" i="1" s="1"/>
  <c r="TU14" i="1" a="1"/>
  <c r="TU14" i="1" s="1"/>
  <c r="TP14" i="1" a="1"/>
  <c r="TP14" i="1" s="1"/>
  <c r="TM14" i="1" a="1"/>
  <c r="TM14" i="1" s="1"/>
  <c r="TH14" i="1" a="1"/>
  <c r="TH14" i="1" s="1"/>
  <c r="TE14" i="1" a="1"/>
  <c r="TE14" i="1" s="1"/>
  <c r="SZ14" i="1" a="1"/>
  <c r="SZ14" i="1" s="1"/>
  <c r="SW14" i="1" a="1"/>
  <c r="SW14" i="1" s="1"/>
  <c r="SQ14" i="1" a="1"/>
  <c r="SQ14" i="1" s="1"/>
  <c r="AKB14" i="1" a="1"/>
  <c r="AKB14" i="1" s="1"/>
  <c r="AJX14" i="1" a="1"/>
  <c r="AJX14" i="1" s="1"/>
  <c r="AJT14" i="1" a="1"/>
  <c r="AJT14" i="1" s="1"/>
  <c r="AJP14" i="1" a="1"/>
  <c r="AJP14" i="1" s="1"/>
  <c r="AJL14" i="1" a="1"/>
  <c r="AJL14" i="1" s="1"/>
  <c r="AJH14" i="1" a="1"/>
  <c r="AJH14" i="1" s="1"/>
  <c r="AJD14" i="1" a="1"/>
  <c r="AJD14" i="1" s="1"/>
  <c r="AIZ14" i="1" a="1"/>
  <c r="AIZ14" i="1" s="1"/>
  <c r="AIV14" i="1" a="1"/>
  <c r="AIV14" i="1" s="1"/>
  <c r="AIR14" i="1" a="1"/>
  <c r="AIR14" i="1" s="1"/>
  <c r="AIN14" i="1" a="1"/>
  <c r="AIN14" i="1" s="1"/>
  <c r="AIJ14" i="1" a="1"/>
  <c r="AIJ14" i="1" s="1"/>
  <c r="AIE14" i="1" a="1"/>
  <c r="AIE14" i="1" s="1"/>
  <c r="AIA14" i="1" a="1"/>
  <c r="AIA14" i="1" s="1"/>
  <c r="UP14" i="1" a="1"/>
  <c r="UP14" i="1" s="1"/>
  <c r="UM14" i="1" a="1"/>
  <c r="UM14" i="1" s="1"/>
  <c r="UH14" i="1" a="1"/>
  <c r="UH14" i="1" s="1"/>
  <c r="UE14" i="1" a="1"/>
  <c r="UE14" i="1" s="1"/>
  <c r="TZ14" i="1" a="1"/>
  <c r="TZ14" i="1" s="1"/>
  <c r="TW14" i="1" a="1"/>
  <c r="TW14" i="1" s="1"/>
  <c r="TR14" i="1" a="1"/>
  <c r="TR14" i="1" s="1"/>
  <c r="TO14" i="1" a="1"/>
  <c r="TO14" i="1" s="1"/>
  <c r="TJ14" i="1" a="1"/>
  <c r="TJ14" i="1" s="1"/>
  <c r="TG14" i="1" a="1"/>
  <c r="TG14" i="1" s="1"/>
  <c r="TB14" i="1" a="1"/>
  <c r="TB14" i="1" s="1"/>
  <c r="SY14" i="1" a="1"/>
  <c r="SY14" i="1" s="1"/>
  <c r="SS14" i="1" a="1"/>
  <c r="SS14" i="1" s="1"/>
  <c r="SP14" i="1" a="1"/>
  <c r="SP14" i="1" s="1"/>
  <c r="RL14" i="1"/>
  <c r="VN14" i="1" a="1"/>
  <c r="VN14" i="1" s="1"/>
  <c r="AKM14" i="1" a="1"/>
  <c r="AKM14" i="1" s="1"/>
  <c r="ALC14" i="1" a="1"/>
  <c r="ALC14" i="1" s="1"/>
  <c r="VD14" i="1" a="1"/>
  <c r="VD14" i="1" s="1"/>
  <c r="VT14" i="1" a="1"/>
  <c r="VT14" i="1" s="1"/>
  <c r="AGV14" i="1"/>
  <c r="AKN14" i="1" a="1"/>
  <c r="AKN14" i="1" s="1"/>
  <c r="ALD14" i="1" a="1"/>
  <c r="ALD14" i="1" s="1"/>
  <c r="VB14" i="1" a="1"/>
  <c r="VB14" i="1" s="1"/>
  <c r="VR14" i="1" a="1"/>
  <c r="VR14" i="1" s="1"/>
  <c r="AGY14" i="1"/>
  <c r="AKS14" i="1" a="1"/>
  <c r="AKS14" i="1" s="1"/>
  <c r="DK10" i="1" a="1"/>
  <c r="DK10" i="1" s="1"/>
  <c r="DW10" i="1" s="1"/>
  <c r="DG10" i="1" a="1"/>
  <c r="DG10" i="1" s="1"/>
  <c r="DN10" i="1" a="1"/>
  <c r="DN10" i="1" s="1"/>
  <c r="DJ10" i="1" a="1"/>
  <c r="DJ10" i="1" s="1"/>
  <c r="DX10" i="1" s="1"/>
  <c r="DM10" i="1" a="1"/>
  <c r="DM10" i="1" s="1"/>
  <c r="DI10" i="1" a="1"/>
  <c r="DI10" i="1" s="1"/>
  <c r="DL10" i="1" a="1"/>
  <c r="DL10" i="1" s="1"/>
  <c r="DQ10" i="1" s="1"/>
  <c r="DH10" i="1" a="1"/>
  <c r="DH10" i="1" s="1"/>
  <c r="BM11" i="1"/>
  <c r="FN11" i="1"/>
  <c r="GC13" i="1" a="1"/>
  <c r="GC13" i="1" s="1"/>
  <c r="GO13" i="1" s="1"/>
  <c r="FZ13" i="1" a="1"/>
  <c r="FZ13" i="1" s="1"/>
  <c r="GF13" i="1" a="1"/>
  <c r="GF13" i="1" s="1"/>
  <c r="GB13" i="1" a="1"/>
  <c r="GB13" i="1" s="1"/>
  <c r="GP13" i="1" s="1"/>
  <c r="GD13" i="1" a="1"/>
  <c r="GD13" i="1" s="1"/>
  <c r="GI13" i="1" s="1"/>
  <c r="FY13" i="1" a="1"/>
  <c r="FY13" i="1" s="1"/>
  <c r="GH13" i="1" s="1"/>
  <c r="GA13" i="1" a="1"/>
  <c r="GA13" i="1" s="1"/>
  <c r="GD18" i="1" a="1"/>
  <c r="GD18" i="1" s="1"/>
  <c r="GB18" i="1" a="1"/>
  <c r="GB18" i="1" s="1"/>
  <c r="GP18" i="1" s="1"/>
  <c r="FZ18" i="1" a="1"/>
  <c r="FZ18" i="1" s="1"/>
  <c r="GA18" i="1" a="1"/>
  <c r="GA18" i="1" s="1"/>
  <c r="FY18" i="1" a="1"/>
  <c r="FY18" i="1" s="1"/>
  <c r="GF18" i="1" a="1"/>
  <c r="GF18" i="1" s="1"/>
  <c r="GC18" i="1" a="1"/>
  <c r="GC18" i="1" s="1"/>
  <c r="GO18" i="1" s="1"/>
  <c r="DM19" i="1" a="1"/>
  <c r="DM19" i="1" s="1"/>
  <c r="DK19" i="1" a="1"/>
  <c r="DK19" i="1" s="1"/>
  <c r="DW19" i="1" s="1"/>
  <c r="DI19" i="1" a="1"/>
  <c r="DI19" i="1" s="1"/>
  <c r="DG19" i="1" a="1"/>
  <c r="DG19" i="1" s="1"/>
  <c r="DP19" i="1" s="1"/>
  <c r="DR19" i="1" s="1"/>
  <c r="DS19" i="1" s="1"/>
  <c r="DN19" i="1" a="1"/>
  <c r="DN19" i="1" s="1"/>
  <c r="DL19" i="1" a="1"/>
  <c r="DL19" i="1" s="1"/>
  <c r="DJ19" i="1" a="1"/>
  <c r="DJ19" i="1" s="1"/>
  <c r="DX19" i="1" s="1"/>
  <c r="DH19" i="1" a="1"/>
  <c r="DH19" i="1" s="1"/>
  <c r="GH19" i="1"/>
  <c r="AKX21" i="1" a="1"/>
  <c r="AKX21" i="1" s="1"/>
  <c r="AKT21" i="1" a="1"/>
  <c r="AKT21" i="1" s="1"/>
  <c r="ADN21" i="1" a="1"/>
  <c r="ADN21" i="1" s="1"/>
  <c r="ADJ21" i="1" a="1"/>
  <c r="ADJ21" i="1" s="1"/>
  <c r="ADF21" i="1" a="1"/>
  <c r="ADF21" i="1" s="1"/>
  <c r="ADB21" i="1" a="1"/>
  <c r="ADB21" i="1" s="1"/>
  <c r="ACX21" i="1" a="1"/>
  <c r="ACX21" i="1" s="1"/>
  <c r="ACT21" i="1" a="1"/>
  <c r="ACT21" i="1" s="1"/>
  <c r="AAA21" i="1"/>
  <c r="VP21" i="1" a="1"/>
  <c r="VP21" i="1" s="1"/>
  <c r="VL21" i="1" a="1"/>
  <c r="VL21" i="1" s="1"/>
  <c r="OF21" i="1" a="1"/>
  <c r="OF21" i="1" s="1"/>
  <c r="OB21" i="1" a="1"/>
  <c r="OB21" i="1" s="1"/>
  <c r="NX21" i="1" a="1"/>
  <c r="NX21" i="1" s="1"/>
  <c r="NT21" i="1" a="1"/>
  <c r="NT21" i="1" s="1"/>
  <c r="NP21" i="1" a="1"/>
  <c r="NP21" i="1" s="1"/>
  <c r="NL21" i="1" a="1"/>
  <c r="NL21" i="1" s="1"/>
  <c r="AP21" i="1" a="1"/>
  <c r="AP21" i="1" s="1"/>
  <c r="ALA21" i="1" a="1"/>
  <c r="ALA21" i="1" s="1"/>
  <c r="AKW21" i="1" a="1"/>
  <c r="AKW21" i="1" s="1"/>
  <c r="AKK21" i="1" a="1"/>
  <c r="AKK21" i="1" s="1"/>
  <c r="AHR21" i="1"/>
  <c r="ADM21" i="1" a="1"/>
  <c r="ADM21" i="1" s="1"/>
  <c r="ADI21" i="1" a="1"/>
  <c r="ADI21" i="1" s="1"/>
  <c r="ADE21" i="1" a="1"/>
  <c r="ADE21" i="1" s="1"/>
  <c r="ADA21" i="1" a="1"/>
  <c r="ADA21" i="1" s="1"/>
  <c r="AGU21" i="1" s="1"/>
  <c r="ACW21" i="1" a="1"/>
  <c r="ACW21" i="1" s="1"/>
  <c r="VW21" i="1" a="1"/>
  <c r="VW21" i="1" s="1"/>
  <c r="VS21" i="1" a="1"/>
  <c r="VS21" i="1" s="1"/>
  <c r="VG21" i="1" a="1"/>
  <c r="VG21" i="1" s="1"/>
  <c r="VC21" i="1" a="1"/>
  <c r="VC21" i="1" s="1"/>
  <c r="OE21" i="1" a="1"/>
  <c r="OE21" i="1" s="1"/>
  <c r="OA21" i="1" a="1"/>
  <c r="OA21" i="1" s="1"/>
  <c r="NW21" i="1" a="1"/>
  <c r="NW21" i="1" s="1"/>
  <c r="NS21" i="1" a="1"/>
  <c r="NS21" i="1" s="1"/>
  <c r="NO21" i="1" a="1"/>
  <c r="NO21" i="1" s="1"/>
  <c r="NK21" i="1" a="1"/>
  <c r="NK21" i="1" s="1"/>
  <c r="ALD21" i="1" a="1"/>
  <c r="ALD21" i="1" s="1"/>
  <c r="AKZ21" i="1" a="1"/>
  <c r="AKZ21" i="1" s="1"/>
  <c r="AKN21" i="1" a="1"/>
  <c r="AKN21" i="1" s="1"/>
  <c r="ADP21" i="1" a="1"/>
  <c r="ADP21" i="1" s="1"/>
  <c r="ADL21" i="1" a="1"/>
  <c r="ADL21" i="1" s="1"/>
  <c r="ADH21" i="1" a="1"/>
  <c r="ADH21" i="1" s="1"/>
  <c r="ADD21" i="1" a="1"/>
  <c r="ADD21" i="1" s="1"/>
  <c r="ACZ21" i="1" a="1"/>
  <c r="ACZ21" i="1" s="1"/>
  <c r="ACV21" i="1" a="1"/>
  <c r="ACV21" i="1" s="1"/>
  <c r="VV21" i="1" a="1"/>
  <c r="VV21" i="1" s="1"/>
  <c r="VR21" i="1" a="1"/>
  <c r="VR21" i="1" s="1"/>
  <c r="VN21" i="1" a="1"/>
  <c r="VN21" i="1" s="1"/>
  <c r="VF21" i="1" a="1"/>
  <c r="VF21" i="1" s="1"/>
  <c r="VB21" i="1" a="1"/>
  <c r="VB21" i="1" s="1"/>
  <c r="OD21" i="1" a="1"/>
  <c r="OD21" i="1" s="1"/>
  <c r="NZ21" i="1" a="1"/>
  <c r="NZ21" i="1" s="1"/>
  <c r="NV21" i="1" a="1"/>
  <c r="NV21" i="1" s="1"/>
  <c r="NR21" i="1" a="1"/>
  <c r="NR21" i="1" s="1"/>
  <c r="NN21" i="1" a="1"/>
  <c r="NN21" i="1" s="1"/>
  <c r="NJ21" i="1" a="1"/>
  <c r="NJ21" i="1" s="1"/>
  <c r="KQ21" i="1"/>
  <c r="AR21" i="1" a="1"/>
  <c r="AR21" i="1" s="1"/>
  <c r="SH21" i="1" s="1"/>
  <c r="ALG21" i="1" a="1"/>
  <c r="ALG21" i="1" s="1"/>
  <c r="AKY21" i="1" a="1"/>
  <c r="AKY21" i="1" s="1"/>
  <c r="AKU21" i="1" a="1"/>
  <c r="AKU21" i="1" s="1"/>
  <c r="AKQ21" i="1" a="1"/>
  <c r="AKQ21" i="1" s="1"/>
  <c r="ADO21" i="1" a="1"/>
  <c r="ADO21" i="1" s="1"/>
  <c r="ADK21" i="1" a="1"/>
  <c r="ADK21" i="1" s="1"/>
  <c r="ADG21" i="1" a="1"/>
  <c r="ADG21" i="1" s="1"/>
  <c r="ADC21" i="1" a="1"/>
  <c r="ADC21" i="1" s="1"/>
  <c r="ACY21" i="1" a="1"/>
  <c r="ACY21" i="1" s="1"/>
  <c r="ACU21" i="1" a="1"/>
  <c r="ACU21" i="1" s="1"/>
  <c r="VU21" i="1" a="1"/>
  <c r="VU21" i="1" s="1"/>
  <c r="VM21" i="1" a="1"/>
  <c r="VM21" i="1" s="1"/>
  <c r="VI21" i="1" a="1"/>
  <c r="VI21" i="1" s="1"/>
  <c r="VE21" i="1" a="1"/>
  <c r="VE21" i="1" s="1"/>
  <c r="OC21" i="1" a="1"/>
  <c r="OC21" i="1" s="1"/>
  <c r="NY21" i="1" a="1"/>
  <c r="NY21" i="1" s="1"/>
  <c r="NU21" i="1" a="1"/>
  <c r="NU21" i="1" s="1"/>
  <c r="NQ21" i="1" a="1"/>
  <c r="NQ21" i="1" s="1"/>
  <c r="RK21" i="1" s="1"/>
  <c r="NM21" i="1" a="1"/>
  <c r="NM21" i="1" s="1"/>
  <c r="AQ21" i="1" a="1"/>
  <c r="AQ21" i="1" s="1"/>
  <c r="ALB21" i="1" s="1" a="1"/>
  <c r="ALB21" i="1" s="1"/>
  <c r="CD20" i="1" a="1"/>
  <c r="CD20" i="1" s="1"/>
  <c r="CB20" i="1" a="1"/>
  <c r="CB20" i="1" s="1"/>
  <c r="CN20" i="1" s="1"/>
  <c r="BZ20" i="1" a="1"/>
  <c r="BZ20" i="1" s="1"/>
  <c r="BX20" i="1" a="1"/>
  <c r="BX20" i="1" s="1"/>
  <c r="CG20" i="1" s="1"/>
  <c r="CA20" i="1" a="1"/>
  <c r="CA20" i="1" s="1"/>
  <c r="CO20" i="1" s="1"/>
  <c r="CC20" i="1" a="1"/>
  <c r="CC20" i="1" s="1"/>
  <c r="CE20" i="1" a="1"/>
  <c r="CE20" i="1" s="1"/>
  <c r="BY20" i="1" a="1"/>
  <c r="BY20" i="1" s="1"/>
  <c r="BT26" i="1"/>
  <c r="FU26" i="1"/>
  <c r="FP55" i="1"/>
  <c r="BO55" i="1"/>
  <c r="BT55" i="1"/>
  <c r="FU55" i="1"/>
  <c r="KQ55" i="1"/>
  <c r="AHR55" i="1"/>
  <c r="AAA55" i="1"/>
  <c r="SH55" i="1"/>
  <c r="HT59" i="1"/>
  <c r="HU59" i="1" s="1"/>
  <c r="AKZ58" i="1" a="1"/>
  <c r="AKZ58" i="1" s="1"/>
  <c r="AKK58" i="1" a="1"/>
  <c r="AKK58" i="1" s="1"/>
  <c r="VA58" i="1" a="1"/>
  <c r="VA58" i="1" s="1"/>
  <c r="VQ58" i="1" a="1"/>
  <c r="VQ58" i="1" s="1"/>
  <c r="AKP58" i="1" a="1"/>
  <c r="AKP58" i="1" s="1"/>
  <c r="QI58" i="1"/>
  <c r="KV58" i="1"/>
  <c r="KR58" i="1"/>
  <c r="QX58" i="1" s="1" a="1"/>
  <c r="QX58" i="1" s="1"/>
  <c r="QY58" i="1" s="1"/>
  <c r="KT58" i="1"/>
  <c r="KU58" i="1"/>
  <c r="RR58" i="1" s="1"/>
  <c r="QZ58" i="1"/>
  <c r="KS58" i="1"/>
  <c r="FP58" i="1"/>
  <c r="BO58" i="1"/>
  <c r="FS60" i="1"/>
  <c r="BR60" i="1"/>
  <c r="FS63" i="1"/>
  <c r="BR63" i="1"/>
  <c r="AKK60" i="1" a="1"/>
  <c r="AKK60" i="1" s="1"/>
  <c r="BT61" i="1"/>
  <c r="FU61" i="1"/>
  <c r="QI62" i="1"/>
  <c r="KV62" i="1"/>
  <c r="KR62" i="1"/>
  <c r="QX62" i="1" s="1" a="1"/>
  <c r="QX62" i="1" s="1"/>
  <c r="QY62" i="1" s="1"/>
  <c r="KT62" i="1"/>
  <c r="QZ62" i="1"/>
  <c r="KS62" i="1"/>
  <c r="KU62" i="1"/>
  <c r="AKV60" i="1" a="1"/>
  <c r="AKV60" i="1" s="1"/>
  <c r="AHE71" i="1"/>
  <c r="BS71" i="1"/>
  <c r="FT71" i="1"/>
  <c r="BD74" i="1"/>
  <c r="BF74" i="1"/>
  <c r="DC74" i="1" a="1"/>
  <c r="DC74" i="1" s="1"/>
  <c r="CY74" i="1" a="1"/>
  <c r="CY74" i="1" s="1"/>
  <c r="DB74" i="1" a="1"/>
  <c r="DB74" i="1" s="1"/>
  <c r="CX74" i="1" a="1"/>
  <c r="CX74" i="1" s="1"/>
  <c r="DE74" i="1" a="1"/>
  <c r="DE74" i="1" s="1"/>
  <c r="DA74" i="1" a="1"/>
  <c r="DA74" i="1" s="1"/>
  <c r="CW74" i="1" a="1"/>
  <c r="CW74" i="1" s="1"/>
  <c r="DD74" i="1" a="1"/>
  <c r="DD74" i="1" s="1"/>
  <c r="CZ74" i="1" a="1"/>
  <c r="CZ74" i="1" s="1"/>
  <c r="EN72" i="1" a="1"/>
  <c r="EN72" i="1" s="1"/>
  <c r="EL72" i="1" a="1"/>
  <c r="EL72" i="1" s="1"/>
  <c r="EJ72" i="1" a="1"/>
  <c r="EJ72" i="1" s="1"/>
  <c r="EH72" i="1" a="1"/>
  <c r="EH72" i="1" s="1"/>
  <c r="EF72" i="1" a="1"/>
  <c r="EF72" i="1" s="1"/>
  <c r="EM72" i="1" a="1"/>
  <c r="EM72" i="1" s="1"/>
  <c r="EK72" i="1" a="1"/>
  <c r="EK72" i="1" s="1"/>
  <c r="EI72" i="1" a="1"/>
  <c r="EI72" i="1" s="1"/>
  <c r="EG72" i="1" a="1"/>
  <c r="EG72" i="1" s="1"/>
  <c r="BH72" i="1"/>
  <c r="GB75" i="1" a="1"/>
  <c r="GB75" i="1" s="1"/>
  <c r="GP75" i="1" s="1"/>
  <c r="FY75" i="1" a="1"/>
  <c r="FY75" i="1" s="1"/>
  <c r="FZ75" i="1" a="1"/>
  <c r="FZ75" i="1" s="1"/>
  <c r="GF75" i="1" a="1"/>
  <c r="GF75" i="1" s="1"/>
  <c r="GC75" i="1" a="1"/>
  <c r="GC75" i="1" s="1"/>
  <c r="GO75" i="1" s="1"/>
  <c r="GD75" i="1" a="1"/>
  <c r="GD75" i="1" s="1"/>
  <c r="GI75" i="1" s="1"/>
  <c r="GA75" i="1" a="1"/>
  <c r="GA75" i="1" s="1"/>
  <c r="AKL75" i="1" a="1"/>
  <c r="AKL75" i="1" s="1"/>
  <c r="ALA75" i="1" a="1"/>
  <c r="ALA75" i="1" s="1"/>
  <c r="VH75" i="1" a="1"/>
  <c r="VH75" i="1" s="1"/>
  <c r="AGY75" i="1"/>
  <c r="FS77" i="1"/>
  <c r="BR77" i="1"/>
  <c r="HQ78" i="1"/>
  <c r="HR78" i="1" s="1"/>
  <c r="HT78" i="1" s="1"/>
  <c r="HU78" i="1" s="1"/>
  <c r="AHH77" i="1"/>
  <c r="ES14" i="1" a="1"/>
  <c r="ES14" i="1" s="1"/>
  <c r="FG14" i="1" s="1"/>
  <c r="EP14" i="1" a="1"/>
  <c r="EP14" i="1" s="1"/>
  <c r="EU14" i="1" a="1"/>
  <c r="EU14" i="1" s="1"/>
  <c r="EZ14" i="1" s="1"/>
  <c r="ER14" i="1" a="1"/>
  <c r="ER14" i="1" s="1"/>
  <c r="EW14" i="1" a="1"/>
  <c r="EW14" i="1" s="1"/>
  <c r="ET14" i="1" a="1"/>
  <c r="ET14" i="1" s="1"/>
  <c r="FF14" i="1" s="1"/>
  <c r="EV14" i="1" a="1"/>
  <c r="EV14" i="1" s="1"/>
  <c r="EQ14" i="1" a="1"/>
  <c r="EQ14" i="1" s="1"/>
  <c r="VL17" i="1" a="1"/>
  <c r="VL17" i="1" s="1"/>
  <c r="ALF17" i="1" a="1"/>
  <c r="ALF17" i="1" s="1"/>
  <c r="VV17" i="1" a="1"/>
  <c r="VV17" i="1" s="1"/>
  <c r="AKR17" i="1" a="1"/>
  <c r="AKR17" i="1" s="1"/>
  <c r="ALB17" i="1" a="1"/>
  <c r="ALB17" i="1" s="1"/>
  <c r="AKV17" i="1" a="1"/>
  <c r="AKV17" i="1" s="1"/>
  <c r="VC17" i="1" a="1"/>
  <c r="VC17" i="1" s="1"/>
  <c r="VK17" i="1" a="1"/>
  <c r="VK17" i="1" s="1"/>
  <c r="VS17" i="1" a="1"/>
  <c r="VS17" i="1" s="1"/>
  <c r="AKK17" i="1" a="1"/>
  <c r="AKK17" i="1" s="1"/>
  <c r="AKS17" i="1" a="1"/>
  <c r="AKS17" i="1" s="1"/>
  <c r="ALA17" i="1" a="1"/>
  <c r="ALA17" i="1" s="1"/>
  <c r="EU10" i="1" a="1"/>
  <c r="EU10" i="1" s="1"/>
  <c r="EZ10" i="1" s="1"/>
  <c r="EQ10" i="1" a="1"/>
  <c r="EQ10" i="1" s="1"/>
  <c r="EV10" i="1" a="1"/>
  <c r="EV10" i="1" s="1"/>
  <c r="ER10" i="1" a="1"/>
  <c r="ER10" i="1" s="1"/>
  <c r="EW10" i="1" a="1"/>
  <c r="EW10" i="1" s="1"/>
  <c r="ES10" i="1" a="1"/>
  <c r="ES10" i="1" s="1"/>
  <c r="FG10" i="1" s="1"/>
  <c r="ET10" i="1" a="1"/>
  <c r="ET10" i="1" s="1"/>
  <c r="FF10" i="1" s="1"/>
  <c r="EP10" i="1" a="1"/>
  <c r="EP10" i="1" s="1"/>
  <c r="ACI11" i="1" a="1"/>
  <c r="ACI11" i="1" s="1"/>
  <c r="ACF11" i="1" a="1"/>
  <c r="ACF11" i="1" s="1"/>
  <c r="ACA11" i="1" a="1"/>
  <c r="ACA11" i="1" s="1"/>
  <c r="ABX11" i="1" a="1"/>
  <c r="ABX11" i="1" s="1"/>
  <c r="ABS11" i="1" a="1"/>
  <c r="ABS11" i="1" s="1"/>
  <c r="ABP11" i="1" a="1"/>
  <c r="ABP11" i="1" s="1"/>
  <c r="ABK11" i="1" a="1"/>
  <c r="ABK11" i="1" s="1"/>
  <c r="ABH11" i="1" a="1"/>
  <c r="ABH11" i="1" s="1"/>
  <c r="ABC11" i="1" a="1"/>
  <c r="ABC11" i="1" s="1"/>
  <c r="AAZ11" i="1" a="1"/>
  <c r="AAZ11" i="1" s="1"/>
  <c r="AAU11" i="1" a="1"/>
  <c r="AAU11" i="1" s="1"/>
  <c r="AAR11" i="1" a="1"/>
  <c r="AAR11" i="1" s="1"/>
  <c r="AAL11" i="1" a="1"/>
  <c r="AAL11" i="1" s="1"/>
  <c r="AAI11" i="1" a="1"/>
  <c r="AAI11" i="1" s="1"/>
  <c r="ACK11" i="1" a="1"/>
  <c r="ACK11" i="1" s="1"/>
  <c r="ACH11" i="1" a="1"/>
  <c r="ACH11" i="1" s="1"/>
  <c r="ACC11" i="1" a="1"/>
  <c r="ACC11" i="1" s="1"/>
  <c r="ABZ11" i="1" a="1"/>
  <c r="ABZ11" i="1" s="1"/>
  <c r="ABU11" i="1" a="1"/>
  <c r="ABU11" i="1" s="1"/>
  <c r="ABR11" i="1" a="1"/>
  <c r="ABR11" i="1" s="1"/>
  <c r="ABM11" i="1" a="1"/>
  <c r="ABM11" i="1" s="1"/>
  <c r="ABJ11" i="1" a="1"/>
  <c r="ABJ11" i="1" s="1"/>
  <c r="ABE11" i="1" a="1"/>
  <c r="ABE11" i="1" s="1"/>
  <c r="ABB11" i="1" a="1"/>
  <c r="ABB11" i="1" s="1"/>
  <c r="AAW11" i="1" a="1"/>
  <c r="AAW11" i="1" s="1"/>
  <c r="AAT11" i="1" a="1"/>
  <c r="AAT11" i="1" s="1"/>
  <c r="AAN11" i="1" a="1"/>
  <c r="AAN11" i="1" s="1"/>
  <c r="AAK11" i="1" a="1"/>
  <c r="AAK11" i="1" s="1"/>
  <c r="NA11" i="1" a="1"/>
  <c r="NA11" i="1" s="1"/>
  <c r="MY11" i="1" a="1"/>
  <c r="MY11" i="1" s="1"/>
  <c r="MW11" i="1" a="1"/>
  <c r="MW11" i="1" s="1"/>
  <c r="MU11" i="1" a="1"/>
  <c r="MU11" i="1" s="1"/>
  <c r="MS11" i="1" a="1"/>
  <c r="MS11" i="1" s="1"/>
  <c r="MQ11" i="1" a="1"/>
  <c r="MQ11" i="1" s="1"/>
  <c r="MO11" i="1" a="1"/>
  <c r="MO11" i="1" s="1"/>
  <c r="MM11" i="1" a="1"/>
  <c r="MM11" i="1" s="1"/>
  <c r="MK11" i="1" a="1"/>
  <c r="MK11" i="1" s="1"/>
  <c r="MI11" i="1" a="1"/>
  <c r="MI11" i="1" s="1"/>
  <c r="MG11" i="1" a="1"/>
  <c r="MG11" i="1" s="1"/>
  <c r="ME11" i="1" a="1"/>
  <c r="ME11" i="1" s="1"/>
  <c r="MC11" i="1" a="1"/>
  <c r="MC11" i="1" s="1"/>
  <c r="MA11" i="1" a="1"/>
  <c r="MA11" i="1" s="1"/>
  <c r="LY11" i="1" a="1"/>
  <c r="LY11" i="1" s="1"/>
  <c r="LW11" i="1" a="1"/>
  <c r="LW11" i="1" s="1"/>
  <c r="LU11" i="1" a="1"/>
  <c r="LU11" i="1" s="1"/>
  <c r="LS11" i="1" a="1"/>
  <c r="LS11" i="1" s="1"/>
  <c r="LQ11" i="1" a="1"/>
  <c r="LQ11" i="1" s="1"/>
  <c r="LO11" i="1" a="1"/>
  <c r="LO11" i="1" s="1"/>
  <c r="LM11" i="1" a="1"/>
  <c r="LM11" i="1" s="1"/>
  <c r="LK11" i="1" a="1"/>
  <c r="LK11" i="1" s="1"/>
  <c r="LI11" i="1" a="1"/>
  <c r="LI11" i="1" s="1"/>
  <c r="LG11" i="1" a="1"/>
  <c r="LG11" i="1" s="1"/>
  <c r="LD11" i="1" a="1"/>
  <c r="LD11" i="1" s="1"/>
  <c r="LB11" i="1" a="1"/>
  <c r="LB11" i="1" s="1"/>
  <c r="KZ11" i="1" a="1"/>
  <c r="KZ11" i="1" s="1"/>
  <c r="KX11" i="1" a="1"/>
  <c r="KX11" i="1" s="1"/>
  <c r="ACJ11" i="1" a="1"/>
  <c r="ACJ11" i="1" s="1"/>
  <c r="ACE11" i="1" a="1"/>
  <c r="ACE11" i="1" s="1"/>
  <c r="ACB11" i="1" a="1"/>
  <c r="ACB11" i="1" s="1"/>
  <c r="ABW11" i="1" a="1"/>
  <c r="ABW11" i="1" s="1"/>
  <c r="ABT11" i="1" a="1"/>
  <c r="ABT11" i="1" s="1"/>
  <c r="ABO11" i="1" a="1"/>
  <c r="ABO11" i="1" s="1"/>
  <c r="ABL11" i="1" a="1"/>
  <c r="ABL11" i="1" s="1"/>
  <c r="ABG11" i="1" a="1"/>
  <c r="ABG11" i="1" s="1"/>
  <c r="ABD11" i="1" a="1"/>
  <c r="ABD11" i="1" s="1"/>
  <c r="AAY11" i="1" a="1"/>
  <c r="AAY11" i="1" s="1"/>
  <c r="AAV11" i="1" a="1"/>
  <c r="AAV11" i="1" s="1"/>
  <c r="AAQ11" i="1" a="1"/>
  <c r="AAQ11" i="1" s="1"/>
  <c r="AAM11" i="1" a="1"/>
  <c r="AAM11" i="1" s="1"/>
  <c r="AAH11" i="1" a="1"/>
  <c r="AAH11" i="1" s="1"/>
  <c r="ABV11" i="1" a="1"/>
  <c r="ABV11" i="1" s="1"/>
  <c r="ABN11" i="1" a="1"/>
  <c r="ABN11" i="1" s="1"/>
  <c r="ABF11" i="1" a="1"/>
  <c r="ABF11" i="1" s="1"/>
  <c r="AAX11" i="1" a="1"/>
  <c r="AAX11" i="1" s="1"/>
  <c r="AAP11" i="1" a="1"/>
  <c r="AAP11" i="1" s="1"/>
  <c r="NB11" i="1" a="1"/>
  <c r="NB11" i="1" s="1"/>
  <c r="MX11" i="1" a="1"/>
  <c r="MX11" i="1" s="1"/>
  <c r="MT11" i="1" a="1"/>
  <c r="MT11" i="1" s="1"/>
  <c r="MP11" i="1" a="1"/>
  <c r="MP11" i="1" s="1"/>
  <c r="ML11" i="1" a="1"/>
  <c r="ML11" i="1" s="1"/>
  <c r="MH11" i="1" a="1"/>
  <c r="MH11" i="1" s="1"/>
  <c r="MD11" i="1" a="1"/>
  <c r="MD11" i="1" s="1"/>
  <c r="LZ11" i="1" a="1"/>
  <c r="LZ11" i="1" s="1"/>
  <c r="LV11" i="1" a="1"/>
  <c r="LV11" i="1" s="1"/>
  <c r="LR11" i="1" a="1"/>
  <c r="LR11" i="1" s="1"/>
  <c r="LN11" i="1" a="1"/>
  <c r="LN11" i="1" s="1"/>
  <c r="LJ11" i="1" a="1"/>
  <c r="LJ11" i="1" s="1"/>
  <c r="LF11" i="1" a="1"/>
  <c r="LF11" i="1" s="1"/>
  <c r="LA11" i="1" a="1"/>
  <c r="LA11" i="1" s="1"/>
  <c r="ACL11" i="1" a="1"/>
  <c r="ACL11" i="1" s="1"/>
  <c r="ACG11" i="1" a="1"/>
  <c r="ACG11" i="1" s="1"/>
  <c r="ACD11" i="1" a="1"/>
  <c r="ACD11" i="1" s="1"/>
  <c r="ABY11" i="1" a="1"/>
  <c r="ABY11" i="1" s="1"/>
  <c r="ABQ11" i="1" a="1"/>
  <c r="ABQ11" i="1" s="1"/>
  <c r="ABI11" i="1" a="1"/>
  <c r="ABI11" i="1" s="1"/>
  <c r="ABA11" i="1" a="1"/>
  <c r="ABA11" i="1" s="1"/>
  <c r="AAS11" i="1" a="1"/>
  <c r="AAS11" i="1" s="1"/>
  <c r="AAJ11" i="1" a="1"/>
  <c r="AAJ11" i="1" s="1"/>
  <c r="MZ11" i="1" a="1"/>
  <c r="MZ11" i="1" s="1"/>
  <c r="MV11" i="1" a="1"/>
  <c r="MV11" i="1" s="1"/>
  <c r="MR11" i="1" a="1"/>
  <c r="MR11" i="1" s="1"/>
  <c r="MN11" i="1" a="1"/>
  <c r="MN11" i="1" s="1"/>
  <c r="MJ11" i="1" a="1"/>
  <c r="MJ11" i="1" s="1"/>
  <c r="MF11" i="1" a="1"/>
  <c r="MF11" i="1" s="1"/>
  <c r="MB11" i="1" a="1"/>
  <c r="MB11" i="1" s="1"/>
  <c r="LX11" i="1" a="1"/>
  <c r="LX11" i="1" s="1"/>
  <c r="LT11" i="1" a="1"/>
  <c r="LT11" i="1" s="1"/>
  <c r="LP11" i="1" a="1"/>
  <c r="LP11" i="1" s="1"/>
  <c r="LL11" i="1" a="1"/>
  <c r="LL11" i="1" s="1"/>
  <c r="LH11" i="1" a="1"/>
  <c r="LH11" i="1" s="1"/>
  <c r="LC11" i="1" a="1"/>
  <c r="LC11" i="1" s="1"/>
  <c r="KY11" i="1" a="1"/>
  <c r="KY11" i="1" s="1"/>
  <c r="KT11" i="1"/>
  <c r="QZ11" i="1"/>
  <c r="KS11" i="1"/>
  <c r="QI11" i="1"/>
  <c r="KV11" i="1"/>
  <c r="KR11" i="1"/>
  <c r="QX11" i="1" s="1" a="1"/>
  <c r="QX11" i="1" s="1"/>
  <c r="QY11" i="1" s="1"/>
  <c r="KU11" i="1"/>
  <c r="RR11" i="1"/>
  <c r="DK15" i="1" a="1"/>
  <c r="DK15" i="1" s="1"/>
  <c r="DW15" i="1" s="1"/>
  <c r="DG15" i="1" a="1"/>
  <c r="DG15" i="1" s="1"/>
  <c r="DN15" i="1" a="1"/>
  <c r="DN15" i="1" s="1"/>
  <c r="DJ15" i="1" a="1"/>
  <c r="DJ15" i="1" s="1"/>
  <c r="DX15" i="1" s="1"/>
  <c r="DM15" i="1" a="1"/>
  <c r="DM15" i="1" s="1"/>
  <c r="DI15" i="1" a="1"/>
  <c r="DI15" i="1" s="1"/>
  <c r="DL15" i="1" a="1"/>
  <c r="DL15" i="1" s="1"/>
  <c r="DQ15" i="1" s="1"/>
  <c r="DH15" i="1" a="1"/>
  <c r="DH15" i="1" s="1"/>
  <c r="CG23" i="1"/>
  <c r="CI23" i="1" s="1"/>
  <c r="CJ23" i="1" s="1"/>
  <c r="DN16" i="1" a="1"/>
  <c r="DN16" i="1" s="1"/>
  <c r="DJ16" i="1" a="1"/>
  <c r="DJ16" i="1" s="1"/>
  <c r="DX16" i="1" s="1"/>
  <c r="DM16" i="1" a="1"/>
  <c r="DM16" i="1" s="1"/>
  <c r="DI16" i="1" a="1"/>
  <c r="DI16" i="1" s="1"/>
  <c r="DL16" i="1" a="1"/>
  <c r="DL16" i="1" s="1"/>
  <c r="DQ16" i="1" s="1"/>
  <c r="DH16" i="1" a="1"/>
  <c r="DH16" i="1" s="1"/>
  <c r="DK16" i="1" a="1"/>
  <c r="DK16" i="1" s="1"/>
  <c r="DW16" i="1" s="1"/>
  <c r="DG16" i="1" a="1"/>
  <c r="DG16" i="1" s="1"/>
  <c r="CG16" i="1"/>
  <c r="CI16" i="1" s="1"/>
  <c r="CJ16" i="1" s="1"/>
  <c r="ALG19" i="1" a="1"/>
  <c r="ALG19" i="1" s="1"/>
  <c r="AKQ19" i="1" a="1"/>
  <c r="AKQ19" i="1" s="1"/>
  <c r="ADN19" i="1" a="1"/>
  <c r="ADN19" i="1" s="1"/>
  <c r="ADK19" i="1" a="1"/>
  <c r="ADK19" i="1" s="1"/>
  <c r="ADF19" i="1" a="1"/>
  <c r="ADF19" i="1" s="1"/>
  <c r="ADC19" i="1" a="1"/>
  <c r="ADC19" i="1" s="1"/>
  <c r="ACX19" i="1" a="1"/>
  <c r="ACX19" i="1" s="1"/>
  <c r="ACU19" i="1" a="1"/>
  <c r="ACU19" i="1" s="1"/>
  <c r="VU19" i="1" a="1"/>
  <c r="VU19" i="1" s="1"/>
  <c r="VE19" i="1" a="1"/>
  <c r="VE19" i="1" s="1"/>
  <c r="OB19" i="1" a="1"/>
  <c r="OB19" i="1" s="1"/>
  <c r="NY19" i="1" a="1"/>
  <c r="NY19" i="1" s="1"/>
  <c r="NT19" i="1" a="1"/>
  <c r="NT19" i="1" s="1"/>
  <c r="NQ19" i="1" a="1"/>
  <c r="NQ19" i="1" s="1"/>
  <c r="RK19" i="1" s="1"/>
  <c r="NL19" i="1" a="1"/>
  <c r="NL19" i="1" s="1"/>
  <c r="AKV19" i="1" a="1"/>
  <c r="AKV19" i="1" s="1"/>
  <c r="ADP19" i="1" a="1"/>
  <c r="ADP19" i="1" s="1"/>
  <c r="ADM19" i="1" a="1"/>
  <c r="ADM19" i="1" s="1"/>
  <c r="ADH19" i="1" a="1"/>
  <c r="ADH19" i="1" s="1"/>
  <c r="ADE19" i="1" a="1"/>
  <c r="ADE19" i="1" s="1"/>
  <c r="ACZ19" i="1" a="1"/>
  <c r="ACZ19" i="1" s="1"/>
  <c r="ACW19" i="1" a="1"/>
  <c r="ACW19" i="1" s="1"/>
  <c r="VW19" i="1" a="1"/>
  <c r="VW19" i="1" s="1"/>
  <c r="VG19" i="1" a="1"/>
  <c r="VG19" i="1" s="1"/>
  <c r="OD19" i="1" a="1"/>
  <c r="OD19" i="1" s="1"/>
  <c r="OA19" i="1" a="1"/>
  <c r="OA19" i="1" s="1"/>
  <c r="NV19" i="1" a="1"/>
  <c r="NV19" i="1" s="1"/>
  <c r="NS19" i="1" a="1"/>
  <c r="NS19" i="1" s="1"/>
  <c r="NN19" i="1" a="1"/>
  <c r="NN19" i="1" s="1"/>
  <c r="NK19" i="1" a="1"/>
  <c r="NK19" i="1" s="1"/>
  <c r="AR19" i="1" a="1"/>
  <c r="AR19" i="1" s="1"/>
  <c r="AHR19" i="1" s="1"/>
  <c r="AP19" i="1" a="1"/>
  <c r="AP19" i="1" s="1"/>
  <c r="AKX19" i="1" a="1"/>
  <c r="AKX19" i="1" s="1"/>
  <c r="ADO19" i="1" a="1"/>
  <c r="ADO19" i="1" s="1"/>
  <c r="ADJ19" i="1" a="1"/>
  <c r="ADJ19" i="1" s="1"/>
  <c r="ADG19" i="1" a="1"/>
  <c r="ADG19" i="1" s="1"/>
  <c r="ADB19" i="1" a="1"/>
  <c r="ADB19" i="1" s="1"/>
  <c r="ACY19" i="1" a="1"/>
  <c r="ACY19" i="1" s="1"/>
  <c r="ACT19" i="1" a="1"/>
  <c r="ACT19" i="1" s="1"/>
  <c r="AAA19" i="1"/>
  <c r="VT19" i="1" a="1"/>
  <c r="VT19" i="1" s="1"/>
  <c r="VD19" i="1" a="1"/>
  <c r="VD19" i="1" s="1"/>
  <c r="OF19" i="1" a="1"/>
  <c r="OF19" i="1" s="1"/>
  <c r="OC19" i="1" a="1"/>
  <c r="OC19" i="1" s="1"/>
  <c r="NX19" i="1" a="1"/>
  <c r="NX19" i="1" s="1"/>
  <c r="NU19" i="1" a="1"/>
  <c r="NU19" i="1" s="1"/>
  <c r="NP19" i="1" a="1"/>
  <c r="NP19" i="1" s="1"/>
  <c r="NM19" i="1" a="1"/>
  <c r="NM19" i="1" s="1"/>
  <c r="AKW19" i="1" a="1"/>
  <c r="AKW19" i="1" s="1"/>
  <c r="ADL19" i="1" a="1"/>
  <c r="ADL19" i="1" s="1"/>
  <c r="ADI19" i="1" a="1"/>
  <c r="ADI19" i="1" s="1"/>
  <c r="ADD19" i="1" a="1"/>
  <c r="ADD19" i="1" s="1"/>
  <c r="ADA19" i="1" a="1"/>
  <c r="ADA19" i="1" s="1"/>
  <c r="AGU19" i="1" s="1"/>
  <c r="ACV19" i="1" a="1"/>
  <c r="ACV19" i="1" s="1"/>
  <c r="VV19" i="1" a="1"/>
  <c r="VV19" i="1" s="1"/>
  <c r="VF19" i="1" a="1"/>
  <c r="VF19" i="1" s="1"/>
  <c r="OE19" i="1" a="1"/>
  <c r="OE19" i="1" s="1"/>
  <c r="NZ19" i="1" a="1"/>
  <c r="NZ19" i="1" s="1"/>
  <c r="NW19" i="1" a="1"/>
  <c r="NW19" i="1" s="1"/>
  <c r="NR19" i="1" a="1"/>
  <c r="NR19" i="1" s="1"/>
  <c r="NO19" i="1" a="1"/>
  <c r="NO19" i="1" s="1"/>
  <c r="NJ19" i="1" a="1"/>
  <c r="NJ19" i="1" s="1"/>
  <c r="KQ19" i="1"/>
  <c r="AQ19" i="1" a="1"/>
  <c r="AQ19" i="1" s="1"/>
  <c r="AKT19" i="1" s="1" a="1"/>
  <c r="AKT19" i="1" s="1"/>
  <c r="GI22" i="1"/>
  <c r="VF20" i="1" a="1"/>
  <c r="VF20" i="1" s="1"/>
  <c r="VV20" i="1" a="1"/>
  <c r="VV20" i="1" s="1"/>
  <c r="AHB20" i="1"/>
  <c r="AKR20" i="1" a="1"/>
  <c r="AKR20" i="1" s="1"/>
  <c r="ACK20" i="1" a="1"/>
  <c r="ACK20" i="1" s="1"/>
  <c r="ACG20" i="1" a="1"/>
  <c r="ACG20" i="1" s="1"/>
  <c r="ACC20" i="1" a="1"/>
  <c r="ACC20" i="1" s="1"/>
  <c r="ABY20" i="1" a="1"/>
  <c r="ABY20" i="1" s="1"/>
  <c r="ABU20" i="1" a="1"/>
  <c r="ABU20" i="1" s="1"/>
  <c r="ABQ20" i="1" a="1"/>
  <c r="ABQ20" i="1" s="1"/>
  <c r="ABM20" i="1" a="1"/>
  <c r="ABM20" i="1" s="1"/>
  <c r="ABI20" i="1" a="1"/>
  <c r="ABI20" i="1" s="1"/>
  <c r="ABE20" i="1" a="1"/>
  <c r="ABE20" i="1" s="1"/>
  <c r="ABA20" i="1" a="1"/>
  <c r="ABA20" i="1" s="1"/>
  <c r="AAW20" i="1" a="1"/>
  <c r="AAW20" i="1" s="1"/>
  <c r="AAS20" i="1" a="1"/>
  <c r="AAS20" i="1" s="1"/>
  <c r="AAN20" i="1" a="1"/>
  <c r="AAN20" i="1" s="1"/>
  <c r="AAJ20" i="1" a="1"/>
  <c r="AAJ20" i="1" s="1"/>
  <c r="MY20" i="1" a="1"/>
  <c r="MY20" i="1" s="1"/>
  <c r="MV20" i="1" a="1"/>
  <c r="MV20" i="1" s="1"/>
  <c r="MQ20" i="1" a="1"/>
  <c r="MQ20" i="1" s="1"/>
  <c r="MN20" i="1" a="1"/>
  <c r="MN20" i="1" s="1"/>
  <c r="MI20" i="1" a="1"/>
  <c r="MI20" i="1" s="1"/>
  <c r="MF20" i="1" a="1"/>
  <c r="MF20" i="1" s="1"/>
  <c r="MA20" i="1" a="1"/>
  <c r="MA20" i="1" s="1"/>
  <c r="LX20" i="1" a="1"/>
  <c r="LX20" i="1" s="1"/>
  <c r="LS20" i="1" a="1"/>
  <c r="LS20" i="1" s="1"/>
  <c r="LP20" i="1" a="1"/>
  <c r="LP20" i="1" s="1"/>
  <c r="LK20" i="1" a="1"/>
  <c r="LK20" i="1" s="1"/>
  <c r="LH20" i="1" a="1"/>
  <c r="LH20" i="1" s="1"/>
  <c r="LB20" i="1" a="1"/>
  <c r="LB20" i="1" s="1"/>
  <c r="KY20" i="1" a="1"/>
  <c r="KY20" i="1" s="1"/>
  <c r="ACJ20" i="1" a="1"/>
  <c r="ACJ20" i="1" s="1"/>
  <c r="ACF20" i="1" a="1"/>
  <c r="ACF20" i="1" s="1"/>
  <c r="ACB20" i="1" a="1"/>
  <c r="ACB20" i="1" s="1"/>
  <c r="ABX20" i="1" a="1"/>
  <c r="ABX20" i="1" s="1"/>
  <c r="ABT20" i="1" a="1"/>
  <c r="ABT20" i="1" s="1"/>
  <c r="ABP20" i="1" a="1"/>
  <c r="ABP20" i="1" s="1"/>
  <c r="ABL20" i="1" a="1"/>
  <c r="ABL20" i="1" s="1"/>
  <c r="ABH20" i="1" a="1"/>
  <c r="ABH20" i="1" s="1"/>
  <c r="ABD20" i="1" a="1"/>
  <c r="ABD20" i="1" s="1"/>
  <c r="AAZ20" i="1" a="1"/>
  <c r="AAZ20" i="1" s="1"/>
  <c r="AAV20" i="1" a="1"/>
  <c r="AAV20" i="1" s="1"/>
  <c r="AAR20" i="1" a="1"/>
  <c r="AAR20" i="1" s="1"/>
  <c r="AAM20" i="1" a="1"/>
  <c r="AAM20" i="1" s="1"/>
  <c r="AAI20" i="1" a="1"/>
  <c r="AAI20" i="1" s="1"/>
  <c r="NA20" i="1" a="1"/>
  <c r="NA20" i="1" s="1"/>
  <c r="MX20" i="1" a="1"/>
  <c r="MX20" i="1" s="1"/>
  <c r="MS20" i="1" a="1"/>
  <c r="MS20" i="1" s="1"/>
  <c r="MP20" i="1" a="1"/>
  <c r="MP20" i="1" s="1"/>
  <c r="MK20" i="1" a="1"/>
  <c r="MK20" i="1" s="1"/>
  <c r="MH20" i="1" a="1"/>
  <c r="MH20" i="1" s="1"/>
  <c r="MC20" i="1" a="1"/>
  <c r="MC20" i="1" s="1"/>
  <c r="LZ20" i="1" a="1"/>
  <c r="LZ20" i="1" s="1"/>
  <c r="LU20" i="1" a="1"/>
  <c r="LU20" i="1" s="1"/>
  <c r="LR20" i="1" a="1"/>
  <c r="LR20" i="1" s="1"/>
  <c r="LM20" i="1" a="1"/>
  <c r="LM20" i="1" s="1"/>
  <c r="LJ20" i="1" a="1"/>
  <c r="LJ20" i="1" s="1"/>
  <c r="LD20" i="1" a="1"/>
  <c r="LD20" i="1" s="1"/>
  <c r="LA20" i="1" a="1"/>
  <c r="LA20" i="1" s="1"/>
  <c r="ACI20" i="1" a="1"/>
  <c r="ACI20" i="1" s="1"/>
  <c r="ACE20" i="1" a="1"/>
  <c r="ACE20" i="1" s="1"/>
  <c r="ACA20" i="1" a="1"/>
  <c r="ACA20" i="1" s="1"/>
  <c r="ABW20" i="1" a="1"/>
  <c r="ABW20" i="1" s="1"/>
  <c r="ABS20" i="1" a="1"/>
  <c r="ABS20" i="1" s="1"/>
  <c r="ABO20" i="1" a="1"/>
  <c r="ABO20" i="1" s="1"/>
  <c r="ABK20" i="1" a="1"/>
  <c r="ABK20" i="1" s="1"/>
  <c r="ABG20" i="1" a="1"/>
  <c r="ABG20" i="1" s="1"/>
  <c r="ABC20" i="1" a="1"/>
  <c r="ABC20" i="1" s="1"/>
  <c r="AAY20" i="1" a="1"/>
  <c r="AAY20" i="1" s="1"/>
  <c r="AAU20" i="1" a="1"/>
  <c r="AAU20" i="1" s="1"/>
  <c r="AAQ20" i="1" a="1"/>
  <c r="AAQ20" i="1" s="1"/>
  <c r="AAL20" i="1" a="1"/>
  <c r="AAL20" i="1" s="1"/>
  <c r="AAH20" i="1" a="1"/>
  <c r="AAH20" i="1" s="1"/>
  <c r="MZ20" i="1" a="1"/>
  <c r="MZ20" i="1" s="1"/>
  <c r="MU20" i="1" a="1"/>
  <c r="MU20" i="1" s="1"/>
  <c r="MR20" i="1" a="1"/>
  <c r="MR20" i="1" s="1"/>
  <c r="MM20" i="1" a="1"/>
  <c r="MM20" i="1" s="1"/>
  <c r="MJ20" i="1" a="1"/>
  <c r="MJ20" i="1" s="1"/>
  <c r="ME20" i="1" a="1"/>
  <c r="ME20" i="1" s="1"/>
  <c r="MB20" i="1" a="1"/>
  <c r="MB20" i="1" s="1"/>
  <c r="LW20" i="1" a="1"/>
  <c r="LW20" i="1" s="1"/>
  <c r="LT20" i="1" a="1"/>
  <c r="LT20" i="1" s="1"/>
  <c r="LO20" i="1" a="1"/>
  <c r="LO20" i="1" s="1"/>
  <c r="LL20" i="1" a="1"/>
  <c r="LL20" i="1" s="1"/>
  <c r="LG20" i="1" a="1"/>
  <c r="LG20" i="1" s="1"/>
  <c r="LC20" i="1" a="1"/>
  <c r="LC20" i="1" s="1"/>
  <c r="KX20" i="1" a="1"/>
  <c r="KX20" i="1" s="1"/>
  <c r="ACL20" i="1" a="1"/>
  <c r="ACL20" i="1" s="1"/>
  <c r="ACH20" i="1" a="1"/>
  <c r="ACH20" i="1" s="1"/>
  <c r="ACD20" i="1" a="1"/>
  <c r="ACD20" i="1" s="1"/>
  <c r="ABZ20" i="1" a="1"/>
  <c r="ABZ20" i="1" s="1"/>
  <c r="ABV20" i="1" a="1"/>
  <c r="ABV20" i="1" s="1"/>
  <c r="ABR20" i="1" a="1"/>
  <c r="ABR20" i="1" s="1"/>
  <c r="ABN20" i="1" a="1"/>
  <c r="ABN20" i="1" s="1"/>
  <c r="ABJ20" i="1" a="1"/>
  <c r="ABJ20" i="1" s="1"/>
  <c r="ABF20" i="1" a="1"/>
  <c r="ABF20" i="1" s="1"/>
  <c r="ABB20" i="1" a="1"/>
  <c r="ABB20" i="1" s="1"/>
  <c r="AAX20" i="1" a="1"/>
  <c r="AAX20" i="1" s="1"/>
  <c r="AAT20" i="1" a="1"/>
  <c r="AAT20" i="1" s="1"/>
  <c r="AAP20" i="1" a="1"/>
  <c r="AAP20" i="1" s="1"/>
  <c r="AAK20" i="1" a="1"/>
  <c r="AAK20" i="1" s="1"/>
  <c r="NB20" i="1" a="1"/>
  <c r="NB20" i="1" s="1"/>
  <c r="MW20" i="1" a="1"/>
  <c r="MW20" i="1" s="1"/>
  <c r="MT20" i="1" a="1"/>
  <c r="MT20" i="1" s="1"/>
  <c r="MO20" i="1" a="1"/>
  <c r="MO20" i="1" s="1"/>
  <c r="ML20" i="1" a="1"/>
  <c r="ML20" i="1" s="1"/>
  <c r="MG20" i="1" a="1"/>
  <c r="MG20" i="1" s="1"/>
  <c r="MD20" i="1" a="1"/>
  <c r="MD20" i="1" s="1"/>
  <c r="LY20" i="1" a="1"/>
  <c r="LY20" i="1" s="1"/>
  <c r="LV20" i="1" a="1"/>
  <c r="LV20" i="1" s="1"/>
  <c r="LQ20" i="1" a="1"/>
  <c r="LQ20" i="1" s="1"/>
  <c r="LN20" i="1" a="1"/>
  <c r="LN20" i="1" s="1"/>
  <c r="LI20" i="1" a="1"/>
  <c r="LI20" i="1" s="1"/>
  <c r="LF20" i="1" a="1"/>
  <c r="LF20" i="1" s="1"/>
  <c r="KZ20" i="1" a="1"/>
  <c r="KZ20" i="1" s="1"/>
  <c r="VC20" i="1" a="1"/>
  <c r="VC20" i="1" s="1"/>
  <c r="VS20" i="1" a="1"/>
  <c r="VS20" i="1" s="1"/>
  <c r="AGY20" i="1"/>
  <c r="AHR20" i="1"/>
  <c r="AKW20" i="1" a="1"/>
  <c r="AKW20" i="1" s="1"/>
  <c r="VL20" i="1" a="1"/>
  <c r="VL20" i="1" s="1"/>
  <c r="AKT20" i="1" a="1"/>
  <c r="AKT20" i="1" s="1"/>
  <c r="VE20" i="1" a="1"/>
  <c r="VE20" i="1" s="1"/>
  <c r="VU20" i="1" a="1"/>
  <c r="VU20" i="1" s="1"/>
  <c r="AKQ20" i="1" a="1"/>
  <c r="AKQ20" i="1" s="1"/>
  <c r="ALG20" i="1" a="1"/>
  <c r="ALG20" i="1" s="1"/>
  <c r="AN26" i="1"/>
  <c r="AO26" i="1" s="1" a="1"/>
  <c r="AO26" i="1" s="1"/>
  <c r="FR59" i="1"/>
  <c r="BQ59" i="1"/>
  <c r="FP56" i="1"/>
  <c r="BO56" i="1"/>
  <c r="EN57" i="1" a="1"/>
  <c r="EN57" i="1" s="1"/>
  <c r="EI57" i="1" a="1"/>
  <c r="EI57" i="1" s="1"/>
  <c r="EF57" i="1" a="1"/>
  <c r="EF57" i="1" s="1"/>
  <c r="EK57" i="1" a="1"/>
  <c r="EK57" i="1" s="1"/>
  <c r="EH57" i="1" a="1"/>
  <c r="EH57" i="1" s="1"/>
  <c r="EM57" i="1" a="1"/>
  <c r="EM57" i="1" s="1"/>
  <c r="EJ57" i="1" a="1"/>
  <c r="EJ57" i="1" s="1"/>
  <c r="BG57" i="1"/>
  <c r="EG57" i="1" a="1"/>
  <c r="EG57" i="1" s="1"/>
  <c r="EL57" i="1" a="1"/>
  <c r="EL57" i="1" s="1"/>
  <c r="VN59" i="1" a="1"/>
  <c r="VN59" i="1" s="1"/>
  <c r="FT58" i="1"/>
  <c r="BS58" i="1"/>
  <c r="AAD57" i="1"/>
  <c r="AAB57" i="1"/>
  <c r="AGH57" i="1" s="1" a="1"/>
  <c r="AGH57" i="1" s="1"/>
  <c r="AGI57" i="1" s="1"/>
  <c r="AAF57" i="1"/>
  <c r="AAE57" i="1"/>
  <c r="AHB57" i="1" s="1"/>
  <c r="AAC57" i="1"/>
  <c r="AGJ57" i="1"/>
  <c r="AFS57" i="1"/>
  <c r="SH61" i="1"/>
  <c r="KQ61" i="1"/>
  <c r="AHR61" i="1"/>
  <c r="GH62" i="1"/>
  <c r="FQ71" i="1"/>
  <c r="BP71" i="1"/>
  <c r="BR71" i="1"/>
  <c r="FS71" i="1"/>
  <c r="AGV75" i="1"/>
  <c r="QI77" i="1"/>
  <c r="KV77" i="1"/>
  <c r="KR77" i="1"/>
  <c r="QX77" i="1" s="1" a="1"/>
  <c r="QX77" i="1" s="1"/>
  <c r="QY77" i="1" s="1"/>
  <c r="KU77" i="1"/>
  <c r="KT77" i="1"/>
  <c r="KS77" i="1"/>
  <c r="QZ77" i="1"/>
  <c r="GD10" i="1" a="1"/>
  <c r="GD10" i="1" s="1"/>
  <c r="FZ10" i="1" a="1"/>
  <c r="FZ10" i="1" s="1"/>
  <c r="GF10" i="1" a="1"/>
  <c r="GF10" i="1" s="1"/>
  <c r="GA10" i="1" a="1"/>
  <c r="GA10" i="1" s="1"/>
  <c r="GB10" i="1" a="1"/>
  <c r="GB10" i="1" s="1"/>
  <c r="GP10" i="1" s="1"/>
  <c r="GC10" i="1" a="1"/>
  <c r="GC10" i="1" s="1"/>
  <c r="GO10" i="1" s="1"/>
  <c r="FY10" i="1" a="1"/>
  <c r="FY10" i="1" s="1"/>
  <c r="GH10" i="1" s="1"/>
  <c r="GJ10" i="1" s="1"/>
  <c r="GK10" i="1" s="1"/>
  <c r="CE11" i="1" a="1"/>
  <c r="CE11" i="1" s="1"/>
  <c r="CC11" i="1" a="1"/>
  <c r="CC11" i="1" s="1"/>
  <c r="CA11" i="1" a="1"/>
  <c r="CA11" i="1" s="1"/>
  <c r="BY11" i="1" a="1"/>
  <c r="BY11" i="1" s="1"/>
  <c r="CD11" i="1" a="1"/>
  <c r="CD11" i="1" s="1"/>
  <c r="CB11" i="1" a="1"/>
  <c r="CB11" i="1" s="1"/>
  <c r="CN11" i="1" s="1"/>
  <c r="BZ11" i="1" a="1"/>
  <c r="BZ11" i="1" s="1"/>
  <c r="BX11" i="1" a="1"/>
  <c r="BX11" i="1" s="1"/>
  <c r="DL13" i="1" a="1"/>
  <c r="DL13" i="1" s="1"/>
  <c r="DI13" i="1" a="1"/>
  <c r="DI13" i="1" s="1"/>
  <c r="DN13" i="1" a="1"/>
  <c r="DN13" i="1" s="1"/>
  <c r="DK13" i="1" a="1"/>
  <c r="DK13" i="1" s="1"/>
  <c r="DW13" i="1" s="1"/>
  <c r="DM13" i="1" a="1"/>
  <c r="DM13" i="1" s="1"/>
  <c r="DH13" i="1" a="1"/>
  <c r="DH13" i="1" s="1"/>
  <c r="DJ13" i="1" a="1"/>
  <c r="DJ13" i="1" s="1"/>
  <c r="DX13" i="1" s="1"/>
  <c r="DG13" i="1" a="1"/>
  <c r="DG13" i="1" s="1"/>
  <c r="QI13" i="1"/>
  <c r="KV13" i="1"/>
  <c r="KR13" i="1"/>
  <c r="QX13" i="1" s="1" a="1"/>
  <c r="QX13" i="1" s="1"/>
  <c r="QY13" i="1" s="1"/>
  <c r="KU13" i="1"/>
  <c r="KT13" i="1"/>
  <c r="QZ13" i="1"/>
  <c r="KS13" i="1"/>
  <c r="RO13" i="1"/>
  <c r="SH13" i="1"/>
  <c r="EW20" i="1" a="1"/>
  <c r="EW20" i="1" s="1"/>
  <c r="ER20" i="1" a="1"/>
  <c r="ER20" i="1" s="1"/>
  <c r="ET20" i="1" a="1"/>
  <c r="ET20" i="1" s="1"/>
  <c r="FF20" i="1" s="1"/>
  <c r="EQ20" i="1" a="1"/>
  <c r="EQ20" i="1" s="1"/>
  <c r="EV20" i="1" a="1"/>
  <c r="EV20" i="1" s="1"/>
  <c r="ES20" i="1" a="1"/>
  <c r="ES20" i="1" s="1"/>
  <c r="FG20" i="1" s="1"/>
  <c r="EU20" i="1" a="1"/>
  <c r="EU20" i="1" s="1"/>
  <c r="EP20" i="1" a="1"/>
  <c r="EP20" i="1" s="1"/>
  <c r="EY20" i="1" s="1"/>
  <c r="FA20" i="1" s="1"/>
  <c r="FB20" i="1" s="1"/>
  <c r="EZ20" i="1"/>
  <c r="AGY23" i="1"/>
  <c r="BP59" i="1"/>
  <c r="FQ59" i="1"/>
  <c r="BF56" i="1"/>
  <c r="DD56" i="1" a="1"/>
  <c r="DD56" i="1" s="1"/>
  <c r="DA56" i="1" a="1"/>
  <c r="DA56" i="1" s="1"/>
  <c r="BD56" i="1"/>
  <c r="DC56" i="1" a="1"/>
  <c r="DC56" i="1" s="1"/>
  <c r="CX56" i="1" a="1"/>
  <c r="CX56" i="1" s="1"/>
  <c r="DE56" i="1" a="1"/>
  <c r="DE56" i="1" s="1"/>
  <c r="CZ56" i="1" a="1"/>
  <c r="CZ56" i="1" s="1"/>
  <c r="CW56" i="1" a="1"/>
  <c r="CW56" i="1" s="1"/>
  <c r="DB56" i="1" a="1"/>
  <c r="DB56" i="1" s="1"/>
  <c r="CY56" i="1" a="1"/>
  <c r="CY56" i="1" s="1"/>
  <c r="FU57" i="1"/>
  <c r="BT57" i="1"/>
  <c r="VL59" i="1" a="1"/>
  <c r="VL59" i="1" s="1"/>
  <c r="AKR59" i="1" a="1"/>
  <c r="AKR59" i="1" s="1"/>
  <c r="VA59" i="1" a="1"/>
  <c r="VA59" i="1" s="1"/>
  <c r="BN58" i="1"/>
  <c r="FO58" i="1"/>
  <c r="AKO58" i="1" a="1"/>
  <c r="AKO58" i="1" s="1"/>
  <c r="EJ60" i="1" a="1"/>
  <c r="EJ60" i="1" s="1"/>
  <c r="EG60" i="1" a="1"/>
  <c r="EG60" i="1" s="1"/>
  <c r="EL60" i="1" a="1"/>
  <c r="EL60" i="1" s="1"/>
  <c r="EI60" i="1" a="1"/>
  <c r="EI60" i="1" s="1"/>
  <c r="EN60" i="1" a="1"/>
  <c r="EN60" i="1" s="1"/>
  <c r="EK60" i="1" a="1"/>
  <c r="EK60" i="1" s="1"/>
  <c r="EF60" i="1" a="1"/>
  <c r="EF60" i="1" s="1"/>
  <c r="EM60" i="1" a="1"/>
  <c r="EM60" i="1" s="1"/>
  <c r="EH60" i="1" a="1"/>
  <c r="EH60" i="1" s="1"/>
  <c r="BH60" i="1"/>
  <c r="AKU60" i="1" a="1"/>
  <c r="AKU60" i="1" s="1"/>
  <c r="DE63" i="1" a="1"/>
  <c r="DE63" i="1" s="1"/>
  <c r="DB63" i="1" a="1"/>
  <c r="DB63" i="1" s="1"/>
  <c r="CW63" i="1" a="1"/>
  <c r="CW63" i="1" s="1"/>
  <c r="BF63" i="1"/>
  <c r="DD63" i="1" a="1"/>
  <c r="DD63" i="1" s="1"/>
  <c r="CY63" i="1" a="1"/>
  <c r="CY63" i="1" s="1"/>
  <c r="BE63" i="1"/>
  <c r="DA63" i="1" a="1"/>
  <c r="DA63" i="1" s="1"/>
  <c r="CX63" i="1" a="1"/>
  <c r="CX63" i="1" s="1"/>
  <c r="DC63" i="1" a="1"/>
  <c r="DC63" i="1" s="1"/>
  <c r="CZ63" i="1" a="1"/>
  <c r="CZ63" i="1" s="1"/>
  <c r="VO60" i="1" a="1"/>
  <c r="VO60" i="1" s="1"/>
  <c r="ALD61" i="1" a="1"/>
  <c r="ALD61" i="1" s="1"/>
  <c r="AKY61" i="1" a="1"/>
  <c r="AKY61" i="1" s="1"/>
  <c r="VB60" i="1" a="1"/>
  <c r="VB60" i="1" s="1"/>
  <c r="ALD60" i="1" a="1"/>
  <c r="ALD60" i="1" s="1"/>
  <c r="BN63" i="1"/>
  <c r="FO63" i="1"/>
  <c r="AGV62" i="1"/>
  <c r="SH63" i="1"/>
  <c r="RX71" i="1"/>
  <c r="AHB72" i="1"/>
  <c r="SL72" i="1"/>
  <c r="YQ72" i="1"/>
  <c r="SJ72" i="1"/>
  <c r="XZ72" i="1"/>
  <c r="SM72" i="1"/>
  <c r="SK72" i="1"/>
  <c r="SI72" i="1"/>
  <c r="YO72" i="1" s="1" a="1"/>
  <c r="YO72" i="1" s="1"/>
  <c r="YP72" i="1" s="1"/>
  <c r="FS74" i="1"/>
  <c r="BR74" i="1"/>
  <c r="GH75" i="1"/>
  <c r="GJ75" i="1" s="1"/>
  <c r="GK75" i="1" s="1"/>
  <c r="ALF75" i="1" a="1"/>
  <c r="ALF75" i="1" s="1"/>
  <c r="VL75" i="1" a="1"/>
  <c r="VL75" i="1" s="1"/>
  <c r="ALG75" i="1" a="1"/>
  <c r="ALG75" i="1" s="1"/>
  <c r="RU74" i="1"/>
  <c r="FO77" i="1"/>
  <c r="BN77" i="1"/>
  <c r="AHB77" i="1"/>
  <c r="ALA59" i="1" a="1"/>
  <c r="ALA59" i="1" s="1"/>
  <c r="EV73" i="1" a="1"/>
  <c r="EV73" i="1" s="1"/>
  <c r="ET73" i="1" a="1"/>
  <c r="ET73" i="1" s="1"/>
  <c r="FF73" i="1" s="1"/>
  <c r="ER73" i="1" a="1"/>
  <c r="ER73" i="1" s="1"/>
  <c r="EP73" i="1" a="1"/>
  <c r="EP73" i="1" s="1"/>
  <c r="EY73" i="1" s="1"/>
  <c r="FA73" i="1" s="1"/>
  <c r="FB73" i="1" s="1"/>
  <c r="ES73" i="1" a="1"/>
  <c r="ES73" i="1" s="1"/>
  <c r="FG73" i="1" s="1"/>
  <c r="EQ73" i="1" a="1"/>
  <c r="EQ73" i="1" s="1"/>
  <c r="EW73" i="1" a="1"/>
  <c r="EW73" i="1" s="1"/>
  <c r="EU73" i="1" a="1"/>
  <c r="EU73" i="1" s="1"/>
  <c r="GC72" i="1" a="1"/>
  <c r="GC72" i="1" s="1"/>
  <c r="GO72" i="1" s="1"/>
  <c r="GD72" i="1" a="1"/>
  <c r="GD72" i="1" s="1"/>
  <c r="GI72" i="1" s="1"/>
  <c r="GA72" i="1" a="1"/>
  <c r="GA72" i="1" s="1"/>
  <c r="GB72" i="1" a="1"/>
  <c r="GB72" i="1" s="1"/>
  <c r="GP72" i="1" s="1"/>
  <c r="FY72" i="1" a="1"/>
  <c r="FY72" i="1" s="1"/>
  <c r="FZ72" i="1" a="1"/>
  <c r="FZ72" i="1" s="1"/>
  <c r="GF72" i="1" a="1"/>
  <c r="GF72" i="1" s="1"/>
  <c r="DQ58" i="1"/>
  <c r="HT19" i="1"/>
  <c r="HU19" i="1" s="1"/>
  <c r="DL76" i="1" a="1"/>
  <c r="DL76" i="1" s="1"/>
  <c r="DQ76" i="1" s="1"/>
  <c r="DG76" i="1" a="1"/>
  <c r="DG76" i="1" s="1"/>
  <c r="DK76" i="1" a="1"/>
  <c r="DK76" i="1" s="1"/>
  <c r="DW76" i="1" s="1"/>
  <c r="DJ76" i="1" a="1"/>
  <c r="DJ76" i="1" s="1"/>
  <c r="DX76" i="1" s="1"/>
  <c r="DM76" i="1" a="1"/>
  <c r="DM76" i="1" s="1"/>
  <c r="DH76" i="1" a="1"/>
  <c r="DH76" i="1" s="1"/>
  <c r="DI76" i="1" a="1"/>
  <c r="DI76" i="1" s="1"/>
  <c r="DN76" i="1" a="1"/>
  <c r="DN76" i="1" s="1"/>
  <c r="DP12" i="1"/>
  <c r="AFS10" i="1"/>
  <c r="AAF10" i="1"/>
  <c r="AAB10" i="1"/>
  <c r="AGH10" i="1" s="1" a="1"/>
  <c r="AGH10" i="1" s="1"/>
  <c r="AGI10" i="1" s="1"/>
  <c r="AAE10" i="1"/>
  <c r="AAD10" i="1"/>
  <c r="AGJ10" i="1"/>
  <c r="AAC10" i="1"/>
  <c r="AGY10" i="1"/>
  <c r="DM17" i="1" a="1"/>
  <c r="DM17" i="1" s="1"/>
  <c r="DI17" i="1" a="1"/>
  <c r="DI17" i="1" s="1"/>
  <c r="DL17" i="1" a="1"/>
  <c r="DL17" i="1" s="1"/>
  <c r="DH17" i="1" a="1"/>
  <c r="DH17" i="1" s="1"/>
  <c r="DK17" i="1" a="1"/>
  <c r="DK17" i="1" s="1"/>
  <c r="DW17" i="1" s="1"/>
  <c r="DG17" i="1" a="1"/>
  <c r="DG17" i="1" s="1"/>
  <c r="DN17" i="1" a="1"/>
  <c r="DN17" i="1" s="1"/>
  <c r="DJ17" i="1" a="1"/>
  <c r="DJ17" i="1" s="1"/>
  <c r="DX17" i="1" s="1"/>
  <c r="GH11" i="1"/>
  <c r="GI15" i="1"/>
  <c r="ACK18" i="1" a="1"/>
  <c r="ACK18" i="1" s="1"/>
  <c r="ACI18" i="1" a="1"/>
  <c r="ACI18" i="1" s="1"/>
  <c r="ACG18" i="1" a="1"/>
  <c r="ACG18" i="1" s="1"/>
  <c r="ACE18" i="1" a="1"/>
  <c r="ACE18" i="1" s="1"/>
  <c r="ACC18" i="1" a="1"/>
  <c r="ACC18" i="1" s="1"/>
  <c r="ACA18" i="1" a="1"/>
  <c r="ACA18" i="1" s="1"/>
  <c r="ABY18" i="1" a="1"/>
  <c r="ABY18" i="1" s="1"/>
  <c r="ABW18" i="1" a="1"/>
  <c r="ABW18" i="1" s="1"/>
  <c r="ABU18" i="1" a="1"/>
  <c r="ABU18" i="1" s="1"/>
  <c r="ABS18" i="1" a="1"/>
  <c r="ABS18" i="1" s="1"/>
  <c r="ABQ18" i="1" a="1"/>
  <c r="ABQ18" i="1" s="1"/>
  <c r="ABO18" i="1" a="1"/>
  <c r="ABO18" i="1" s="1"/>
  <c r="ABM18" i="1" a="1"/>
  <c r="ABM18" i="1" s="1"/>
  <c r="ABK18" i="1" a="1"/>
  <c r="ABK18" i="1" s="1"/>
  <c r="ABI18" i="1" a="1"/>
  <c r="ABI18" i="1" s="1"/>
  <c r="ABG18" i="1" a="1"/>
  <c r="ABG18" i="1" s="1"/>
  <c r="ABE18" i="1" a="1"/>
  <c r="ABE18" i="1" s="1"/>
  <c r="ABC18" i="1" a="1"/>
  <c r="ABC18" i="1" s="1"/>
  <c r="ABA18" i="1" a="1"/>
  <c r="ABA18" i="1" s="1"/>
  <c r="AAY18" i="1" a="1"/>
  <c r="AAY18" i="1" s="1"/>
  <c r="AAW18" i="1" a="1"/>
  <c r="AAW18" i="1" s="1"/>
  <c r="AAU18" i="1" a="1"/>
  <c r="AAU18" i="1" s="1"/>
  <c r="AAS18" i="1" a="1"/>
  <c r="AAS18" i="1" s="1"/>
  <c r="AAQ18" i="1" a="1"/>
  <c r="AAQ18" i="1" s="1"/>
  <c r="AAN18" i="1" a="1"/>
  <c r="AAN18" i="1" s="1"/>
  <c r="AAL18" i="1" a="1"/>
  <c r="AAL18" i="1" s="1"/>
  <c r="AAJ18" i="1" a="1"/>
  <c r="AAJ18" i="1" s="1"/>
  <c r="AAH18" i="1" a="1"/>
  <c r="AAH18" i="1" s="1"/>
  <c r="NA18" i="1" a="1"/>
  <c r="NA18" i="1" s="1"/>
  <c r="MY18" i="1" a="1"/>
  <c r="MY18" i="1" s="1"/>
  <c r="MW18" i="1" a="1"/>
  <c r="MW18" i="1" s="1"/>
  <c r="MU18" i="1" a="1"/>
  <c r="MU18" i="1" s="1"/>
  <c r="MS18" i="1" a="1"/>
  <c r="MS18" i="1" s="1"/>
  <c r="MQ18" i="1" a="1"/>
  <c r="MQ18" i="1" s="1"/>
  <c r="MO18" i="1" a="1"/>
  <c r="MO18" i="1" s="1"/>
  <c r="MM18" i="1" a="1"/>
  <c r="MM18" i="1" s="1"/>
  <c r="MK18" i="1" a="1"/>
  <c r="MK18" i="1" s="1"/>
  <c r="MI18" i="1" a="1"/>
  <c r="MI18" i="1" s="1"/>
  <c r="MG18" i="1" a="1"/>
  <c r="MG18" i="1" s="1"/>
  <c r="ME18" i="1" a="1"/>
  <c r="ME18" i="1" s="1"/>
  <c r="MC18" i="1" a="1"/>
  <c r="MC18" i="1" s="1"/>
  <c r="MA18" i="1" a="1"/>
  <c r="MA18" i="1" s="1"/>
  <c r="LY18" i="1" a="1"/>
  <c r="LY18" i="1" s="1"/>
  <c r="LW18" i="1" a="1"/>
  <c r="LW18" i="1" s="1"/>
  <c r="LU18" i="1" a="1"/>
  <c r="LU18" i="1" s="1"/>
  <c r="LS18" i="1" a="1"/>
  <c r="LS18" i="1" s="1"/>
  <c r="LQ18" i="1" a="1"/>
  <c r="LQ18" i="1" s="1"/>
  <c r="LO18" i="1" a="1"/>
  <c r="LO18" i="1" s="1"/>
  <c r="LM18" i="1" a="1"/>
  <c r="LM18" i="1" s="1"/>
  <c r="LK18" i="1" a="1"/>
  <c r="LK18" i="1" s="1"/>
  <c r="LI18" i="1" a="1"/>
  <c r="LI18" i="1" s="1"/>
  <c r="LG18" i="1" a="1"/>
  <c r="LG18" i="1" s="1"/>
  <c r="LD18" i="1" a="1"/>
  <c r="LD18" i="1" s="1"/>
  <c r="LB18" i="1" a="1"/>
  <c r="LB18" i="1" s="1"/>
  <c r="KZ18" i="1" a="1"/>
  <c r="KZ18" i="1" s="1"/>
  <c r="KX18" i="1" a="1"/>
  <c r="KX18" i="1" s="1"/>
  <c r="ACL18" i="1" a="1"/>
  <c r="ACL18" i="1" s="1"/>
  <c r="ACJ18" i="1" a="1"/>
  <c r="ACJ18" i="1" s="1"/>
  <c r="ACH18" i="1" a="1"/>
  <c r="ACH18" i="1" s="1"/>
  <c r="ACF18" i="1" a="1"/>
  <c r="ACF18" i="1" s="1"/>
  <c r="ACD18" i="1" a="1"/>
  <c r="ACD18" i="1" s="1"/>
  <c r="ACB18" i="1" a="1"/>
  <c r="ACB18" i="1" s="1"/>
  <c r="ABZ18" i="1" a="1"/>
  <c r="ABZ18" i="1" s="1"/>
  <c r="ABX18" i="1" a="1"/>
  <c r="ABX18" i="1" s="1"/>
  <c r="ABV18" i="1" a="1"/>
  <c r="ABV18" i="1" s="1"/>
  <c r="ABT18" i="1" a="1"/>
  <c r="ABT18" i="1" s="1"/>
  <c r="ABR18" i="1" a="1"/>
  <c r="ABR18" i="1" s="1"/>
  <c r="ABP18" i="1" a="1"/>
  <c r="ABP18" i="1" s="1"/>
  <c r="ABN18" i="1" a="1"/>
  <c r="ABN18" i="1" s="1"/>
  <c r="ABL18" i="1" a="1"/>
  <c r="ABL18" i="1" s="1"/>
  <c r="ABJ18" i="1" a="1"/>
  <c r="ABJ18" i="1" s="1"/>
  <c r="ABH18" i="1" a="1"/>
  <c r="ABH18" i="1" s="1"/>
  <c r="ABF18" i="1" a="1"/>
  <c r="ABF18" i="1" s="1"/>
  <c r="ABD18" i="1" a="1"/>
  <c r="ABD18" i="1" s="1"/>
  <c r="ABB18" i="1" a="1"/>
  <c r="ABB18" i="1" s="1"/>
  <c r="AAZ18" i="1" a="1"/>
  <c r="AAZ18" i="1" s="1"/>
  <c r="AAX18" i="1" a="1"/>
  <c r="AAX18" i="1" s="1"/>
  <c r="AAV18" i="1" a="1"/>
  <c r="AAV18" i="1" s="1"/>
  <c r="AAT18" i="1" a="1"/>
  <c r="AAT18" i="1" s="1"/>
  <c r="AAR18" i="1" a="1"/>
  <c r="AAR18" i="1" s="1"/>
  <c r="AAP18" i="1" a="1"/>
  <c r="AAP18" i="1" s="1"/>
  <c r="AAM18" i="1" a="1"/>
  <c r="AAM18" i="1" s="1"/>
  <c r="AAK18" i="1" a="1"/>
  <c r="AAK18" i="1" s="1"/>
  <c r="AAI18" i="1" a="1"/>
  <c r="AAI18" i="1" s="1"/>
  <c r="NB18" i="1" a="1"/>
  <c r="NB18" i="1" s="1"/>
  <c r="MZ18" i="1" a="1"/>
  <c r="MZ18" i="1" s="1"/>
  <c r="MX18" i="1" a="1"/>
  <c r="MX18" i="1" s="1"/>
  <c r="MV18" i="1" a="1"/>
  <c r="MV18" i="1" s="1"/>
  <c r="MT18" i="1" a="1"/>
  <c r="MT18" i="1" s="1"/>
  <c r="MR18" i="1" a="1"/>
  <c r="MR18" i="1" s="1"/>
  <c r="MP18" i="1" a="1"/>
  <c r="MP18" i="1" s="1"/>
  <c r="MN18" i="1" a="1"/>
  <c r="MN18" i="1" s="1"/>
  <c r="ML18" i="1" a="1"/>
  <c r="ML18" i="1" s="1"/>
  <c r="MJ18" i="1" a="1"/>
  <c r="MJ18" i="1" s="1"/>
  <c r="MH18" i="1" a="1"/>
  <c r="MH18" i="1" s="1"/>
  <c r="MF18" i="1" a="1"/>
  <c r="MF18" i="1" s="1"/>
  <c r="MD18" i="1" a="1"/>
  <c r="MD18" i="1" s="1"/>
  <c r="MB18" i="1" a="1"/>
  <c r="MB18" i="1" s="1"/>
  <c r="LZ18" i="1" a="1"/>
  <c r="LZ18" i="1" s="1"/>
  <c r="LX18" i="1" a="1"/>
  <c r="LX18" i="1" s="1"/>
  <c r="LV18" i="1" a="1"/>
  <c r="LV18" i="1" s="1"/>
  <c r="LT18" i="1" a="1"/>
  <c r="LT18" i="1" s="1"/>
  <c r="LR18" i="1" a="1"/>
  <c r="LR18" i="1" s="1"/>
  <c r="LP18" i="1" a="1"/>
  <c r="LP18" i="1" s="1"/>
  <c r="LN18" i="1" a="1"/>
  <c r="LN18" i="1" s="1"/>
  <c r="LL18" i="1" a="1"/>
  <c r="LL18" i="1" s="1"/>
  <c r="LJ18" i="1" a="1"/>
  <c r="LJ18" i="1" s="1"/>
  <c r="LH18" i="1" a="1"/>
  <c r="LH18" i="1" s="1"/>
  <c r="LF18" i="1" a="1"/>
  <c r="LF18" i="1" s="1"/>
  <c r="LC18" i="1" a="1"/>
  <c r="LC18" i="1" s="1"/>
  <c r="LA18" i="1" a="1"/>
  <c r="LA18" i="1" s="1"/>
  <c r="KY18" i="1" a="1"/>
  <c r="KY18" i="1" s="1"/>
  <c r="QI10" i="1"/>
  <c r="KV10" i="1"/>
  <c r="KR10" i="1"/>
  <c r="QX10" i="1" s="1" a="1"/>
  <c r="QX10" i="1" s="1"/>
  <c r="QY10" i="1" s="1"/>
  <c r="KU10" i="1"/>
  <c r="KT10" i="1"/>
  <c r="QZ10" i="1"/>
  <c r="KS10" i="1"/>
  <c r="RO10" i="1"/>
  <c r="GI10" i="1"/>
  <c r="GH18" i="1"/>
  <c r="KT18" i="1"/>
  <c r="RX18" i="1" s="1"/>
  <c r="QZ18" i="1"/>
  <c r="KS18" i="1"/>
  <c r="QI18" i="1"/>
  <c r="KV18" i="1"/>
  <c r="RU18" i="1" s="1"/>
  <c r="KR18" i="1"/>
  <c r="QX18" i="1" s="1" a="1"/>
  <c r="QX18" i="1" s="1"/>
  <c r="QY18" i="1" s="1"/>
  <c r="KU18" i="1"/>
  <c r="RR18" i="1"/>
  <c r="VH18" i="1" a="1"/>
  <c r="VH18" i="1" s="1"/>
  <c r="VP18" i="1" a="1"/>
  <c r="VP18" i="1" s="1"/>
  <c r="AAD18" i="1"/>
  <c r="AHH18" i="1" s="1"/>
  <c r="AGJ18" i="1"/>
  <c r="AAC18" i="1"/>
  <c r="AFS18" i="1"/>
  <c r="AAF18" i="1"/>
  <c r="AAB18" i="1"/>
  <c r="AGH18" i="1" s="1" a="1"/>
  <c r="AGH18" i="1" s="1"/>
  <c r="AGI18" i="1" s="1"/>
  <c r="AAE18" i="1"/>
  <c r="AKR18" i="1" a="1"/>
  <c r="AKR18" i="1" s="1"/>
  <c r="AKZ18" i="1" a="1"/>
  <c r="AKZ18" i="1" s="1"/>
  <c r="VC18" i="1" a="1"/>
  <c r="VC18" i="1" s="1"/>
  <c r="VK18" i="1" a="1"/>
  <c r="VK18" i="1" s="1"/>
  <c r="VS18" i="1" a="1"/>
  <c r="VS18" i="1" s="1"/>
  <c r="AGY18" i="1"/>
  <c r="AKK18" i="1" a="1"/>
  <c r="AKK18" i="1" s="1"/>
  <c r="AKS18" i="1" a="1"/>
  <c r="AKS18" i="1" s="1"/>
  <c r="DM20" i="1" a="1"/>
  <c r="DM20" i="1" s="1"/>
  <c r="DH20" i="1" a="1"/>
  <c r="DH20" i="1" s="1"/>
  <c r="DJ20" i="1" a="1"/>
  <c r="DJ20" i="1" s="1"/>
  <c r="DX20" i="1" s="1"/>
  <c r="DG20" i="1" a="1"/>
  <c r="DG20" i="1" s="1"/>
  <c r="DP20" i="1" s="1"/>
  <c r="DL20" i="1" a="1"/>
  <c r="DL20" i="1" s="1"/>
  <c r="DQ20" i="1" s="1"/>
  <c r="DI20" i="1" a="1"/>
  <c r="DI20" i="1" s="1"/>
  <c r="DN20" i="1" a="1"/>
  <c r="DN20" i="1" s="1"/>
  <c r="DK20" i="1" a="1"/>
  <c r="DK20" i="1" s="1"/>
  <c r="DW20" i="1" s="1"/>
  <c r="DP22" i="1"/>
  <c r="BR55" i="1"/>
  <c r="FS55" i="1"/>
  <c r="EY56" i="1"/>
  <c r="BR57" i="1"/>
  <c r="FS57" i="1"/>
  <c r="BN60" i="1"/>
  <c r="FO60" i="1"/>
  <c r="AKB60" i="1" a="1"/>
  <c r="AKB60" i="1" s="1"/>
  <c r="AJW60" i="1" a="1"/>
  <c r="AJW60" i="1" s="1"/>
  <c r="AJT60" i="1" a="1"/>
  <c r="AJT60" i="1" s="1"/>
  <c r="AJO60" i="1" a="1"/>
  <c r="AJO60" i="1" s="1"/>
  <c r="AJL60" i="1" a="1"/>
  <c r="AJL60" i="1" s="1"/>
  <c r="AJG60" i="1" a="1"/>
  <c r="AJG60" i="1" s="1"/>
  <c r="AJD60" i="1" a="1"/>
  <c r="AJD60" i="1" s="1"/>
  <c r="AIY60" i="1" a="1"/>
  <c r="AIY60" i="1" s="1"/>
  <c r="AIV60" i="1" a="1"/>
  <c r="AIV60" i="1" s="1"/>
  <c r="AIQ60" i="1" a="1"/>
  <c r="AIQ60" i="1" s="1"/>
  <c r="AIN60" i="1" a="1"/>
  <c r="AIN60" i="1" s="1"/>
  <c r="AII60" i="1" a="1"/>
  <c r="AII60" i="1" s="1"/>
  <c r="US60" i="1" a="1"/>
  <c r="US60" i="1" s="1"/>
  <c r="UP60" i="1" a="1"/>
  <c r="UP60" i="1" s="1"/>
  <c r="UK60" i="1" a="1"/>
  <c r="UK60" i="1" s="1"/>
  <c r="UH60" i="1" a="1"/>
  <c r="UH60" i="1" s="1"/>
  <c r="UC60" i="1" a="1"/>
  <c r="UC60" i="1" s="1"/>
  <c r="TZ60" i="1" a="1"/>
  <c r="TZ60" i="1" s="1"/>
  <c r="TU60" i="1" a="1"/>
  <c r="TU60" i="1" s="1"/>
  <c r="TR60" i="1" a="1"/>
  <c r="TR60" i="1" s="1"/>
  <c r="TM60" i="1" a="1"/>
  <c r="TM60" i="1" s="1"/>
  <c r="TJ60" i="1" a="1"/>
  <c r="TJ60" i="1" s="1"/>
  <c r="TE60" i="1" a="1"/>
  <c r="TE60" i="1" s="1"/>
  <c r="TB60" i="1" a="1"/>
  <c r="TB60" i="1" s="1"/>
  <c r="SW60" i="1" a="1"/>
  <c r="SW60" i="1" s="1"/>
  <c r="AJY60" i="1" a="1"/>
  <c r="AJY60" i="1" s="1"/>
  <c r="AJV60" i="1" a="1"/>
  <c r="AJV60" i="1" s="1"/>
  <c r="AJQ60" i="1" a="1"/>
  <c r="AJQ60" i="1" s="1"/>
  <c r="AJN60" i="1" a="1"/>
  <c r="AJN60" i="1" s="1"/>
  <c r="AJI60" i="1" a="1"/>
  <c r="AJI60" i="1" s="1"/>
  <c r="AJF60" i="1" a="1"/>
  <c r="AJF60" i="1" s="1"/>
  <c r="AJA60" i="1" a="1"/>
  <c r="AJA60" i="1" s="1"/>
  <c r="AIX60" i="1" a="1"/>
  <c r="AIX60" i="1" s="1"/>
  <c r="AIS60" i="1" a="1"/>
  <c r="AIS60" i="1" s="1"/>
  <c r="AIP60" i="1" a="1"/>
  <c r="AIP60" i="1" s="1"/>
  <c r="AIK60" i="1" a="1"/>
  <c r="AIK60" i="1" s="1"/>
  <c r="AIH60" i="1" a="1"/>
  <c r="AIH60" i="1" s="1"/>
  <c r="UR60" i="1" a="1"/>
  <c r="UR60" i="1" s="1"/>
  <c r="UM60" i="1" a="1"/>
  <c r="UM60" i="1" s="1"/>
  <c r="UJ60" i="1" a="1"/>
  <c r="UJ60" i="1" s="1"/>
  <c r="UE60" i="1" a="1"/>
  <c r="UE60" i="1" s="1"/>
  <c r="UB60" i="1" a="1"/>
  <c r="UB60" i="1" s="1"/>
  <c r="TW60" i="1" a="1"/>
  <c r="TW60" i="1" s="1"/>
  <c r="TT60" i="1" a="1"/>
  <c r="TT60" i="1" s="1"/>
  <c r="TO60" i="1" a="1"/>
  <c r="TO60" i="1" s="1"/>
  <c r="TL60" i="1" a="1"/>
  <c r="TL60" i="1" s="1"/>
  <c r="TG60" i="1" a="1"/>
  <c r="TG60" i="1" s="1"/>
  <c r="TD60" i="1" a="1"/>
  <c r="TD60" i="1" s="1"/>
  <c r="SY60" i="1" a="1"/>
  <c r="SY60" i="1" s="1"/>
  <c r="AKA60" i="1" a="1"/>
  <c r="AKA60" i="1" s="1"/>
  <c r="AJX60" i="1" a="1"/>
  <c r="AJX60" i="1" s="1"/>
  <c r="AJS60" i="1" a="1"/>
  <c r="AJS60" i="1" s="1"/>
  <c r="AJP60" i="1" a="1"/>
  <c r="AJP60" i="1" s="1"/>
  <c r="AJK60" i="1" a="1"/>
  <c r="AJK60" i="1" s="1"/>
  <c r="AJH60" i="1" a="1"/>
  <c r="AJH60" i="1" s="1"/>
  <c r="AJC60" i="1" a="1"/>
  <c r="AJC60" i="1" s="1"/>
  <c r="AIZ60" i="1" a="1"/>
  <c r="AIZ60" i="1" s="1"/>
  <c r="AIU60" i="1" a="1"/>
  <c r="AIU60" i="1" s="1"/>
  <c r="AIR60" i="1" a="1"/>
  <c r="AIR60" i="1" s="1"/>
  <c r="AIM60" i="1" a="1"/>
  <c r="AIM60" i="1" s="1"/>
  <c r="AIJ60" i="1" a="1"/>
  <c r="AIJ60" i="1" s="1"/>
  <c r="UO60" i="1" a="1"/>
  <c r="UO60" i="1" s="1"/>
  <c r="UL60" i="1" a="1"/>
  <c r="UL60" i="1" s="1"/>
  <c r="UG60" i="1" a="1"/>
  <c r="UG60" i="1" s="1"/>
  <c r="UD60" i="1" a="1"/>
  <c r="UD60" i="1" s="1"/>
  <c r="TY60" i="1" a="1"/>
  <c r="TY60" i="1" s="1"/>
  <c r="TV60" i="1" a="1"/>
  <c r="TV60" i="1" s="1"/>
  <c r="TQ60" i="1" a="1"/>
  <c r="TQ60" i="1" s="1"/>
  <c r="TN60" i="1" a="1"/>
  <c r="TN60" i="1" s="1"/>
  <c r="TI60" i="1" a="1"/>
  <c r="TI60" i="1" s="1"/>
  <c r="TF60" i="1" a="1"/>
  <c r="TF60" i="1" s="1"/>
  <c r="TA60" i="1" a="1"/>
  <c r="TA60" i="1" s="1"/>
  <c r="SX60" i="1" a="1"/>
  <c r="SX60" i="1" s="1"/>
  <c r="AKC60" i="1" a="1"/>
  <c r="AKC60" i="1" s="1"/>
  <c r="AJZ60" i="1" a="1"/>
  <c r="AJZ60" i="1" s="1"/>
  <c r="AJU60" i="1" a="1"/>
  <c r="AJU60" i="1" s="1"/>
  <c r="AJR60" i="1" a="1"/>
  <c r="AJR60" i="1" s="1"/>
  <c r="AJM60" i="1" a="1"/>
  <c r="AJM60" i="1" s="1"/>
  <c r="AJJ60" i="1" a="1"/>
  <c r="AJJ60" i="1" s="1"/>
  <c r="AJE60" i="1" a="1"/>
  <c r="AJE60" i="1" s="1"/>
  <c r="AJB60" i="1" a="1"/>
  <c r="AJB60" i="1" s="1"/>
  <c r="AIW60" i="1" a="1"/>
  <c r="AIW60" i="1" s="1"/>
  <c r="AIT60" i="1" a="1"/>
  <c r="AIT60" i="1" s="1"/>
  <c r="AIO60" i="1" a="1"/>
  <c r="AIO60" i="1" s="1"/>
  <c r="AIL60" i="1" a="1"/>
  <c r="AIL60" i="1" s="1"/>
  <c r="AIG60" i="1" a="1"/>
  <c r="AIG60" i="1" s="1"/>
  <c r="UQ60" i="1" a="1"/>
  <c r="UQ60" i="1" s="1"/>
  <c r="UN60" i="1" a="1"/>
  <c r="UN60" i="1" s="1"/>
  <c r="UI60" i="1" a="1"/>
  <c r="UI60" i="1" s="1"/>
  <c r="UF60" i="1" a="1"/>
  <c r="UF60" i="1" s="1"/>
  <c r="UA60" i="1" a="1"/>
  <c r="UA60" i="1" s="1"/>
  <c r="TX60" i="1" a="1"/>
  <c r="TX60" i="1" s="1"/>
  <c r="TS60" i="1" a="1"/>
  <c r="TS60" i="1" s="1"/>
  <c r="TP60" i="1" a="1"/>
  <c r="TP60" i="1" s="1"/>
  <c r="TK60" i="1" a="1"/>
  <c r="TK60" i="1" s="1"/>
  <c r="TH60" i="1" a="1"/>
  <c r="TH60" i="1" s="1"/>
  <c r="TC60" i="1" a="1"/>
  <c r="TC60" i="1" s="1"/>
  <c r="SZ60" i="1" a="1"/>
  <c r="SZ60" i="1" s="1"/>
  <c r="ST60" i="1" a="1"/>
  <c r="ST60" i="1" s="1"/>
  <c r="AIC60" i="1" a="1"/>
  <c r="AIC60" i="1" s="1"/>
  <c r="AID60" i="1" a="1"/>
  <c r="AID60" i="1" s="1"/>
  <c r="VE60" i="1" a="1"/>
  <c r="VE60" i="1" s="1"/>
  <c r="VU60" i="1" a="1"/>
  <c r="VU60" i="1" s="1"/>
  <c r="AKQ60" i="1" a="1"/>
  <c r="AKQ60" i="1" s="1"/>
  <c r="ALG60" i="1" a="1"/>
  <c r="ALG60" i="1" s="1"/>
  <c r="VH60" i="1" a="1"/>
  <c r="VH60" i="1" s="1"/>
  <c r="AKO60" i="1" a="1"/>
  <c r="AKO60" i="1" s="1"/>
  <c r="ALE60" i="1" a="1"/>
  <c r="ALE60" i="1" s="1"/>
  <c r="SP60" i="1" a="1"/>
  <c r="SP60" i="1" s="1"/>
  <c r="AHY60" i="1" a="1"/>
  <c r="AHY60" i="1" s="1"/>
  <c r="VK60" i="1" a="1"/>
  <c r="VK60" i="1" s="1"/>
  <c r="AHZ60" i="1" a="1"/>
  <c r="AHZ60" i="1" s="1"/>
  <c r="AKT60" i="1" a="1"/>
  <c r="AKT60" i="1" s="1"/>
  <c r="SO60" i="1" a="1"/>
  <c r="SO60" i="1" s="1"/>
  <c r="SU60" i="1" a="1"/>
  <c r="SU60" i="1" s="1"/>
  <c r="VM60" i="1" a="1"/>
  <c r="VM60" i="1" s="1"/>
  <c r="AIB60" i="1" a="1"/>
  <c r="AIB60" i="1" s="1"/>
  <c r="AKY60" i="1" a="1"/>
  <c r="AKY60" i="1" s="1"/>
  <c r="SS60" i="1" a="1"/>
  <c r="SS60" i="1" s="1"/>
  <c r="VP60" i="1" a="1"/>
  <c r="VP60" i="1" s="1"/>
  <c r="AIE60" i="1" a="1"/>
  <c r="AIE60" i="1" s="1"/>
  <c r="AKW60" i="1" a="1"/>
  <c r="AKW60" i="1" s="1"/>
  <c r="SQ60" i="1" a="1"/>
  <c r="SQ60" i="1" s="1"/>
  <c r="SR60" i="1" a="1"/>
  <c r="SR60" i="1" s="1"/>
  <c r="AIA60" i="1" a="1"/>
  <c r="AIA60" i="1" s="1"/>
  <c r="HQ60" i="1"/>
  <c r="HR60" i="1" s="1"/>
  <c r="HT60" i="1" s="1"/>
  <c r="HU60" i="1" s="1"/>
  <c r="GC61" i="1" a="1"/>
  <c r="GC61" i="1" s="1"/>
  <c r="GO61" i="1" s="1"/>
  <c r="FZ61" i="1" a="1"/>
  <c r="FZ61" i="1" s="1"/>
  <c r="GF61" i="1" a="1"/>
  <c r="GF61" i="1" s="1"/>
  <c r="GB61" i="1" a="1"/>
  <c r="GB61" i="1" s="1"/>
  <c r="GP61" i="1" s="1"/>
  <c r="GA61" i="1" a="1"/>
  <c r="GA61" i="1" s="1"/>
  <c r="FY61" i="1" a="1"/>
  <c r="FY61" i="1" s="1"/>
  <c r="GD61" i="1" a="1"/>
  <c r="GD61" i="1" s="1"/>
  <c r="EP62" i="1" a="1"/>
  <c r="EP62" i="1" s="1"/>
  <c r="EY62" i="1" s="1"/>
  <c r="FA62" i="1" s="1"/>
  <c r="FB62" i="1" s="1"/>
  <c r="EU62" i="1" a="1"/>
  <c r="EU62" i="1" s="1"/>
  <c r="EZ62" i="1" s="1"/>
  <c r="ER62" i="1" a="1"/>
  <c r="ER62" i="1" s="1"/>
  <c r="EW62" i="1" a="1"/>
  <c r="EW62" i="1" s="1"/>
  <c r="ET62" i="1" a="1"/>
  <c r="ET62" i="1" s="1"/>
  <c r="FF62" i="1" s="1"/>
  <c r="EQ62" i="1" a="1"/>
  <c r="EQ62" i="1" s="1"/>
  <c r="EV62" i="1" a="1"/>
  <c r="EV62" i="1" s="1"/>
  <c r="ES62" i="1" a="1"/>
  <c r="ES62" i="1" s="1"/>
  <c r="FG62" i="1" s="1"/>
  <c r="CG61" i="1"/>
  <c r="AHH71" i="1"/>
  <c r="AHH72" i="1"/>
  <c r="QI75" i="1"/>
  <c r="KS75" i="1"/>
  <c r="KV75" i="1"/>
  <c r="KR75" i="1"/>
  <c r="QX75" i="1" s="1" a="1"/>
  <c r="QX75" i="1" s="1"/>
  <c r="QY75" i="1" s="1"/>
  <c r="QZ75" i="1"/>
  <c r="KU75" i="1"/>
  <c r="RR75" i="1" s="1"/>
  <c r="KT75" i="1"/>
  <c r="ACJ76" i="1" a="1"/>
  <c r="ACJ76" i="1" s="1"/>
  <c r="ACF76" i="1" a="1"/>
  <c r="ACF76" i="1" s="1"/>
  <c r="ACB76" i="1" a="1"/>
  <c r="ACB76" i="1" s="1"/>
  <c r="ABX76" i="1" a="1"/>
  <c r="ABX76" i="1" s="1"/>
  <c r="ABT76" i="1" a="1"/>
  <c r="ABT76" i="1" s="1"/>
  <c r="ABP76" i="1" a="1"/>
  <c r="ABP76" i="1" s="1"/>
  <c r="ABL76" i="1" a="1"/>
  <c r="ABL76" i="1" s="1"/>
  <c r="ABH76" i="1" a="1"/>
  <c r="ABH76" i="1" s="1"/>
  <c r="ABD76" i="1" a="1"/>
  <c r="ABD76" i="1" s="1"/>
  <c r="AAZ76" i="1" a="1"/>
  <c r="AAZ76" i="1" s="1"/>
  <c r="AAV76" i="1" a="1"/>
  <c r="AAV76" i="1" s="1"/>
  <c r="AAR76" i="1" a="1"/>
  <c r="AAR76" i="1" s="1"/>
  <c r="AAM76" i="1" a="1"/>
  <c r="AAM76" i="1" s="1"/>
  <c r="AAI76" i="1" a="1"/>
  <c r="AAI76" i="1" s="1"/>
  <c r="NA76" i="1" a="1"/>
  <c r="NA76" i="1" s="1"/>
  <c r="MX76" i="1" a="1"/>
  <c r="MX76" i="1" s="1"/>
  <c r="MS76" i="1" a="1"/>
  <c r="MS76" i="1" s="1"/>
  <c r="MP76" i="1" a="1"/>
  <c r="MP76" i="1" s="1"/>
  <c r="MK76" i="1" a="1"/>
  <c r="MK76" i="1" s="1"/>
  <c r="MH76" i="1" a="1"/>
  <c r="MH76" i="1" s="1"/>
  <c r="MC76" i="1" a="1"/>
  <c r="MC76" i="1" s="1"/>
  <c r="LZ76" i="1" a="1"/>
  <c r="LZ76" i="1" s="1"/>
  <c r="LU76" i="1" a="1"/>
  <c r="LU76" i="1" s="1"/>
  <c r="LR76" i="1" a="1"/>
  <c r="LR76" i="1" s="1"/>
  <c r="LM76" i="1" a="1"/>
  <c r="LM76" i="1" s="1"/>
  <c r="LJ76" i="1" a="1"/>
  <c r="LJ76" i="1" s="1"/>
  <c r="LD76" i="1" a="1"/>
  <c r="LD76" i="1" s="1"/>
  <c r="LA76" i="1" a="1"/>
  <c r="LA76" i="1" s="1"/>
  <c r="ACI76" i="1" a="1"/>
  <c r="ACI76" i="1" s="1"/>
  <c r="ACE76" i="1" a="1"/>
  <c r="ACE76" i="1" s="1"/>
  <c r="ACA76" i="1" a="1"/>
  <c r="ACA76" i="1" s="1"/>
  <c r="ABW76" i="1" a="1"/>
  <c r="ABW76" i="1" s="1"/>
  <c r="ABS76" i="1" a="1"/>
  <c r="ABS76" i="1" s="1"/>
  <c r="ABO76" i="1" a="1"/>
  <c r="ABO76" i="1" s="1"/>
  <c r="ABK76" i="1" a="1"/>
  <c r="ABK76" i="1" s="1"/>
  <c r="ABG76" i="1" a="1"/>
  <c r="ABG76" i="1" s="1"/>
  <c r="ABC76" i="1" a="1"/>
  <c r="ABC76" i="1" s="1"/>
  <c r="AAY76" i="1" a="1"/>
  <c r="AAY76" i="1" s="1"/>
  <c r="AAU76" i="1" a="1"/>
  <c r="AAU76" i="1" s="1"/>
  <c r="AAQ76" i="1" a="1"/>
  <c r="AAQ76" i="1" s="1"/>
  <c r="MZ76" i="1" a="1"/>
  <c r="MZ76" i="1" s="1"/>
  <c r="MU76" i="1" a="1"/>
  <c r="MU76" i="1" s="1"/>
  <c r="MR76" i="1" a="1"/>
  <c r="MR76" i="1" s="1"/>
  <c r="MM76" i="1" a="1"/>
  <c r="MM76" i="1" s="1"/>
  <c r="MJ76" i="1" a="1"/>
  <c r="MJ76" i="1" s="1"/>
  <c r="ME76" i="1" a="1"/>
  <c r="ME76" i="1" s="1"/>
  <c r="MB76" i="1" a="1"/>
  <c r="MB76" i="1" s="1"/>
  <c r="LW76" i="1" a="1"/>
  <c r="LW76" i="1" s="1"/>
  <c r="LT76" i="1" a="1"/>
  <c r="LT76" i="1" s="1"/>
  <c r="LO76" i="1" a="1"/>
  <c r="LO76" i="1" s="1"/>
  <c r="LL76" i="1" a="1"/>
  <c r="LL76" i="1" s="1"/>
  <c r="LG76" i="1" a="1"/>
  <c r="LG76" i="1" s="1"/>
  <c r="LC76" i="1" a="1"/>
  <c r="LC76" i="1" s="1"/>
  <c r="KX76" i="1" a="1"/>
  <c r="KX76" i="1" s="1"/>
  <c r="ACL76" i="1" a="1"/>
  <c r="ACL76" i="1" s="1"/>
  <c r="ACH76" i="1" a="1"/>
  <c r="ACH76" i="1" s="1"/>
  <c r="ACD76" i="1" a="1"/>
  <c r="ACD76" i="1" s="1"/>
  <c r="ABZ76" i="1" a="1"/>
  <c r="ABZ76" i="1" s="1"/>
  <c r="ABV76" i="1" a="1"/>
  <c r="ABV76" i="1" s="1"/>
  <c r="ABR76" i="1" a="1"/>
  <c r="ABR76" i="1" s="1"/>
  <c r="ABN76" i="1" a="1"/>
  <c r="ABN76" i="1" s="1"/>
  <c r="ABJ76" i="1" a="1"/>
  <c r="ABJ76" i="1" s="1"/>
  <c r="ABF76" i="1" a="1"/>
  <c r="ABF76" i="1" s="1"/>
  <c r="ABB76" i="1" a="1"/>
  <c r="ABB76" i="1" s="1"/>
  <c r="AAX76" i="1" a="1"/>
  <c r="AAX76" i="1" s="1"/>
  <c r="AAT76" i="1" a="1"/>
  <c r="AAT76" i="1" s="1"/>
  <c r="AAP76" i="1" a="1"/>
  <c r="AAP76" i="1" s="1"/>
  <c r="NB76" i="1" a="1"/>
  <c r="NB76" i="1" s="1"/>
  <c r="MW76" i="1" a="1"/>
  <c r="MW76" i="1" s="1"/>
  <c r="MT76" i="1" a="1"/>
  <c r="MT76" i="1" s="1"/>
  <c r="MO76" i="1" a="1"/>
  <c r="MO76" i="1" s="1"/>
  <c r="ML76" i="1" a="1"/>
  <c r="ML76" i="1" s="1"/>
  <c r="MG76" i="1" a="1"/>
  <c r="MG76" i="1" s="1"/>
  <c r="MD76" i="1" a="1"/>
  <c r="MD76" i="1" s="1"/>
  <c r="LY76" i="1" a="1"/>
  <c r="LY76" i="1" s="1"/>
  <c r="LV76" i="1" a="1"/>
  <c r="LV76" i="1" s="1"/>
  <c r="LQ76" i="1" a="1"/>
  <c r="LQ76" i="1" s="1"/>
  <c r="LN76" i="1" a="1"/>
  <c r="LN76" i="1" s="1"/>
  <c r="LI76" i="1" a="1"/>
  <c r="LI76" i="1" s="1"/>
  <c r="LF76" i="1" a="1"/>
  <c r="LF76" i="1" s="1"/>
  <c r="ABY76" i="1" a="1"/>
  <c r="ABY76" i="1" s="1"/>
  <c r="ABI76" i="1" a="1"/>
  <c r="ABI76" i="1" s="1"/>
  <c r="AAS76" i="1" a="1"/>
  <c r="AAS76" i="1" s="1"/>
  <c r="MY76" i="1" a="1"/>
  <c r="MY76" i="1" s="1"/>
  <c r="MN76" i="1" a="1"/>
  <c r="MN76" i="1" s="1"/>
  <c r="LS76" i="1" a="1"/>
  <c r="LS76" i="1" s="1"/>
  <c r="LH76" i="1" a="1"/>
  <c r="LH76" i="1" s="1"/>
  <c r="ACK76" i="1" a="1"/>
  <c r="ACK76" i="1" s="1"/>
  <c r="ABU76" i="1" a="1"/>
  <c r="ABU76" i="1" s="1"/>
  <c r="ABE76" i="1" a="1"/>
  <c r="ABE76" i="1" s="1"/>
  <c r="AAN76" i="1" a="1"/>
  <c r="AAN76" i="1" s="1"/>
  <c r="MV76" i="1" a="1"/>
  <c r="MV76" i="1" s="1"/>
  <c r="MA76" i="1" a="1"/>
  <c r="MA76" i="1" s="1"/>
  <c r="LP76" i="1" a="1"/>
  <c r="LP76" i="1" s="1"/>
  <c r="ACG76" i="1" a="1"/>
  <c r="ACG76" i="1" s="1"/>
  <c r="ABQ76" i="1" a="1"/>
  <c r="ABQ76" i="1" s="1"/>
  <c r="ABA76" i="1" a="1"/>
  <c r="ABA76" i="1" s="1"/>
  <c r="AAJ76" i="1" a="1"/>
  <c r="AAJ76" i="1" s="1"/>
  <c r="ACC76" i="1" a="1"/>
  <c r="ACC76" i="1" s="1"/>
  <c r="ABM76" i="1" a="1"/>
  <c r="ABM76" i="1" s="1"/>
  <c r="AAW76" i="1" a="1"/>
  <c r="AAW76" i="1" s="1"/>
  <c r="MQ76" i="1" a="1"/>
  <c r="MQ76" i="1" s="1"/>
  <c r="MF76" i="1" a="1"/>
  <c r="MF76" i="1" s="1"/>
  <c r="LK76" i="1" a="1"/>
  <c r="LK76" i="1" s="1"/>
  <c r="KY76" i="1" a="1"/>
  <c r="KY76" i="1" s="1"/>
  <c r="MI76" i="1" a="1"/>
  <c r="MI76" i="1" s="1"/>
  <c r="LX76" i="1" a="1"/>
  <c r="LX76" i="1" s="1"/>
  <c r="LB76" i="1" a="1"/>
  <c r="LB76" i="1" s="1"/>
  <c r="AAH76" i="1" a="1"/>
  <c r="AAH76" i="1" s="1"/>
  <c r="AAL76" i="1" a="1"/>
  <c r="AAL76" i="1" s="1"/>
  <c r="KZ76" i="1" a="1"/>
  <c r="KZ76" i="1" s="1"/>
  <c r="AAK76" i="1" a="1"/>
  <c r="AAK76" i="1" s="1"/>
  <c r="AHE74" i="1"/>
  <c r="ACJ77" i="1" a="1"/>
  <c r="ACJ77" i="1" s="1"/>
  <c r="ACF77" i="1" a="1"/>
  <c r="ACF77" i="1" s="1"/>
  <c r="ACB77" i="1" a="1"/>
  <c r="ACB77" i="1" s="1"/>
  <c r="ABX77" i="1" a="1"/>
  <c r="ABX77" i="1" s="1"/>
  <c r="ABT77" i="1" a="1"/>
  <c r="ABT77" i="1" s="1"/>
  <c r="ABP77" i="1" a="1"/>
  <c r="ABP77" i="1" s="1"/>
  <c r="ABL77" i="1" a="1"/>
  <c r="ABL77" i="1" s="1"/>
  <c r="ABH77" i="1" a="1"/>
  <c r="ABH77" i="1" s="1"/>
  <c r="ABD77" i="1" a="1"/>
  <c r="ABD77" i="1" s="1"/>
  <c r="AAZ77" i="1" a="1"/>
  <c r="AAZ77" i="1" s="1"/>
  <c r="AAV77" i="1" a="1"/>
  <c r="AAV77" i="1" s="1"/>
  <c r="AAR77" i="1" a="1"/>
  <c r="AAR77" i="1" s="1"/>
  <c r="MZ77" i="1" a="1"/>
  <c r="MZ77" i="1" s="1"/>
  <c r="MU77" i="1" a="1"/>
  <c r="MU77" i="1" s="1"/>
  <c r="MR77" i="1" a="1"/>
  <c r="MR77" i="1" s="1"/>
  <c r="MM77" i="1" a="1"/>
  <c r="MM77" i="1" s="1"/>
  <c r="MJ77" i="1" a="1"/>
  <c r="MJ77" i="1" s="1"/>
  <c r="ME77" i="1" a="1"/>
  <c r="ME77" i="1" s="1"/>
  <c r="MB77" i="1" a="1"/>
  <c r="MB77" i="1" s="1"/>
  <c r="LW77" i="1" a="1"/>
  <c r="LW77" i="1" s="1"/>
  <c r="LT77" i="1" a="1"/>
  <c r="LT77" i="1" s="1"/>
  <c r="LO77" i="1" a="1"/>
  <c r="LO77" i="1" s="1"/>
  <c r="LL77" i="1" a="1"/>
  <c r="LL77" i="1" s="1"/>
  <c r="LG77" i="1" a="1"/>
  <c r="LG77" i="1" s="1"/>
  <c r="ACI77" i="1" a="1"/>
  <c r="ACI77" i="1" s="1"/>
  <c r="ACE77" i="1" a="1"/>
  <c r="ACE77" i="1" s="1"/>
  <c r="ACA77" i="1" a="1"/>
  <c r="ACA77" i="1" s="1"/>
  <c r="ABW77" i="1" a="1"/>
  <c r="ABW77" i="1" s="1"/>
  <c r="ABS77" i="1" a="1"/>
  <c r="ABS77" i="1" s="1"/>
  <c r="ABO77" i="1" a="1"/>
  <c r="ABO77" i="1" s="1"/>
  <c r="ABK77" i="1" a="1"/>
  <c r="ABK77" i="1" s="1"/>
  <c r="ABG77" i="1" a="1"/>
  <c r="ABG77" i="1" s="1"/>
  <c r="ABC77" i="1" a="1"/>
  <c r="ABC77" i="1" s="1"/>
  <c r="AAY77" i="1" a="1"/>
  <c r="AAY77" i="1" s="1"/>
  <c r="AAU77" i="1" a="1"/>
  <c r="AAU77" i="1" s="1"/>
  <c r="AAQ77" i="1" a="1"/>
  <c r="AAQ77" i="1" s="1"/>
  <c r="NB77" i="1" a="1"/>
  <c r="NB77" i="1" s="1"/>
  <c r="MW77" i="1" a="1"/>
  <c r="MW77" i="1" s="1"/>
  <c r="MT77" i="1" a="1"/>
  <c r="MT77" i="1" s="1"/>
  <c r="MO77" i="1" a="1"/>
  <c r="MO77" i="1" s="1"/>
  <c r="ML77" i="1" a="1"/>
  <c r="ML77" i="1" s="1"/>
  <c r="MG77" i="1" a="1"/>
  <c r="MG77" i="1" s="1"/>
  <c r="MD77" i="1" a="1"/>
  <c r="MD77" i="1" s="1"/>
  <c r="LY77" i="1" a="1"/>
  <c r="LY77" i="1" s="1"/>
  <c r="LV77" i="1" a="1"/>
  <c r="LV77" i="1" s="1"/>
  <c r="LQ77" i="1" a="1"/>
  <c r="LQ77" i="1" s="1"/>
  <c r="LN77" i="1" a="1"/>
  <c r="LN77" i="1" s="1"/>
  <c r="LI77" i="1" a="1"/>
  <c r="LI77" i="1" s="1"/>
  <c r="LF77" i="1" a="1"/>
  <c r="LF77" i="1" s="1"/>
  <c r="ACL77" i="1" a="1"/>
  <c r="ACL77" i="1" s="1"/>
  <c r="ACH77" i="1" a="1"/>
  <c r="ACH77" i="1" s="1"/>
  <c r="ACD77" i="1" a="1"/>
  <c r="ACD77" i="1" s="1"/>
  <c r="ABZ77" i="1" a="1"/>
  <c r="ABZ77" i="1" s="1"/>
  <c r="ABV77" i="1" a="1"/>
  <c r="ABV77" i="1" s="1"/>
  <c r="ABR77" i="1" a="1"/>
  <c r="ABR77" i="1" s="1"/>
  <c r="ABN77" i="1" a="1"/>
  <c r="ABN77" i="1" s="1"/>
  <c r="ABJ77" i="1" a="1"/>
  <c r="ABJ77" i="1" s="1"/>
  <c r="ABF77" i="1" a="1"/>
  <c r="ABF77" i="1" s="1"/>
  <c r="ABB77" i="1" a="1"/>
  <c r="ABB77" i="1" s="1"/>
  <c r="AAX77" i="1" a="1"/>
  <c r="AAX77" i="1" s="1"/>
  <c r="AAT77" i="1" a="1"/>
  <c r="AAT77" i="1" s="1"/>
  <c r="AAP77" i="1" a="1"/>
  <c r="AAP77" i="1" s="1"/>
  <c r="MY77" i="1" a="1"/>
  <c r="MY77" i="1" s="1"/>
  <c r="MV77" i="1" a="1"/>
  <c r="MV77" i="1" s="1"/>
  <c r="MQ77" i="1" a="1"/>
  <c r="MQ77" i="1" s="1"/>
  <c r="MN77" i="1" a="1"/>
  <c r="MN77" i="1" s="1"/>
  <c r="MI77" i="1" a="1"/>
  <c r="MI77" i="1" s="1"/>
  <c r="MF77" i="1" a="1"/>
  <c r="MF77" i="1" s="1"/>
  <c r="MA77" i="1" a="1"/>
  <c r="MA77" i="1" s="1"/>
  <c r="LX77" i="1" a="1"/>
  <c r="LX77" i="1" s="1"/>
  <c r="LS77" i="1" a="1"/>
  <c r="LS77" i="1" s="1"/>
  <c r="LP77" i="1" a="1"/>
  <c r="LP77" i="1" s="1"/>
  <c r="LK77" i="1" a="1"/>
  <c r="LK77" i="1" s="1"/>
  <c r="LH77" i="1" a="1"/>
  <c r="LH77" i="1" s="1"/>
  <c r="ABY77" i="1" a="1"/>
  <c r="ABY77" i="1" s="1"/>
  <c r="ABI77" i="1" a="1"/>
  <c r="ABI77" i="1" s="1"/>
  <c r="AAS77" i="1" a="1"/>
  <c r="AAS77" i="1" s="1"/>
  <c r="MX77" i="1" a="1"/>
  <c r="MX77" i="1" s="1"/>
  <c r="MC77" i="1" a="1"/>
  <c r="MC77" i="1" s="1"/>
  <c r="LR77" i="1" a="1"/>
  <c r="LR77" i="1" s="1"/>
  <c r="ACK77" i="1" a="1"/>
  <c r="ACK77" i="1" s="1"/>
  <c r="ABU77" i="1" a="1"/>
  <c r="ABU77" i="1" s="1"/>
  <c r="ABE77" i="1" a="1"/>
  <c r="ABE77" i="1" s="1"/>
  <c r="AAN77" i="1" a="1"/>
  <c r="AAN77" i="1" s="1"/>
  <c r="MK77" i="1" a="1"/>
  <c r="MK77" i="1" s="1"/>
  <c r="LZ77" i="1" a="1"/>
  <c r="LZ77" i="1" s="1"/>
  <c r="LD77" i="1" a="1"/>
  <c r="LD77" i="1" s="1"/>
  <c r="ACG77" i="1" a="1"/>
  <c r="ACG77" i="1" s="1"/>
  <c r="ABQ77" i="1" a="1"/>
  <c r="ABQ77" i="1" s="1"/>
  <c r="ABA77" i="1" a="1"/>
  <c r="ABA77" i="1" s="1"/>
  <c r="AAJ77" i="1" a="1"/>
  <c r="AAJ77" i="1" s="1"/>
  <c r="MS77" i="1" a="1"/>
  <c r="MS77" i="1" s="1"/>
  <c r="MH77" i="1" a="1"/>
  <c r="MH77" i="1" s="1"/>
  <c r="LM77" i="1" a="1"/>
  <c r="LM77" i="1" s="1"/>
  <c r="LA77" i="1" a="1"/>
  <c r="LA77" i="1" s="1"/>
  <c r="ABM77" i="1" a="1"/>
  <c r="ABM77" i="1" s="1"/>
  <c r="AAW77" i="1" a="1"/>
  <c r="AAW77" i="1" s="1"/>
  <c r="LU77" i="1" a="1"/>
  <c r="LU77" i="1" s="1"/>
  <c r="NA77" i="1" a="1"/>
  <c r="NA77" i="1" s="1"/>
  <c r="LJ77" i="1" a="1"/>
  <c r="LJ77" i="1" s="1"/>
  <c r="ACC77" i="1" a="1"/>
  <c r="ACC77" i="1" s="1"/>
  <c r="MP77" i="1" a="1"/>
  <c r="MP77" i="1" s="1"/>
  <c r="KZ77" i="1" a="1"/>
  <c r="KZ77" i="1" s="1"/>
  <c r="AAL77" i="1" a="1"/>
  <c r="AAL77" i="1" s="1"/>
  <c r="AAM77" i="1" a="1"/>
  <c r="AAM77" i="1" s="1"/>
  <c r="KX77" i="1" a="1"/>
  <c r="KX77" i="1" s="1"/>
  <c r="KY77" i="1" a="1"/>
  <c r="KY77" i="1" s="1"/>
  <c r="AAK77" i="1" a="1"/>
  <c r="AAK77" i="1" s="1"/>
  <c r="AAH77" i="1" a="1"/>
  <c r="AAH77" i="1" s="1"/>
  <c r="LC77" i="1" a="1"/>
  <c r="LC77" i="1" s="1"/>
  <c r="AAI77" i="1" a="1"/>
  <c r="AAI77" i="1" s="1"/>
  <c r="LB77" i="1" a="1"/>
  <c r="LB77" i="1" s="1"/>
  <c r="FA16" i="1"/>
  <c r="FB16" i="1" s="1"/>
  <c r="FD16" i="1" s="1"/>
  <c r="FE16" i="1" s="1"/>
  <c r="AKX14" i="1" a="1"/>
  <c r="AKX14" i="1" s="1"/>
  <c r="KT14" i="1"/>
  <c r="QZ14" i="1"/>
  <c r="QI14" i="1"/>
  <c r="KS14" i="1"/>
  <c r="KR14" i="1"/>
  <c r="QX14" i="1" s="1" a="1"/>
  <c r="QX14" i="1" s="1"/>
  <c r="QY14" i="1" s="1"/>
  <c r="KV14" i="1"/>
  <c r="KU14" i="1"/>
  <c r="VC14" i="1" a="1"/>
  <c r="VC14" i="1" s="1"/>
  <c r="VS14" i="1" a="1"/>
  <c r="VS14" i="1" s="1"/>
  <c r="AKQ14" i="1" a="1"/>
  <c r="AKQ14" i="1" s="1"/>
  <c r="ALG14" i="1" a="1"/>
  <c r="ALG14" i="1" s="1"/>
  <c r="RO14" i="1"/>
  <c r="VI14" i="1" a="1"/>
  <c r="VI14" i="1" s="1"/>
  <c r="AAD14" i="1"/>
  <c r="AFS14" i="1"/>
  <c r="AAB14" i="1"/>
  <c r="AGH14" i="1" s="1" a="1"/>
  <c r="AGH14" i="1" s="1"/>
  <c r="AGI14" i="1" s="1"/>
  <c r="AAF14" i="1"/>
  <c r="AHE14" i="1" s="1"/>
  <c r="AGJ14" i="1"/>
  <c r="AAE14" i="1"/>
  <c r="AAC14" i="1"/>
  <c r="AKR14" i="1" a="1"/>
  <c r="AKR14" i="1" s="1"/>
  <c r="ACH14" i="1" a="1"/>
  <c r="ACH14" i="1" s="1"/>
  <c r="ACE14" i="1" a="1"/>
  <c r="ACE14" i="1" s="1"/>
  <c r="ABZ14" i="1" a="1"/>
  <c r="ABZ14" i="1" s="1"/>
  <c r="ABW14" i="1" a="1"/>
  <c r="ABW14" i="1" s="1"/>
  <c r="ABR14" i="1" a="1"/>
  <c r="ABR14" i="1" s="1"/>
  <c r="ABO14" i="1" a="1"/>
  <c r="ABO14" i="1" s="1"/>
  <c r="ABJ14" i="1" a="1"/>
  <c r="ABJ14" i="1" s="1"/>
  <c r="ABG14" i="1" a="1"/>
  <c r="ABG14" i="1" s="1"/>
  <c r="ABB14" i="1" a="1"/>
  <c r="ABB14" i="1" s="1"/>
  <c r="AAY14" i="1" a="1"/>
  <c r="AAY14" i="1" s="1"/>
  <c r="AAT14" i="1" a="1"/>
  <c r="AAT14" i="1" s="1"/>
  <c r="AAQ14" i="1" a="1"/>
  <c r="AAQ14" i="1" s="1"/>
  <c r="AAK14" i="1" a="1"/>
  <c r="AAK14" i="1" s="1"/>
  <c r="AAH14" i="1" a="1"/>
  <c r="AAH14" i="1" s="1"/>
  <c r="NA14" i="1" a="1"/>
  <c r="NA14" i="1" s="1"/>
  <c r="MV14" i="1" a="1"/>
  <c r="MV14" i="1" s="1"/>
  <c r="MS14" i="1" a="1"/>
  <c r="MS14" i="1" s="1"/>
  <c r="MN14" i="1" a="1"/>
  <c r="MN14" i="1" s="1"/>
  <c r="MK14" i="1" a="1"/>
  <c r="MK14" i="1" s="1"/>
  <c r="MF14" i="1" a="1"/>
  <c r="MF14" i="1" s="1"/>
  <c r="MC14" i="1" a="1"/>
  <c r="MC14" i="1" s="1"/>
  <c r="LX14" i="1" a="1"/>
  <c r="LX14" i="1" s="1"/>
  <c r="LU14" i="1" a="1"/>
  <c r="LU14" i="1" s="1"/>
  <c r="LP14" i="1" a="1"/>
  <c r="LP14" i="1" s="1"/>
  <c r="LM14" i="1" a="1"/>
  <c r="LM14" i="1" s="1"/>
  <c r="LH14" i="1" a="1"/>
  <c r="LH14" i="1" s="1"/>
  <c r="LD14" i="1" a="1"/>
  <c r="LD14" i="1" s="1"/>
  <c r="KY14" i="1" a="1"/>
  <c r="KY14" i="1" s="1"/>
  <c r="ACJ14" i="1" a="1"/>
  <c r="ACJ14" i="1" s="1"/>
  <c r="ACG14" i="1" a="1"/>
  <c r="ACG14" i="1" s="1"/>
  <c r="ACB14" i="1" a="1"/>
  <c r="ACB14" i="1" s="1"/>
  <c r="ABY14" i="1" a="1"/>
  <c r="ABY14" i="1" s="1"/>
  <c r="ABT14" i="1" a="1"/>
  <c r="ABT14" i="1" s="1"/>
  <c r="ABQ14" i="1" a="1"/>
  <c r="ABQ14" i="1" s="1"/>
  <c r="ABL14" i="1" a="1"/>
  <c r="ABL14" i="1" s="1"/>
  <c r="ABI14" i="1" a="1"/>
  <c r="ABI14" i="1" s="1"/>
  <c r="ABD14" i="1" a="1"/>
  <c r="ABD14" i="1" s="1"/>
  <c r="ABA14" i="1" a="1"/>
  <c r="ABA14" i="1" s="1"/>
  <c r="AAV14" i="1" a="1"/>
  <c r="AAV14" i="1" s="1"/>
  <c r="AAS14" i="1" a="1"/>
  <c r="AAS14" i="1" s="1"/>
  <c r="AAM14" i="1" a="1"/>
  <c r="AAM14" i="1" s="1"/>
  <c r="AAJ14" i="1" a="1"/>
  <c r="AAJ14" i="1" s="1"/>
  <c r="MX14" i="1" a="1"/>
  <c r="MX14" i="1" s="1"/>
  <c r="MU14" i="1" a="1"/>
  <c r="MU14" i="1" s="1"/>
  <c r="MP14" i="1" a="1"/>
  <c r="MP14" i="1" s="1"/>
  <c r="MM14" i="1" a="1"/>
  <c r="MM14" i="1" s="1"/>
  <c r="MH14" i="1" a="1"/>
  <c r="MH14" i="1" s="1"/>
  <c r="ME14" i="1" a="1"/>
  <c r="ME14" i="1" s="1"/>
  <c r="LZ14" i="1" a="1"/>
  <c r="LZ14" i="1" s="1"/>
  <c r="LW14" i="1" a="1"/>
  <c r="LW14" i="1" s="1"/>
  <c r="LR14" i="1" a="1"/>
  <c r="LR14" i="1" s="1"/>
  <c r="LO14" i="1" a="1"/>
  <c r="LO14" i="1" s="1"/>
  <c r="LJ14" i="1" a="1"/>
  <c r="LJ14" i="1" s="1"/>
  <c r="LG14" i="1" a="1"/>
  <c r="LG14" i="1" s="1"/>
  <c r="LA14" i="1" a="1"/>
  <c r="LA14" i="1" s="1"/>
  <c r="KX14" i="1" a="1"/>
  <c r="KX14" i="1" s="1"/>
  <c r="ACL14" i="1" a="1"/>
  <c r="ACL14" i="1" s="1"/>
  <c r="ACI14" i="1" a="1"/>
  <c r="ACI14" i="1" s="1"/>
  <c r="ACD14" i="1" a="1"/>
  <c r="ACD14" i="1" s="1"/>
  <c r="ACA14" i="1" a="1"/>
  <c r="ACA14" i="1" s="1"/>
  <c r="ABV14" i="1" a="1"/>
  <c r="ABV14" i="1" s="1"/>
  <c r="ABS14" i="1" a="1"/>
  <c r="ABS14" i="1" s="1"/>
  <c r="ABN14" i="1" a="1"/>
  <c r="ABN14" i="1" s="1"/>
  <c r="ABK14" i="1" a="1"/>
  <c r="ABK14" i="1" s="1"/>
  <c r="ABF14" i="1" a="1"/>
  <c r="ABF14" i="1" s="1"/>
  <c r="ABC14" i="1" a="1"/>
  <c r="ABC14" i="1" s="1"/>
  <c r="AAX14" i="1" a="1"/>
  <c r="AAX14" i="1" s="1"/>
  <c r="AAU14" i="1" a="1"/>
  <c r="AAU14" i="1" s="1"/>
  <c r="AAP14" i="1" a="1"/>
  <c r="AAP14" i="1" s="1"/>
  <c r="AAL14" i="1" a="1"/>
  <c r="AAL14" i="1" s="1"/>
  <c r="MZ14" i="1" a="1"/>
  <c r="MZ14" i="1" s="1"/>
  <c r="MW14" i="1" a="1"/>
  <c r="MW14" i="1" s="1"/>
  <c r="MR14" i="1" a="1"/>
  <c r="MR14" i="1" s="1"/>
  <c r="MO14" i="1" a="1"/>
  <c r="MO14" i="1" s="1"/>
  <c r="MJ14" i="1" a="1"/>
  <c r="MJ14" i="1" s="1"/>
  <c r="MG14" i="1" a="1"/>
  <c r="MG14" i="1" s="1"/>
  <c r="MB14" i="1" a="1"/>
  <c r="MB14" i="1" s="1"/>
  <c r="LY14" i="1" a="1"/>
  <c r="LY14" i="1" s="1"/>
  <c r="LT14" i="1" a="1"/>
  <c r="LT14" i="1" s="1"/>
  <c r="LQ14" i="1" a="1"/>
  <c r="LQ14" i="1" s="1"/>
  <c r="LL14" i="1" a="1"/>
  <c r="LL14" i="1" s="1"/>
  <c r="LI14" i="1" a="1"/>
  <c r="LI14" i="1" s="1"/>
  <c r="LC14" i="1" a="1"/>
  <c r="LC14" i="1" s="1"/>
  <c r="KZ14" i="1" a="1"/>
  <c r="KZ14" i="1" s="1"/>
  <c r="ACK14" i="1" a="1"/>
  <c r="ACK14" i="1" s="1"/>
  <c r="ACF14" i="1" a="1"/>
  <c r="ACF14" i="1" s="1"/>
  <c r="ACC14" i="1" a="1"/>
  <c r="ACC14" i="1" s="1"/>
  <c r="ABX14" i="1" a="1"/>
  <c r="ABX14" i="1" s="1"/>
  <c r="ABU14" i="1" a="1"/>
  <c r="ABU14" i="1" s="1"/>
  <c r="ABP14" i="1" a="1"/>
  <c r="ABP14" i="1" s="1"/>
  <c r="ABM14" i="1" a="1"/>
  <c r="ABM14" i="1" s="1"/>
  <c r="ABH14" i="1" a="1"/>
  <c r="ABH14" i="1" s="1"/>
  <c r="ABE14" i="1" a="1"/>
  <c r="ABE14" i="1" s="1"/>
  <c r="AAZ14" i="1" a="1"/>
  <c r="AAZ14" i="1" s="1"/>
  <c r="AAW14" i="1" a="1"/>
  <c r="AAW14" i="1" s="1"/>
  <c r="AAR14" i="1" a="1"/>
  <c r="AAR14" i="1" s="1"/>
  <c r="AAN14" i="1" a="1"/>
  <c r="AAN14" i="1" s="1"/>
  <c r="AAI14" i="1" a="1"/>
  <c r="AAI14" i="1" s="1"/>
  <c r="NB14" i="1" a="1"/>
  <c r="NB14" i="1" s="1"/>
  <c r="MY14" i="1" a="1"/>
  <c r="MY14" i="1" s="1"/>
  <c r="MT14" i="1" a="1"/>
  <c r="MT14" i="1" s="1"/>
  <c r="MQ14" i="1" a="1"/>
  <c r="MQ14" i="1" s="1"/>
  <c r="ML14" i="1" a="1"/>
  <c r="ML14" i="1" s="1"/>
  <c r="MI14" i="1" a="1"/>
  <c r="MI14" i="1" s="1"/>
  <c r="MD14" i="1" a="1"/>
  <c r="MD14" i="1" s="1"/>
  <c r="MA14" i="1" a="1"/>
  <c r="MA14" i="1" s="1"/>
  <c r="LV14" i="1" a="1"/>
  <c r="LV14" i="1" s="1"/>
  <c r="LS14" i="1" a="1"/>
  <c r="LS14" i="1" s="1"/>
  <c r="LN14" i="1" a="1"/>
  <c r="LN14" i="1" s="1"/>
  <c r="LK14" i="1" a="1"/>
  <c r="LK14" i="1" s="1"/>
  <c r="LF14" i="1" a="1"/>
  <c r="LF14" i="1" s="1"/>
  <c r="LB14" i="1" a="1"/>
  <c r="LB14" i="1" s="1"/>
  <c r="VG14" i="1" a="1"/>
  <c r="VG14" i="1" s="1"/>
  <c r="VW14" i="1" a="1"/>
  <c r="VW14" i="1" s="1"/>
  <c r="AHB14" i="1"/>
  <c r="AHR14" i="1"/>
  <c r="AKW14" i="1" a="1"/>
  <c r="AKW14" i="1" s="1"/>
  <c r="CD17" i="1" a="1"/>
  <c r="CD17" i="1" s="1"/>
  <c r="CB17" i="1" a="1"/>
  <c r="CB17" i="1" s="1"/>
  <c r="CN17" i="1" s="1"/>
  <c r="BZ17" i="1" a="1"/>
  <c r="BZ17" i="1" s="1"/>
  <c r="BX17" i="1" a="1"/>
  <c r="BX17" i="1" s="1"/>
  <c r="CE17" i="1" a="1"/>
  <c r="CE17" i="1" s="1"/>
  <c r="CC17" i="1" a="1"/>
  <c r="CC17" i="1" s="1"/>
  <c r="CA17" i="1" a="1"/>
  <c r="CA17" i="1" s="1"/>
  <c r="CO17" i="1" s="1"/>
  <c r="BY17" i="1" a="1"/>
  <c r="BY17" i="1" s="1"/>
  <c r="GI11" i="1"/>
  <c r="GH15" i="1"/>
  <c r="GJ15" i="1" s="1"/>
  <c r="GK15" i="1" s="1"/>
  <c r="HZ16" i="1"/>
  <c r="CE18" i="1" a="1"/>
  <c r="CE18" i="1" s="1"/>
  <c r="CC18" i="1" a="1"/>
  <c r="CC18" i="1" s="1"/>
  <c r="CH18" i="1" s="1"/>
  <c r="CA18" i="1" a="1"/>
  <c r="CA18" i="1" s="1"/>
  <c r="CO18" i="1" s="1"/>
  <c r="BY18" i="1" a="1"/>
  <c r="BY18" i="1" s="1"/>
  <c r="CD18" i="1" a="1"/>
  <c r="CD18" i="1" s="1"/>
  <c r="CB18" i="1" a="1"/>
  <c r="CB18" i="1" s="1"/>
  <c r="CN18" i="1" s="1"/>
  <c r="BZ18" i="1" a="1"/>
  <c r="BZ18" i="1" s="1"/>
  <c r="BX18" i="1" a="1"/>
  <c r="BX18" i="1" s="1"/>
  <c r="GD20" i="1" a="1"/>
  <c r="GD20" i="1" s="1"/>
  <c r="FY20" i="1" a="1"/>
  <c r="FY20" i="1" s="1"/>
  <c r="GH20" i="1" s="1"/>
  <c r="GJ20" i="1" s="1"/>
  <c r="GK20" i="1" s="1"/>
  <c r="GA20" i="1" a="1"/>
  <c r="GA20" i="1" s="1"/>
  <c r="GC20" i="1" a="1"/>
  <c r="GC20" i="1" s="1"/>
  <c r="GO20" i="1" s="1"/>
  <c r="FZ20" i="1" a="1"/>
  <c r="FZ20" i="1" s="1"/>
  <c r="GF20" i="1" a="1"/>
  <c r="GF20" i="1" s="1"/>
  <c r="GB20" i="1" a="1"/>
  <c r="GB20" i="1" s="1"/>
  <c r="GP20" i="1" s="1"/>
  <c r="DE26" i="1" a="1"/>
  <c r="DE26" i="1" s="1"/>
  <c r="DC26" i="1" a="1"/>
  <c r="DC26" i="1" s="1"/>
  <c r="DA26" i="1" a="1"/>
  <c r="DA26" i="1" s="1"/>
  <c r="CY26" i="1" a="1"/>
  <c r="CY26" i="1" s="1"/>
  <c r="CW26" i="1" a="1"/>
  <c r="CW26" i="1" s="1"/>
  <c r="BE26" i="1"/>
  <c r="BD26" i="1"/>
  <c r="DD26" i="1" a="1"/>
  <c r="DD26" i="1" s="1"/>
  <c r="DB26" i="1" a="1"/>
  <c r="DB26" i="1" s="1"/>
  <c r="CZ26" i="1" a="1"/>
  <c r="CZ26" i="1" s="1"/>
  <c r="CX26" i="1" a="1"/>
  <c r="CX26" i="1" s="1"/>
  <c r="BT59" i="1"/>
  <c r="FU59" i="1"/>
  <c r="FU56" i="1"/>
  <c r="BT56" i="1"/>
  <c r="AHR56" i="1"/>
  <c r="SH56" i="1"/>
  <c r="AAA56" i="1"/>
  <c r="KQ56" i="1"/>
  <c r="FV55" i="1"/>
  <c r="BU55" i="1"/>
  <c r="FR55" i="1"/>
  <c r="BQ55" i="1"/>
  <c r="VB58" i="1" a="1"/>
  <c r="VB58" i="1" s="1"/>
  <c r="VE58" i="1" a="1"/>
  <c r="VE58" i="1" s="1"/>
  <c r="VU58" i="1" a="1"/>
  <c r="VU58" i="1" s="1"/>
  <c r="AKX58" i="1" a="1"/>
  <c r="AKX58" i="1" s="1"/>
  <c r="AFS58" i="1"/>
  <c r="AAF58" i="1"/>
  <c r="AAB58" i="1"/>
  <c r="AGH58" i="1" s="1" a="1"/>
  <c r="AGH58" i="1" s="1"/>
  <c r="AGI58" i="1" s="1"/>
  <c r="AAD58" i="1"/>
  <c r="AAE58" i="1"/>
  <c r="AGJ58" i="1"/>
  <c r="AAC58" i="1"/>
  <c r="CC57" i="1" a="1"/>
  <c r="CC57" i="1" s="1"/>
  <c r="BY57" i="1" a="1"/>
  <c r="BY57" i="1" s="1"/>
  <c r="BZ57" i="1" a="1"/>
  <c r="BZ57" i="1" s="1"/>
  <c r="BX57" i="1" a="1"/>
  <c r="BX57" i="1" s="1"/>
  <c r="CE57" i="1" a="1"/>
  <c r="CE57" i="1" s="1"/>
  <c r="CD57" i="1" a="1"/>
  <c r="CD57" i="1" s="1"/>
  <c r="CB57" i="1" a="1"/>
  <c r="CB57" i="1" s="1"/>
  <c r="CN57" i="1" s="1"/>
  <c r="CA57" i="1" a="1"/>
  <c r="CA57" i="1" s="1"/>
  <c r="CO57" i="1" s="1"/>
  <c r="BF60" i="1"/>
  <c r="DE60" i="1" a="1"/>
  <c r="DE60" i="1" s="1"/>
  <c r="CZ60" i="1" a="1"/>
  <c r="CZ60" i="1" s="1"/>
  <c r="CW60" i="1" a="1"/>
  <c r="CW60" i="1" s="1"/>
  <c r="DB60" i="1" a="1"/>
  <c r="DB60" i="1" s="1"/>
  <c r="CY60" i="1" a="1"/>
  <c r="CY60" i="1" s="1"/>
  <c r="BE60" i="1"/>
  <c r="DD60" i="1" a="1"/>
  <c r="DD60" i="1" s="1"/>
  <c r="DA60" i="1" a="1"/>
  <c r="DA60" i="1" s="1"/>
  <c r="BD60" i="1"/>
  <c r="DC60" i="1" a="1"/>
  <c r="DC60" i="1" s="1"/>
  <c r="CX60" i="1" a="1"/>
  <c r="CX60" i="1" s="1"/>
  <c r="AKM60" i="1" a="1"/>
  <c r="AKM60" i="1" s="1"/>
  <c r="FR63" i="1"/>
  <c r="BQ63" i="1"/>
  <c r="VG60" i="1" a="1"/>
  <c r="VG60" i="1" s="1"/>
  <c r="ALA60" i="1" a="1"/>
  <c r="ALA60" i="1" s="1"/>
  <c r="BD61" i="1"/>
  <c r="DC61" i="1" a="1"/>
  <c r="DC61" i="1" s="1"/>
  <c r="CZ61" i="1" a="1"/>
  <c r="CZ61" i="1" s="1"/>
  <c r="DE61" i="1" a="1"/>
  <c r="DE61" i="1" s="1"/>
  <c r="DB61" i="1" a="1"/>
  <c r="DB61" i="1" s="1"/>
  <c r="CW61" i="1" a="1"/>
  <c r="CW61" i="1" s="1"/>
  <c r="BF61" i="1"/>
  <c r="DD61" i="1" a="1"/>
  <c r="DD61" i="1" s="1"/>
  <c r="CY61" i="1" a="1"/>
  <c r="CY61" i="1" s="1"/>
  <c r="BE61" i="1"/>
  <c r="DA61" i="1" a="1"/>
  <c r="DA61" i="1" s="1"/>
  <c r="CX61" i="1" a="1"/>
  <c r="CX61" i="1" s="1"/>
  <c r="VJ60" i="1" a="1"/>
  <c r="VJ60" i="1" s="1"/>
  <c r="HW62" i="1"/>
  <c r="CG73" i="1"/>
  <c r="CI73" i="1" s="1"/>
  <c r="CJ73" i="1" s="1"/>
  <c r="DN73" i="1" a="1"/>
  <c r="DN73" i="1" s="1"/>
  <c r="DL73" i="1" a="1"/>
  <c r="DL73" i="1" s="1"/>
  <c r="DQ73" i="1" s="1"/>
  <c r="DJ73" i="1" a="1"/>
  <c r="DJ73" i="1" s="1"/>
  <c r="DX73" i="1" s="1"/>
  <c r="DH73" i="1" a="1"/>
  <c r="DH73" i="1" s="1"/>
  <c r="DI73" i="1" a="1"/>
  <c r="DI73" i="1" s="1"/>
  <c r="DG73" i="1" a="1"/>
  <c r="DG73" i="1" s="1"/>
  <c r="DM73" i="1" a="1"/>
  <c r="DM73" i="1" s="1"/>
  <c r="DK73" i="1" a="1"/>
  <c r="DK73" i="1" s="1"/>
  <c r="DW73" i="1" s="1"/>
  <c r="BR72" i="1"/>
  <c r="FS72" i="1"/>
  <c r="CB75" i="1" a="1"/>
  <c r="CB75" i="1" s="1"/>
  <c r="CN75" i="1" s="1"/>
  <c r="BY75" i="1" a="1"/>
  <c r="BY75" i="1" s="1"/>
  <c r="CD75" i="1" a="1"/>
  <c r="CD75" i="1" s="1"/>
  <c r="CE75" i="1" a="1"/>
  <c r="CE75" i="1" s="1"/>
  <c r="BX75" i="1" a="1"/>
  <c r="BX75" i="1" s="1"/>
  <c r="BZ75" i="1" a="1"/>
  <c r="BZ75" i="1" s="1"/>
  <c r="CC75" i="1" a="1"/>
  <c r="CC75" i="1" s="1"/>
  <c r="CH75" i="1" s="1"/>
  <c r="CA75" i="1" a="1"/>
  <c r="CA75" i="1" s="1"/>
  <c r="CO75" i="1" s="1"/>
  <c r="AKK75" i="1" a="1"/>
  <c r="AKK75" i="1" s="1"/>
  <c r="FT76" i="1"/>
  <c r="BS76" i="1"/>
  <c r="RU76" i="1"/>
  <c r="FO78" i="1"/>
  <c r="BN78" i="1"/>
  <c r="EU78" i="1" a="1"/>
  <c r="EU78" i="1" s="1"/>
  <c r="EZ78" i="1" s="1"/>
  <c r="EQ78" i="1" a="1"/>
  <c r="EQ78" i="1" s="1"/>
  <c r="EW78" i="1" a="1"/>
  <c r="EW78" i="1" s="1"/>
  <c r="ES78" i="1" a="1"/>
  <c r="ES78" i="1" s="1"/>
  <c r="FG78" i="1" s="1"/>
  <c r="ET78" i="1" a="1"/>
  <c r="ET78" i="1" s="1"/>
  <c r="FF78" i="1" s="1"/>
  <c r="ER78" i="1" a="1"/>
  <c r="ER78" i="1" s="1"/>
  <c r="EV78" i="1" a="1"/>
  <c r="EV78" i="1" s="1"/>
  <c r="EP78" i="1" a="1"/>
  <c r="EP78" i="1" s="1"/>
  <c r="EY78" i="1" s="1"/>
  <c r="EU12" i="1" a="1"/>
  <c r="EU12" i="1" s="1"/>
  <c r="ER12" i="1" a="1"/>
  <c r="ER12" i="1" s="1"/>
  <c r="EW12" i="1" a="1"/>
  <c r="EW12" i="1" s="1"/>
  <c r="ET12" i="1" a="1"/>
  <c r="ET12" i="1" s="1"/>
  <c r="FF12" i="1" s="1"/>
  <c r="EV12" i="1" a="1"/>
  <c r="EV12" i="1" s="1"/>
  <c r="EQ12" i="1" a="1"/>
  <c r="EQ12" i="1" s="1"/>
  <c r="ES12" i="1" a="1"/>
  <c r="ES12" i="1" s="1"/>
  <c r="FG12" i="1" s="1"/>
  <c r="EP12" i="1" a="1"/>
  <c r="EP12" i="1" s="1"/>
  <c r="EZ12" i="1"/>
  <c r="EY14" i="1"/>
  <c r="CH17" i="1"/>
  <c r="VT17" i="1" a="1"/>
  <c r="VT17" i="1" s="1"/>
  <c r="AKZ17" i="1" a="1"/>
  <c r="AKZ17" i="1" s="1"/>
  <c r="VH17" i="1" a="1"/>
  <c r="VH17" i="1" s="1"/>
  <c r="ACK17" i="1" a="1"/>
  <c r="ACK17" i="1" s="1"/>
  <c r="ACI17" i="1" a="1"/>
  <c r="ACI17" i="1" s="1"/>
  <c r="ACG17" i="1" a="1"/>
  <c r="ACG17" i="1" s="1"/>
  <c r="ACE17" i="1" a="1"/>
  <c r="ACE17" i="1" s="1"/>
  <c r="ACC17" i="1" a="1"/>
  <c r="ACC17" i="1" s="1"/>
  <c r="ACA17" i="1" a="1"/>
  <c r="ACA17" i="1" s="1"/>
  <c r="ABY17" i="1" a="1"/>
  <c r="ABY17" i="1" s="1"/>
  <c r="ABW17" i="1" a="1"/>
  <c r="ABW17" i="1" s="1"/>
  <c r="ABU17" i="1" a="1"/>
  <c r="ABU17" i="1" s="1"/>
  <c r="ABS17" i="1" a="1"/>
  <c r="ABS17" i="1" s="1"/>
  <c r="ABQ17" i="1" a="1"/>
  <c r="ABQ17" i="1" s="1"/>
  <c r="ABO17" i="1" a="1"/>
  <c r="ABO17" i="1" s="1"/>
  <c r="ABM17" i="1" a="1"/>
  <c r="ABM17" i="1" s="1"/>
  <c r="ABK17" i="1" a="1"/>
  <c r="ABK17" i="1" s="1"/>
  <c r="ABI17" i="1" a="1"/>
  <c r="ABI17" i="1" s="1"/>
  <c r="ABG17" i="1" a="1"/>
  <c r="ABG17" i="1" s="1"/>
  <c r="ABE17" i="1" a="1"/>
  <c r="ABE17" i="1" s="1"/>
  <c r="ABC17" i="1" a="1"/>
  <c r="ABC17" i="1" s="1"/>
  <c r="ABA17" i="1" a="1"/>
  <c r="ABA17" i="1" s="1"/>
  <c r="AAY17" i="1" a="1"/>
  <c r="AAY17" i="1" s="1"/>
  <c r="AAW17" i="1" a="1"/>
  <c r="AAW17" i="1" s="1"/>
  <c r="AAU17" i="1" a="1"/>
  <c r="AAU17" i="1" s="1"/>
  <c r="AAS17" i="1" a="1"/>
  <c r="AAS17" i="1" s="1"/>
  <c r="AAQ17" i="1" a="1"/>
  <c r="AAQ17" i="1" s="1"/>
  <c r="AAN17" i="1" a="1"/>
  <c r="AAN17" i="1" s="1"/>
  <c r="AAL17" i="1" a="1"/>
  <c r="AAL17" i="1" s="1"/>
  <c r="AAJ17" i="1" a="1"/>
  <c r="AAJ17" i="1" s="1"/>
  <c r="AAH17" i="1" a="1"/>
  <c r="AAH17" i="1" s="1"/>
  <c r="NA17" i="1" a="1"/>
  <c r="NA17" i="1" s="1"/>
  <c r="MY17" i="1" a="1"/>
  <c r="MY17" i="1" s="1"/>
  <c r="MW17" i="1" a="1"/>
  <c r="MW17" i="1" s="1"/>
  <c r="MU17" i="1" a="1"/>
  <c r="MU17" i="1" s="1"/>
  <c r="MS17" i="1" a="1"/>
  <c r="MS17" i="1" s="1"/>
  <c r="MQ17" i="1" a="1"/>
  <c r="MQ17" i="1" s="1"/>
  <c r="MO17" i="1" a="1"/>
  <c r="MO17" i="1" s="1"/>
  <c r="MM17" i="1" a="1"/>
  <c r="MM17" i="1" s="1"/>
  <c r="MK17" i="1" a="1"/>
  <c r="MK17" i="1" s="1"/>
  <c r="MI17" i="1" a="1"/>
  <c r="MI17" i="1" s="1"/>
  <c r="MG17" i="1" a="1"/>
  <c r="MG17" i="1" s="1"/>
  <c r="ME17" i="1" a="1"/>
  <c r="ME17" i="1" s="1"/>
  <c r="MC17" i="1" a="1"/>
  <c r="MC17" i="1" s="1"/>
  <c r="MA17" i="1" a="1"/>
  <c r="MA17" i="1" s="1"/>
  <c r="LY17" i="1" a="1"/>
  <c r="LY17" i="1" s="1"/>
  <c r="LW17" i="1" a="1"/>
  <c r="LW17" i="1" s="1"/>
  <c r="LU17" i="1" a="1"/>
  <c r="LU17" i="1" s="1"/>
  <c r="LS17" i="1" a="1"/>
  <c r="LS17" i="1" s="1"/>
  <c r="LQ17" i="1" a="1"/>
  <c r="LQ17" i="1" s="1"/>
  <c r="LO17" i="1" a="1"/>
  <c r="LO17" i="1" s="1"/>
  <c r="LM17" i="1" a="1"/>
  <c r="LM17" i="1" s="1"/>
  <c r="LK17" i="1" a="1"/>
  <c r="LK17" i="1" s="1"/>
  <c r="LI17" i="1" a="1"/>
  <c r="LI17" i="1" s="1"/>
  <c r="LG17" i="1" a="1"/>
  <c r="LG17" i="1" s="1"/>
  <c r="LD17" i="1" a="1"/>
  <c r="LD17" i="1" s="1"/>
  <c r="LB17" i="1" a="1"/>
  <c r="LB17" i="1" s="1"/>
  <c r="KZ17" i="1" a="1"/>
  <c r="KZ17" i="1" s="1"/>
  <c r="KX17" i="1" a="1"/>
  <c r="KX17" i="1" s="1"/>
  <c r="ACH17" i="1" a="1"/>
  <c r="ACH17" i="1" s="1"/>
  <c r="ABZ17" i="1" a="1"/>
  <c r="ABZ17" i="1" s="1"/>
  <c r="ABR17" i="1" a="1"/>
  <c r="ABR17" i="1" s="1"/>
  <c r="ABJ17" i="1" a="1"/>
  <c r="ABJ17" i="1" s="1"/>
  <c r="ABB17" i="1" a="1"/>
  <c r="ABB17" i="1" s="1"/>
  <c r="AAT17" i="1" a="1"/>
  <c r="AAT17" i="1" s="1"/>
  <c r="AAK17" i="1" a="1"/>
  <c r="AAK17" i="1" s="1"/>
  <c r="MV17" i="1" a="1"/>
  <c r="MV17" i="1" s="1"/>
  <c r="MN17" i="1" a="1"/>
  <c r="MN17" i="1" s="1"/>
  <c r="MF17" i="1" a="1"/>
  <c r="MF17" i="1" s="1"/>
  <c r="LX17" i="1" a="1"/>
  <c r="LX17" i="1" s="1"/>
  <c r="LP17" i="1" a="1"/>
  <c r="LP17" i="1" s="1"/>
  <c r="LH17" i="1" a="1"/>
  <c r="LH17" i="1" s="1"/>
  <c r="KY17" i="1" a="1"/>
  <c r="KY17" i="1" s="1"/>
  <c r="ACF17" i="1" a="1"/>
  <c r="ACF17" i="1" s="1"/>
  <c r="ABX17" i="1" a="1"/>
  <c r="ABX17" i="1" s="1"/>
  <c r="ABP17" i="1" a="1"/>
  <c r="ABP17" i="1" s="1"/>
  <c r="ABH17" i="1" a="1"/>
  <c r="ABH17" i="1" s="1"/>
  <c r="AAZ17" i="1" a="1"/>
  <c r="AAZ17" i="1" s="1"/>
  <c r="AAR17" i="1" a="1"/>
  <c r="AAR17" i="1" s="1"/>
  <c r="AAI17" i="1" a="1"/>
  <c r="AAI17" i="1" s="1"/>
  <c r="NB17" i="1" a="1"/>
  <c r="NB17" i="1" s="1"/>
  <c r="MT17" i="1" a="1"/>
  <c r="MT17" i="1" s="1"/>
  <c r="ML17" i="1" a="1"/>
  <c r="ML17" i="1" s="1"/>
  <c r="MD17" i="1" a="1"/>
  <c r="MD17" i="1" s="1"/>
  <c r="LV17" i="1" a="1"/>
  <c r="LV17" i="1" s="1"/>
  <c r="LN17" i="1" a="1"/>
  <c r="LN17" i="1" s="1"/>
  <c r="LF17" i="1" a="1"/>
  <c r="LF17" i="1" s="1"/>
  <c r="ACL17" i="1" a="1"/>
  <c r="ACL17" i="1" s="1"/>
  <c r="ACD17" i="1" a="1"/>
  <c r="ACD17" i="1" s="1"/>
  <c r="ABV17" i="1" a="1"/>
  <c r="ABV17" i="1" s="1"/>
  <c r="ABN17" i="1" a="1"/>
  <c r="ABN17" i="1" s="1"/>
  <c r="ABF17" i="1" a="1"/>
  <c r="ABF17" i="1" s="1"/>
  <c r="AAX17" i="1" a="1"/>
  <c r="AAX17" i="1" s="1"/>
  <c r="AAP17" i="1" a="1"/>
  <c r="AAP17" i="1" s="1"/>
  <c r="MZ17" i="1" a="1"/>
  <c r="MZ17" i="1" s="1"/>
  <c r="MR17" i="1" a="1"/>
  <c r="MR17" i="1" s="1"/>
  <c r="MJ17" i="1" a="1"/>
  <c r="MJ17" i="1" s="1"/>
  <c r="MB17" i="1" a="1"/>
  <c r="MB17" i="1" s="1"/>
  <c r="LT17" i="1" a="1"/>
  <c r="LT17" i="1" s="1"/>
  <c r="LL17" i="1" a="1"/>
  <c r="LL17" i="1" s="1"/>
  <c r="LC17" i="1" a="1"/>
  <c r="LC17" i="1" s="1"/>
  <c r="ACJ17" i="1" a="1"/>
  <c r="ACJ17" i="1" s="1"/>
  <c r="ACB17" i="1" a="1"/>
  <c r="ACB17" i="1" s="1"/>
  <c r="ABT17" i="1" a="1"/>
  <c r="ABT17" i="1" s="1"/>
  <c r="ABL17" i="1" a="1"/>
  <c r="ABL17" i="1" s="1"/>
  <c r="ABD17" i="1" a="1"/>
  <c r="ABD17" i="1" s="1"/>
  <c r="AAV17" i="1" a="1"/>
  <c r="AAV17" i="1" s="1"/>
  <c r="AAM17" i="1" a="1"/>
  <c r="AAM17" i="1" s="1"/>
  <c r="MX17" i="1" a="1"/>
  <c r="MX17" i="1" s="1"/>
  <c r="MP17" i="1" a="1"/>
  <c r="MP17" i="1" s="1"/>
  <c r="MH17" i="1" a="1"/>
  <c r="MH17" i="1" s="1"/>
  <c r="LZ17" i="1" a="1"/>
  <c r="LZ17" i="1" s="1"/>
  <c r="LR17" i="1" a="1"/>
  <c r="LR17" i="1" s="1"/>
  <c r="LJ17" i="1" a="1"/>
  <c r="LJ17" i="1" s="1"/>
  <c r="LA17" i="1" a="1"/>
  <c r="LA17" i="1" s="1"/>
  <c r="VB17" i="1" a="1"/>
  <c r="VB17" i="1" s="1"/>
  <c r="ALD17" i="1" a="1"/>
  <c r="ALD17" i="1" s="1"/>
  <c r="VE17" i="1" a="1"/>
  <c r="VE17" i="1" s="1"/>
  <c r="VM17" i="1" a="1"/>
  <c r="VM17" i="1" s="1"/>
  <c r="VU17" i="1" a="1"/>
  <c r="VU17" i="1" s="1"/>
  <c r="AKM17" i="1" a="1"/>
  <c r="AKM17" i="1" s="1"/>
  <c r="AKU17" i="1" a="1"/>
  <c r="AKU17" i="1" s="1"/>
  <c r="ALC17" i="1" a="1"/>
  <c r="ALC17" i="1" s="1"/>
  <c r="EV11" i="1" a="1"/>
  <c r="EV11" i="1" s="1"/>
  <c r="ET11" i="1" a="1"/>
  <c r="ET11" i="1" s="1"/>
  <c r="FF11" i="1" s="1"/>
  <c r="ER11" i="1" a="1"/>
  <c r="ER11" i="1" s="1"/>
  <c r="EP11" i="1" a="1"/>
  <c r="EP11" i="1" s="1"/>
  <c r="EY11" i="1" s="1"/>
  <c r="FA11" i="1" s="1"/>
  <c r="FB11" i="1" s="1"/>
  <c r="EW11" i="1" a="1"/>
  <c r="EW11" i="1" s="1"/>
  <c r="ES11" i="1" a="1"/>
  <c r="ES11" i="1" s="1"/>
  <c r="FG11" i="1" s="1"/>
  <c r="EU11" i="1" a="1"/>
  <c r="EU11" i="1" s="1"/>
  <c r="EZ11" i="1" s="1"/>
  <c r="EQ11" i="1" a="1"/>
  <c r="EQ11" i="1" s="1"/>
  <c r="VL11" i="1" a="1"/>
  <c r="VL11" i="1" s="1"/>
  <c r="AKU11" i="1" a="1"/>
  <c r="AKU11" i="1" s="1"/>
  <c r="VJ11" i="1" a="1"/>
  <c r="VJ11" i="1" s="1"/>
  <c r="AGV11" i="1"/>
  <c r="AKS11" i="1" a="1"/>
  <c r="AKS11" i="1" s="1"/>
  <c r="RU11" i="1"/>
  <c r="SH11" i="1"/>
  <c r="VG11" i="1" a="1"/>
  <c r="VG11" i="1" s="1"/>
  <c r="VO11" i="1" a="1"/>
  <c r="VO11" i="1" s="1"/>
  <c r="VW11" i="1" a="1"/>
  <c r="VW11" i="1" s="1"/>
  <c r="AKQ11" i="1" a="1"/>
  <c r="AKQ11" i="1" s="1"/>
  <c r="ALG11" i="1" a="1"/>
  <c r="ALG11" i="1" s="1"/>
  <c r="AKO11" i="1" a="1"/>
  <c r="AKO11" i="1" s="1"/>
  <c r="DP15" i="1"/>
  <c r="DP16" i="1"/>
  <c r="CH20" i="1"/>
  <c r="VJ20" i="1" a="1"/>
  <c r="VJ20" i="1" s="1"/>
  <c r="AKV20" i="1" a="1"/>
  <c r="AKV20" i="1" s="1"/>
  <c r="QI20" i="1"/>
  <c r="KV20" i="1"/>
  <c r="KR20" i="1"/>
  <c r="QX20" i="1" s="1" a="1"/>
  <c r="QX20" i="1" s="1"/>
  <c r="QY20" i="1" s="1"/>
  <c r="KT20" i="1"/>
  <c r="RX20" i="1" s="1"/>
  <c r="KS20" i="1"/>
  <c r="QZ20" i="1"/>
  <c r="KU20" i="1"/>
  <c r="RR20" i="1" s="1"/>
  <c r="RO20" i="1"/>
  <c r="VG20" i="1" a="1"/>
  <c r="VG20" i="1" s="1"/>
  <c r="VW20" i="1" a="1"/>
  <c r="VW20" i="1" s="1"/>
  <c r="AKK20" i="1" a="1"/>
  <c r="AKK20" i="1" s="1"/>
  <c r="ALA20" i="1" a="1"/>
  <c r="ALA20" i="1" s="1"/>
  <c r="VP20" i="1" a="1"/>
  <c r="VP20" i="1" s="1"/>
  <c r="AHH20" i="1"/>
  <c r="AKX20" i="1" a="1"/>
  <c r="AKX20" i="1" s="1"/>
  <c r="VI20" i="1" a="1"/>
  <c r="VI20" i="1" s="1"/>
  <c r="AHE20" i="1"/>
  <c r="AKU20" i="1" a="1"/>
  <c r="AKU20" i="1" s="1"/>
  <c r="BO26" i="1"/>
  <c r="FP26" i="1"/>
  <c r="EM59" i="1" a="1"/>
  <c r="EM59" i="1" s="1"/>
  <c r="EK59" i="1" a="1"/>
  <c r="EK59" i="1" s="1"/>
  <c r="EI59" i="1" a="1"/>
  <c r="EI59" i="1" s="1"/>
  <c r="EG59" i="1" a="1"/>
  <c r="EG59" i="1" s="1"/>
  <c r="BH59" i="1"/>
  <c r="EN59" i="1" a="1"/>
  <c r="EN59" i="1" s="1"/>
  <c r="EF59" i="1" a="1"/>
  <c r="EF59" i="1" s="1"/>
  <c r="EL59" i="1" a="1"/>
  <c r="EL59" i="1" s="1"/>
  <c r="EJ59" i="1" a="1"/>
  <c r="EJ59" i="1" s="1"/>
  <c r="EH59" i="1" a="1"/>
  <c r="EH59" i="1" s="1"/>
  <c r="FO56" i="1"/>
  <c r="BN56" i="1"/>
  <c r="HT56" i="1"/>
  <c r="HU56" i="1" s="1"/>
  <c r="GB56" i="1" a="1"/>
  <c r="GB56" i="1" s="1"/>
  <c r="GP56" i="1" s="1"/>
  <c r="FY56" i="1" a="1"/>
  <c r="FY56" i="1" s="1"/>
  <c r="GC56" i="1" a="1"/>
  <c r="GC56" i="1" s="1"/>
  <c r="GO56" i="1" s="1"/>
  <c r="GD56" i="1" a="1"/>
  <c r="GD56" i="1" s="1"/>
  <c r="GF56" i="1" a="1"/>
  <c r="GF56" i="1" s="1"/>
  <c r="GA56" i="1" a="1"/>
  <c r="GA56" i="1" s="1"/>
  <c r="FZ56" i="1" a="1"/>
  <c r="FZ56" i="1" s="1"/>
  <c r="BD57" i="1"/>
  <c r="DD57" i="1" a="1"/>
  <c r="DD57" i="1" s="1"/>
  <c r="CY57" i="1" a="1"/>
  <c r="CY57" i="1" s="1"/>
  <c r="BE57" i="1"/>
  <c r="DA57" i="1" a="1"/>
  <c r="DA57" i="1" s="1"/>
  <c r="CX57" i="1" a="1"/>
  <c r="CX57" i="1" s="1"/>
  <c r="DC57" i="1" a="1"/>
  <c r="DC57" i="1" s="1"/>
  <c r="CZ57" i="1" a="1"/>
  <c r="CZ57" i="1" s="1"/>
  <c r="DB57" i="1" a="1"/>
  <c r="DB57" i="1" s="1"/>
  <c r="CW57" i="1" a="1"/>
  <c r="CW57" i="1" s="1"/>
  <c r="DE57" i="1" a="1"/>
  <c r="DE57" i="1" s="1"/>
  <c r="BQ58" i="1"/>
  <c r="FR58" i="1"/>
  <c r="VF59" i="1" a="1"/>
  <c r="VF59" i="1" s="1"/>
  <c r="ACL59" i="1" a="1"/>
  <c r="ACL59" i="1" s="1"/>
  <c r="ACJ59" i="1" a="1"/>
  <c r="ACJ59" i="1" s="1"/>
  <c r="ACH59" i="1" a="1"/>
  <c r="ACH59" i="1" s="1"/>
  <c r="ACF59" i="1" a="1"/>
  <c r="ACF59" i="1" s="1"/>
  <c r="ACD59" i="1" a="1"/>
  <c r="ACD59" i="1" s="1"/>
  <c r="ACB59" i="1" a="1"/>
  <c r="ACB59" i="1" s="1"/>
  <c r="ABZ59" i="1" a="1"/>
  <c r="ABZ59" i="1" s="1"/>
  <c r="ABX59" i="1" a="1"/>
  <c r="ABX59" i="1" s="1"/>
  <c r="ABV59" i="1" a="1"/>
  <c r="ABV59" i="1" s="1"/>
  <c r="ABT59" i="1" a="1"/>
  <c r="ABT59" i="1" s="1"/>
  <c r="ABR59" i="1" a="1"/>
  <c r="ABR59" i="1" s="1"/>
  <c r="ABP59" i="1" a="1"/>
  <c r="ABP59" i="1" s="1"/>
  <c r="ABN59" i="1" a="1"/>
  <c r="ABN59" i="1" s="1"/>
  <c r="ABL59" i="1" a="1"/>
  <c r="ABL59" i="1" s="1"/>
  <c r="ABJ59" i="1" a="1"/>
  <c r="ABJ59" i="1" s="1"/>
  <c r="ABH59" i="1" a="1"/>
  <c r="ABH59" i="1" s="1"/>
  <c r="ABF59" i="1" a="1"/>
  <c r="ABF59" i="1" s="1"/>
  <c r="ABD59" i="1" a="1"/>
  <c r="ABD59" i="1" s="1"/>
  <c r="ABB59" i="1" a="1"/>
  <c r="ABB59" i="1" s="1"/>
  <c r="AAZ59" i="1" a="1"/>
  <c r="AAZ59" i="1" s="1"/>
  <c r="AAX59" i="1" a="1"/>
  <c r="AAX59" i="1" s="1"/>
  <c r="AAV59" i="1" a="1"/>
  <c r="AAV59" i="1" s="1"/>
  <c r="AAT59" i="1" a="1"/>
  <c r="AAT59" i="1" s="1"/>
  <c r="AAR59" i="1" a="1"/>
  <c r="AAR59" i="1" s="1"/>
  <c r="AAP59" i="1" a="1"/>
  <c r="AAP59" i="1" s="1"/>
  <c r="NB59" i="1" a="1"/>
  <c r="NB59" i="1" s="1"/>
  <c r="MZ59" i="1" a="1"/>
  <c r="MZ59" i="1" s="1"/>
  <c r="MX59" i="1" a="1"/>
  <c r="MX59" i="1" s="1"/>
  <c r="MV59" i="1" a="1"/>
  <c r="MV59" i="1" s="1"/>
  <c r="MT59" i="1" a="1"/>
  <c r="MT59" i="1" s="1"/>
  <c r="MR59" i="1" a="1"/>
  <c r="MR59" i="1" s="1"/>
  <c r="MP59" i="1" a="1"/>
  <c r="MP59" i="1" s="1"/>
  <c r="MN59" i="1" a="1"/>
  <c r="MN59" i="1" s="1"/>
  <c r="ML59" i="1" a="1"/>
  <c r="ML59" i="1" s="1"/>
  <c r="MJ59" i="1" a="1"/>
  <c r="MJ59" i="1" s="1"/>
  <c r="MH59" i="1" a="1"/>
  <c r="MH59" i="1" s="1"/>
  <c r="MF59" i="1" a="1"/>
  <c r="MF59" i="1" s="1"/>
  <c r="MD59" i="1" a="1"/>
  <c r="MD59" i="1" s="1"/>
  <c r="MB59" i="1" a="1"/>
  <c r="MB59" i="1" s="1"/>
  <c r="LZ59" i="1" a="1"/>
  <c r="LZ59" i="1" s="1"/>
  <c r="LX59" i="1" a="1"/>
  <c r="LX59" i="1" s="1"/>
  <c r="LV59" i="1" a="1"/>
  <c r="LV59" i="1" s="1"/>
  <c r="LT59" i="1" a="1"/>
  <c r="LT59" i="1" s="1"/>
  <c r="LR59" i="1" a="1"/>
  <c r="LR59" i="1" s="1"/>
  <c r="LP59" i="1" a="1"/>
  <c r="LP59" i="1" s="1"/>
  <c r="LN59" i="1" a="1"/>
  <c r="LN59" i="1" s="1"/>
  <c r="LL59" i="1" a="1"/>
  <c r="LL59" i="1" s="1"/>
  <c r="LJ59" i="1" a="1"/>
  <c r="LJ59" i="1" s="1"/>
  <c r="LH59" i="1" a="1"/>
  <c r="LH59" i="1" s="1"/>
  <c r="LF59" i="1" a="1"/>
  <c r="LF59" i="1" s="1"/>
  <c r="ACE59" i="1" a="1"/>
  <c r="ACE59" i="1" s="1"/>
  <c r="ABW59" i="1" a="1"/>
  <c r="ABW59" i="1" s="1"/>
  <c r="ABO59" i="1" a="1"/>
  <c r="ABO59" i="1" s="1"/>
  <c r="ABG59" i="1" a="1"/>
  <c r="ABG59" i="1" s="1"/>
  <c r="AAY59" i="1" a="1"/>
  <c r="AAY59" i="1" s="1"/>
  <c r="AAQ59" i="1" a="1"/>
  <c r="AAQ59" i="1" s="1"/>
  <c r="NA59" i="1" a="1"/>
  <c r="NA59" i="1" s="1"/>
  <c r="MS59" i="1" a="1"/>
  <c r="MS59" i="1" s="1"/>
  <c r="MK59" i="1" a="1"/>
  <c r="MK59" i="1" s="1"/>
  <c r="MC59" i="1" a="1"/>
  <c r="MC59" i="1" s="1"/>
  <c r="LU59" i="1" a="1"/>
  <c r="LU59" i="1" s="1"/>
  <c r="LM59" i="1" a="1"/>
  <c r="LM59" i="1" s="1"/>
  <c r="ACK59" i="1" a="1"/>
  <c r="ACK59" i="1" s="1"/>
  <c r="ACC59" i="1" a="1"/>
  <c r="ACC59" i="1" s="1"/>
  <c r="ABU59" i="1" a="1"/>
  <c r="ABU59" i="1" s="1"/>
  <c r="ABM59" i="1" a="1"/>
  <c r="ABM59" i="1" s="1"/>
  <c r="ABE59" i="1" a="1"/>
  <c r="ABE59" i="1" s="1"/>
  <c r="AAW59" i="1" a="1"/>
  <c r="AAW59" i="1" s="1"/>
  <c r="MY59" i="1" a="1"/>
  <c r="MY59" i="1" s="1"/>
  <c r="MQ59" i="1" a="1"/>
  <c r="MQ59" i="1" s="1"/>
  <c r="MI59" i="1" a="1"/>
  <c r="MI59" i="1" s="1"/>
  <c r="MA59" i="1" a="1"/>
  <c r="MA59" i="1" s="1"/>
  <c r="LS59" i="1" a="1"/>
  <c r="LS59" i="1" s="1"/>
  <c r="LK59" i="1" a="1"/>
  <c r="LK59" i="1" s="1"/>
  <c r="ACI59" i="1" a="1"/>
  <c r="ACI59" i="1" s="1"/>
  <c r="ACA59" i="1" a="1"/>
  <c r="ACA59" i="1" s="1"/>
  <c r="ABS59" i="1" a="1"/>
  <c r="ABS59" i="1" s="1"/>
  <c r="ABK59" i="1" a="1"/>
  <c r="ABK59" i="1" s="1"/>
  <c r="ABC59" i="1" a="1"/>
  <c r="ABC59" i="1" s="1"/>
  <c r="AAU59" i="1" a="1"/>
  <c r="AAU59" i="1" s="1"/>
  <c r="MW59" i="1" a="1"/>
  <c r="MW59" i="1" s="1"/>
  <c r="MO59" i="1" a="1"/>
  <c r="MO59" i="1" s="1"/>
  <c r="MG59" i="1" a="1"/>
  <c r="MG59" i="1" s="1"/>
  <c r="LY59" i="1" a="1"/>
  <c r="LY59" i="1" s="1"/>
  <c r="LQ59" i="1" a="1"/>
  <c r="LQ59" i="1" s="1"/>
  <c r="LI59" i="1" a="1"/>
  <c r="LI59" i="1" s="1"/>
  <c r="ACG59" i="1" a="1"/>
  <c r="ACG59" i="1" s="1"/>
  <c r="ABY59" i="1" a="1"/>
  <c r="ABY59" i="1" s="1"/>
  <c r="ABQ59" i="1" a="1"/>
  <c r="ABQ59" i="1" s="1"/>
  <c r="ABI59" i="1" a="1"/>
  <c r="ABI59" i="1" s="1"/>
  <c r="ABA59" i="1" a="1"/>
  <c r="ABA59" i="1" s="1"/>
  <c r="AAS59" i="1" a="1"/>
  <c r="AAS59" i="1" s="1"/>
  <c r="MU59" i="1" a="1"/>
  <c r="MU59" i="1" s="1"/>
  <c r="MM59" i="1" a="1"/>
  <c r="MM59" i="1" s="1"/>
  <c r="ME59" i="1" a="1"/>
  <c r="ME59" i="1" s="1"/>
  <c r="LW59" i="1" a="1"/>
  <c r="LW59" i="1" s="1"/>
  <c r="LO59" i="1" a="1"/>
  <c r="LO59" i="1" s="1"/>
  <c r="LG59" i="1" a="1"/>
  <c r="LG59" i="1" s="1"/>
  <c r="AAI59" i="1" a="1"/>
  <c r="AAI59" i="1" s="1"/>
  <c r="KY59" i="1" a="1"/>
  <c r="KY59" i="1" s="1"/>
  <c r="AAJ59" i="1" a="1"/>
  <c r="AAJ59" i="1" s="1"/>
  <c r="AAL59" i="1" a="1"/>
  <c r="AAL59" i="1" s="1"/>
  <c r="LB59" i="1" a="1"/>
  <c r="LB59" i="1" s="1"/>
  <c r="LD59" i="1" a="1"/>
  <c r="LD59" i="1" s="1"/>
  <c r="KX59" i="1" a="1"/>
  <c r="KX59" i="1" s="1"/>
  <c r="AAM59" i="1" a="1"/>
  <c r="AAM59" i="1" s="1"/>
  <c r="LC59" i="1" a="1"/>
  <c r="LC59" i="1" s="1"/>
  <c r="AAN59" i="1" a="1"/>
  <c r="AAN59" i="1" s="1"/>
  <c r="AAH59" i="1" a="1"/>
  <c r="AAH59" i="1" s="1"/>
  <c r="AAK59" i="1" a="1"/>
  <c r="AAK59" i="1" s="1"/>
  <c r="LA59" i="1" a="1"/>
  <c r="LA59" i="1" s="1"/>
  <c r="KZ59" i="1" a="1"/>
  <c r="KZ59" i="1" s="1"/>
  <c r="AAA59" i="1"/>
  <c r="EJ58" i="1" a="1"/>
  <c r="EJ58" i="1" s="1"/>
  <c r="EG58" i="1" a="1"/>
  <c r="EG58" i="1" s="1"/>
  <c r="EL58" i="1" a="1"/>
  <c r="EL58" i="1" s="1"/>
  <c r="EI58" i="1" a="1"/>
  <c r="EI58" i="1" s="1"/>
  <c r="EN58" i="1" a="1"/>
  <c r="EN58" i="1" s="1"/>
  <c r="EK58" i="1" a="1"/>
  <c r="EK58" i="1" s="1"/>
  <c r="EF58" i="1" a="1"/>
  <c r="EF58" i="1" s="1"/>
  <c r="EM58" i="1" a="1"/>
  <c r="EM58" i="1" s="1"/>
  <c r="EH58" i="1" a="1"/>
  <c r="EH58" i="1" s="1"/>
  <c r="BH58" i="1"/>
  <c r="AHH57" i="1"/>
  <c r="AKA57" i="1" a="1"/>
  <c r="AKA57" i="1" s="1"/>
  <c r="AJV57" i="1" a="1"/>
  <c r="AJV57" i="1" s="1"/>
  <c r="AJS57" i="1" a="1"/>
  <c r="AJS57" i="1" s="1"/>
  <c r="AJN57" i="1" a="1"/>
  <c r="AJN57" i="1" s="1"/>
  <c r="AJK57" i="1" a="1"/>
  <c r="AJK57" i="1" s="1"/>
  <c r="AJF57" i="1" a="1"/>
  <c r="AJF57" i="1" s="1"/>
  <c r="AJC57" i="1" a="1"/>
  <c r="AJC57" i="1" s="1"/>
  <c r="AIX57" i="1" a="1"/>
  <c r="AIX57" i="1" s="1"/>
  <c r="AIU57" i="1" a="1"/>
  <c r="AIU57" i="1" s="1"/>
  <c r="AIP57" i="1" a="1"/>
  <c r="AIP57" i="1" s="1"/>
  <c r="AIM57" i="1" a="1"/>
  <c r="AIM57" i="1" s="1"/>
  <c r="AIH57" i="1" a="1"/>
  <c r="AIH57" i="1" s="1"/>
  <c r="UR57" i="1" a="1"/>
  <c r="UR57" i="1" s="1"/>
  <c r="UO57" i="1" a="1"/>
  <c r="UO57" i="1" s="1"/>
  <c r="UJ57" i="1" a="1"/>
  <c r="UJ57" i="1" s="1"/>
  <c r="UG57" i="1" a="1"/>
  <c r="UG57" i="1" s="1"/>
  <c r="UB57" i="1" a="1"/>
  <c r="UB57" i="1" s="1"/>
  <c r="TY57" i="1" a="1"/>
  <c r="TY57" i="1" s="1"/>
  <c r="TT57" i="1" a="1"/>
  <c r="TT57" i="1" s="1"/>
  <c r="TQ57" i="1" a="1"/>
  <c r="TQ57" i="1" s="1"/>
  <c r="TL57" i="1" a="1"/>
  <c r="TL57" i="1" s="1"/>
  <c r="TI57" i="1" a="1"/>
  <c r="TI57" i="1" s="1"/>
  <c r="TD57" i="1" a="1"/>
  <c r="TD57" i="1" s="1"/>
  <c r="TA57" i="1" a="1"/>
  <c r="TA57" i="1" s="1"/>
  <c r="AKC57" i="1" a="1"/>
  <c r="AKC57" i="1" s="1"/>
  <c r="AJX57" i="1" a="1"/>
  <c r="AJX57" i="1" s="1"/>
  <c r="AJU57" i="1" a="1"/>
  <c r="AJU57" i="1" s="1"/>
  <c r="AJP57" i="1" a="1"/>
  <c r="AJP57" i="1" s="1"/>
  <c r="AJM57" i="1" a="1"/>
  <c r="AJM57" i="1" s="1"/>
  <c r="AJH57" i="1" a="1"/>
  <c r="AJH57" i="1" s="1"/>
  <c r="AJE57" i="1" a="1"/>
  <c r="AJE57" i="1" s="1"/>
  <c r="AIZ57" i="1" a="1"/>
  <c r="AIZ57" i="1" s="1"/>
  <c r="AIW57" i="1" a="1"/>
  <c r="AIW57" i="1" s="1"/>
  <c r="AIR57" i="1" a="1"/>
  <c r="AIR57" i="1" s="1"/>
  <c r="AIO57" i="1" a="1"/>
  <c r="AIO57" i="1" s="1"/>
  <c r="AIJ57" i="1" a="1"/>
  <c r="AIJ57" i="1" s="1"/>
  <c r="AIG57" i="1" a="1"/>
  <c r="AIG57" i="1" s="1"/>
  <c r="UQ57" i="1" a="1"/>
  <c r="UQ57" i="1" s="1"/>
  <c r="UL57" i="1" a="1"/>
  <c r="UL57" i="1" s="1"/>
  <c r="UI57" i="1" a="1"/>
  <c r="UI57" i="1" s="1"/>
  <c r="UD57" i="1" a="1"/>
  <c r="UD57" i="1" s="1"/>
  <c r="UA57" i="1" a="1"/>
  <c r="UA57" i="1" s="1"/>
  <c r="TV57" i="1" a="1"/>
  <c r="TV57" i="1" s="1"/>
  <c r="TS57" i="1" a="1"/>
  <c r="TS57" i="1" s="1"/>
  <c r="TN57" i="1" a="1"/>
  <c r="TN57" i="1" s="1"/>
  <c r="TK57" i="1" a="1"/>
  <c r="TK57" i="1" s="1"/>
  <c r="TF57" i="1" a="1"/>
  <c r="TF57" i="1" s="1"/>
  <c r="TC57" i="1" a="1"/>
  <c r="TC57" i="1" s="1"/>
  <c r="SX57" i="1" a="1"/>
  <c r="SX57" i="1" s="1"/>
  <c r="AJZ57" i="1" a="1"/>
  <c r="AJZ57" i="1" s="1"/>
  <c r="AJW57" i="1" a="1"/>
  <c r="AJW57" i="1" s="1"/>
  <c r="AJR57" i="1" a="1"/>
  <c r="AJR57" i="1" s="1"/>
  <c r="AJO57" i="1" a="1"/>
  <c r="AJO57" i="1" s="1"/>
  <c r="AJJ57" i="1" a="1"/>
  <c r="AJJ57" i="1" s="1"/>
  <c r="AJG57" i="1" a="1"/>
  <c r="AJG57" i="1" s="1"/>
  <c r="AJB57" i="1" a="1"/>
  <c r="AJB57" i="1" s="1"/>
  <c r="AIY57" i="1" a="1"/>
  <c r="AIY57" i="1" s="1"/>
  <c r="AIT57" i="1" a="1"/>
  <c r="AIT57" i="1" s="1"/>
  <c r="AIQ57" i="1" a="1"/>
  <c r="AIQ57" i="1" s="1"/>
  <c r="AIL57" i="1" a="1"/>
  <c r="AIL57" i="1" s="1"/>
  <c r="AII57" i="1" a="1"/>
  <c r="AII57" i="1" s="1"/>
  <c r="US57" i="1" a="1"/>
  <c r="US57" i="1" s="1"/>
  <c r="UN57" i="1" a="1"/>
  <c r="UN57" i="1" s="1"/>
  <c r="UK57" i="1" a="1"/>
  <c r="UK57" i="1" s="1"/>
  <c r="UF57" i="1" a="1"/>
  <c r="UF57" i="1" s="1"/>
  <c r="UC57" i="1" a="1"/>
  <c r="UC57" i="1" s="1"/>
  <c r="TX57" i="1" a="1"/>
  <c r="TX57" i="1" s="1"/>
  <c r="TU57" i="1" a="1"/>
  <c r="TU57" i="1" s="1"/>
  <c r="TP57" i="1" a="1"/>
  <c r="TP57" i="1" s="1"/>
  <c r="TM57" i="1" a="1"/>
  <c r="TM57" i="1" s="1"/>
  <c r="TH57" i="1" a="1"/>
  <c r="TH57" i="1" s="1"/>
  <c r="TE57" i="1" a="1"/>
  <c r="TE57" i="1" s="1"/>
  <c r="SZ57" i="1" a="1"/>
  <c r="SZ57" i="1" s="1"/>
  <c r="SW57" i="1" a="1"/>
  <c r="SW57" i="1" s="1"/>
  <c r="AKB57" i="1" a="1"/>
  <c r="AKB57" i="1" s="1"/>
  <c r="AJY57" i="1" a="1"/>
  <c r="AJY57" i="1" s="1"/>
  <c r="AJT57" i="1" a="1"/>
  <c r="AJT57" i="1" s="1"/>
  <c r="AJQ57" i="1" a="1"/>
  <c r="AJQ57" i="1" s="1"/>
  <c r="AJL57" i="1" a="1"/>
  <c r="AJL57" i="1" s="1"/>
  <c r="AJA57" i="1" a="1"/>
  <c r="AJA57" i="1" s="1"/>
  <c r="AIE57" i="1" a="1"/>
  <c r="AIE57" i="1" s="1"/>
  <c r="UH57" i="1" a="1"/>
  <c r="UH57" i="1" s="1"/>
  <c r="TW57" i="1" a="1"/>
  <c r="TW57" i="1" s="1"/>
  <c r="TB57" i="1" a="1"/>
  <c r="TB57" i="1" s="1"/>
  <c r="SP57" i="1" a="1"/>
  <c r="SP57" i="1" s="1"/>
  <c r="AJI57" i="1" a="1"/>
  <c r="AJI57" i="1" s="1"/>
  <c r="AIN57" i="1" a="1"/>
  <c r="AIN57" i="1" s="1"/>
  <c r="AIB57" i="1" a="1"/>
  <c r="AIB57" i="1" s="1"/>
  <c r="UP57" i="1" a="1"/>
  <c r="UP57" i="1" s="1"/>
  <c r="UE57" i="1" a="1"/>
  <c r="UE57" i="1" s="1"/>
  <c r="TJ57" i="1" a="1"/>
  <c r="TJ57" i="1" s="1"/>
  <c r="SY57" i="1" a="1"/>
  <c r="SY57" i="1" s="1"/>
  <c r="AIV57" i="1" a="1"/>
  <c r="AIV57" i="1" s="1"/>
  <c r="AIK57" i="1" a="1"/>
  <c r="AIK57" i="1" s="1"/>
  <c r="UM57" i="1" a="1"/>
  <c r="UM57" i="1" s="1"/>
  <c r="TR57" i="1" a="1"/>
  <c r="TR57" i="1" s="1"/>
  <c r="TG57" i="1" a="1"/>
  <c r="TG57" i="1" s="1"/>
  <c r="AJD57" i="1" a="1"/>
  <c r="AJD57" i="1" s="1"/>
  <c r="AIS57" i="1" a="1"/>
  <c r="AIS57" i="1" s="1"/>
  <c r="TZ57" i="1" a="1"/>
  <c r="TZ57" i="1" s="1"/>
  <c r="TO57" i="1" a="1"/>
  <c r="TO57" i="1" s="1"/>
  <c r="SS57" i="1" a="1"/>
  <c r="SS57" i="1" s="1"/>
  <c r="AIA57" i="1" a="1"/>
  <c r="AIA57" i="1" s="1"/>
  <c r="SU57" i="1" a="1"/>
  <c r="SU57" i="1" s="1"/>
  <c r="AHY57" i="1" a="1"/>
  <c r="AHY57" i="1" s="1"/>
  <c r="AID57" i="1" a="1"/>
  <c r="AID57" i="1" s="1"/>
  <c r="AHZ57" i="1" a="1"/>
  <c r="AHZ57" i="1" s="1"/>
  <c r="SO57" i="1" a="1"/>
  <c r="SO57" i="1" s="1"/>
  <c r="VG57" i="1" a="1"/>
  <c r="VG57" i="1" s="1"/>
  <c r="VW57" i="1" a="1"/>
  <c r="VW57" i="1" s="1"/>
  <c r="AKK57" i="1" a="1"/>
  <c r="AKK57" i="1" s="1"/>
  <c r="ALA57" i="1" a="1"/>
  <c r="ALA57" i="1" s="1"/>
  <c r="SQ57" i="1" a="1"/>
  <c r="SQ57" i="1" s="1"/>
  <c r="AIC57" i="1" a="1"/>
  <c r="AIC57" i="1" s="1"/>
  <c r="ST57" i="1" a="1"/>
  <c r="ST57" i="1" s="1"/>
  <c r="SR57" i="1" a="1"/>
  <c r="SR57" i="1" s="1"/>
  <c r="FQ60" i="1"/>
  <c r="BP60" i="1"/>
  <c r="AKR60" i="1" a="1"/>
  <c r="AKR60" i="1" s="1"/>
  <c r="FQ63" i="1"/>
  <c r="BP63" i="1"/>
  <c r="AKP60" i="1" a="1"/>
  <c r="AKP60" i="1" s="1"/>
  <c r="AKP61" i="1" a="1"/>
  <c r="AKP61" i="1" s="1"/>
  <c r="ALA61" i="1" a="1"/>
  <c r="ALA61" i="1" s="1"/>
  <c r="AAA61" i="1"/>
  <c r="DH62" i="1" a="1"/>
  <c r="DH62" i="1" s="1"/>
  <c r="DK62" i="1" a="1"/>
  <c r="DK62" i="1" s="1"/>
  <c r="DW62" i="1" s="1"/>
  <c r="DJ62" i="1" a="1"/>
  <c r="DJ62" i="1" s="1"/>
  <c r="DX62" i="1" s="1"/>
  <c r="DM62" i="1" a="1"/>
  <c r="DM62" i="1" s="1"/>
  <c r="DL62" i="1" a="1"/>
  <c r="DL62" i="1" s="1"/>
  <c r="DQ62" i="1" s="1"/>
  <c r="DG62" i="1" a="1"/>
  <c r="DG62" i="1" s="1"/>
  <c r="DP62" i="1" s="1"/>
  <c r="DR62" i="1" s="1"/>
  <c r="DS62" i="1" s="1"/>
  <c r="DN62" i="1" a="1"/>
  <c r="DN62" i="1" s="1"/>
  <c r="DI62" i="1" a="1"/>
  <c r="DI62" i="1" s="1"/>
  <c r="CG62" i="1"/>
  <c r="FV74" i="1"/>
  <c r="BU74" i="1"/>
  <c r="GF14" i="1" a="1"/>
  <c r="GF14" i="1" s="1"/>
  <c r="FZ14" i="1" a="1"/>
  <c r="FZ14" i="1" s="1"/>
  <c r="GB14" i="1" a="1"/>
  <c r="GB14" i="1" s="1"/>
  <c r="GP14" i="1" s="1"/>
  <c r="FY14" i="1" a="1"/>
  <c r="FY14" i="1" s="1"/>
  <c r="GD14" i="1" a="1"/>
  <c r="GD14" i="1" s="1"/>
  <c r="GI14" i="1" s="1"/>
  <c r="GA14" i="1" a="1"/>
  <c r="GA14" i="1" s="1"/>
  <c r="GC14" i="1" a="1"/>
  <c r="GC14" i="1" s="1"/>
  <c r="GO14" i="1" s="1"/>
  <c r="GH14" i="1"/>
  <c r="ADP15" i="1" a="1"/>
  <c r="ADP15" i="1" s="1"/>
  <c r="ADL15" i="1" a="1"/>
  <c r="ADL15" i="1" s="1"/>
  <c r="ADH15" i="1" a="1"/>
  <c r="ADH15" i="1" s="1"/>
  <c r="ADD15" i="1" a="1"/>
  <c r="ADD15" i="1" s="1"/>
  <c r="ACZ15" i="1" a="1"/>
  <c r="ACZ15" i="1" s="1"/>
  <c r="ACV15" i="1" a="1"/>
  <c r="ACV15" i="1" s="1"/>
  <c r="OD15" i="1" a="1"/>
  <c r="OD15" i="1" s="1"/>
  <c r="NZ15" i="1" a="1"/>
  <c r="NZ15" i="1" s="1"/>
  <c r="NV15" i="1" a="1"/>
  <c r="NV15" i="1" s="1"/>
  <c r="NR15" i="1" a="1"/>
  <c r="NR15" i="1" s="1"/>
  <c r="NN15" i="1" a="1"/>
  <c r="NN15" i="1" s="1"/>
  <c r="NJ15" i="1" a="1"/>
  <c r="NJ15" i="1" s="1"/>
  <c r="KQ15" i="1"/>
  <c r="AR15" i="1" a="1"/>
  <c r="AR15" i="1" s="1"/>
  <c r="SH15" i="1" s="1"/>
  <c r="ADO15" i="1" a="1"/>
  <c r="ADO15" i="1" s="1"/>
  <c r="ADK15" i="1" a="1"/>
  <c r="ADK15" i="1" s="1"/>
  <c r="ADG15" i="1" a="1"/>
  <c r="ADG15" i="1" s="1"/>
  <c r="ADC15" i="1" a="1"/>
  <c r="ADC15" i="1" s="1"/>
  <c r="ACY15" i="1" a="1"/>
  <c r="ACY15" i="1" s="1"/>
  <c r="ACU15" i="1" a="1"/>
  <c r="ACU15" i="1" s="1"/>
  <c r="OC15" i="1" a="1"/>
  <c r="OC15" i="1" s="1"/>
  <c r="NY15" i="1" a="1"/>
  <c r="NY15" i="1" s="1"/>
  <c r="NU15" i="1" a="1"/>
  <c r="NU15" i="1" s="1"/>
  <c r="NQ15" i="1" a="1"/>
  <c r="NQ15" i="1" s="1"/>
  <c r="RK15" i="1" s="1"/>
  <c r="NM15" i="1" a="1"/>
  <c r="NM15" i="1" s="1"/>
  <c r="AQ15" i="1" a="1"/>
  <c r="AQ15" i="1" s="1"/>
  <c r="AKR15" i="1" s="1" a="1"/>
  <c r="AKR15" i="1" s="1"/>
  <c r="AKT15" i="1" a="1"/>
  <c r="AKT15" i="1" s="1"/>
  <c r="ADN15" i="1" a="1"/>
  <c r="ADN15" i="1" s="1"/>
  <c r="ADJ15" i="1" a="1"/>
  <c r="ADJ15" i="1" s="1"/>
  <c r="ADF15" i="1" a="1"/>
  <c r="ADF15" i="1" s="1"/>
  <c r="ADB15" i="1" a="1"/>
  <c r="ADB15" i="1" s="1"/>
  <c r="ACX15" i="1" a="1"/>
  <c r="ACX15" i="1" s="1"/>
  <c r="ACT15" i="1" a="1"/>
  <c r="ACT15" i="1" s="1"/>
  <c r="AAA15" i="1"/>
  <c r="VL15" i="1" a="1"/>
  <c r="VL15" i="1" s="1"/>
  <c r="OF15" i="1" a="1"/>
  <c r="OF15" i="1" s="1"/>
  <c r="OB15" i="1" a="1"/>
  <c r="OB15" i="1" s="1"/>
  <c r="NX15" i="1" a="1"/>
  <c r="NX15" i="1" s="1"/>
  <c r="NT15" i="1" a="1"/>
  <c r="NT15" i="1" s="1"/>
  <c r="NP15" i="1" a="1"/>
  <c r="NP15" i="1" s="1"/>
  <c r="NL15" i="1" a="1"/>
  <c r="NL15" i="1" s="1"/>
  <c r="AP15" i="1" a="1"/>
  <c r="AP15" i="1" s="1"/>
  <c r="AKW15" i="1" a="1"/>
  <c r="AKW15" i="1" s="1"/>
  <c r="AHR15" i="1"/>
  <c r="ADM15" i="1" a="1"/>
  <c r="ADM15" i="1" s="1"/>
  <c r="ADI15" i="1" a="1"/>
  <c r="ADI15" i="1" s="1"/>
  <c r="ADE15" i="1" a="1"/>
  <c r="ADE15" i="1" s="1"/>
  <c r="ADA15" i="1" a="1"/>
  <c r="ADA15" i="1" s="1"/>
  <c r="AGU15" i="1" s="1"/>
  <c r="ACW15" i="1" a="1"/>
  <c r="ACW15" i="1" s="1"/>
  <c r="VS15" i="1" a="1"/>
  <c r="VS15" i="1" s="1"/>
  <c r="VC15" i="1" a="1"/>
  <c r="VC15" i="1" s="1"/>
  <c r="OE15" i="1" a="1"/>
  <c r="OE15" i="1" s="1"/>
  <c r="OA15" i="1" a="1"/>
  <c r="OA15" i="1" s="1"/>
  <c r="NW15" i="1" a="1"/>
  <c r="NW15" i="1" s="1"/>
  <c r="NS15" i="1" a="1"/>
  <c r="NS15" i="1" s="1"/>
  <c r="NO15" i="1" a="1"/>
  <c r="NO15" i="1" s="1"/>
  <c r="NK15" i="1" a="1"/>
  <c r="NK15" i="1" s="1"/>
  <c r="DN23" i="1" a="1"/>
  <c r="DN23" i="1" s="1"/>
  <c r="DL23" i="1" a="1"/>
  <c r="DL23" i="1" s="1"/>
  <c r="DQ23" i="1" s="1"/>
  <c r="DJ23" i="1" a="1"/>
  <c r="DJ23" i="1" s="1"/>
  <c r="DX23" i="1" s="1"/>
  <c r="DH23" i="1" a="1"/>
  <c r="DH23" i="1" s="1"/>
  <c r="DM23" i="1" a="1"/>
  <c r="DM23" i="1" s="1"/>
  <c r="DK23" i="1" a="1"/>
  <c r="DK23" i="1" s="1"/>
  <c r="DW23" i="1" s="1"/>
  <c r="DI23" i="1" a="1"/>
  <c r="DI23" i="1" s="1"/>
  <c r="DG23" i="1" a="1"/>
  <c r="DG23" i="1" s="1"/>
  <c r="DP23" i="1" s="1"/>
  <c r="DQ13" i="1"/>
  <c r="AKC13" i="1" a="1"/>
  <c r="AKC13" i="1" s="1"/>
  <c r="AJZ13" i="1" a="1"/>
  <c r="AJZ13" i="1" s="1"/>
  <c r="AJU13" i="1" a="1"/>
  <c r="AJU13" i="1" s="1"/>
  <c r="AJR13" i="1" a="1"/>
  <c r="AJR13" i="1" s="1"/>
  <c r="AJM13" i="1" a="1"/>
  <c r="AJM13" i="1" s="1"/>
  <c r="AJJ13" i="1" a="1"/>
  <c r="AJJ13" i="1" s="1"/>
  <c r="AJE13" i="1" a="1"/>
  <c r="AJE13" i="1" s="1"/>
  <c r="AJB13" i="1" a="1"/>
  <c r="AJB13" i="1" s="1"/>
  <c r="AIW13" i="1" a="1"/>
  <c r="AIW13" i="1" s="1"/>
  <c r="AIT13" i="1" a="1"/>
  <c r="AIT13" i="1" s="1"/>
  <c r="AIO13" i="1" a="1"/>
  <c r="AIO13" i="1" s="1"/>
  <c r="AIL13" i="1" a="1"/>
  <c r="AIL13" i="1" s="1"/>
  <c r="AIG13" i="1" a="1"/>
  <c r="AIG13" i="1" s="1"/>
  <c r="AIC13" i="1" a="1"/>
  <c r="AIC13" i="1" s="1"/>
  <c r="UQ13" i="1" a="1"/>
  <c r="UQ13" i="1" s="1"/>
  <c r="UN13" i="1" a="1"/>
  <c r="UN13" i="1" s="1"/>
  <c r="UI13" i="1" a="1"/>
  <c r="UI13" i="1" s="1"/>
  <c r="UF13" i="1" a="1"/>
  <c r="UF13" i="1" s="1"/>
  <c r="UA13" i="1" a="1"/>
  <c r="UA13" i="1" s="1"/>
  <c r="TX13" i="1" a="1"/>
  <c r="TX13" i="1" s="1"/>
  <c r="TS13" i="1" a="1"/>
  <c r="TS13" i="1" s="1"/>
  <c r="TP13" i="1" a="1"/>
  <c r="TP13" i="1" s="1"/>
  <c r="TK13" i="1" a="1"/>
  <c r="TK13" i="1" s="1"/>
  <c r="TH13" i="1" a="1"/>
  <c r="TH13" i="1" s="1"/>
  <c r="TC13" i="1" a="1"/>
  <c r="TC13" i="1" s="1"/>
  <c r="SZ13" i="1" a="1"/>
  <c r="SZ13" i="1" s="1"/>
  <c r="ST13" i="1" a="1"/>
  <c r="ST13" i="1" s="1"/>
  <c r="SQ13" i="1" a="1"/>
  <c r="SQ13" i="1" s="1"/>
  <c r="AKB13" i="1" a="1"/>
  <c r="AKB13" i="1" s="1"/>
  <c r="AJW13" i="1" a="1"/>
  <c r="AJW13" i="1" s="1"/>
  <c r="AJT13" i="1" a="1"/>
  <c r="AJT13" i="1" s="1"/>
  <c r="AJO13" i="1" a="1"/>
  <c r="AJO13" i="1" s="1"/>
  <c r="AJL13" i="1" a="1"/>
  <c r="AJL13" i="1" s="1"/>
  <c r="AJG13" i="1" a="1"/>
  <c r="AJG13" i="1" s="1"/>
  <c r="AJD13" i="1" a="1"/>
  <c r="AJD13" i="1" s="1"/>
  <c r="AIY13" i="1" a="1"/>
  <c r="AIY13" i="1" s="1"/>
  <c r="AIV13" i="1" a="1"/>
  <c r="AIV13" i="1" s="1"/>
  <c r="AIQ13" i="1" a="1"/>
  <c r="AIQ13" i="1" s="1"/>
  <c r="AIN13" i="1" a="1"/>
  <c r="AIN13" i="1" s="1"/>
  <c r="AII13" i="1" a="1"/>
  <c r="AII13" i="1" s="1"/>
  <c r="AIE13" i="1" a="1"/>
  <c r="AIE13" i="1" s="1"/>
  <c r="AHZ13" i="1" a="1"/>
  <c r="AHZ13" i="1" s="1"/>
  <c r="US13" i="1" a="1"/>
  <c r="US13" i="1" s="1"/>
  <c r="UP13" i="1" a="1"/>
  <c r="UP13" i="1" s="1"/>
  <c r="UK13" i="1" a="1"/>
  <c r="UK13" i="1" s="1"/>
  <c r="UH13" i="1" a="1"/>
  <c r="UH13" i="1" s="1"/>
  <c r="UC13" i="1" a="1"/>
  <c r="UC13" i="1" s="1"/>
  <c r="TZ13" i="1" a="1"/>
  <c r="TZ13" i="1" s="1"/>
  <c r="TU13" i="1" a="1"/>
  <c r="TU13" i="1" s="1"/>
  <c r="TR13" i="1" a="1"/>
  <c r="TR13" i="1" s="1"/>
  <c r="TM13" i="1" a="1"/>
  <c r="TM13" i="1" s="1"/>
  <c r="TJ13" i="1" a="1"/>
  <c r="TJ13" i="1" s="1"/>
  <c r="TE13" i="1" a="1"/>
  <c r="TE13" i="1" s="1"/>
  <c r="TB13" i="1" a="1"/>
  <c r="TB13" i="1" s="1"/>
  <c r="SW13" i="1" a="1"/>
  <c r="SW13" i="1" s="1"/>
  <c r="SS13" i="1" a="1"/>
  <c r="SS13" i="1" s="1"/>
  <c r="AJY13" i="1" a="1"/>
  <c r="AJY13" i="1" s="1"/>
  <c r="AJV13" i="1" a="1"/>
  <c r="AJV13" i="1" s="1"/>
  <c r="AJQ13" i="1" a="1"/>
  <c r="AJQ13" i="1" s="1"/>
  <c r="AJN13" i="1" a="1"/>
  <c r="AJN13" i="1" s="1"/>
  <c r="AJI13" i="1" a="1"/>
  <c r="AJI13" i="1" s="1"/>
  <c r="AJF13" i="1" a="1"/>
  <c r="AJF13" i="1" s="1"/>
  <c r="AJA13" i="1" a="1"/>
  <c r="AJA13" i="1" s="1"/>
  <c r="AIX13" i="1" a="1"/>
  <c r="AIX13" i="1" s="1"/>
  <c r="AIS13" i="1" a="1"/>
  <c r="AIS13" i="1" s="1"/>
  <c r="AIP13" i="1" a="1"/>
  <c r="AIP13" i="1" s="1"/>
  <c r="AIK13" i="1" a="1"/>
  <c r="AIK13" i="1" s="1"/>
  <c r="AIH13" i="1" a="1"/>
  <c r="AIH13" i="1" s="1"/>
  <c r="AIB13" i="1" a="1"/>
  <c r="AIB13" i="1" s="1"/>
  <c r="AHY13" i="1" a="1"/>
  <c r="AHY13" i="1" s="1"/>
  <c r="UR13" i="1" a="1"/>
  <c r="UR13" i="1" s="1"/>
  <c r="UM13" i="1" a="1"/>
  <c r="UM13" i="1" s="1"/>
  <c r="UJ13" i="1" a="1"/>
  <c r="UJ13" i="1" s="1"/>
  <c r="UE13" i="1" a="1"/>
  <c r="UE13" i="1" s="1"/>
  <c r="UB13" i="1" a="1"/>
  <c r="UB13" i="1" s="1"/>
  <c r="TW13" i="1" a="1"/>
  <c r="TW13" i="1" s="1"/>
  <c r="TT13" i="1" a="1"/>
  <c r="TT13" i="1" s="1"/>
  <c r="TO13" i="1" a="1"/>
  <c r="TO13" i="1" s="1"/>
  <c r="TL13" i="1" a="1"/>
  <c r="TL13" i="1" s="1"/>
  <c r="TG13" i="1" a="1"/>
  <c r="TG13" i="1" s="1"/>
  <c r="TD13" i="1" a="1"/>
  <c r="TD13" i="1" s="1"/>
  <c r="SY13" i="1" a="1"/>
  <c r="SY13" i="1" s="1"/>
  <c r="SU13" i="1" a="1"/>
  <c r="SU13" i="1" s="1"/>
  <c r="SP13" i="1" a="1"/>
  <c r="SP13" i="1" s="1"/>
  <c r="AKA13" i="1" a="1"/>
  <c r="AKA13" i="1" s="1"/>
  <c r="AJX13" i="1" a="1"/>
  <c r="AJX13" i="1" s="1"/>
  <c r="AJS13" i="1" a="1"/>
  <c r="AJS13" i="1" s="1"/>
  <c r="AJP13" i="1" a="1"/>
  <c r="AJP13" i="1" s="1"/>
  <c r="AJK13" i="1" a="1"/>
  <c r="AJK13" i="1" s="1"/>
  <c r="AJH13" i="1" a="1"/>
  <c r="AJH13" i="1" s="1"/>
  <c r="AJC13" i="1" a="1"/>
  <c r="AJC13" i="1" s="1"/>
  <c r="AIZ13" i="1" a="1"/>
  <c r="AIZ13" i="1" s="1"/>
  <c r="AIU13" i="1" a="1"/>
  <c r="AIU13" i="1" s="1"/>
  <c r="AIR13" i="1" a="1"/>
  <c r="AIR13" i="1" s="1"/>
  <c r="AIM13" i="1" a="1"/>
  <c r="AIM13" i="1" s="1"/>
  <c r="AIJ13" i="1" a="1"/>
  <c r="AIJ13" i="1" s="1"/>
  <c r="AID13" i="1" a="1"/>
  <c r="AID13" i="1" s="1"/>
  <c r="AIA13" i="1" a="1"/>
  <c r="AIA13" i="1" s="1"/>
  <c r="UO13" i="1" a="1"/>
  <c r="UO13" i="1" s="1"/>
  <c r="UL13" i="1" a="1"/>
  <c r="UL13" i="1" s="1"/>
  <c r="UG13" i="1" a="1"/>
  <c r="UG13" i="1" s="1"/>
  <c r="UD13" i="1" a="1"/>
  <c r="UD13" i="1" s="1"/>
  <c r="TY13" i="1" a="1"/>
  <c r="TY13" i="1" s="1"/>
  <c r="TV13" i="1" a="1"/>
  <c r="TV13" i="1" s="1"/>
  <c r="TQ13" i="1" a="1"/>
  <c r="TQ13" i="1" s="1"/>
  <c r="TN13" i="1" a="1"/>
  <c r="TN13" i="1" s="1"/>
  <c r="TI13" i="1" a="1"/>
  <c r="TI13" i="1" s="1"/>
  <c r="TF13" i="1" a="1"/>
  <c r="TF13" i="1" s="1"/>
  <c r="TA13" i="1" a="1"/>
  <c r="TA13" i="1" s="1"/>
  <c r="SX13" i="1" a="1"/>
  <c r="SX13" i="1" s="1"/>
  <c r="SR13" i="1" a="1"/>
  <c r="SR13" i="1" s="1"/>
  <c r="SO13" i="1" a="1"/>
  <c r="SO13" i="1" s="1"/>
  <c r="RR13" i="1"/>
  <c r="VG13" i="1" a="1"/>
  <c r="VG13" i="1" s="1"/>
  <c r="VW13" i="1" a="1"/>
  <c r="VW13" i="1" s="1"/>
  <c r="AKS13" i="1" a="1"/>
  <c r="AKS13" i="1" s="1"/>
  <c r="RX13" i="1"/>
  <c r="VM13" i="1" a="1"/>
  <c r="VM13" i="1" s="1"/>
  <c r="AKY13" i="1" a="1"/>
  <c r="AKY13" i="1" s="1"/>
  <c r="VK13" i="1" a="1"/>
  <c r="VK13" i="1" s="1"/>
  <c r="AKL13" i="1" a="1"/>
  <c r="AKL13" i="1" s="1"/>
  <c r="ALB13" i="1" a="1"/>
  <c r="ALB13" i="1" s="1"/>
  <c r="VA13" i="1" a="1"/>
  <c r="VA13" i="1" s="1"/>
  <c r="VQ13" i="1" a="1"/>
  <c r="VQ13" i="1" s="1"/>
  <c r="AKM13" i="1" a="1"/>
  <c r="AKM13" i="1" s="1"/>
  <c r="ALC13" i="1" a="1"/>
  <c r="ALC13" i="1" s="1"/>
  <c r="DQ18" i="1"/>
  <c r="EZ19" i="1"/>
  <c r="EY19" i="1"/>
  <c r="CG21" i="1"/>
  <c r="FV59" i="1"/>
  <c r="BU59" i="1"/>
  <c r="ACJ56" i="1" a="1"/>
  <c r="ACJ56" i="1" s="1"/>
  <c r="ACE56" i="1" a="1"/>
  <c r="ACE56" i="1" s="1"/>
  <c r="ACB56" i="1" a="1"/>
  <c r="ACB56" i="1" s="1"/>
  <c r="ABW56" i="1" a="1"/>
  <c r="ABW56" i="1" s="1"/>
  <c r="ABT56" i="1" a="1"/>
  <c r="ABT56" i="1" s="1"/>
  <c r="ABO56" i="1" a="1"/>
  <c r="ABO56" i="1" s="1"/>
  <c r="ABL56" i="1" a="1"/>
  <c r="ABL56" i="1" s="1"/>
  <c r="ABG56" i="1" a="1"/>
  <c r="ABG56" i="1" s="1"/>
  <c r="ABD56" i="1" a="1"/>
  <c r="ABD56" i="1" s="1"/>
  <c r="AAY56" i="1" a="1"/>
  <c r="AAY56" i="1" s="1"/>
  <c r="AAV56" i="1" a="1"/>
  <c r="AAV56" i="1" s="1"/>
  <c r="AAQ56" i="1" a="1"/>
  <c r="AAQ56" i="1" s="1"/>
  <c r="NA56" i="1" a="1"/>
  <c r="NA56" i="1" s="1"/>
  <c r="MX56" i="1" a="1"/>
  <c r="MX56" i="1" s="1"/>
  <c r="MS56" i="1" a="1"/>
  <c r="MS56" i="1" s="1"/>
  <c r="MP56" i="1" a="1"/>
  <c r="MP56" i="1" s="1"/>
  <c r="MK56" i="1" a="1"/>
  <c r="MK56" i="1" s="1"/>
  <c r="MH56" i="1" a="1"/>
  <c r="MH56" i="1" s="1"/>
  <c r="MC56" i="1" a="1"/>
  <c r="MC56" i="1" s="1"/>
  <c r="LZ56" i="1" a="1"/>
  <c r="LZ56" i="1" s="1"/>
  <c r="LU56" i="1" a="1"/>
  <c r="LU56" i="1" s="1"/>
  <c r="LR56" i="1" a="1"/>
  <c r="LR56" i="1" s="1"/>
  <c r="LM56" i="1" a="1"/>
  <c r="LM56" i="1" s="1"/>
  <c r="LJ56" i="1" a="1"/>
  <c r="LJ56" i="1" s="1"/>
  <c r="ACL56" i="1" a="1"/>
  <c r="ACL56" i="1" s="1"/>
  <c r="ACG56" i="1" a="1"/>
  <c r="ACG56" i="1" s="1"/>
  <c r="ACD56" i="1" a="1"/>
  <c r="ACD56" i="1" s="1"/>
  <c r="ABY56" i="1" a="1"/>
  <c r="ABY56" i="1" s="1"/>
  <c r="ABV56" i="1" a="1"/>
  <c r="ABV56" i="1" s="1"/>
  <c r="ABQ56" i="1" a="1"/>
  <c r="ABQ56" i="1" s="1"/>
  <c r="ABN56" i="1" a="1"/>
  <c r="ABN56" i="1" s="1"/>
  <c r="ABI56" i="1" a="1"/>
  <c r="ABI56" i="1" s="1"/>
  <c r="ABF56" i="1" a="1"/>
  <c r="ABF56" i="1" s="1"/>
  <c r="ABA56" i="1" a="1"/>
  <c r="ABA56" i="1" s="1"/>
  <c r="AAX56" i="1" a="1"/>
  <c r="AAX56" i="1" s="1"/>
  <c r="AAS56" i="1" a="1"/>
  <c r="AAS56" i="1" s="1"/>
  <c r="AAP56" i="1" a="1"/>
  <c r="AAP56" i="1" s="1"/>
  <c r="MZ56" i="1" a="1"/>
  <c r="MZ56" i="1" s="1"/>
  <c r="MU56" i="1" a="1"/>
  <c r="MU56" i="1" s="1"/>
  <c r="MR56" i="1" a="1"/>
  <c r="MR56" i="1" s="1"/>
  <c r="MM56" i="1" a="1"/>
  <c r="MM56" i="1" s="1"/>
  <c r="MJ56" i="1" a="1"/>
  <c r="MJ56" i="1" s="1"/>
  <c r="ME56" i="1" a="1"/>
  <c r="ME56" i="1" s="1"/>
  <c r="MB56" i="1" a="1"/>
  <c r="MB56" i="1" s="1"/>
  <c r="LW56" i="1" a="1"/>
  <c r="LW56" i="1" s="1"/>
  <c r="LT56" i="1" a="1"/>
  <c r="LT56" i="1" s="1"/>
  <c r="LO56" i="1" a="1"/>
  <c r="LO56" i="1" s="1"/>
  <c r="LL56" i="1" a="1"/>
  <c r="LL56" i="1" s="1"/>
  <c r="LG56" i="1" a="1"/>
  <c r="LG56" i="1" s="1"/>
  <c r="ACI56" i="1" a="1"/>
  <c r="ACI56" i="1" s="1"/>
  <c r="ACF56" i="1" a="1"/>
  <c r="ACF56" i="1" s="1"/>
  <c r="ACA56" i="1" a="1"/>
  <c r="ACA56" i="1" s="1"/>
  <c r="ABX56" i="1" a="1"/>
  <c r="ABX56" i="1" s="1"/>
  <c r="ABS56" i="1" a="1"/>
  <c r="ABS56" i="1" s="1"/>
  <c r="ABP56" i="1" a="1"/>
  <c r="ABP56" i="1" s="1"/>
  <c r="ABK56" i="1" a="1"/>
  <c r="ABK56" i="1" s="1"/>
  <c r="ABH56" i="1" a="1"/>
  <c r="ABH56" i="1" s="1"/>
  <c r="ABC56" i="1" a="1"/>
  <c r="ABC56" i="1" s="1"/>
  <c r="AAZ56" i="1" a="1"/>
  <c r="AAZ56" i="1" s="1"/>
  <c r="AAU56" i="1" a="1"/>
  <c r="AAU56" i="1" s="1"/>
  <c r="AAR56" i="1" a="1"/>
  <c r="AAR56" i="1" s="1"/>
  <c r="NB56" i="1" a="1"/>
  <c r="NB56" i="1" s="1"/>
  <c r="MW56" i="1" a="1"/>
  <c r="MW56" i="1" s="1"/>
  <c r="MT56" i="1" a="1"/>
  <c r="MT56" i="1" s="1"/>
  <c r="MO56" i="1" a="1"/>
  <c r="MO56" i="1" s="1"/>
  <c r="ML56" i="1" a="1"/>
  <c r="ML56" i="1" s="1"/>
  <c r="MG56" i="1" a="1"/>
  <c r="MG56" i="1" s="1"/>
  <c r="MD56" i="1" a="1"/>
  <c r="MD56" i="1" s="1"/>
  <c r="LY56" i="1" a="1"/>
  <c r="LY56" i="1" s="1"/>
  <c r="LV56" i="1" a="1"/>
  <c r="LV56" i="1" s="1"/>
  <c r="LQ56" i="1" a="1"/>
  <c r="LQ56" i="1" s="1"/>
  <c r="LN56" i="1" a="1"/>
  <c r="LN56" i="1" s="1"/>
  <c r="LI56" i="1" a="1"/>
  <c r="LI56" i="1" s="1"/>
  <c r="LF56" i="1" a="1"/>
  <c r="LF56" i="1" s="1"/>
  <c r="ACK56" i="1" a="1"/>
  <c r="ACK56" i="1" s="1"/>
  <c r="ABZ56" i="1" a="1"/>
  <c r="ABZ56" i="1" s="1"/>
  <c r="ABE56" i="1" a="1"/>
  <c r="ABE56" i="1" s="1"/>
  <c r="AAT56" i="1" a="1"/>
  <c r="AAT56" i="1" s="1"/>
  <c r="MV56" i="1" a="1"/>
  <c r="MV56" i="1" s="1"/>
  <c r="MA56" i="1" a="1"/>
  <c r="MA56" i="1" s="1"/>
  <c r="LP56" i="1" a="1"/>
  <c r="LP56" i="1" s="1"/>
  <c r="ACH56" i="1" a="1"/>
  <c r="ACH56" i="1" s="1"/>
  <c r="ABM56" i="1" a="1"/>
  <c r="ABM56" i="1" s="1"/>
  <c r="ABB56" i="1" a="1"/>
  <c r="ABB56" i="1" s="1"/>
  <c r="MI56" i="1" a="1"/>
  <c r="MI56" i="1" s="1"/>
  <c r="LX56" i="1" a="1"/>
  <c r="LX56" i="1" s="1"/>
  <c r="ABU56" i="1" a="1"/>
  <c r="ABU56" i="1" s="1"/>
  <c r="ABJ56" i="1" a="1"/>
  <c r="ABJ56" i="1" s="1"/>
  <c r="AAN56" i="1" a="1"/>
  <c r="AAN56" i="1" s="1"/>
  <c r="MQ56" i="1" a="1"/>
  <c r="MQ56" i="1" s="1"/>
  <c r="MF56" i="1" a="1"/>
  <c r="MF56" i="1" s="1"/>
  <c r="LK56" i="1" a="1"/>
  <c r="LK56" i="1" s="1"/>
  <c r="KY56" i="1" a="1"/>
  <c r="KY56" i="1" s="1"/>
  <c r="ACC56" i="1" a="1"/>
  <c r="ACC56" i="1" s="1"/>
  <c r="ABR56" i="1" a="1"/>
  <c r="ABR56" i="1" s="1"/>
  <c r="AAW56" i="1" a="1"/>
  <c r="AAW56" i="1" s="1"/>
  <c r="AAK56" i="1" a="1"/>
  <c r="AAK56" i="1" s="1"/>
  <c r="MY56" i="1" a="1"/>
  <c r="MY56" i="1" s="1"/>
  <c r="MN56" i="1" a="1"/>
  <c r="MN56" i="1" s="1"/>
  <c r="LS56" i="1" a="1"/>
  <c r="LS56" i="1" s="1"/>
  <c r="LH56" i="1" a="1"/>
  <c r="LH56" i="1" s="1"/>
  <c r="AAM56" i="1" a="1"/>
  <c r="AAM56" i="1" s="1"/>
  <c r="LD56" i="1" a="1"/>
  <c r="LD56" i="1" s="1"/>
  <c r="KX56" i="1" a="1"/>
  <c r="KX56" i="1" s="1"/>
  <c r="AAL56" i="1" a="1"/>
  <c r="AAL56" i="1" s="1"/>
  <c r="KZ56" i="1" a="1"/>
  <c r="KZ56" i="1" s="1"/>
  <c r="AAH56" i="1" a="1"/>
  <c r="AAH56" i="1" s="1"/>
  <c r="LA56" i="1" a="1"/>
  <c r="LA56" i="1" s="1"/>
  <c r="AAI56" i="1" a="1"/>
  <c r="AAI56" i="1" s="1"/>
  <c r="AAJ56" i="1" a="1"/>
  <c r="AAJ56" i="1" s="1"/>
  <c r="LC56" i="1" a="1"/>
  <c r="LC56" i="1" s="1"/>
  <c r="LB56" i="1" a="1"/>
  <c r="LB56" i="1" s="1"/>
  <c r="FO57" i="1"/>
  <c r="BN57" i="1"/>
  <c r="VD59" i="1" a="1"/>
  <c r="VD59" i="1" s="1"/>
  <c r="ALC59" i="1" a="1"/>
  <c r="ALC59" i="1" s="1"/>
  <c r="VN57" i="1" a="1"/>
  <c r="VN57" i="1" s="1"/>
  <c r="VJ58" i="1" a="1"/>
  <c r="VJ58" i="1" s="1"/>
  <c r="RO57" i="1"/>
  <c r="AKU57" i="1" a="1"/>
  <c r="AKU57" i="1" s="1"/>
  <c r="RU58" i="1"/>
  <c r="RU57" i="1"/>
  <c r="AKN57" i="1" a="1"/>
  <c r="AKN57" i="1" s="1"/>
  <c r="BT60" i="1"/>
  <c r="FU60" i="1"/>
  <c r="VI60" i="1" a="1"/>
  <c r="VI60" i="1" s="1"/>
  <c r="VA61" i="1" a="1"/>
  <c r="VA61" i="1" s="1"/>
  <c r="AKV61" i="1" a="1"/>
  <c r="AKV61" i="1" s="1"/>
  <c r="AKQ61" i="1" a="1"/>
  <c r="AKQ61" i="1" s="1"/>
  <c r="VR60" i="1" a="1"/>
  <c r="VR60" i="1" s="1"/>
  <c r="BP61" i="1"/>
  <c r="FQ61" i="1"/>
  <c r="VC60" i="1" a="1"/>
  <c r="VC60" i="1" s="1"/>
  <c r="ALB60" i="1" a="1"/>
  <c r="ALB60" i="1" s="1"/>
  <c r="AKC63" i="1" a="1"/>
  <c r="AKC63" i="1" s="1"/>
  <c r="AKA63" i="1" a="1"/>
  <c r="AKA63" i="1" s="1"/>
  <c r="AJY63" i="1" a="1"/>
  <c r="AJY63" i="1" s="1"/>
  <c r="AJW63" i="1" a="1"/>
  <c r="AJW63" i="1" s="1"/>
  <c r="AJU63" i="1" a="1"/>
  <c r="AJU63" i="1" s="1"/>
  <c r="AJS63" i="1" a="1"/>
  <c r="AJS63" i="1" s="1"/>
  <c r="AJQ63" i="1" a="1"/>
  <c r="AJQ63" i="1" s="1"/>
  <c r="AJO63" i="1" a="1"/>
  <c r="AJO63" i="1" s="1"/>
  <c r="AJM63" i="1" a="1"/>
  <c r="AJM63" i="1" s="1"/>
  <c r="AJK63" i="1" a="1"/>
  <c r="AJK63" i="1" s="1"/>
  <c r="AJI63" i="1" a="1"/>
  <c r="AJI63" i="1" s="1"/>
  <c r="AJG63" i="1" a="1"/>
  <c r="AJG63" i="1" s="1"/>
  <c r="AJE63" i="1" a="1"/>
  <c r="AJE63" i="1" s="1"/>
  <c r="AJC63" i="1" a="1"/>
  <c r="AJC63" i="1" s="1"/>
  <c r="AJA63" i="1" a="1"/>
  <c r="AJA63" i="1" s="1"/>
  <c r="AIY63" i="1" a="1"/>
  <c r="AIY63" i="1" s="1"/>
  <c r="AIW63" i="1" a="1"/>
  <c r="AIW63" i="1" s="1"/>
  <c r="AIU63" i="1" a="1"/>
  <c r="AIU63" i="1" s="1"/>
  <c r="AIS63" i="1" a="1"/>
  <c r="AIS63" i="1" s="1"/>
  <c r="AIQ63" i="1" a="1"/>
  <c r="AIQ63" i="1" s="1"/>
  <c r="AIO63" i="1" a="1"/>
  <c r="AIO63" i="1" s="1"/>
  <c r="AIM63" i="1" a="1"/>
  <c r="AIM63" i="1" s="1"/>
  <c r="AIK63" i="1" a="1"/>
  <c r="AIK63" i="1" s="1"/>
  <c r="AKB63" i="1" a="1"/>
  <c r="AKB63" i="1" s="1"/>
  <c r="AJX63" i="1" a="1"/>
  <c r="AJX63" i="1" s="1"/>
  <c r="AJT63" i="1" a="1"/>
  <c r="AJT63" i="1" s="1"/>
  <c r="AJP63" i="1" a="1"/>
  <c r="AJP63" i="1" s="1"/>
  <c r="AJL63" i="1" a="1"/>
  <c r="AJL63" i="1" s="1"/>
  <c r="AJH63" i="1" a="1"/>
  <c r="AJH63" i="1" s="1"/>
  <c r="AJD63" i="1" a="1"/>
  <c r="AJD63" i="1" s="1"/>
  <c r="AIZ63" i="1" a="1"/>
  <c r="AIZ63" i="1" s="1"/>
  <c r="AIV63" i="1" a="1"/>
  <c r="AIV63" i="1" s="1"/>
  <c r="AIR63" i="1" a="1"/>
  <c r="AIR63" i="1" s="1"/>
  <c r="AIN63" i="1" a="1"/>
  <c r="AIN63" i="1" s="1"/>
  <c r="AIJ63" i="1" a="1"/>
  <c r="AIJ63" i="1" s="1"/>
  <c r="UO63" i="1" a="1"/>
  <c r="UO63" i="1" s="1"/>
  <c r="UL63" i="1" a="1"/>
  <c r="UL63" i="1" s="1"/>
  <c r="UG63" i="1" a="1"/>
  <c r="UG63" i="1" s="1"/>
  <c r="UD63" i="1" a="1"/>
  <c r="UD63" i="1" s="1"/>
  <c r="TY63" i="1" a="1"/>
  <c r="TY63" i="1" s="1"/>
  <c r="TV63" i="1" a="1"/>
  <c r="TV63" i="1" s="1"/>
  <c r="TQ63" i="1" a="1"/>
  <c r="TQ63" i="1" s="1"/>
  <c r="TN63" i="1" a="1"/>
  <c r="TN63" i="1" s="1"/>
  <c r="TI63" i="1" a="1"/>
  <c r="TI63" i="1" s="1"/>
  <c r="TF63" i="1" a="1"/>
  <c r="TF63" i="1" s="1"/>
  <c r="TA63" i="1" a="1"/>
  <c r="TA63" i="1" s="1"/>
  <c r="SX63" i="1" a="1"/>
  <c r="SX63" i="1" s="1"/>
  <c r="AIG63" i="1" a="1"/>
  <c r="AIG63" i="1" s="1"/>
  <c r="AJZ63" i="1" a="1"/>
  <c r="AJZ63" i="1" s="1"/>
  <c r="AJV63" i="1" a="1"/>
  <c r="AJV63" i="1" s="1"/>
  <c r="AJR63" i="1" a="1"/>
  <c r="AJR63" i="1" s="1"/>
  <c r="AJN63" i="1" a="1"/>
  <c r="AJN63" i="1" s="1"/>
  <c r="AJJ63" i="1" a="1"/>
  <c r="AJJ63" i="1" s="1"/>
  <c r="AJF63" i="1" a="1"/>
  <c r="AJF63" i="1" s="1"/>
  <c r="AJB63" i="1" a="1"/>
  <c r="AJB63" i="1" s="1"/>
  <c r="AIX63" i="1" a="1"/>
  <c r="AIX63" i="1" s="1"/>
  <c r="AIT63" i="1" a="1"/>
  <c r="AIT63" i="1" s="1"/>
  <c r="AIP63" i="1" a="1"/>
  <c r="AIP63" i="1" s="1"/>
  <c r="AIL63" i="1" a="1"/>
  <c r="AIL63" i="1" s="1"/>
  <c r="AII63" i="1" a="1"/>
  <c r="AII63" i="1" s="1"/>
  <c r="US63" i="1" a="1"/>
  <c r="US63" i="1" s="1"/>
  <c r="UP63" i="1" a="1"/>
  <c r="UP63" i="1" s="1"/>
  <c r="UK63" i="1" a="1"/>
  <c r="UK63" i="1" s="1"/>
  <c r="UH63" i="1" a="1"/>
  <c r="UH63" i="1" s="1"/>
  <c r="UC63" i="1" a="1"/>
  <c r="UC63" i="1" s="1"/>
  <c r="TZ63" i="1" a="1"/>
  <c r="TZ63" i="1" s="1"/>
  <c r="TU63" i="1" a="1"/>
  <c r="TU63" i="1" s="1"/>
  <c r="TR63" i="1" a="1"/>
  <c r="TR63" i="1" s="1"/>
  <c r="TM63" i="1" a="1"/>
  <c r="TM63" i="1" s="1"/>
  <c r="TJ63" i="1" a="1"/>
  <c r="TJ63" i="1" s="1"/>
  <c r="TE63" i="1" a="1"/>
  <c r="TE63" i="1" s="1"/>
  <c r="TB63" i="1" a="1"/>
  <c r="TB63" i="1" s="1"/>
  <c r="SW63" i="1" a="1"/>
  <c r="SW63" i="1" s="1"/>
  <c r="AIH63" i="1" a="1"/>
  <c r="AIH63" i="1" s="1"/>
  <c r="UR63" i="1" a="1"/>
  <c r="UR63" i="1" s="1"/>
  <c r="UM63" i="1" a="1"/>
  <c r="UM63" i="1" s="1"/>
  <c r="UJ63" i="1" a="1"/>
  <c r="UJ63" i="1" s="1"/>
  <c r="UE63" i="1" a="1"/>
  <c r="UE63" i="1" s="1"/>
  <c r="UB63" i="1" a="1"/>
  <c r="UB63" i="1" s="1"/>
  <c r="TW63" i="1" a="1"/>
  <c r="TW63" i="1" s="1"/>
  <c r="TT63" i="1" a="1"/>
  <c r="TT63" i="1" s="1"/>
  <c r="TO63" i="1" a="1"/>
  <c r="TO63" i="1" s="1"/>
  <c r="TL63" i="1" a="1"/>
  <c r="TL63" i="1" s="1"/>
  <c r="TG63" i="1" a="1"/>
  <c r="TG63" i="1" s="1"/>
  <c r="TD63" i="1" a="1"/>
  <c r="TD63" i="1" s="1"/>
  <c r="SY63" i="1" a="1"/>
  <c r="SY63" i="1" s="1"/>
  <c r="UN63" i="1" a="1"/>
  <c r="UN63" i="1" s="1"/>
  <c r="TS63" i="1" a="1"/>
  <c r="TS63" i="1" s="1"/>
  <c r="TH63" i="1" a="1"/>
  <c r="TH63" i="1" s="1"/>
  <c r="UA63" i="1" a="1"/>
  <c r="UA63" i="1" s="1"/>
  <c r="TP63" i="1" a="1"/>
  <c r="TP63" i="1" s="1"/>
  <c r="UI63" i="1" a="1"/>
  <c r="UI63" i="1" s="1"/>
  <c r="TX63" i="1" a="1"/>
  <c r="TX63" i="1" s="1"/>
  <c r="TC63" i="1" a="1"/>
  <c r="TC63" i="1" s="1"/>
  <c r="UQ63" i="1" a="1"/>
  <c r="UQ63" i="1" s="1"/>
  <c r="UF63" i="1" a="1"/>
  <c r="UF63" i="1" s="1"/>
  <c r="TK63" i="1" a="1"/>
  <c r="TK63" i="1" s="1"/>
  <c r="SZ63" i="1" a="1"/>
  <c r="SZ63" i="1" s="1"/>
  <c r="AKZ63" i="1" a="1"/>
  <c r="AKZ63" i="1" s="1"/>
  <c r="AKR63" i="1" a="1"/>
  <c r="AKR63" i="1" s="1"/>
  <c r="AKM63" i="1" a="1"/>
  <c r="AKM63" i="1" s="1"/>
  <c r="AKO63" i="1" a="1"/>
  <c r="AKO63" i="1" s="1"/>
  <c r="VL63" i="1" a="1"/>
  <c r="VL63" i="1" s="1"/>
  <c r="SO63" i="1" a="1"/>
  <c r="SO63" i="1" s="1"/>
  <c r="AKS63" i="1" a="1"/>
  <c r="AKS63" i="1" s="1"/>
  <c r="AHZ63" i="1" a="1"/>
  <c r="AHZ63" i="1" s="1"/>
  <c r="VK63" i="1" a="1"/>
  <c r="VK63" i="1" s="1"/>
  <c r="AHY63" i="1" a="1"/>
  <c r="AHY63" i="1" s="1"/>
  <c r="VJ63" i="1" a="1"/>
  <c r="VJ63" i="1" s="1"/>
  <c r="SP63" i="1" a="1"/>
  <c r="SP63" i="1" s="1"/>
  <c r="ST63" i="1" a="1"/>
  <c r="ST63" i="1" s="1"/>
  <c r="SQ63" i="1" a="1"/>
  <c r="SQ63" i="1" s="1"/>
  <c r="ALF63" i="1" a="1"/>
  <c r="ALF63" i="1" s="1"/>
  <c r="AKX63" i="1" a="1"/>
  <c r="AKX63" i="1" s="1"/>
  <c r="AKP63" i="1" a="1"/>
  <c r="AKP63" i="1" s="1"/>
  <c r="AKY63" i="1" a="1"/>
  <c r="AKY63" i="1" s="1"/>
  <c r="VW63" i="1" a="1"/>
  <c r="VW63" i="1" s="1"/>
  <c r="VG63" i="1" a="1"/>
  <c r="VG63" i="1" s="1"/>
  <c r="AIC63" i="1" a="1"/>
  <c r="AIC63" i="1" s="1"/>
  <c r="ALG63" i="1" a="1"/>
  <c r="ALG63" i="1" s="1"/>
  <c r="VH63" i="1" a="1"/>
  <c r="VH63" i="1" s="1"/>
  <c r="ALA63" i="1" a="1"/>
  <c r="ALA63" i="1" s="1"/>
  <c r="VU63" i="1" a="1"/>
  <c r="VU63" i="1" s="1"/>
  <c r="VE63" i="1" a="1"/>
  <c r="VE63" i="1" s="1"/>
  <c r="VI63" i="1" a="1"/>
  <c r="VI63" i="1" s="1"/>
  <c r="VF63" i="1" a="1"/>
  <c r="VF63" i="1" s="1"/>
  <c r="ALD63" i="1" a="1"/>
  <c r="ALD63" i="1" s="1"/>
  <c r="AKV63" i="1" a="1"/>
  <c r="AKV63" i="1" s="1"/>
  <c r="AKN63" i="1" a="1"/>
  <c r="AKN63" i="1" s="1"/>
  <c r="ALC63" i="1" a="1"/>
  <c r="ALC63" i="1" s="1"/>
  <c r="ALE63" i="1" a="1"/>
  <c r="ALE63" i="1" s="1"/>
  <c r="AID63" i="1" a="1"/>
  <c r="AID63" i="1" s="1"/>
  <c r="VT63" i="1" a="1"/>
  <c r="VT63" i="1" s="1"/>
  <c r="VD63" i="1" a="1"/>
  <c r="VD63" i="1" s="1"/>
  <c r="AKQ63" i="1" a="1"/>
  <c r="AKQ63" i="1" s="1"/>
  <c r="VS63" i="1" a="1"/>
  <c r="VS63" i="1" s="1"/>
  <c r="VC63" i="1" a="1"/>
  <c r="VC63" i="1" s="1"/>
  <c r="AKK63" i="1" a="1"/>
  <c r="AKK63" i="1" s="1"/>
  <c r="VR63" i="1" a="1"/>
  <c r="VR63" i="1" s="1"/>
  <c r="VB63" i="1" a="1"/>
  <c r="VB63" i="1" s="1"/>
  <c r="VA63" i="1" a="1"/>
  <c r="VA63" i="1" s="1"/>
  <c r="AIA63" i="1" a="1"/>
  <c r="AIA63" i="1" s="1"/>
  <c r="SR63" i="1" a="1"/>
  <c r="SR63" i="1" s="1"/>
  <c r="AIE63" i="1" a="1"/>
  <c r="AIE63" i="1" s="1"/>
  <c r="SS63" i="1" a="1"/>
  <c r="SS63" i="1" s="1"/>
  <c r="AIB63" i="1" a="1"/>
  <c r="AIB63" i="1" s="1"/>
  <c r="SU63" i="1" a="1"/>
  <c r="SU63" i="1" s="1"/>
  <c r="VV63" i="1" a="1"/>
  <c r="VV63" i="1" s="1"/>
  <c r="AAA63" i="1"/>
  <c r="FV71" i="1"/>
  <c r="BU71" i="1"/>
  <c r="ACH71" i="1" a="1"/>
  <c r="ACH71" i="1" s="1"/>
  <c r="ACE71" i="1" a="1"/>
  <c r="ACE71" i="1" s="1"/>
  <c r="ABZ71" i="1" a="1"/>
  <c r="ABZ71" i="1" s="1"/>
  <c r="ABW71" i="1" a="1"/>
  <c r="ABW71" i="1" s="1"/>
  <c r="ABR71" i="1" a="1"/>
  <c r="ABR71" i="1" s="1"/>
  <c r="ABO71" i="1" a="1"/>
  <c r="ABO71" i="1" s="1"/>
  <c r="ABJ71" i="1" a="1"/>
  <c r="ABJ71" i="1" s="1"/>
  <c r="ABG71" i="1" a="1"/>
  <c r="ABG71" i="1" s="1"/>
  <c r="ABB71" i="1" a="1"/>
  <c r="ABB71" i="1" s="1"/>
  <c r="AAY71" i="1" a="1"/>
  <c r="AAY71" i="1" s="1"/>
  <c r="AAT71" i="1" a="1"/>
  <c r="AAT71" i="1" s="1"/>
  <c r="AAQ71" i="1" a="1"/>
  <c r="AAQ71" i="1" s="1"/>
  <c r="AAK71" i="1" a="1"/>
  <c r="AAK71" i="1" s="1"/>
  <c r="AAH71" i="1" a="1"/>
  <c r="AAH71" i="1" s="1"/>
  <c r="NA71" i="1" a="1"/>
  <c r="NA71" i="1" s="1"/>
  <c r="MV71" i="1" a="1"/>
  <c r="MV71" i="1" s="1"/>
  <c r="MS71" i="1" a="1"/>
  <c r="MS71" i="1" s="1"/>
  <c r="MN71" i="1" a="1"/>
  <c r="MN71" i="1" s="1"/>
  <c r="MK71" i="1" a="1"/>
  <c r="MK71" i="1" s="1"/>
  <c r="MF71" i="1" a="1"/>
  <c r="MF71" i="1" s="1"/>
  <c r="MC71" i="1" a="1"/>
  <c r="MC71" i="1" s="1"/>
  <c r="LX71" i="1" a="1"/>
  <c r="LX71" i="1" s="1"/>
  <c r="LU71" i="1" a="1"/>
  <c r="LU71" i="1" s="1"/>
  <c r="LP71" i="1" a="1"/>
  <c r="LP71" i="1" s="1"/>
  <c r="LM71" i="1" a="1"/>
  <c r="LM71" i="1" s="1"/>
  <c r="LH71" i="1" a="1"/>
  <c r="LH71" i="1" s="1"/>
  <c r="LD71" i="1" a="1"/>
  <c r="LD71" i="1" s="1"/>
  <c r="KY71" i="1" a="1"/>
  <c r="KY71" i="1" s="1"/>
  <c r="ACJ71" i="1" a="1"/>
  <c r="ACJ71" i="1" s="1"/>
  <c r="ACG71" i="1" a="1"/>
  <c r="ACG71" i="1" s="1"/>
  <c r="ACB71" i="1" a="1"/>
  <c r="ACB71" i="1" s="1"/>
  <c r="ABY71" i="1" a="1"/>
  <c r="ABY71" i="1" s="1"/>
  <c r="ABT71" i="1" a="1"/>
  <c r="ABT71" i="1" s="1"/>
  <c r="ABQ71" i="1" a="1"/>
  <c r="ABQ71" i="1" s="1"/>
  <c r="ABL71" i="1" a="1"/>
  <c r="ABL71" i="1" s="1"/>
  <c r="ABI71" i="1" a="1"/>
  <c r="ABI71" i="1" s="1"/>
  <c r="ABD71" i="1" a="1"/>
  <c r="ABD71" i="1" s="1"/>
  <c r="ABA71" i="1" a="1"/>
  <c r="ABA71" i="1" s="1"/>
  <c r="AAV71" i="1" a="1"/>
  <c r="AAV71" i="1" s="1"/>
  <c r="AAS71" i="1" a="1"/>
  <c r="AAS71" i="1" s="1"/>
  <c r="AAM71" i="1" a="1"/>
  <c r="AAM71" i="1" s="1"/>
  <c r="AAJ71" i="1" a="1"/>
  <c r="AAJ71" i="1" s="1"/>
  <c r="MX71" i="1" a="1"/>
  <c r="MX71" i="1" s="1"/>
  <c r="MU71" i="1" a="1"/>
  <c r="MU71" i="1" s="1"/>
  <c r="MP71" i="1" a="1"/>
  <c r="MP71" i="1" s="1"/>
  <c r="MM71" i="1" a="1"/>
  <c r="MM71" i="1" s="1"/>
  <c r="MH71" i="1" a="1"/>
  <c r="MH71" i="1" s="1"/>
  <c r="ME71" i="1" a="1"/>
  <c r="ME71" i="1" s="1"/>
  <c r="LZ71" i="1" a="1"/>
  <c r="LZ71" i="1" s="1"/>
  <c r="LW71" i="1" a="1"/>
  <c r="LW71" i="1" s="1"/>
  <c r="LR71" i="1" a="1"/>
  <c r="LR71" i="1" s="1"/>
  <c r="LO71" i="1" a="1"/>
  <c r="LO71" i="1" s="1"/>
  <c r="LJ71" i="1" a="1"/>
  <c r="LJ71" i="1" s="1"/>
  <c r="LG71" i="1" a="1"/>
  <c r="LG71" i="1" s="1"/>
  <c r="LA71" i="1" a="1"/>
  <c r="LA71" i="1" s="1"/>
  <c r="KX71" i="1" a="1"/>
  <c r="KX71" i="1" s="1"/>
  <c r="ACL71" i="1" a="1"/>
  <c r="ACL71" i="1" s="1"/>
  <c r="ACI71" i="1" a="1"/>
  <c r="ACI71" i="1" s="1"/>
  <c r="ACD71" i="1" a="1"/>
  <c r="ACD71" i="1" s="1"/>
  <c r="ACA71" i="1" a="1"/>
  <c r="ACA71" i="1" s="1"/>
  <c r="ABV71" i="1" a="1"/>
  <c r="ABV71" i="1" s="1"/>
  <c r="ABS71" i="1" a="1"/>
  <c r="ABS71" i="1" s="1"/>
  <c r="ABN71" i="1" a="1"/>
  <c r="ABN71" i="1" s="1"/>
  <c r="ABK71" i="1" a="1"/>
  <c r="ABK71" i="1" s="1"/>
  <c r="ABF71" i="1" a="1"/>
  <c r="ABF71" i="1" s="1"/>
  <c r="ABC71" i="1" a="1"/>
  <c r="ABC71" i="1" s="1"/>
  <c r="AAX71" i="1" a="1"/>
  <c r="AAX71" i="1" s="1"/>
  <c r="AAU71" i="1" a="1"/>
  <c r="AAU71" i="1" s="1"/>
  <c r="AAP71" i="1" a="1"/>
  <c r="AAP71" i="1" s="1"/>
  <c r="AAL71" i="1" a="1"/>
  <c r="AAL71" i="1" s="1"/>
  <c r="MZ71" i="1" a="1"/>
  <c r="MZ71" i="1" s="1"/>
  <c r="MW71" i="1" a="1"/>
  <c r="MW71" i="1" s="1"/>
  <c r="MR71" i="1" a="1"/>
  <c r="MR71" i="1" s="1"/>
  <c r="MO71" i="1" a="1"/>
  <c r="MO71" i="1" s="1"/>
  <c r="MJ71" i="1" a="1"/>
  <c r="MJ71" i="1" s="1"/>
  <c r="MG71" i="1" a="1"/>
  <c r="MG71" i="1" s="1"/>
  <c r="MB71" i="1" a="1"/>
  <c r="MB71" i="1" s="1"/>
  <c r="LY71" i="1" a="1"/>
  <c r="LY71" i="1" s="1"/>
  <c r="LT71" i="1" a="1"/>
  <c r="LT71" i="1" s="1"/>
  <c r="LQ71" i="1" a="1"/>
  <c r="LQ71" i="1" s="1"/>
  <c r="LL71" i="1" a="1"/>
  <c r="LL71" i="1" s="1"/>
  <c r="LI71" i="1" a="1"/>
  <c r="LI71" i="1" s="1"/>
  <c r="LC71" i="1" a="1"/>
  <c r="LC71" i="1" s="1"/>
  <c r="KZ71" i="1" a="1"/>
  <c r="KZ71" i="1" s="1"/>
  <c r="ACK71" i="1" a="1"/>
  <c r="ACK71" i="1" s="1"/>
  <c r="ACF71" i="1" a="1"/>
  <c r="ACF71" i="1" s="1"/>
  <c r="ACC71" i="1" a="1"/>
  <c r="ACC71" i="1" s="1"/>
  <c r="ABX71" i="1" a="1"/>
  <c r="ABX71" i="1" s="1"/>
  <c r="ABU71" i="1" a="1"/>
  <c r="ABU71" i="1" s="1"/>
  <c r="ABP71" i="1" a="1"/>
  <c r="ABP71" i="1" s="1"/>
  <c r="ABM71" i="1" a="1"/>
  <c r="ABM71" i="1" s="1"/>
  <c r="ABH71" i="1" a="1"/>
  <c r="ABH71" i="1" s="1"/>
  <c r="ABE71" i="1" a="1"/>
  <c r="ABE71" i="1" s="1"/>
  <c r="AAZ71" i="1" a="1"/>
  <c r="AAZ71" i="1" s="1"/>
  <c r="AAW71" i="1" a="1"/>
  <c r="AAW71" i="1" s="1"/>
  <c r="AAR71" i="1" a="1"/>
  <c r="AAR71" i="1" s="1"/>
  <c r="AAN71" i="1" a="1"/>
  <c r="AAN71" i="1" s="1"/>
  <c r="AAI71" i="1" a="1"/>
  <c r="AAI71" i="1" s="1"/>
  <c r="NB71" i="1" a="1"/>
  <c r="NB71" i="1" s="1"/>
  <c r="MY71" i="1" a="1"/>
  <c r="MY71" i="1" s="1"/>
  <c r="MT71" i="1" a="1"/>
  <c r="MT71" i="1" s="1"/>
  <c r="MQ71" i="1" a="1"/>
  <c r="MQ71" i="1" s="1"/>
  <c r="ML71" i="1" a="1"/>
  <c r="ML71" i="1" s="1"/>
  <c r="MI71" i="1" a="1"/>
  <c r="MI71" i="1" s="1"/>
  <c r="MD71" i="1" a="1"/>
  <c r="MD71" i="1" s="1"/>
  <c r="MA71" i="1" a="1"/>
  <c r="MA71" i="1" s="1"/>
  <c r="LV71" i="1" a="1"/>
  <c r="LV71" i="1" s="1"/>
  <c r="LS71" i="1" a="1"/>
  <c r="LS71" i="1" s="1"/>
  <c r="LN71" i="1" a="1"/>
  <c r="LN71" i="1" s="1"/>
  <c r="LK71" i="1" a="1"/>
  <c r="LK71" i="1" s="1"/>
  <c r="LF71" i="1" a="1"/>
  <c r="LF71" i="1" s="1"/>
  <c r="LB71" i="1" a="1"/>
  <c r="LB71" i="1" s="1"/>
  <c r="AKC72" i="1" a="1"/>
  <c r="AKC72" i="1" s="1"/>
  <c r="AKA72" i="1" a="1"/>
  <c r="AKA72" i="1" s="1"/>
  <c r="AJY72" i="1" a="1"/>
  <c r="AJY72" i="1" s="1"/>
  <c r="AJW72" i="1" a="1"/>
  <c r="AJW72" i="1" s="1"/>
  <c r="AJU72" i="1" a="1"/>
  <c r="AJU72" i="1" s="1"/>
  <c r="AJS72" i="1" a="1"/>
  <c r="AJS72" i="1" s="1"/>
  <c r="AJQ72" i="1" a="1"/>
  <c r="AJQ72" i="1" s="1"/>
  <c r="AJO72" i="1" a="1"/>
  <c r="AJO72" i="1" s="1"/>
  <c r="AJM72" i="1" a="1"/>
  <c r="AJM72" i="1" s="1"/>
  <c r="AJK72" i="1" a="1"/>
  <c r="AJK72" i="1" s="1"/>
  <c r="AJI72" i="1" a="1"/>
  <c r="AJI72" i="1" s="1"/>
  <c r="AJG72" i="1" a="1"/>
  <c r="AJG72" i="1" s="1"/>
  <c r="AJE72" i="1" a="1"/>
  <c r="AJE72" i="1" s="1"/>
  <c r="AJC72" i="1" a="1"/>
  <c r="AJC72" i="1" s="1"/>
  <c r="AJA72" i="1" a="1"/>
  <c r="AJA72" i="1" s="1"/>
  <c r="AIY72" i="1" a="1"/>
  <c r="AIY72" i="1" s="1"/>
  <c r="AIW72" i="1" a="1"/>
  <c r="AIW72" i="1" s="1"/>
  <c r="AIU72" i="1" a="1"/>
  <c r="AIU72" i="1" s="1"/>
  <c r="AIS72" i="1" a="1"/>
  <c r="AIS72" i="1" s="1"/>
  <c r="AIQ72" i="1" a="1"/>
  <c r="AIQ72" i="1" s="1"/>
  <c r="AIO72" i="1" a="1"/>
  <c r="AIO72" i="1" s="1"/>
  <c r="AIM72" i="1" a="1"/>
  <c r="AIM72" i="1" s="1"/>
  <c r="AIK72" i="1" a="1"/>
  <c r="AIK72" i="1" s="1"/>
  <c r="AII72" i="1" a="1"/>
  <c r="AII72" i="1" s="1"/>
  <c r="AIG72" i="1" a="1"/>
  <c r="AIG72" i="1" s="1"/>
  <c r="US72" i="1" a="1"/>
  <c r="US72" i="1" s="1"/>
  <c r="UQ72" i="1" a="1"/>
  <c r="UQ72" i="1" s="1"/>
  <c r="UO72" i="1" a="1"/>
  <c r="UO72" i="1" s="1"/>
  <c r="UM72" i="1" a="1"/>
  <c r="UM72" i="1" s="1"/>
  <c r="UK72" i="1" a="1"/>
  <c r="UK72" i="1" s="1"/>
  <c r="UI72" i="1" a="1"/>
  <c r="UI72" i="1" s="1"/>
  <c r="UG72" i="1" a="1"/>
  <c r="UG72" i="1" s="1"/>
  <c r="UE72" i="1" a="1"/>
  <c r="UE72" i="1" s="1"/>
  <c r="UC72" i="1" a="1"/>
  <c r="UC72" i="1" s="1"/>
  <c r="UA72" i="1" a="1"/>
  <c r="UA72" i="1" s="1"/>
  <c r="TY72" i="1" a="1"/>
  <c r="TY72" i="1" s="1"/>
  <c r="TW72" i="1" a="1"/>
  <c r="TW72" i="1" s="1"/>
  <c r="TU72" i="1" a="1"/>
  <c r="TU72" i="1" s="1"/>
  <c r="TS72" i="1" a="1"/>
  <c r="TS72" i="1" s="1"/>
  <c r="TQ72" i="1" a="1"/>
  <c r="TQ72" i="1" s="1"/>
  <c r="TO72" i="1" a="1"/>
  <c r="TO72" i="1" s="1"/>
  <c r="TM72" i="1" a="1"/>
  <c r="TM72" i="1" s="1"/>
  <c r="TK72" i="1" a="1"/>
  <c r="TK72" i="1" s="1"/>
  <c r="TI72" i="1" a="1"/>
  <c r="TI72" i="1" s="1"/>
  <c r="TG72" i="1" a="1"/>
  <c r="TG72" i="1" s="1"/>
  <c r="TE72" i="1" a="1"/>
  <c r="TE72" i="1" s="1"/>
  <c r="TC72" i="1" a="1"/>
  <c r="TC72" i="1" s="1"/>
  <c r="TA72" i="1" a="1"/>
  <c r="TA72" i="1" s="1"/>
  <c r="SY72" i="1" a="1"/>
  <c r="SY72" i="1" s="1"/>
  <c r="SW72" i="1" a="1"/>
  <c r="SW72" i="1" s="1"/>
  <c r="AKB72" i="1" a="1"/>
  <c r="AKB72" i="1" s="1"/>
  <c r="AJZ72" i="1" a="1"/>
  <c r="AJZ72" i="1" s="1"/>
  <c r="AJX72" i="1" a="1"/>
  <c r="AJX72" i="1" s="1"/>
  <c r="AJV72" i="1" a="1"/>
  <c r="AJV72" i="1" s="1"/>
  <c r="AJT72" i="1" a="1"/>
  <c r="AJT72" i="1" s="1"/>
  <c r="AJR72" i="1" a="1"/>
  <c r="AJR72" i="1" s="1"/>
  <c r="AJP72" i="1" a="1"/>
  <c r="AJP72" i="1" s="1"/>
  <c r="AJN72" i="1" a="1"/>
  <c r="AJN72" i="1" s="1"/>
  <c r="AJL72" i="1" a="1"/>
  <c r="AJL72" i="1" s="1"/>
  <c r="AJJ72" i="1" a="1"/>
  <c r="AJJ72" i="1" s="1"/>
  <c r="AJH72" i="1" a="1"/>
  <c r="AJH72" i="1" s="1"/>
  <c r="AJF72" i="1" a="1"/>
  <c r="AJF72" i="1" s="1"/>
  <c r="AJD72" i="1" a="1"/>
  <c r="AJD72" i="1" s="1"/>
  <c r="AJB72" i="1" a="1"/>
  <c r="AJB72" i="1" s="1"/>
  <c r="AIZ72" i="1" a="1"/>
  <c r="AIZ72" i="1" s="1"/>
  <c r="AIX72" i="1" a="1"/>
  <c r="AIX72" i="1" s="1"/>
  <c r="AIV72" i="1" a="1"/>
  <c r="AIV72" i="1" s="1"/>
  <c r="AIT72" i="1" a="1"/>
  <c r="AIT72" i="1" s="1"/>
  <c r="AIR72" i="1" a="1"/>
  <c r="AIR72" i="1" s="1"/>
  <c r="AIP72" i="1" a="1"/>
  <c r="AIP72" i="1" s="1"/>
  <c r="AIN72" i="1" a="1"/>
  <c r="AIN72" i="1" s="1"/>
  <c r="AIL72" i="1" a="1"/>
  <c r="AIL72" i="1" s="1"/>
  <c r="AIJ72" i="1" a="1"/>
  <c r="AIJ72" i="1" s="1"/>
  <c r="AIH72" i="1" a="1"/>
  <c r="AIH72" i="1" s="1"/>
  <c r="UR72" i="1" a="1"/>
  <c r="UR72" i="1" s="1"/>
  <c r="UP72" i="1" a="1"/>
  <c r="UP72" i="1" s="1"/>
  <c r="UN72" i="1" a="1"/>
  <c r="UN72" i="1" s="1"/>
  <c r="UL72" i="1" a="1"/>
  <c r="UL72" i="1" s="1"/>
  <c r="UJ72" i="1" a="1"/>
  <c r="UJ72" i="1" s="1"/>
  <c r="UH72" i="1" a="1"/>
  <c r="UH72" i="1" s="1"/>
  <c r="UF72" i="1" a="1"/>
  <c r="UF72" i="1" s="1"/>
  <c r="UD72" i="1" a="1"/>
  <c r="UD72" i="1" s="1"/>
  <c r="UB72" i="1" a="1"/>
  <c r="UB72" i="1" s="1"/>
  <c r="TZ72" i="1" a="1"/>
  <c r="TZ72" i="1" s="1"/>
  <c r="TX72" i="1" a="1"/>
  <c r="TX72" i="1" s="1"/>
  <c r="TV72" i="1" a="1"/>
  <c r="TV72" i="1" s="1"/>
  <c r="TT72" i="1" a="1"/>
  <c r="TT72" i="1" s="1"/>
  <c r="TR72" i="1" a="1"/>
  <c r="TR72" i="1" s="1"/>
  <c r="TP72" i="1" a="1"/>
  <c r="TP72" i="1" s="1"/>
  <c r="TN72" i="1" a="1"/>
  <c r="TN72" i="1" s="1"/>
  <c r="TL72" i="1" a="1"/>
  <c r="TL72" i="1" s="1"/>
  <c r="TJ72" i="1" a="1"/>
  <c r="TJ72" i="1" s="1"/>
  <c r="TH72" i="1" a="1"/>
  <c r="TH72" i="1" s="1"/>
  <c r="TF72" i="1" a="1"/>
  <c r="TF72" i="1" s="1"/>
  <c r="TD72" i="1" a="1"/>
  <c r="TD72" i="1" s="1"/>
  <c r="TB72" i="1" a="1"/>
  <c r="TB72" i="1" s="1"/>
  <c r="SZ72" i="1" a="1"/>
  <c r="SZ72" i="1" s="1"/>
  <c r="SX72" i="1" a="1"/>
  <c r="SX72" i="1" s="1"/>
  <c r="ALG72" i="1" a="1"/>
  <c r="ALG72" i="1" s="1"/>
  <c r="AKY72" i="1" a="1"/>
  <c r="AKY72" i="1" s="1"/>
  <c r="AKQ72" i="1" a="1"/>
  <c r="AKQ72" i="1" s="1"/>
  <c r="AID72" i="1" a="1"/>
  <c r="AID72" i="1" s="1"/>
  <c r="VW72" i="1" a="1"/>
  <c r="VW72" i="1" s="1"/>
  <c r="VO72" i="1" a="1"/>
  <c r="VO72" i="1" s="1"/>
  <c r="VG72" i="1" a="1"/>
  <c r="VG72" i="1" s="1"/>
  <c r="ST72" i="1" a="1"/>
  <c r="ST72" i="1" s="1"/>
  <c r="ALD72" i="1" a="1"/>
  <c r="ALD72" i="1" s="1"/>
  <c r="AKV72" i="1" a="1"/>
  <c r="AKV72" i="1" s="1"/>
  <c r="AKN72" i="1" a="1"/>
  <c r="AKN72" i="1" s="1"/>
  <c r="AIA72" i="1" a="1"/>
  <c r="AIA72" i="1" s="1"/>
  <c r="VT72" i="1" a="1"/>
  <c r="VT72" i="1" s="1"/>
  <c r="VL72" i="1" a="1"/>
  <c r="VL72" i="1" s="1"/>
  <c r="VD72" i="1" a="1"/>
  <c r="VD72" i="1" s="1"/>
  <c r="SQ72" i="1" a="1"/>
  <c r="SQ72" i="1" s="1"/>
  <c r="ALE72" i="1" a="1"/>
  <c r="ALE72" i="1" s="1"/>
  <c r="AKW72" i="1" a="1"/>
  <c r="AKW72" i="1" s="1"/>
  <c r="AKO72" i="1" a="1"/>
  <c r="AKO72" i="1" s="1"/>
  <c r="AIB72" i="1" a="1"/>
  <c r="AIB72" i="1" s="1"/>
  <c r="VU72" i="1" a="1"/>
  <c r="VU72" i="1" s="1"/>
  <c r="VM72" i="1" a="1"/>
  <c r="VM72" i="1" s="1"/>
  <c r="VE72" i="1" a="1"/>
  <c r="VE72" i="1" s="1"/>
  <c r="SR72" i="1" a="1"/>
  <c r="SR72" i="1" s="1"/>
  <c r="ALB72" i="1" a="1"/>
  <c r="ALB72" i="1" s="1"/>
  <c r="AKT72" i="1" a="1"/>
  <c r="AKT72" i="1" s="1"/>
  <c r="AKL72" i="1" a="1"/>
  <c r="AKL72" i="1" s="1"/>
  <c r="AHY72" i="1" a="1"/>
  <c r="AHY72" i="1" s="1"/>
  <c r="VR72" i="1" a="1"/>
  <c r="VR72" i="1" s="1"/>
  <c r="VJ72" i="1" a="1"/>
  <c r="VJ72" i="1" s="1"/>
  <c r="VB72" i="1" a="1"/>
  <c r="VB72" i="1" s="1"/>
  <c r="SO72" i="1" a="1"/>
  <c r="SO72" i="1" s="1"/>
  <c r="ALC72" i="1" a="1"/>
  <c r="ALC72" i="1" s="1"/>
  <c r="AKU72" i="1" a="1"/>
  <c r="AKU72" i="1" s="1"/>
  <c r="AKM72" i="1" a="1"/>
  <c r="AKM72" i="1" s="1"/>
  <c r="AHZ72" i="1" a="1"/>
  <c r="AHZ72" i="1" s="1"/>
  <c r="VS72" i="1" a="1"/>
  <c r="VS72" i="1" s="1"/>
  <c r="VK72" i="1" a="1"/>
  <c r="VK72" i="1" s="1"/>
  <c r="VC72" i="1" a="1"/>
  <c r="VC72" i="1" s="1"/>
  <c r="SP72" i="1" a="1"/>
  <c r="SP72" i="1" s="1"/>
  <c r="AKZ72" i="1" a="1"/>
  <c r="AKZ72" i="1" s="1"/>
  <c r="AKR72" i="1" a="1"/>
  <c r="AKR72" i="1" s="1"/>
  <c r="AIE72" i="1" a="1"/>
  <c r="AIE72" i="1" s="1"/>
  <c r="VP72" i="1" a="1"/>
  <c r="VP72" i="1" s="1"/>
  <c r="VH72" i="1" a="1"/>
  <c r="VH72" i="1" s="1"/>
  <c r="SU72" i="1" a="1"/>
  <c r="SU72" i="1" s="1"/>
  <c r="AIC72" i="1" a="1"/>
  <c r="AIC72" i="1" s="1"/>
  <c r="SS72" i="1" a="1"/>
  <c r="SS72" i="1" s="1"/>
  <c r="ACK72" i="1" a="1"/>
  <c r="ACK72" i="1" s="1"/>
  <c r="ACI72" i="1" a="1"/>
  <c r="ACI72" i="1" s="1"/>
  <c r="ACG72" i="1" a="1"/>
  <c r="ACG72" i="1" s="1"/>
  <c r="ACE72" i="1" a="1"/>
  <c r="ACE72" i="1" s="1"/>
  <c r="ACC72" i="1" a="1"/>
  <c r="ACC72" i="1" s="1"/>
  <c r="ACA72" i="1" a="1"/>
  <c r="ACA72" i="1" s="1"/>
  <c r="ABY72" i="1" a="1"/>
  <c r="ABY72" i="1" s="1"/>
  <c r="ABW72" i="1" a="1"/>
  <c r="ABW72" i="1" s="1"/>
  <c r="ABU72" i="1" a="1"/>
  <c r="ABU72" i="1" s="1"/>
  <c r="ABS72" i="1" a="1"/>
  <c r="ABS72" i="1" s="1"/>
  <c r="ABQ72" i="1" a="1"/>
  <c r="ABQ72" i="1" s="1"/>
  <c r="ABO72" i="1" a="1"/>
  <c r="ABO72" i="1" s="1"/>
  <c r="ABM72" i="1" a="1"/>
  <c r="ABM72" i="1" s="1"/>
  <c r="ABK72" i="1" a="1"/>
  <c r="ABK72" i="1" s="1"/>
  <c r="ABI72" i="1" a="1"/>
  <c r="ABI72" i="1" s="1"/>
  <c r="ABG72" i="1" a="1"/>
  <c r="ABG72" i="1" s="1"/>
  <c r="ABE72" i="1" a="1"/>
  <c r="ABE72" i="1" s="1"/>
  <c r="ABC72" i="1" a="1"/>
  <c r="ABC72" i="1" s="1"/>
  <c r="ABA72" i="1" a="1"/>
  <c r="ABA72" i="1" s="1"/>
  <c r="AAY72" i="1" a="1"/>
  <c r="AAY72" i="1" s="1"/>
  <c r="AAW72" i="1" a="1"/>
  <c r="AAW72" i="1" s="1"/>
  <c r="AAU72" i="1" a="1"/>
  <c r="AAU72" i="1" s="1"/>
  <c r="AAS72" i="1" a="1"/>
  <c r="AAS72" i="1" s="1"/>
  <c r="AAQ72" i="1" a="1"/>
  <c r="AAQ72" i="1" s="1"/>
  <c r="NA72" i="1" a="1"/>
  <c r="NA72" i="1" s="1"/>
  <c r="MY72" i="1" a="1"/>
  <c r="MY72" i="1" s="1"/>
  <c r="MW72" i="1" a="1"/>
  <c r="MW72" i="1" s="1"/>
  <c r="MU72" i="1" a="1"/>
  <c r="MU72" i="1" s="1"/>
  <c r="MS72" i="1" a="1"/>
  <c r="MS72" i="1" s="1"/>
  <c r="MQ72" i="1" a="1"/>
  <c r="MQ72" i="1" s="1"/>
  <c r="MO72" i="1" a="1"/>
  <c r="MO72" i="1" s="1"/>
  <c r="MM72" i="1" a="1"/>
  <c r="MM72" i="1" s="1"/>
  <c r="MK72" i="1" a="1"/>
  <c r="MK72" i="1" s="1"/>
  <c r="MI72" i="1" a="1"/>
  <c r="MI72" i="1" s="1"/>
  <c r="MG72" i="1" a="1"/>
  <c r="MG72" i="1" s="1"/>
  <c r="ME72" i="1" a="1"/>
  <c r="ME72" i="1" s="1"/>
  <c r="MC72" i="1" a="1"/>
  <c r="MC72" i="1" s="1"/>
  <c r="MA72" i="1" a="1"/>
  <c r="MA72" i="1" s="1"/>
  <c r="LY72" i="1" a="1"/>
  <c r="LY72" i="1" s="1"/>
  <c r="LW72" i="1" a="1"/>
  <c r="LW72" i="1" s="1"/>
  <c r="LU72" i="1" a="1"/>
  <c r="LU72" i="1" s="1"/>
  <c r="LS72" i="1" a="1"/>
  <c r="LS72" i="1" s="1"/>
  <c r="LQ72" i="1" a="1"/>
  <c r="LQ72" i="1" s="1"/>
  <c r="LO72" i="1" a="1"/>
  <c r="LO72" i="1" s="1"/>
  <c r="LM72" i="1" a="1"/>
  <c r="LM72" i="1" s="1"/>
  <c r="LK72" i="1" a="1"/>
  <c r="LK72" i="1" s="1"/>
  <c r="LI72" i="1" a="1"/>
  <c r="LI72" i="1" s="1"/>
  <c r="LG72" i="1" a="1"/>
  <c r="LG72" i="1" s="1"/>
  <c r="ACL72" i="1" a="1"/>
  <c r="ACL72" i="1" s="1"/>
  <c r="ACJ72" i="1" a="1"/>
  <c r="ACJ72" i="1" s="1"/>
  <c r="ACH72" i="1" a="1"/>
  <c r="ACH72" i="1" s="1"/>
  <c r="ACF72" i="1" a="1"/>
  <c r="ACF72" i="1" s="1"/>
  <c r="ACD72" i="1" a="1"/>
  <c r="ACD72" i="1" s="1"/>
  <c r="ACB72" i="1" a="1"/>
  <c r="ACB72" i="1" s="1"/>
  <c r="ABZ72" i="1" a="1"/>
  <c r="ABZ72" i="1" s="1"/>
  <c r="ABX72" i="1" a="1"/>
  <c r="ABX72" i="1" s="1"/>
  <c r="ABV72" i="1" a="1"/>
  <c r="ABV72" i="1" s="1"/>
  <c r="ABT72" i="1" a="1"/>
  <c r="ABT72" i="1" s="1"/>
  <c r="ABR72" i="1" a="1"/>
  <c r="ABR72" i="1" s="1"/>
  <c r="ABP72" i="1" a="1"/>
  <c r="ABP72" i="1" s="1"/>
  <c r="ABN72" i="1" a="1"/>
  <c r="ABN72" i="1" s="1"/>
  <c r="ABL72" i="1" a="1"/>
  <c r="ABL72" i="1" s="1"/>
  <c r="ABJ72" i="1" a="1"/>
  <c r="ABJ72" i="1" s="1"/>
  <c r="ABH72" i="1" a="1"/>
  <c r="ABH72" i="1" s="1"/>
  <c r="ABF72" i="1" a="1"/>
  <c r="ABF72" i="1" s="1"/>
  <c r="ABD72" i="1" a="1"/>
  <c r="ABD72" i="1" s="1"/>
  <c r="ABB72" i="1" a="1"/>
  <c r="ABB72" i="1" s="1"/>
  <c r="AAZ72" i="1" a="1"/>
  <c r="AAZ72" i="1" s="1"/>
  <c r="AAX72" i="1" a="1"/>
  <c r="AAX72" i="1" s="1"/>
  <c r="AAV72" i="1" a="1"/>
  <c r="AAV72" i="1" s="1"/>
  <c r="AAT72" i="1" a="1"/>
  <c r="AAT72" i="1" s="1"/>
  <c r="AAR72" i="1" a="1"/>
  <c r="AAR72" i="1" s="1"/>
  <c r="AAP72" i="1" a="1"/>
  <c r="AAP72" i="1" s="1"/>
  <c r="NB72" i="1" a="1"/>
  <c r="NB72" i="1" s="1"/>
  <c r="MZ72" i="1" a="1"/>
  <c r="MZ72" i="1" s="1"/>
  <c r="MX72" i="1" a="1"/>
  <c r="MX72" i="1" s="1"/>
  <c r="MV72" i="1" a="1"/>
  <c r="MV72" i="1" s="1"/>
  <c r="MT72" i="1" a="1"/>
  <c r="MT72" i="1" s="1"/>
  <c r="MR72" i="1" a="1"/>
  <c r="MR72" i="1" s="1"/>
  <c r="MP72" i="1" a="1"/>
  <c r="MP72" i="1" s="1"/>
  <c r="MN72" i="1" a="1"/>
  <c r="MN72" i="1" s="1"/>
  <c r="ML72" i="1" a="1"/>
  <c r="ML72" i="1" s="1"/>
  <c r="MJ72" i="1" a="1"/>
  <c r="MJ72" i="1" s="1"/>
  <c r="MH72" i="1" a="1"/>
  <c r="MH72" i="1" s="1"/>
  <c r="MF72" i="1" a="1"/>
  <c r="MF72" i="1" s="1"/>
  <c r="MD72" i="1" a="1"/>
  <c r="MD72" i="1" s="1"/>
  <c r="MB72" i="1" a="1"/>
  <c r="MB72" i="1" s="1"/>
  <c r="LZ72" i="1" a="1"/>
  <c r="LZ72" i="1" s="1"/>
  <c r="LX72" i="1" a="1"/>
  <c r="LX72" i="1" s="1"/>
  <c r="LV72" i="1" a="1"/>
  <c r="LV72" i="1" s="1"/>
  <c r="LT72" i="1" a="1"/>
  <c r="LT72" i="1" s="1"/>
  <c r="LR72" i="1" a="1"/>
  <c r="LR72" i="1" s="1"/>
  <c r="LP72" i="1" a="1"/>
  <c r="LP72" i="1" s="1"/>
  <c r="LN72" i="1" a="1"/>
  <c r="LN72" i="1" s="1"/>
  <c r="LL72" i="1" a="1"/>
  <c r="LL72" i="1" s="1"/>
  <c r="LJ72" i="1" a="1"/>
  <c r="LJ72" i="1" s="1"/>
  <c r="LH72" i="1" a="1"/>
  <c r="LH72" i="1" s="1"/>
  <c r="LF72" i="1" a="1"/>
  <c r="LF72" i="1" s="1"/>
  <c r="AAL72" i="1" a="1"/>
  <c r="AAL72" i="1" s="1"/>
  <c r="LB72" i="1" a="1"/>
  <c r="LB72" i="1" s="1"/>
  <c r="AAK72" i="1" a="1"/>
  <c r="AAK72" i="1" s="1"/>
  <c r="LA72" i="1" a="1"/>
  <c r="LA72" i="1" s="1"/>
  <c r="AAJ72" i="1" a="1"/>
  <c r="AAJ72" i="1" s="1"/>
  <c r="KZ72" i="1" a="1"/>
  <c r="KZ72" i="1" s="1"/>
  <c r="AAI72" i="1" a="1"/>
  <c r="AAI72" i="1" s="1"/>
  <c r="KY72" i="1" a="1"/>
  <c r="KY72" i="1" s="1"/>
  <c r="AAH72" i="1" a="1"/>
  <c r="AAH72" i="1" s="1"/>
  <c r="KX72" i="1" a="1"/>
  <c r="KX72" i="1" s="1"/>
  <c r="AAN72" i="1" a="1"/>
  <c r="AAN72" i="1" s="1"/>
  <c r="LD72" i="1" a="1"/>
  <c r="LD72" i="1" s="1"/>
  <c r="AAM72" i="1" a="1"/>
  <c r="AAM72" i="1" s="1"/>
  <c r="LC72" i="1" a="1"/>
  <c r="LC72" i="1" s="1"/>
  <c r="DQ75" i="1"/>
  <c r="CG75" i="1"/>
  <c r="CI75" i="1" s="1"/>
  <c r="CJ75" i="1" s="1"/>
  <c r="AKX75" i="1" a="1"/>
  <c r="AKX75" i="1" s="1"/>
  <c r="VD75" i="1" a="1"/>
  <c r="VD75" i="1" s="1"/>
  <c r="VG75" i="1" a="1"/>
  <c r="VG75" i="1" s="1"/>
  <c r="FO76" i="1"/>
  <c r="BN76" i="1"/>
  <c r="EM77" i="1" a="1"/>
  <c r="EM77" i="1" s="1"/>
  <c r="EK77" i="1" a="1"/>
  <c r="EK77" i="1" s="1"/>
  <c r="EI77" i="1" a="1"/>
  <c r="EI77" i="1" s="1"/>
  <c r="EG77" i="1" a="1"/>
  <c r="EG77" i="1" s="1"/>
  <c r="BH77" i="1"/>
  <c r="EN77" i="1" a="1"/>
  <c r="EN77" i="1" s="1"/>
  <c r="EL77" i="1" a="1"/>
  <c r="EL77" i="1" s="1"/>
  <c r="EJ77" i="1" a="1"/>
  <c r="EJ77" i="1" s="1"/>
  <c r="EH77" i="1" a="1"/>
  <c r="EH77" i="1" s="1"/>
  <c r="EF77" i="1" a="1"/>
  <c r="EF77" i="1" s="1"/>
  <c r="SK77" i="1"/>
  <c r="XZ77" i="1"/>
  <c r="SM77" i="1"/>
  <c r="SI77" i="1"/>
  <c r="YO77" i="1" s="1" a="1"/>
  <c r="YO77" i="1" s="1"/>
  <c r="YP77" i="1" s="1"/>
  <c r="SL77" i="1"/>
  <c r="YQ77" i="1"/>
  <c r="SJ77" i="1"/>
  <c r="HT77" i="1"/>
  <c r="HU77" i="1" s="1"/>
  <c r="DH77" i="1" a="1"/>
  <c r="DH77" i="1" s="1"/>
  <c r="DM77" i="1" a="1"/>
  <c r="DM77" i="1" s="1"/>
  <c r="DJ77" i="1" a="1"/>
  <c r="DJ77" i="1" s="1"/>
  <c r="DX77" i="1" s="1"/>
  <c r="DL77" i="1" a="1"/>
  <c r="DL77" i="1" s="1"/>
  <c r="DQ77" i="1" s="1"/>
  <c r="DG77" i="1" a="1"/>
  <c r="DG77" i="1" s="1"/>
  <c r="DP77" i="1" s="1"/>
  <c r="DR77" i="1" s="1"/>
  <c r="DS77" i="1" s="1"/>
  <c r="DI77" i="1" a="1"/>
  <c r="DI77" i="1" s="1"/>
  <c r="DN77" i="1" a="1"/>
  <c r="DN77" i="1" s="1"/>
  <c r="DK77" i="1" a="1"/>
  <c r="DK77" i="1" s="1"/>
  <c r="DW77" i="1" s="1"/>
  <c r="EW71" i="1" a="1"/>
  <c r="EW71" i="1" s="1"/>
  <c r="ER71" i="1" a="1"/>
  <c r="ER71" i="1" s="1"/>
  <c r="ET71" i="1" a="1"/>
  <c r="ET71" i="1" s="1"/>
  <c r="FF71" i="1" s="1"/>
  <c r="EQ71" i="1" a="1"/>
  <c r="EQ71" i="1" s="1"/>
  <c r="ES71" i="1" a="1"/>
  <c r="ES71" i="1" s="1"/>
  <c r="FG71" i="1" s="1"/>
  <c r="EV71" i="1" a="1"/>
  <c r="EV71" i="1" s="1"/>
  <c r="EU71" i="1" a="1"/>
  <c r="EU71" i="1" s="1"/>
  <c r="EP71" i="1" a="1"/>
  <c r="EP71" i="1" s="1"/>
  <c r="EY71" i="1" s="1"/>
  <c r="FA71" i="1" s="1"/>
  <c r="FB71" i="1" s="1"/>
  <c r="EZ71" i="1"/>
  <c r="HT20" i="1"/>
  <c r="HU20" i="1" s="1"/>
  <c r="AHU10" i="1"/>
  <c r="AOA10" i="1"/>
  <c r="AHT10" i="1"/>
  <c r="ANJ10" i="1"/>
  <c r="AHW10" i="1"/>
  <c r="AHS10" i="1"/>
  <c r="ANY10" i="1" s="1" a="1"/>
  <c r="ANY10" i="1" s="1"/>
  <c r="ANZ10" i="1" s="1"/>
  <c r="AHV10" i="1"/>
  <c r="DN14" i="1" a="1"/>
  <c r="DN14" i="1" s="1"/>
  <c r="DI14" i="1" a="1"/>
  <c r="DI14" i="1" s="1"/>
  <c r="DK14" i="1" a="1"/>
  <c r="DK14" i="1" s="1"/>
  <c r="DW14" i="1" s="1"/>
  <c r="DH14" i="1" a="1"/>
  <c r="DH14" i="1" s="1"/>
  <c r="DM14" i="1" a="1"/>
  <c r="DM14" i="1" s="1"/>
  <c r="DJ14" i="1" a="1"/>
  <c r="DJ14" i="1" s="1"/>
  <c r="DX14" i="1" s="1"/>
  <c r="DL14" i="1" a="1"/>
  <c r="DL14" i="1" s="1"/>
  <c r="DQ14" i="1" s="1"/>
  <c r="DG14" i="1" a="1"/>
  <c r="DG14" i="1" s="1"/>
  <c r="DP14" i="1" s="1"/>
  <c r="DP17" i="1"/>
  <c r="DQ17" i="1"/>
  <c r="CG17" i="1"/>
  <c r="CI17" i="1" s="1"/>
  <c r="CJ17" i="1" s="1"/>
  <c r="CG11" i="1"/>
  <c r="EY23" i="1"/>
  <c r="EZ23" i="1"/>
  <c r="CG18" i="1"/>
  <c r="AKC18" i="1" a="1"/>
  <c r="AKC18" i="1" s="1"/>
  <c r="AKA18" i="1" a="1"/>
  <c r="AKA18" i="1" s="1"/>
  <c r="AJY18" i="1" a="1"/>
  <c r="AJY18" i="1" s="1"/>
  <c r="AJW18" i="1" a="1"/>
  <c r="AJW18" i="1" s="1"/>
  <c r="AJU18" i="1" a="1"/>
  <c r="AJU18" i="1" s="1"/>
  <c r="AJS18" i="1" a="1"/>
  <c r="AJS18" i="1" s="1"/>
  <c r="AJQ18" i="1" a="1"/>
  <c r="AJQ18" i="1" s="1"/>
  <c r="AJO18" i="1" a="1"/>
  <c r="AJO18" i="1" s="1"/>
  <c r="AJM18" i="1" a="1"/>
  <c r="AJM18" i="1" s="1"/>
  <c r="AJK18" i="1" a="1"/>
  <c r="AJK18" i="1" s="1"/>
  <c r="AJI18" i="1" a="1"/>
  <c r="AJI18" i="1" s="1"/>
  <c r="AJG18" i="1" a="1"/>
  <c r="AJG18" i="1" s="1"/>
  <c r="AJE18" i="1" a="1"/>
  <c r="AJE18" i="1" s="1"/>
  <c r="AJC18" i="1" a="1"/>
  <c r="AJC18" i="1" s="1"/>
  <c r="AJA18" i="1" a="1"/>
  <c r="AJA18" i="1" s="1"/>
  <c r="AIY18" i="1" a="1"/>
  <c r="AIY18" i="1" s="1"/>
  <c r="AIW18" i="1" a="1"/>
  <c r="AIW18" i="1" s="1"/>
  <c r="AIU18" i="1" a="1"/>
  <c r="AIU18" i="1" s="1"/>
  <c r="AIS18" i="1" a="1"/>
  <c r="AIS18" i="1" s="1"/>
  <c r="AIQ18" i="1" a="1"/>
  <c r="AIQ18" i="1" s="1"/>
  <c r="AIO18" i="1" a="1"/>
  <c r="AIO18" i="1" s="1"/>
  <c r="AIM18" i="1" a="1"/>
  <c r="AIM18" i="1" s="1"/>
  <c r="AIK18" i="1" a="1"/>
  <c r="AIK18" i="1" s="1"/>
  <c r="AII18" i="1" a="1"/>
  <c r="AII18" i="1" s="1"/>
  <c r="AIG18" i="1" a="1"/>
  <c r="AIG18" i="1" s="1"/>
  <c r="AID18" i="1" a="1"/>
  <c r="AID18" i="1" s="1"/>
  <c r="AIB18" i="1" a="1"/>
  <c r="AIB18" i="1" s="1"/>
  <c r="AHZ18" i="1" a="1"/>
  <c r="AHZ18" i="1" s="1"/>
  <c r="US18" i="1" a="1"/>
  <c r="US18" i="1" s="1"/>
  <c r="UQ18" i="1" a="1"/>
  <c r="UQ18" i="1" s="1"/>
  <c r="UO18" i="1" a="1"/>
  <c r="UO18" i="1" s="1"/>
  <c r="UM18" i="1" a="1"/>
  <c r="UM18" i="1" s="1"/>
  <c r="UK18" i="1" a="1"/>
  <c r="UK18" i="1" s="1"/>
  <c r="UI18" i="1" a="1"/>
  <c r="UI18" i="1" s="1"/>
  <c r="UG18" i="1" a="1"/>
  <c r="UG18" i="1" s="1"/>
  <c r="UE18" i="1" a="1"/>
  <c r="UE18" i="1" s="1"/>
  <c r="UC18" i="1" a="1"/>
  <c r="UC18" i="1" s="1"/>
  <c r="UA18" i="1" a="1"/>
  <c r="UA18" i="1" s="1"/>
  <c r="TY18" i="1" a="1"/>
  <c r="TY18" i="1" s="1"/>
  <c r="TW18" i="1" a="1"/>
  <c r="TW18" i="1" s="1"/>
  <c r="TU18" i="1" a="1"/>
  <c r="TU18" i="1" s="1"/>
  <c r="TS18" i="1" a="1"/>
  <c r="TS18" i="1" s="1"/>
  <c r="TQ18" i="1" a="1"/>
  <c r="TQ18" i="1" s="1"/>
  <c r="TO18" i="1" a="1"/>
  <c r="TO18" i="1" s="1"/>
  <c r="TM18" i="1" a="1"/>
  <c r="TM18" i="1" s="1"/>
  <c r="TK18" i="1" a="1"/>
  <c r="TK18" i="1" s="1"/>
  <c r="TI18" i="1" a="1"/>
  <c r="TI18" i="1" s="1"/>
  <c r="TG18" i="1" a="1"/>
  <c r="TG18" i="1" s="1"/>
  <c r="TE18" i="1" a="1"/>
  <c r="TE18" i="1" s="1"/>
  <c r="TC18" i="1" a="1"/>
  <c r="TC18" i="1" s="1"/>
  <c r="TA18" i="1" a="1"/>
  <c r="TA18" i="1" s="1"/>
  <c r="SY18" i="1" a="1"/>
  <c r="SY18" i="1" s="1"/>
  <c r="SW18" i="1" a="1"/>
  <c r="SW18" i="1" s="1"/>
  <c r="ST18" i="1" a="1"/>
  <c r="ST18" i="1" s="1"/>
  <c r="SR18" i="1" a="1"/>
  <c r="SR18" i="1" s="1"/>
  <c r="SP18" i="1" a="1"/>
  <c r="SP18" i="1" s="1"/>
  <c r="AKB18" i="1" a="1"/>
  <c r="AKB18" i="1" s="1"/>
  <c r="AJZ18" i="1" a="1"/>
  <c r="AJZ18" i="1" s="1"/>
  <c r="AJX18" i="1" a="1"/>
  <c r="AJX18" i="1" s="1"/>
  <c r="AJV18" i="1" a="1"/>
  <c r="AJV18" i="1" s="1"/>
  <c r="AJT18" i="1" a="1"/>
  <c r="AJT18" i="1" s="1"/>
  <c r="AJR18" i="1" a="1"/>
  <c r="AJR18" i="1" s="1"/>
  <c r="AJP18" i="1" a="1"/>
  <c r="AJP18" i="1" s="1"/>
  <c r="AJN18" i="1" a="1"/>
  <c r="AJN18" i="1" s="1"/>
  <c r="AJL18" i="1" a="1"/>
  <c r="AJL18" i="1" s="1"/>
  <c r="AJJ18" i="1" a="1"/>
  <c r="AJJ18" i="1" s="1"/>
  <c r="AJH18" i="1" a="1"/>
  <c r="AJH18" i="1" s="1"/>
  <c r="AJF18" i="1" a="1"/>
  <c r="AJF18" i="1" s="1"/>
  <c r="AJD18" i="1" a="1"/>
  <c r="AJD18" i="1" s="1"/>
  <c r="AJB18" i="1" a="1"/>
  <c r="AJB18" i="1" s="1"/>
  <c r="AIZ18" i="1" a="1"/>
  <c r="AIZ18" i="1" s="1"/>
  <c r="AIX18" i="1" a="1"/>
  <c r="AIX18" i="1" s="1"/>
  <c r="AIV18" i="1" a="1"/>
  <c r="AIV18" i="1" s="1"/>
  <c r="AIT18" i="1" a="1"/>
  <c r="AIT18" i="1" s="1"/>
  <c r="AIR18" i="1" a="1"/>
  <c r="AIR18" i="1" s="1"/>
  <c r="AIP18" i="1" a="1"/>
  <c r="AIP18" i="1" s="1"/>
  <c r="AIN18" i="1" a="1"/>
  <c r="AIN18" i="1" s="1"/>
  <c r="AIL18" i="1" a="1"/>
  <c r="AIL18" i="1" s="1"/>
  <c r="AIJ18" i="1" a="1"/>
  <c r="AIJ18" i="1" s="1"/>
  <c r="AIH18" i="1" a="1"/>
  <c r="AIH18" i="1" s="1"/>
  <c r="AIE18" i="1" a="1"/>
  <c r="AIE18" i="1" s="1"/>
  <c r="AIC18" i="1" a="1"/>
  <c r="AIC18" i="1" s="1"/>
  <c r="AIA18" i="1" a="1"/>
  <c r="AIA18" i="1" s="1"/>
  <c r="AHY18" i="1" a="1"/>
  <c r="AHY18" i="1" s="1"/>
  <c r="UR18" i="1" a="1"/>
  <c r="UR18" i="1" s="1"/>
  <c r="UP18" i="1" a="1"/>
  <c r="UP18" i="1" s="1"/>
  <c r="UN18" i="1" a="1"/>
  <c r="UN18" i="1" s="1"/>
  <c r="UL18" i="1" a="1"/>
  <c r="UL18" i="1" s="1"/>
  <c r="UJ18" i="1" a="1"/>
  <c r="UJ18" i="1" s="1"/>
  <c r="UH18" i="1" a="1"/>
  <c r="UH18" i="1" s="1"/>
  <c r="UF18" i="1" a="1"/>
  <c r="UF18" i="1" s="1"/>
  <c r="UD18" i="1" a="1"/>
  <c r="UD18" i="1" s="1"/>
  <c r="UB18" i="1" a="1"/>
  <c r="UB18" i="1" s="1"/>
  <c r="TZ18" i="1" a="1"/>
  <c r="TZ18" i="1" s="1"/>
  <c r="TX18" i="1" a="1"/>
  <c r="TX18" i="1" s="1"/>
  <c r="TV18" i="1" a="1"/>
  <c r="TV18" i="1" s="1"/>
  <c r="TT18" i="1" a="1"/>
  <c r="TT18" i="1" s="1"/>
  <c r="TR18" i="1" a="1"/>
  <c r="TR18" i="1" s="1"/>
  <c r="TP18" i="1" a="1"/>
  <c r="TP18" i="1" s="1"/>
  <c r="TN18" i="1" a="1"/>
  <c r="TN18" i="1" s="1"/>
  <c r="TL18" i="1" a="1"/>
  <c r="TL18" i="1" s="1"/>
  <c r="TJ18" i="1" a="1"/>
  <c r="TJ18" i="1" s="1"/>
  <c r="TH18" i="1" a="1"/>
  <c r="TH18" i="1" s="1"/>
  <c r="TF18" i="1" a="1"/>
  <c r="TF18" i="1" s="1"/>
  <c r="TD18" i="1" a="1"/>
  <c r="TD18" i="1" s="1"/>
  <c r="TB18" i="1" a="1"/>
  <c r="TB18" i="1" s="1"/>
  <c r="SZ18" i="1" a="1"/>
  <c r="SZ18" i="1" s="1"/>
  <c r="SX18" i="1" a="1"/>
  <c r="SX18" i="1" s="1"/>
  <c r="SU18" i="1" a="1"/>
  <c r="SU18" i="1" s="1"/>
  <c r="SS18" i="1" a="1"/>
  <c r="SS18" i="1" s="1"/>
  <c r="SQ18" i="1" a="1"/>
  <c r="SQ18" i="1" s="1"/>
  <c r="SO18" i="1" a="1"/>
  <c r="SO18" i="1" s="1"/>
  <c r="VB18" i="1" a="1"/>
  <c r="VB18" i="1" s="1"/>
  <c r="VJ18" i="1" a="1"/>
  <c r="VJ18" i="1" s="1"/>
  <c r="VR18" i="1" a="1"/>
  <c r="VR18" i="1" s="1"/>
  <c r="AGV18" i="1"/>
  <c r="AKL18" i="1" a="1"/>
  <c r="AKL18" i="1" s="1"/>
  <c r="AKT18" i="1" a="1"/>
  <c r="AKT18" i="1" s="1"/>
  <c r="ALB18" i="1" a="1"/>
  <c r="ALB18" i="1" s="1"/>
  <c r="VE18" i="1" a="1"/>
  <c r="VE18" i="1" s="1"/>
  <c r="VM18" i="1" a="1"/>
  <c r="VM18" i="1" s="1"/>
  <c r="VU18" i="1" a="1"/>
  <c r="VU18" i="1" s="1"/>
  <c r="AKM18" i="1" a="1"/>
  <c r="AKM18" i="1" s="1"/>
  <c r="AKU18" i="1" a="1"/>
  <c r="AKU18" i="1" s="1"/>
  <c r="ALC18" i="1" a="1"/>
  <c r="ALC18" i="1" s="1"/>
  <c r="EY21" i="1"/>
  <c r="FO59" i="1"/>
  <c r="BN59" i="1"/>
  <c r="EZ56" i="1"/>
  <c r="FR57" i="1"/>
  <c r="BQ57" i="1"/>
  <c r="CH57" i="1" s="1"/>
  <c r="QI60" i="1"/>
  <c r="KV60" i="1"/>
  <c r="KR60" i="1"/>
  <c r="QX60" i="1" s="1" a="1"/>
  <c r="QX60" i="1" s="1"/>
  <c r="QY60" i="1" s="1"/>
  <c r="KU60" i="1"/>
  <c r="KT60" i="1"/>
  <c r="QZ60" i="1"/>
  <c r="KS60" i="1"/>
  <c r="AFS60" i="1"/>
  <c r="AAF60" i="1"/>
  <c r="AAB60" i="1"/>
  <c r="AGH60" i="1" s="1" a="1"/>
  <c r="AGH60" i="1" s="1"/>
  <c r="AGI60" i="1" s="1"/>
  <c r="AAD60" i="1"/>
  <c r="AGJ60" i="1"/>
  <c r="AAC60" i="1"/>
  <c r="AAE60" i="1"/>
  <c r="ACI60" i="1" a="1"/>
  <c r="ACI60" i="1" s="1"/>
  <c r="ACF60" i="1" a="1"/>
  <c r="ACF60" i="1" s="1"/>
  <c r="ACA60" i="1" a="1"/>
  <c r="ACA60" i="1" s="1"/>
  <c r="ABX60" i="1" a="1"/>
  <c r="ABX60" i="1" s="1"/>
  <c r="ABS60" i="1" a="1"/>
  <c r="ABS60" i="1" s="1"/>
  <c r="ABP60" i="1" a="1"/>
  <c r="ABP60" i="1" s="1"/>
  <c r="ABK60" i="1" a="1"/>
  <c r="ABK60" i="1" s="1"/>
  <c r="ABH60" i="1" a="1"/>
  <c r="ABH60" i="1" s="1"/>
  <c r="ABC60" i="1" a="1"/>
  <c r="ABC60" i="1" s="1"/>
  <c r="AAZ60" i="1" a="1"/>
  <c r="AAZ60" i="1" s="1"/>
  <c r="AAU60" i="1" a="1"/>
  <c r="AAU60" i="1" s="1"/>
  <c r="AAR60" i="1" a="1"/>
  <c r="AAR60" i="1" s="1"/>
  <c r="NB60" i="1" a="1"/>
  <c r="NB60" i="1" s="1"/>
  <c r="MW60" i="1" a="1"/>
  <c r="MW60" i="1" s="1"/>
  <c r="MT60" i="1" a="1"/>
  <c r="MT60" i="1" s="1"/>
  <c r="MO60" i="1" a="1"/>
  <c r="MO60" i="1" s="1"/>
  <c r="ML60" i="1" a="1"/>
  <c r="ML60" i="1" s="1"/>
  <c r="MG60" i="1" a="1"/>
  <c r="MG60" i="1" s="1"/>
  <c r="MD60" i="1" a="1"/>
  <c r="MD60" i="1" s="1"/>
  <c r="LY60" i="1" a="1"/>
  <c r="LY60" i="1" s="1"/>
  <c r="LV60" i="1" a="1"/>
  <c r="LV60" i="1" s="1"/>
  <c r="LQ60" i="1" a="1"/>
  <c r="LQ60" i="1" s="1"/>
  <c r="LN60" i="1" a="1"/>
  <c r="LN60" i="1" s="1"/>
  <c r="LI60" i="1" a="1"/>
  <c r="LI60" i="1" s="1"/>
  <c r="LF60" i="1" a="1"/>
  <c r="LF60" i="1" s="1"/>
  <c r="ACK60" i="1" a="1"/>
  <c r="ACK60" i="1" s="1"/>
  <c r="ACH60" i="1" a="1"/>
  <c r="ACH60" i="1" s="1"/>
  <c r="ACC60" i="1" a="1"/>
  <c r="ACC60" i="1" s="1"/>
  <c r="ABZ60" i="1" a="1"/>
  <c r="ABZ60" i="1" s="1"/>
  <c r="ABU60" i="1" a="1"/>
  <c r="ABU60" i="1" s="1"/>
  <c r="ABR60" i="1" a="1"/>
  <c r="ABR60" i="1" s="1"/>
  <c r="ABM60" i="1" a="1"/>
  <c r="ABM60" i="1" s="1"/>
  <c r="ABJ60" i="1" a="1"/>
  <c r="ABJ60" i="1" s="1"/>
  <c r="ABE60" i="1" a="1"/>
  <c r="ABE60" i="1" s="1"/>
  <c r="ABB60" i="1" a="1"/>
  <c r="ABB60" i="1" s="1"/>
  <c r="AAW60" i="1" a="1"/>
  <c r="AAW60" i="1" s="1"/>
  <c r="AAT60" i="1" a="1"/>
  <c r="AAT60" i="1" s="1"/>
  <c r="MY60" i="1" a="1"/>
  <c r="MY60" i="1" s="1"/>
  <c r="MV60" i="1" a="1"/>
  <c r="MV60" i="1" s="1"/>
  <c r="MQ60" i="1" a="1"/>
  <c r="MQ60" i="1" s="1"/>
  <c r="MN60" i="1" a="1"/>
  <c r="MN60" i="1" s="1"/>
  <c r="MI60" i="1" a="1"/>
  <c r="MI60" i="1" s="1"/>
  <c r="MF60" i="1" a="1"/>
  <c r="MF60" i="1" s="1"/>
  <c r="MA60" i="1" a="1"/>
  <c r="MA60" i="1" s="1"/>
  <c r="LX60" i="1" a="1"/>
  <c r="LX60" i="1" s="1"/>
  <c r="LS60" i="1" a="1"/>
  <c r="LS60" i="1" s="1"/>
  <c r="LP60" i="1" a="1"/>
  <c r="LP60" i="1" s="1"/>
  <c r="LK60" i="1" a="1"/>
  <c r="LK60" i="1" s="1"/>
  <c r="LH60" i="1" a="1"/>
  <c r="LH60" i="1" s="1"/>
  <c r="ACJ60" i="1" a="1"/>
  <c r="ACJ60" i="1" s="1"/>
  <c r="ACE60" i="1" a="1"/>
  <c r="ACE60" i="1" s="1"/>
  <c r="ACB60" i="1" a="1"/>
  <c r="ACB60" i="1" s="1"/>
  <c r="ABW60" i="1" a="1"/>
  <c r="ABW60" i="1" s="1"/>
  <c r="ABT60" i="1" a="1"/>
  <c r="ABT60" i="1" s="1"/>
  <c r="ABO60" i="1" a="1"/>
  <c r="ABO60" i="1" s="1"/>
  <c r="ABL60" i="1" a="1"/>
  <c r="ABL60" i="1" s="1"/>
  <c r="ABG60" i="1" a="1"/>
  <c r="ABG60" i="1" s="1"/>
  <c r="ABD60" i="1" a="1"/>
  <c r="ABD60" i="1" s="1"/>
  <c r="AAY60" i="1" a="1"/>
  <c r="AAY60" i="1" s="1"/>
  <c r="AAV60" i="1" a="1"/>
  <c r="AAV60" i="1" s="1"/>
  <c r="AAQ60" i="1" a="1"/>
  <c r="AAQ60" i="1" s="1"/>
  <c r="NA60" i="1" a="1"/>
  <c r="NA60" i="1" s="1"/>
  <c r="MX60" i="1" a="1"/>
  <c r="MX60" i="1" s="1"/>
  <c r="MS60" i="1" a="1"/>
  <c r="MS60" i="1" s="1"/>
  <c r="MP60" i="1" a="1"/>
  <c r="MP60" i="1" s="1"/>
  <c r="MK60" i="1" a="1"/>
  <c r="MK60" i="1" s="1"/>
  <c r="MH60" i="1" a="1"/>
  <c r="MH60" i="1" s="1"/>
  <c r="MC60" i="1" a="1"/>
  <c r="MC60" i="1" s="1"/>
  <c r="LZ60" i="1" a="1"/>
  <c r="LZ60" i="1" s="1"/>
  <c r="LU60" i="1" a="1"/>
  <c r="LU60" i="1" s="1"/>
  <c r="LR60" i="1" a="1"/>
  <c r="LR60" i="1" s="1"/>
  <c r="LM60" i="1" a="1"/>
  <c r="LM60" i="1" s="1"/>
  <c r="LJ60" i="1" a="1"/>
  <c r="LJ60" i="1" s="1"/>
  <c r="ACL60" i="1" a="1"/>
  <c r="ACL60" i="1" s="1"/>
  <c r="ACG60" i="1" a="1"/>
  <c r="ACG60" i="1" s="1"/>
  <c r="ACD60" i="1" a="1"/>
  <c r="ACD60" i="1" s="1"/>
  <c r="ABY60" i="1" a="1"/>
  <c r="ABY60" i="1" s="1"/>
  <c r="ABV60" i="1" a="1"/>
  <c r="ABV60" i="1" s="1"/>
  <c r="ABQ60" i="1" a="1"/>
  <c r="ABQ60" i="1" s="1"/>
  <c r="ABN60" i="1" a="1"/>
  <c r="ABN60" i="1" s="1"/>
  <c r="ABI60" i="1" a="1"/>
  <c r="ABI60" i="1" s="1"/>
  <c r="ABF60" i="1" a="1"/>
  <c r="ABF60" i="1" s="1"/>
  <c r="ABA60" i="1" a="1"/>
  <c r="ABA60" i="1" s="1"/>
  <c r="AAX60" i="1" a="1"/>
  <c r="AAX60" i="1" s="1"/>
  <c r="AAS60" i="1" a="1"/>
  <c r="AAS60" i="1" s="1"/>
  <c r="AAP60" i="1" a="1"/>
  <c r="AAP60" i="1" s="1"/>
  <c r="MZ60" i="1" a="1"/>
  <c r="MZ60" i="1" s="1"/>
  <c r="MU60" i="1" a="1"/>
  <c r="MU60" i="1" s="1"/>
  <c r="MR60" i="1" a="1"/>
  <c r="MR60" i="1" s="1"/>
  <c r="MM60" i="1" a="1"/>
  <c r="MM60" i="1" s="1"/>
  <c r="MJ60" i="1" a="1"/>
  <c r="MJ60" i="1" s="1"/>
  <c r="ME60" i="1" a="1"/>
  <c r="ME60" i="1" s="1"/>
  <c r="MB60" i="1" a="1"/>
  <c r="MB60" i="1" s="1"/>
  <c r="LW60" i="1" a="1"/>
  <c r="LW60" i="1" s="1"/>
  <c r="LT60" i="1" a="1"/>
  <c r="LT60" i="1" s="1"/>
  <c r="LO60" i="1" a="1"/>
  <c r="LO60" i="1" s="1"/>
  <c r="LL60" i="1" a="1"/>
  <c r="LL60" i="1" s="1"/>
  <c r="LG60" i="1" a="1"/>
  <c r="LG60" i="1" s="1"/>
  <c r="LC60" i="1" a="1"/>
  <c r="LC60" i="1" s="1"/>
  <c r="KX60" i="1" a="1"/>
  <c r="KX60" i="1" s="1"/>
  <c r="LA60" i="1" a="1"/>
  <c r="LA60" i="1" s="1"/>
  <c r="AAH60" i="1" a="1"/>
  <c r="AAH60" i="1" s="1"/>
  <c r="LB60" i="1" a="1"/>
  <c r="LB60" i="1" s="1"/>
  <c r="AAN60" i="1" a="1"/>
  <c r="AAN60" i="1" s="1"/>
  <c r="KZ60" i="1" a="1"/>
  <c r="KZ60" i="1" s="1"/>
  <c r="AAL60" i="1" a="1"/>
  <c r="AAL60" i="1" s="1"/>
  <c r="LD60" i="1" a="1"/>
  <c r="LD60" i="1" s="1"/>
  <c r="AAM60" i="1" a="1"/>
  <c r="AAM60" i="1" s="1"/>
  <c r="AAJ60" i="1" a="1"/>
  <c r="AAJ60" i="1" s="1"/>
  <c r="KY60" i="1" a="1"/>
  <c r="KY60" i="1" s="1"/>
  <c r="AAK60" i="1" a="1"/>
  <c r="AAK60" i="1" s="1"/>
  <c r="AAI60" i="1" a="1"/>
  <c r="AAI60" i="1" s="1"/>
  <c r="GH61" i="1"/>
  <c r="ACK74" i="1" a="1"/>
  <c r="ACK74" i="1" s="1"/>
  <c r="ACI74" i="1" a="1"/>
  <c r="ACI74" i="1" s="1"/>
  <c r="ACG74" i="1" a="1"/>
  <c r="ACG74" i="1" s="1"/>
  <c r="ACE74" i="1" a="1"/>
  <c r="ACE74" i="1" s="1"/>
  <c r="ACC74" i="1" a="1"/>
  <c r="ACC74" i="1" s="1"/>
  <c r="ACA74" i="1" a="1"/>
  <c r="ACA74" i="1" s="1"/>
  <c r="ABY74" i="1" a="1"/>
  <c r="ABY74" i="1" s="1"/>
  <c r="ABW74" i="1" a="1"/>
  <c r="ABW74" i="1" s="1"/>
  <c r="ABU74" i="1" a="1"/>
  <c r="ABU74" i="1" s="1"/>
  <c r="ABS74" i="1" a="1"/>
  <c r="ABS74" i="1" s="1"/>
  <c r="ABQ74" i="1" a="1"/>
  <c r="ABQ74" i="1" s="1"/>
  <c r="ABO74" i="1" a="1"/>
  <c r="ABO74" i="1" s="1"/>
  <c r="ABM74" i="1" a="1"/>
  <c r="ABM74" i="1" s="1"/>
  <c r="ABK74" i="1" a="1"/>
  <c r="ABK74" i="1" s="1"/>
  <c r="ABI74" i="1" a="1"/>
  <c r="ABI74" i="1" s="1"/>
  <c r="ABG74" i="1" a="1"/>
  <c r="ABG74" i="1" s="1"/>
  <c r="ABE74" i="1" a="1"/>
  <c r="ABE74" i="1" s="1"/>
  <c r="ABC74" i="1" a="1"/>
  <c r="ABC74" i="1" s="1"/>
  <c r="ABA74" i="1" a="1"/>
  <c r="ABA74" i="1" s="1"/>
  <c r="AAY74" i="1" a="1"/>
  <c r="AAY74" i="1" s="1"/>
  <c r="AAW74" i="1" a="1"/>
  <c r="AAW74" i="1" s="1"/>
  <c r="AAU74" i="1" a="1"/>
  <c r="AAU74" i="1" s="1"/>
  <c r="AAS74" i="1" a="1"/>
  <c r="AAS74" i="1" s="1"/>
  <c r="AAQ74" i="1" a="1"/>
  <c r="AAQ74" i="1" s="1"/>
  <c r="NA74" i="1" a="1"/>
  <c r="NA74" i="1" s="1"/>
  <c r="MY74" i="1" a="1"/>
  <c r="MY74" i="1" s="1"/>
  <c r="MW74" i="1" a="1"/>
  <c r="MW74" i="1" s="1"/>
  <c r="MU74" i="1" a="1"/>
  <c r="MU74" i="1" s="1"/>
  <c r="MS74" i="1" a="1"/>
  <c r="MS74" i="1" s="1"/>
  <c r="MQ74" i="1" a="1"/>
  <c r="MQ74" i="1" s="1"/>
  <c r="MO74" i="1" a="1"/>
  <c r="MO74" i="1" s="1"/>
  <c r="MM74" i="1" a="1"/>
  <c r="MM74" i="1" s="1"/>
  <c r="MK74" i="1" a="1"/>
  <c r="MK74" i="1" s="1"/>
  <c r="MI74" i="1" a="1"/>
  <c r="MI74" i="1" s="1"/>
  <c r="MG74" i="1" a="1"/>
  <c r="MG74" i="1" s="1"/>
  <c r="ME74" i="1" a="1"/>
  <c r="ME74" i="1" s="1"/>
  <c r="MC74" i="1" a="1"/>
  <c r="MC74" i="1" s="1"/>
  <c r="MA74" i="1" a="1"/>
  <c r="MA74" i="1" s="1"/>
  <c r="LY74" i="1" a="1"/>
  <c r="LY74" i="1" s="1"/>
  <c r="LW74" i="1" a="1"/>
  <c r="LW74" i="1" s="1"/>
  <c r="LU74" i="1" a="1"/>
  <c r="LU74" i="1" s="1"/>
  <c r="LS74" i="1" a="1"/>
  <c r="LS74" i="1" s="1"/>
  <c r="LQ74" i="1" a="1"/>
  <c r="LQ74" i="1" s="1"/>
  <c r="LO74" i="1" a="1"/>
  <c r="LO74" i="1" s="1"/>
  <c r="LM74" i="1" a="1"/>
  <c r="LM74" i="1" s="1"/>
  <c r="LK74" i="1" a="1"/>
  <c r="LK74" i="1" s="1"/>
  <c r="LI74" i="1" a="1"/>
  <c r="LI74" i="1" s="1"/>
  <c r="LG74" i="1" a="1"/>
  <c r="LG74" i="1" s="1"/>
  <c r="LD74" i="1" a="1"/>
  <c r="LD74" i="1" s="1"/>
  <c r="LB74" i="1" a="1"/>
  <c r="LB74" i="1" s="1"/>
  <c r="KZ74" i="1" a="1"/>
  <c r="KZ74" i="1" s="1"/>
  <c r="KX74" i="1" a="1"/>
  <c r="KX74" i="1" s="1"/>
  <c r="ACL74" i="1" a="1"/>
  <c r="ACL74" i="1" s="1"/>
  <c r="ACD74" i="1" a="1"/>
  <c r="ACD74" i="1" s="1"/>
  <c r="ABV74" i="1" a="1"/>
  <c r="ABV74" i="1" s="1"/>
  <c r="ABN74" i="1" a="1"/>
  <c r="ABN74" i="1" s="1"/>
  <c r="ABF74" i="1" a="1"/>
  <c r="ABF74" i="1" s="1"/>
  <c r="AAX74" i="1" a="1"/>
  <c r="AAX74" i="1" s="1"/>
  <c r="AAP74" i="1" a="1"/>
  <c r="AAP74" i="1" s="1"/>
  <c r="MZ74" i="1" a="1"/>
  <c r="MZ74" i="1" s="1"/>
  <c r="MR74" i="1" a="1"/>
  <c r="MR74" i="1" s="1"/>
  <c r="MJ74" i="1" a="1"/>
  <c r="MJ74" i="1" s="1"/>
  <c r="MB74" i="1" a="1"/>
  <c r="MB74" i="1" s="1"/>
  <c r="LT74" i="1" a="1"/>
  <c r="LT74" i="1" s="1"/>
  <c r="LL74" i="1" a="1"/>
  <c r="LL74" i="1" s="1"/>
  <c r="LC74" i="1" a="1"/>
  <c r="LC74" i="1" s="1"/>
  <c r="ACJ74" i="1" a="1"/>
  <c r="ACJ74" i="1" s="1"/>
  <c r="ACB74" i="1" a="1"/>
  <c r="ACB74" i="1" s="1"/>
  <c r="ABT74" i="1" a="1"/>
  <c r="ABT74" i="1" s="1"/>
  <c r="ABL74" i="1" a="1"/>
  <c r="ABL74" i="1" s="1"/>
  <c r="ABD74" i="1" a="1"/>
  <c r="ABD74" i="1" s="1"/>
  <c r="AAV74" i="1" a="1"/>
  <c r="AAV74" i="1" s="1"/>
  <c r="AAM74" i="1" a="1"/>
  <c r="AAM74" i="1" s="1"/>
  <c r="MX74" i="1" a="1"/>
  <c r="MX74" i="1" s="1"/>
  <c r="MP74" i="1" a="1"/>
  <c r="MP74" i="1" s="1"/>
  <c r="MH74" i="1" a="1"/>
  <c r="MH74" i="1" s="1"/>
  <c r="LZ74" i="1" a="1"/>
  <c r="LZ74" i="1" s="1"/>
  <c r="LR74" i="1" a="1"/>
  <c r="LR74" i="1" s="1"/>
  <c r="LJ74" i="1" a="1"/>
  <c r="LJ74" i="1" s="1"/>
  <c r="LA74" i="1" a="1"/>
  <c r="LA74" i="1" s="1"/>
  <c r="ACH74" i="1" a="1"/>
  <c r="ACH74" i="1" s="1"/>
  <c r="ABZ74" i="1" a="1"/>
  <c r="ABZ74" i="1" s="1"/>
  <c r="ABR74" i="1" a="1"/>
  <c r="ABR74" i="1" s="1"/>
  <c r="ABJ74" i="1" a="1"/>
  <c r="ABJ74" i="1" s="1"/>
  <c r="ABB74" i="1" a="1"/>
  <c r="ABB74" i="1" s="1"/>
  <c r="AAT74" i="1" a="1"/>
  <c r="AAT74" i="1" s="1"/>
  <c r="AAK74" i="1" a="1"/>
  <c r="AAK74" i="1" s="1"/>
  <c r="MV74" i="1" a="1"/>
  <c r="MV74" i="1" s="1"/>
  <c r="MN74" i="1" a="1"/>
  <c r="MN74" i="1" s="1"/>
  <c r="MF74" i="1" a="1"/>
  <c r="MF74" i="1" s="1"/>
  <c r="LX74" i="1" a="1"/>
  <c r="LX74" i="1" s="1"/>
  <c r="LP74" i="1" a="1"/>
  <c r="LP74" i="1" s="1"/>
  <c r="LH74" i="1" a="1"/>
  <c r="LH74" i="1" s="1"/>
  <c r="KY74" i="1" a="1"/>
  <c r="KY74" i="1" s="1"/>
  <c r="ACF74" i="1" a="1"/>
  <c r="ACF74" i="1" s="1"/>
  <c r="ABX74" i="1" a="1"/>
  <c r="ABX74" i="1" s="1"/>
  <c r="ABP74" i="1" a="1"/>
  <c r="ABP74" i="1" s="1"/>
  <c r="ABH74" i="1" a="1"/>
  <c r="ABH74" i="1" s="1"/>
  <c r="AAZ74" i="1" a="1"/>
  <c r="AAZ74" i="1" s="1"/>
  <c r="AAR74" i="1" a="1"/>
  <c r="AAR74" i="1" s="1"/>
  <c r="AAI74" i="1" a="1"/>
  <c r="AAI74" i="1" s="1"/>
  <c r="NB74" i="1" a="1"/>
  <c r="NB74" i="1" s="1"/>
  <c r="MT74" i="1" a="1"/>
  <c r="MT74" i="1" s="1"/>
  <c r="ML74" i="1" a="1"/>
  <c r="ML74" i="1" s="1"/>
  <c r="MD74" i="1" a="1"/>
  <c r="MD74" i="1" s="1"/>
  <c r="LV74" i="1" a="1"/>
  <c r="LV74" i="1" s="1"/>
  <c r="LN74" i="1" a="1"/>
  <c r="LN74" i="1" s="1"/>
  <c r="LF74" i="1" a="1"/>
  <c r="LF74" i="1" s="1"/>
  <c r="AAH74" i="1" a="1"/>
  <c r="AAH74" i="1" s="1"/>
  <c r="AAJ74" i="1" a="1"/>
  <c r="AAJ74" i="1" s="1"/>
  <c r="AAL74" i="1" a="1"/>
  <c r="AAL74" i="1" s="1"/>
  <c r="AAN74" i="1" a="1"/>
  <c r="AAN74" i="1" s="1"/>
  <c r="AGJ75" i="1"/>
  <c r="AFS75" i="1"/>
  <c r="AAE75" i="1"/>
  <c r="AAD75" i="1"/>
  <c r="AAF75" i="1"/>
  <c r="AAB75" i="1"/>
  <c r="AGH75" i="1" s="1" a="1"/>
  <c r="AGH75" i="1" s="1"/>
  <c r="AGI75" i="1" s="1"/>
  <c r="AAC75" i="1"/>
  <c r="FV77" i="1"/>
  <c r="BU77" i="1"/>
  <c r="DQ78" i="1"/>
  <c r="ADO12" i="1" a="1"/>
  <c r="ADO12" i="1" s="1"/>
  <c r="ADJ12" i="1" a="1"/>
  <c r="ADJ12" i="1" s="1"/>
  <c r="ADG12" i="1" a="1"/>
  <c r="ADG12" i="1" s="1"/>
  <c r="ADB12" i="1" a="1"/>
  <c r="ADB12" i="1" s="1"/>
  <c r="ACY12" i="1" a="1"/>
  <c r="ACY12" i="1" s="1"/>
  <c r="ACT12" i="1" a="1"/>
  <c r="ACT12" i="1" s="1"/>
  <c r="AAA12" i="1"/>
  <c r="OF12" i="1" a="1"/>
  <c r="OF12" i="1" s="1"/>
  <c r="OC12" i="1" a="1"/>
  <c r="OC12" i="1" s="1"/>
  <c r="NX12" i="1" a="1"/>
  <c r="NX12" i="1" s="1"/>
  <c r="NU12" i="1" a="1"/>
  <c r="NU12" i="1" s="1"/>
  <c r="NP12" i="1" a="1"/>
  <c r="NP12" i="1" s="1"/>
  <c r="NM12" i="1" a="1"/>
  <c r="NM12" i="1" s="1"/>
  <c r="AR12" i="1" a="1"/>
  <c r="AR12" i="1" s="1"/>
  <c r="SH12" i="1" s="1"/>
  <c r="ADL12" i="1" a="1"/>
  <c r="ADL12" i="1" s="1"/>
  <c r="ADI12" i="1" a="1"/>
  <c r="ADI12" i="1" s="1"/>
  <c r="ADD12" i="1" a="1"/>
  <c r="ADD12" i="1" s="1"/>
  <c r="ADA12" i="1" a="1"/>
  <c r="ADA12" i="1" s="1"/>
  <c r="AGU12" i="1" s="1"/>
  <c r="ACV12" i="1" a="1"/>
  <c r="ACV12" i="1" s="1"/>
  <c r="OE12" i="1" a="1"/>
  <c r="OE12" i="1" s="1"/>
  <c r="NZ12" i="1" a="1"/>
  <c r="NZ12" i="1" s="1"/>
  <c r="NW12" i="1" a="1"/>
  <c r="NW12" i="1" s="1"/>
  <c r="NR12" i="1" a="1"/>
  <c r="NR12" i="1" s="1"/>
  <c r="NO12" i="1" a="1"/>
  <c r="NO12" i="1" s="1"/>
  <c r="NJ12" i="1" a="1"/>
  <c r="NJ12" i="1" s="1"/>
  <c r="KQ12" i="1"/>
  <c r="AQ12" i="1" a="1"/>
  <c r="AQ12" i="1" s="1"/>
  <c r="AKX12" i="1" s="1" a="1"/>
  <c r="AKX12" i="1" s="1"/>
  <c r="AKT12" i="1" a="1"/>
  <c r="AKT12" i="1" s="1"/>
  <c r="ADN12" i="1" a="1"/>
  <c r="ADN12" i="1" s="1"/>
  <c r="ADK12" i="1" a="1"/>
  <c r="ADK12" i="1" s="1"/>
  <c r="ADF12" i="1" a="1"/>
  <c r="ADF12" i="1" s="1"/>
  <c r="ADC12" i="1" a="1"/>
  <c r="ADC12" i="1" s="1"/>
  <c r="ACX12" i="1" a="1"/>
  <c r="ACX12" i="1" s="1"/>
  <c r="ACU12" i="1" a="1"/>
  <c r="ACU12" i="1" s="1"/>
  <c r="VH12" i="1" a="1"/>
  <c r="VH12" i="1" s="1"/>
  <c r="OB12" i="1" a="1"/>
  <c r="OB12" i="1" s="1"/>
  <c r="NY12" i="1" a="1"/>
  <c r="NY12" i="1" s="1"/>
  <c r="NT12" i="1" a="1"/>
  <c r="NT12" i="1" s="1"/>
  <c r="NQ12" i="1" a="1"/>
  <c r="NQ12" i="1" s="1"/>
  <c r="RK12" i="1" s="1"/>
  <c r="NL12" i="1" a="1"/>
  <c r="NL12" i="1" s="1"/>
  <c r="ALA12" i="1" a="1"/>
  <c r="ALA12" i="1" s="1"/>
  <c r="AKK12" i="1" a="1"/>
  <c r="AKK12" i="1" s="1"/>
  <c r="AHR12" i="1"/>
  <c r="ADP12" i="1" a="1"/>
  <c r="ADP12" i="1" s="1"/>
  <c r="ADM12" i="1" a="1"/>
  <c r="ADM12" i="1" s="1"/>
  <c r="ADH12" i="1" a="1"/>
  <c r="ADH12" i="1" s="1"/>
  <c r="ADE12" i="1" a="1"/>
  <c r="ADE12" i="1" s="1"/>
  <c r="ACZ12" i="1" a="1"/>
  <c r="ACZ12" i="1" s="1"/>
  <c r="ACW12" i="1" a="1"/>
  <c r="ACW12" i="1" s="1"/>
  <c r="VJ12" i="1" a="1"/>
  <c r="VJ12" i="1" s="1"/>
  <c r="OD12" i="1" a="1"/>
  <c r="OD12" i="1" s="1"/>
  <c r="OA12" i="1" a="1"/>
  <c r="OA12" i="1" s="1"/>
  <c r="NV12" i="1" a="1"/>
  <c r="NV12" i="1" s="1"/>
  <c r="NS12" i="1" a="1"/>
  <c r="NS12" i="1" s="1"/>
  <c r="NN12" i="1" a="1"/>
  <c r="NN12" i="1" s="1"/>
  <c r="NK12" i="1" a="1"/>
  <c r="NK12" i="1" s="1"/>
  <c r="AP12" i="1" a="1"/>
  <c r="AP12" i="1" s="1"/>
  <c r="SK10" i="1"/>
  <c r="YQ10" i="1"/>
  <c r="SJ10" i="1"/>
  <c r="XZ10" i="1"/>
  <c r="SM10" i="1"/>
  <c r="SI10" i="1"/>
  <c r="YO10" i="1" s="1" a="1"/>
  <c r="YO10" i="1" s="1"/>
  <c r="YP10" i="1" s="1"/>
  <c r="SL10" i="1"/>
  <c r="RR14" i="1"/>
  <c r="RU14" i="1"/>
  <c r="GD17" i="1" a="1"/>
  <c r="GD17" i="1" s="1"/>
  <c r="FZ17" i="1" a="1"/>
  <c r="FZ17" i="1" s="1"/>
  <c r="GC17" i="1" a="1"/>
  <c r="GC17" i="1" s="1"/>
  <c r="GO17" i="1" s="1"/>
  <c r="FY17" i="1" a="1"/>
  <c r="FY17" i="1" s="1"/>
  <c r="GH17" i="1" s="1"/>
  <c r="GJ17" i="1" s="1"/>
  <c r="GK17" i="1" s="1"/>
  <c r="GB17" i="1" a="1"/>
  <c r="GB17" i="1" s="1"/>
  <c r="GP17" i="1" s="1"/>
  <c r="GF17" i="1" a="1"/>
  <c r="GF17" i="1" s="1"/>
  <c r="GA17" i="1" a="1"/>
  <c r="GA17" i="1" s="1"/>
  <c r="EW17" i="1" a="1"/>
  <c r="EW17" i="1" s="1"/>
  <c r="ES17" i="1" a="1"/>
  <c r="ES17" i="1" s="1"/>
  <c r="FG17" i="1" s="1"/>
  <c r="EV17" i="1" a="1"/>
  <c r="EV17" i="1" s="1"/>
  <c r="ER17" i="1" a="1"/>
  <c r="ER17" i="1" s="1"/>
  <c r="EU17" i="1" a="1"/>
  <c r="EU17" i="1" s="1"/>
  <c r="EZ17" i="1" s="1"/>
  <c r="EQ17" i="1" a="1"/>
  <c r="EQ17" i="1" s="1"/>
  <c r="ET17" i="1" a="1"/>
  <c r="ET17" i="1" s="1"/>
  <c r="FF17" i="1" s="1"/>
  <c r="EP17" i="1" a="1"/>
  <c r="EP17" i="1" s="1"/>
  <c r="EY17" i="1" s="1"/>
  <c r="DP10" i="1"/>
  <c r="CG10" i="1"/>
  <c r="CI10" i="1" s="1"/>
  <c r="CJ10" i="1" s="1"/>
  <c r="DN11" i="1" a="1"/>
  <c r="DN11" i="1" s="1"/>
  <c r="DL11" i="1" a="1"/>
  <c r="DL11" i="1" s="1"/>
  <c r="DQ11" i="1" s="1"/>
  <c r="DJ11" i="1" a="1"/>
  <c r="DJ11" i="1" s="1"/>
  <c r="DX11" i="1" s="1"/>
  <c r="DH11" i="1" a="1"/>
  <c r="DH11" i="1" s="1"/>
  <c r="DM11" i="1" a="1"/>
  <c r="DM11" i="1" s="1"/>
  <c r="DG11" i="1" a="1"/>
  <c r="DG11" i="1" s="1"/>
  <c r="DP11" i="1" s="1"/>
  <c r="DR11" i="1" s="1"/>
  <c r="DS11" i="1" s="1"/>
  <c r="DK11" i="1" a="1"/>
  <c r="DK11" i="1" s="1"/>
  <c r="DW11" i="1" s="1"/>
  <c r="DI11" i="1" a="1"/>
  <c r="DI11" i="1" s="1"/>
  <c r="CH11" i="1"/>
  <c r="GF16" i="1" a="1"/>
  <c r="GF16" i="1" s="1"/>
  <c r="GA16" i="1" a="1"/>
  <c r="GA16" i="1" s="1"/>
  <c r="GD16" i="1" a="1"/>
  <c r="GD16" i="1" s="1"/>
  <c r="GI16" i="1" s="1"/>
  <c r="FZ16" i="1" a="1"/>
  <c r="FZ16" i="1" s="1"/>
  <c r="GC16" i="1" a="1"/>
  <c r="GC16" i="1" s="1"/>
  <c r="GO16" i="1" s="1"/>
  <c r="FY16" i="1" a="1"/>
  <c r="FY16" i="1" s="1"/>
  <c r="GH16" i="1" s="1"/>
  <c r="GB16" i="1" a="1"/>
  <c r="GB16" i="1" s="1"/>
  <c r="GP16" i="1" s="1"/>
  <c r="DQ19" i="1"/>
  <c r="GI21" i="1"/>
  <c r="GH22" i="1"/>
  <c r="GJ22" i="1" s="1"/>
  <c r="GK22" i="1" s="1"/>
  <c r="FR26" i="1"/>
  <c r="BQ26" i="1"/>
  <c r="BQ56" i="1"/>
  <c r="FR56" i="1"/>
  <c r="GI56" i="1" s="1"/>
  <c r="BO57" i="1"/>
  <c r="FP57" i="1"/>
  <c r="VR58" i="1" a="1"/>
  <c r="VR58" i="1" s="1"/>
  <c r="ALA58" i="1" a="1"/>
  <c r="ALA58" i="1" s="1"/>
  <c r="VI58" i="1" a="1"/>
  <c r="VI58" i="1" s="1"/>
  <c r="AHE58" i="1"/>
  <c r="ALF58" i="1" a="1"/>
  <c r="ALF58" i="1" s="1"/>
  <c r="GA57" i="1" a="1"/>
  <c r="GA57" i="1" s="1"/>
  <c r="GF57" i="1" a="1"/>
  <c r="GF57" i="1" s="1"/>
  <c r="GB57" i="1" a="1"/>
  <c r="GB57" i="1" s="1"/>
  <c r="GP57" i="1" s="1"/>
  <c r="GC57" i="1" a="1"/>
  <c r="GC57" i="1" s="1"/>
  <c r="GO57" i="1" s="1"/>
  <c r="FY57" i="1" a="1"/>
  <c r="FY57" i="1" s="1"/>
  <c r="GD57" i="1" a="1"/>
  <c r="GD57" i="1" s="1"/>
  <c r="FZ57" i="1" a="1"/>
  <c r="FZ57" i="1" s="1"/>
  <c r="VA60" i="1" a="1"/>
  <c r="VA60" i="1" s="1"/>
  <c r="ALC60" i="1" a="1"/>
  <c r="ALC60" i="1" s="1"/>
  <c r="VW60" i="1" a="1"/>
  <c r="VW60" i="1" s="1"/>
  <c r="HX61" i="1"/>
  <c r="HY61" i="1" s="1"/>
  <c r="HZ61" i="1" s="1"/>
  <c r="DP73" i="1"/>
  <c r="ES75" i="1" a="1"/>
  <c r="ES75" i="1" s="1"/>
  <c r="FG75" i="1" s="1"/>
  <c r="EP75" i="1" a="1"/>
  <c r="EP75" i="1" s="1"/>
  <c r="EY75" i="1" s="1"/>
  <c r="FA75" i="1" s="1"/>
  <c r="FB75" i="1" s="1"/>
  <c r="EQ75" i="1" a="1"/>
  <c r="EQ75" i="1" s="1"/>
  <c r="EV75" i="1" a="1"/>
  <c r="EV75" i="1" s="1"/>
  <c r="EW75" i="1" a="1"/>
  <c r="EW75" i="1" s="1"/>
  <c r="ET75" i="1" a="1"/>
  <c r="ET75" i="1" s="1"/>
  <c r="FF75" i="1" s="1"/>
  <c r="EU75" i="1" a="1"/>
  <c r="EU75" i="1" s="1"/>
  <c r="EZ75" i="1" s="1"/>
  <c r="ER75" i="1" a="1"/>
  <c r="ER75" i="1" s="1"/>
  <c r="FS76" i="1"/>
  <c r="BR76" i="1"/>
  <c r="EY12" i="1"/>
  <c r="FA12" i="1" s="1"/>
  <c r="FB12" i="1" s="1"/>
  <c r="CH12" i="1"/>
  <c r="GI17" i="1"/>
  <c r="AFS17" i="1"/>
  <c r="AAF17" i="1"/>
  <c r="AHE17" i="1" s="1"/>
  <c r="AAB17" i="1"/>
  <c r="AGH17" i="1" s="1" a="1"/>
  <c r="AGH17" i="1" s="1"/>
  <c r="AGI17" i="1" s="1"/>
  <c r="AAD17" i="1"/>
  <c r="AGJ17" i="1"/>
  <c r="AAC17" i="1"/>
  <c r="AAE17" i="1"/>
  <c r="AHB17" i="1" s="1"/>
  <c r="AKP17" i="1" a="1"/>
  <c r="AKP17" i="1" s="1"/>
  <c r="QI17" i="1"/>
  <c r="KV17" i="1"/>
  <c r="KR17" i="1"/>
  <c r="QX17" i="1" s="1" a="1"/>
  <c r="QX17" i="1" s="1"/>
  <c r="QY17" i="1" s="1"/>
  <c r="KT17" i="1"/>
  <c r="QZ17" i="1"/>
  <c r="KS17" i="1"/>
  <c r="KU17" i="1"/>
  <c r="VF17" i="1" a="1"/>
  <c r="VF17" i="1" s="1"/>
  <c r="VP17" i="1" a="1"/>
  <c r="VP17" i="1" s="1"/>
  <c r="AKL17" i="1" a="1"/>
  <c r="AKL17" i="1" s="1"/>
  <c r="VJ17" i="1" a="1"/>
  <c r="VJ17" i="1" s="1"/>
  <c r="SK17" i="1"/>
  <c r="XZ17" i="1"/>
  <c r="SM17" i="1"/>
  <c r="SI17" i="1"/>
  <c r="YO17" i="1" s="1" a="1"/>
  <c r="YO17" i="1" s="1"/>
  <c r="YP17" i="1" s="1"/>
  <c r="SL17" i="1"/>
  <c r="YQ17" i="1"/>
  <c r="SJ17" i="1"/>
  <c r="VG17" i="1" a="1"/>
  <c r="VG17" i="1" s="1"/>
  <c r="VO17" i="1" a="1"/>
  <c r="VO17" i="1" s="1"/>
  <c r="VW17" i="1" a="1"/>
  <c r="VW17" i="1" s="1"/>
  <c r="AKO17" i="1" a="1"/>
  <c r="AKO17" i="1" s="1"/>
  <c r="AKW17" i="1" a="1"/>
  <c r="AKW17" i="1" s="1"/>
  <c r="ALE17" i="1" a="1"/>
  <c r="ALE17" i="1" s="1"/>
  <c r="EY10" i="1"/>
  <c r="RX11" i="1"/>
  <c r="AFS11" i="1"/>
  <c r="AAF11" i="1"/>
  <c r="AHE11" i="1" s="1"/>
  <c r="AAB11" i="1"/>
  <c r="AGH11" i="1" s="1" a="1"/>
  <c r="AGH11" i="1" s="1"/>
  <c r="AGI11" i="1" s="1"/>
  <c r="AAD11" i="1"/>
  <c r="AGJ11" i="1"/>
  <c r="AAC11" i="1"/>
  <c r="AAE11" i="1"/>
  <c r="AGY11" i="1"/>
  <c r="RO11" i="1"/>
  <c r="AKB11" i="1" a="1"/>
  <c r="AKB11" i="1" s="1"/>
  <c r="AJW11" i="1" a="1"/>
  <c r="AJW11" i="1" s="1"/>
  <c r="AJT11" i="1" a="1"/>
  <c r="AJT11" i="1" s="1"/>
  <c r="AJO11" i="1" a="1"/>
  <c r="AJO11" i="1" s="1"/>
  <c r="AJL11" i="1" a="1"/>
  <c r="AJL11" i="1" s="1"/>
  <c r="AJG11" i="1" a="1"/>
  <c r="AJG11" i="1" s="1"/>
  <c r="AJD11" i="1" a="1"/>
  <c r="AJD11" i="1" s="1"/>
  <c r="AIY11" i="1" a="1"/>
  <c r="AIY11" i="1" s="1"/>
  <c r="AIV11" i="1" a="1"/>
  <c r="AIV11" i="1" s="1"/>
  <c r="AIQ11" i="1" a="1"/>
  <c r="AIQ11" i="1" s="1"/>
  <c r="AIN11" i="1" a="1"/>
  <c r="AIN11" i="1" s="1"/>
  <c r="AII11" i="1" a="1"/>
  <c r="AII11" i="1" s="1"/>
  <c r="AIE11" i="1" a="1"/>
  <c r="AIE11" i="1" s="1"/>
  <c r="AHZ11" i="1" a="1"/>
  <c r="AHZ11" i="1" s="1"/>
  <c r="AJY11" i="1" a="1"/>
  <c r="AJY11" i="1" s="1"/>
  <c r="AJV11" i="1" a="1"/>
  <c r="AJV11" i="1" s="1"/>
  <c r="AJQ11" i="1" a="1"/>
  <c r="AJQ11" i="1" s="1"/>
  <c r="AJN11" i="1" a="1"/>
  <c r="AJN11" i="1" s="1"/>
  <c r="AJI11" i="1" a="1"/>
  <c r="AJI11" i="1" s="1"/>
  <c r="AJF11" i="1" a="1"/>
  <c r="AJF11" i="1" s="1"/>
  <c r="AJA11" i="1" a="1"/>
  <c r="AJA11" i="1" s="1"/>
  <c r="AIX11" i="1" a="1"/>
  <c r="AIX11" i="1" s="1"/>
  <c r="AIS11" i="1" a="1"/>
  <c r="AIS11" i="1" s="1"/>
  <c r="AIP11" i="1" a="1"/>
  <c r="AIP11" i="1" s="1"/>
  <c r="AIK11" i="1" a="1"/>
  <c r="AIK11" i="1" s="1"/>
  <c r="AIH11" i="1" a="1"/>
  <c r="AIH11" i="1" s="1"/>
  <c r="AIB11" i="1" a="1"/>
  <c r="AIB11" i="1" s="1"/>
  <c r="AHY11" i="1" a="1"/>
  <c r="AHY11" i="1" s="1"/>
  <c r="US11" i="1" a="1"/>
  <c r="US11" i="1" s="1"/>
  <c r="UQ11" i="1" a="1"/>
  <c r="UQ11" i="1" s="1"/>
  <c r="UO11" i="1" a="1"/>
  <c r="UO11" i="1" s="1"/>
  <c r="UM11" i="1" a="1"/>
  <c r="UM11" i="1" s="1"/>
  <c r="UK11" i="1" a="1"/>
  <c r="UK11" i="1" s="1"/>
  <c r="UI11" i="1" a="1"/>
  <c r="UI11" i="1" s="1"/>
  <c r="UG11" i="1" a="1"/>
  <c r="UG11" i="1" s="1"/>
  <c r="UE11" i="1" a="1"/>
  <c r="UE11" i="1" s="1"/>
  <c r="UC11" i="1" a="1"/>
  <c r="UC11" i="1" s="1"/>
  <c r="UA11" i="1" a="1"/>
  <c r="UA11" i="1" s="1"/>
  <c r="TY11" i="1" a="1"/>
  <c r="TY11" i="1" s="1"/>
  <c r="TW11" i="1" a="1"/>
  <c r="TW11" i="1" s="1"/>
  <c r="TU11" i="1" a="1"/>
  <c r="TU11" i="1" s="1"/>
  <c r="TS11" i="1" a="1"/>
  <c r="TS11" i="1" s="1"/>
  <c r="TQ11" i="1" a="1"/>
  <c r="TQ11" i="1" s="1"/>
  <c r="TO11" i="1" a="1"/>
  <c r="TO11" i="1" s="1"/>
  <c r="TM11" i="1" a="1"/>
  <c r="TM11" i="1" s="1"/>
  <c r="TK11" i="1" a="1"/>
  <c r="TK11" i="1" s="1"/>
  <c r="TI11" i="1" a="1"/>
  <c r="TI11" i="1" s="1"/>
  <c r="TG11" i="1" a="1"/>
  <c r="TG11" i="1" s="1"/>
  <c r="TE11" i="1" a="1"/>
  <c r="TE11" i="1" s="1"/>
  <c r="TC11" i="1" a="1"/>
  <c r="TC11" i="1" s="1"/>
  <c r="TA11" i="1" a="1"/>
  <c r="TA11" i="1" s="1"/>
  <c r="SY11" i="1" a="1"/>
  <c r="SY11" i="1" s="1"/>
  <c r="SW11" i="1" a="1"/>
  <c r="SW11" i="1" s="1"/>
  <c r="ST11" i="1" a="1"/>
  <c r="ST11" i="1" s="1"/>
  <c r="SR11" i="1" a="1"/>
  <c r="SR11" i="1" s="1"/>
  <c r="SP11" i="1" a="1"/>
  <c r="SP11" i="1" s="1"/>
  <c r="AKA11" i="1" a="1"/>
  <c r="AKA11" i="1" s="1"/>
  <c r="AJX11" i="1" a="1"/>
  <c r="AJX11" i="1" s="1"/>
  <c r="AJS11" i="1" a="1"/>
  <c r="AJS11" i="1" s="1"/>
  <c r="AJP11" i="1" a="1"/>
  <c r="AJP11" i="1" s="1"/>
  <c r="AJK11" i="1" a="1"/>
  <c r="AJK11" i="1" s="1"/>
  <c r="AJH11" i="1" a="1"/>
  <c r="AJH11" i="1" s="1"/>
  <c r="AJC11" i="1" a="1"/>
  <c r="AJC11" i="1" s="1"/>
  <c r="AIZ11" i="1" a="1"/>
  <c r="AIZ11" i="1" s="1"/>
  <c r="AIU11" i="1" a="1"/>
  <c r="AIU11" i="1" s="1"/>
  <c r="AIR11" i="1" a="1"/>
  <c r="AIR11" i="1" s="1"/>
  <c r="AIM11" i="1" a="1"/>
  <c r="AIM11" i="1" s="1"/>
  <c r="AIJ11" i="1" a="1"/>
  <c r="AIJ11" i="1" s="1"/>
  <c r="AID11" i="1" a="1"/>
  <c r="AID11" i="1" s="1"/>
  <c r="AIA11" i="1" a="1"/>
  <c r="AIA11" i="1" s="1"/>
  <c r="AJE11" i="1" a="1"/>
  <c r="AJE11" i="1" s="1"/>
  <c r="AIW11" i="1" a="1"/>
  <c r="AIW11" i="1" s="1"/>
  <c r="AIO11" i="1" a="1"/>
  <c r="AIO11" i="1" s="1"/>
  <c r="AIG11" i="1" a="1"/>
  <c r="AIG11" i="1" s="1"/>
  <c r="UR11" i="1" a="1"/>
  <c r="UR11" i="1" s="1"/>
  <c r="UP11" i="1" a="1"/>
  <c r="UP11" i="1" s="1"/>
  <c r="UN11" i="1" a="1"/>
  <c r="UN11" i="1" s="1"/>
  <c r="UL11" i="1" a="1"/>
  <c r="UL11" i="1" s="1"/>
  <c r="UJ11" i="1" a="1"/>
  <c r="UJ11" i="1" s="1"/>
  <c r="UF11" i="1" a="1"/>
  <c r="UF11" i="1" s="1"/>
  <c r="UB11" i="1" a="1"/>
  <c r="UB11" i="1" s="1"/>
  <c r="TX11" i="1" a="1"/>
  <c r="TX11" i="1" s="1"/>
  <c r="TT11" i="1" a="1"/>
  <c r="TT11" i="1" s="1"/>
  <c r="TP11" i="1" a="1"/>
  <c r="TP11" i="1" s="1"/>
  <c r="TL11" i="1" a="1"/>
  <c r="TL11" i="1" s="1"/>
  <c r="TH11" i="1" a="1"/>
  <c r="TH11" i="1" s="1"/>
  <c r="TD11" i="1" a="1"/>
  <c r="TD11" i="1" s="1"/>
  <c r="SZ11" i="1" a="1"/>
  <c r="SZ11" i="1" s="1"/>
  <c r="SU11" i="1" a="1"/>
  <c r="SU11" i="1" s="1"/>
  <c r="SQ11" i="1" a="1"/>
  <c r="SQ11" i="1" s="1"/>
  <c r="AKC11" i="1" a="1"/>
  <c r="AKC11" i="1" s="1"/>
  <c r="AJZ11" i="1" a="1"/>
  <c r="AJZ11" i="1" s="1"/>
  <c r="AJU11" i="1" a="1"/>
  <c r="AJU11" i="1" s="1"/>
  <c r="AJR11" i="1" a="1"/>
  <c r="AJR11" i="1" s="1"/>
  <c r="AJM11" i="1" a="1"/>
  <c r="AJM11" i="1" s="1"/>
  <c r="AJJ11" i="1" a="1"/>
  <c r="AJJ11" i="1" s="1"/>
  <c r="AJB11" i="1" a="1"/>
  <c r="AJB11" i="1" s="1"/>
  <c r="AIT11" i="1" a="1"/>
  <c r="AIT11" i="1" s="1"/>
  <c r="AIL11" i="1" a="1"/>
  <c r="AIL11" i="1" s="1"/>
  <c r="AIC11" i="1" a="1"/>
  <c r="AIC11" i="1" s="1"/>
  <c r="UH11" i="1" a="1"/>
  <c r="UH11" i="1" s="1"/>
  <c r="UD11" i="1" a="1"/>
  <c r="UD11" i="1" s="1"/>
  <c r="TZ11" i="1" a="1"/>
  <c r="TZ11" i="1" s="1"/>
  <c r="TV11" i="1" a="1"/>
  <c r="TV11" i="1" s="1"/>
  <c r="TR11" i="1" a="1"/>
  <c r="TR11" i="1" s="1"/>
  <c r="TN11" i="1" a="1"/>
  <c r="TN11" i="1" s="1"/>
  <c r="TJ11" i="1" a="1"/>
  <c r="TJ11" i="1" s="1"/>
  <c r="TF11" i="1" a="1"/>
  <c r="TF11" i="1" s="1"/>
  <c r="TB11" i="1" a="1"/>
  <c r="TB11" i="1" s="1"/>
  <c r="SX11" i="1" a="1"/>
  <c r="SX11" i="1" s="1"/>
  <c r="SS11" i="1" a="1"/>
  <c r="SS11" i="1" s="1"/>
  <c r="SO11" i="1" a="1"/>
  <c r="SO11" i="1" s="1"/>
  <c r="AKT11" i="1" a="1"/>
  <c r="AKT11" i="1" s="1"/>
  <c r="EU15" i="1" a="1"/>
  <c r="EU15" i="1" s="1"/>
  <c r="EZ15" i="1" s="1"/>
  <c r="EQ15" i="1" a="1"/>
  <c r="EQ15" i="1" s="1"/>
  <c r="ET15" i="1" a="1"/>
  <c r="ET15" i="1" s="1"/>
  <c r="FF15" i="1" s="1"/>
  <c r="EP15" i="1" a="1"/>
  <c r="EP15" i="1" s="1"/>
  <c r="EY15" i="1" s="1"/>
  <c r="EW15" i="1" a="1"/>
  <c r="EW15" i="1" s="1"/>
  <c r="ES15" i="1" a="1"/>
  <c r="ES15" i="1" s="1"/>
  <c r="FG15" i="1" s="1"/>
  <c r="EV15" i="1" a="1"/>
  <c r="EV15" i="1" s="1"/>
  <c r="ER15" i="1" a="1"/>
  <c r="ER15" i="1" s="1"/>
  <c r="CG13" i="1"/>
  <c r="GI20" i="1"/>
  <c r="VN20" i="1" a="1"/>
  <c r="VN20" i="1" s="1"/>
  <c r="AKZ20" i="1" a="1"/>
  <c r="AKZ20" i="1" s="1"/>
  <c r="VK20" i="1" a="1"/>
  <c r="VK20" i="1" s="1"/>
  <c r="AKO20" i="1" a="1"/>
  <c r="AKO20" i="1" s="1"/>
  <c r="ALE20" i="1" a="1"/>
  <c r="ALE20" i="1" s="1"/>
  <c r="VD20" i="1" a="1"/>
  <c r="VD20" i="1" s="1"/>
  <c r="VT20" i="1" a="1"/>
  <c r="VT20" i="1" s="1"/>
  <c r="AGV20" i="1"/>
  <c r="AKL20" i="1" a="1"/>
  <c r="AKL20" i="1" s="1"/>
  <c r="ALB20" i="1" a="1"/>
  <c r="ALB20" i="1" s="1"/>
  <c r="VM20" i="1" a="1"/>
  <c r="VM20" i="1" s="1"/>
  <c r="AKY20" i="1" a="1"/>
  <c r="AKY20" i="1" s="1"/>
  <c r="EM26" i="1" a="1"/>
  <c r="EM26" i="1" s="1"/>
  <c r="EK26" i="1" a="1"/>
  <c r="EK26" i="1" s="1"/>
  <c r="EI26" i="1" a="1"/>
  <c r="EI26" i="1" s="1"/>
  <c r="EG26" i="1" a="1"/>
  <c r="EG26" i="1" s="1"/>
  <c r="EN26" i="1" a="1"/>
  <c r="EN26" i="1" s="1"/>
  <c r="EL26" i="1" a="1"/>
  <c r="EL26" i="1" s="1"/>
  <c r="EJ26" i="1" a="1"/>
  <c r="EJ26" i="1" s="1"/>
  <c r="EH26" i="1" a="1"/>
  <c r="EH26" i="1" s="1"/>
  <c r="EF26" i="1" a="1"/>
  <c r="EF26" i="1" s="1"/>
  <c r="BG26" i="1"/>
  <c r="EM55" i="1" a="1"/>
  <c r="EM55" i="1" s="1"/>
  <c r="EJ55" i="1" a="1"/>
  <c r="EJ55" i="1" s="1"/>
  <c r="EN55" i="1" a="1"/>
  <c r="EN55" i="1" s="1"/>
  <c r="EI55" i="1" a="1"/>
  <c r="EI55" i="1" s="1"/>
  <c r="EF55" i="1" a="1"/>
  <c r="EF55" i="1" s="1"/>
  <c r="EH55" i="1" a="1"/>
  <c r="EH55" i="1" s="1"/>
  <c r="BH55" i="1"/>
  <c r="EL55" i="1" a="1"/>
  <c r="EL55" i="1" s="1"/>
  <c r="EG55" i="1" a="1"/>
  <c r="EG55" i="1" s="1"/>
  <c r="EK55" i="1" a="1"/>
  <c r="EK55" i="1" s="1"/>
  <c r="FS59" i="1"/>
  <c r="BR59" i="1"/>
  <c r="HW56" i="1"/>
  <c r="CE56" i="1" a="1"/>
  <c r="CE56" i="1" s="1"/>
  <c r="CC56" i="1" a="1"/>
  <c r="CC56" i="1" s="1"/>
  <c r="BZ56" i="1" a="1"/>
  <c r="BZ56" i="1" s="1"/>
  <c r="CD56" i="1" a="1"/>
  <c r="CD56" i="1" s="1"/>
  <c r="CA56" i="1" a="1"/>
  <c r="CA56" i="1" s="1"/>
  <c r="CO56" i="1" s="1"/>
  <c r="BY56" i="1" a="1"/>
  <c r="BY56" i="1" s="1"/>
  <c r="BX56" i="1" a="1"/>
  <c r="BX56" i="1" s="1"/>
  <c r="CB56" i="1" a="1"/>
  <c r="CB56" i="1" s="1"/>
  <c r="CN56" i="1" s="1"/>
  <c r="BS57" i="1"/>
  <c r="FT57" i="1"/>
  <c r="ALD59" i="1" a="1"/>
  <c r="ALD59" i="1" s="1"/>
  <c r="HT57" i="1"/>
  <c r="HU57" i="1" s="1"/>
  <c r="VF60" i="1" a="1"/>
  <c r="VF60" i="1" s="1"/>
  <c r="RO61" i="1"/>
  <c r="BO63" i="1"/>
  <c r="FP63" i="1"/>
  <c r="VL60" i="1" a="1"/>
  <c r="VL60" i="1" s="1"/>
  <c r="ALF60" i="1" a="1"/>
  <c r="ALF60" i="1" s="1"/>
  <c r="AKB61" i="1" a="1"/>
  <c r="AKB61" i="1" s="1"/>
  <c r="AJZ61" i="1" a="1"/>
  <c r="AJZ61" i="1" s="1"/>
  <c r="AJX61" i="1" a="1"/>
  <c r="AJX61" i="1" s="1"/>
  <c r="AJV61" i="1" a="1"/>
  <c r="AJV61" i="1" s="1"/>
  <c r="AJT61" i="1" a="1"/>
  <c r="AJT61" i="1" s="1"/>
  <c r="AJR61" i="1" a="1"/>
  <c r="AJR61" i="1" s="1"/>
  <c r="AJP61" i="1" a="1"/>
  <c r="AJP61" i="1" s="1"/>
  <c r="AJN61" i="1" a="1"/>
  <c r="AJN61" i="1" s="1"/>
  <c r="AJL61" i="1" a="1"/>
  <c r="AJL61" i="1" s="1"/>
  <c r="AJJ61" i="1" a="1"/>
  <c r="AJJ61" i="1" s="1"/>
  <c r="AJH61" i="1" a="1"/>
  <c r="AJH61" i="1" s="1"/>
  <c r="AJF61" i="1" a="1"/>
  <c r="AJF61" i="1" s="1"/>
  <c r="AJD61" i="1" a="1"/>
  <c r="AJD61" i="1" s="1"/>
  <c r="AJB61" i="1" a="1"/>
  <c r="AJB61" i="1" s="1"/>
  <c r="AIZ61" i="1" a="1"/>
  <c r="AIZ61" i="1" s="1"/>
  <c r="AIX61" i="1" a="1"/>
  <c r="AIX61" i="1" s="1"/>
  <c r="AIV61" i="1" a="1"/>
  <c r="AIV61" i="1" s="1"/>
  <c r="AIT61" i="1" a="1"/>
  <c r="AIT61" i="1" s="1"/>
  <c r="AIR61" i="1" a="1"/>
  <c r="AIR61" i="1" s="1"/>
  <c r="AIP61" i="1" a="1"/>
  <c r="AIP61" i="1" s="1"/>
  <c r="AIN61" i="1" a="1"/>
  <c r="AIN61" i="1" s="1"/>
  <c r="AIL61" i="1" a="1"/>
  <c r="AIL61" i="1" s="1"/>
  <c r="AIJ61" i="1" a="1"/>
  <c r="AIJ61" i="1" s="1"/>
  <c r="AIH61" i="1" a="1"/>
  <c r="AIH61" i="1" s="1"/>
  <c r="AKC61" i="1" a="1"/>
  <c r="AKC61" i="1" s="1"/>
  <c r="AKA61" i="1" a="1"/>
  <c r="AKA61" i="1" s="1"/>
  <c r="AJY61" i="1" a="1"/>
  <c r="AJY61" i="1" s="1"/>
  <c r="AJW61" i="1" a="1"/>
  <c r="AJW61" i="1" s="1"/>
  <c r="AJU61" i="1" a="1"/>
  <c r="AJU61" i="1" s="1"/>
  <c r="AJS61" i="1" a="1"/>
  <c r="AJS61" i="1" s="1"/>
  <c r="AJQ61" i="1" a="1"/>
  <c r="AJQ61" i="1" s="1"/>
  <c r="AJO61" i="1" a="1"/>
  <c r="AJO61" i="1" s="1"/>
  <c r="AJM61" i="1" a="1"/>
  <c r="AJM61" i="1" s="1"/>
  <c r="AJK61" i="1" a="1"/>
  <c r="AJK61" i="1" s="1"/>
  <c r="AJI61" i="1" a="1"/>
  <c r="AJI61" i="1" s="1"/>
  <c r="AJG61" i="1" a="1"/>
  <c r="AJG61" i="1" s="1"/>
  <c r="AJE61" i="1" a="1"/>
  <c r="AJE61" i="1" s="1"/>
  <c r="AJC61" i="1" a="1"/>
  <c r="AJC61" i="1" s="1"/>
  <c r="AJA61" i="1" a="1"/>
  <c r="AJA61" i="1" s="1"/>
  <c r="AIY61" i="1" a="1"/>
  <c r="AIY61" i="1" s="1"/>
  <c r="AIW61" i="1" a="1"/>
  <c r="AIW61" i="1" s="1"/>
  <c r="AIU61" i="1" a="1"/>
  <c r="AIU61" i="1" s="1"/>
  <c r="AIS61" i="1" a="1"/>
  <c r="AIS61" i="1" s="1"/>
  <c r="AIQ61" i="1" a="1"/>
  <c r="AIQ61" i="1" s="1"/>
  <c r="AIO61" i="1" a="1"/>
  <c r="AIO61" i="1" s="1"/>
  <c r="AIM61" i="1" a="1"/>
  <c r="AIM61" i="1" s="1"/>
  <c r="AIK61" i="1" a="1"/>
  <c r="AIK61" i="1" s="1"/>
  <c r="AII61" i="1" a="1"/>
  <c r="AII61" i="1" s="1"/>
  <c r="AIG61" i="1" a="1"/>
  <c r="AIG61" i="1" s="1"/>
  <c r="US61" i="1" a="1"/>
  <c r="US61" i="1" s="1"/>
  <c r="UN61" i="1" a="1"/>
  <c r="UN61" i="1" s="1"/>
  <c r="UK61" i="1" a="1"/>
  <c r="UK61" i="1" s="1"/>
  <c r="UF61" i="1" a="1"/>
  <c r="UF61" i="1" s="1"/>
  <c r="UC61" i="1" a="1"/>
  <c r="UC61" i="1" s="1"/>
  <c r="TX61" i="1" a="1"/>
  <c r="TX61" i="1" s="1"/>
  <c r="TU61" i="1" a="1"/>
  <c r="TU61" i="1" s="1"/>
  <c r="TP61" i="1" a="1"/>
  <c r="TP61" i="1" s="1"/>
  <c r="TM61" i="1" a="1"/>
  <c r="TM61" i="1" s="1"/>
  <c r="TH61" i="1" a="1"/>
  <c r="TH61" i="1" s="1"/>
  <c r="TE61" i="1" a="1"/>
  <c r="TE61" i="1" s="1"/>
  <c r="SZ61" i="1" a="1"/>
  <c r="SZ61" i="1" s="1"/>
  <c r="SW61" i="1" a="1"/>
  <c r="SW61" i="1" s="1"/>
  <c r="UP61" i="1" a="1"/>
  <c r="UP61" i="1" s="1"/>
  <c r="UM61" i="1" a="1"/>
  <c r="UM61" i="1" s="1"/>
  <c r="UH61" i="1" a="1"/>
  <c r="UH61" i="1" s="1"/>
  <c r="UE61" i="1" a="1"/>
  <c r="UE61" i="1" s="1"/>
  <c r="TZ61" i="1" a="1"/>
  <c r="TZ61" i="1" s="1"/>
  <c r="TW61" i="1" a="1"/>
  <c r="TW61" i="1" s="1"/>
  <c r="TR61" i="1" a="1"/>
  <c r="TR61" i="1" s="1"/>
  <c r="TO61" i="1" a="1"/>
  <c r="TO61" i="1" s="1"/>
  <c r="TJ61" i="1" a="1"/>
  <c r="TJ61" i="1" s="1"/>
  <c r="TG61" i="1" a="1"/>
  <c r="TG61" i="1" s="1"/>
  <c r="TB61" i="1" a="1"/>
  <c r="TB61" i="1" s="1"/>
  <c r="SY61" i="1" a="1"/>
  <c r="SY61" i="1" s="1"/>
  <c r="UR61" i="1" a="1"/>
  <c r="UR61" i="1" s="1"/>
  <c r="UO61" i="1" a="1"/>
  <c r="UO61" i="1" s="1"/>
  <c r="UJ61" i="1" a="1"/>
  <c r="UJ61" i="1" s="1"/>
  <c r="UG61" i="1" a="1"/>
  <c r="UG61" i="1" s="1"/>
  <c r="UB61" i="1" a="1"/>
  <c r="UB61" i="1" s="1"/>
  <c r="TY61" i="1" a="1"/>
  <c r="TY61" i="1" s="1"/>
  <c r="TT61" i="1" a="1"/>
  <c r="TT61" i="1" s="1"/>
  <c r="TQ61" i="1" a="1"/>
  <c r="TQ61" i="1" s="1"/>
  <c r="TL61" i="1" a="1"/>
  <c r="TL61" i="1" s="1"/>
  <c r="TI61" i="1" a="1"/>
  <c r="TI61" i="1" s="1"/>
  <c r="TD61" i="1" a="1"/>
  <c r="TD61" i="1" s="1"/>
  <c r="TA61" i="1" a="1"/>
  <c r="TA61" i="1" s="1"/>
  <c r="UQ61" i="1" a="1"/>
  <c r="UQ61" i="1" s="1"/>
  <c r="UL61" i="1" a="1"/>
  <c r="UL61" i="1" s="1"/>
  <c r="UI61" i="1" a="1"/>
  <c r="UI61" i="1" s="1"/>
  <c r="UD61" i="1" a="1"/>
  <c r="UD61" i="1" s="1"/>
  <c r="UA61" i="1" a="1"/>
  <c r="UA61" i="1" s="1"/>
  <c r="TV61" i="1" a="1"/>
  <c r="TV61" i="1" s="1"/>
  <c r="TS61" i="1" a="1"/>
  <c r="TS61" i="1" s="1"/>
  <c r="TN61" i="1" a="1"/>
  <c r="TN61" i="1" s="1"/>
  <c r="TK61" i="1" a="1"/>
  <c r="TK61" i="1" s="1"/>
  <c r="TF61" i="1" a="1"/>
  <c r="TF61" i="1" s="1"/>
  <c r="TC61" i="1" a="1"/>
  <c r="TC61" i="1" s="1"/>
  <c r="SX61" i="1" a="1"/>
  <c r="SX61" i="1" s="1"/>
  <c r="ALB61" i="1" a="1"/>
  <c r="ALB61" i="1" s="1"/>
  <c r="AKT61" i="1" a="1"/>
  <c r="AKT61" i="1" s="1"/>
  <c r="AKL61" i="1" a="1"/>
  <c r="AKL61" i="1" s="1"/>
  <c r="AHY61" i="1" a="1"/>
  <c r="AHY61" i="1" s="1"/>
  <c r="ALE61" i="1" a="1"/>
  <c r="ALE61" i="1" s="1"/>
  <c r="AKW61" i="1" a="1"/>
  <c r="AKW61" i="1" s="1"/>
  <c r="AKO61" i="1" a="1"/>
  <c r="AKO61" i="1" s="1"/>
  <c r="AIB61" i="1" a="1"/>
  <c r="AIB61" i="1" s="1"/>
  <c r="SR61" i="1" a="1"/>
  <c r="SR61" i="1" s="1"/>
  <c r="VJ61" i="1" a="1"/>
  <c r="VJ61" i="1" s="1"/>
  <c r="SP61" i="1" a="1"/>
  <c r="SP61" i="1" s="1"/>
  <c r="VM61" i="1" a="1"/>
  <c r="VM61" i="1" s="1"/>
  <c r="VF61" i="1" a="1"/>
  <c r="VF61" i="1" s="1"/>
  <c r="VV61" i="1" a="1"/>
  <c r="VV61" i="1" s="1"/>
  <c r="SO61" i="1" a="1"/>
  <c r="SO61" i="1" s="1"/>
  <c r="AIE61" i="1" a="1"/>
  <c r="AIE61" i="1" s="1"/>
  <c r="AHZ61" i="1" a="1"/>
  <c r="AHZ61" i="1" s="1"/>
  <c r="SU61" i="1" a="1"/>
  <c r="SU61" i="1" s="1"/>
  <c r="VO61" i="1" a="1"/>
  <c r="VO61" i="1" s="1"/>
  <c r="SS61" i="1" a="1"/>
  <c r="SS61" i="1" s="1"/>
  <c r="VP61" i="1" a="1"/>
  <c r="VP61" i="1" s="1"/>
  <c r="VK61" i="1" a="1"/>
  <c r="VK61" i="1" s="1"/>
  <c r="ST61" i="1" a="1"/>
  <c r="ST61" i="1" s="1"/>
  <c r="AIC61" i="1" a="1"/>
  <c r="AIC61" i="1" s="1"/>
  <c r="VB61" i="1" a="1"/>
  <c r="VB61" i="1" s="1"/>
  <c r="VR61" i="1" a="1"/>
  <c r="VR61" i="1" s="1"/>
  <c r="VE61" i="1" a="1"/>
  <c r="VE61" i="1" s="1"/>
  <c r="VU61" i="1" a="1"/>
  <c r="VU61" i="1" s="1"/>
  <c r="SQ61" i="1" a="1"/>
  <c r="SQ61" i="1" s="1"/>
  <c r="VN61" i="1" a="1"/>
  <c r="VN61" i="1" s="1"/>
  <c r="AIA61" i="1" a="1"/>
  <c r="AIA61" i="1" s="1"/>
  <c r="AID61" i="1" a="1"/>
  <c r="AID61" i="1" s="1"/>
  <c r="VC61" i="1" a="1"/>
  <c r="VC61" i="1" s="1"/>
  <c r="VS61" i="1" a="1"/>
  <c r="VS61" i="1" s="1"/>
  <c r="AFS62" i="1"/>
  <c r="AAF62" i="1"/>
  <c r="AAB62" i="1"/>
  <c r="AGH62" i="1" s="1" a="1"/>
  <c r="AGH62" i="1" s="1"/>
  <c r="AGI62" i="1" s="1"/>
  <c r="AGJ62" i="1"/>
  <c r="AAC62" i="1"/>
  <c r="AAE62" i="1"/>
  <c r="AAD62" i="1"/>
  <c r="AHH62" i="1" s="1"/>
  <c r="GI62" i="1"/>
  <c r="RO62" i="1"/>
  <c r="AHE72" i="1"/>
  <c r="GF73" i="1" a="1"/>
  <c r="GF73" i="1" s="1"/>
  <c r="GC73" i="1" a="1"/>
  <c r="GC73" i="1" s="1"/>
  <c r="GO73" i="1" s="1"/>
  <c r="GA73" i="1" a="1"/>
  <c r="GA73" i="1" s="1"/>
  <c r="FY73" i="1" a="1"/>
  <c r="FY73" i="1" s="1"/>
  <c r="GH73" i="1" s="1"/>
  <c r="GJ73" i="1" s="1"/>
  <c r="GK73" i="1" s="1"/>
  <c r="FZ73" i="1" a="1"/>
  <c r="FZ73" i="1" s="1"/>
  <c r="GD73" i="1" a="1"/>
  <c r="GD73" i="1" s="1"/>
  <c r="GI73" i="1" s="1"/>
  <c r="GB73" i="1" a="1"/>
  <c r="GB73" i="1" s="1"/>
  <c r="GP73" i="1" s="1"/>
  <c r="BP74" i="1"/>
  <c r="FQ74" i="1"/>
  <c r="HT72" i="1"/>
  <c r="HU72" i="1" s="1"/>
  <c r="RO75" i="1"/>
  <c r="BP76" i="1"/>
  <c r="FQ76" i="1"/>
  <c r="BP77" i="1"/>
  <c r="FQ77" i="1"/>
  <c r="GB12" i="1" a="1"/>
  <c r="GB12" i="1" s="1"/>
  <c r="GP12" i="1" s="1"/>
  <c r="FY12" i="1" a="1"/>
  <c r="FY12" i="1" s="1"/>
  <c r="GD12" i="1" a="1"/>
  <c r="GD12" i="1" s="1"/>
  <c r="GI12" i="1" s="1"/>
  <c r="GA12" i="1" a="1"/>
  <c r="GA12" i="1" s="1"/>
  <c r="GC12" i="1" a="1"/>
  <c r="GC12" i="1" s="1"/>
  <c r="GO12" i="1" s="1"/>
  <c r="GF12" i="1" a="1"/>
  <c r="GF12" i="1" s="1"/>
  <c r="FZ12" i="1" a="1"/>
  <c r="FZ12" i="1" s="1"/>
  <c r="GH12" i="1"/>
  <c r="CE14" i="1" a="1"/>
  <c r="CE14" i="1" s="1"/>
  <c r="CC14" i="1" a="1"/>
  <c r="CC14" i="1" s="1"/>
  <c r="CH14" i="1" s="1"/>
  <c r="CA14" i="1" a="1"/>
  <c r="CA14" i="1" s="1"/>
  <c r="BY14" i="1" a="1"/>
  <c r="BY14" i="1" s="1"/>
  <c r="CB14" i="1" a="1"/>
  <c r="CB14" i="1" s="1"/>
  <c r="CN14" i="1" s="1"/>
  <c r="CD14" i="1" a="1"/>
  <c r="CD14" i="1" s="1"/>
  <c r="BX14" i="1" a="1"/>
  <c r="BX14" i="1" s="1"/>
  <c r="CG14" i="1" s="1"/>
  <c r="CI14" i="1" s="1"/>
  <c r="CJ14" i="1" s="1"/>
  <c r="BZ14" i="1" a="1"/>
  <c r="BZ14" i="1" s="1"/>
  <c r="CD15" i="1" a="1"/>
  <c r="CD15" i="1" s="1"/>
  <c r="CB15" i="1" a="1"/>
  <c r="CB15" i="1" s="1"/>
  <c r="CN15" i="1" s="1"/>
  <c r="BZ15" i="1" a="1"/>
  <c r="BZ15" i="1" s="1"/>
  <c r="BX15" i="1" a="1"/>
  <c r="BX15" i="1" s="1"/>
  <c r="CG15" i="1" s="1"/>
  <c r="CI15" i="1" s="1"/>
  <c r="CJ15" i="1" s="1"/>
  <c r="CE15" i="1" a="1"/>
  <c r="CE15" i="1" s="1"/>
  <c r="CC15" i="1" a="1"/>
  <c r="CC15" i="1" s="1"/>
  <c r="CH15" i="1" s="1"/>
  <c r="CA15" i="1" a="1"/>
  <c r="CA15" i="1" s="1"/>
  <c r="CO15" i="1" s="1"/>
  <c r="BY15" i="1" a="1"/>
  <c r="BY15" i="1" s="1"/>
  <c r="ALG16" i="1" a="1"/>
  <c r="ALG16" i="1" s="1"/>
  <c r="AKU16" i="1" a="1"/>
  <c r="AKU16" i="1" s="1"/>
  <c r="AKQ16" i="1" a="1"/>
  <c r="AKQ16" i="1" s="1"/>
  <c r="ADO16" i="1" a="1"/>
  <c r="ADO16" i="1" s="1"/>
  <c r="ADK16" i="1" a="1"/>
  <c r="ADK16" i="1" s="1"/>
  <c r="ADG16" i="1" a="1"/>
  <c r="ADG16" i="1" s="1"/>
  <c r="ADC16" i="1" a="1"/>
  <c r="ADC16" i="1" s="1"/>
  <c r="ACY16" i="1" a="1"/>
  <c r="ACY16" i="1" s="1"/>
  <c r="ACU16" i="1" a="1"/>
  <c r="ACU16" i="1" s="1"/>
  <c r="VU16" i="1" a="1"/>
  <c r="VU16" i="1" s="1"/>
  <c r="VI16" i="1" a="1"/>
  <c r="VI16" i="1" s="1"/>
  <c r="VE16" i="1" a="1"/>
  <c r="VE16" i="1" s="1"/>
  <c r="OC16" i="1" a="1"/>
  <c r="OC16" i="1" s="1"/>
  <c r="NY16" i="1" a="1"/>
  <c r="NY16" i="1" s="1"/>
  <c r="NU16" i="1" a="1"/>
  <c r="NU16" i="1" s="1"/>
  <c r="NQ16" i="1" a="1"/>
  <c r="NQ16" i="1" s="1"/>
  <c r="RK16" i="1" s="1"/>
  <c r="NM16" i="1" a="1"/>
  <c r="NM16" i="1" s="1"/>
  <c r="AQ16" i="1" a="1"/>
  <c r="AQ16" i="1" s="1"/>
  <c r="AKY16" i="1" s="1" a="1"/>
  <c r="AKY16" i="1" s="1"/>
  <c r="ALB16" i="1" a="1"/>
  <c r="ALB16" i="1" s="1"/>
  <c r="AKX16" i="1" a="1"/>
  <c r="AKX16" i="1" s="1"/>
  <c r="AKT16" i="1" a="1"/>
  <c r="AKT16" i="1" s="1"/>
  <c r="AKL16" i="1" a="1"/>
  <c r="AKL16" i="1" s="1"/>
  <c r="ADN16" i="1" a="1"/>
  <c r="ADN16" i="1" s="1"/>
  <c r="ADJ16" i="1" a="1"/>
  <c r="ADJ16" i="1" s="1"/>
  <c r="ADF16" i="1" a="1"/>
  <c r="ADF16" i="1" s="1"/>
  <c r="ADB16" i="1" a="1"/>
  <c r="ADB16" i="1" s="1"/>
  <c r="AGV16" i="1" s="1"/>
  <c r="ACX16" i="1" a="1"/>
  <c r="ACX16" i="1" s="1"/>
  <c r="ACT16" i="1" a="1"/>
  <c r="ACT16" i="1" s="1"/>
  <c r="AAA16" i="1"/>
  <c r="VT16" i="1" a="1"/>
  <c r="VT16" i="1" s="1"/>
  <c r="VP16" i="1" a="1"/>
  <c r="VP16" i="1" s="1"/>
  <c r="VL16" i="1" a="1"/>
  <c r="VL16" i="1" s="1"/>
  <c r="VD16" i="1" a="1"/>
  <c r="VD16" i="1" s="1"/>
  <c r="OF16" i="1" a="1"/>
  <c r="OF16" i="1" s="1"/>
  <c r="OB16" i="1" a="1"/>
  <c r="OB16" i="1" s="1"/>
  <c r="NX16" i="1" a="1"/>
  <c r="NX16" i="1" s="1"/>
  <c r="NT16" i="1" a="1"/>
  <c r="NT16" i="1" s="1"/>
  <c r="NP16" i="1" a="1"/>
  <c r="NP16" i="1" s="1"/>
  <c r="NL16" i="1" a="1"/>
  <c r="NL16" i="1" s="1"/>
  <c r="AP16" i="1" a="1"/>
  <c r="AP16" i="1" s="1"/>
  <c r="ALE16" i="1" a="1"/>
  <c r="ALE16" i="1" s="1"/>
  <c r="ALA16" i="1" a="1"/>
  <c r="ALA16" i="1" s="1"/>
  <c r="AKW16" i="1" a="1"/>
  <c r="AKW16" i="1" s="1"/>
  <c r="AKO16" i="1" a="1"/>
  <c r="AKO16" i="1" s="1"/>
  <c r="AKK16" i="1" a="1"/>
  <c r="AKK16" i="1" s="1"/>
  <c r="ADM16" i="1" a="1"/>
  <c r="ADM16" i="1" s="1"/>
  <c r="ADI16" i="1" a="1"/>
  <c r="ADI16" i="1" s="1"/>
  <c r="ADE16" i="1" a="1"/>
  <c r="ADE16" i="1" s="1"/>
  <c r="AGY16" i="1" s="1"/>
  <c r="ADA16" i="1" a="1"/>
  <c r="ADA16" i="1" s="1"/>
  <c r="AGU16" i="1" s="1"/>
  <c r="ACW16" i="1" a="1"/>
  <c r="ACW16" i="1" s="1"/>
  <c r="VW16" i="1" a="1"/>
  <c r="VW16" i="1" s="1"/>
  <c r="VS16" i="1" a="1"/>
  <c r="VS16" i="1" s="1"/>
  <c r="VK16" i="1" a="1"/>
  <c r="VK16" i="1" s="1"/>
  <c r="VG16" i="1" a="1"/>
  <c r="VG16" i="1" s="1"/>
  <c r="VC16" i="1" a="1"/>
  <c r="VC16" i="1" s="1"/>
  <c r="OE16" i="1" a="1"/>
  <c r="OE16" i="1" s="1"/>
  <c r="OA16" i="1" a="1"/>
  <c r="OA16" i="1" s="1"/>
  <c r="NW16" i="1" a="1"/>
  <c r="NW16" i="1" s="1"/>
  <c r="NS16" i="1" a="1"/>
  <c r="NS16" i="1" s="1"/>
  <c r="NO16" i="1" a="1"/>
  <c r="NO16" i="1" s="1"/>
  <c r="NK16" i="1" a="1"/>
  <c r="NK16" i="1" s="1"/>
  <c r="ALD16" i="1" a="1"/>
  <c r="ALD16" i="1" s="1"/>
  <c r="AKZ16" i="1" a="1"/>
  <c r="AKZ16" i="1" s="1"/>
  <c r="AKR16" i="1" a="1"/>
  <c r="AKR16" i="1" s="1"/>
  <c r="AKN16" i="1" a="1"/>
  <c r="AKN16" i="1" s="1"/>
  <c r="ADP16" i="1" a="1"/>
  <c r="ADP16" i="1" s="1"/>
  <c r="ADL16" i="1" a="1"/>
  <c r="ADL16" i="1" s="1"/>
  <c r="ADH16" i="1" a="1"/>
  <c r="ADH16" i="1" s="1"/>
  <c r="ADD16" i="1" a="1"/>
  <c r="ADD16" i="1" s="1"/>
  <c r="ACZ16" i="1" a="1"/>
  <c r="ACZ16" i="1" s="1"/>
  <c r="ACV16" i="1" a="1"/>
  <c r="ACV16" i="1" s="1"/>
  <c r="VV16" i="1" a="1"/>
  <c r="VV16" i="1" s="1"/>
  <c r="VR16" i="1" a="1"/>
  <c r="VR16" i="1" s="1"/>
  <c r="VN16" i="1" a="1"/>
  <c r="VN16" i="1" s="1"/>
  <c r="VF16" i="1" a="1"/>
  <c r="VF16" i="1" s="1"/>
  <c r="VB16" i="1" a="1"/>
  <c r="VB16" i="1" s="1"/>
  <c r="OD16" i="1" a="1"/>
  <c r="OD16" i="1" s="1"/>
  <c r="NZ16" i="1" a="1"/>
  <c r="NZ16" i="1" s="1"/>
  <c r="NV16" i="1" a="1"/>
  <c r="NV16" i="1" s="1"/>
  <c r="NR16" i="1" a="1"/>
  <c r="NR16" i="1" s="1"/>
  <c r="RL16" i="1" s="1"/>
  <c r="NN16" i="1" a="1"/>
  <c r="NN16" i="1" s="1"/>
  <c r="NJ16" i="1" a="1"/>
  <c r="NJ16" i="1" s="1"/>
  <c r="KQ16" i="1"/>
  <c r="AR16" i="1" a="1"/>
  <c r="AR16" i="1" s="1"/>
  <c r="AHR16" i="1" s="1"/>
  <c r="GF23" i="1" a="1"/>
  <c r="GF23" i="1" s="1"/>
  <c r="GC23" i="1" a="1"/>
  <c r="GC23" i="1" s="1"/>
  <c r="GO23" i="1" s="1"/>
  <c r="GA23" i="1" a="1"/>
  <c r="GA23" i="1" s="1"/>
  <c r="FY23" i="1" a="1"/>
  <c r="FY23" i="1" s="1"/>
  <c r="GH23" i="1" s="1"/>
  <c r="GD23" i="1" a="1"/>
  <c r="GD23" i="1" s="1"/>
  <c r="GI23" i="1" s="1"/>
  <c r="GB23" i="1" a="1"/>
  <c r="GB23" i="1" s="1"/>
  <c r="GP23" i="1" s="1"/>
  <c r="FZ23" i="1" a="1"/>
  <c r="FZ23" i="1" s="1"/>
  <c r="DP13" i="1"/>
  <c r="DR13" i="1" s="1"/>
  <c r="DS13" i="1" s="1"/>
  <c r="RU13" i="1"/>
  <c r="VL13" i="1" a="1"/>
  <c r="VL13" i="1" s="1"/>
  <c r="AFS13" i="1"/>
  <c r="AAF13" i="1"/>
  <c r="AAB13" i="1"/>
  <c r="AGH13" i="1" s="1" a="1"/>
  <c r="AGH13" i="1" s="1"/>
  <c r="AGI13" i="1" s="1"/>
  <c r="AAE13" i="1"/>
  <c r="AAD13" i="1"/>
  <c r="AHH13" i="1" s="1"/>
  <c r="AGJ13" i="1"/>
  <c r="AAC13" i="1"/>
  <c r="AGY13" i="1"/>
  <c r="AKX13" i="1" a="1"/>
  <c r="AKX13" i="1" s="1"/>
  <c r="VB13" i="1" a="1"/>
  <c r="VB13" i="1" s="1"/>
  <c r="VR13" i="1" a="1"/>
  <c r="VR13" i="1" s="1"/>
  <c r="AKN13" i="1" a="1"/>
  <c r="AKN13" i="1" s="1"/>
  <c r="ALD13" i="1" a="1"/>
  <c r="ALD13" i="1" s="1"/>
  <c r="VP13" i="1" a="1"/>
  <c r="VP13" i="1" s="1"/>
  <c r="AKO13" i="1" a="1"/>
  <c r="AKO13" i="1" s="1"/>
  <c r="ALE13" i="1" a="1"/>
  <c r="ALE13" i="1" s="1"/>
  <c r="VF13" i="1" a="1"/>
  <c r="VF13" i="1" s="1"/>
  <c r="VV13" i="1" a="1"/>
  <c r="VV13" i="1" s="1"/>
  <c r="AKR13" i="1" a="1"/>
  <c r="AKR13" i="1" s="1"/>
  <c r="GI18" i="1"/>
  <c r="CD19" i="1" a="1"/>
  <c r="CD19" i="1" s="1"/>
  <c r="CB19" i="1" a="1"/>
  <c r="CB19" i="1" s="1"/>
  <c r="CN19" i="1" s="1"/>
  <c r="BZ19" i="1" a="1"/>
  <c r="BZ19" i="1" s="1"/>
  <c r="BX19" i="1" a="1"/>
  <c r="BX19" i="1" s="1"/>
  <c r="CG19" i="1" s="1"/>
  <c r="CI19" i="1" s="1"/>
  <c r="CJ19" i="1" s="1"/>
  <c r="CE19" i="1" a="1"/>
  <c r="CE19" i="1" s="1"/>
  <c r="CC19" i="1" a="1"/>
  <c r="CC19" i="1" s="1"/>
  <c r="CH19" i="1" s="1"/>
  <c r="CA19" i="1" a="1"/>
  <c r="CA19" i="1" s="1"/>
  <c r="CO19" i="1" s="1"/>
  <c r="BY19" i="1" a="1"/>
  <c r="BY19" i="1" s="1"/>
  <c r="DM21" i="1" a="1"/>
  <c r="DM21" i="1" s="1"/>
  <c r="DI21" i="1" a="1"/>
  <c r="DI21" i="1" s="1"/>
  <c r="DL21" i="1" a="1"/>
  <c r="DL21" i="1" s="1"/>
  <c r="DQ21" i="1" s="1"/>
  <c r="DH21" i="1" a="1"/>
  <c r="DH21" i="1" s="1"/>
  <c r="DK21" i="1" a="1"/>
  <c r="DK21" i="1" s="1"/>
  <c r="DW21" i="1" s="1"/>
  <c r="DG21" i="1" a="1"/>
  <c r="DG21" i="1" s="1"/>
  <c r="DP21" i="1" s="1"/>
  <c r="DR21" i="1" s="1"/>
  <c r="DS21" i="1" s="1"/>
  <c r="DN21" i="1" a="1"/>
  <c r="DN21" i="1" s="1"/>
  <c r="DJ21" i="1" a="1"/>
  <c r="DJ21" i="1" s="1"/>
  <c r="DX21" i="1" s="1"/>
  <c r="GH21" i="1"/>
  <c r="GJ21" i="1" s="1"/>
  <c r="GK21" i="1" s="1"/>
  <c r="CD22" i="1" a="1"/>
  <c r="CD22" i="1" s="1"/>
  <c r="CB22" i="1" a="1"/>
  <c r="CB22" i="1" s="1"/>
  <c r="CN22" i="1" s="1"/>
  <c r="BZ22" i="1" a="1"/>
  <c r="BZ22" i="1" s="1"/>
  <c r="BX22" i="1" a="1"/>
  <c r="BX22" i="1" s="1"/>
  <c r="CG22" i="1" s="1"/>
  <c r="CE22" i="1" a="1"/>
  <c r="CE22" i="1" s="1"/>
  <c r="CC22" i="1" a="1"/>
  <c r="CC22" i="1" s="1"/>
  <c r="CH22" i="1" s="1"/>
  <c r="CA22" i="1" a="1"/>
  <c r="CA22" i="1" s="1"/>
  <c r="CO22" i="1" s="1"/>
  <c r="BY22" i="1" a="1"/>
  <c r="BY22" i="1" s="1"/>
  <c r="ADM22" i="1" a="1"/>
  <c r="ADM22" i="1" s="1"/>
  <c r="ADI22" i="1" a="1"/>
  <c r="ADI22" i="1" s="1"/>
  <c r="ADE22" i="1" a="1"/>
  <c r="ADE22" i="1" s="1"/>
  <c r="ADA22" i="1" a="1"/>
  <c r="ADA22" i="1" s="1"/>
  <c r="AGU22" i="1" s="1"/>
  <c r="ACW22" i="1" a="1"/>
  <c r="ACW22" i="1" s="1"/>
  <c r="OE22" i="1" a="1"/>
  <c r="OE22" i="1" s="1"/>
  <c r="OA22" i="1" a="1"/>
  <c r="OA22" i="1" s="1"/>
  <c r="NW22" i="1" a="1"/>
  <c r="NW22" i="1" s="1"/>
  <c r="NS22" i="1" a="1"/>
  <c r="NS22" i="1" s="1"/>
  <c r="NO22" i="1" a="1"/>
  <c r="NO22" i="1" s="1"/>
  <c r="NK22" i="1" a="1"/>
  <c r="NK22" i="1" s="1"/>
  <c r="ADP22" i="1" a="1"/>
  <c r="ADP22" i="1" s="1"/>
  <c r="ADL22" i="1" a="1"/>
  <c r="ADL22" i="1" s="1"/>
  <c r="ADH22" i="1" a="1"/>
  <c r="ADH22" i="1" s="1"/>
  <c r="ADD22" i="1" a="1"/>
  <c r="ADD22" i="1" s="1"/>
  <c r="ACZ22" i="1" a="1"/>
  <c r="ACZ22" i="1" s="1"/>
  <c r="ACV22" i="1" a="1"/>
  <c r="ACV22" i="1" s="1"/>
  <c r="OD22" i="1" a="1"/>
  <c r="OD22" i="1" s="1"/>
  <c r="NZ22" i="1" a="1"/>
  <c r="NZ22" i="1" s="1"/>
  <c r="NV22" i="1" a="1"/>
  <c r="NV22" i="1" s="1"/>
  <c r="NR22" i="1" a="1"/>
  <c r="NR22" i="1" s="1"/>
  <c r="RL22" i="1" s="1"/>
  <c r="NN22" i="1" a="1"/>
  <c r="NN22" i="1" s="1"/>
  <c r="NJ22" i="1" a="1"/>
  <c r="NJ22" i="1" s="1"/>
  <c r="KQ22" i="1"/>
  <c r="AR22" i="1" a="1"/>
  <c r="AR22" i="1" s="1"/>
  <c r="AHR22" i="1" s="1"/>
  <c r="ADO22" i="1" a="1"/>
  <c r="ADO22" i="1" s="1"/>
  <c r="ADK22" i="1" a="1"/>
  <c r="ADK22" i="1" s="1"/>
  <c r="ADG22" i="1" a="1"/>
  <c r="ADG22" i="1" s="1"/>
  <c r="ADC22" i="1" a="1"/>
  <c r="ADC22" i="1" s="1"/>
  <c r="ACY22" i="1" a="1"/>
  <c r="ACY22" i="1" s="1"/>
  <c r="ACU22" i="1" a="1"/>
  <c r="ACU22" i="1" s="1"/>
  <c r="SH22" i="1"/>
  <c r="OC22" i="1" a="1"/>
  <c r="OC22" i="1" s="1"/>
  <c r="NY22" i="1" a="1"/>
  <c r="NY22" i="1" s="1"/>
  <c r="NU22" i="1" a="1"/>
  <c r="NU22" i="1" s="1"/>
  <c r="NQ22" i="1" a="1"/>
  <c r="NQ22" i="1" s="1"/>
  <c r="RK22" i="1" s="1"/>
  <c r="NM22" i="1" a="1"/>
  <c r="NM22" i="1" s="1"/>
  <c r="AQ22" i="1" a="1"/>
  <c r="AQ22" i="1" s="1"/>
  <c r="ALD22" i="1" s="1" a="1"/>
  <c r="ALD22" i="1" s="1"/>
  <c r="ALG22" i="1" a="1"/>
  <c r="ALG22" i="1" s="1"/>
  <c r="AKP22" i="1" a="1"/>
  <c r="AKP22" i="1" s="1"/>
  <c r="AKL22" i="1" a="1"/>
  <c r="AKL22" i="1" s="1"/>
  <c r="ADN22" i="1" a="1"/>
  <c r="ADN22" i="1" s="1"/>
  <c r="ADJ22" i="1" a="1"/>
  <c r="ADJ22" i="1" s="1"/>
  <c r="ADF22" i="1" a="1"/>
  <c r="ADF22" i="1" s="1"/>
  <c r="ADB22" i="1" a="1"/>
  <c r="ADB22" i="1" s="1"/>
  <c r="AGV22" i="1" s="1"/>
  <c r="ACX22" i="1" a="1"/>
  <c r="ACX22" i="1" s="1"/>
  <c r="ACT22" i="1" a="1"/>
  <c r="ACT22" i="1" s="1"/>
  <c r="AAA22" i="1"/>
  <c r="VT22" i="1" a="1"/>
  <c r="VT22" i="1" s="1"/>
  <c r="VH22" i="1" a="1"/>
  <c r="VH22" i="1" s="1"/>
  <c r="VD22" i="1" a="1"/>
  <c r="VD22" i="1" s="1"/>
  <c r="OF22" i="1" a="1"/>
  <c r="OF22" i="1" s="1"/>
  <c r="OB22" i="1" a="1"/>
  <c r="OB22" i="1" s="1"/>
  <c r="NX22" i="1" a="1"/>
  <c r="NX22" i="1" s="1"/>
  <c r="NT22" i="1" a="1"/>
  <c r="NT22" i="1" s="1"/>
  <c r="NP22" i="1" a="1"/>
  <c r="NP22" i="1" s="1"/>
  <c r="NL22" i="1" a="1"/>
  <c r="NL22" i="1" s="1"/>
  <c r="AP22" i="1" a="1"/>
  <c r="AP22" i="1" s="1"/>
  <c r="BP26" i="1"/>
  <c r="FQ26" i="1"/>
  <c r="BU58" i="1"/>
  <c r="FV58" i="1"/>
  <c r="RX59" i="1"/>
  <c r="AKM59" i="1" a="1"/>
  <c r="AKM59" i="1" s="1"/>
  <c r="VL57" i="1" a="1"/>
  <c r="VL57" i="1" s="1"/>
  <c r="ALE58" i="1" a="1"/>
  <c r="ALE58" i="1" s="1"/>
  <c r="HT58" i="1"/>
  <c r="HU58" i="1" s="1"/>
  <c r="VO58" i="1" a="1"/>
  <c r="VO58" i="1" s="1"/>
  <c r="VJ57" i="1" a="1"/>
  <c r="VJ57" i="1" s="1"/>
  <c r="ALD57" i="1" a="1"/>
  <c r="ALD57" i="1" s="1"/>
  <c r="AHH58" i="1"/>
  <c r="BQ60" i="1"/>
  <c r="FR60" i="1"/>
  <c r="VQ61" i="1" a="1"/>
  <c r="VQ61" i="1" s="1"/>
  <c r="AKN61" i="1" a="1"/>
  <c r="AKN61" i="1" s="1"/>
  <c r="BH61" i="1"/>
  <c r="EM61" i="1" a="1"/>
  <c r="EM61" i="1" s="1"/>
  <c r="EJ61" i="1" a="1"/>
  <c r="EJ61" i="1" s="1"/>
  <c r="EL61" i="1" a="1"/>
  <c r="EL61" i="1" s="1"/>
  <c r="EG61" i="1" a="1"/>
  <c r="EG61" i="1" s="1"/>
  <c r="EN61" i="1" a="1"/>
  <c r="EN61" i="1" s="1"/>
  <c r="EI61" i="1" a="1"/>
  <c r="EI61" i="1" s="1"/>
  <c r="EF61" i="1" a="1"/>
  <c r="EF61" i="1" s="1"/>
  <c r="EK61" i="1" a="1"/>
  <c r="EK61" i="1" s="1"/>
  <c r="EH61" i="1" a="1"/>
  <c r="EH61" i="1" s="1"/>
  <c r="VW61" i="1" a="1"/>
  <c r="VW61" i="1" s="1"/>
  <c r="VS60" i="1" a="1"/>
  <c r="VS60" i="1" s="1"/>
  <c r="RO63" i="1"/>
  <c r="ACJ63" i="1" a="1"/>
  <c r="ACJ63" i="1" s="1"/>
  <c r="ACE63" i="1" a="1"/>
  <c r="ACE63" i="1" s="1"/>
  <c r="ACB63" i="1" a="1"/>
  <c r="ACB63" i="1" s="1"/>
  <c r="ABW63" i="1" a="1"/>
  <c r="ABW63" i="1" s="1"/>
  <c r="ABT63" i="1" a="1"/>
  <c r="ABT63" i="1" s="1"/>
  <c r="ABO63" i="1" a="1"/>
  <c r="ABO63" i="1" s="1"/>
  <c r="ABL63" i="1" a="1"/>
  <c r="ABL63" i="1" s="1"/>
  <c r="ABG63" i="1" a="1"/>
  <c r="ABG63" i="1" s="1"/>
  <c r="ABD63" i="1" a="1"/>
  <c r="ABD63" i="1" s="1"/>
  <c r="AAY63" i="1" a="1"/>
  <c r="AAY63" i="1" s="1"/>
  <c r="AAV63" i="1" a="1"/>
  <c r="AAV63" i="1" s="1"/>
  <c r="AAQ63" i="1" a="1"/>
  <c r="AAQ63" i="1" s="1"/>
  <c r="NA63" i="1" a="1"/>
  <c r="NA63" i="1" s="1"/>
  <c r="MY63" i="1" a="1"/>
  <c r="MY63" i="1" s="1"/>
  <c r="MW63" i="1" a="1"/>
  <c r="MW63" i="1" s="1"/>
  <c r="MU63" i="1" a="1"/>
  <c r="MU63" i="1" s="1"/>
  <c r="MS63" i="1" a="1"/>
  <c r="MS63" i="1" s="1"/>
  <c r="MQ63" i="1" a="1"/>
  <c r="MQ63" i="1" s="1"/>
  <c r="ACL63" i="1" a="1"/>
  <c r="ACL63" i="1" s="1"/>
  <c r="ACG63" i="1" a="1"/>
  <c r="ACG63" i="1" s="1"/>
  <c r="ACD63" i="1" a="1"/>
  <c r="ACD63" i="1" s="1"/>
  <c r="ABY63" i="1" a="1"/>
  <c r="ABY63" i="1" s="1"/>
  <c r="ABV63" i="1" a="1"/>
  <c r="ABV63" i="1" s="1"/>
  <c r="ABQ63" i="1" a="1"/>
  <c r="ABQ63" i="1" s="1"/>
  <c r="ABN63" i="1" a="1"/>
  <c r="ABN63" i="1" s="1"/>
  <c r="ACI63" i="1" a="1"/>
  <c r="ACI63" i="1" s="1"/>
  <c r="ACF63" i="1" a="1"/>
  <c r="ACF63" i="1" s="1"/>
  <c r="ACA63" i="1" a="1"/>
  <c r="ACA63" i="1" s="1"/>
  <c r="ABX63" i="1" a="1"/>
  <c r="ABX63" i="1" s="1"/>
  <c r="ABS63" i="1" a="1"/>
  <c r="ABS63" i="1" s="1"/>
  <c r="ABP63" i="1" a="1"/>
  <c r="ABP63" i="1" s="1"/>
  <c r="ABK63" i="1" a="1"/>
  <c r="ABK63" i="1" s="1"/>
  <c r="ABH63" i="1" a="1"/>
  <c r="ABH63" i="1" s="1"/>
  <c r="ABC63" i="1" a="1"/>
  <c r="ABC63" i="1" s="1"/>
  <c r="AAZ63" i="1" a="1"/>
  <c r="AAZ63" i="1" s="1"/>
  <c r="AAU63" i="1" a="1"/>
  <c r="AAU63" i="1" s="1"/>
  <c r="AAR63" i="1" a="1"/>
  <c r="AAR63" i="1" s="1"/>
  <c r="ACK63" i="1" a="1"/>
  <c r="ACK63" i="1" s="1"/>
  <c r="ACH63" i="1" a="1"/>
  <c r="ACH63" i="1" s="1"/>
  <c r="ACC63" i="1" a="1"/>
  <c r="ACC63" i="1" s="1"/>
  <c r="ABZ63" i="1" a="1"/>
  <c r="ABZ63" i="1" s="1"/>
  <c r="ABU63" i="1" a="1"/>
  <c r="ABU63" i="1" s="1"/>
  <c r="ABR63" i="1" a="1"/>
  <c r="ABR63" i="1" s="1"/>
  <c r="ABM63" i="1" a="1"/>
  <c r="ABM63" i="1" s="1"/>
  <c r="ABJ63" i="1" a="1"/>
  <c r="ABJ63" i="1" s="1"/>
  <c r="ABE63" i="1" a="1"/>
  <c r="ABE63" i="1" s="1"/>
  <c r="ABB63" i="1" a="1"/>
  <c r="ABB63" i="1" s="1"/>
  <c r="AAW63" i="1" a="1"/>
  <c r="AAW63" i="1" s="1"/>
  <c r="AAT63" i="1" a="1"/>
  <c r="AAT63" i="1" s="1"/>
  <c r="ABI63" i="1" a="1"/>
  <c r="ABI63" i="1" s="1"/>
  <c r="AAX63" i="1" a="1"/>
  <c r="AAX63" i="1" s="1"/>
  <c r="MZ63" i="1" a="1"/>
  <c r="MZ63" i="1" s="1"/>
  <c r="MV63" i="1" a="1"/>
  <c r="MV63" i="1" s="1"/>
  <c r="MR63" i="1" a="1"/>
  <c r="MR63" i="1" s="1"/>
  <c r="ML63" i="1" a="1"/>
  <c r="ML63" i="1" s="1"/>
  <c r="MI63" i="1" a="1"/>
  <c r="MI63" i="1" s="1"/>
  <c r="MD63" i="1" a="1"/>
  <c r="MD63" i="1" s="1"/>
  <c r="MA63" i="1" a="1"/>
  <c r="MA63" i="1" s="1"/>
  <c r="LV63" i="1" a="1"/>
  <c r="LV63" i="1" s="1"/>
  <c r="LS63" i="1" a="1"/>
  <c r="LS63" i="1" s="1"/>
  <c r="LN63" i="1" a="1"/>
  <c r="LN63" i="1" s="1"/>
  <c r="LK63" i="1" a="1"/>
  <c r="LK63" i="1" s="1"/>
  <c r="LF63" i="1" a="1"/>
  <c r="LF63" i="1" s="1"/>
  <c r="ABF63" i="1" a="1"/>
  <c r="ABF63" i="1" s="1"/>
  <c r="MN63" i="1" a="1"/>
  <c r="MN63" i="1" s="1"/>
  <c r="MK63" i="1" a="1"/>
  <c r="MK63" i="1" s="1"/>
  <c r="MF63" i="1" a="1"/>
  <c r="MF63" i="1" s="1"/>
  <c r="MC63" i="1" a="1"/>
  <c r="MC63" i="1" s="1"/>
  <c r="LX63" i="1" a="1"/>
  <c r="LX63" i="1" s="1"/>
  <c r="LU63" i="1" a="1"/>
  <c r="LU63" i="1" s="1"/>
  <c r="LP63" i="1" a="1"/>
  <c r="LP63" i="1" s="1"/>
  <c r="LM63" i="1" a="1"/>
  <c r="LM63" i="1" s="1"/>
  <c r="LH63" i="1" a="1"/>
  <c r="LH63" i="1" s="1"/>
  <c r="AAS63" i="1" a="1"/>
  <c r="AAS63" i="1" s="1"/>
  <c r="NB63" i="1" a="1"/>
  <c r="NB63" i="1" s="1"/>
  <c r="MX63" i="1" a="1"/>
  <c r="MX63" i="1" s="1"/>
  <c r="MT63" i="1" a="1"/>
  <c r="MT63" i="1" s="1"/>
  <c r="MP63" i="1" a="1"/>
  <c r="MP63" i="1" s="1"/>
  <c r="MM63" i="1" a="1"/>
  <c r="MM63" i="1" s="1"/>
  <c r="MH63" i="1" a="1"/>
  <c r="MH63" i="1" s="1"/>
  <c r="ME63" i="1" a="1"/>
  <c r="ME63" i="1" s="1"/>
  <c r="LZ63" i="1" a="1"/>
  <c r="LZ63" i="1" s="1"/>
  <c r="LW63" i="1" a="1"/>
  <c r="LW63" i="1" s="1"/>
  <c r="LR63" i="1" a="1"/>
  <c r="LR63" i="1" s="1"/>
  <c r="LO63" i="1" a="1"/>
  <c r="LO63" i="1" s="1"/>
  <c r="LJ63" i="1" a="1"/>
  <c r="LJ63" i="1" s="1"/>
  <c r="LG63" i="1" a="1"/>
  <c r="LG63" i="1" s="1"/>
  <c r="ABA63" i="1" a="1"/>
  <c r="ABA63" i="1" s="1"/>
  <c r="AAP63" i="1" a="1"/>
  <c r="AAP63" i="1" s="1"/>
  <c r="MO63" i="1" a="1"/>
  <c r="MO63" i="1" s="1"/>
  <c r="MJ63" i="1" a="1"/>
  <c r="MJ63" i="1" s="1"/>
  <c r="MG63" i="1" a="1"/>
  <c r="MG63" i="1" s="1"/>
  <c r="MB63" i="1" a="1"/>
  <c r="MB63" i="1" s="1"/>
  <c r="LY63" i="1" a="1"/>
  <c r="LY63" i="1" s="1"/>
  <c r="LT63" i="1" a="1"/>
  <c r="LT63" i="1" s="1"/>
  <c r="LQ63" i="1" a="1"/>
  <c r="LQ63" i="1" s="1"/>
  <c r="LL63" i="1" a="1"/>
  <c r="LL63" i="1" s="1"/>
  <c r="LI63" i="1" a="1"/>
  <c r="LI63" i="1" s="1"/>
  <c r="LC63" i="1" a="1"/>
  <c r="LC63" i="1" s="1"/>
  <c r="KZ63" i="1" a="1"/>
  <c r="KZ63" i="1" s="1"/>
  <c r="LA63" i="1" a="1"/>
  <c r="LA63" i="1" s="1"/>
  <c r="AAM63" i="1" a="1"/>
  <c r="AAM63" i="1" s="1"/>
  <c r="AAL63" i="1" a="1"/>
  <c r="AAL63" i="1" s="1"/>
  <c r="AAN63" i="1" a="1"/>
  <c r="AAN63" i="1" s="1"/>
  <c r="AAJ63" i="1" a="1"/>
  <c r="AAJ63" i="1" s="1"/>
  <c r="LB63" i="1" a="1"/>
  <c r="LB63" i="1" s="1"/>
  <c r="AAH63" i="1" a="1"/>
  <c r="AAH63" i="1" s="1"/>
  <c r="AAI63" i="1" a="1"/>
  <c r="AAI63" i="1" s="1"/>
  <c r="AAK63" i="1" a="1"/>
  <c r="AAK63" i="1" s="1"/>
  <c r="KY63" i="1" a="1"/>
  <c r="KY63" i="1" s="1"/>
  <c r="KX63" i="1" a="1"/>
  <c r="KX63" i="1" s="1"/>
  <c r="LD63" i="1" a="1"/>
  <c r="LD63" i="1" s="1"/>
  <c r="QZ72" i="1"/>
  <c r="KS72" i="1"/>
  <c r="KU72" i="1"/>
  <c r="RR72" i="1" s="1"/>
  <c r="KT72" i="1"/>
  <c r="KR72" i="1"/>
  <c r="QX72" i="1" s="1" a="1"/>
  <c r="QX72" i="1" s="1"/>
  <c r="QY72" i="1" s="1"/>
  <c r="QI72" i="1"/>
  <c r="KV72" i="1"/>
  <c r="BN72" i="1"/>
  <c r="CG72" i="1" s="1"/>
  <c r="CI72" i="1" s="1"/>
  <c r="CJ72" i="1" s="1"/>
  <c r="FO72" i="1"/>
  <c r="GH72" i="1" s="1"/>
  <c r="GJ72" i="1" s="1"/>
  <c r="GK72" i="1" s="1"/>
  <c r="HQ73" i="1"/>
  <c r="HR73" i="1" s="1"/>
  <c r="DP75" i="1"/>
  <c r="DR75" i="1" s="1"/>
  <c r="DS75" i="1" s="1"/>
  <c r="AKP75" i="1" a="1"/>
  <c r="AKP75" i="1" s="1"/>
  <c r="AKS75" i="1" a="1"/>
  <c r="AKS75" i="1" s="1"/>
  <c r="RX75" i="1"/>
  <c r="VK75" i="1" a="1"/>
  <c r="VK75" i="1" s="1"/>
  <c r="AAF78" i="1"/>
  <c r="AHE78" i="1" s="1"/>
  <c r="AAB78" i="1"/>
  <c r="AGH78" i="1" s="1" a="1"/>
  <c r="AGH78" i="1" s="1"/>
  <c r="AGI78" i="1" s="1"/>
  <c r="AGJ78" i="1"/>
  <c r="AFS78" i="1"/>
  <c r="AAC78" i="1"/>
  <c r="AAE78" i="1"/>
  <c r="AHB78" i="1" s="1"/>
  <c r="AAD78" i="1"/>
  <c r="FV78" i="1"/>
  <c r="BU78" i="1"/>
  <c r="RO77" i="1"/>
  <c r="HX23" i="1"/>
  <c r="HY23" i="1" s="1"/>
  <c r="HZ23" i="1" s="1"/>
  <c r="EZ73" i="1"/>
  <c r="HT15" i="1"/>
  <c r="HU15" i="1" s="1"/>
  <c r="ALB75" i="1" a="1"/>
  <c r="ALB75" i="1" s="1"/>
  <c r="DP76" i="1"/>
  <c r="HT71" i="1"/>
  <c r="HU71" i="1" s="1"/>
  <c r="AGY15" i="1" l="1"/>
  <c r="AGV15" i="1"/>
  <c r="RO22" i="1"/>
  <c r="AGV21" i="1"/>
  <c r="RL12" i="1"/>
  <c r="RO12" i="1"/>
  <c r="AGV19" i="1"/>
  <c r="AGY21" i="1"/>
  <c r="CI22" i="1"/>
  <c r="CJ22" i="1" s="1"/>
  <c r="DU11" i="1"/>
  <c r="DV11" i="1" s="1"/>
  <c r="FA17" i="1"/>
  <c r="FB17" i="1" s="1"/>
  <c r="DR14" i="1"/>
  <c r="DS14" i="1" s="1"/>
  <c r="FD11" i="1"/>
  <c r="FE11" i="1" s="1"/>
  <c r="ANJ19" i="1"/>
  <c r="AHW19" i="1"/>
  <c r="AHS19" i="1"/>
  <c r="ANY19" i="1" s="1" a="1"/>
  <c r="ANY19" i="1" s="1"/>
  <c r="ANZ19" i="1" s="1"/>
  <c r="AOA19" i="1"/>
  <c r="AHT19" i="1"/>
  <c r="AHV19" i="1"/>
  <c r="AHU19" i="1"/>
  <c r="XZ21" i="1"/>
  <c r="SM21" i="1"/>
  <c r="SI21" i="1"/>
  <c r="YO21" i="1" s="1" a="1"/>
  <c r="YO21" i="1" s="1"/>
  <c r="YP21" i="1" s="1"/>
  <c r="SK21" i="1"/>
  <c r="SL21" i="1"/>
  <c r="YQ21" i="1"/>
  <c r="SJ21" i="1"/>
  <c r="GJ13" i="1"/>
  <c r="GK13" i="1" s="1"/>
  <c r="CL15" i="1"/>
  <c r="CM15" i="1" s="1"/>
  <c r="CL14" i="1"/>
  <c r="CM14" i="1" s="1"/>
  <c r="FD75" i="1"/>
  <c r="FE75" i="1" s="1"/>
  <c r="DU14" i="1"/>
  <c r="DV14" i="1" s="1"/>
  <c r="DU77" i="1"/>
  <c r="DV77" i="1" s="1"/>
  <c r="SK15" i="1"/>
  <c r="XZ15" i="1"/>
  <c r="SM15" i="1"/>
  <c r="SI15" i="1"/>
  <c r="YO15" i="1" s="1" a="1"/>
  <c r="YO15" i="1" s="1"/>
  <c r="YP15" i="1" s="1"/>
  <c r="YQ15" i="1"/>
  <c r="SJ15" i="1"/>
  <c r="SL15" i="1"/>
  <c r="DU62" i="1"/>
  <c r="DV62" i="1" s="1"/>
  <c r="FA78" i="1"/>
  <c r="FB78" i="1" s="1"/>
  <c r="FD78" i="1" s="1"/>
  <c r="FE78" i="1" s="1"/>
  <c r="DR20" i="1"/>
  <c r="DS20" i="1" s="1"/>
  <c r="GM13" i="1"/>
  <c r="GN13" i="1" s="1"/>
  <c r="CL22" i="1"/>
  <c r="CM22" i="1" s="1"/>
  <c r="DU21" i="1"/>
  <c r="DV21" i="1" s="1"/>
  <c r="FH75" i="1"/>
  <c r="FI75" i="1" s="1"/>
  <c r="DR23" i="1"/>
  <c r="DS23" i="1" s="1"/>
  <c r="FD62" i="1"/>
  <c r="FE62" i="1" s="1"/>
  <c r="AHU22" i="1"/>
  <c r="AOA22" i="1"/>
  <c r="ANJ22" i="1"/>
  <c r="AHW22" i="1"/>
  <c r="AHS22" i="1"/>
  <c r="ANY22" i="1" s="1" a="1"/>
  <c r="ANY22" i="1" s="1"/>
  <c r="ANZ22" i="1" s="1"/>
  <c r="AHV22" i="1"/>
  <c r="AHT22" i="1"/>
  <c r="DY21" i="1"/>
  <c r="DZ21" i="1" s="1"/>
  <c r="CL19" i="1"/>
  <c r="CM19" i="1" s="1"/>
  <c r="GJ23" i="1"/>
  <c r="GK23" i="1" s="1"/>
  <c r="ANJ16" i="1"/>
  <c r="AHW16" i="1"/>
  <c r="AHS16" i="1"/>
  <c r="ANY16" i="1" s="1" a="1"/>
  <c r="ANY16" i="1" s="1"/>
  <c r="ANZ16" i="1" s="1"/>
  <c r="AHU16" i="1"/>
  <c r="AHV16" i="1"/>
  <c r="AOA16" i="1"/>
  <c r="AHT16" i="1"/>
  <c r="CP15" i="1"/>
  <c r="CQ15" i="1" s="1"/>
  <c r="FA15" i="1"/>
  <c r="FB15" i="1" s="1"/>
  <c r="FD15" i="1" s="1"/>
  <c r="FE15" i="1" s="1"/>
  <c r="GJ16" i="1"/>
  <c r="GK16" i="1" s="1"/>
  <c r="GM16" i="1" s="1"/>
  <c r="GN16" i="1" s="1"/>
  <c r="FD17" i="1"/>
  <c r="FE17" i="1" s="1"/>
  <c r="XZ12" i="1"/>
  <c r="SM12" i="1"/>
  <c r="SI12" i="1"/>
  <c r="YO12" i="1" s="1" a="1"/>
  <c r="YO12" i="1" s="1"/>
  <c r="YP12" i="1" s="1"/>
  <c r="SL12" i="1"/>
  <c r="SK12" i="1"/>
  <c r="YQ12" i="1"/>
  <c r="SJ12" i="1"/>
  <c r="FH11" i="1"/>
  <c r="FI11" i="1" s="1"/>
  <c r="FH62" i="1"/>
  <c r="FI62" i="1" s="1"/>
  <c r="EV61" i="1" a="1"/>
  <c r="EV61" i="1" s="1"/>
  <c r="ES61" i="1" a="1"/>
  <c r="ES61" i="1" s="1"/>
  <c r="FG61" i="1" s="1"/>
  <c r="EU61" i="1" a="1"/>
  <c r="EU61" i="1" s="1"/>
  <c r="EP61" i="1" a="1"/>
  <c r="EP61" i="1" s="1"/>
  <c r="ET61" i="1" a="1"/>
  <c r="ET61" i="1" s="1"/>
  <c r="FF61" i="1" s="1"/>
  <c r="EQ61" i="1" a="1"/>
  <c r="EQ61" i="1" s="1"/>
  <c r="ER61" i="1" a="1"/>
  <c r="ER61" i="1" s="1"/>
  <c r="EW61" i="1" a="1"/>
  <c r="EW61" i="1" s="1"/>
  <c r="SK22" i="1"/>
  <c r="XZ22" i="1"/>
  <c r="SM22" i="1"/>
  <c r="SI22" i="1"/>
  <c r="YO22" i="1" s="1" a="1"/>
  <c r="YO22" i="1" s="1"/>
  <c r="YP22" i="1" s="1"/>
  <c r="SL22" i="1"/>
  <c r="YQ22" i="1"/>
  <c r="SJ22" i="1"/>
  <c r="VM22" i="1" a="1"/>
  <c r="VM22" i="1" s="1"/>
  <c r="ALA22" i="1" a="1"/>
  <c r="ALA22" i="1" s="1"/>
  <c r="VN22" i="1" a="1"/>
  <c r="VN22" i="1" s="1"/>
  <c r="ALC22" i="1" a="1"/>
  <c r="ALC22" i="1" s="1"/>
  <c r="VG22" i="1" a="1"/>
  <c r="VG22" i="1" s="1"/>
  <c r="VW22" i="1" a="1"/>
  <c r="VW22" i="1" s="1"/>
  <c r="AKK22" i="1" a="1"/>
  <c r="AKK22" i="1" s="1"/>
  <c r="ALE22" i="1" a="1"/>
  <c r="ALE22" i="1" s="1"/>
  <c r="GJ12" i="1"/>
  <c r="GK12" i="1" s="1"/>
  <c r="GM12" i="1" s="1"/>
  <c r="GN12" i="1" s="1"/>
  <c r="CI13" i="1"/>
  <c r="CJ13" i="1" s="1"/>
  <c r="RU17" i="1"/>
  <c r="GM17" i="1"/>
  <c r="GN17" i="1" s="1"/>
  <c r="GM21" i="1"/>
  <c r="GN21" i="1" s="1"/>
  <c r="ACJ12" i="1" a="1"/>
  <c r="ACJ12" i="1" s="1"/>
  <c r="ACG12" i="1" a="1"/>
  <c r="ACG12" i="1" s="1"/>
  <c r="ACB12" i="1" a="1"/>
  <c r="ACB12" i="1" s="1"/>
  <c r="ABY12" i="1" a="1"/>
  <c r="ABY12" i="1" s="1"/>
  <c r="ABT12" i="1" a="1"/>
  <c r="ABT12" i="1" s="1"/>
  <c r="ABQ12" i="1" a="1"/>
  <c r="ABQ12" i="1" s="1"/>
  <c r="ABL12" i="1" a="1"/>
  <c r="ABL12" i="1" s="1"/>
  <c r="ABI12" i="1" a="1"/>
  <c r="ABI12" i="1" s="1"/>
  <c r="ABD12" i="1" a="1"/>
  <c r="ABD12" i="1" s="1"/>
  <c r="ABA12" i="1" a="1"/>
  <c r="ABA12" i="1" s="1"/>
  <c r="AAV12" i="1" a="1"/>
  <c r="AAV12" i="1" s="1"/>
  <c r="AAS12" i="1" a="1"/>
  <c r="AAS12" i="1" s="1"/>
  <c r="AAM12" i="1" a="1"/>
  <c r="AAM12" i="1" s="1"/>
  <c r="AAJ12" i="1" a="1"/>
  <c r="AAJ12" i="1" s="1"/>
  <c r="MX12" i="1" a="1"/>
  <c r="MX12" i="1" s="1"/>
  <c r="MU12" i="1" a="1"/>
  <c r="MU12" i="1" s="1"/>
  <c r="MP12" i="1" a="1"/>
  <c r="MP12" i="1" s="1"/>
  <c r="MM12" i="1" a="1"/>
  <c r="MM12" i="1" s="1"/>
  <c r="MH12" i="1" a="1"/>
  <c r="MH12" i="1" s="1"/>
  <c r="ME12" i="1" a="1"/>
  <c r="ME12" i="1" s="1"/>
  <c r="LZ12" i="1" a="1"/>
  <c r="LZ12" i="1" s="1"/>
  <c r="LW12" i="1" a="1"/>
  <c r="LW12" i="1" s="1"/>
  <c r="LR12" i="1" a="1"/>
  <c r="LR12" i="1" s="1"/>
  <c r="LO12" i="1" a="1"/>
  <c r="LO12" i="1" s="1"/>
  <c r="LJ12" i="1" a="1"/>
  <c r="LJ12" i="1" s="1"/>
  <c r="LG12" i="1" a="1"/>
  <c r="LG12" i="1" s="1"/>
  <c r="LA12" i="1" a="1"/>
  <c r="LA12" i="1" s="1"/>
  <c r="KX12" i="1" a="1"/>
  <c r="KX12" i="1" s="1"/>
  <c r="ACL12" i="1" a="1"/>
  <c r="ACL12" i="1" s="1"/>
  <c r="ACI12" i="1" a="1"/>
  <c r="ACI12" i="1" s="1"/>
  <c r="ACD12" i="1" a="1"/>
  <c r="ACD12" i="1" s="1"/>
  <c r="ACA12" i="1" a="1"/>
  <c r="ACA12" i="1" s="1"/>
  <c r="ABV12" i="1" a="1"/>
  <c r="ABV12" i="1" s="1"/>
  <c r="ABS12" i="1" a="1"/>
  <c r="ABS12" i="1" s="1"/>
  <c r="ABN12" i="1" a="1"/>
  <c r="ABN12" i="1" s="1"/>
  <c r="ABK12" i="1" a="1"/>
  <c r="ABK12" i="1" s="1"/>
  <c r="ABF12" i="1" a="1"/>
  <c r="ABF12" i="1" s="1"/>
  <c r="ABC12" i="1" a="1"/>
  <c r="ABC12" i="1" s="1"/>
  <c r="AAX12" i="1" a="1"/>
  <c r="AAX12" i="1" s="1"/>
  <c r="AAU12" i="1" a="1"/>
  <c r="AAU12" i="1" s="1"/>
  <c r="AAP12" i="1" a="1"/>
  <c r="AAP12" i="1" s="1"/>
  <c r="AAL12" i="1" a="1"/>
  <c r="AAL12" i="1" s="1"/>
  <c r="MZ12" i="1" a="1"/>
  <c r="MZ12" i="1" s="1"/>
  <c r="MW12" i="1" a="1"/>
  <c r="MW12" i="1" s="1"/>
  <c r="MR12" i="1" a="1"/>
  <c r="MR12" i="1" s="1"/>
  <c r="MO12" i="1" a="1"/>
  <c r="MO12" i="1" s="1"/>
  <c r="MJ12" i="1" a="1"/>
  <c r="MJ12" i="1" s="1"/>
  <c r="MG12" i="1" a="1"/>
  <c r="MG12" i="1" s="1"/>
  <c r="MB12" i="1" a="1"/>
  <c r="MB12" i="1" s="1"/>
  <c r="LY12" i="1" a="1"/>
  <c r="LY12" i="1" s="1"/>
  <c r="LT12" i="1" a="1"/>
  <c r="LT12" i="1" s="1"/>
  <c r="LQ12" i="1" a="1"/>
  <c r="LQ12" i="1" s="1"/>
  <c r="LL12" i="1" a="1"/>
  <c r="LL12" i="1" s="1"/>
  <c r="LI12" i="1" a="1"/>
  <c r="LI12" i="1" s="1"/>
  <c r="LC12" i="1" a="1"/>
  <c r="LC12" i="1" s="1"/>
  <c r="KZ12" i="1" a="1"/>
  <c r="KZ12" i="1" s="1"/>
  <c r="ACK12" i="1" a="1"/>
  <c r="ACK12" i="1" s="1"/>
  <c r="ACF12" i="1" a="1"/>
  <c r="ACF12" i="1" s="1"/>
  <c r="ACC12" i="1" a="1"/>
  <c r="ACC12" i="1" s="1"/>
  <c r="ABX12" i="1" a="1"/>
  <c r="ABX12" i="1" s="1"/>
  <c r="ABU12" i="1" a="1"/>
  <c r="ABU12" i="1" s="1"/>
  <c r="ABP12" i="1" a="1"/>
  <c r="ABP12" i="1" s="1"/>
  <c r="ABM12" i="1" a="1"/>
  <c r="ABM12" i="1" s="1"/>
  <c r="ABH12" i="1" a="1"/>
  <c r="ABH12" i="1" s="1"/>
  <c r="ABE12" i="1" a="1"/>
  <c r="ABE12" i="1" s="1"/>
  <c r="AAZ12" i="1" a="1"/>
  <c r="AAZ12" i="1" s="1"/>
  <c r="AAW12" i="1" a="1"/>
  <c r="AAW12" i="1" s="1"/>
  <c r="AAR12" i="1" a="1"/>
  <c r="AAR12" i="1" s="1"/>
  <c r="AAN12" i="1" a="1"/>
  <c r="AAN12" i="1" s="1"/>
  <c r="AAI12" i="1" a="1"/>
  <c r="AAI12" i="1" s="1"/>
  <c r="NB12" i="1" a="1"/>
  <c r="NB12" i="1" s="1"/>
  <c r="MY12" i="1" a="1"/>
  <c r="MY12" i="1" s="1"/>
  <c r="MT12" i="1" a="1"/>
  <c r="MT12" i="1" s="1"/>
  <c r="MQ12" i="1" a="1"/>
  <c r="MQ12" i="1" s="1"/>
  <c r="ML12" i="1" a="1"/>
  <c r="ML12" i="1" s="1"/>
  <c r="MI12" i="1" a="1"/>
  <c r="MI12" i="1" s="1"/>
  <c r="MD12" i="1" a="1"/>
  <c r="MD12" i="1" s="1"/>
  <c r="MA12" i="1" a="1"/>
  <c r="MA12" i="1" s="1"/>
  <c r="LV12" i="1" a="1"/>
  <c r="LV12" i="1" s="1"/>
  <c r="LS12" i="1" a="1"/>
  <c r="LS12" i="1" s="1"/>
  <c r="LN12" i="1" a="1"/>
  <c r="LN12" i="1" s="1"/>
  <c r="LK12" i="1" a="1"/>
  <c r="LK12" i="1" s="1"/>
  <c r="LF12" i="1" a="1"/>
  <c r="LF12" i="1" s="1"/>
  <c r="LB12" i="1" a="1"/>
  <c r="LB12" i="1" s="1"/>
  <c r="ACH12" i="1" a="1"/>
  <c r="ACH12" i="1" s="1"/>
  <c r="ACE12" i="1" a="1"/>
  <c r="ACE12" i="1" s="1"/>
  <c r="ABZ12" i="1" a="1"/>
  <c r="ABZ12" i="1" s="1"/>
  <c r="ABW12" i="1" a="1"/>
  <c r="ABW12" i="1" s="1"/>
  <c r="ABR12" i="1" a="1"/>
  <c r="ABR12" i="1" s="1"/>
  <c r="ABO12" i="1" a="1"/>
  <c r="ABO12" i="1" s="1"/>
  <c r="ABJ12" i="1" a="1"/>
  <c r="ABJ12" i="1" s="1"/>
  <c r="ABG12" i="1" a="1"/>
  <c r="ABG12" i="1" s="1"/>
  <c r="ABB12" i="1" a="1"/>
  <c r="ABB12" i="1" s="1"/>
  <c r="AAY12" i="1" a="1"/>
  <c r="AAY12" i="1" s="1"/>
  <c r="AAT12" i="1" a="1"/>
  <c r="AAT12" i="1" s="1"/>
  <c r="AAQ12" i="1" a="1"/>
  <c r="AAQ12" i="1" s="1"/>
  <c r="AAK12" i="1" a="1"/>
  <c r="AAK12" i="1" s="1"/>
  <c r="AAH12" i="1" a="1"/>
  <c r="AAH12" i="1" s="1"/>
  <c r="NA12" i="1" a="1"/>
  <c r="NA12" i="1" s="1"/>
  <c r="MV12" i="1" a="1"/>
  <c r="MV12" i="1" s="1"/>
  <c r="MS12" i="1" a="1"/>
  <c r="MS12" i="1" s="1"/>
  <c r="MN12" i="1" a="1"/>
  <c r="MN12" i="1" s="1"/>
  <c r="MK12" i="1" a="1"/>
  <c r="MK12" i="1" s="1"/>
  <c r="MF12" i="1" a="1"/>
  <c r="MF12" i="1" s="1"/>
  <c r="MC12" i="1" a="1"/>
  <c r="MC12" i="1" s="1"/>
  <c r="LX12" i="1" a="1"/>
  <c r="LX12" i="1" s="1"/>
  <c r="LU12" i="1" a="1"/>
  <c r="LU12" i="1" s="1"/>
  <c r="LP12" i="1" a="1"/>
  <c r="LP12" i="1" s="1"/>
  <c r="LM12" i="1" a="1"/>
  <c r="LM12" i="1" s="1"/>
  <c r="LH12" i="1" a="1"/>
  <c r="LH12" i="1" s="1"/>
  <c r="LD12" i="1" a="1"/>
  <c r="LD12" i="1" s="1"/>
  <c r="KY12" i="1" a="1"/>
  <c r="KY12" i="1" s="1"/>
  <c r="VG12" i="1" a="1"/>
  <c r="VG12" i="1" s="1"/>
  <c r="VW12" i="1" a="1"/>
  <c r="VW12" i="1" s="1"/>
  <c r="ANJ12" i="1"/>
  <c r="AHW12" i="1"/>
  <c r="AHS12" i="1"/>
  <c r="ANY12" i="1" s="1" a="1"/>
  <c r="ANY12" i="1" s="1"/>
  <c r="ANZ12" i="1" s="1"/>
  <c r="AHV12" i="1"/>
  <c r="AHU12" i="1"/>
  <c r="AOA12" i="1"/>
  <c r="AHT12" i="1"/>
  <c r="AKV12" i="1" a="1"/>
  <c r="AKV12" i="1" s="1"/>
  <c r="VE12" i="1" a="1"/>
  <c r="VE12" i="1" s="1"/>
  <c r="VU12" i="1" a="1"/>
  <c r="VU12" i="1" s="1"/>
  <c r="AKQ12" i="1" a="1"/>
  <c r="AKQ12" i="1" s="1"/>
  <c r="ALG12" i="1" a="1"/>
  <c r="ALG12" i="1" s="1"/>
  <c r="VK12" i="1" a="1"/>
  <c r="VK12" i="1" s="1"/>
  <c r="AKZ12" i="1" a="1"/>
  <c r="AKZ12" i="1" s="1"/>
  <c r="VD12" i="1" a="1"/>
  <c r="VD12" i="1" s="1"/>
  <c r="VT12" i="1" a="1"/>
  <c r="VT12" i="1" s="1"/>
  <c r="AGV12" i="1"/>
  <c r="AHH60" i="1"/>
  <c r="FA21" i="1"/>
  <c r="FB21" i="1" s="1"/>
  <c r="DU75" i="1"/>
  <c r="DV75" i="1" s="1"/>
  <c r="CA71" i="1" a="1"/>
  <c r="CA71" i="1" s="1"/>
  <c r="CO71" i="1" s="1"/>
  <c r="CC71" i="1" a="1"/>
  <c r="CC71" i="1" s="1"/>
  <c r="CH71" i="1" s="1"/>
  <c r="CE71" i="1" a="1"/>
  <c r="CE71" i="1" s="1"/>
  <c r="BY71" i="1" a="1"/>
  <c r="BY71" i="1" s="1"/>
  <c r="CD71" i="1" a="1"/>
  <c r="CD71" i="1" s="1"/>
  <c r="BX71" i="1" a="1"/>
  <c r="BX71" i="1" s="1"/>
  <c r="BZ71" i="1" a="1"/>
  <c r="BZ71" i="1" s="1"/>
  <c r="CB71" i="1" a="1"/>
  <c r="CB71" i="1" s="1"/>
  <c r="CN71" i="1" s="1"/>
  <c r="GH57" i="1"/>
  <c r="CI21" i="1"/>
  <c r="CJ21" i="1" s="1"/>
  <c r="DU13" i="1"/>
  <c r="DV13" i="1" s="1"/>
  <c r="VG15" i="1" a="1"/>
  <c r="VG15" i="1" s="1"/>
  <c r="VW15" i="1" a="1"/>
  <c r="VW15" i="1" s="1"/>
  <c r="AKK15" i="1" a="1"/>
  <c r="AKK15" i="1" s="1"/>
  <c r="ALA15" i="1" a="1"/>
  <c r="ALA15" i="1" s="1"/>
  <c r="VP15" i="1" a="1"/>
  <c r="VP15" i="1" s="1"/>
  <c r="AKX15" i="1" a="1"/>
  <c r="AKX15" i="1" s="1"/>
  <c r="VE15" i="1" a="1"/>
  <c r="VE15" i="1" s="1"/>
  <c r="VU15" i="1" a="1"/>
  <c r="VU15" i="1" s="1"/>
  <c r="AKQ15" i="1" a="1"/>
  <c r="AKQ15" i="1" s="1"/>
  <c r="ALG15" i="1" a="1"/>
  <c r="ALG15" i="1" s="1"/>
  <c r="VN15" i="1" a="1"/>
  <c r="VN15" i="1" s="1"/>
  <c r="AKZ15" i="1" a="1"/>
  <c r="AKZ15" i="1" s="1"/>
  <c r="GJ14" i="1"/>
  <c r="GK14" i="1" s="1"/>
  <c r="GM14" i="1" s="1"/>
  <c r="GN14" i="1" s="1"/>
  <c r="CI62" i="1"/>
  <c r="CJ62" i="1" s="1"/>
  <c r="DR16" i="1"/>
  <c r="DS16" i="1" s="1"/>
  <c r="DU16" i="1" s="1"/>
  <c r="DV16" i="1" s="1"/>
  <c r="AHH17" i="1"/>
  <c r="FA14" i="1"/>
  <c r="FB14" i="1" s="1"/>
  <c r="GA55" i="1" a="1"/>
  <c r="GA55" i="1" s="1"/>
  <c r="GF55" i="1" a="1"/>
  <c r="GF55" i="1" s="1"/>
  <c r="GB55" i="1" a="1"/>
  <c r="GB55" i="1" s="1"/>
  <c r="GP55" i="1" s="1"/>
  <c r="FY55" i="1" a="1"/>
  <c r="FY55" i="1" s="1"/>
  <c r="GD55" i="1" a="1"/>
  <c r="GD55" i="1" s="1"/>
  <c r="FZ55" i="1" a="1"/>
  <c r="FZ55" i="1" s="1"/>
  <c r="GC55" i="1" a="1"/>
  <c r="GC55" i="1" s="1"/>
  <c r="GO55" i="1" s="1"/>
  <c r="AHU56" i="1"/>
  <c r="AHW56" i="1"/>
  <c r="AHV56" i="1"/>
  <c r="AOA56" i="1"/>
  <c r="ANJ56" i="1"/>
  <c r="AHT56" i="1"/>
  <c r="AHS56" i="1"/>
  <c r="ANY56" i="1" s="1" a="1"/>
  <c r="ANY56" i="1" s="1"/>
  <c r="ANZ56" i="1" s="1"/>
  <c r="AHH14" i="1"/>
  <c r="AHB18" i="1"/>
  <c r="GJ18" i="1"/>
  <c r="GK18" i="1" s="1"/>
  <c r="RU10" i="1"/>
  <c r="AHH10" i="1"/>
  <c r="DU58" i="1"/>
  <c r="DV58" i="1" s="1"/>
  <c r="DH56" i="1" a="1"/>
  <c r="DH56" i="1" s="1"/>
  <c r="DG56" i="1" a="1"/>
  <c r="DG56" i="1" s="1"/>
  <c r="DM56" i="1" a="1"/>
  <c r="DM56" i="1" s="1"/>
  <c r="DN56" i="1" a="1"/>
  <c r="DN56" i="1" s="1"/>
  <c r="DJ56" i="1" a="1"/>
  <c r="DJ56" i="1" s="1"/>
  <c r="DX56" i="1" s="1"/>
  <c r="DI56" i="1" a="1"/>
  <c r="DI56" i="1" s="1"/>
  <c r="DK56" i="1" a="1"/>
  <c r="DK56" i="1" s="1"/>
  <c r="DW56" i="1" s="1"/>
  <c r="DL56" i="1" a="1"/>
  <c r="DL56" i="1" s="1"/>
  <c r="AHE13" i="1"/>
  <c r="AOA61" i="1"/>
  <c r="AHT61" i="1"/>
  <c r="ANJ61" i="1"/>
  <c r="AHW61" i="1"/>
  <c r="AHS61" i="1"/>
  <c r="ANY61" i="1" s="1" a="1"/>
  <c r="ANY61" i="1" s="1"/>
  <c r="ANZ61" i="1" s="1"/>
  <c r="AHV61" i="1"/>
  <c r="AHU61" i="1"/>
  <c r="AHE57" i="1"/>
  <c r="GM22" i="1"/>
  <c r="GN22" i="1" s="1"/>
  <c r="VK19" i="1" a="1"/>
  <c r="VK19" i="1" s="1"/>
  <c r="AKZ19" i="1" a="1"/>
  <c r="AKZ19" i="1" s="1"/>
  <c r="RO19" i="1"/>
  <c r="VI19" i="1" a="1"/>
  <c r="VI19" i="1" s="1"/>
  <c r="AAD19" i="1"/>
  <c r="AGJ19" i="1"/>
  <c r="AFS19" i="1"/>
  <c r="AAC19" i="1"/>
  <c r="AAB19" i="1"/>
  <c r="AGH19" i="1" s="1" a="1"/>
  <c r="AGH19" i="1" s="1"/>
  <c r="AGI19" i="1" s="1"/>
  <c r="AAF19" i="1"/>
  <c r="AAE19" i="1"/>
  <c r="AKM19" i="1" a="1"/>
  <c r="AKM19" i="1" s="1"/>
  <c r="ALC19" i="1" a="1"/>
  <c r="ALC19" i="1" s="1"/>
  <c r="VJ19" i="1" a="1"/>
  <c r="VJ19" i="1" s="1"/>
  <c r="AKK19" i="1" a="1"/>
  <c r="AKK19" i="1" s="1"/>
  <c r="ALA19" i="1" a="1"/>
  <c r="ALA19" i="1" s="1"/>
  <c r="VH19" i="1" a="1"/>
  <c r="VH19" i="1" s="1"/>
  <c r="AHE19" i="1"/>
  <c r="RX17" i="1"/>
  <c r="RR62" i="1"/>
  <c r="RX58" i="1"/>
  <c r="AAD55" i="1"/>
  <c r="AAE55" i="1"/>
  <c r="AGJ55" i="1"/>
  <c r="AFS55" i="1"/>
  <c r="AAC55" i="1"/>
  <c r="AAB55" i="1"/>
  <c r="AGH55" i="1" s="1" a="1"/>
  <c r="AGH55" i="1" s="1"/>
  <c r="AGI55" i="1" s="1"/>
  <c r="AAF55" i="1"/>
  <c r="AGY55" i="1"/>
  <c r="KT55" i="1"/>
  <c r="KV55" i="1"/>
  <c r="KU55" i="1"/>
  <c r="QZ55" i="1"/>
  <c r="QI55" i="1"/>
  <c r="KS55" i="1"/>
  <c r="KR55" i="1"/>
  <c r="QX55" i="1" s="1" a="1"/>
  <c r="QX55" i="1" s="1"/>
  <c r="QY55" i="1" s="1"/>
  <c r="RO55" i="1"/>
  <c r="RL21" i="1"/>
  <c r="CL10" i="1"/>
  <c r="CM10" i="1" s="1"/>
  <c r="GC76" i="1" a="1"/>
  <c r="GC76" i="1" s="1"/>
  <c r="GO76" i="1" s="1"/>
  <c r="FY76" i="1" a="1"/>
  <c r="FY76" i="1" s="1"/>
  <c r="GD76" i="1" a="1"/>
  <c r="GD76" i="1" s="1"/>
  <c r="GI76" i="1" s="1"/>
  <c r="GA76" i="1" a="1"/>
  <c r="GA76" i="1" s="1"/>
  <c r="GB76" i="1" a="1"/>
  <c r="GB76" i="1" s="1"/>
  <c r="GP76" i="1" s="1"/>
  <c r="FZ76" i="1" a="1"/>
  <c r="FZ76" i="1" s="1"/>
  <c r="GF76" i="1" a="1"/>
  <c r="GF76" i="1" s="1"/>
  <c r="AHB13" i="1"/>
  <c r="HX20" i="1"/>
  <c r="HY20" i="1" s="1"/>
  <c r="HZ20" i="1" s="1"/>
  <c r="GI61" i="1"/>
  <c r="RU59" i="1"/>
  <c r="EY61" i="1"/>
  <c r="AKA22" i="1" a="1"/>
  <c r="AKA22" i="1" s="1"/>
  <c r="AJW22" i="1" a="1"/>
  <c r="AJW22" i="1" s="1"/>
  <c r="AJS22" i="1" a="1"/>
  <c r="AJS22" i="1" s="1"/>
  <c r="AJO22" i="1" a="1"/>
  <c r="AJO22" i="1" s="1"/>
  <c r="AJK22" i="1" a="1"/>
  <c r="AJK22" i="1" s="1"/>
  <c r="AJG22" i="1" a="1"/>
  <c r="AJG22" i="1" s="1"/>
  <c r="AJC22" i="1" a="1"/>
  <c r="AJC22" i="1" s="1"/>
  <c r="AIY22" i="1" a="1"/>
  <c r="AIY22" i="1" s="1"/>
  <c r="AIU22" i="1" a="1"/>
  <c r="AIU22" i="1" s="1"/>
  <c r="AIQ22" i="1" a="1"/>
  <c r="AIQ22" i="1" s="1"/>
  <c r="AIM22" i="1" a="1"/>
  <c r="AIM22" i="1" s="1"/>
  <c r="AII22" i="1" a="1"/>
  <c r="AII22" i="1" s="1"/>
  <c r="AID22" i="1" a="1"/>
  <c r="AID22" i="1" s="1"/>
  <c r="AHZ22" i="1" a="1"/>
  <c r="AHZ22" i="1" s="1"/>
  <c r="US22" i="1" a="1"/>
  <c r="US22" i="1" s="1"/>
  <c r="UO22" i="1" a="1"/>
  <c r="UO22" i="1" s="1"/>
  <c r="UK22" i="1" a="1"/>
  <c r="UK22" i="1" s="1"/>
  <c r="UG22" i="1" a="1"/>
  <c r="UG22" i="1" s="1"/>
  <c r="UC22" i="1" a="1"/>
  <c r="UC22" i="1" s="1"/>
  <c r="TY22" i="1" a="1"/>
  <c r="TY22" i="1" s="1"/>
  <c r="TU22" i="1" a="1"/>
  <c r="TU22" i="1" s="1"/>
  <c r="TQ22" i="1" a="1"/>
  <c r="TQ22" i="1" s="1"/>
  <c r="TM22" i="1" a="1"/>
  <c r="TM22" i="1" s="1"/>
  <c r="TI22" i="1" a="1"/>
  <c r="TI22" i="1" s="1"/>
  <c r="TE22" i="1" a="1"/>
  <c r="TE22" i="1" s="1"/>
  <c r="TA22" i="1" a="1"/>
  <c r="TA22" i="1" s="1"/>
  <c r="SW22" i="1" a="1"/>
  <c r="SW22" i="1" s="1"/>
  <c r="SR22" i="1" a="1"/>
  <c r="SR22" i="1" s="1"/>
  <c r="AJZ22" i="1" a="1"/>
  <c r="AJZ22" i="1" s="1"/>
  <c r="AJV22" i="1" a="1"/>
  <c r="AJV22" i="1" s="1"/>
  <c r="AJR22" i="1" a="1"/>
  <c r="AJR22" i="1" s="1"/>
  <c r="AJN22" i="1" a="1"/>
  <c r="AJN22" i="1" s="1"/>
  <c r="AJJ22" i="1" a="1"/>
  <c r="AJJ22" i="1" s="1"/>
  <c r="AJF22" i="1" a="1"/>
  <c r="AJF22" i="1" s="1"/>
  <c r="AJB22" i="1" a="1"/>
  <c r="AJB22" i="1" s="1"/>
  <c r="AIX22" i="1" a="1"/>
  <c r="AIX22" i="1" s="1"/>
  <c r="AIT22" i="1" a="1"/>
  <c r="AIT22" i="1" s="1"/>
  <c r="AIP22" i="1" a="1"/>
  <c r="AIP22" i="1" s="1"/>
  <c r="AIL22" i="1" a="1"/>
  <c r="AIL22" i="1" s="1"/>
  <c r="AIH22" i="1" a="1"/>
  <c r="AIH22" i="1" s="1"/>
  <c r="AIC22" i="1" a="1"/>
  <c r="AIC22" i="1" s="1"/>
  <c r="AHY22" i="1" a="1"/>
  <c r="AHY22" i="1" s="1"/>
  <c r="UR22" i="1" a="1"/>
  <c r="UR22" i="1" s="1"/>
  <c r="UN22" i="1" a="1"/>
  <c r="UN22" i="1" s="1"/>
  <c r="UJ22" i="1" a="1"/>
  <c r="UJ22" i="1" s="1"/>
  <c r="UF22" i="1" a="1"/>
  <c r="UF22" i="1" s="1"/>
  <c r="UB22" i="1" a="1"/>
  <c r="UB22" i="1" s="1"/>
  <c r="TX22" i="1" a="1"/>
  <c r="TX22" i="1" s="1"/>
  <c r="TT22" i="1" a="1"/>
  <c r="TT22" i="1" s="1"/>
  <c r="TP22" i="1" a="1"/>
  <c r="TP22" i="1" s="1"/>
  <c r="TL22" i="1" a="1"/>
  <c r="TL22" i="1" s="1"/>
  <c r="TH22" i="1" a="1"/>
  <c r="TH22" i="1" s="1"/>
  <c r="TD22" i="1" a="1"/>
  <c r="TD22" i="1" s="1"/>
  <c r="SZ22" i="1" a="1"/>
  <c r="SZ22" i="1" s="1"/>
  <c r="SU22" i="1" a="1"/>
  <c r="SU22" i="1" s="1"/>
  <c r="SQ22" i="1" a="1"/>
  <c r="SQ22" i="1" s="1"/>
  <c r="AKC22" i="1" a="1"/>
  <c r="AKC22" i="1" s="1"/>
  <c r="AJY22" i="1" a="1"/>
  <c r="AJY22" i="1" s="1"/>
  <c r="AJU22" i="1" a="1"/>
  <c r="AJU22" i="1" s="1"/>
  <c r="AJQ22" i="1" a="1"/>
  <c r="AJQ22" i="1" s="1"/>
  <c r="AJM22" i="1" a="1"/>
  <c r="AJM22" i="1" s="1"/>
  <c r="AJI22" i="1" a="1"/>
  <c r="AJI22" i="1" s="1"/>
  <c r="AJE22" i="1" a="1"/>
  <c r="AJE22" i="1" s="1"/>
  <c r="AJA22" i="1" a="1"/>
  <c r="AJA22" i="1" s="1"/>
  <c r="AIW22" i="1" a="1"/>
  <c r="AIW22" i="1" s="1"/>
  <c r="AIS22" i="1" a="1"/>
  <c r="AIS22" i="1" s="1"/>
  <c r="AIO22" i="1" a="1"/>
  <c r="AIO22" i="1" s="1"/>
  <c r="AIK22" i="1" a="1"/>
  <c r="AIK22" i="1" s="1"/>
  <c r="AIG22" i="1" a="1"/>
  <c r="AIG22" i="1" s="1"/>
  <c r="AIB22" i="1" a="1"/>
  <c r="AIB22" i="1" s="1"/>
  <c r="UQ22" i="1" a="1"/>
  <c r="UQ22" i="1" s="1"/>
  <c r="UM22" i="1" a="1"/>
  <c r="UM22" i="1" s="1"/>
  <c r="UI22" i="1" a="1"/>
  <c r="UI22" i="1" s="1"/>
  <c r="UE22" i="1" a="1"/>
  <c r="UE22" i="1" s="1"/>
  <c r="UA22" i="1" a="1"/>
  <c r="UA22" i="1" s="1"/>
  <c r="TW22" i="1" a="1"/>
  <c r="TW22" i="1" s="1"/>
  <c r="TS22" i="1" a="1"/>
  <c r="TS22" i="1" s="1"/>
  <c r="TO22" i="1" a="1"/>
  <c r="TO22" i="1" s="1"/>
  <c r="TK22" i="1" a="1"/>
  <c r="TK22" i="1" s="1"/>
  <c r="TG22" i="1" a="1"/>
  <c r="TG22" i="1" s="1"/>
  <c r="TC22" i="1" a="1"/>
  <c r="TC22" i="1" s="1"/>
  <c r="SY22" i="1" a="1"/>
  <c r="SY22" i="1" s="1"/>
  <c r="ST22" i="1" a="1"/>
  <c r="ST22" i="1" s="1"/>
  <c r="SP22" i="1" a="1"/>
  <c r="SP22" i="1" s="1"/>
  <c r="AKB22" i="1" a="1"/>
  <c r="AKB22" i="1" s="1"/>
  <c r="AJX22" i="1" a="1"/>
  <c r="AJX22" i="1" s="1"/>
  <c r="AJT22" i="1" a="1"/>
  <c r="AJT22" i="1" s="1"/>
  <c r="AJP22" i="1" a="1"/>
  <c r="AJP22" i="1" s="1"/>
  <c r="AJL22" i="1" a="1"/>
  <c r="AJL22" i="1" s="1"/>
  <c r="AJH22" i="1" a="1"/>
  <c r="AJH22" i="1" s="1"/>
  <c r="AJD22" i="1" a="1"/>
  <c r="AJD22" i="1" s="1"/>
  <c r="AIZ22" i="1" a="1"/>
  <c r="AIZ22" i="1" s="1"/>
  <c r="AIV22" i="1" a="1"/>
  <c r="AIV22" i="1" s="1"/>
  <c r="AIR22" i="1" a="1"/>
  <c r="AIR22" i="1" s="1"/>
  <c r="AIN22" i="1" a="1"/>
  <c r="AIN22" i="1" s="1"/>
  <c r="AIJ22" i="1" a="1"/>
  <c r="AIJ22" i="1" s="1"/>
  <c r="AIE22" i="1" a="1"/>
  <c r="AIE22" i="1" s="1"/>
  <c r="AIA22" i="1" a="1"/>
  <c r="AIA22" i="1" s="1"/>
  <c r="UP22" i="1" a="1"/>
  <c r="UP22" i="1" s="1"/>
  <c r="UL22" i="1" a="1"/>
  <c r="UL22" i="1" s="1"/>
  <c r="UH22" i="1" a="1"/>
  <c r="UH22" i="1" s="1"/>
  <c r="UD22" i="1" a="1"/>
  <c r="UD22" i="1" s="1"/>
  <c r="TZ22" i="1" a="1"/>
  <c r="TZ22" i="1" s="1"/>
  <c r="TV22" i="1" a="1"/>
  <c r="TV22" i="1" s="1"/>
  <c r="TR22" i="1" a="1"/>
  <c r="TR22" i="1" s="1"/>
  <c r="TN22" i="1" a="1"/>
  <c r="TN22" i="1" s="1"/>
  <c r="TJ22" i="1" a="1"/>
  <c r="TJ22" i="1" s="1"/>
  <c r="TF22" i="1" a="1"/>
  <c r="TF22" i="1" s="1"/>
  <c r="TB22" i="1" a="1"/>
  <c r="TB22" i="1" s="1"/>
  <c r="SX22" i="1" a="1"/>
  <c r="SX22" i="1" s="1"/>
  <c r="SS22" i="1" a="1"/>
  <c r="SS22" i="1" s="1"/>
  <c r="SO22" i="1" a="1"/>
  <c r="SO22" i="1" s="1"/>
  <c r="VA22" i="1" a="1"/>
  <c r="VA22" i="1" s="1"/>
  <c r="VQ22" i="1" a="1"/>
  <c r="VQ22" i="1" s="1"/>
  <c r="AKM22" i="1" a="1"/>
  <c r="AKM22" i="1" s="1"/>
  <c r="VB22" i="1" a="1"/>
  <c r="VB22" i="1" s="1"/>
  <c r="VR22" i="1" a="1"/>
  <c r="VR22" i="1" s="1"/>
  <c r="AKN22" i="1" a="1"/>
  <c r="AKN22" i="1" s="1"/>
  <c r="VK22" i="1" a="1"/>
  <c r="VK22" i="1" s="1"/>
  <c r="AKO22" i="1" a="1"/>
  <c r="AKO22" i="1" s="1"/>
  <c r="AKX22" i="1" a="1"/>
  <c r="AKX22" i="1" s="1"/>
  <c r="ALF22" i="1" a="1"/>
  <c r="ALF22" i="1" s="1"/>
  <c r="GM18" i="1"/>
  <c r="GN18" i="1" s="1"/>
  <c r="KT16" i="1"/>
  <c r="QI16" i="1"/>
  <c r="KV16" i="1"/>
  <c r="KR16" i="1"/>
  <c r="QX16" i="1" s="1" a="1"/>
  <c r="QX16" i="1" s="1"/>
  <c r="QY16" i="1" s="1"/>
  <c r="KU16" i="1"/>
  <c r="QZ16" i="1"/>
  <c r="KS16" i="1"/>
  <c r="RU16" i="1"/>
  <c r="CO14" i="1"/>
  <c r="HX14" i="1"/>
  <c r="HY14" i="1" s="1"/>
  <c r="HZ14" i="1" s="1"/>
  <c r="EQ26" i="1" a="1"/>
  <c r="EQ26" i="1" s="1"/>
  <c r="ET26" i="1" a="1"/>
  <c r="ET26" i="1" s="1"/>
  <c r="FF26" i="1" s="1"/>
  <c r="ES26" i="1" a="1"/>
  <c r="ES26" i="1" s="1"/>
  <c r="FG26" i="1" s="1"/>
  <c r="EV26" i="1" a="1"/>
  <c r="EV26" i="1" s="1"/>
  <c r="EU26" i="1" a="1"/>
  <c r="EU26" i="1" s="1"/>
  <c r="EZ26" i="1" s="1"/>
  <c r="EP26" i="1" a="1"/>
  <c r="EP26" i="1" s="1"/>
  <c r="EY26" i="1" s="1"/>
  <c r="EW26" i="1" a="1"/>
  <c r="EW26" i="1" s="1"/>
  <c r="ER26" i="1" a="1"/>
  <c r="ER26" i="1" s="1"/>
  <c r="FA10" i="1"/>
  <c r="FB10" i="1" s="1"/>
  <c r="FD10" i="1" s="1"/>
  <c r="FE10" i="1" s="1"/>
  <c r="CL12" i="1"/>
  <c r="CM12" i="1" s="1"/>
  <c r="DR73" i="1"/>
  <c r="DS73" i="1" s="1"/>
  <c r="DU73" i="1" s="1"/>
  <c r="DV73" i="1" s="1"/>
  <c r="CH56" i="1"/>
  <c r="DR10" i="1"/>
  <c r="DS10" i="1" s="1"/>
  <c r="AKC12" i="1" a="1"/>
  <c r="AKC12" i="1" s="1"/>
  <c r="AJX12" i="1" a="1"/>
  <c r="AJX12" i="1" s="1"/>
  <c r="AJU12" i="1" a="1"/>
  <c r="AJU12" i="1" s="1"/>
  <c r="AJP12" i="1" a="1"/>
  <c r="AJP12" i="1" s="1"/>
  <c r="AJM12" i="1" a="1"/>
  <c r="AJM12" i="1" s="1"/>
  <c r="AJH12" i="1" a="1"/>
  <c r="AJH12" i="1" s="1"/>
  <c r="AJE12" i="1" a="1"/>
  <c r="AJE12" i="1" s="1"/>
  <c r="AIZ12" i="1" a="1"/>
  <c r="AIZ12" i="1" s="1"/>
  <c r="AIW12" i="1" a="1"/>
  <c r="AIW12" i="1" s="1"/>
  <c r="AIR12" i="1" a="1"/>
  <c r="AIR12" i="1" s="1"/>
  <c r="AIO12" i="1" a="1"/>
  <c r="AIO12" i="1" s="1"/>
  <c r="AIJ12" i="1" a="1"/>
  <c r="AIJ12" i="1" s="1"/>
  <c r="AIG12" i="1" a="1"/>
  <c r="AIG12" i="1" s="1"/>
  <c r="AIA12" i="1" a="1"/>
  <c r="AIA12" i="1" s="1"/>
  <c r="UQ12" i="1" a="1"/>
  <c r="UQ12" i="1" s="1"/>
  <c r="UL12" i="1" a="1"/>
  <c r="UL12" i="1" s="1"/>
  <c r="UI12" i="1" a="1"/>
  <c r="UI12" i="1" s="1"/>
  <c r="UD12" i="1" a="1"/>
  <c r="UD12" i="1" s="1"/>
  <c r="UA12" i="1" a="1"/>
  <c r="UA12" i="1" s="1"/>
  <c r="TV12" i="1" a="1"/>
  <c r="TV12" i="1" s="1"/>
  <c r="TS12" i="1" a="1"/>
  <c r="TS12" i="1" s="1"/>
  <c r="TN12" i="1" a="1"/>
  <c r="TN12" i="1" s="1"/>
  <c r="TK12" i="1" a="1"/>
  <c r="TK12" i="1" s="1"/>
  <c r="TF12" i="1" a="1"/>
  <c r="TF12" i="1" s="1"/>
  <c r="TC12" i="1" a="1"/>
  <c r="TC12" i="1" s="1"/>
  <c r="SX12" i="1" a="1"/>
  <c r="SX12" i="1" s="1"/>
  <c r="ST12" i="1" a="1"/>
  <c r="ST12" i="1" s="1"/>
  <c r="SO12" i="1" a="1"/>
  <c r="SO12" i="1" s="1"/>
  <c r="AJZ12" i="1" a="1"/>
  <c r="AJZ12" i="1" s="1"/>
  <c r="AJW12" i="1" a="1"/>
  <c r="AJW12" i="1" s="1"/>
  <c r="AJR12" i="1" a="1"/>
  <c r="AJR12" i="1" s="1"/>
  <c r="AJO12" i="1" a="1"/>
  <c r="AJO12" i="1" s="1"/>
  <c r="AJJ12" i="1" a="1"/>
  <c r="AJJ12" i="1" s="1"/>
  <c r="AJG12" i="1" a="1"/>
  <c r="AJG12" i="1" s="1"/>
  <c r="AJB12" i="1" a="1"/>
  <c r="AJB12" i="1" s="1"/>
  <c r="AIY12" i="1" a="1"/>
  <c r="AIY12" i="1" s="1"/>
  <c r="AIT12" i="1" a="1"/>
  <c r="AIT12" i="1" s="1"/>
  <c r="AIQ12" i="1" a="1"/>
  <c r="AIQ12" i="1" s="1"/>
  <c r="AIL12" i="1" a="1"/>
  <c r="AIL12" i="1" s="1"/>
  <c r="AII12" i="1" a="1"/>
  <c r="AII12" i="1" s="1"/>
  <c r="AIC12" i="1" a="1"/>
  <c r="AIC12" i="1" s="1"/>
  <c r="AHZ12" i="1" a="1"/>
  <c r="AHZ12" i="1" s="1"/>
  <c r="US12" i="1" a="1"/>
  <c r="US12" i="1" s="1"/>
  <c r="UN12" i="1" a="1"/>
  <c r="UN12" i="1" s="1"/>
  <c r="UK12" i="1" a="1"/>
  <c r="UK12" i="1" s="1"/>
  <c r="UF12" i="1" a="1"/>
  <c r="UF12" i="1" s="1"/>
  <c r="UC12" i="1" a="1"/>
  <c r="UC12" i="1" s="1"/>
  <c r="TX12" i="1" a="1"/>
  <c r="TX12" i="1" s="1"/>
  <c r="TU12" i="1" a="1"/>
  <c r="TU12" i="1" s="1"/>
  <c r="TP12" i="1" a="1"/>
  <c r="TP12" i="1" s="1"/>
  <c r="TM12" i="1" a="1"/>
  <c r="TM12" i="1" s="1"/>
  <c r="TH12" i="1" a="1"/>
  <c r="TH12" i="1" s="1"/>
  <c r="TE12" i="1" a="1"/>
  <c r="TE12" i="1" s="1"/>
  <c r="SZ12" i="1" a="1"/>
  <c r="SZ12" i="1" s="1"/>
  <c r="SW12" i="1" a="1"/>
  <c r="SW12" i="1" s="1"/>
  <c r="SQ12" i="1" a="1"/>
  <c r="SQ12" i="1" s="1"/>
  <c r="AKB12" i="1" a="1"/>
  <c r="AKB12" i="1" s="1"/>
  <c r="AJY12" i="1" a="1"/>
  <c r="AJY12" i="1" s="1"/>
  <c r="AJT12" i="1" a="1"/>
  <c r="AJT12" i="1" s="1"/>
  <c r="AJQ12" i="1" a="1"/>
  <c r="AJQ12" i="1" s="1"/>
  <c r="AJL12" i="1" a="1"/>
  <c r="AJL12" i="1" s="1"/>
  <c r="AJI12" i="1" a="1"/>
  <c r="AJI12" i="1" s="1"/>
  <c r="AJD12" i="1" a="1"/>
  <c r="AJD12" i="1" s="1"/>
  <c r="AJA12" i="1" a="1"/>
  <c r="AJA12" i="1" s="1"/>
  <c r="AIV12" i="1" a="1"/>
  <c r="AIV12" i="1" s="1"/>
  <c r="AIS12" i="1" a="1"/>
  <c r="AIS12" i="1" s="1"/>
  <c r="AIN12" i="1" a="1"/>
  <c r="AIN12" i="1" s="1"/>
  <c r="AIK12" i="1" a="1"/>
  <c r="AIK12" i="1" s="1"/>
  <c r="AIE12" i="1" a="1"/>
  <c r="AIE12" i="1" s="1"/>
  <c r="AIB12" i="1" a="1"/>
  <c r="AIB12" i="1" s="1"/>
  <c r="UP12" i="1" a="1"/>
  <c r="UP12" i="1" s="1"/>
  <c r="UM12" i="1" a="1"/>
  <c r="UM12" i="1" s="1"/>
  <c r="UH12" i="1" a="1"/>
  <c r="UH12" i="1" s="1"/>
  <c r="UE12" i="1" a="1"/>
  <c r="UE12" i="1" s="1"/>
  <c r="TZ12" i="1" a="1"/>
  <c r="TZ12" i="1" s="1"/>
  <c r="TW12" i="1" a="1"/>
  <c r="TW12" i="1" s="1"/>
  <c r="TR12" i="1" a="1"/>
  <c r="TR12" i="1" s="1"/>
  <c r="TO12" i="1" a="1"/>
  <c r="TO12" i="1" s="1"/>
  <c r="TJ12" i="1" a="1"/>
  <c r="TJ12" i="1" s="1"/>
  <c r="TG12" i="1" a="1"/>
  <c r="TG12" i="1" s="1"/>
  <c r="TB12" i="1" a="1"/>
  <c r="TB12" i="1" s="1"/>
  <c r="SY12" i="1" a="1"/>
  <c r="SY12" i="1" s="1"/>
  <c r="SS12" i="1" a="1"/>
  <c r="SS12" i="1" s="1"/>
  <c r="SP12" i="1" a="1"/>
  <c r="SP12" i="1" s="1"/>
  <c r="AKA12" i="1" a="1"/>
  <c r="AKA12" i="1" s="1"/>
  <c r="AJV12" i="1" a="1"/>
  <c r="AJV12" i="1" s="1"/>
  <c r="AJS12" i="1" a="1"/>
  <c r="AJS12" i="1" s="1"/>
  <c r="AJN12" i="1" a="1"/>
  <c r="AJN12" i="1" s="1"/>
  <c r="AJK12" i="1" a="1"/>
  <c r="AJK12" i="1" s="1"/>
  <c r="AJF12" i="1" a="1"/>
  <c r="AJF12" i="1" s="1"/>
  <c r="AJC12" i="1" a="1"/>
  <c r="AJC12" i="1" s="1"/>
  <c r="AIX12" i="1" a="1"/>
  <c r="AIX12" i="1" s="1"/>
  <c r="AIU12" i="1" a="1"/>
  <c r="AIU12" i="1" s="1"/>
  <c r="AIP12" i="1" a="1"/>
  <c r="AIP12" i="1" s="1"/>
  <c r="AIM12" i="1" a="1"/>
  <c r="AIM12" i="1" s="1"/>
  <c r="AIH12" i="1" a="1"/>
  <c r="AIH12" i="1" s="1"/>
  <c r="AID12" i="1" a="1"/>
  <c r="AID12" i="1" s="1"/>
  <c r="AHY12" i="1" a="1"/>
  <c r="AHY12" i="1" s="1"/>
  <c r="UR12" i="1" a="1"/>
  <c r="UR12" i="1" s="1"/>
  <c r="UO12" i="1" a="1"/>
  <c r="UO12" i="1" s="1"/>
  <c r="UJ12" i="1" a="1"/>
  <c r="UJ12" i="1" s="1"/>
  <c r="UG12" i="1" a="1"/>
  <c r="UG12" i="1" s="1"/>
  <c r="UB12" i="1" a="1"/>
  <c r="UB12" i="1" s="1"/>
  <c r="TY12" i="1" a="1"/>
  <c r="TY12" i="1" s="1"/>
  <c r="TT12" i="1" a="1"/>
  <c r="TT12" i="1" s="1"/>
  <c r="TQ12" i="1" a="1"/>
  <c r="TQ12" i="1" s="1"/>
  <c r="TL12" i="1" a="1"/>
  <c r="TL12" i="1" s="1"/>
  <c r="TI12" i="1" a="1"/>
  <c r="TI12" i="1" s="1"/>
  <c r="TD12" i="1" a="1"/>
  <c r="TD12" i="1" s="1"/>
  <c r="TA12" i="1" a="1"/>
  <c r="TA12" i="1" s="1"/>
  <c r="SU12" i="1" a="1"/>
  <c r="SU12" i="1" s="1"/>
  <c r="SR12" i="1" a="1"/>
  <c r="SR12" i="1" s="1"/>
  <c r="VN12" i="1" a="1"/>
  <c r="VN12" i="1" s="1"/>
  <c r="AKO12" i="1" a="1"/>
  <c r="AKO12" i="1" s="1"/>
  <c r="ALE12" i="1" a="1"/>
  <c r="ALE12" i="1" s="1"/>
  <c r="VI12" i="1" a="1"/>
  <c r="VI12" i="1" s="1"/>
  <c r="AAD12" i="1"/>
  <c r="AAF12" i="1"/>
  <c r="AAE12" i="1"/>
  <c r="AHB12" i="1" s="1"/>
  <c r="AGJ12" i="1"/>
  <c r="AFS12" i="1"/>
  <c r="AAC12" i="1"/>
  <c r="AAB12" i="1"/>
  <c r="AGH12" i="1" s="1" a="1"/>
  <c r="AGH12" i="1" s="1"/>
  <c r="AGI12" i="1" s="1"/>
  <c r="AKM12" i="1" a="1"/>
  <c r="AKM12" i="1" s="1"/>
  <c r="ALC12" i="1" a="1"/>
  <c r="ALC12" i="1" s="1"/>
  <c r="CC77" i="1" a="1"/>
  <c r="CC77" i="1" s="1"/>
  <c r="CH77" i="1" s="1"/>
  <c r="CA77" i="1" a="1"/>
  <c r="CA77" i="1" s="1"/>
  <c r="CO77" i="1" s="1"/>
  <c r="BY77" i="1" a="1"/>
  <c r="BY77" i="1" s="1"/>
  <c r="CE77" i="1" a="1"/>
  <c r="CE77" i="1" s="1"/>
  <c r="BX77" i="1" a="1"/>
  <c r="BX77" i="1" s="1"/>
  <c r="BZ77" i="1" a="1"/>
  <c r="BZ77" i="1" s="1"/>
  <c r="CB77" i="1" a="1"/>
  <c r="CB77" i="1" s="1"/>
  <c r="CN77" i="1" s="1"/>
  <c r="CD77" i="1" a="1"/>
  <c r="CD77" i="1" s="1"/>
  <c r="AHH75" i="1"/>
  <c r="AHB60" i="1"/>
  <c r="GI57" i="1"/>
  <c r="FA23" i="1"/>
  <c r="FB23" i="1" s="1"/>
  <c r="EU77" i="1" a="1"/>
  <c r="EU77" i="1" s="1"/>
  <c r="EP77" i="1" a="1"/>
  <c r="EP77" i="1" s="1"/>
  <c r="EY77" i="1" s="1"/>
  <c r="FA77" i="1" s="1"/>
  <c r="FB77" i="1" s="1"/>
  <c r="ET77" i="1" a="1"/>
  <c r="ET77" i="1" s="1"/>
  <c r="FF77" i="1" s="1"/>
  <c r="EW77" i="1" a="1"/>
  <c r="EW77" i="1" s="1"/>
  <c r="ER77" i="1" a="1"/>
  <c r="ER77" i="1" s="1"/>
  <c r="EQ77" i="1" a="1"/>
  <c r="EQ77" i="1" s="1"/>
  <c r="ES77" i="1" a="1"/>
  <c r="ES77" i="1" s="1"/>
  <c r="FG77" i="1" s="1"/>
  <c r="EV77" i="1" a="1"/>
  <c r="EV77" i="1" s="1"/>
  <c r="GD71" i="1" a="1"/>
  <c r="GD71" i="1" s="1"/>
  <c r="GI71" i="1" s="1"/>
  <c r="FY71" i="1" a="1"/>
  <c r="FY71" i="1" s="1"/>
  <c r="GH71" i="1" s="1"/>
  <c r="GJ71" i="1" s="1"/>
  <c r="GK71" i="1" s="1"/>
  <c r="GA71" i="1" a="1"/>
  <c r="GA71" i="1" s="1"/>
  <c r="FZ71" i="1" a="1"/>
  <c r="FZ71" i="1" s="1"/>
  <c r="GF71" i="1" a="1"/>
  <c r="GF71" i="1" s="1"/>
  <c r="GC71" i="1" a="1"/>
  <c r="GC71" i="1" s="1"/>
  <c r="GO71" i="1" s="1"/>
  <c r="GB71" i="1" a="1"/>
  <c r="GB71" i="1" s="1"/>
  <c r="GP71" i="1" s="1"/>
  <c r="BX59" i="1" a="1"/>
  <c r="BX59" i="1" s="1"/>
  <c r="CC59" i="1" a="1"/>
  <c r="CC59" i="1" s="1"/>
  <c r="CH59" i="1" s="1"/>
  <c r="CD59" i="1" a="1"/>
  <c r="CD59" i="1" s="1"/>
  <c r="CA59" i="1" a="1"/>
  <c r="CA59" i="1" s="1"/>
  <c r="CO59" i="1" s="1"/>
  <c r="CB59" i="1" a="1"/>
  <c r="CB59" i="1" s="1"/>
  <c r="CN59" i="1" s="1"/>
  <c r="BY59" i="1" a="1"/>
  <c r="BY59" i="1" s="1"/>
  <c r="BZ59" i="1" a="1"/>
  <c r="BZ59" i="1" s="1"/>
  <c r="CE59" i="1" a="1"/>
  <c r="CE59" i="1" s="1"/>
  <c r="DU18" i="1"/>
  <c r="DV18" i="1" s="1"/>
  <c r="VK15" i="1" a="1"/>
  <c r="VK15" i="1" s="1"/>
  <c r="AKO15" i="1" a="1"/>
  <c r="AKO15" i="1" s="1"/>
  <c r="ALE15" i="1" a="1"/>
  <c r="ALE15" i="1" s="1"/>
  <c r="VD15" i="1" a="1"/>
  <c r="VD15" i="1" s="1"/>
  <c r="VT15" i="1" a="1"/>
  <c r="VT15" i="1" s="1"/>
  <c r="AKL15" i="1" a="1"/>
  <c r="AKL15" i="1" s="1"/>
  <c r="ALB15" i="1" a="1"/>
  <c r="ALB15" i="1" s="1"/>
  <c r="VI15" i="1" a="1"/>
  <c r="VI15" i="1" s="1"/>
  <c r="AKU15" i="1" a="1"/>
  <c r="AKU15" i="1" s="1"/>
  <c r="RL15" i="1"/>
  <c r="VB15" i="1" a="1"/>
  <c r="VB15" i="1" s="1"/>
  <c r="VR15" i="1" a="1"/>
  <c r="VR15" i="1" s="1"/>
  <c r="AKN15" i="1" a="1"/>
  <c r="AKN15" i="1" s="1"/>
  <c r="ALD15" i="1" a="1"/>
  <c r="ALD15" i="1" s="1"/>
  <c r="CG56" i="1"/>
  <c r="CI56" i="1" s="1"/>
  <c r="CJ56" i="1" s="1"/>
  <c r="ER59" i="1" a="1"/>
  <c r="ER59" i="1" s="1"/>
  <c r="EQ59" i="1" a="1"/>
  <c r="EQ59" i="1" s="1"/>
  <c r="ES59" i="1" a="1"/>
  <c r="ES59" i="1" s="1"/>
  <c r="FG59" i="1" s="1"/>
  <c r="EP59" i="1" a="1"/>
  <c r="EP59" i="1" s="1"/>
  <c r="EU59" i="1" a="1"/>
  <c r="EU59" i="1" s="1"/>
  <c r="EV59" i="1" a="1"/>
  <c r="EV59" i="1" s="1"/>
  <c r="EW59" i="1" a="1"/>
  <c r="EW59" i="1" s="1"/>
  <c r="ET59" i="1" a="1"/>
  <c r="ET59" i="1" s="1"/>
  <c r="FF59" i="1" s="1"/>
  <c r="AHB11" i="1"/>
  <c r="XZ11" i="1"/>
  <c r="SM11" i="1"/>
  <c r="SI11" i="1"/>
  <c r="YO11" i="1" s="1" a="1"/>
  <c r="YO11" i="1" s="1"/>
  <c r="YP11" i="1" s="1"/>
  <c r="YQ11" i="1"/>
  <c r="SL11" i="1"/>
  <c r="SK11" i="1"/>
  <c r="SJ11" i="1"/>
  <c r="CL75" i="1"/>
  <c r="CM75" i="1" s="1"/>
  <c r="DG26" i="1" a="1"/>
  <c r="DG26" i="1" s="1"/>
  <c r="DP26" i="1" s="1"/>
  <c r="DL26" i="1" a="1"/>
  <c r="DL26" i="1" s="1"/>
  <c r="DQ26" i="1" s="1"/>
  <c r="DI26" i="1" a="1"/>
  <c r="DI26" i="1" s="1"/>
  <c r="DN26" i="1" a="1"/>
  <c r="DN26" i="1" s="1"/>
  <c r="DK26" i="1" a="1"/>
  <c r="DK26" i="1" s="1"/>
  <c r="DW26" i="1" s="1"/>
  <c r="DH26" i="1" a="1"/>
  <c r="DH26" i="1" s="1"/>
  <c r="DM26" i="1" a="1"/>
  <c r="DM26" i="1" s="1"/>
  <c r="DJ26" i="1" a="1"/>
  <c r="DJ26" i="1" s="1"/>
  <c r="DX26" i="1" s="1"/>
  <c r="GM10" i="1"/>
  <c r="GN10" i="1" s="1"/>
  <c r="RX10" i="1"/>
  <c r="AHB10" i="1"/>
  <c r="EV60" i="1" a="1"/>
  <c r="EV60" i="1" s="1"/>
  <c r="EQ60" i="1" a="1"/>
  <c r="EQ60" i="1" s="1"/>
  <c r="ER60" i="1" a="1"/>
  <c r="ER60" i="1" s="1"/>
  <c r="EP60" i="1" a="1"/>
  <c r="EP60" i="1" s="1"/>
  <c r="ET60" i="1" a="1"/>
  <c r="ET60" i="1" s="1"/>
  <c r="FF60" i="1" s="1"/>
  <c r="EU60" i="1" a="1"/>
  <c r="EU60" i="1" s="1"/>
  <c r="ES60" i="1" a="1"/>
  <c r="ES60" i="1" s="1"/>
  <c r="FG60" i="1" s="1"/>
  <c r="EW60" i="1" a="1"/>
  <c r="EW60" i="1" s="1"/>
  <c r="EZ60" i="1"/>
  <c r="DP56" i="1"/>
  <c r="SK13" i="1"/>
  <c r="SM13" i="1"/>
  <c r="SL13" i="1"/>
  <c r="YQ13" i="1"/>
  <c r="XZ13" i="1"/>
  <c r="SJ13" i="1"/>
  <c r="SI13" i="1"/>
  <c r="YO13" i="1" s="1" a="1"/>
  <c r="YO13" i="1" s="1"/>
  <c r="YP13" i="1" s="1"/>
  <c r="RU77" i="1"/>
  <c r="KT61" i="1"/>
  <c r="KV61" i="1"/>
  <c r="KU61" i="1"/>
  <c r="QZ61" i="1"/>
  <c r="QI61" i="1"/>
  <c r="KS61" i="1"/>
  <c r="KR61" i="1"/>
  <c r="QX61" i="1" s="1" a="1"/>
  <c r="QX61" i="1" s="1"/>
  <c r="QY61" i="1" s="1"/>
  <c r="RU20" i="1"/>
  <c r="AKB19" i="1" a="1"/>
  <c r="AKB19" i="1" s="1"/>
  <c r="AJY19" i="1" a="1"/>
  <c r="AJY19" i="1" s="1"/>
  <c r="AJT19" i="1" a="1"/>
  <c r="AJT19" i="1" s="1"/>
  <c r="AJQ19" i="1" a="1"/>
  <c r="AJQ19" i="1" s="1"/>
  <c r="AJL19" i="1" a="1"/>
  <c r="AJL19" i="1" s="1"/>
  <c r="AJI19" i="1" a="1"/>
  <c r="AJI19" i="1" s="1"/>
  <c r="AJD19" i="1" a="1"/>
  <c r="AJD19" i="1" s="1"/>
  <c r="AJA19" i="1" a="1"/>
  <c r="AJA19" i="1" s="1"/>
  <c r="AIV19" i="1" a="1"/>
  <c r="AIV19" i="1" s="1"/>
  <c r="AIS19" i="1" a="1"/>
  <c r="AIS19" i="1" s="1"/>
  <c r="AIN19" i="1" a="1"/>
  <c r="AIN19" i="1" s="1"/>
  <c r="AIK19" i="1" a="1"/>
  <c r="AIK19" i="1" s="1"/>
  <c r="AIE19" i="1" a="1"/>
  <c r="AIE19" i="1" s="1"/>
  <c r="AIB19" i="1" a="1"/>
  <c r="AIB19" i="1" s="1"/>
  <c r="UP19" i="1" a="1"/>
  <c r="UP19" i="1" s="1"/>
  <c r="UM19" i="1" a="1"/>
  <c r="UM19" i="1" s="1"/>
  <c r="UH19" i="1" a="1"/>
  <c r="UH19" i="1" s="1"/>
  <c r="UE19" i="1" a="1"/>
  <c r="UE19" i="1" s="1"/>
  <c r="TZ19" i="1" a="1"/>
  <c r="TZ19" i="1" s="1"/>
  <c r="TW19" i="1" a="1"/>
  <c r="TW19" i="1" s="1"/>
  <c r="TR19" i="1" a="1"/>
  <c r="TR19" i="1" s="1"/>
  <c r="TO19" i="1" a="1"/>
  <c r="TO19" i="1" s="1"/>
  <c r="TJ19" i="1" a="1"/>
  <c r="TJ19" i="1" s="1"/>
  <c r="TG19" i="1" a="1"/>
  <c r="TG19" i="1" s="1"/>
  <c r="TB19" i="1" a="1"/>
  <c r="TB19" i="1" s="1"/>
  <c r="SY19" i="1" a="1"/>
  <c r="SY19" i="1" s="1"/>
  <c r="SS19" i="1" a="1"/>
  <c r="SS19" i="1" s="1"/>
  <c r="SP19" i="1" a="1"/>
  <c r="SP19" i="1" s="1"/>
  <c r="AKA19" i="1" a="1"/>
  <c r="AKA19" i="1" s="1"/>
  <c r="AJV19" i="1" a="1"/>
  <c r="AJV19" i="1" s="1"/>
  <c r="AJS19" i="1" a="1"/>
  <c r="AJS19" i="1" s="1"/>
  <c r="AJN19" i="1" a="1"/>
  <c r="AJN19" i="1" s="1"/>
  <c r="AJK19" i="1" a="1"/>
  <c r="AJK19" i="1" s="1"/>
  <c r="AJF19" i="1" a="1"/>
  <c r="AJF19" i="1" s="1"/>
  <c r="AJC19" i="1" a="1"/>
  <c r="AJC19" i="1" s="1"/>
  <c r="AIX19" i="1" a="1"/>
  <c r="AIX19" i="1" s="1"/>
  <c r="AIU19" i="1" a="1"/>
  <c r="AIU19" i="1" s="1"/>
  <c r="AIP19" i="1" a="1"/>
  <c r="AIP19" i="1" s="1"/>
  <c r="AIM19" i="1" a="1"/>
  <c r="AIM19" i="1" s="1"/>
  <c r="AIH19" i="1" a="1"/>
  <c r="AIH19" i="1" s="1"/>
  <c r="AID19" i="1" a="1"/>
  <c r="AID19" i="1" s="1"/>
  <c r="AHY19" i="1" a="1"/>
  <c r="AHY19" i="1" s="1"/>
  <c r="UR19" i="1" a="1"/>
  <c r="UR19" i="1" s="1"/>
  <c r="UO19" i="1" a="1"/>
  <c r="UO19" i="1" s="1"/>
  <c r="UJ19" i="1" a="1"/>
  <c r="UJ19" i="1" s="1"/>
  <c r="UG19" i="1" a="1"/>
  <c r="UG19" i="1" s="1"/>
  <c r="UB19" i="1" a="1"/>
  <c r="UB19" i="1" s="1"/>
  <c r="TY19" i="1" a="1"/>
  <c r="TY19" i="1" s="1"/>
  <c r="TT19" i="1" a="1"/>
  <c r="TT19" i="1" s="1"/>
  <c r="TQ19" i="1" a="1"/>
  <c r="TQ19" i="1" s="1"/>
  <c r="TL19" i="1" a="1"/>
  <c r="TL19" i="1" s="1"/>
  <c r="TI19" i="1" a="1"/>
  <c r="TI19" i="1" s="1"/>
  <c r="TD19" i="1" a="1"/>
  <c r="TD19" i="1" s="1"/>
  <c r="TA19" i="1" a="1"/>
  <c r="TA19" i="1" s="1"/>
  <c r="SU19" i="1" a="1"/>
  <c r="SU19" i="1" s="1"/>
  <c r="SR19" i="1" a="1"/>
  <c r="SR19" i="1" s="1"/>
  <c r="AKC19" i="1" a="1"/>
  <c r="AKC19" i="1" s="1"/>
  <c r="AJX19" i="1" a="1"/>
  <c r="AJX19" i="1" s="1"/>
  <c r="AJU19" i="1" a="1"/>
  <c r="AJU19" i="1" s="1"/>
  <c r="AJP19" i="1" a="1"/>
  <c r="AJP19" i="1" s="1"/>
  <c r="AJM19" i="1" a="1"/>
  <c r="AJM19" i="1" s="1"/>
  <c r="AJH19" i="1" a="1"/>
  <c r="AJH19" i="1" s="1"/>
  <c r="AJE19" i="1" a="1"/>
  <c r="AJE19" i="1" s="1"/>
  <c r="AIZ19" i="1" a="1"/>
  <c r="AIZ19" i="1" s="1"/>
  <c r="AIW19" i="1" a="1"/>
  <c r="AIW19" i="1" s="1"/>
  <c r="AIR19" i="1" a="1"/>
  <c r="AIR19" i="1" s="1"/>
  <c r="AIO19" i="1" a="1"/>
  <c r="AIO19" i="1" s="1"/>
  <c r="AIJ19" i="1" a="1"/>
  <c r="AIJ19" i="1" s="1"/>
  <c r="AIG19" i="1" a="1"/>
  <c r="AIG19" i="1" s="1"/>
  <c r="AIA19" i="1" a="1"/>
  <c r="AIA19" i="1" s="1"/>
  <c r="UQ19" i="1" a="1"/>
  <c r="UQ19" i="1" s="1"/>
  <c r="UL19" i="1" a="1"/>
  <c r="UL19" i="1" s="1"/>
  <c r="UI19" i="1" a="1"/>
  <c r="UI19" i="1" s="1"/>
  <c r="UD19" i="1" a="1"/>
  <c r="UD19" i="1" s="1"/>
  <c r="UA19" i="1" a="1"/>
  <c r="UA19" i="1" s="1"/>
  <c r="TV19" i="1" a="1"/>
  <c r="TV19" i="1" s="1"/>
  <c r="TS19" i="1" a="1"/>
  <c r="TS19" i="1" s="1"/>
  <c r="TN19" i="1" a="1"/>
  <c r="TN19" i="1" s="1"/>
  <c r="TK19" i="1" a="1"/>
  <c r="TK19" i="1" s="1"/>
  <c r="TF19" i="1" a="1"/>
  <c r="TF19" i="1" s="1"/>
  <c r="TC19" i="1" a="1"/>
  <c r="TC19" i="1" s="1"/>
  <c r="SX19" i="1" a="1"/>
  <c r="SX19" i="1" s="1"/>
  <c r="ST19" i="1" a="1"/>
  <c r="ST19" i="1" s="1"/>
  <c r="SO19" i="1" a="1"/>
  <c r="SO19" i="1" s="1"/>
  <c r="AJZ19" i="1" a="1"/>
  <c r="AJZ19" i="1" s="1"/>
  <c r="AJW19" i="1" a="1"/>
  <c r="AJW19" i="1" s="1"/>
  <c r="AJR19" i="1" a="1"/>
  <c r="AJR19" i="1" s="1"/>
  <c r="AJO19" i="1" a="1"/>
  <c r="AJO19" i="1" s="1"/>
  <c r="AJJ19" i="1" a="1"/>
  <c r="AJJ19" i="1" s="1"/>
  <c r="AJG19" i="1" a="1"/>
  <c r="AJG19" i="1" s="1"/>
  <c r="AJB19" i="1" a="1"/>
  <c r="AJB19" i="1" s="1"/>
  <c r="AIY19" i="1" a="1"/>
  <c r="AIY19" i="1" s="1"/>
  <c r="AIT19" i="1" a="1"/>
  <c r="AIT19" i="1" s="1"/>
  <c r="AIQ19" i="1" a="1"/>
  <c r="AIQ19" i="1" s="1"/>
  <c r="AIL19" i="1" a="1"/>
  <c r="AIL19" i="1" s="1"/>
  <c r="AII19" i="1" a="1"/>
  <c r="AII19" i="1" s="1"/>
  <c r="AIC19" i="1" a="1"/>
  <c r="AIC19" i="1" s="1"/>
  <c r="AHZ19" i="1" a="1"/>
  <c r="AHZ19" i="1" s="1"/>
  <c r="US19" i="1" a="1"/>
  <c r="US19" i="1" s="1"/>
  <c r="UN19" i="1" a="1"/>
  <c r="UN19" i="1" s="1"/>
  <c r="UK19" i="1" a="1"/>
  <c r="UK19" i="1" s="1"/>
  <c r="UF19" i="1" a="1"/>
  <c r="UF19" i="1" s="1"/>
  <c r="UC19" i="1" a="1"/>
  <c r="UC19" i="1" s="1"/>
  <c r="TX19" i="1" a="1"/>
  <c r="TX19" i="1" s="1"/>
  <c r="TU19" i="1" a="1"/>
  <c r="TU19" i="1" s="1"/>
  <c r="TP19" i="1" a="1"/>
  <c r="TP19" i="1" s="1"/>
  <c r="TM19" i="1" a="1"/>
  <c r="TM19" i="1" s="1"/>
  <c r="TH19" i="1" a="1"/>
  <c r="TH19" i="1" s="1"/>
  <c r="TE19" i="1" a="1"/>
  <c r="TE19" i="1" s="1"/>
  <c r="SZ19" i="1" a="1"/>
  <c r="SZ19" i="1" s="1"/>
  <c r="SW19" i="1" a="1"/>
  <c r="SW19" i="1" s="1"/>
  <c r="SQ19" i="1" a="1"/>
  <c r="SQ19" i="1" s="1"/>
  <c r="RL19" i="1"/>
  <c r="VN19" i="1" a="1"/>
  <c r="VN19" i="1" s="1"/>
  <c r="AKO19" i="1" a="1"/>
  <c r="AKO19" i="1" s="1"/>
  <c r="ALE19" i="1" a="1"/>
  <c r="ALE19" i="1" s="1"/>
  <c r="SH19" i="1"/>
  <c r="VL19" i="1" a="1"/>
  <c r="VL19" i="1" s="1"/>
  <c r="AKP19" i="1" a="1"/>
  <c r="AKP19" i="1" s="1"/>
  <c r="ALF19" i="1" a="1"/>
  <c r="ALF19" i="1" s="1"/>
  <c r="VO19" i="1" a="1"/>
  <c r="VO19" i="1" s="1"/>
  <c r="AKN19" i="1" a="1"/>
  <c r="AKN19" i="1" s="1"/>
  <c r="ALD19" i="1" a="1"/>
  <c r="ALD19" i="1" s="1"/>
  <c r="VM19" i="1" a="1"/>
  <c r="VM19" i="1" s="1"/>
  <c r="AHH19" i="1"/>
  <c r="AKY19" i="1" a="1"/>
  <c r="AKY19" i="1" s="1"/>
  <c r="EW72" i="1" a="1"/>
  <c r="EW72" i="1" s="1"/>
  <c r="ET72" i="1" a="1"/>
  <c r="ET72" i="1" s="1"/>
  <c r="FF72" i="1" s="1"/>
  <c r="EU72" i="1" a="1"/>
  <c r="EU72" i="1" s="1"/>
  <c r="ER72" i="1" a="1"/>
  <c r="ER72" i="1" s="1"/>
  <c r="ES72" i="1" a="1"/>
  <c r="ES72" i="1" s="1"/>
  <c r="FG72" i="1" s="1"/>
  <c r="EP72" i="1" a="1"/>
  <c r="EP72" i="1" s="1"/>
  <c r="EQ72" i="1" a="1"/>
  <c r="EQ72" i="1" s="1"/>
  <c r="EV72" i="1" a="1"/>
  <c r="EV72" i="1" s="1"/>
  <c r="DL74" i="1" a="1"/>
  <c r="DL74" i="1" s="1"/>
  <c r="DQ74" i="1" s="1"/>
  <c r="DH74" i="1" a="1"/>
  <c r="DH74" i="1" s="1"/>
  <c r="DK74" i="1" a="1"/>
  <c r="DK74" i="1" s="1"/>
  <c r="DW74" i="1" s="1"/>
  <c r="DG74" i="1" a="1"/>
  <c r="DG74" i="1" s="1"/>
  <c r="DN74" i="1" a="1"/>
  <c r="DN74" i="1" s="1"/>
  <c r="DJ74" i="1" a="1"/>
  <c r="DJ74" i="1" s="1"/>
  <c r="DX74" i="1" s="1"/>
  <c r="DM74" i="1" a="1"/>
  <c r="DM74" i="1" s="1"/>
  <c r="DI74" i="1" a="1"/>
  <c r="DI74" i="1" s="1"/>
  <c r="RU62" i="1"/>
  <c r="RO21" i="1"/>
  <c r="KT21" i="1"/>
  <c r="QI21" i="1"/>
  <c r="KV21" i="1"/>
  <c r="KR21" i="1"/>
  <c r="QX21" i="1" s="1" a="1"/>
  <c r="QX21" i="1" s="1"/>
  <c r="QY21" i="1" s="1"/>
  <c r="KU21" i="1"/>
  <c r="QZ21" i="1"/>
  <c r="KS21" i="1"/>
  <c r="AKR21" i="1" a="1"/>
  <c r="AKR21" i="1" s="1"/>
  <c r="RU21" i="1"/>
  <c r="VK21" i="1" a="1"/>
  <c r="VK21" i="1" s="1"/>
  <c r="AKO21" i="1" a="1"/>
  <c r="AKO21" i="1" s="1"/>
  <c r="ALE21" i="1" a="1"/>
  <c r="ALE21" i="1" s="1"/>
  <c r="VD21" i="1" a="1"/>
  <c r="VD21" i="1" s="1"/>
  <c r="VT21" i="1" a="1"/>
  <c r="VT21" i="1" s="1"/>
  <c r="AKL21" i="1" a="1"/>
  <c r="AKL21" i="1" s="1"/>
  <c r="GJ19" i="1"/>
  <c r="GK19" i="1" s="1"/>
  <c r="AHE18" i="1"/>
  <c r="BZ76" i="1" a="1"/>
  <c r="BZ76" i="1" s="1"/>
  <c r="CD76" i="1" a="1"/>
  <c r="CD76" i="1" s="1"/>
  <c r="BX76" i="1" a="1"/>
  <c r="BX76" i="1" s="1"/>
  <c r="CG76" i="1" s="1"/>
  <c r="CI76" i="1" s="1"/>
  <c r="CJ76" i="1" s="1"/>
  <c r="CA76" i="1" a="1"/>
  <c r="CA76" i="1" s="1"/>
  <c r="CO76" i="1" s="1"/>
  <c r="BY76" i="1" a="1"/>
  <c r="BY76" i="1" s="1"/>
  <c r="CE76" i="1" a="1"/>
  <c r="CE76" i="1" s="1"/>
  <c r="CC76" i="1" a="1"/>
  <c r="CC76" i="1" s="1"/>
  <c r="CH76" i="1" s="1"/>
  <c r="CB76" i="1" a="1"/>
  <c r="CB76" i="1" s="1"/>
  <c r="CN76" i="1" s="1"/>
  <c r="DP72" i="1"/>
  <c r="DM72" i="1" a="1"/>
  <c r="DM72" i="1" s="1"/>
  <c r="DL72" i="1" a="1"/>
  <c r="DL72" i="1" s="1"/>
  <c r="DK72" i="1" a="1"/>
  <c r="DK72" i="1" s="1"/>
  <c r="DW72" i="1" s="1"/>
  <c r="DJ72" i="1" a="1"/>
  <c r="DJ72" i="1" s="1"/>
  <c r="DX72" i="1" s="1"/>
  <c r="DI72" i="1" a="1"/>
  <c r="DI72" i="1" s="1"/>
  <c r="DH72" i="1" a="1"/>
  <c r="DH72" i="1" s="1"/>
  <c r="DG72" i="1" a="1"/>
  <c r="DG72" i="1" s="1"/>
  <c r="DN72" i="1" a="1"/>
  <c r="DN72" i="1" s="1"/>
  <c r="EV63" i="1" a="1"/>
  <c r="EV63" i="1" s="1"/>
  <c r="ES63" i="1" a="1"/>
  <c r="ES63" i="1" s="1"/>
  <c r="FG63" i="1" s="1"/>
  <c r="EW63" i="1" a="1"/>
  <c r="EW63" i="1" s="1"/>
  <c r="EQ63" i="1" a="1"/>
  <c r="EQ63" i="1" s="1"/>
  <c r="ET63" i="1" a="1"/>
  <c r="ET63" i="1" s="1"/>
  <c r="FF63" i="1" s="1"/>
  <c r="EP63" i="1" a="1"/>
  <c r="EP63" i="1" s="1"/>
  <c r="EY63" i="1" s="1"/>
  <c r="FA63" i="1" s="1"/>
  <c r="FB63" i="1" s="1"/>
  <c r="ER63" i="1" a="1"/>
  <c r="ER63" i="1" s="1"/>
  <c r="EU63" i="1" a="1"/>
  <c r="EU63" i="1" s="1"/>
  <c r="CE26" i="1" a="1"/>
  <c r="CE26" i="1" s="1"/>
  <c r="CC26" i="1" a="1"/>
  <c r="CC26" i="1" s="1"/>
  <c r="CA26" i="1" a="1"/>
  <c r="CA26" i="1" s="1"/>
  <c r="BY26" i="1" a="1"/>
  <c r="BY26" i="1" s="1"/>
  <c r="CD26" i="1" a="1"/>
  <c r="CD26" i="1" s="1"/>
  <c r="BX26" i="1" a="1"/>
  <c r="BX26" i="1" s="1"/>
  <c r="BZ26" i="1" a="1"/>
  <c r="BZ26" i="1" s="1"/>
  <c r="CB26" i="1" a="1"/>
  <c r="CB26" i="1" s="1"/>
  <c r="CN26" i="1" s="1"/>
  <c r="FH18" i="1"/>
  <c r="FI18" i="1" s="1"/>
  <c r="FJ18" i="1" s="1"/>
  <c r="CO10" i="1"/>
  <c r="HX10" i="1"/>
  <c r="HY10" i="1" s="1"/>
  <c r="HZ10" i="1" s="1"/>
  <c r="EV76" i="1" a="1"/>
  <c r="EV76" i="1" s="1"/>
  <c r="EQ76" i="1" a="1"/>
  <c r="EQ76" i="1" s="1"/>
  <c r="ER76" i="1" a="1"/>
  <c r="ER76" i="1" s="1"/>
  <c r="EW76" i="1" a="1"/>
  <c r="EW76" i="1" s="1"/>
  <c r="ET76" i="1" a="1"/>
  <c r="ET76" i="1" s="1"/>
  <c r="FF76" i="1" s="1"/>
  <c r="EU76" i="1" a="1"/>
  <c r="EU76" i="1" s="1"/>
  <c r="EP76" i="1" a="1"/>
  <c r="EP76" i="1" s="1"/>
  <c r="EY76" i="1" s="1"/>
  <c r="FA76" i="1" s="1"/>
  <c r="FB76" i="1" s="1"/>
  <c r="ES76" i="1" a="1"/>
  <c r="ES76" i="1" s="1"/>
  <c r="FG76" i="1" s="1"/>
  <c r="EY74" i="1"/>
  <c r="EV74" i="1" a="1"/>
  <c r="EV74" i="1" s="1"/>
  <c r="ER74" i="1" a="1"/>
  <c r="ER74" i="1" s="1"/>
  <c r="EU74" i="1" a="1"/>
  <c r="EU74" i="1" s="1"/>
  <c r="EZ74" i="1" s="1"/>
  <c r="EQ74" i="1" a="1"/>
  <c r="EQ74" i="1" s="1"/>
  <c r="ET74" i="1" a="1"/>
  <c r="ET74" i="1" s="1"/>
  <c r="FF74" i="1" s="1"/>
  <c r="EP74" i="1" a="1"/>
  <c r="EP74" i="1" s="1"/>
  <c r="EW74" i="1" a="1"/>
  <c r="EW74" i="1" s="1"/>
  <c r="ES74" i="1" a="1"/>
  <c r="ES74" i="1" s="1"/>
  <c r="FG74" i="1" s="1"/>
  <c r="AHE60" i="1"/>
  <c r="AHB58" i="1"/>
  <c r="DJ59" i="1" a="1"/>
  <c r="DJ59" i="1" s="1"/>
  <c r="DX59" i="1" s="1"/>
  <c r="DK59" i="1" a="1"/>
  <c r="DK59" i="1" s="1"/>
  <c r="DW59" i="1" s="1"/>
  <c r="DH59" i="1" a="1"/>
  <c r="DH59" i="1" s="1"/>
  <c r="DM59" i="1" a="1"/>
  <c r="DM59" i="1" s="1"/>
  <c r="DN59" i="1" a="1"/>
  <c r="DN59" i="1" s="1"/>
  <c r="DL59" i="1" a="1"/>
  <c r="DL59" i="1" s="1"/>
  <c r="DG59" i="1" a="1"/>
  <c r="DG59" i="1" s="1"/>
  <c r="DP59" i="1" s="1"/>
  <c r="DR59" i="1" s="1"/>
  <c r="DS59" i="1" s="1"/>
  <c r="DI59" i="1" a="1"/>
  <c r="DI59" i="1" s="1"/>
  <c r="HX62" i="1"/>
  <c r="HY62" i="1" s="1"/>
  <c r="HZ62" i="1" s="1"/>
  <c r="DR76" i="1"/>
  <c r="DS76" i="1" s="1"/>
  <c r="CA78" i="1" a="1"/>
  <c r="CA78" i="1" s="1"/>
  <c r="CO78" i="1" s="1"/>
  <c r="BY78" i="1" a="1"/>
  <c r="BY78" i="1" s="1"/>
  <c r="CE78" i="1" a="1"/>
  <c r="CE78" i="1" s="1"/>
  <c r="CC78" i="1" a="1"/>
  <c r="CC78" i="1" s="1"/>
  <c r="CH78" i="1" s="1"/>
  <c r="CD78" i="1" a="1"/>
  <c r="CD78" i="1" s="1"/>
  <c r="BX78" i="1" a="1"/>
  <c r="BX78" i="1" s="1"/>
  <c r="BZ78" i="1" a="1"/>
  <c r="BZ78" i="1" s="1"/>
  <c r="CB78" i="1" a="1"/>
  <c r="CB78" i="1" s="1"/>
  <c r="CN78" i="1" s="1"/>
  <c r="GC58" i="1" a="1"/>
  <c r="GC58" i="1" s="1"/>
  <c r="GO58" i="1" s="1"/>
  <c r="GB58" i="1" a="1"/>
  <c r="GB58" i="1" s="1"/>
  <c r="GP58" i="1" s="1"/>
  <c r="FZ58" i="1" a="1"/>
  <c r="FZ58" i="1" s="1"/>
  <c r="GA58" i="1" a="1"/>
  <c r="GA58" i="1" s="1"/>
  <c r="GF58" i="1" a="1"/>
  <c r="GF58" i="1" s="1"/>
  <c r="GD58" i="1" a="1"/>
  <c r="GD58" i="1" s="1"/>
  <c r="FY58" i="1" a="1"/>
  <c r="FY58" i="1" s="1"/>
  <c r="GH58" i="1" s="1"/>
  <c r="GJ58" i="1" s="1"/>
  <c r="GK58" i="1" s="1"/>
  <c r="ACI22" i="1" a="1"/>
  <c r="ACI22" i="1" s="1"/>
  <c r="ACE22" i="1" a="1"/>
  <c r="ACE22" i="1" s="1"/>
  <c r="ACA22" i="1" a="1"/>
  <c r="ACA22" i="1" s="1"/>
  <c r="ABW22" i="1" a="1"/>
  <c r="ABW22" i="1" s="1"/>
  <c r="ABS22" i="1" a="1"/>
  <c r="ABS22" i="1" s="1"/>
  <c r="ABO22" i="1" a="1"/>
  <c r="ABO22" i="1" s="1"/>
  <c r="ABK22" i="1" a="1"/>
  <c r="ABK22" i="1" s="1"/>
  <c r="ABG22" i="1" a="1"/>
  <c r="ABG22" i="1" s="1"/>
  <c r="ABC22" i="1" a="1"/>
  <c r="ABC22" i="1" s="1"/>
  <c r="AAY22" i="1" a="1"/>
  <c r="AAY22" i="1" s="1"/>
  <c r="AAU22" i="1" a="1"/>
  <c r="AAU22" i="1" s="1"/>
  <c r="AAQ22" i="1" a="1"/>
  <c r="AAQ22" i="1" s="1"/>
  <c r="AAL22" i="1" a="1"/>
  <c r="AAL22" i="1" s="1"/>
  <c r="AAH22" i="1" a="1"/>
  <c r="AAH22" i="1" s="1"/>
  <c r="NA22" i="1" a="1"/>
  <c r="NA22" i="1" s="1"/>
  <c r="MW22" i="1" a="1"/>
  <c r="MW22" i="1" s="1"/>
  <c r="MS22" i="1" a="1"/>
  <c r="MS22" i="1" s="1"/>
  <c r="MO22" i="1" a="1"/>
  <c r="MO22" i="1" s="1"/>
  <c r="MK22" i="1" a="1"/>
  <c r="MK22" i="1" s="1"/>
  <c r="MG22" i="1" a="1"/>
  <c r="MG22" i="1" s="1"/>
  <c r="MC22" i="1" a="1"/>
  <c r="MC22" i="1" s="1"/>
  <c r="LY22" i="1" a="1"/>
  <c r="LY22" i="1" s="1"/>
  <c r="LU22" i="1" a="1"/>
  <c r="LU22" i="1" s="1"/>
  <c r="LQ22" i="1" a="1"/>
  <c r="LQ22" i="1" s="1"/>
  <c r="LM22" i="1" a="1"/>
  <c r="LM22" i="1" s="1"/>
  <c r="LI22" i="1" a="1"/>
  <c r="LI22" i="1" s="1"/>
  <c r="LD22" i="1" a="1"/>
  <c r="LD22" i="1" s="1"/>
  <c r="KZ22" i="1" a="1"/>
  <c r="KZ22" i="1" s="1"/>
  <c r="ACL22" i="1" a="1"/>
  <c r="ACL22" i="1" s="1"/>
  <c r="ACH22" i="1" a="1"/>
  <c r="ACH22" i="1" s="1"/>
  <c r="ACD22" i="1" a="1"/>
  <c r="ACD22" i="1" s="1"/>
  <c r="ABZ22" i="1" a="1"/>
  <c r="ABZ22" i="1" s="1"/>
  <c r="ABV22" i="1" a="1"/>
  <c r="ABV22" i="1" s="1"/>
  <c r="ABR22" i="1" a="1"/>
  <c r="ABR22" i="1" s="1"/>
  <c r="ABN22" i="1" a="1"/>
  <c r="ABN22" i="1" s="1"/>
  <c r="ABJ22" i="1" a="1"/>
  <c r="ABJ22" i="1" s="1"/>
  <c r="ABF22" i="1" a="1"/>
  <c r="ABF22" i="1" s="1"/>
  <c r="ABB22" i="1" a="1"/>
  <c r="ABB22" i="1" s="1"/>
  <c r="AAX22" i="1" a="1"/>
  <c r="AAX22" i="1" s="1"/>
  <c r="AAT22" i="1" a="1"/>
  <c r="AAT22" i="1" s="1"/>
  <c r="AAP22" i="1" a="1"/>
  <c r="AAP22" i="1" s="1"/>
  <c r="AAK22" i="1" a="1"/>
  <c r="AAK22" i="1" s="1"/>
  <c r="MZ22" i="1" a="1"/>
  <c r="MZ22" i="1" s="1"/>
  <c r="MV22" i="1" a="1"/>
  <c r="MV22" i="1" s="1"/>
  <c r="MR22" i="1" a="1"/>
  <c r="MR22" i="1" s="1"/>
  <c r="MN22" i="1" a="1"/>
  <c r="MN22" i="1" s="1"/>
  <c r="MJ22" i="1" a="1"/>
  <c r="MJ22" i="1" s="1"/>
  <c r="MF22" i="1" a="1"/>
  <c r="MF22" i="1" s="1"/>
  <c r="MB22" i="1" a="1"/>
  <c r="MB22" i="1" s="1"/>
  <c r="LX22" i="1" a="1"/>
  <c r="LX22" i="1" s="1"/>
  <c r="LT22" i="1" a="1"/>
  <c r="LT22" i="1" s="1"/>
  <c r="LP22" i="1" a="1"/>
  <c r="LP22" i="1" s="1"/>
  <c r="LL22" i="1" a="1"/>
  <c r="LL22" i="1" s="1"/>
  <c r="LH22" i="1" a="1"/>
  <c r="LH22" i="1" s="1"/>
  <c r="LC22" i="1" a="1"/>
  <c r="LC22" i="1" s="1"/>
  <c r="KY22" i="1" a="1"/>
  <c r="KY22" i="1" s="1"/>
  <c r="ACK22" i="1" a="1"/>
  <c r="ACK22" i="1" s="1"/>
  <c r="ACG22" i="1" a="1"/>
  <c r="ACG22" i="1" s="1"/>
  <c r="ACC22" i="1" a="1"/>
  <c r="ACC22" i="1" s="1"/>
  <c r="ABY22" i="1" a="1"/>
  <c r="ABY22" i="1" s="1"/>
  <c r="ABU22" i="1" a="1"/>
  <c r="ABU22" i="1" s="1"/>
  <c r="ABQ22" i="1" a="1"/>
  <c r="ABQ22" i="1" s="1"/>
  <c r="ABM22" i="1" a="1"/>
  <c r="ABM22" i="1" s="1"/>
  <c r="ABI22" i="1" a="1"/>
  <c r="ABI22" i="1" s="1"/>
  <c r="ABE22" i="1" a="1"/>
  <c r="ABE22" i="1" s="1"/>
  <c r="ABA22" i="1" a="1"/>
  <c r="ABA22" i="1" s="1"/>
  <c r="AAW22" i="1" a="1"/>
  <c r="AAW22" i="1" s="1"/>
  <c r="AAS22" i="1" a="1"/>
  <c r="AAS22" i="1" s="1"/>
  <c r="AAN22" i="1" a="1"/>
  <c r="AAN22" i="1" s="1"/>
  <c r="AAJ22" i="1" a="1"/>
  <c r="AAJ22" i="1" s="1"/>
  <c r="MY22" i="1" a="1"/>
  <c r="MY22" i="1" s="1"/>
  <c r="MU22" i="1" a="1"/>
  <c r="MU22" i="1" s="1"/>
  <c r="MQ22" i="1" a="1"/>
  <c r="MQ22" i="1" s="1"/>
  <c r="MM22" i="1" a="1"/>
  <c r="MM22" i="1" s="1"/>
  <c r="MI22" i="1" a="1"/>
  <c r="MI22" i="1" s="1"/>
  <c r="ME22" i="1" a="1"/>
  <c r="ME22" i="1" s="1"/>
  <c r="MA22" i="1" a="1"/>
  <c r="MA22" i="1" s="1"/>
  <c r="LW22" i="1" a="1"/>
  <c r="LW22" i="1" s="1"/>
  <c r="LS22" i="1" a="1"/>
  <c r="LS22" i="1" s="1"/>
  <c r="LO22" i="1" a="1"/>
  <c r="LO22" i="1" s="1"/>
  <c r="LK22" i="1" a="1"/>
  <c r="LK22" i="1" s="1"/>
  <c r="LG22" i="1" a="1"/>
  <c r="LG22" i="1" s="1"/>
  <c r="LB22" i="1" a="1"/>
  <c r="LB22" i="1" s="1"/>
  <c r="KX22" i="1" a="1"/>
  <c r="KX22" i="1" s="1"/>
  <c r="ACJ22" i="1" a="1"/>
  <c r="ACJ22" i="1" s="1"/>
  <c r="ACF22" i="1" a="1"/>
  <c r="ACF22" i="1" s="1"/>
  <c r="ACB22" i="1" a="1"/>
  <c r="ACB22" i="1" s="1"/>
  <c r="ABX22" i="1" a="1"/>
  <c r="ABX22" i="1" s="1"/>
  <c r="ABT22" i="1" a="1"/>
  <c r="ABT22" i="1" s="1"/>
  <c r="ABP22" i="1" a="1"/>
  <c r="ABP22" i="1" s="1"/>
  <c r="ABL22" i="1" a="1"/>
  <c r="ABL22" i="1" s="1"/>
  <c r="ABH22" i="1" a="1"/>
  <c r="ABH22" i="1" s="1"/>
  <c r="ABD22" i="1" a="1"/>
  <c r="ABD22" i="1" s="1"/>
  <c r="AAZ22" i="1" a="1"/>
  <c r="AAZ22" i="1" s="1"/>
  <c r="AAV22" i="1" a="1"/>
  <c r="AAV22" i="1" s="1"/>
  <c r="AAR22" i="1" a="1"/>
  <c r="AAR22" i="1" s="1"/>
  <c r="AAM22" i="1" a="1"/>
  <c r="AAM22" i="1" s="1"/>
  <c r="AAI22" i="1" a="1"/>
  <c r="AAI22" i="1" s="1"/>
  <c r="NB22" i="1" a="1"/>
  <c r="NB22" i="1" s="1"/>
  <c r="MX22" i="1" a="1"/>
  <c r="MX22" i="1" s="1"/>
  <c r="MT22" i="1" a="1"/>
  <c r="MT22" i="1" s="1"/>
  <c r="MP22" i="1" a="1"/>
  <c r="MP22" i="1" s="1"/>
  <c r="ML22" i="1" a="1"/>
  <c r="ML22" i="1" s="1"/>
  <c r="MH22" i="1" a="1"/>
  <c r="MH22" i="1" s="1"/>
  <c r="MD22" i="1" a="1"/>
  <c r="MD22" i="1" s="1"/>
  <c r="LZ22" i="1" a="1"/>
  <c r="LZ22" i="1" s="1"/>
  <c r="LV22" i="1" a="1"/>
  <c r="LV22" i="1" s="1"/>
  <c r="LR22" i="1" a="1"/>
  <c r="LR22" i="1" s="1"/>
  <c r="LN22" i="1" a="1"/>
  <c r="LN22" i="1" s="1"/>
  <c r="LJ22" i="1" a="1"/>
  <c r="LJ22" i="1" s="1"/>
  <c r="LF22" i="1" a="1"/>
  <c r="LF22" i="1" s="1"/>
  <c r="LA22" i="1" a="1"/>
  <c r="LA22" i="1" s="1"/>
  <c r="AFS22" i="1"/>
  <c r="AAF22" i="1"/>
  <c r="AAB22" i="1"/>
  <c r="AGH22" i="1" s="1" a="1"/>
  <c r="AGH22" i="1" s="1"/>
  <c r="AGI22" i="1" s="1"/>
  <c r="AAD22" i="1"/>
  <c r="AAE22" i="1"/>
  <c r="AGJ22" i="1"/>
  <c r="AAC22" i="1"/>
  <c r="GD78" i="1" a="1"/>
  <c r="GD78" i="1" s="1"/>
  <c r="GI78" i="1" s="1"/>
  <c r="FZ78" i="1" a="1"/>
  <c r="FZ78" i="1" s="1"/>
  <c r="GF78" i="1" a="1"/>
  <c r="GF78" i="1" s="1"/>
  <c r="GC78" i="1" a="1"/>
  <c r="GC78" i="1" s="1"/>
  <c r="GO78" i="1" s="1"/>
  <c r="FY78" i="1" a="1"/>
  <c r="FY78" i="1" s="1"/>
  <c r="GA78" i="1" a="1"/>
  <c r="GA78" i="1" s="1"/>
  <c r="GB78" i="1" a="1"/>
  <c r="GB78" i="1" s="1"/>
  <c r="GP78" i="1" s="1"/>
  <c r="RX72" i="1"/>
  <c r="EZ61" i="1"/>
  <c r="BZ58" i="1" a="1"/>
  <c r="BZ58" i="1" s="1"/>
  <c r="BX58" i="1" a="1"/>
  <c r="BX58" i="1" s="1"/>
  <c r="BY58" i="1" a="1"/>
  <c r="BY58" i="1" s="1"/>
  <c r="CE58" i="1" a="1"/>
  <c r="CE58" i="1" s="1"/>
  <c r="CC58" i="1" a="1"/>
  <c r="CC58" i="1" s="1"/>
  <c r="CH58" i="1" s="1"/>
  <c r="CD58" i="1" a="1"/>
  <c r="CD58" i="1" s="1"/>
  <c r="CA58" i="1" a="1"/>
  <c r="CA58" i="1" s="1"/>
  <c r="CO58" i="1" s="1"/>
  <c r="CB58" i="1" a="1"/>
  <c r="CB58" i="1" s="1"/>
  <c r="CN58" i="1" s="1"/>
  <c r="VL22" i="1" a="1"/>
  <c r="VL22" i="1" s="1"/>
  <c r="AKT22" i="1" a="1"/>
  <c r="AKT22" i="1" s="1"/>
  <c r="VE22" i="1" a="1"/>
  <c r="VE22" i="1" s="1"/>
  <c r="VU22" i="1" a="1"/>
  <c r="VU22" i="1" s="1"/>
  <c r="AKQ22" i="1" a="1"/>
  <c r="AKQ22" i="1" s="1"/>
  <c r="QI22" i="1"/>
  <c r="KV22" i="1"/>
  <c r="RU22" i="1" s="1"/>
  <c r="KR22" i="1"/>
  <c r="QX22" i="1" s="1" a="1"/>
  <c r="QX22" i="1" s="1"/>
  <c r="QY22" i="1" s="1"/>
  <c r="KT22" i="1"/>
  <c r="RX22" i="1" s="1"/>
  <c r="QZ22" i="1"/>
  <c r="KS22" i="1"/>
  <c r="KU22" i="1"/>
  <c r="RR22" i="1" s="1"/>
  <c r="VF22" i="1" a="1"/>
  <c r="VF22" i="1" s="1"/>
  <c r="VV22" i="1" a="1"/>
  <c r="VV22" i="1" s="1"/>
  <c r="AKR22" i="1" a="1"/>
  <c r="AKR22" i="1" s="1"/>
  <c r="VO22" i="1" a="1"/>
  <c r="VO22" i="1" s="1"/>
  <c r="AKS22" i="1" a="1"/>
  <c r="AKS22" i="1" s="1"/>
  <c r="AKZ22" i="1" a="1"/>
  <c r="AKZ22" i="1" s="1"/>
  <c r="VJ16" i="1" a="1"/>
  <c r="VJ16" i="1" s="1"/>
  <c r="AKV16" i="1" a="1"/>
  <c r="AKV16" i="1" s="1"/>
  <c r="VO16" i="1" a="1"/>
  <c r="VO16" i="1" s="1"/>
  <c r="AKS16" i="1" a="1"/>
  <c r="AKS16" i="1" s="1"/>
  <c r="ACK16" i="1" a="1"/>
  <c r="ACK16" i="1" s="1"/>
  <c r="ACG16" i="1" a="1"/>
  <c r="ACG16" i="1" s="1"/>
  <c r="ACC16" i="1" a="1"/>
  <c r="ACC16" i="1" s="1"/>
  <c r="ABY16" i="1" a="1"/>
  <c r="ABY16" i="1" s="1"/>
  <c r="ABU16" i="1" a="1"/>
  <c r="ABU16" i="1" s="1"/>
  <c r="ABQ16" i="1" a="1"/>
  <c r="ABQ16" i="1" s="1"/>
  <c r="ABM16" i="1" a="1"/>
  <c r="ABM16" i="1" s="1"/>
  <c r="ABI16" i="1" a="1"/>
  <c r="ABI16" i="1" s="1"/>
  <c r="ABE16" i="1" a="1"/>
  <c r="ABE16" i="1" s="1"/>
  <c r="ABA16" i="1" a="1"/>
  <c r="ABA16" i="1" s="1"/>
  <c r="AAW16" i="1" a="1"/>
  <c r="AAW16" i="1" s="1"/>
  <c r="AAS16" i="1" a="1"/>
  <c r="AAS16" i="1" s="1"/>
  <c r="AAN16" i="1" a="1"/>
  <c r="AAN16" i="1" s="1"/>
  <c r="AAJ16" i="1" a="1"/>
  <c r="AAJ16" i="1" s="1"/>
  <c r="MY16" i="1" a="1"/>
  <c r="MY16" i="1" s="1"/>
  <c r="MU16" i="1" a="1"/>
  <c r="MU16" i="1" s="1"/>
  <c r="MQ16" i="1" a="1"/>
  <c r="MQ16" i="1" s="1"/>
  <c r="MM16" i="1" a="1"/>
  <c r="MM16" i="1" s="1"/>
  <c r="MI16" i="1" a="1"/>
  <c r="MI16" i="1" s="1"/>
  <c r="ME16" i="1" a="1"/>
  <c r="ME16" i="1" s="1"/>
  <c r="MA16" i="1" a="1"/>
  <c r="MA16" i="1" s="1"/>
  <c r="LW16" i="1" a="1"/>
  <c r="LW16" i="1" s="1"/>
  <c r="LS16" i="1" a="1"/>
  <c r="LS16" i="1" s="1"/>
  <c r="LO16" i="1" a="1"/>
  <c r="LO16" i="1" s="1"/>
  <c r="LK16" i="1" a="1"/>
  <c r="LK16" i="1" s="1"/>
  <c r="LG16" i="1" a="1"/>
  <c r="LG16" i="1" s="1"/>
  <c r="LB16" i="1" a="1"/>
  <c r="LB16" i="1" s="1"/>
  <c r="KX16" i="1" a="1"/>
  <c r="KX16" i="1" s="1"/>
  <c r="ACJ16" i="1" a="1"/>
  <c r="ACJ16" i="1" s="1"/>
  <c r="ACF16" i="1" a="1"/>
  <c r="ACF16" i="1" s="1"/>
  <c r="ACB16" i="1" a="1"/>
  <c r="ACB16" i="1" s="1"/>
  <c r="ABX16" i="1" a="1"/>
  <c r="ABX16" i="1" s="1"/>
  <c r="ABT16" i="1" a="1"/>
  <c r="ABT16" i="1" s="1"/>
  <c r="ABP16" i="1" a="1"/>
  <c r="ABP16" i="1" s="1"/>
  <c r="ABL16" i="1" a="1"/>
  <c r="ABL16" i="1" s="1"/>
  <c r="ABH16" i="1" a="1"/>
  <c r="ABH16" i="1" s="1"/>
  <c r="ABD16" i="1" a="1"/>
  <c r="ABD16" i="1" s="1"/>
  <c r="AAZ16" i="1" a="1"/>
  <c r="AAZ16" i="1" s="1"/>
  <c r="AAV16" i="1" a="1"/>
  <c r="AAV16" i="1" s="1"/>
  <c r="AAR16" i="1" a="1"/>
  <c r="AAR16" i="1" s="1"/>
  <c r="AAM16" i="1" a="1"/>
  <c r="AAM16" i="1" s="1"/>
  <c r="AAI16" i="1" a="1"/>
  <c r="AAI16" i="1" s="1"/>
  <c r="NB16" i="1" a="1"/>
  <c r="NB16" i="1" s="1"/>
  <c r="MX16" i="1" a="1"/>
  <c r="MX16" i="1" s="1"/>
  <c r="MT16" i="1" a="1"/>
  <c r="MT16" i="1" s="1"/>
  <c r="MP16" i="1" a="1"/>
  <c r="MP16" i="1" s="1"/>
  <c r="ML16" i="1" a="1"/>
  <c r="ML16" i="1" s="1"/>
  <c r="MH16" i="1" a="1"/>
  <c r="MH16" i="1" s="1"/>
  <c r="MD16" i="1" a="1"/>
  <c r="MD16" i="1" s="1"/>
  <c r="LZ16" i="1" a="1"/>
  <c r="LZ16" i="1" s="1"/>
  <c r="LV16" i="1" a="1"/>
  <c r="LV16" i="1" s="1"/>
  <c r="LR16" i="1" a="1"/>
  <c r="LR16" i="1" s="1"/>
  <c r="LN16" i="1" a="1"/>
  <c r="LN16" i="1" s="1"/>
  <c r="LJ16" i="1" a="1"/>
  <c r="LJ16" i="1" s="1"/>
  <c r="LF16" i="1" a="1"/>
  <c r="LF16" i="1" s="1"/>
  <c r="LA16" i="1" a="1"/>
  <c r="LA16" i="1" s="1"/>
  <c r="ACI16" i="1" a="1"/>
  <c r="ACI16" i="1" s="1"/>
  <c r="ACE16" i="1" a="1"/>
  <c r="ACE16" i="1" s="1"/>
  <c r="ACA16" i="1" a="1"/>
  <c r="ACA16" i="1" s="1"/>
  <c r="ABW16" i="1" a="1"/>
  <c r="ABW16" i="1" s="1"/>
  <c r="ABS16" i="1" a="1"/>
  <c r="ABS16" i="1" s="1"/>
  <c r="ABO16" i="1" a="1"/>
  <c r="ABO16" i="1" s="1"/>
  <c r="ABK16" i="1" a="1"/>
  <c r="ABK16" i="1" s="1"/>
  <c r="ABG16" i="1" a="1"/>
  <c r="ABG16" i="1" s="1"/>
  <c r="ABC16" i="1" a="1"/>
  <c r="ABC16" i="1" s="1"/>
  <c r="AAY16" i="1" a="1"/>
  <c r="AAY16" i="1" s="1"/>
  <c r="AAU16" i="1" a="1"/>
  <c r="AAU16" i="1" s="1"/>
  <c r="AAQ16" i="1" a="1"/>
  <c r="AAQ16" i="1" s="1"/>
  <c r="AAL16" i="1" a="1"/>
  <c r="AAL16" i="1" s="1"/>
  <c r="AAH16" i="1" a="1"/>
  <c r="AAH16" i="1" s="1"/>
  <c r="NA16" i="1" a="1"/>
  <c r="NA16" i="1" s="1"/>
  <c r="MW16" i="1" a="1"/>
  <c r="MW16" i="1" s="1"/>
  <c r="MS16" i="1" a="1"/>
  <c r="MS16" i="1" s="1"/>
  <c r="MO16" i="1" a="1"/>
  <c r="MO16" i="1" s="1"/>
  <c r="MK16" i="1" a="1"/>
  <c r="MK16" i="1" s="1"/>
  <c r="MG16" i="1" a="1"/>
  <c r="MG16" i="1" s="1"/>
  <c r="MC16" i="1" a="1"/>
  <c r="MC16" i="1" s="1"/>
  <c r="LY16" i="1" a="1"/>
  <c r="LY16" i="1" s="1"/>
  <c r="LU16" i="1" a="1"/>
  <c r="LU16" i="1" s="1"/>
  <c r="LQ16" i="1" a="1"/>
  <c r="LQ16" i="1" s="1"/>
  <c r="LM16" i="1" a="1"/>
  <c r="LM16" i="1" s="1"/>
  <c r="LI16" i="1" a="1"/>
  <c r="LI16" i="1" s="1"/>
  <c r="LD16" i="1" a="1"/>
  <c r="LD16" i="1" s="1"/>
  <c r="KZ16" i="1" a="1"/>
  <c r="KZ16" i="1" s="1"/>
  <c r="ACL16" i="1" a="1"/>
  <c r="ACL16" i="1" s="1"/>
  <c r="ACH16" i="1" a="1"/>
  <c r="ACH16" i="1" s="1"/>
  <c r="ACD16" i="1" a="1"/>
  <c r="ACD16" i="1" s="1"/>
  <c r="ABZ16" i="1" a="1"/>
  <c r="ABZ16" i="1" s="1"/>
  <c r="ABV16" i="1" a="1"/>
  <c r="ABV16" i="1" s="1"/>
  <c r="ABR16" i="1" a="1"/>
  <c r="ABR16" i="1" s="1"/>
  <c r="ABN16" i="1" a="1"/>
  <c r="ABN16" i="1" s="1"/>
  <c r="ABJ16" i="1" a="1"/>
  <c r="ABJ16" i="1" s="1"/>
  <c r="ABF16" i="1" a="1"/>
  <c r="ABF16" i="1" s="1"/>
  <c r="ABB16" i="1" a="1"/>
  <c r="ABB16" i="1" s="1"/>
  <c r="AAX16" i="1" a="1"/>
  <c r="AAX16" i="1" s="1"/>
  <c r="AAT16" i="1" a="1"/>
  <c r="AAT16" i="1" s="1"/>
  <c r="AAP16" i="1" a="1"/>
  <c r="AAP16" i="1" s="1"/>
  <c r="AAK16" i="1" a="1"/>
  <c r="AAK16" i="1" s="1"/>
  <c r="MZ16" i="1" a="1"/>
  <c r="MZ16" i="1" s="1"/>
  <c r="MV16" i="1" a="1"/>
  <c r="MV16" i="1" s="1"/>
  <c r="MR16" i="1" a="1"/>
  <c r="MR16" i="1" s="1"/>
  <c r="MN16" i="1" a="1"/>
  <c r="MN16" i="1" s="1"/>
  <c r="MJ16" i="1" a="1"/>
  <c r="MJ16" i="1" s="1"/>
  <c r="MF16" i="1" a="1"/>
  <c r="MF16" i="1" s="1"/>
  <c r="MB16" i="1" a="1"/>
  <c r="MB16" i="1" s="1"/>
  <c r="LX16" i="1" a="1"/>
  <c r="LX16" i="1" s="1"/>
  <c r="LT16" i="1" a="1"/>
  <c r="LT16" i="1" s="1"/>
  <c r="LP16" i="1" a="1"/>
  <c r="LP16" i="1" s="1"/>
  <c r="LL16" i="1" a="1"/>
  <c r="LL16" i="1" s="1"/>
  <c r="LH16" i="1" a="1"/>
  <c r="LH16" i="1" s="1"/>
  <c r="LC16" i="1" a="1"/>
  <c r="LC16" i="1" s="1"/>
  <c r="KY16" i="1" a="1"/>
  <c r="KY16" i="1" s="1"/>
  <c r="RR16" i="1"/>
  <c r="VH16" i="1" a="1"/>
  <c r="VH16" i="1" s="1"/>
  <c r="AAD16" i="1"/>
  <c r="AHH16" i="1" s="1"/>
  <c r="AFS16" i="1"/>
  <c r="AAF16" i="1"/>
  <c r="AHE16" i="1" s="1"/>
  <c r="AAB16" i="1"/>
  <c r="AGH16" i="1" s="1" a="1"/>
  <c r="AGH16" i="1" s="1"/>
  <c r="AGI16" i="1" s="1"/>
  <c r="AGJ16" i="1"/>
  <c r="AAC16" i="1"/>
  <c r="AAE16" i="1"/>
  <c r="AHB16" i="1" s="1"/>
  <c r="AKP16" i="1" a="1"/>
  <c r="AKP16" i="1" s="1"/>
  <c r="ALF16" i="1" a="1"/>
  <c r="ALF16" i="1" s="1"/>
  <c r="RO16" i="1"/>
  <c r="SH16" i="1"/>
  <c r="VM16" i="1" a="1"/>
  <c r="VM16" i="1" s="1"/>
  <c r="GM73" i="1"/>
  <c r="GN73" i="1" s="1"/>
  <c r="EZ55" i="1"/>
  <c r="ET55" i="1" a="1"/>
  <c r="ET55" i="1" s="1"/>
  <c r="FF55" i="1" s="1"/>
  <c r="EQ55" i="1" a="1"/>
  <c r="EQ55" i="1" s="1"/>
  <c r="EU55" i="1" a="1"/>
  <c r="EU55" i="1" s="1"/>
  <c r="EP55" i="1" a="1"/>
  <c r="EP55" i="1" s="1"/>
  <c r="EY55" i="1" s="1"/>
  <c r="FA55" i="1" s="1"/>
  <c r="FB55" i="1" s="1"/>
  <c r="EV55" i="1" a="1"/>
  <c r="EV55" i="1" s="1"/>
  <c r="ER55" i="1" a="1"/>
  <c r="ER55" i="1" s="1"/>
  <c r="EW55" i="1" a="1"/>
  <c r="EW55" i="1" s="1"/>
  <c r="ES55" i="1" a="1"/>
  <c r="ES55" i="1" s="1"/>
  <c r="FG55" i="1" s="1"/>
  <c r="CH26" i="1"/>
  <c r="DU19" i="1"/>
  <c r="DV19" i="1" s="1"/>
  <c r="VO12" i="1" a="1"/>
  <c r="VO12" i="1" s="1"/>
  <c r="AKN12" i="1" a="1"/>
  <c r="AKN12" i="1" s="1"/>
  <c r="ALD12" i="1" a="1"/>
  <c r="ALD12" i="1" s="1"/>
  <c r="VM12" i="1" a="1"/>
  <c r="VM12" i="1" s="1"/>
  <c r="AHH12" i="1"/>
  <c r="AKY12" i="1" a="1"/>
  <c r="AKY12" i="1" s="1"/>
  <c r="KT12" i="1"/>
  <c r="RX12" i="1" s="1"/>
  <c r="KR12" i="1"/>
  <c r="QX12" i="1" s="1" a="1"/>
  <c r="QX12" i="1" s="1"/>
  <c r="QY12" i="1" s="1"/>
  <c r="KV12" i="1"/>
  <c r="RU12" i="1" s="1"/>
  <c r="KU12" i="1"/>
  <c r="QZ12" i="1"/>
  <c r="QI12" i="1"/>
  <c r="KS12" i="1"/>
  <c r="VC12" i="1" a="1"/>
  <c r="VC12" i="1" s="1"/>
  <c r="VS12" i="1" a="1"/>
  <c r="VS12" i="1" s="1"/>
  <c r="AKR12" i="1" a="1"/>
  <c r="AKR12" i="1" s="1"/>
  <c r="RR12" i="1"/>
  <c r="VL12" i="1" a="1"/>
  <c r="VL12" i="1" s="1"/>
  <c r="AKP12" i="1" a="1"/>
  <c r="AKP12" i="1" s="1"/>
  <c r="ALF12" i="1" a="1"/>
  <c r="ALF12" i="1" s="1"/>
  <c r="FY77" i="1" a="1"/>
  <c r="FY77" i="1" s="1"/>
  <c r="GA77" i="1" a="1"/>
  <c r="GA77" i="1" s="1"/>
  <c r="GC77" i="1" a="1"/>
  <c r="GC77" i="1" s="1"/>
  <c r="GO77" i="1" s="1"/>
  <c r="FZ77" i="1" a="1"/>
  <c r="FZ77" i="1" s="1"/>
  <c r="GB77" i="1" a="1"/>
  <c r="GB77" i="1" s="1"/>
  <c r="GP77" i="1" s="1"/>
  <c r="GF77" i="1" a="1"/>
  <c r="GF77" i="1" s="1"/>
  <c r="GD77" i="1" a="1"/>
  <c r="GD77" i="1" s="1"/>
  <c r="GI77" i="1" s="1"/>
  <c r="HX22" i="1"/>
  <c r="HY22" i="1" s="1"/>
  <c r="HZ22" i="1" s="1"/>
  <c r="DR17" i="1"/>
  <c r="DS17" i="1" s="1"/>
  <c r="GH76" i="1"/>
  <c r="GJ76" i="1" s="1"/>
  <c r="GK76" i="1" s="1"/>
  <c r="GA59" i="1" a="1"/>
  <c r="GA59" i="1" s="1"/>
  <c r="FY59" i="1" a="1"/>
  <c r="FY59" i="1" s="1"/>
  <c r="GH59" i="1" s="1"/>
  <c r="GJ59" i="1" s="1"/>
  <c r="GK59" i="1" s="1"/>
  <c r="FZ59" i="1" a="1"/>
  <c r="FZ59" i="1" s="1"/>
  <c r="GF59" i="1" a="1"/>
  <c r="GF59" i="1" s="1"/>
  <c r="GB59" i="1" a="1"/>
  <c r="GB59" i="1" s="1"/>
  <c r="GP59" i="1" s="1"/>
  <c r="GC59" i="1" a="1"/>
  <c r="GC59" i="1" s="1"/>
  <c r="GO59" i="1" s="1"/>
  <c r="GD59" i="1" a="1"/>
  <c r="GD59" i="1" s="1"/>
  <c r="GI59" i="1" s="1"/>
  <c r="VO15" i="1" a="1"/>
  <c r="VO15" i="1" s="1"/>
  <c r="AKS15" i="1" a="1"/>
  <c r="AKS15" i="1" s="1"/>
  <c r="ACL15" i="1" a="1"/>
  <c r="ACL15" i="1" s="1"/>
  <c r="ACH15" i="1" a="1"/>
  <c r="ACH15" i="1" s="1"/>
  <c r="ACD15" i="1" a="1"/>
  <c r="ACD15" i="1" s="1"/>
  <c r="ABZ15" i="1" a="1"/>
  <c r="ABZ15" i="1" s="1"/>
  <c r="ABV15" i="1" a="1"/>
  <c r="ABV15" i="1" s="1"/>
  <c r="ABR15" i="1" a="1"/>
  <c r="ABR15" i="1" s="1"/>
  <c r="ABN15" i="1" a="1"/>
  <c r="ABN15" i="1" s="1"/>
  <c r="ABJ15" i="1" a="1"/>
  <c r="ABJ15" i="1" s="1"/>
  <c r="ABF15" i="1" a="1"/>
  <c r="ABF15" i="1" s="1"/>
  <c r="ABB15" i="1" a="1"/>
  <c r="ABB15" i="1" s="1"/>
  <c r="AAX15" i="1" a="1"/>
  <c r="AAX15" i="1" s="1"/>
  <c r="AAT15" i="1" a="1"/>
  <c r="AAT15" i="1" s="1"/>
  <c r="AAP15" i="1" a="1"/>
  <c r="AAP15" i="1" s="1"/>
  <c r="AAK15" i="1" a="1"/>
  <c r="AAK15" i="1" s="1"/>
  <c r="MZ15" i="1" a="1"/>
  <c r="MZ15" i="1" s="1"/>
  <c r="MV15" i="1" a="1"/>
  <c r="MV15" i="1" s="1"/>
  <c r="MR15" i="1" a="1"/>
  <c r="MR15" i="1" s="1"/>
  <c r="MN15" i="1" a="1"/>
  <c r="MN15" i="1" s="1"/>
  <c r="MJ15" i="1" a="1"/>
  <c r="MJ15" i="1" s="1"/>
  <c r="MF15" i="1" a="1"/>
  <c r="MF15" i="1" s="1"/>
  <c r="MB15" i="1" a="1"/>
  <c r="MB15" i="1" s="1"/>
  <c r="LX15" i="1" a="1"/>
  <c r="LX15" i="1" s="1"/>
  <c r="LT15" i="1" a="1"/>
  <c r="LT15" i="1" s="1"/>
  <c r="LP15" i="1" a="1"/>
  <c r="LP15" i="1" s="1"/>
  <c r="LL15" i="1" a="1"/>
  <c r="LL15" i="1" s="1"/>
  <c r="LH15" i="1" a="1"/>
  <c r="LH15" i="1" s="1"/>
  <c r="LC15" i="1" a="1"/>
  <c r="LC15" i="1" s="1"/>
  <c r="KY15" i="1" a="1"/>
  <c r="KY15" i="1" s="1"/>
  <c r="ACK15" i="1" a="1"/>
  <c r="ACK15" i="1" s="1"/>
  <c r="ACG15" i="1" a="1"/>
  <c r="ACG15" i="1" s="1"/>
  <c r="ACC15" i="1" a="1"/>
  <c r="ACC15" i="1" s="1"/>
  <c r="ABY15" i="1" a="1"/>
  <c r="ABY15" i="1" s="1"/>
  <c r="ABU15" i="1" a="1"/>
  <c r="ABU15" i="1" s="1"/>
  <c r="ABQ15" i="1" a="1"/>
  <c r="ABQ15" i="1" s="1"/>
  <c r="ABM15" i="1" a="1"/>
  <c r="ABM15" i="1" s="1"/>
  <c r="ABI15" i="1" a="1"/>
  <c r="ABI15" i="1" s="1"/>
  <c r="ABE15" i="1" a="1"/>
  <c r="ABE15" i="1" s="1"/>
  <c r="ABA15" i="1" a="1"/>
  <c r="ABA15" i="1" s="1"/>
  <c r="AAW15" i="1" a="1"/>
  <c r="AAW15" i="1" s="1"/>
  <c r="AAS15" i="1" a="1"/>
  <c r="AAS15" i="1" s="1"/>
  <c r="AAN15" i="1" a="1"/>
  <c r="AAN15" i="1" s="1"/>
  <c r="AAJ15" i="1" a="1"/>
  <c r="AAJ15" i="1" s="1"/>
  <c r="MY15" i="1" a="1"/>
  <c r="MY15" i="1" s="1"/>
  <c r="MU15" i="1" a="1"/>
  <c r="MU15" i="1" s="1"/>
  <c r="MQ15" i="1" a="1"/>
  <c r="MQ15" i="1" s="1"/>
  <c r="MM15" i="1" a="1"/>
  <c r="MM15" i="1" s="1"/>
  <c r="MI15" i="1" a="1"/>
  <c r="MI15" i="1" s="1"/>
  <c r="ME15" i="1" a="1"/>
  <c r="ME15" i="1" s="1"/>
  <c r="MA15" i="1" a="1"/>
  <c r="MA15" i="1" s="1"/>
  <c r="LW15" i="1" a="1"/>
  <c r="LW15" i="1" s="1"/>
  <c r="LS15" i="1" a="1"/>
  <c r="LS15" i="1" s="1"/>
  <c r="LO15" i="1" a="1"/>
  <c r="LO15" i="1" s="1"/>
  <c r="LK15" i="1" a="1"/>
  <c r="LK15" i="1" s="1"/>
  <c r="LG15" i="1" a="1"/>
  <c r="LG15" i="1" s="1"/>
  <c r="LB15" i="1" a="1"/>
  <c r="LB15" i="1" s="1"/>
  <c r="KX15" i="1" a="1"/>
  <c r="KX15" i="1" s="1"/>
  <c r="ACJ15" i="1" a="1"/>
  <c r="ACJ15" i="1" s="1"/>
  <c r="ACF15" i="1" a="1"/>
  <c r="ACF15" i="1" s="1"/>
  <c r="ACB15" i="1" a="1"/>
  <c r="ACB15" i="1" s="1"/>
  <c r="ABX15" i="1" a="1"/>
  <c r="ABX15" i="1" s="1"/>
  <c r="ABT15" i="1" a="1"/>
  <c r="ABT15" i="1" s="1"/>
  <c r="ABP15" i="1" a="1"/>
  <c r="ABP15" i="1" s="1"/>
  <c r="ABL15" i="1" a="1"/>
  <c r="ABL15" i="1" s="1"/>
  <c r="ABH15" i="1" a="1"/>
  <c r="ABH15" i="1" s="1"/>
  <c r="ABD15" i="1" a="1"/>
  <c r="ABD15" i="1" s="1"/>
  <c r="AAZ15" i="1" a="1"/>
  <c r="AAZ15" i="1" s="1"/>
  <c r="AAV15" i="1" a="1"/>
  <c r="AAV15" i="1" s="1"/>
  <c r="AAR15" i="1" a="1"/>
  <c r="AAR15" i="1" s="1"/>
  <c r="AAM15" i="1" a="1"/>
  <c r="AAM15" i="1" s="1"/>
  <c r="AAI15" i="1" a="1"/>
  <c r="AAI15" i="1" s="1"/>
  <c r="NB15" i="1" a="1"/>
  <c r="NB15" i="1" s="1"/>
  <c r="MX15" i="1" a="1"/>
  <c r="MX15" i="1" s="1"/>
  <c r="MT15" i="1" a="1"/>
  <c r="MT15" i="1" s="1"/>
  <c r="MP15" i="1" a="1"/>
  <c r="MP15" i="1" s="1"/>
  <c r="ML15" i="1" a="1"/>
  <c r="ML15" i="1" s="1"/>
  <c r="MH15" i="1" a="1"/>
  <c r="MH15" i="1" s="1"/>
  <c r="MD15" i="1" a="1"/>
  <c r="MD15" i="1" s="1"/>
  <c r="LZ15" i="1" a="1"/>
  <c r="LZ15" i="1" s="1"/>
  <c r="LV15" i="1" a="1"/>
  <c r="LV15" i="1" s="1"/>
  <c r="LR15" i="1" a="1"/>
  <c r="LR15" i="1" s="1"/>
  <c r="LN15" i="1" a="1"/>
  <c r="LN15" i="1" s="1"/>
  <c r="LJ15" i="1" a="1"/>
  <c r="LJ15" i="1" s="1"/>
  <c r="LF15" i="1" a="1"/>
  <c r="LF15" i="1" s="1"/>
  <c r="LA15" i="1" a="1"/>
  <c r="LA15" i="1" s="1"/>
  <c r="ACI15" i="1" a="1"/>
  <c r="ACI15" i="1" s="1"/>
  <c r="ACE15" i="1" a="1"/>
  <c r="ACE15" i="1" s="1"/>
  <c r="ACA15" i="1" a="1"/>
  <c r="ACA15" i="1" s="1"/>
  <c r="ABW15" i="1" a="1"/>
  <c r="ABW15" i="1" s="1"/>
  <c r="ABS15" i="1" a="1"/>
  <c r="ABS15" i="1" s="1"/>
  <c r="ABO15" i="1" a="1"/>
  <c r="ABO15" i="1" s="1"/>
  <c r="ABK15" i="1" a="1"/>
  <c r="ABK15" i="1" s="1"/>
  <c r="ABG15" i="1" a="1"/>
  <c r="ABG15" i="1" s="1"/>
  <c r="ABC15" i="1" a="1"/>
  <c r="ABC15" i="1" s="1"/>
  <c r="AAY15" i="1" a="1"/>
  <c r="AAY15" i="1" s="1"/>
  <c r="AAU15" i="1" a="1"/>
  <c r="AAU15" i="1" s="1"/>
  <c r="AAQ15" i="1" a="1"/>
  <c r="AAQ15" i="1" s="1"/>
  <c r="AAL15" i="1" a="1"/>
  <c r="AAL15" i="1" s="1"/>
  <c r="AAH15" i="1" a="1"/>
  <c r="AAH15" i="1" s="1"/>
  <c r="NA15" i="1" a="1"/>
  <c r="NA15" i="1" s="1"/>
  <c r="MW15" i="1" a="1"/>
  <c r="MW15" i="1" s="1"/>
  <c r="MS15" i="1" a="1"/>
  <c r="MS15" i="1" s="1"/>
  <c r="MO15" i="1" a="1"/>
  <c r="MO15" i="1" s="1"/>
  <c r="MK15" i="1" a="1"/>
  <c r="MK15" i="1" s="1"/>
  <c r="MG15" i="1" a="1"/>
  <c r="MG15" i="1" s="1"/>
  <c r="MC15" i="1" a="1"/>
  <c r="MC15" i="1" s="1"/>
  <c r="LY15" i="1" a="1"/>
  <c r="LY15" i="1" s="1"/>
  <c r="LU15" i="1" a="1"/>
  <c r="LU15" i="1" s="1"/>
  <c r="LQ15" i="1" a="1"/>
  <c r="LQ15" i="1" s="1"/>
  <c r="LM15" i="1" a="1"/>
  <c r="LM15" i="1" s="1"/>
  <c r="LI15" i="1" a="1"/>
  <c r="LI15" i="1" s="1"/>
  <c r="LD15" i="1" a="1"/>
  <c r="LD15" i="1" s="1"/>
  <c r="KZ15" i="1" a="1"/>
  <c r="KZ15" i="1" s="1"/>
  <c r="VH15" i="1" a="1"/>
  <c r="VH15" i="1" s="1"/>
  <c r="AFS15" i="1"/>
  <c r="AAF15" i="1"/>
  <c r="AAB15" i="1"/>
  <c r="AGH15" i="1" s="1" a="1"/>
  <c r="AGH15" i="1" s="1"/>
  <c r="AGI15" i="1" s="1"/>
  <c r="AAD15" i="1"/>
  <c r="AHH15" i="1" s="1"/>
  <c r="AAE15" i="1"/>
  <c r="AGJ15" i="1"/>
  <c r="AAC15" i="1"/>
  <c r="AKP15" i="1" a="1"/>
  <c r="AKP15" i="1" s="1"/>
  <c r="ALF15" i="1" a="1"/>
  <c r="ALF15" i="1" s="1"/>
  <c r="RO15" i="1"/>
  <c r="VM15" i="1" a="1"/>
  <c r="VM15" i="1" s="1"/>
  <c r="AKY15" i="1" a="1"/>
  <c r="AKY15" i="1" s="1"/>
  <c r="QI15" i="1"/>
  <c r="KV15" i="1"/>
  <c r="RU15" i="1" s="1"/>
  <c r="KR15" i="1"/>
  <c r="QX15" i="1" s="1" a="1"/>
  <c r="QX15" i="1" s="1"/>
  <c r="QY15" i="1" s="1"/>
  <c r="KT15" i="1"/>
  <c r="RX15" i="1" s="1"/>
  <c r="KU15" i="1"/>
  <c r="RR15" i="1" s="1"/>
  <c r="QZ15" i="1"/>
  <c r="KS15" i="1"/>
  <c r="VF15" i="1" a="1"/>
  <c r="VF15" i="1" s="1"/>
  <c r="VV15" i="1" a="1"/>
  <c r="VV15" i="1" s="1"/>
  <c r="AHB15" i="1"/>
  <c r="CE74" i="1" a="1"/>
  <c r="CE74" i="1" s="1"/>
  <c r="CC74" i="1" a="1"/>
  <c r="CC74" i="1" s="1"/>
  <c r="CH74" i="1" s="1"/>
  <c r="CA74" i="1" a="1"/>
  <c r="CA74" i="1" s="1"/>
  <c r="BY74" i="1" a="1"/>
  <c r="BY74" i="1" s="1"/>
  <c r="CB74" i="1" a="1"/>
  <c r="CB74" i="1" s="1"/>
  <c r="CN74" i="1" s="1"/>
  <c r="CD74" i="1" a="1"/>
  <c r="CD74" i="1" s="1"/>
  <c r="BX74" i="1" a="1"/>
  <c r="BX74" i="1" s="1"/>
  <c r="CG74" i="1" s="1"/>
  <c r="BZ74" i="1" a="1"/>
  <c r="BZ74" i="1" s="1"/>
  <c r="AAD61" i="1"/>
  <c r="AGJ61" i="1"/>
  <c r="AAE61" i="1"/>
  <c r="AAC61" i="1"/>
  <c r="AFS61" i="1"/>
  <c r="AAB61" i="1"/>
  <c r="AGH61" i="1" s="1" a="1"/>
  <c r="AGH61" i="1" s="1"/>
  <c r="AGI61" i="1" s="1"/>
  <c r="AAF61" i="1"/>
  <c r="AGY61" i="1"/>
  <c r="RU60" i="1"/>
  <c r="EV58" i="1" a="1"/>
  <c r="EV58" i="1" s="1"/>
  <c r="EQ58" i="1" a="1"/>
  <c r="EQ58" i="1" s="1"/>
  <c r="EW58" i="1" a="1"/>
  <c r="EW58" i="1" s="1"/>
  <c r="ER58" i="1" a="1"/>
  <c r="ER58" i="1" s="1"/>
  <c r="EU58" i="1" a="1"/>
  <c r="EU58" i="1" s="1"/>
  <c r="EP58" i="1" a="1"/>
  <c r="EP58" i="1" s="1"/>
  <c r="ET58" i="1" a="1"/>
  <c r="ET58" i="1" s="1"/>
  <c r="FF58" i="1" s="1"/>
  <c r="ES58" i="1" a="1"/>
  <c r="ES58" i="1" s="1"/>
  <c r="FG58" i="1" s="1"/>
  <c r="EZ58" i="1"/>
  <c r="GH56" i="1"/>
  <c r="GJ56" i="1" s="1"/>
  <c r="GK56" i="1" s="1"/>
  <c r="RR17" i="1"/>
  <c r="FD12" i="1"/>
  <c r="FE12" i="1" s="1"/>
  <c r="CG78" i="1"/>
  <c r="CI78" i="1" s="1"/>
  <c r="CJ78" i="1" s="1"/>
  <c r="DL61" i="1" a="1"/>
  <c r="DL61" i="1" s="1"/>
  <c r="DI61" i="1" a="1"/>
  <c r="DI61" i="1" s="1"/>
  <c r="DN61" i="1" a="1"/>
  <c r="DN61" i="1" s="1"/>
  <c r="DK61" i="1" a="1"/>
  <c r="DK61" i="1" s="1"/>
  <c r="DW61" i="1" s="1"/>
  <c r="DJ61" i="1" a="1"/>
  <c r="DJ61" i="1" s="1"/>
  <c r="DX61" i="1" s="1"/>
  <c r="DG61" i="1" a="1"/>
  <c r="DG61" i="1" s="1"/>
  <c r="DP61" i="1" s="1"/>
  <c r="DR61" i="1" s="1"/>
  <c r="DS61" i="1" s="1"/>
  <c r="DH61" i="1" a="1"/>
  <c r="DH61" i="1" s="1"/>
  <c r="DM61" i="1" a="1"/>
  <c r="DM61" i="1" s="1"/>
  <c r="GI55" i="1"/>
  <c r="QI56" i="1"/>
  <c r="KV56" i="1"/>
  <c r="KR56" i="1"/>
  <c r="QX56" i="1" s="1" a="1"/>
  <c r="QX56" i="1" s="1"/>
  <c r="QY56" i="1" s="1"/>
  <c r="QZ56" i="1"/>
  <c r="KS56" i="1"/>
  <c r="KU56" i="1"/>
  <c r="KT56" i="1"/>
  <c r="RO56" i="1"/>
  <c r="ANJ14" i="1"/>
  <c r="AHW14" i="1"/>
  <c r="AHS14" i="1"/>
  <c r="ANY14" i="1" s="1" a="1"/>
  <c r="ANY14" i="1" s="1"/>
  <c r="ANZ14" i="1" s="1"/>
  <c r="AHU14" i="1"/>
  <c r="AHV14" i="1"/>
  <c r="AOA14" i="1"/>
  <c r="AHT14" i="1"/>
  <c r="FH16" i="1"/>
  <c r="FI16" i="1" s="1"/>
  <c r="FJ16" i="1" s="1"/>
  <c r="HX72" i="1"/>
  <c r="HY72" i="1" s="1"/>
  <c r="HZ72" i="1" s="1"/>
  <c r="FA56" i="1"/>
  <c r="FB56" i="1" s="1"/>
  <c r="FD56" i="1" s="1"/>
  <c r="FE56" i="1" s="1"/>
  <c r="RR10" i="1"/>
  <c r="GM15" i="1"/>
  <c r="GN15" i="1" s="1"/>
  <c r="DR12" i="1"/>
  <c r="DS12" i="1" s="1"/>
  <c r="DU12" i="1" s="1"/>
  <c r="DV12" i="1" s="1"/>
  <c r="AHH78" i="1"/>
  <c r="CG77" i="1"/>
  <c r="CI77" i="1" s="1"/>
  <c r="CJ77" i="1" s="1"/>
  <c r="EY60" i="1"/>
  <c r="FA60" i="1" s="1"/>
  <c r="FB60" i="1" s="1"/>
  <c r="CG58" i="1"/>
  <c r="DQ56" i="1"/>
  <c r="CO11" i="1"/>
  <c r="HX11" i="1"/>
  <c r="HY11" i="1" s="1"/>
  <c r="HZ11" i="1" s="1"/>
  <c r="RX77" i="1"/>
  <c r="GJ62" i="1"/>
  <c r="GK62" i="1" s="1"/>
  <c r="GM62" i="1" s="1"/>
  <c r="GN62" i="1" s="1"/>
  <c r="XZ61" i="1"/>
  <c r="SM61" i="1"/>
  <c r="SI61" i="1"/>
  <c r="YO61" i="1" s="1" a="1"/>
  <c r="YO61" i="1" s="1"/>
  <c r="YP61" i="1" s="1"/>
  <c r="SL61" i="1"/>
  <c r="SK61" i="1"/>
  <c r="YQ61" i="1"/>
  <c r="SJ61" i="1"/>
  <c r="AQ26" i="1" a="1"/>
  <c r="AQ26" i="1" s="1"/>
  <c r="AKQ26" i="1" s="1" a="1"/>
  <c r="AKQ26" i="1" s="1"/>
  <c r="AAA26" i="1"/>
  <c r="KQ26" i="1"/>
  <c r="AR26" i="1" a="1"/>
  <c r="AR26" i="1" s="1"/>
  <c r="AHR26" i="1" s="1"/>
  <c r="AP26" i="1" a="1"/>
  <c r="AP26" i="1" s="1"/>
  <c r="ADO26" i="1" a="1"/>
  <c r="ADO26" i="1" s="1"/>
  <c r="ADG26" i="1" a="1"/>
  <c r="ADG26" i="1" s="1"/>
  <c r="ACY26" i="1" a="1"/>
  <c r="ACY26" i="1" s="1"/>
  <c r="ADP26" i="1" a="1"/>
  <c r="ADP26" i="1" s="1"/>
  <c r="ADH26" i="1" a="1"/>
  <c r="ADH26" i="1" s="1"/>
  <c r="ACZ26" i="1" a="1"/>
  <c r="ACZ26" i="1" s="1"/>
  <c r="NJ26" i="1" a="1"/>
  <c r="NJ26" i="1" s="1"/>
  <c r="NR26" i="1" a="1"/>
  <c r="NR26" i="1" s="1"/>
  <c r="NZ26" i="1" a="1"/>
  <c r="NZ26" i="1" s="1"/>
  <c r="NK26" i="1" a="1"/>
  <c r="NK26" i="1" s="1"/>
  <c r="NS26" i="1" a="1"/>
  <c r="NS26" i="1" s="1"/>
  <c r="OA26" i="1" a="1"/>
  <c r="OA26" i="1" s="1"/>
  <c r="ADM26" i="1" a="1"/>
  <c r="ADM26" i="1" s="1"/>
  <c r="ADE26" i="1" a="1"/>
  <c r="ADE26" i="1" s="1"/>
  <c r="ACW26" i="1" a="1"/>
  <c r="ACW26" i="1" s="1"/>
  <c r="ADN26" i="1" a="1"/>
  <c r="ADN26" i="1" s="1"/>
  <c r="ADF26" i="1" a="1"/>
  <c r="ADF26" i="1" s="1"/>
  <c r="ACX26" i="1" a="1"/>
  <c r="ACX26" i="1" s="1"/>
  <c r="NL26" i="1" a="1"/>
  <c r="NL26" i="1" s="1"/>
  <c r="NT26" i="1" a="1"/>
  <c r="NT26" i="1" s="1"/>
  <c r="OB26" i="1" a="1"/>
  <c r="OB26" i="1" s="1"/>
  <c r="NM26" i="1" a="1"/>
  <c r="NM26" i="1" s="1"/>
  <c r="NU26" i="1" a="1"/>
  <c r="NU26" i="1" s="1"/>
  <c r="OC26" i="1" a="1"/>
  <c r="OC26" i="1" s="1"/>
  <c r="ADK26" i="1" a="1"/>
  <c r="ADK26" i="1" s="1"/>
  <c r="ADC26" i="1" a="1"/>
  <c r="ADC26" i="1" s="1"/>
  <c r="ACU26" i="1" a="1"/>
  <c r="ACU26" i="1" s="1"/>
  <c r="ADL26" i="1" a="1"/>
  <c r="ADL26" i="1" s="1"/>
  <c r="ADD26" i="1" a="1"/>
  <c r="ADD26" i="1" s="1"/>
  <c r="ACV26" i="1" a="1"/>
  <c r="ACV26" i="1" s="1"/>
  <c r="NN26" i="1" a="1"/>
  <c r="NN26" i="1" s="1"/>
  <c r="NV26" i="1" a="1"/>
  <c r="NV26" i="1" s="1"/>
  <c r="OD26" i="1" a="1"/>
  <c r="OD26" i="1" s="1"/>
  <c r="NO26" i="1" a="1"/>
  <c r="NO26" i="1" s="1"/>
  <c r="NW26" i="1" a="1"/>
  <c r="NW26" i="1" s="1"/>
  <c r="OE26" i="1" a="1"/>
  <c r="OE26" i="1" s="1"/>
  <c r="ADI26" i="1" a="1"/>
  <c r="ADI26" i="1" s="1"/>
  <c r="ADA26" i="1" a="1"/>
  <c r="ADA26" i="1" s="1"/>
  <c r="AGU26" i="1" s="1"/>
  <c r="ADJ26" i="1" a="1"/>
  <c r="ADJ26" i="1" s="1"/>
  <c r="ADB26" i="1" a="1"/>
  <c r="ADB26" i="1" s="1"/>
  <c r="ACT26" i="1" a="1"/>
  <c r="ACT26" i="1" s="1"/>
  <c r="NP26" i="1" a="1"/>
  <c r="NP26" i="1" s="1"/>
  <c r="NX26" i="1" a="1"/>
  <c r="NX26" i="1" s="1"/>
  <c r="OF26" i="1" a="1"/>
  <c r="OF26" i="1" s="1"/>
  <c r="VV26" i="1" a="1"/>
  <c r="VV26" i="1" s="1"/>
  <c r="NQ26" i="1" a="1"/>
  <c r="NQ26" i="1" s="1"/>
  <c r="RK26" i="1" s="1"/>
  <c r="NY26" i="1" a="1"/>
  <c r="NY26" i="1" s="1"/>
  <c r="KT19" i="1"/>
  <c r="KU19" i="1"/>
  <c r="QZ19" i="1"/>
  <c r="QI19" i="1"/>
  <c r="KS19" i="1"/>
  <c r="KR19" i="1"/>
  <c r="QX19" i="1" s="1" a="1"/>
  <c r="QX19" i="1" s="1"/>
  <c r="QY19" i="1" s="1"/>
  <c r="KV19" i="1"/>
  <c r="VC19" i="1" a="1"/>
  <c r="VC19" i="1" s="1"/>
  <c r="VS19" i="1" a="1"/>
  <c r="VS19" i="1" s="1"/>
  <c r="AKR19" i="1" a="1"/>
  <c r="AKR19" i="1" s="1"/>
  <c r="VA19" i="1" a="1"/>
  <c r="VA19" i="1" s="1"/>
  <c r="VQ19" i="1" a="1"/>
  <c r="VQ19" i="1" s="1"/>
  <c r="AKU19" i="1" a="1"/>
  <c r="AKU19" i="1" s="1"/>
  <c r="ACK19" i="1" a="1"/>
  <c r="ACK19" i="1" s="1"/>
  <c r="ACF19" i="1" a="1"/>
  <c r="ACF19" i="1" s="1"/>
  <c r="ACC19" i="1" a="1"/>
  <c r="ACC19" i="1" s="1"/>
  <c r="ABX19" i="1" a="1"/>
  <c r="ABX19" i="1" s="1"/>
  <c r="ABU19" i="1" a="1"/>
  <c r="ABU19" i="1" s="1"/>
  <c r="ABP19" i="1" a="1"/>
  <c r="ABP19" i="1" s="1"/>
  <c r="ABM19" i="1" a="1"/>
  <c r="ABM19" i="1" s="1"/>
  <c r="ABH19" i="1" a="1"/>
  <c r="ABH19" i="1" s="1"/>
  <c r="ABE19" i="1" a="1"/>
  <c r="ABE19" i="1" s="1"/>
  <c r="AAZ19" i="1" a="1"/>
  <c r="AAZ19" i="1" s="1"/>
  <c r="AAW19" i="1" a="1"/>
  <c r="AAW19" i="1" s="1"/>
  <c r="AAR19" i="1" a="1"/>
  <c r="AAR19" i="1" s="1"/>
  <c r="AAN19" i="1" a="1"/>
  <c r="AAN19" i="1" s="1"/>
  <c r="AAI19" i="1" a="1"/>
  <c r="AAI19" i="1" s="1"/>
  <c r="NB19" i="1" a="1"/>
  <c r="NB19" i="1" s="1"/>
  <c r="MY19" i="1" a="1"/>
  <c r="MY19" i="1" s="1"/>
  <c r="MT19" i="1" a="1"/>
  <c r="MT19" i="1" s="1"/>
  <c r="MQ19" i="1" a="1"/>
  <c r="MQ19" i="1" s="1"/>
  <c r="ML19" i="1" a="1"/>
  <c r="ML19" i="1" s="1"/>
  <c r="MI19" i="1" a="1"/>
  <c r="MI19" i="1" s="1"/>
  <c r="MD19" i="1" a="1"/>
  <c r="MD19" i="1" s="1"/>
  <c r="MA19" i="1" a="1"/>
  <c r="MA19" i="1" s="1"/>
  <c r="LV19" i="1" a="1"/>
  <c r="LV19" i="1" s="1"/>
  <c r="LS19" i="1" a="1"/>
  <c r="LS19" i="1" s="1"/>
  <c r="LN19" i="1" a="1"/>
  <c r="LN19" i="1" s="1"/>
  <c r="LK19" i="1" a="1"/>
  <c r="LK19" i="1" s="1"/>
  <c r="LF19" i="1" a="1"/>
  <c r="LF19" i="1" s="1"/>
  <c r="LB19" i="1" a="1"/>
  <c r="LB19" i="1" s="1"/>
  <c r="ACH19" i="1" a="1"/>
  <c r="ACH19" i="1" s="1"/>
  <c r="ACE19" i="1" a="1"/>
  <c r="ACE19" i="1" s="1"/>
  <c r="ABZ19" i="1" a="1"/>
  <c r="ABZ19" i="1" s="1"/>
  <c r="ABW19" i="1" a="1"/>
  <c r="ABW19" i="1" s="1"/>
  <c r="ABR19" i="1" a="1"/>
  <c r="ABR19" i="1" s="1"/>
  <c r="ABO19" i="1" a="1"/>
  <c r="ABO19" i="1" s="1"/>
  <c r="ABJ19" i="1" a="1"/>
  <c r="ABJ19" i="1" s="1"/>
  <c r="ABG19" i="1" a="1"/>
  <c r="ABG19" i="1" s="1"/>
  <c r="ABB19" i="1" a="1"/>
  <c r="ABB19" i="1" s="1"/>
  <c r="AAY19" i="1" a="1"/>
  <c r="AAY19" i="1" s="1"/>
  <c r="AAT19" i="1" a="1"/>
  <c r="AAT19" i="1" s="1"/>
  <c r="AAQ19" i="1" a="1"/>
  <c r="AAQ19" i="1" s="1"/>
  <c r="AAK19" i="1" a="1"/>
  <c r="AAK19" i="1" s="1"/>
  <c r="AAH19" i="1" a="1"/>
  <c r="AAH19" i="1" s="1"/>
  <c r="NA19" i="1" a="1"/>
  <c r="NA19" i="1" s="1"/>
  <c r="MV19" i="1" a="1"/>
  <c r="MV19" i="1" s="1"/>
  <c r="MS19" i="1" a="1"/>
  <c r="MS19" i="1" s="1"/>
  <c r="MN19" i="1" a="1"/>
  <c r="MN19" i="1" s="1"/>
  <c r="MK19" i="1" a="1"/>
  <c r="MK19" i="1" s="1"/>
  <c r="MF19" i="1" a="1"/>
  <c r="MF19" i="1" s="1"/>
  <c r="MC19" i="1" a="1"/>
  <c r="MC19" i="1" s="1"/>
  <c r="LX19" i="1" a="1"/>
  <c r="LX19" i="1" s="1"/>
  <c r="LU19" i="1" a="1"/>
  <c r="LU19" i="1" s="1"/>
  <c r="LP19" i="1" a="1"/>
  <c r="LP19" i="1" s="1"/>
  <c r="LM19" i="1" a="1"/>
  <c r="LM19" i="1" s="1"/>
  <c r="LH19" i="1" a="1"/>
  <c r="LH19" i="1" s="1"/>
  <c r="LD19" i="1" a="1"/>
  <c r="LD19" i="1" s="1"/>
  <c r="KY19" i="1" a="1"/>
  <c r="KY19" i="1" s="1"/>
  <c r="ACJ19" i="1" a="1"/>
  <c r="ACJ19" i="1" s="1"/>
  <c r="ACG19" i="1" a="1"/>
  <c r="ACG19" i="1" s="1"/>
  <c r="ACB19" i="1" a="1"/>
  <c r="ACB19" i="1" s="1"/>
  <c r="ABY19" i="1" a="1"/>
  <c r="ABY19" i="1" s="1"/>
  <c r="ABT19" i="1" a="1"/>
  <c r="ABT19" i="1" s="1"/>
  <c r="ABQ19" i="1" a="1"/>
  <c r="ABQ19" i="1" s="1"/>
  <c r="ABL19" i="1" a="1"/>
  <c r="ABL19" i="1" s="1"/>
  <c r="ABI19" i="1" a="1"/>
  <c r="ABI19" i="1" s="1"/>
  <c r="ABD19" i="1" a="1"/>
  <c r="ABD19" i="1" s="1"/>
  <c r="ABA19" i="1" a="1"/>
  <c r="ABA19" i="1" s="1"/>
  <c r="AAV19" i="1" a="1"/>
  <c r="AAV19" i="1" s="1"/>
  <c r="AAS19" i="1" a="1"/>
  <c r="AAS19" i="1" s="1"/>
  <c r="AAM19" i="1" a="1"/>
  <c r="AAM19" i="1" s="1"/>
  <c r="AAJ19" i="1" a="1"/>
  <c r="AAJ19" i="1" s="1"/>
  <c r="MX19" i="1" a="1"/>
  <c r="MX19" i="1" s="1"/>
  <c r="MU19" i="1" a="1"/>
  <c r="MU19" i="1" s="1"/>
  <c r="MP19" i="1" a="1"/>
  <c r="MP19" i="1" s="1"/>
  <c r="MM19" i="1" a="1"/>
  <c r="MM19" i="1" s="1"/>
  <c r="MH19" i="1" a="1"/>
  <c r="MH19" i="1" s="1"/>
  <c r="ME19" i="1" a="1"/>
  <c r="ME19" i="1" s="1"/>
  <c r="LZ19" i="1" a="1"/>
  <c r="LZ19" i="1" s="1"/>
  <c r="LW19" i="1" a="1"/>
  <c r="LW19" i="1" s="1"/>
  <c r="LR19" i="1" a="1"/>
  <c r="LR19" i="1" s="1"/>
  <c r="LO19" i="1" a="1"/>
  <c r="LO19" i="1" s="1"/>
  <c r="LJ19" i="1" a="1"/>
  <c r="LJ19" i="1" s="1"/>
  <c r="LG19" i="1" a="1"/>
  <c r="LG19" i="1" s="1"/>
  <c r="LA19" i="1" a="1"/>
  <c r="LA19" i="1" s="1"/>
  <c r="KX19" i="1" a="1"/>
  <c r="KX19" i="1" s="1"/>
  <c r="ACL19" i="1" a="1"/>
  <c r="ACL19" i="1" s="1"/>
  <c r="ACI19" i="1" a="1"/>
  <c r="ACI19" i="1" s="1"/>
  <c r="ACD19" i="1" a="1"/>
  <c r="ACD19" i="1" s="1"/>
  <c r="ACA19" i="1" a="1"/>
  <c r="ACA19" i="1" s="1"/>
  <c r="ABV19" i="1" a="1"/>
  <c r="ABV19" i="1" s="1"/>
  <c r="ABS19" i="1" a="1"/>
  <c r="ABS19" i="1" s="1"/>
  <c r="ABN19" i="1" a="1"/>
  <c r="ABN19" i="1" s="1"/>
  <c r="ABK19" i="1" a="1"/>
  <c r="ABK19" i="1" s="1"/>
  <c r="ABF19" i="1" a="1"/>
  <c r="ABF19" i="1" s="1"/>
  <c r="ABC19" i="1" a="1"/>
  <c r="ABC19" i="1" s="1"/>
  <c r="AAX19" i="1" a="1"/>
  <c r="AAX19" i="1" s="1"/>
  <c r="AAU19" i="1" a="1"/>
  <c r="AAU19" i="1" s="1"/>
  <c r="AAP19" i="1" a="1"/>
  <c r="AAP19" i="1" s="1"/>
  <c r="AAL19" i="1" a="1"/>
  <c r="AAL19" i="1" s="1"/>
  <c r="MZ19" i="1" a="1"/>
  <c r="MZ19" i="1" s="1"/>
  <c r="MW19" i="1" a="1"/>
  <c r="MW19" i="1" s="1"/>
  <c r="MR19" i="1" a="1"/>
  <c r="MR19" i="1" s="1"/>
  <c r="MO19" i="1" a="1"/>
  <c r="MO19" i="1" s="1"/>
  <c r="MJ19" i="1" a="1"/>
  <c r="MJ19" i="1" s="1"/>
  <c r="MG19" i="1" a="1"/>
  <c r="MG19" i="1" s="1"/>
  <c r="MB19" i="1" a="1"/>
  <c r="MB19" i="1" s="1"/>
  <c r="LY19" i="1" a="1"/>
  <c r="LY19" i="1" s="1"/>
  <c r="LT19" i="1" a="1"/>
  <c r="LT19" i="1" s="1"/>
  <c r="LQ19" i="1" a="1"/>
  <c r="LQ19" i="1" s="1"/>
  <c r="LL19" i="1" a="1"/>
  <c r="LL19" i="1" s="1"/>
  <c r="LI19" i="1" a="1"/>
  <c r="LI19" i="1" s="1"/>
  <c r="LC19" i="1" a="1"/>
  <c r="LC19" i="1" s="1"/>
  <c r="KZ19" i="1" a="1"/>
  <c r="KZ19" i="1" s="1"/>
  <c r="VB19" i="1" a="1"/>
  <c r="VB19" i="1" s="1"/>
  <c r="VR19" i="1" a="1"/>
  <c r="VR19" i="1" s="1"/>
  <c r="AGY19" i="1"/>
  <c r="AKS19" i="1" a="1"/>
  <c r="AKS19" i="1" s="1"/>
  <c r="VP19" i="1" a="1"/>
  <c r="VP19" i="1" s="1"/>
  <c r="AKL19" i="1" a="1"/>
  <c r="AKL19" i="1" s="1"/>
  <c r="ALB19" i="1" a="1"/>
  <c r="ALB19" i="1" s="1"/>
  <c r="DP74" i="1"/>
  <c r="XZ55" i="1"/>
  <c r="SM55" i="1"/>
  <c r="SI55" i="1"/>
  <c r="YO55" i="1" s="1" a="1"/>
  <c r="YO55" i="1" s="1"/>
  <c r="YP55" i="1" s="1"/>
  <c r="SL55" i="1"/>
  <c r="SK55" i="1"/>
  <c r="YQ55" i="1"/>
  <c r="SJ55" i="1"/>
  <c r="CI20" i="1"/>
  <c r="CJ20" i="1" s="1"/>
  <c r="AKB21" i="1" a="1"/>
  <c r="AKB21" i="1" s="1"/>
  <c r="AJX21" i="1" a="1"/>
  <c r="AJX21" i="1" s="1"/>
  <c r="AJT21" i="1" a="1"/>
  <c r="AJT21" i="1" s="1"/>
  <c r="AJP21" i="1" a="1"/>
  <c r="AJP21" i="1" s="1"/>
  <c r="AJL21" i="1" a="1"/>
  <c r="AJL21" i="1" s="1"/>
  <c r="AJH21" i="1" a="1"/>
  <c r="AJH21" i="1" s="1"/>
  <c r="AJD21" i="1" a="1"/>
  <c r="AJD21" i="1" s="1"/>
  <c r="AIZ21" i="1" a="1"/>
  <c r="AIZ21" i="1" s="1"/>
  <c r="AIV21" i="1" a="1"/>
  <c r="AIV21" i="1" s="1"/>
  <c r="AIR21" i="1" a="1"/>
  <c r="AIR21" i="1" s="1"/>
  <c r="AIN21" i="1" a="1"/>
  <c r="AIN21" i="1" s="1"/>
  <c r="AIJ21" i="1" a="1"/>
  <c r="AIJ21" i="1" s="1"/>
  <c r="AIE21" i="1" a="1"/>
  <c r="AIE21" i="1" s="1"/>
  <c r="AIA21" i="1" a="1"/>
  <c r="AIA21" i="1" s="1"/>
  <c r="UP21" i="1" a="1"/>
  <c r="UP21" i="1" s="1"/>
  <c r="UL21" i="1" a="1"/>
  <c r="UL21" i="1" s="1"/>
  <c r="UH21" i="1" a="1"/>
  <c r="UH21" i="1" s="1"/>
  <c r="UD21" i="1" a="1"/>
  <c r="UD21" i="1" s="1"/>
  <c r="TZ21" i="1" a="1"/>
  <c r="TZ21" i="1" s="1"/>
  <c r="TV21" i="1" a="1"/>
  <c r="TV21" i="1" s="1"/>
  <c r="TR21" i="1" a="1"/>
  <c r="TR21" i="1" s="1"/>
  <c r="TN21" i="1" a="1"/>
  <c r="TN21" i="1" s="1"/>
  <c r="TJ21" i="1" a="1"/>
  <c r="TJ21" i="1" s="1"/>
  <c r="TF21" i="1" a="1"/>
  <c r="TF21" i="1" s="1"/>
  <c r="TB21" i="1" a="1"/>
  <c r="TB21" i="1" s="1"/>
  <c r="SX21" i="1" a="1"/>
  <c r="SX21" i="1" s="1"/>
  <c r="SS21" i="1" a="1"/>
  <c r="SS21" i="1" s="1"/>
  <c r="SO21" i="1" a="1"/>
  <c r="SO21" i="1" s="1"/>
  <c r="AKA21" i="1" a="1"/>
  <c r="AKA21" i="1" s="1"/>
  <c r="AJW21" i="1" a="1"/>
  <c r="AJW21" i="1" s="1"/>
  <c r="AJS21" i="1" a="1"/>
  <c r="AJS21" i="1" s="1"/>
  <c r="AJO21" i="1" a="1"/>
  <c r="AJO21" i="1" s="1"/>
  <c r="AJK21" i="1" a="1"/>
  <c r="AJK21" i="1" s="1"/>
  <c r="AJG21" i="1" a="1"/>
  <c r="AJG21" i="1" s="1"/>
  <c r="AJC21" i="1" a="1"/>
  <c r="AJC21" i="1" s="1"/>
  <c r="AIY21" i="1" a="1"/>
  <c r="AIY21" i="1" s="1"/>
  <c r="AIU21" i="1" a="1"/>
  <c r="AIU21" i="1" s="1"/>
  <c r="AIQ21" i="1" a="1"/>
  <c r="AIQ21" i="1" s="1"/>
  <c r="AIM21" i="1" a="1"/>
  <c r="AIM21" i="1" s="1"/>
  <c r="AII21" i="1" a="1"/>
  <c r="AII21" i="1" s="1"/>
  <c r="AID21" i="1" a="1"/>
  <c r="AID21" i="1" s="1"/>
  <c r="AHZ21" i="1" a="1"/>
  <c r="AHZ21" i="1" s="1"/>
  <c r="US21" i="1" a="1"/>
  <c r="US21" i="1" s="1"/>
  <c r="UO21" i="1" a="1"/>
  <c r="UO21" i="1" s="1"/>
  <c r="UK21" i="1" a="1"/>
  <c r="UK21" i="1" s="1"/>
  <c r="UG21" i="1" a="1"/>
  <c r="UG21" i="1" s="1"/>
  <c r="UC21" i="1" a="1"/>
  <c r="UC21" i="1" s="1"/>
  <c r="TY21" i="1" a="1"/>
  <c r="TY21" i="1" s="1"/>
  <c r="TU21" i="1" a="1"/>
  <c r="TU21" i="1" s="1"/>
  <c r="TQ21" i="1" a="1"/>
  <c r="TQ21" i="1" s="1"/>
  <c r="TM21" i="1" a="1"/>
  <c r="TM21" i="1" s="1"/>
  <c r="TI21" i="1" a="1"/>
  <c r="TI21" i="1" s="1"/>
  <c r="TE21" i="1" a="1"/>
  <c r="TE21" i="1" s="1"/>
  <c r="TA21" i="1" a="1"/>
  <c r="TA21" i="1" s="1"/>
  <c r="SW21" i="1" a="1"/>
  <c r="SW21" i="1" s="1"/>
  <c r="SR21" i="1" a="1"/>
  <c r="SR21" i="1" s="1"/>
  <c r="AJZ21" i="1" a="1"/>
  <c r="AJZ21" i="1" s="1"/>
  <c r="AJV21" i="1" a="1"/>
  <c r="AJV21" i="1" s="1"/>
  <c r="AJR21" i="1" a="1"/>
  <c r="AJR21" i="1" s="1"/>
  <c r="AJN21" i="1" a="1"/>
  <c r="AJN21" i="1" s="1"/>
  <c r="AJJ21" i="1" a="1"/>
  <c r="AJJ21" i="1" s="1"/>
  <c r="AJF21" i="1" a="1"/>
  <c r="AJF21" i="1" s="1"/>
  <c r="AJB21" i="1" a="1"/>
  <c r="AJB21" i="1" s="1"/>
  <c r="AIX21" i="1" a="1"/>
  <c r="AIX21" i="1" s="1"/>
  <c r="AIT21" i="1" a="1"/>
  <c r="AIT21" i="1" s="1"/>
  <c r="AIP21" i="1" a="1"/>
  <c r="AIP21" i="1" s="1"/>
  <c r="AIL21" i="1" a="1"/>
  <c r="AIL21" i="1" s="1"/>
  <c r="AIH21" i="1" a="1"/>
  <c r="AIH21" i="1" s="1"/>
  <c r="AIC21" i="1" a="1"/>
  <c r="AIC21" i="1" s="1"/>
  <c r="AHY21" i="1" a="1"/>
  <c r="AHY21" i="1" s="1"/>
  <c r="UR21" i="1" a="1"/>
  <c r="UR21" i="1" s="1"/>
  <c r="UN21" i="1" a="1"/>
  <c r="UN21" i="1" s="1"/>
  <c r="UJ21" i="1" a="1"/>
  <c r="UJ21" i="1" s="1"/>
  <c r="UF21" i="1" a="1"/>
  <c r="UF21" i="1" s="1"/>
  <c r="UB21" i="1" a="1"/>
  <c r="UB21" i="1" s="1"/>
  <c r="TX21" i="1" a="1"/>
  <c r="TX21" i="1" s="1"/>
  <c r="TT21" i="1" a="1"/>
  <c r="TT21" i="1" s="1"/>
  <c r="TP21" i="1" a="1"/>
  <c r="TP21" i="1" s="1"/>
  <c r="TL21" i="1" a="1"/>
  <c r="TL21" i="1" s="1"/>
  <c r="TH21" i="1" a="1"/>
  <c r="TH21" i="1" s="1"/>
  <c r="TD21" i="1" a="1"/>
  <c r="TD21" i="1" s="1"/>
  <c r="SZ21" i="1" a="1"/>
  <c r="SZ21" i="1" s="1"/>
  <c r="SU21" i="1" a="1"/>
  <c r="SU21" i="1" s="1"/>
  <c r="SQ21" i="1" a="1"/>
  <c r="SQ21" i="1" s="1"/>
  <c r="AKC21" i="1" a="1"/>
  <c r="AKC21" i="1" s="1"/>
  <c r="AJY21" i="1" a="1"/>
  <c r="AJY21" i="1" s="1"/>
  <c r="AJU21" i="1" a="1"/>
  <c r="AJU21" i="1" s="1"/>
  <c r="AJQ21" i="1" a="1"/>
  <c r="AJQ21" i="1" s="1"/>
  <c r="AJM21" i="1" a="1"/>
  <c r="AJM21" i="1" s="1"/>
  <c r="AJI21" i="1" a="1"/>
  <c r="AJI21" i="1" s="1"/>
  <c r="AJE21" i="1" a="1"/>
  <c r="AJE21" i="1" s="1"/>
  <c r="AJA21" i="1" a="1"/>
  <c r="AJA21" i="1" s="1"/>
  <c r="AIW21" i="1" a="1"/>
  <c r="AIW21" i="1" s="1"/>
  <c r="AIS21" i="1" a="1"/>
  <c r="AIS21" i="1" s="1"/>
  <c r="AIO21" i="1" a="1"/>
  <c r="AIO21" i="1" s="1"/>
  <c r="AIK21" i="1" a="1"/>
  <c r="AIK21" i="1" s="1"/>
  <c r="AIG21" i="1" a="1"/>
  <c r="AIG21" i="1" s="1"/>
  <c r="AIB21" i="1" a="1"/>
  <c r="AIB21" i="1" s="1"/>
  <c r="UQ21" i="1" a="1"/>
  <c r="UQ21" i="1" s="1"/>
  <c r="UM21" i="1" a="1"/>
  <c r="UM21" i="1" s="1"/>
  <c r="UI21" i="1" a="1"/>
  <c r="UI21" i="1" s="1"/>
  <c r="UE21" i="1" a="1"/>
  <c r="UE21" i="1" s="1"/>
  <c r="UA21" i="1" a="1"/>
  <c r="UA21" i="1" s="1"/>
  <c r="TW21" i="1" a="1"/>
  <c r="TW21" i="1" s="1"/>
  <c r="TS21" i="1" a="1"/>
  <c r="TS21" i="1" s="1"/>
  <c r="TO21" i="1" a="1"/>
  <c r="TO21" i="1" s="1"/>
  <c r="TK21" i="1" a="1"/>
  <c r="TK21" i="1" s="1"/>
  <c r="TG21" i="1" a="1"/>
  <c r="TG21" i="1" s="1"/>
  <c r="TC21" i="1" a="1"/>
  <c r="TC21" i="1" s="1"/>
  <c r="SY21" i="1" a="1"/>
  <c r="SY21" i="1" s="1"/>
  <c r="ST21" i="1" a="1"/>
  <c r="ST21" i="1" s="1"/>
  <c r="SP21" i="1" a="1"/>
  <c r="SP21" i="1" s="1"/>
  <c r="VA21" i="1" a="1"/>
  <c r="VA21" i="1" s="1"/>
  <c r="VQ21" i="1" a="1"/>
  <c r="VQ21" i="1" s="1"/>
  <c r="AKM21" i="1" a="1"/>
  <c r="AKM21" i="1" s="1"/>
  <c r="ALC21" i="1" a="1"/>
  <c r="ALC21" i="1" s="1"/>
  <c r="VJ21" i="1" a="1"/>
  <c r="VJ21" i="1" s="1"/>
  <c r="AKV21" i="1" a="1"/>
  <c r="AKV21" i="1" s="1"/>
  <c r="VO21" i="1" a="1"/>
  <c r="VO21" i="1" s="1"/>
  <c r="AKS21" i="1" a="1"/>
  <c r="AKS21" i="1" s="1"/>
  <c r="ACJ21" i="1" a="1"/>
  <c r="ACJ21" i="1" s="1"/>
  <c r="ACF21" i="1" a="1"/>
  <c r="ACF21" i="1" s="1"/>
  <c r="ACB21" i="1" a="1"/>
  <c r="ACB21" i="1" s="1"/>
  <c r="ABX21" i="1" a="1"/>
  <c r="ABX21" i="1" s="1"/>
  <c r="ABT21" i="1" a="1"/>
  <c r="ABT21" i="1" s="1"/>
  <c r="ABP21" i="1" a="1"/>
  <c r="ABP21" i="1" s="1"/>
  <c r="ABL21" i="1" a="1"/>
  <c r="ABL21" i="1" s="1"/>
  <c r="ABH21" i="1" a="1"/>
  <c r="ABH21" i="1" s="1"/>
  <c r="ABD21" i="1" a="1"/>
  <c r="ABD21" i="1" s="1"/>
  <c r="AAZ21" i="1" a="1"/>
  <c r="AAZ21" i="1" s="1"/>
  <c r="AAV21" i="1" a="1"/>
  <c r="AAV21" i="1" s="1"/>
  <c r="AAR21" i="1" a="1"/>
  <c r="AAR21" i="1" s="1"/>
  <c r="AAM21" i="1" a="1"/>
  <c r="AAM21" i="1" s="1"/>
  <c r="AAI21" i="1" a="1"/>
  <c r="AAI21" i="1" s="1"/>
  <c r="NB21" i="1" a="1"/>
  <c r="NB21" i="1" s="1"/>
  <c r="MX21" i="1" a="1"/>
  <c r="MX21" i="1" s="1"/>
  <c r="MT21" i="1" a="1"/>
  <c r="MT21" i="1" s="1"/>
  <c r="MP21" i="1" a="1"/>
  <c r="MP21" i="1" s="1"/>
  <c r="ML21" i="1" a="1"/>
  <c r="ML21" i="1" s="1"/>
  <c r="MH21" i="1" a="1"/>
  <c r="MH21" i="1" s="1"/>
  <c r="MD21" i="1" a="1"/>
  <c r="MD21" i="1" s="1"/>
  <c r="LZ21" i="1" a="1"/>
  <c r="LZ21" i="1" s="1"/>
  <c r="LV21" i="1" a="1"/>
  <c r="LV21" i="1" s="1"/>
  <c r="LR21" i="1" a="1"/>
  <c r="LR21" i="1" s="1"/>
  <c r="LN21" i="1" a="1"/>
  <c r="LN21" i="1" s="1"/>
  <c r="LJ21" i="1" a="1"/>
  <c r="LJ21" i="1" s="1"/>
  <c r="LF21" i="1" a="1"/>
  <c r="LF21" i="1" s="1"/>
  <c r="LA21" i="1" a="1"/>
  <c r="LA21" i="1" s="1"/>
  <c r="ACI21" i="1" a="1"/>
  <c r="ACI21" i="1" s="1"/>
  <c r="ACE21" i="1" a="1"/>
  <c r="ACE21" i="1" s="1"/>
  <c r="ACA21" i="1" a="1"/>
  <c r="ACA21" i="1" s="1"/>
  <c r="ABW21" i="1" a="1"/>
  <c r="ABW21" i="1" s="1"/>
  <c r="ABS21" i="1" a="1"/>
  <c r="ABS21" i="1" s="1"/>
  <c r="ABO21" i="1" a="1"/>
  <c r="ABO21" i="1" s="1"/>
  <c r="ABK21" i="1" a="1"/>
  <c r="ABK21" i="1" s="1"/>
  <c r="ABG21" i="1" a="1"/>
  <c r="ABG21" i="1" s="1"/>
  <c r="ABC21" i="1" a="1"/>
  <c r="ABC21" i="1" s="1"/>
  <c r="AAY21" i="1" a="1"/>
  <c r="AAY21" i="1" s="1"/>
  <c r="AAU21" i="1" a="1"/>
  <c r="AAU21" i="1" s="1"/>
  <c r="AAQ21" i="1" a="1"/>
  <c r="AAQ21" i="1" s="1"/>
  <c r="AAL21" i="1" a="1"/>
  <c r="AAL21" i="1" s="1"/>
  <c r="AAH21" i="1" a="1"/>
  <c r="AAH21" i="1" s="1"/>
  <c r="NA21" i="1" a="1"/>
  <c r="NA21" i="1" s="1"/>
  <c r="MW21" i="1" a="1"/>
  <c r="MW21" i="1" s="1"/>
  <c r="MS21" i="1" a="1"/>
  <c r="MS21" i="1" s="1"/>
  <c r="MO21" i="1" a="1"/>
  <c r="MO21" i="1" s="1"/>
  <c r="MK21" i="1" a="1"/>
  <c r="MK21" i="1" s="1"/>
  <c r="MG21" i="1" a="1"/>
  <c r="MG21" i="1" s="1"/>
  <c r="MC21" i="1" a="1"/>
  <c r="MC21" i="1" s="1"/>
  <c r="LY21" i="1" a="1"/>
  <c r="LY21" i="1" s="1"/>
  <c r="LU21" i="1" a="1"/>
  <c r="LU21" i="1" s="1"/>
  <c r="LQ21" i="1" a="1"/>
  <c r="LQ21" i="1" s="1"/>
  <c r="LM21" i="1" a="1"/>
  <c r="LM21" i="1" s="1"/>
  <c r="LI21" i="1" a="1"/>
  <c r="LI21" i="1" s="1"/>
  <c r="LD21" i="1" a="1"/>
  <c r="LD21" i="1" s="1"/>
  <c r="KZ21" i="1" a="1"/>
  <c r="KZ21" i="1" s="1"/>
  <c r="ACL21" i="1" a="1"/>
  <c r="ACL21" i="1" s="1"/>
  <c r="ACH21" i="1" a="1"/>
  <c r="ACH21" i="1" s="1"/>
  <c r="ACD21" i="1" a="1"/>
  <c r="ACD21" i="1" s="1"/>
  <c r="ABZ21" i="1" a="1"/>
  <c r="ABZ21" i="1" s="1"/>
  <c r="ABV21" i="1" a="1"/>
  <c r="ABV21" i="1" s="1"/>
  <c r="ABR21" i="1" a="1"/>
  <c r="ABR21" i="1" s="1"/>
  <c r="ABN21" i="1" a="1"/>
  <c r="ABN21" i="1" s="1"/>
  <c r="ABJ21" i="1" a="1"/>
  <c r="ABJ21" i="1" s="1"/>
  <c r="ABF21" i="1" a="1"/>
  <c r="ABF21" i="1" s="1"/>
  <c r="ABB21" i="1" a="1"/>
  <c r="ABB21" i="1" s="1"/>
  <c r="AAX21" i="1" a="1"/>
  <c r="AAX21" i="1" s="1"/>
  <c r="AAT21" i="1" a="1"/>
  <c r="AAT21" i="1" s="1"/>
  <c r="AAP21" i="1" a="1"/>
  <c r="AAP21" i="1" s="1"/>
  <c r="AAK21" i="1" a="1"/>
  <c r="AAK21" i="1" s="1"/>
  <c r="MZ21" i="1" a="1"/>
  <c r="MZ21" i="1" s="1"/>
  <c r="MV21" i="1" a="1"/>
  <c r="MV21" i="1" s="1"/>
  <c r="MR21" i="1" a="1"/>
  <c r="MR21" i="1" s="1"/>
  <c r="MN21" i="1" a="1"/>
  <c r="MN21" i="1" s="1"/>
  <c r="MJ21" i="1" a="1"/>
  <c r="MJ21" i="1" s="1"/>
  <c r="MF21" i="1" a="1"/>
  <c r="MF21" i="1" s="1"/>
  <c r="MB21" i="1" a="1"/>
  <c r="MB21" i="1" s="1"/>
  <c r="LX21" i="1" a="1"/>
  <c r="LX21" i="1" s="1"/>
  <c r="LT21" i="1" a="1"/>
  <c r="LT21" i="1" s="1"/>
  <c r="LP21" i="1" a="1"/>
  <c r="LP21" i="1" s="1"/>
  <c r="LL21" i="1" a="1"/>
  <c r="LL21" i="1" s="1"/>
  <c r="LH21" i="1" a="1"/>
  <c r="LH21" i="1" s="1"/>
  <c r="LC21" i="1" a="1"/>
  <c r="LC21" i="1" s="1"/>
  <c r="KY21" i="1" a="1"/>
  <c r="KY21" i="1" s="1"/>
  <c r="ACK21" i="1" a="1"/>
  <c r="ACK21" i="1" s="1"/>
  <c r="ACG21" i="1" a="1"/>
  <c r="ACG21" i="1" s="1"/>
  <c r="ACC21" i="1" a="1"/>
  <c r="ACC21" i="1" s="1"/>
  <c r="ABY21" i="1" a="1"/>
  <c r="ABY21" i="1" s="1"/>
  <c r="ABU21" i="1" a="1"/>
  <c r="ABU21" i="1" s="1"/>
  <c r="ABQ21" i="1" a="1"/>
  <c r="ABQ21" i="1" s="1"/>
  <c r="ABM21" i="1" a="1"/>
  <c r="ABM21" i="1" s="1"/>
  <c r="ABI21" i="1" a="1"/>
  <c r="ABI21" i="1" s="1"/>
  <c r="ABE21" i="1" a="1"/>
  <c r="ABE21" i="1" s="1"/>
  <c r="ABA21" i="1" a="1"/>
  <c r="ABA21" i="1" s="1"/>
  <c r="AAW21" i="1" a="1"/>
  <c r="AAW21" i="1" s="1"/>
  <c r="AAS21" i="1" a="1"/>
  <c r="AAS21" i="1" s="1"/>
  <c r="AAN21" i="1" a="1"/>
  <c r="AAN21" i="1" s="1"/>
  <c r="AAJ21" i="1" a="1"/>
  <c r="AAJ21" i="1" s="1"/>
  <c r="MY21" i="1" a="1"/>
  <c r="MY21" i="1" s="1"/>
  <c r="MU21" i="1" a="1"/>
  <c r="MU21" i="1" s="1"/>
  <c r="MQ21" i="1" a="1"/>
  <c r="MQ21" i="1" s="1"/>
  <c r="MM21" i="1" a="1"/>
  <c r="MM21" i="1" s="1"/>
  <c r="MI21" i="1" a="1"/>
  <c r="MI21" i="1" s="1"/>
  <c r="ME21" i="1" a="1"/>
  <c r="ME21" i="1" s="1"/>
  <c r="MA21" i="1" a="1"/>
  <c r="MA21" i="1" s="1"/>
  <c r="LW21" i="1" a="1"/>
  <c r="LW21" i="1" s="1"/>
  <c r="LS21" i="1" a="1"/>
  <c r="LS21" i="1" s="1"/>
  <c r="LO21" i="1" a="1"/>
  <c r="LO21" i="1" s="1"/>
  <c r="LK21" i="1" a="1"/>
  <c r="LK21" i="1" s="1"/>
  <c r="LG21" i="1" a="1"/>
  <c r="LG21" i="1" s="1"/>
  <c r="LB21" i="1" a="1"/>
  <c r="LB21" i="1" s="1"/>
  <c r="KX21" i="1" a="1"/>
  <c r="KX21" i="1" s="1"/>
  <c r="RR21" i="1"/>
  <c r="VH21" i="1" a="1"/>
  <c r="VH21" i="1" s="1"/>
  <c r="AAD21" i="1"/>
  <c r="AHH21" i="1" s="1"/>
  <c r="AFS21" i="1"/>
  <c r="AAF21" i="1"/>
  <c r="AAB21" i="1"/>
  <c r="AGH21" i="1" s="1" a="1"/>
  <c r="AGH21" i="1" s="1"/>
  <c r="AGI21" i="1" s="1"/>
  <c r="AAE21" i="1"/>
  <c r="AHB21" i="1" s="1"/>
  <c r="AGJ21" i="1"/>
  <c r="AAC21" i="1"/>
  <c r="AKP21" i="1" a="1"/>
  <c r="AKP21" i="1" s="1"/>
  <c r="ALF21" i="1" a="1"/>
  <c r="ALF21" i="1" s="1"/>
  <c r="CL16" i="1"/>
  <c r="CM16" i="1" s="1"/>
  <c r="QZ63" i="1"/>
  <c r="KT63" i="1"/>
  <c r="KU63" i="1"/>
  <c r="KS63" i="1"/>
  <c r="KR63" i="1"/>
  <c r="QX63" i="1" s="1" a="1"/>
  <c r="QX63" i="1" s="1"/>
  <c r="QY63" i="1" s="1"/>
  <c r="QI63" i="1"/>
  <c r="KV63" i="1"/>
  <c r="EZ63" i="1"/>
  <c r="FZ26" i="1" a="1"/>
  <c r="FZ26" i="1" s="1"/>
  <c r="GC26" i="1" a="1"/>
  <c r="GC26" i="1" s="1"/>
  <c r="GO26" i="1" s="1"/>
  <c r="GB26" i="1" a="1"/>
  <c r="GB26" i="1" s="1"/>
  <c r="GP26" i="1" s="1"/>
  <c r="GF26" i="1" a="1"/>
  <c r="GF26" i="1" s="1"/>
  <c r="GD26" i="1" a="1"/>
  <c r="GD26" i="1" s="1"/>
  <c r="GI26" i="1" s="1"/>
  <c r="FY26" i="1" a="1"/>
  <c r="FY26" i="1" s="1"/>
  <c r="GH26" i="1" s="1"/>
  <c r="GA26" i="1" a="1"/>
  <c r="GA26" i="1" s="1"/>
  <c r="CO12" i="1"/>
  <c r="HX12" i="1"/>
  <c r="HY12" i="1" s="1"/>
  <c r="HZ12" i="1" s="1"/>
  <c r="DG55" i="1" a="1"/>
  <c r="DG55" i="1" s="1"/>
  <c r="DP55" i="1" s="1"/>
  <c r="DR55" i="1" s="1"/>
  <c r="DS55" i="1" s="1"/>
  <c r="DK55" i="1" a="1"/>
  <c r="DK55" i="1" s="1"/>
  <c r="DW55" i="1" s="1"/>
  <c r="DJ55" i="1" a="1"/>
  <c r="DJ55" i="1" s="1"/>
  <c r="DX55" i="1" s="1"/>
  <c r="DN55" i="1" a="1"/>
  <c r="DN55" i="1" s="1"/>
  <c r="DH55" i="1" a="1"/>
  <c r="DH55" i="1" s="1"/>
  <c r="DM55" i="1" a="1"/>
  <c r="DM55" i="1" s="1"/>
  <c r="DI55" i="1" a="1"/>
  <c r="DI55" i="1" s="1"/>
  <c r="DL55" i="1" a="1"/>
  <c r="DL55" i="1" s="1"/>
  <c r="AHH11" i="1"/>
  <c r="CE63" i="1" a="1"/>
  <c r="CE63" i="1" s="1"/>
  <c r="CB63" i="1" a="1"/>
  <c r="CB63" i="1" s="1"/>
  <c r="CN63" i="1" s="1"/>
  <c r="CA63" i="1" a="1"/>
  <c r="CA63" i="1" s="1"/>
  <c r="BZ63" i="1" a="1"/>
  <c r="BZ63" i="1" s="1"/>
  <c r="CC63" i="1" a="1"/>
  <c r="CC63" i="1" s="1"/>
  <c r="CH63" i="1" s="1"/>
  <c r="BX63" i="1" a="1"/>
  <c r="BX63" i="1" s="1"/>
  <c r="CG63" i="1" s="1"/>
  <c r="CD63" i="1" a="1"/>
  <c r="CD63" i="1" s="1"/>
  <c r="BY63" i="1" a="1"/>
  <c r="BY63" i="1" s="1"/>
  <c r="RX14" i="1"/>
  <c r="AHE75" i="1"/>
  <c r="GC60" i="1" a="1"/>
  <c r="GC60" i="1" s="1"/>
  <c r="GO60" i="1" s="1"/>
  <c r="GD60" i="1" a="1"/>
  <c r="GD60" i="1" s="1"/>
  <c r="GI60" i="1" s="1"/>
  <c r="FY60" i="1" a="1"/>
  <c r="FY60" i="1" s="1"/>
  <c r="FZ60" i="1" a="1"/>
  <c r="FZ60" i="1" s="1"/>
  <c r="GA60" i="1" a="1"/>
  <c r="GA60" i="1" s="1"/>
  <c r="GB60" i="1" a="1"/>
  <c r="GB60" i="1" s="1"/>
  <c r="GP60" i="1" s="1"/>
  <c r="GF60" i="1" a="1"/>
  <c r="GF60" i="1" s="1"/>
  <c r="HX56" i="1"/>
  <c r="HY56" i="1" s="1"/>
  <c r="HZ56" i="1" s="1"/>
  <c r="FJ13" i="1"/>
  <c r="DY75" i="1"/>
  <c r="DZ75" i="1" s="1"/>
  <c r="FD73" i="1"/>
  <c r="FE73" i="1" s="1"/>
  <c r="RU72" i="1"/>
  <c r="VP22" i="1" a="1"/>
  <c r="VP22" i="1" s="1"/>
  <c r="AHH22" i="1"/>
  <c r="AKY22" i="1" a="1"/>
  <c r="AKY22" i="1" s="1"/>
  <c r="VI22" i="1" a="1"/>
  <c r="VI22" i="1" s="1"/>
  <c r="AHE22" i="1"/>
  <c r="AKU22" i="1" a="1"/>
  <c r="AKU22" i="1" s="1"/>
  <c r="VJ22" i="1" a="1"/>
  <c r="VJ22" i="1" s="1"/>
  <c r="AKV22" i="1" a="1"/>
  <c r="AKV22" i="1" s="1"/>
  <c r="VC22" i="1" a="1"/>
  <c r="VC22" i="1" s="1"/>
  <c r="VS22" i="1" a="1"/>
  <c r="VS22" i="1" s="1"/>
  <c r="AGY22" i="1"/>
  <c r="AKW22" i="1" a="1"/>
  <c r="AKW22" i="1" s="1"/>
  <c r="ALB22" i="1" a="1"/>
  <c r="ALB22" i="1" s="1"/>
  <c r="RX16" i="1"/>
  <c r="AKC16" i="1" a="1"/>
  <c r="AKC16" i="1" s="1"/>
  <c r="AJY16" i="1" a="1"/>
  <c r="AJY16" i="1" s="1"/>
  <c r="AJU16" i="1" a="1"/>
  <c r="AJU16" i="1" s="1"/>
  <c r="AJQ16" i="1" a="1"/>
  <c r="AJQ16" i="1" s="1"/>
  <c r="AJM16" i="1" a="1"/>
  <c r="AJM16" i="1" s="1"/>
  <c r="AJI16" i="1" a="1"/>
  <c r="AJI16" i="1" s="1"/>
  <c r="AJE16" i="1" a="1"/>
  <c r="AJE16" i="1" s="1"/>
  <c r="AJA16" i="1" a="1"/>
  <c r="AJA16" i="1" s="1"/>
  <c r="AIW16" i="1" a="1"/>
  <c r="AIW16" i="1" s="1"/>
  <c r="AIS16" i="1" a="1"/>
  <c r="AIS16" i="1" s="1"/>
  <c r="AIO16" i="1" a="1"/>
  <c r="AIO16" i="1" s="1"/>
  <c r="AIK16" i="1" a="1"/>
  <c r="AIK16" i="1" s="1"/>
  <c r="AIG16" i="1" a="1"/>
  <c r="AIG16" i="1" s="1"/>
  <c r="AIB16" i="1" a="1"/>
  <c r="AIB16" i="1" s="1"/>
  <c r="UQ16" i="1" a="1"/>
  <c r="UQ16" i="1" s="1"/>
  <c r="UM16" i="1" a="1"/>
  <c r="UM16" i="1" s="1"/>
  <c r="UI16" i="1" a="1"/>
  <c r="UI16" i="1" s="1"/>
  <c r="UE16" i="1" a="1"/>
  <c r="UE16" i="1" s="1"/>
  <c r="UA16" i="1" a="1"/>
  <c r="UA16" i="1" s="1"/>
  <c r="TW16" i="1" a="1"/>
  <c r="TW16" i="1" s="1"/>
  <c r="TS16" i="1" a="1"/>
  <c r="TS16" i="1" s="1"/>
  <c r="TO16" i="1" a="1"/>
  <c r="TO16" i="1" s="1"/>
  <c r="TK16" i="1" a="1"/>
  <c r="TK16" i="1" s="1"/>
  <c r="TG16" i="1" a="1"/>
  <c r="TG16" i="1" s="1"/>
  <c r="TC16" i="1" a="1"/>
  <c r="TC16" i="1" s="1"/>
  <c r="SY16" i="1" a="1"/>
  <c r="SY16" i="1" s="1"/>
  <c r="ST16" i="1" a="1"/>
  <c r="ST16" i="1" s="1"/>
  <c r="SP16" i="1" a="1"/>
  <c r="SP16" i="1" s="1"/>
  <c r="AKB16" i="1" a="1"/>
  <c r="AKB16" i="1" s="1"/>
  <c r="AJX16" i="1" a="1"/>
  <c r="AJX16" i="1" s="1"/>
  <c r="AJT16" i="1" a="1"/>
  <c r="AJT16" i="1" s="1"/>
  <c r="AJP16" i="1" a="1"/>
  <c r="AJP16" i="1" s="1"/>
  <c r="AJL16" i="1" a="1"/>
  <c r="AJL16" i="1" s="1"/>
  <c r="AJH16" i="1" a="1"/>
  <c r="AJH16" i="1" s="1"/>
  <c r="AJD16" i="1" a="1"/>
  <c r="AJD16" i="1" s="1"/>
  <c r="AIZ16" i="1" a="1"/>
  <c r="AIZ16" i="1" s="1"/>
  <c r="AIV16" i="1" a="1"/>
  <c r="AIV16" i="1" s="1"/>
  <c r="AIR16" i="1" a="1"/>
  <c r="AIR16" i="1" s="1"/>
  <c r="AIN16" i="1" a="1"/>
  <c r="AIN16" i="1" s="1"/>
  <c r="AIJ16" i="1" a="1"/>
  <c r="AIJ16" i="1" s="1"/>
  <c r="AIE16" i="1" a="1"/>
  <c r="AIE16" i="1" s="1"/>
  <c r="AIA16" i="1" a="1"/>
  <c r="AIA16" i="1" s="1"/>
  <c r="UP16" i="1" a="1"/>
  <c r="UP16" i="1" s="1"/>
  <c r="UL16" i="1" a="1"/>
  <c r="UL16" i="1" s="1"/>
  <c r="UH16" i="1" a="1"/>
  <c r="UH16" i="1" s="1"/>
  <c r="UD16" i="1" a="1"/>
  <c r="UD16" i="1" s="1"/>
  <c r="TZ16" i="1" a="1"/>
  <c r="TZ16" i="1" s="1"/>
  <c r="TV16" i="1" a="1"/>
  <c r="TV16" i="1" s="1"/>
  <c r="TR16" i="1" a="1"/>
  <c r="TR16" i="1" s="1"/>
  <c r="TN16" i="1" a="1"/>
  <c r="TN16" i="1" s="1"/>
  <c r="TJ16" i="1" a="1"/>
  <c r="TJ16" i="1" s="1"/>
  <c r="TF16" i="1" a="1"/>
  <c r="TF16" i="1" s="1"/>
  <c r="TB16" i="1" a="1"/>
  <c r="TB16" i="1" s="1"/>
  <c r="SX16" i="1" a="1"/>
  <c r="SX16" i="1" s="1"/>
  <c r="SS16" i="1" a="1"/>
  <c r="SS16" i="1" s="1"/>
  <c r="SO16" i="1" a="1"/>
  <c r="SO16" i="1" s="1"/>
  <c r="AKA16" i="1" a="1"/>
  <c r="AKA16" i="1" s="1"/>
  <c r="AJW16" i="1" a="1"/>
  <c r="AJW16" i="1" s="1"/>
  <c r="AJS16" i="1" a="1"/>
  <c r="AJS16" i="1" s="1"/>
  <c r="AJO16" i="1" a="1"/>
  <c r="AJO16" i="1" s="1"/>
  <c r="AJK16" i="1" a="1"/>
  <c r="AJK16" i="1" s="1"/>
  <c r="AJG16" i="1" a="1"/>
  <c r="AJG16" i="1" s="1"/>
  <c r="AJC16" i="1" a="1"/>
  <c r="AJC16" i="1" s="1"/>
  <c r="AIY16" i="1" a="1"/>
  <c r="AIY16" i="1" s="1"/>
  <c r="AIU16" i="1" a="1"/>
  <c r="AIU16" i="1" s="1"/>
  <c r="AIQ16" i="1" a="1"/>
  <c r="AIQ16" i="1" s="1"/>
  <c r="AIM16" i="1" a="1"/>
  <c r="AIM16" i="1" s="1"/>
  <c r="AII16" i="1" a="1"/>
  <c r="AII16" i="1" s="1"/>
  <c r="AID16" i="1" a="1"/>
  <c r="AID16" i="1" s="1"/>
  <c r="AHZ16" i="1" a="1"/>
  <c r="AHZ16" i="1" s="1"/>
  <c r="US16" i="1" a="1"/>
  <c r="US16" i="1" s="1"/>
  <c r="UO16" i="1" a="1"/>
  <c r="UO16" i="1" s="1"/>
  <c r="UK16" i="1" a="1"/>
  <c r="UK16" i="1" s="1"/>
  <c r="UG16" i="1" a="1"/>
  <c r="UG16" i="1" s="1"/>
  <c r="UC16" i="1" a="1"/>
  <c r="UC16" i="1" s="1"/>
  <c r="TY16" i="1" a="1"/>
  <c r="TY16" i="1" s="1"/>
  <c r="TU16" i="1" a="1"/>
  <c r="TU16" i="1" s="1"/>
  <c r="TQ16" i="1" a="1"/>
  <c r="TQ16" i="1" s="1"/>
  <c r="TM16" i="1" a="1"/>
  <c r="TM16" i="1" s="1"/>
  <c r="TI16" i="1" a="1"/>
  <c r="TI16" i="1" s="1"/>
  <c r="TE16" i="1" a="1"/>
  <c r="TE16" i="1" s="1"/>
  <c r="TA16" i="1" a="1"/>
  <c r="TA16" i="1" s="1"/>
  <c r="SW16" i="1" a="1"/>
  <c r="SW16" i="1" s="1"/>
  <c r="SR16" i="1" a="1"/>
  <c r="SR16" i="1" s="1"/>
  <c r="AJZ16" i="1" a="1"/>
  <c r="AJZ16" i="1" s="1"/>
  <c r="AJV16" i="1" a="1"/>
  <c r="AJV16" i="1" s="1"/>
  <c r="AJR16" i="1" a="1"/>
  <c r="AJR16" i="1" s="1"/>
  <c r="AJN16" i="1" a="1"/>
  <c r="AJN16" i="1" s="1"/>
  <c r="AJJ16" i="1" a="1"/>
  <c r="AJJ16" i="1" s="1"/>
  <c r="AJF16" i="1" a="1"/>
  <c r="AJF16" i="1" s="1"/>
  <c r="AJB16" i="1" a="1"/>
  <c r="AJB16" i="1" s="1"/>
  <c r="AIX16" i="1" a="1"/>
  <c r="AIX16" i="1" s="1"/>
  <c r="AIT16" i="1" a="1"/>
  <c r="AIT16" i="1" s="1"/>
  <c r="AIP16" i="1" a="1"/>
  <c r="AIP16" i="1" s="1"/>
  <c r="AIL16" i="1" a="1"/>
  <c r="AIL16" i="1" s="1"/>
  <c r="AIH16" i="1" a="1"/>
  <c r="AIH16" i="1" s="1"/>
  <c r="AIC16" i="1" a="1"/>
  <c r="AIC16" i="1" s="1"/>
  <c r="AHY16" i="1" a="1"/>
  <c r="AHY16" i="1" s="1"/>
  <c r="UR16" i="1" a="1"/>
  <c r="UR16" i="1" s="1"/>
  <c r="UN16" i="1" a="1"/>
  <c r="UN16" i="1" s="1"/>
  <c r="UJ16" i="1" a="1"/>
  <c r="UJ16" i="1" s="1"/>
  <c r="UF16" i="1" a="1"/>
  <c r="UF16" i="1" s="1"/>
  <c r="UB16" i="1" a="1"/>
  <c r="UB16" i="1" s="1"/>
  <c r="TX16" i="1" a="1"/>
  <c r="TX16" i="1" s="1"/>
  <c r="TT16" i="1" a="1"/>
  <c r="TT16" i="1" s="1"/>
  <c r="TP16" i="1" a="1"/>
  <c r="TP16" i="1" s="1"/>
  <c r="TL16" i="1" a="1"/>
  <c r="TL16" i="1" s="1"/>
  <c r="TH16" i="1" a="1"/>
  <c r="TH16" i="1" s="1"/>
  <c r="TD16" i="1" a="1"/>
  <c r="TD16" i="1" s="1"/>
  <c r="SZ16" i="1" a="1"/>
  <c r="SZ16" i="1" s="1"/>
  <c r="SU16" i="1" a="1"/>
  <c r="SU16" i="1" s="1"/>
  <c r="SQ16" i="1" a="1"/>
  <c r="SQ16" i="1" s="1"/>
  <c r="VA16" i="1" a="1"/>
  <c r="VA16" i="1" s="1"/>
  <c r="VQ16" i="1" a="1"/>
  <c r="VQ16" i="1" s="1"/>
  <c r="AKM16" i="1" a="1"/>
  <c r="AKM16" i="1" s="1"/>
  <c r="ALC16" i="1" a="1"/>
  <c r="ALC16" i="1" s="1"/>
  <c r="AHB62" i="1"/>
  <c r="AHE62" i="1"/>
  <c r="GM20" i="1"/>
  <c r="GN20" i="1" s="1"/>
  <c r="GQ22" i="1"/>
  <c r="GR22" i="1" s="1"/>
  <c r="VB12" i="1" a="1"/>
  <c r="VB12" i="1" s="1"/>
  <c r="VR12" i="1" a="1"/>
  <c r="VR12" i="1" s="1"/>
  <c r="AGY12" i="1"/>
  <c r="AKS12" i="1" a="1"/>
  <c r="AKS12" i="1" s="1"/>
  <c r="VP12" i="1" a="1"/>
  <c r="VP12" i="1" s="1"/>
  <c r="AKL12" i="1" a="1"/>
  <c r="AKL12" i="1" s="1"/>
  <c r="ALB12" i="1" a="1"/>
  <c r="ALB12" i="1" s="1"/>
  <c r="VF12" i="1" a="1"/>
  <c r="VF12" i="1" s="1"/>
  <c r="VV12" i="1" a="1"/>
  <c r="VV12" i="1" s="1"/>
  <c r="AKW12" i="1" a="1"/>
  <c r="AKW12" i="1" s="1"/>
  <c r="VA12" i="1" a="1"/>
  <c r="VA12" i="1" s="1"/>
  <c r="VQ12" i="1" a="1"/>
  <c r="VQ12" i="1" s="1"/>
  <c r="AKU12" i="1" a="1"/>
  <c r="AKU12" i="1" s="1"/>
  <c r="DU78" i="1"/>
  <c r="DV78" i="1" s="1"/>
  <c r="CG59" i="1"/>
  <c r="CI18" i="1"/>
  <c r="CJ18" i="1" s="1"/>
  <c r="CI11" i="1"/>
  <c r="CJ11" i="1" s="1"/>
  <c r="FD71" i="1"/>
  <c r="FE71" i="1" s="1"/>
  <c r="EZ77" i="1"/>
  <c r="CP75" i="1"/>
  <c r="CQ75" i="1" s="1"/>
  <c r="AFS63" i="1"/>
  <c r="AAF63" i="1"/>
  <c r="AAB63" i="1"/>
  <c r="AGH63" i="1" s="1" a="1"/>
  <c r="AGH63" i="1" s="1"/>
  <c r="AGI63" i="1" s="1"/>
  <c r="AAD63" i="1"/>
  <c r="AGJ63" i="1"/>
  <c r="AAC63" i="1"/>
  <c r="AAE63" i="1"/>
  <c r="AGY63" i="1"/>
  <c r="CG57" i="1"/>
  <c r="CI57" i="1" s="1"/>
  <c r="CJ57" i="1" s="1"/>
  <c r="FA19" i="1"/>
  <c r="FB19" i="1" s="1"/>
  <c r="FD19" i="1" s="1"/>
  <c r="FE19" i="1" s="1"/>
  <c r="AHU15" i="1"/>
  <c r="ANJ15" i="1"/>
  <c r="AHW15" i="1"/>
  <c r="AHS15" i="1"/>
  <c r="ANY15" i="1" s="1" a="1"/>
  <c r="ANY15" i="1" s="1"/>
  <c r="ANZ15" i="1" s="1"/>
  <c r="AHV15" i="1"/>
  <c r="AOA15" i="1"/>
  <c r="AHT15" i="1"/>
  <c r="AJZ15" i="1" a="1"/>
  <c r="AJZ15" i="1" s="1"/>
  <c r="AJV15" i="1" a="1"/>
  <c r="AJV15" i="1" s="1"/>
  <c r="AJR15" i="1" a="1"/>
  <c r="AJR15" i="1" s="1"/>
  <c r="AJN15" i="1" a="1"/>
  <c r="AJN15" i="1" s="1"/>
  <c r="AJJ15" i="1" a="1"/>
  <c r="AJJ15" i="1" s="1"/>
  <c r="AJF15" i="1" a="1"/>
  <c r="AJF15" i="1" s="1"/>
  <c r="AJB15" i="1" a="1"/>
  <c r="AJB15" i="1" s="1"/>
  <c r="AIX15" i="1" a="1"/>
  <c r="AIX15" i="1" s="1"/>
  <c r="AIT15" i="1" a="1"/>
  <c r="AIT15" i="1" s="1"/>
  <c r="AIP15" i="1" a="1"/>
  <c r="AIP15" i="1" s="1"/>
  <c r="AIL15" i="1" a="1"/>
  <c r="AIL15" i="1" s="1"/>
  <c r="AIH15" i="1" a="1"/>
  <c r="AIH15" i="1" s="1"/>
  <c r="AIC15" i="1" a="1"/>
  <c r="AIC15" i="1" s="1"/>
  <c r="AHY15" i="1" a="1"/>
  <c r="AHY15" i="1" s="1"/>
  <c r="UR15" i="1" a="1"/>
  <c r="UR15" i="1" s="1"/>
  <c r="UN15" i="1" a="1"/>
  <c r="UN15" i="1" s="1"/>
  <c r="UJ15" i="1" a="1"/>
  <c r="UJ15" i="1" s="1"/>
  <c r="UF15" i="1" a="1"/>
  <c r="UF15" i="1" s="1"/>
  <c r="UB15" i="1" a="1"/>
  <c r="UB15" i="1" s="1"/>
  <c r="TX15" i="1" a="1"/>
  <c r="TX15" i="1" s="1"/>
  <c r="TT15" i="1" a="1"/>
  <c r="TT15" i="1" s="1"/>
  <c r="TP15" i="1" a="1"/>
  <c r="TP15" i="1" s="1"/>
  <c r="TL15" i="1" a="1"/>
  <c r="TL15" i="1" s="1"/>
  <c r="TH15" i="1" a="1"/>
  <c r="TH15" i="1" s="1"/>
  <c r="TD15" i="1" a="1"/>
  <c r="TD15" i="1" s="1"/>
  <c r="SZ15" i="1" a="1"/>
  <c r="SZ15" i="1" s="1"/>
  <c r="SU15" i="1" a="1"/>
  <c r="SU15" i="1" s="1"/>
  <c r="SQ15" i="1" a="1"/>
  <c r="SQ15" i="1" s="1"/>
  <c r="AKC15" i="1" a="1"/>
  <c r="AKC15" i="1" s="1"/>
  <c r="AJY15" i="1" a="1"/>
  <c r="AJY15" i="1" s="1"/>
  <c r="AJU15" i="1" a="1"/>
  <c r="AJU15" i="1" s="1"/>
  <c r="AJQ15" i="1" a="1"/>
  <c r="AJQ15" i="1" s="1"/>
  <c r="AJM15" i="1" a="1"/>
  <c r="AJM15" i="1" s="1"/>
  <c r="AJI15" i="1" a="1"/>
  <c r="AJI15" i="1" s="1"/>
  <c r="AJE15" i="1" a="1"/>
  <c r="AJE15" i="1" s="1"/>
  <c r="AJA15" i="1" a="1"/>
  <c r="AJA15" i="1" s="1"/>
  <c r="AIW15" i="1" a="1"/>
  <c r="AIW15" i="1" s="1"/>
  <c r="AIS15" i="1" a="1"/>
  <c r="AIS15" i="1" s="1"/>
  <c r="AIO15" i="1" a="1"/>
  <c r="AIO15" i="1" s="1"/>
  <c r="AIK15" i="1" a="1"/>
  <c r="AIK15" i="1" s="1"/>
  <c r="AIG15" i="1" a="1"/>
  <c r="AIG15" i="1" s="1"/>
  <c r="AIB15" i="1" a="1"/>
  <c r="AIB15" i="1" s="1"/>
  <c r="UQ15" i="1" a="1"/>
  <c r="UQ15" i="1" s="1"/>
  <c r="UM15" i="1" a="1"/>
  <c r="UM15" i="1" s="1"/>
  <c r="UI15" i="1" a="1"/>
  <c r="UI15" i="1" s="1"/>
  <c r="UE15" i="1" a="1"/>
  <c r="UE15" i="1" s="1"/>
  <c r="UA15" i="1" a="1"/>
  <c r="UA15" i="1" s="1"/>
  <c r="TW15" i="1" a="1"/>
  <c r="TW15" i="1" s="1"/>
  <c r="TS15" i="1" a="1"/>
  <c r="TS15" i="1" s="1"/>
  <c r="TO15" i="1" a="1"/>
  <c r="TO15" i="1" s="1"/>
  <c r="TK15" i="1" a="1"/>
  <c r="TK15" i="1" s="1"/>
  <c r="TG15" i="1" a="1"/>
  <c r="TG15" i="1" s="1"/>
  <c r="TC15" i="1" a="1"/>
  <c r="TC15" i="1" s="1"/>
  <c r="SY15" i="1" a="1"/>
  <c r="SY15" i="1" s="1"/>
  <c r="ST15" i="1" a="1"/>
  <c r="ST15" i="1" s="1"/>
  <c r="SP15" i="1" a="1"/>
  <c r="SP15" i="1" s="1"/>
  <c r="AKB15" i="1" a="1"/>
  <c r="AKB15" i="1" s="1"/>
  <c r="AJX15" i="1" a="1"/>
  <c r="AJX15" i="1" s="1"/>
  <c r="AJT15" i="1" a="1"/>
  <c r="AJT15" i="1" s="1"/>
  <c r="AJP15" i="1" a="1"/>
  <c r="AJP15" i="1" s="1"/>
  <c r="AJL15" i="1" a="1"/>
  <c r="AJL15" i="1" s="1"/>
  <c r="AJH15" i="1" a="1"/>
  <c r="AJH15" i="1" s="1"/>
  <c r="AJD15" i="1" a="1"/>
  <c r="AJD15" i="1" s="1"/>
  <c r="AIZ15" i="1" a="1"/>
  <c r="AIZ15" i="1" s="1"/>
  <c r="AIV15" i="1" a="1"/>
  <c r="AIV15" i="1" s="1"/>
  <c r="AIR15" i="1" a="1"/>
  <c r="AIR15" i="1" s="1"/>
  <c r="AIN15" i="1" a="1"/>
  <c r="AIN15" i="1" s="1"/>
  <c r="AIJ15" i="1" a="1"/>
  <c r="AIJ15" i="1" s="1"/>
  <c r="AIE15" i="1" a="1"/>
  <c r="AIE15" i="1" s="1"/>
  <c r="AIA15" i="1" a="1"/>
  <c r="AIA15" i="1" s="1"/>
  <c r="UP15" i="1" a="1"/>
  <c r="UP15" i="1" s="1"/>
  <c r="UL15" i="1" a="1"/>
  <c r="UL15" i="1" s="1"/>
  <c r="UH15" i="1" a="1"/>
  <c r="UH15" i="1" s="1"/>
  <c r="UD15" i="1" a="1"/>
  <c r="UD15" i="1" s="1"/>
  <c r="TZ15" i="1" a="1"/>
  <c r="TZ15" i="1" s="1"/>
  <c r="TV15" i="1" a="1"/>
  <c r="TV15" i="1" s="1"/>
  <c r="TR15" i="1" a="1"/>
  <c r="TR15" i="1" s="1"/>
  <c r="TN15" i="1" a="1"/>
  <c r="TN15" i="1" s="1"/>
  <c r="TJ15" i="1" a="1"/>
  <c r="TJ15" i="1" s="1"/>
  <c r="TF15" i="1" a="1"/>
  <c r="TF15" i="1" s="1"/>
  <c r="TB15" i="1" a="1"/>
  <c r="TB15" i="1" s="1"/>
  <c r="SX15" i="1" a="1"/>
  <c r="SX15" i="1" s="1"/>
  <c r="SS15" i="1" a="1"/>
  <c r="SS15" i="1" s="1"/>
  <c r="SO15" i="1" a="1"/>
  <c r="SO15" i="1" s="1"/>
  <c r="AKA15" i="1" a="1"/>
  <c r="AKA15" i="1" s="1"/>
  <c r="AJW15" i="1" a="1"/>
  <c r="AJW15" i="1" s="1"/>
  <c r="AJS15" i="1" a="1"/>
  <c r="AJS15" i="1" s="1"/>
  <c r="AJO15" i="1" a="1"/>
  <c r="AJO15" i="1" s="1"/>
  <c r="AJK15" i="1" a="1"/>
  <c r="AJK15" i="1" s="1"/>
  <c r="AJG15" i="1" a="1"/>
  <c r="AJG15" i="1" s="1"/>
  <c r="AJC15" i="1" a="1"/>
  <c r="AJC15" i="1" s="1"/>
  <c r="AIY15" i="1" a="1"/>
  <c r="AIY15" i="1" s="1"/>
  <c r="AIU15" i="1" a="1"/>
  <c r="AIU15" i="1" s="1"/>
  <c r="AIQ15" i="1" a="1"/>
  <c r="AIQ15" i="1" s="1"/>
  <c r="AIM15" i="1" a="1"/>
  <c r="AIM15" i="1" s="1"/>
  <c r="AII15" i="1" a="1"/>
  <c r="AII15" i="1" s="1"/>
  <c r="AID15" i="1" a="1"/>
  <c r="AID15" i="1" s="1"/>
  <c r="AHZ15" i="1" a="1"/>
  <c r="AHZ15" i="1" s="1"/>
  <c r="US15" i="1" a="1"/>
  <c r="US15" i="1" s="1"/>
  <c r="UO15" i="1" a="1"/>
  <c r="UO15" i="1" s="1"/>
  <c r="UK15" i="1" a="1"/>
  <c r="UK15" i="1" s="1"/>
  <c r="UG15" i="1" a="1"/>
  <c r="UG15" i="1" s="1"/>
  <c r="UC15" i="1" a="1"/>
  <c r="UC15" i="1" s="1"/>
  <c r="TY15" i="1" a="1"/>
  <c r="TY15" i="1" s="1"/>
  <c r="TU15" i="1" a="1"/>
  <c r="TU15" i="1" s="1"/>
  <c r="TQ15" i="1" a="1"/>
  <c r="TQ15" i="1" s="1"/>
  <c r="TM15" i="1" a="1"/>
  <c r="TM15" i="1" s="1"/>
  <c r="TI15" i="1" a="1"/>
  <c r="TI15" i="1" s="1"/>
  <c r="TE15" i="1" a="1"/>
  <c r="TE15" i="1" s="1"/>
  <c r="TA15" i="1" a="1"/>
  <c r="TA15" i="1" s="1"/>
  <c r="SW15" i="1" a="1"/>
  <c r="SW15" i="1" s="1"/>
  <c r="SR15" i="1" a="1"/>
  <c r="SR15" i="1" s="1"/>
  <c r="VA15" i="1" a="1"/>
  <c r="VA15" i="1" s="1"/>
  <c r="VQ15" i="1" a="1"/>
  <c r="VQ15" i="1" s="1"/>
  <c r="AKM15" i="1" a="1"/>
  <c r="AKM15" i="1" s="1"/>
  <c r="ALC15" i="1" a="1"/>
  <c r="ALC15" i="1" s="1"/>
  <c r="VJ15" i="1" a="1"/>
  <c r="VJ15" i="1" s="1"/>
  <c r="AKV15" i="1" a="1"/>
  <c r="AKV15" i="1" s="1"/>
  <c r="GC74" i="1" a="1"/>
  <c r="GC74" i="1" s="1"/>
  <c r="GO74" i="1" s="1"/>
  <c r="FY74" i="1" a="1"/>
  <c r="FY74" i="1" s="1"/>
  <c r="GH74" i="1" s="1"/>
  <c r="GB74" i="1" a="1"/>
  <c r="GB74" i="1" s="1"/>
  <c r="GP74" i="1" s="1"/>
  <c r="GF74" i="1" a="1"/>
  <c r="GF74" i="1" s="1"/>
  <c r="GA74" i="1" a="1"/>
  <c r="GA74" i="1" s="1"/>
  <c r="GD74" i="1" a="1"/>
  <c r="GD74" i="1" s="1"/>
  <c r="GI74" i="1" s="1"/>
  <c r="FZ74" i="1" a="1"/>
  <c r="FZ74" i="1" s="1"/>
  <c r="EY58" i="1"/>
  <c r="FA58" i="1" s="1"/>
  <c r="FB58" i="1" s="1"/>
  <c r="AAE59" i="1"/>
  <c r="AAD59" i="1"/>
  <c r="AGJ59" i="1"/>
  <c r="AFS59" i="1"/>
  <c r="AAF59" i="1"/>
  <c r="AAB59" i="1"/>
  <c r="AGH59" i="1" s="1" a="1"/>
  <c r="AGH59" i="1" s="1"/>
  <c r="AGI59" i="1" s="1"/>
  <c r="AAC59" i="1"/>
  <c r="GI58" i="1"/>
  <c r="DJ57" i="1" a="1"/>
  <c r="DJ57" i="1" s="1"/>
  <c r="DX57" i="1" s="1"/>
  <c r="DG57" i="1" a="1"/>
  <c r="DG57" i="1" s="1"/>
  <c r="DP57" i="1" s="1"/>
  <c r="DR57" i="1" s="1"/>
  <c r="DS57" i="1" s="1"/>
  <c r="DN57" i="1" a="1"/>
  <c r="DN57" i="1" s="1"/>
  <c r="DK57" i="1" a="1"/>
  <c r="DK57" i="1" s="1"/>
  <c r="DW57" i="1" s="1"/>
  <c r="DL57" i="1" a="1"/>
  <c r="DL57" i="1" s="1"/>
  <c r="DQ57" i="1" s="1"/>
  <c r="DH57" i="1" a="1"/>
  <c r="DH57" i="1" s="1"/>
  <c r="DM57" i="1" a="1"/>
  <c r="DM57" i="1" s="1"/>
  <c r="DI57" i="1" a="1"/>
  <c r="DI57" i="1" s="1"/>
  <c r="EY59" i="1"/>
  <c r="EZ59" i="1"/>
  <c r="CG26" i="1"/>
  <c r="DR15" i="1"/>
  <c r="DS15" i="1" s="1"/>
  <c r="DU15" i="1" s="1"/>
  <c r="DV15" i="1" s="1"/>
  <c r="CL17" i="1"/>
  <c r="CM17" i="1" s="1"/>
  <c r="GH78" i="1"/>
  <c r="GJ78" i="1" s="1"/>
  <c r="GK78" i="1" s="1"/>
  <c r="DQ61" i="1"/>
  <c r="DN60" i="1" a="1"/>
  <c r="DN60" i="1" s="1"/>
  <c r="DI60" i="1" a="1"/>
  <c r="DI60" i="1" s="1"/>
  <c r="DL60" i="1" a="1"/>
  <c r="DL60" i="1" s="1"/>
  <c r="DQ60" i="1" s="1"/>
  <c r="DG60" i="1" a="1"/>
  <c r="DG60" i="1" s="1"/>
  <c r="DM60" i="1" a="1"/>
  <c r="DM60" i="1" s="1"/>
  <c r="DH60" i="1" a="1"/>
  <c r="DH60" i="1" s="1"/>
  <c r="DJ60" i="1" a="1"/>
  <c r="DJ60" i="1" s="1"/>
  <c r="DX60" i="1" s="1"/>
  <c r="DK60" i="1" a="1"/>
  <c r="DK60" i="1" s="1"/>
  <c r="DW60" i="1" s="1"/>
  <c r="DP60" i="1"/>
  <c r="BY55" i="1" a="1"/>
  <c r="BY55" i="1" s="1"/>
  <c r="CC55" i="1" a="1"/>
  <c r="CC55" i="1" s="1"/>
  <c r="CH55" i="1" s="1"/>
  <c r="BX55" i="1" a="1"/>
  <c r="BX55" i="1" s="1"/>
  <c r="CG55" i="1" s="1"/>
  <c r="CI55" i="1" s="1"/>
  <c r="CJ55" i="1" s="1"/>
  <c r="CE55" i="1" a="1"/>
  <c r="CE55" i="1" s="1"/>
  <c r="CD55" i="1" a="1"/>
  <c r="CD55" i="1" s="1"/>
  <c r="CB55" i="1" a="1"/>
  <c r="CB55" i="1" s="1"/>
  <c r="CN55" i="1" s="1"/>
  <c r="CA55" i="1" a="1"/>
  <c r="CA55" i="1" s="1"/>
  <c r="BZ55" i="1" a="1"/>
  <c r="BZ55" i="1" s="1"/>
  <c r="AFS56" i="1"/>
  <c r="AAF56" i="1"/>
  <c r="AAB56" i="1"/>
  <c r="AGH56" i="1" s="1" a="1"/>
  <c r="AGH56" i="1" s="1"/>
  <c r="AGI56" i="1" s="1"/>
  <c r="AAE56" i="1"/>
  <c r="AAD56" i="1"/>
  <c r="AAC56" i="1"/>
  <c r="AGJ56" i="1"/>
  <c r="AGY56" i="1"/>
  <c r="SK56" i="1"/>
  <c r="SI56" i="1"/>
  <c r="YO56" i="1" s="1" a="1"/>
  <c r="YO56" i="1" s="1"/>
  <c r="YP56" i="1" s="1"/>
  <c r="SM56" i="1"/>
  <c r="SL56" i="1"/>
  <c r="YQ56" i="1"/>
  <c r="XZ56" i="1"/>
  <c r="SJ56" i="1"/>
  <c r="RU75" i="1"/>
  <c r="CI61" i="1"/>
  <c r="CJ61" i="1" s="1"/>
  <c r="HX60" i="1"/>
  <c r="HY60" i="1" s="1"/>
  <c r="HZ60" i="1" s="1"/>
  <c r="GH60" i="1"/>
  <c r="DR22" i="1"/>
  <c r="DS22" i="1" s="1"/>
  <c r="HX15" i="1"/>
  <c r="HY15" i="1" s="1"/>
  <c r="HZ15" i="1" s="1"/>
  <c r="GJ11" i="1"/>
  <c r="GK11" i="1" s="1"/>
  <c r="AHE10" i="1"/>
  <c r="GM72" i="1"/>
  <c r="GN72" i="1" s="1"/>
  <c r="HX18" i="1"/>
  <c r="HY18" i="1" s="1"/>
  <c r="HZ18" i="1" s="1"/>
  <c r="GH77" i="1"/>
  <c r="GJ77" i="1" s="1"/>
  <c r="GK77" i="1" s="1"/>
  <c r="AHB75" i="1"/>
  <c r="SK63" i="1"/>
  <c r="SI63" i="1"/>
  <c r="YO63" i="1" s="1" a="1"/>
  <c r="YO63" i="1" s="1"/>
  <c r="YP63" i="1" s="1"/>
  <c r="SL63" i="1"/>
  <c r="YQ63" i="1"/>
  <c r="XZ63" i="1"/>
  <c r="SJ63" i="1"/>
  <c r="SM63" i="1"/>
  <c r="GH63" i="1"/>
  <c r="DI63" i="1" a="1"/>
  <c r="DI63" i="1" s="1"/>
  <c r="DL63" i="1" a="1"/>
  <c r="DL63" i="1" s="1"/>
  <c r="DQ63" i="1" s="1"/>
  <c r="DJ63" i="1" a="1"/>
  <c r="DJ63" i="1" s="1"/>
  <c r="DX63" i="1" s="1"/>
  <c r="DK63" i="1" a="1"/>
  <c r="DK63" i="1" s="1"/>
  <c r="DW63" i="1" s="1"/>
  <c r="DH63" i="1" a="1"/>
  <c r="DH63" i="1" s="1"/>
  <c r="DN63" i="1" a="1"/>
  <c r="DN63" i="1" s="1"/>
  <c r="DM63" i="1" a="1"/>
  <c r="DM63" i="1" s="1"/>
  <c r="DG63" i="1" a="1"/>
  <c r="DG63" i="1" s="1"/>
  <c r="DP63" i="1" s="1"/>
  <c r="DR63" i="1" s="1"/>
  <c r="DS63" i="1" s="1"/>
  <c r="FD20" i="1"/>
  <c r="FE20" i="1" s="1"/>
  <c r="RR77" i="1"/>
  <c r="HX75" i="1"/>
  <c r="HY75" i="1" s="1"/>
  <c r="HZ75" i="1" s="1"/>
  <c r="ET57" i="1" a="1"/>
  <c r="ET57" i="1" s="1"/>
  <c r="FF57" i="1" s="1"/>
  <c r="EQ57" i="1" a="1"/>
  <c r="EQ57" i="1" s="1"/>
  <c r="EU57" i="1" a="1"/>
  <c r="EU57" i="1" s="1"/>
  <c r="EZ57" i="1" s="1"/>
  <c r="EP57" i="1" a="1"/>
  <c r="EP57" i="1" s="1"/>
  <c r="EY57" i="1" s="1"/>
  <c r="FA57" i="1" s="1"/>
  <c r="FB57" i="1" s="1"/>
  <c r="ES57" i="1" a="1"/>
  <c r="ES57" i="1" s="1"/>
  <c r="FG57" i="1" s="1"/>
  <c r="EV57" i="1" a="1"/>
  <c r="EV57" i="1" s="1"/>
  <c r="ER57" i="1" a="1"/>
  <c r="ER57" i="1" s="1"/>
  <c r="EW57" i="1" a="1"/>
  <c r="EW57" i="1" s="1"/>
  <c r="AHU20" i="1"/>
  <c r="ANJ20" i="1"/>
  <c r="AHW20" i="1"/>
  <c r="AHS20" i="1"/>
  <c r="ANY20" i="1" s="1" a="1"/>
  <c r="ANY20" i="1" s="1"/>
  <c r="ANZ20" i="1" s="1"/>
  <c r="AHV20" i="1"/>
  <c r="AOA20" i="1"/>
  <c r="AHT20" i="1"/>
  <c r="AHB19" i="1"/>
  <c r="HX78" i="1"/>
  <c r="HY78" i="1" s="1"/>
  <c r="HZ78" i="1" s="1"/>
  <c r="HT73" i="1"/>
  <c r="HU73" i="1" s="1"/>
  <c r="GM75" i="1"/>
  <c r="GN75" i="1" s="1"/>
  <c r="EZ72" i="1"/>
  <c r="EY72" i="1"/>
  <c r="RX60" i="1"/>
  <c r="RX62" i="1"/>
  <c r="RR60" i="1"/>
  <c r="AGY59" i="1"/>
  <c r="ANJ55" i="1"/>
  <c r="AHW55" i="1"/>
  <c r="AHS55" i="1"/>
  <c r="ANY55" i="1" s="1" a="1"/>
  <c r="ANY55" i="1" s="1"/>
  <c r="ANZ55" i="1" s="1"/>
  <c r="AHU55" i="1"/>
  <c r="AOA55" i="1"/>
  <c r="AHT55" i="1"/>
  <c r="AHV55" i="1"/>
  <c r="RX21" i="1"/>
  <c r="ANJ21" i="1"/>
  <c r="AHW21" i="1"/>
  <c r="AHS21" i="1"/>
  <c r="ANY21" i="1" s="1" a="1"/>
  <c r="ANY21" i="1" s="1"/>
  <c r="ANZ21" i="1" s="1"/>
  <c r="AHU21" i="1"/>
  <c r="AOA21" i="1"/>
  <c r="AHT21" i="1"/>
  <c r="AHV21" i="1"/>
  <c r="GL11" i="1"/>
  <c r="CG71" i="1"/>
  <c r="CI71" i="1" s="1"/>
  <c r="CJ71" i="1" s="1"/>
  <c r="SK60" i="1"/>
  <c r="SL60" i="1"/>
  <c r="YQ60" i="1"/>
  <c r="XZ60" i="1"/>
  <c r="SJ60" i="1"/>
  <c r="SI60" i="1"/>
  <c r="YO60" i="1" s="1" a="1"/>
  <c r="YO60" i="1" s="1"/>
  <c r="YP60" i="1" s="1"/>
  <c r="SM60" i="1"/>
  <c r="FA22" i="1"/>
  <c r="FB22" i="1" s="1"/>
  <c r="CO21" i="1"/>
  <c r="HX21" i="1"/>
  <c r="HY21" i="1" s="1"/>
  <c r="HZ21" i="1" s="1"/>
  <c r="CL23" i="1"/>
  <c r="CM23" i="1" s="1"/>
  <c r="CL72" i="1"/>
  <c r="CM72" i="1" s="1"/>
  <c r="HX17" i="1"/>
  <c r="HY17" i="1" s="1"/>
  <c r="HZ17" i="1" s="1"/>
  <c r="DQ72" i="1"/>
  <c r="EZ76" i="1"/>
  <c r="CL73" i="1"/>
  <c r="CM73" i="1" s="1"/>
  <c r="ANJ59" i="1"/>
  <c r="AHW59" i="1"/>
  <c r="AHS59" i="1"/>
  <c r="ANY59" i="1" s="1" a="1"/>
  <c r="ANY59" i="1" s="1"/>
  <c r="ANZ59" i="1" s="1"/>
  <c r="AHV59" i="1"/>
  <c r="AHU59" i="1"/>
  <c r="AOA59" i="1"/>
  <c r="AHT59" i="1"/>
  <c r="YQ59" i="1"/>
  <c r="SJ59" i="1"/>
  <c r="XZ59" i="1"/>
  <c r="SM59" i="1"/>
  <c r="SI59" i="1"/>
  <c r="YO59" i="1" s="1" a="1"/>
  <c r="YO59" i="1" s="1"/>
  <c r="YP59" i="1" s="1"/>
  <c r="SK59" i="1"/>
  <c r="SL59" i="1"/>
  <c r="DQ55" i="1"/>
  <c r="HX19" i="1"/>
  <c r="HY19" i="1" s="1"/>
  <c r="HZ19" i="1" s="1"/>
  <c r="HX77" i="1"/>
  <c r="HY77" i="1" s="1"/>
  <c r="HZ77" i="1" s="1"/>
  <c r="HX71" i="1"/>
  <c r="HY71" i="1" s="1"/>
  <c r="HZ71" i="1" s="1"/>
  <c r="CH61" i="1"/>
  <c r="GC63" i="1" a="1"/>
  <c r="GC63" i="1" s="1"/>
  <c r="GO63" i="1" s="1"/>
  <c r="FZ63" i="1" a="1"/>
  <c r="FZ63" i="1" s="1"/>
  <c r="GB63" i="1" a="1"/>
  <c r="GB63" i="1" s="1"/>
  <c r="GP63" i="1" s="1"/>
  <c r="FY63" i="1" a="1"/>
  <c r="FY63" i="1" s="1"/>
  <c r="GF63" i="1" a="1"/>
  <c r="GF63" i="1" s="1"/>
  <c r="GD63" i="1" a="1"/>
  <c r="GD63" i="1" s="1"/>
  <c r="GI63" i="1" s="1"/>
  <c r="GA63" i="1" a="1"/>
  <c r="GA63" i="1" s="1"/>
  <c r="HX57" i="1"/>
  <c r="HY57" i="1" s="1"/>
  <c r="HZ57" i="1" s="1"/>
  <c r="DQ59" i="1"/>
  <c r="GH55" i="1"/>
  <c r="GJ55" i="1" s="1"/>
  <c r="GK55" i="1" s="1"/>
  <c r="CO13" i="1"/>
  <c r="HX13" i="1"/>
  <c r="HY13" i="1" s="1"/>
  <c r="HZ13" i="1" s="1"/>
  <c r="DM71" i="1" a="1"/>
  <c r="DM71" i="1" s="1"/>
  <c r="DH71" i="1" a="1"/>
  <c r="DH71" i="1" s="1"/>
  <c r="DJ71" i="1" a="1"/>
  <c r="DJ71" i="1" s="1"/>
  <c r="DX71" i="1" s="1"/>
  <c r="DG71" i="1" a="1"/>
  <c r="DG71" i="1" s="1"/>
  <c r="DP71" i="1" s="1"/>
  <c r="DR71" i="1" s="1"/>
  <c r="DS71" i="1" s="1"/>
  <c r="DL71" i="1" a="1"/>
  <c r="DL71" i="1" s="1"/>
  <c r="DQ71" i="1" s="1"/>
  <c r="DK71" i="1" a="1"/>
  <c r="DK71" i="1" s="1"/>
  <c r="DW71" i="1" s="1"/>
  <c r="DI71" i="1" a="1"/>
  <c r="DI71" i="1" s="1"/>
  <c r="DN71" i="1" a="1"/>
  <c r="DN71" i="1" s="1"/>
  <c r="CB60" i="1" a="1"/>
  <c r="CB60" i="1" s="1"/>
  <c r="CN60" i="1" s="1"/>
  <c r="BZ60" i="1" a="1"/>
  <c r="BZ60" i="1" s="1"/>
  <c r="CE60" i="1" a="1"/>
  <c r="CE60" i="1" s="1"/>
  <c r="CC60" i="1" a="1"/>
  <c r="CC60" i="1" s="1"/>
  <c r="CH60" i="1" s="1"/>
  <c r="CD60" i="1" a="1"/>
  <c r="CD60" i="1" s="1"/>
  <c r="BX60" i="1" a="1"/>
  <c r="BX60" i="1" s="1"/>
  <c r="CG60" i="1" s="1"/>
  <c r="CA60" i="1" a="1"/>
  <c r="CA60" i="1" s="1"/>
  <c r="CO60" i="1" s="1"/>
  <c r="BY60" i="1" a="1"/>
  <c r="BY60" i="1" s="1"/>
  <c r="HX59" i="1"/>
  <c r="HY59" i="1" s="1"/>
  <c r="HZ59" i="1" s="1"/>
  <c r="HX76" i="1"/>
  <c r="HY76" i="1" s="1"/>
  <c r="HZ76" i="1" s="1"/>
  <c r="ALB26" i="1" l="1" a="1"/>
  <c r="ALB26" i="1" s="1"/>
  <c r="AKM26" i="1" a="1"/>
  <c r="AKM26" i="1" s="1"/>
  <c r="VI26" i="1" a="1"/>
  <c r="VI26" i="1" s="1"/>
  <c r="VO26" i="1" a="1"/>
  <c r="VO26" i="1" s="1"/>
  <c r="VK26" i="1" a="1"/>
  <c r="VK26" i="1" s="1"/>
  <c r="AKR26" i="1" a="1"/>
  <c r="AKR26" i="1" s="1"/>
  <c r="CI26" i="1"/>
  <c r="CJ26" i="1" s="1"/>
  <c r="AKK26" i="1" a="1"/>
  <c r="AKK26" i="1" s="1"/>
  <c r="VM26" i="1" a="1"/>
  <c r="VM26" i="1" s="1"/>
  <c r="AKY26" i="1" a="1"/>
  <c r="AKY26" i="1" s="1"/>
  <c r="VA26" i="1" a="1"/>
  <c r="VA26" i="1" s="1"/>
  <c r="VN26" i="1" a="1"/>
  <c r="VN26" i="1" s="1"/>
  <c r="ALD26" i="1" a="1"/>
  <c r="ALD26" i="1" s="1"/>
  <c r="AKO26" i="1" a="1"/>
  <c r="AKO26" i="1" s="1"/>
  <c r="AGV26" i="1"/>
  <c r="GJ26" i="1"/>
  <c r="GK26" i="1" s="1"/>
  <c r="GM26" i="1" s="1"/>
  <c r="GN26" i="1" s="1"/>
  <c r="FA26" i="1"/>
  <c r="FB26" i="1" s="1"/>
  <c r="FD26" i="1" s="1"/>
  <c r="FE26" i="1" s="1"/>
  <c r="RL26" i="1"/>
  <c r="DR26" i="1"/>
  <c r="DS26" i="1" s="1"/>
  <c r="DU26" i="1" s="1"/>
  <c r="DV26" i="1" s="1"/>
  <c r="FD57" i="1"/>
  <c r="FE57" i="1" s="1"/>
  <c r="DU63" i="1"/>
  <c r="DV63" i="1" s="1"/>
  <c r="CL55" i="1"/>
  <c r="CM55" i="1" s="1"/>
  <c r="GM59" i="1"/>
  <c r="GN59" i="1" s="1"/>
  <c r="CP55" i="1"/>
  <c r="CQ55" i="1" s="1"/>
  <c r="AHV26" i="1"/>
  <c r="AOA26" i="1"/>
  <c r="AHT26" i="1"/>
  <c r="ANJ26" i="1"/>
  <c r="AHW26" i="1"/>
  <c r="AHU26" i="1"/>
  <c r="AHS26" i="1"/>
  <c r="ANY26" i="1" s="1" a="1"/>
  <c r="ANY26" i="1" s="1"/>
  <c r="ANZ26" i="1" s="1"/>
  <c r="CI60" i="1"/>
  <c r="CJ60" i="1" s="1"/>
  <c r="CL60" i="1" s="1"/>
  <c r="CM60" i="1" s="1"/>
  <c r="DU71" i="1"/>
  <c r="DV71" i="1" s="1"/>
  <c r="DU57" i="1"/>
  <c r="DV57" i="1" s="1"/>
  <c r="CI63" i="1"/>
  <c r="CJ63" i="1" s="1"/>
  <c r="GQ59" i="1"/>
  <c r="GR59" i="1" s="1"/>
  <c r="FH57" i="1"/>
  <c r="FI57" i="1" s="1"/>
  <c r="DY63" i="1"/>
  <c r="DZ63" i="1" s="1"/>
  <c r="CL63" i="1"/>
  <c r="CM63" i="1" s="1"/>
  <c r="DU59" i="1"/>
  <c r="DV59" i="1" s="1"/>
  <c r="AHB56" i="1"/>
  <c r="GM58" i="1"/>
  <c r="GN58" i="1" s="1"/>
  <c r="AHE59" i="1"/>
  <c r="AHB59" i="1"/>
  <c r="AHH63" i="1"/>
  <c r="RU63" i="1"/>
  <c r="RR63" i="1"/>
  <c r="DR74" i="1"/>
  <c r="DS74" i="1" s="1"/>
  <c r="DU74" i="1" s="1"/>
  <c r="DV74" i="1" s="1"/>
  <c r="VQ26" i="1" a="1"/>
  <c r="VQ26" i="1" s="1"/>
  <c r="ALA26" i="1" a="1"/>
  <c r="ALA26" i="1" s="1"/>
  <c r="VL26" i="1" a="1"/>
  <c r="VL26" i="1" s="1"/>
  <c r="AKL26" i="1" a="1"/>
  <c r="AKL26" i="1" s="1"/>
  <c r="ALC26" i="1" a="1"/>
  <c r="ALC26" i="1" s="1"/>
  <c r="VJ26" i="1" a="1"/>
  <c r="VJ26" i="1" s="1"/>
  <c r="AKN26" i="1" a="1"/>
  <c r="AKN26" i="1" s="1"/>
  <c r="AGY26" i="1"/>
  <c r="ALE26" i="1" a="1"/>
  <c r="ALE26" i="1" s="1"/>
  <c r="VH26" i="1" a="1"/>
  <c r="VH26" i="1" s="1"/>
  <c r="AKX26" i="1" a="1"/>
  <c r="AKX26" i="1" s="1"/>
  <c r="AGJ26" i="1"/>
  <c r="AAC26" i="1"/>
  <c r="AAF26" i="1"/>
  <c r="AHE26" i="1" s="1"/>
  <c r="AAB26" i="1"/>
  <c r="AGH26" i="1" s="1" a="1"/>
  <c r="AGH26" i="1" s="1"/>
  <c r="AGI26" i="1" s="1"/>
  <c r="AAE26" i="1"/>
  <c r="AHB26" i="1" s="1"/>
  <c r="AFS26" i="1"/>
  <c r="AAD26" i="1"/>
  <c r="SH26" i="1"/>
  <c r="FD55" i="1"/>
  <c r="FE55" i="1" s="1"/>
  <c r="HX73" i="1"/>
  <c r="HY73" i="1" s="1"/>
  <c r="DY76" i="1"/>
  <c r="DZ76" i="1" s="1"/>
  <c r="DR72" i="1"/>
  <c r="DS72" i="1" s="1"/>
  <c r="GQ19" i="1"/>
  <c r="GR19" i="1" s="1"/>
  <c r="RX19" i="1"/>
  <c r="RR61" i="1"/>
  <c r="DR56" i="1"/>
  <c r="DS56" i="1" s="1"/>
  <c r="DU56" i="1" s="1"/>
  <c r="DV56" i="1" s="1"/>
  <c r="GQ75" i="1"/>
  <c r="GR75" i="1" s="1"/>
  <c r="RX55" i="1"/>
  <c r="AHE55" i="1"/>
  <c r="CP16" i="1"/>
  <c r="CQ16" i="1" s="1"/>
  <c r="RU19" i="1"/>
  <c r="GQ17" i="1"/>
  <c r="GR17" i="1" s="1"/>
  <c r="DY58" i="1"/>
  <c r="DZ58" i="1" s="1"/>
  <c r="EA58" i="1" s="1"/>
  <c r="DU76" i="1"/>
  <c r="DV76" i="1" s="1"/>
  <c r="EA21" i="1"/>
  <c r="DY78" i="1"/>
  <c r="DZ78" i="1" s="1"/>
  <c r="EA78" i="1" s="1"/>
  <c r="FJ75" i="1"/>
  <c r="GM19" i="1"/>
  <c r="GN19" i="1" s="1"/>
  <c r="DY19" i="1"/>
  <c r="DZ19" i="1" s="1"/>
  <c r="DY77" i="1"/>
  <c r="DZ77" i="1" s="1"/>
  <c r="EA77" i="1" s="1"/>
  <c r="GJ60" i="1"/>
  <c r="GK60" i="1" s="1"/>
  <c r="DU55" i="1"/>
  <c r="DV55" i="1" s="1"/>
  <c r="CO55" i="1"/>
  <c r="HX55" i="1"/>
  <c r="HY55" i="1" s="1"/>
  <c r="HZ55" i="1" s="1"/>
  <c r="FH19" i="1"/>
  <c r="FI19" i="1" s="1"/>
  <c r="FJ19" i="1" s="1"/>
  <c r="AHB63" i="1"/>
  <c r="FD77" i="1"/>
  <c r="FE77" i="1" s="1"/>
  <c r="CL11" i="1"/>
  <c r="CM11" i="1" s="1"/>
  <c r="RX63" i="1"/>
  <c r="VW26" i="1" a="1"/>
  <c r="VW26" i="1" s="1"/>
  <c r="VD26" i="1" a="1"/>
  <c r="VD26" i="1" s="1"/>
  <c r="AKT26" i="1" a="1"/>
  <c r="AKT26" i="1" s="1"/>
  <c r="VU26" i="1" a="1"/>
  <c r="VU26" i="1" s="1"/>
  <c r="RO26" i="1"/>
  <c r="VB26" i="1" a="1"/>
  <c r="VB26" i="1" s="1"/>
  <c r="AKV26" i="1" a="1"/>
  <c r="AKV26" i="1" s="1"/>
  <c r="VS26" i="1" a="1"/>
  <c r="VS26" i="1" s="1"/>
  <c r="ALF26" i="1" a="1"/>
  <c r="ALF26" i="1" s="1"/>
  <c r="ACL26" i="1" a="1"/>
  <c r="ACL26" i="1" s="1"/>
  <c r="ACJ26" i="1" a="1"/>
  <c r="ACJ26" i="1" s="1"/>
  <c r="ACH26" i="1" a="1"/>
  <c r="ACH26" i="1" s="1"/>
  <c r="ACF26" i="1" a="1"/>
  <c r="ACF26" i="1" s="1"/>
  <c r="ACD26" i="1" a="1"/>
  <c r="ACD26" i="1" s="1"/>
  <c r="ACB26" i="1" a="1"/>
  <c r="ACB26" i="1" s="1"/>
  <c r="ABZ26" i="1" a="1"/>
  <c r="ABZ26" i="1" s="1"/>
  <c r="ABX26" i="1" a="1"/>
  <c r="ABX26" i="1" s="1"/>
  <c r="ABV26" i="1" a="1"/>
  <c r="ABV26" i="1" s="1"/>
  <c r="ABT26" i="1" a="1"/>
  <c r="ABT26" i="1" s="1"/>
  <c r="ABR26" i="1" a="1"/>
  <c r="ABR26" i="1" s="1"/>
  <c r="ABP26" i="1" a="1"/>
  <c r="ABP26" i="1" s="1"/>
  <c r="ABN26" i="1" a="1"/>
  <c r="ABN26" i="1" s="1"/>
  <c r="ABL26" i="1" a="1"/>
  <c r="ABL26" i="1" s="1"/>
  <c r="ACI26" i="1" a="1"/>
  <c r="ACI26" i="1" s="1"/>
  <c r="ACA26" i="1" a="1"/>
  <c r="ACA26" i="1" s="1"/>
  <c r="ABS26" i="1" a="1"/>
  <c r="ABS26" i="1" s="1"/>
  <c r="ABK26" i="1" a="1"/>
  <c r="ABK26" i="1" s="1"/>
  <c r="ABI26" i="1" a="1"/>
  <c r="ABI26" i="1" s="1"/>
  <c r="ABG26" i="1" a="1"/>
  <c r="ABG26" i="1" s="1"/>
  <c r="ABE26" i="1" a="1"/>
  <c r="ABE26" i="1" s="1"/>
  <c r="ABC26" i="1" a="1"/>
  <c r="ABC26" i="1" s="1"/>
  <c r="ABA26" i="1" a="1"/>
  <c r="ABA26" i="1" s="1"/>
  <c r="AAY26" i="1" a="1"/>
  <c r="AAY26" i="1" s="1"/>
  <c r="AAW26" i="1" a="1"/>
  <c r="AAW26" i="1" s="1"/>
  <c r="AAU26" i="1" a="1"/>
  <c r="AAU26" i="1" s="1"/>
  <c r="AAS26" i="1" a="1"/>
  <c r="AAS26" i="1" s="1"/>
  <c r="AAQ26" i="1" a="1"/>
  <c r="AAQ26" i="1" s="1"/>
  <c r="NA26" i="1" a="1"/>
  <c r="NA26" i="1" s="1"/>
  <c r="MY26" i="1" a="1"/>
  <c r="MY26" i="1" s="1"/>
  <c r="MW26" i="1" a="1"/>
  <c r="MW26" i="1" s="1"/>
  <c r="MU26" i="1" a="1"/>
  <c r="MU26" i="1" s="1"/>
  <c r="MS26" i="1" a="1"/>
  <c r="MS26" i="1" s="1"/>
  <c r="MQ26" i="1" a="1"/>
  <c r="MQ26" i="1" s="1"/>
  <c r="MO26" i="1" a="1"/>
  <c r="MO26" i="1" s="1"/>
  <c r="MM26" i="1" a="1"/>
  <c r="MM26" i="1" s="1"/>
  <c r="MK26" i="1" a="1"/>
  <c r="MK26" i="1" s="1"/>
  <c r="MI26" i="1" a="1"/>
  <c r="MI26" i="1" s="1"/>
  <c r="MG26" i="1" a="1"/>
  <c r="MG26" i="1" s="1"/>
  <c r="ME26" i="1" a="1"/>
  <c r="ME26" i="1" s="1"/>
  <c r="MC26" i="1" a="1"/>
  <c r="MC26" i="1" s="1"/>
  <c r="MA26" i="1" a="1"/>
  <c r="MA26" i="1" s="1"/>
  <c r="LY26" i="1" a="1"/>
  <c r="LY26" i="1" s="1"/>
  <c r="LW26" i="1" a="1"/>
  <c r="LW26" i="1" s="1"/>
  <c r="LU26" i="1" a="1"/>
  <c r="LU26" i="1" s="1"/>
  <c r="LS26" i="1" a="1"/>
  <c r="LS26" i="1" s="1"/>
  <c r="LQ26" i="1" a="1"/>
  <c r="LQ26" i="1" s="1"/>
  <c r="LO26" i="1" a="1"/>
  <c r="LO26" i="1" s="1"/>
  <c r="LM26" i="1" a="1"/>
  <c r="LM26" i="1" s="1"/>
  <c r="LK26" i="1" a="1"/>
  <c r="LK26" i="1" s="1"/>
  <c r="LI26" i="1" a="1"/>
  <c r="LI26" i="1" s="1"/>
  <c r="LG26" i="1" a="1"/>
  <c r="LG26" i="1" s="1"/>
  <c r="ACK26" i="1" a="1"/>
  <c r="ACK26" i="1" s="1"/>
  <c r="ACC26" i="1" a="1"/>
  <c r="ACC26" i="1" s="1"/>
  <c r="ABU26" i="1" a="1"/>
  <c r="ABU26" i="1" s="1"/>
  <c r="ABM26" i="1" a="1"/>
  <c r="ABM26" i="1" s="1"/>
  <c r="ACE26" i="1" a="1"/>
  <c r="ACE26" i="1" s="1"/>
  <c r="ABW26" i="1" a="1"/>
  <c r="ABW26" i="1" s="1"/>
  <c r="ABO26" i="1" a="1"/>
  <c r="ABO26" i="1" s="1"/>
  <c r="ABJ26" i="1" a="1"/>
  <c r="ABJ26" i="1" s="1"/>
  <c r="ABH26" i="1" a="1"/>
  <c r="ABH26" i="1" s="1"/>
  <c r="ABF26" i="1" a="1"/>
  <c r="ABF26" i="1" s="1"/>
  <c r="ABD26" i="1" a="1"/>
  <c r="ABD26" i="1" s="1"/>
  <c r="ABB26" i="1" a="1"/>
  <c r="ABB26" i="1" s="1"/>
  <c r="AAZ26" i="1" a="1"/>
  <c r="AAZ26" i="1" s="1"/>
  <c r="AAX26" i="1" a="1"/>
  <c r="AAX26" i="1" s="1"/>
  <c r="AAV26" i="1" a="1"/>
  <c r="AAV26" i="1" s="1"/>
  <c r="AAT26" i="1" a="1"/>
  <c r="AAT26" i="1" s="1"/>
  <c r="AAR26" i="1" a="1"/>
  <c r="AAR26" i="1" s="1"/>
  <c r="AAP26" i="1" a="1"/>
  <c r="AAP26" i="1" s="1"/>
  <c r="NB26" i="1" a="1"/>
  <c r="NB26" i="1" s="1"/>
  <c r="MZ26" i="1" a="1"/>
  <c r="MZ26" i="1" s="1"/>
  <c r="MX26" i="1" a="1"/>
  <c r="MX26" i="1" s="1"/>
  <c r="MV26" i="1" a="1"/>
  <c r="MV26" i="1" s="1"/>
  <c r="MT26" i="1" a="1"/>
  <c r="MT26" i="1" s="1"/>
  <c r="MR26" i="1" a="1"/>
  <c r="MR26" i="1" s="1"/>
  <c r="MP26" i="1" a="1"/>
  <c r="MP26" i="1" s="1"/>
  <c r="MN26" i="1" a="1"/>
  <c r="MN26" i="1" s="1"/>
  <c r="ML26" i="1" a="1"/>
  <c r="ML26" i="1" s="1"/>
  <c r="MJ26" i="1" a="1"/>
  <c r="MJ26" i="1" s="1"/>
  <c r="MH26" i="1" a="1"/>
  <c r="MH26" i="1" s="1"/>
  <c r="MF26" i="1" a="1"/>
  <c r="MF26" i="1" s="1"/>
  <c r="MD26" i="1" a="1"/>
  <c r="MD26" i="1" s="1"/>
  <c r="MB26" i="1" a="1"/>
  <c r="MB26" i="1" s="1"/>
  <c r="LZ26" i="1" a="1"/>
  <c r="LZ26" i="1" s="1"/>
  <c r="LX26" i="1" a="1"/>
  <c r="LX26" i="1" s="1"/>
  <c r="LV26" i="1" a="1"/>
  <c r="LV26" i="1" s="1"/>
  <c r="LT26" i="1" a="1"/>
  <c r="LT26" i="1" s="1"/>
  <c r="LR26" i="1" a="1"/>
  <c r="LR26" i="1" s="1"/>
  <c r="LP26" i="1" a="1"/>
  <c r="LP26" i="1" s="1"/>
  <c r="LN26" i="1" a="1"/>
  <c r="LN26" i="1" s="1"/>
  <c r="LL26" i="1" a="1"/>
  <c r="LL26" i="1" s="1"/>
  <c r="LJ26" i="1" a="1"/>
  <c r="LJ26" i="1" s="1"/>
  <c r="LH26" i="1" a="1"/>
  <c r="LH26" i="1" s="1"/>
  <c r="LF26" i="1" a="1"/>
  <c r="LF26" i="1" s="1"/>
  <c r="ACG26" i="1" a="1"/>
  <c r="ACG26" i="1" s="1"/>
  <c r="ABY26" i="1" a="1"/>
  <c r="ABY26" i="1" s="1"/>
  <c r="ABQ26" i="1" a="1"/>
  <c r="ABQ26" i="1" s="1"/>
  <c r="KX26" i="1" a="1"/>
  <c r="KX26" i="1" s="1"/>
  <c r="AAH26" i="1" a="1"/>
  <c r="AAH26" i="1" s="1"/>
  <c r="KY26" i="1" a="1"/>
  <c r="KY26" i="1" s="1"/>
  <c r="AAI26" i="1" a="1"/>
  <c r="AAI26" i="1" s="1"/>
  <c r="KZ26" i="1" a="1"/>
  <c r="KZ26" i="1" s="1"/>
  <c r="AAJ26" i="1" a="1"/>
  <c r="AAJ26" i="1" s="1"/>
  <c r="LA26" i="1" a="1"/>
  <c r="LA26" i="1" s="1"/>
  <c r="AAK26" i="1" a="1"/>
  <c r="AAK26" i="1" s="1"/>
  <c r="LB26" i="1" a="1"/>
  <c r="LB26" i="1" s="1"/>
  <c r="AAL26" i="1" a="1"/>
  <c r="AAL26" i="1" s="1"/>
  <c r="LC26" i="1" a="1"/>
  <c r="LC26" i="1" s="1"/>
  <c r="AAM26" i="1" a="1"/>
  <c r="AAM26" i="1" s="1"/>
  <c r="LD26" i="1" a="1"/>
  <c r="LD26" i="1" s="1"/>
  <c r="AAN26" i="1" a="1"/>
  <c r="AAN26" i="1" s="1"/>
  <c r="GQ62" i="1"/>
  <c r="GR62" i="1" s="1"/>
  <c r="CI58" i="1"/>
  <c r="CJ58" i="1" s="1"/>
  <c r="GM55" i="1"/>
  <c r="GN55" i="1" s="1"/>
  <c r="AHE61" i="1"/>
  <c r="AHB61" i="1"/>
  <c r="CI74" i="1"/>
  <c r="CJ74" i="1" s="1"/>
  <c r="CO74" i="1"/>
  <c r="HX74" i="1"/>
  <c r="HY74" i="1" s="1"/>
  <c r="HZ74" i="1" s="1"/>
  <c r="EA19" i="1"/>
  <c r="AHB22" i="1"/>
  <c r="GQ72" i="1"/>
  <c r="GR72" i="1" s="1"/>
  <c r="GM78" i="1"/>
  <c r="GN78" i="1" s="1"/>
  <c r="FA74" i="1"/>
  <c r="FB74" i="1" s="1"/>
  <c r="XZ19" i="1"/>
  <c r="SM19" i="1"/>
  <c r="SI19" i="1"/>
  <c r="YO19" i="1" s="1" a="1"/>
  <c r="YO19" i="1" s="1"/>
  <c r="YP19" i="1" s="1"/>
  <c r="SK19" i="1"/>
  <c r="YQ19" i="1"/>
  <c r="SJ19" i="1"/>
  <c r="SL19" i="1"/>
  <c r="RU61" i="1"/>
  <c r="HX58" i="1"/>
  <c r="HY58" i="1" s="1"/>
  <c r="HZ58" i="1" s="1"/>
  <c r="AHE12" i="1"/>
  <c r="CL56" i="1"/>
  <c r="CM56" i="1" s="1"/>
  <c r="GM76" i="1"/>
  <c r="GN76" i="1" s="1"/>
  <c r="AHB55" i="1"/>
  <c r="GQ15" i="1"/>
  <c r="GR15" i="1" s="1"/>
  <c r="CP21" i="1"/>
  <c r="CQ21" i="1" s="1"/>
  <c r="CL71" i="1"/>
  <c r="CM71" i="1" s="1"/>
  <c r="GM56" i="1"/>
  <c r="GN56" i="1" s="1"/>
  <c r="GQ21" i="1"/>
  <c r="GR21" i="1" s="1"/>
  <c r="GQ10" i="1"/>
  <c r="GR10" i="1" s="1"/>
  <c r="FH15" i="1"/>
  <c r="FI15" i="1" s="1"/>
  <c r="FJ15" i="1" s="1"/>
  <c r="FD22" i="1"/>
  <c r="FE22" i="1" s="1"/>
  <c r="FJ62" i="1"/>
  <c r="DU10" i="1"/>
  <c r="DV10" i="1" s="1"/>
  <c r="FH71" i="1"/>
  <c r="FI71" i="1" s="1"/>
  <c r="CL21" i="1"/>
  <c r="CM21" i="1" s="1"/>
  <c r="CL18" i="1"/>
  <c r="CM18" i="1" s="1"/>
  <c r="FJ11" i="1"/>
  <c r="DY14" i="1"/>
  <c r="DZ14" i="1" s="1"/>
  <c r="FH17" i="1"/>
  <c r="FI17" i="1" s="1"/>
  <c r="FJ17" i="1" s="1"/>
  <c r="DU72" i="1"/>
  <c r="DV72" i="1" s="1"/>
  <c r="HZ73" i="1"/>
  <c r="AHE63" i="1"/>
  <c r="FJ71" i="1"/>
  <c r="CI59" i="1"/>
  <c r="CJ59" i="1" s="1"/>
  <c r="CL59" i="1" s="1"/>
  <c r="CM59" i="1" s="1"/>
  <c r="CP72" i="1"/>
  <c r="CQ72" i="1" s="1"/>
  <c r="FD63" i="1"/>
  <c r="FE63" i="1" s="1"/>
  <c r="AKC26" i="1" a="1"/>
  <c r="AKC26" i="1" s="1"/>
  <c r="AKA26" i="1" a="1"/>
  <c r="AKA26" i="1" s="1"/>
  <c r="AJY26" i="1" a="1"/>
  <c r="AJY26" i="1" s="1"/>
  <c r="AJW26" i="1" a="1"/>
  <c r="AJW26" i="1" s="1"/>
  <c r="AJU26" i="1" a="1"/>
  <c r="AJU26" i="1" s="1"/>
  <c r="AJS26" i="1" a="1"/>
  <c r="AJS26" i="1" s="1"/>
  <c r="AJQ26" i="1" a="1"/>
  <c r="AJQ26" i="1" s="1"/>
  <c r="AJO26" i="1" a="1"/>
  <c r="AJO26" i="1" s="1"/>
  <c r="AJM26" i="1" a="1"/>
  <c r="AJM26" i="1" s="1"/>
  <c r="AJK26" i="1" a="1"/>
  <c r="AJK26" i="1" s="1"/>
  <c r="AJI26" i="1" a="1"/>
  <c r="AJI26" i="1" s="1"/>
  <c r="AJG26" i="1" a="1"/>
  <c r="AJG26" i="1" s="1"/>
  <c r="AJE26" i="1" a="1"/>
  <c r="AJE26" i="1" s="1"/>
  <c r="AJC26" i="1" a="1"/>
  <c r="AJC26" i="1" s="1"/>
  <c r="AJA26" i="1" a="1"/>
  <c r="AJA26" i="1" s="1"/>
  <c r="AIY26" i="1" a="1"/>
  <c r="AIY26" i="1" s="1"/>
  <c r="AIW26" i="1" a="1"/>
  <c r="AIW26" i="1" s="1"/>
  <c r="AIU26" i="1" a="1"/>
  <c r="AIU26" i="1" s="1"/>
  <c r="AIS26" i="1" a="1"/>
  <c r="AIS26" i="1" s="1"/>
  <c r="AIQ26" i="1" a="1"/>
  <c r="AIQ26" i="1" s="1"/>
  <c r="AIO26" i="1" a="1"/>
  <c r="AIO26" i="1" s="1"/>
  <c r="AIM26" i="1" a="1"/>
  <c r="AIM26" i="1" s="1"/>
  <c r="AIK26" i="1" a="1"/>
  <c r="AIK26" i="1" s="1"/>
  <c r="AII26" i="1" a="1"/>
  <c r="AII26" i="1" s="1"/>
  <c r="AIG26" i="1" a="1"/>
  <c r="AIG26" i="1" s="1"/>
  <c r="AKB26" i="1" a="1"/>
  <c r="AKB26" i="1" s="1"/>
  <c r="AJZ26" i="1" a="1"/>
  <c r="AJZ26" i="1" s="1"/>
  <c r="AJX26" i="1" a="1"/>
  <c r="AJX26" i="1" s="1"/>
  <c r="AJV26" i="1" a="1"/>
  <c r="AJV26" i="1" s="1"/>
  <c r="AJT26" i="1" a="1"/>
  <c r="AJT26" i="1" s="1"/>
  <c r="AJR26" i="1" a="1"/>
  <c r="AJR26" i="1" s="1"/>
  <c r="AJP26" i="1" a="1"/>
  <c r="AJP26" i="1" s="1"/>
  <c r="AJN26" i="1" a="1"/>
  <c r="AJN26" i="1" s="1"/>
  <c r="AJL26" i="1" a="1"/>
  <c r="AJL26" i="1" s="1"/>
  <c r="AJJ26" i="1" a="1"/>
  <c r="AJJ26" i="1" s="1"/>
  <c r="AJH26" i="1" a="1"/>
  <c r="AJH26" i="1" s="1"/>
  <c r="AJF26" i="1" a="1"/>
  <c r="AJF26" i="1" s="1"/>
  <c r="AJD26" i="1" a="1"/>
  <c r="AJD26" i="1" s="1"/>
  <c r="AJB26" i="1" a="1"/>
  <c r="AJB26" i="1" s="1"/>
  <c r="AIZ26" i="1" a="1"/>
  <c r="AIZ26" i="1" s="1"/>
  <c r="AIX26" i="1" a="1"/>
  <c r="AIX26" i="1" s="1"/>
  <c r="AIV26" i="1" a="1"/>
  <c r="AIV26" i="1" s="1"/>
  <c r="AIT26" i="1" a="1"/>
  <c r="AIT26" i="1" s="1"/>
  <c r="AIR26" i="1" a="1"/>
  <c r="AIR26" i="1" s="1"/>
  <c r="AIP26" i="1" a="1"/>
  <c r="AIP26" i="1" s="1"/>
  <c r="AIN26" i="1" a="1"/>
  <c r="AIN26" i="1" s="1"/>
  <c r="AIL26" i="1" a="1"/>
  <c r="AIL26" i="1" s="1"/>
  <c r="AIJ26" i="1" a="1"/>
  <c r="AIJ26" i="1" s="1"/>
  <c r="AIH26" i="1" a="1"/>
  <c r="AIH26" i="1" s="1"/>
  <c r="US26" i="1" a="1"/>
  <c r="US26" i="1" s="1"/>
  <c r="UQ26" i="1" a="1"/>
  <c r="UQ26" i="1" s="1"/>
  <c r="UO26" i="1" a="1"/>
  <c r="UO26" i="1" s="1"/>
  <c r="UM26" i="1" a="1"/>
  <c r="UM26" i="1" s="1"/>
  <c r="UK26" i="1" a="1"/>
  <c r="UK26" i="1" s="1"/>
  <c r="UI26" i="1" a="1"/>
  <c r="UI26" i="1" s="1"/>
  <c r="UG26" i="1" a="1"/>
  <c r="UG26" i="1" s="1"/>
  <c r="UE26" i="1" a="1"/>
  <c r="UE26" i="1" s="1"/>
  <c r="UC26" i="1" a="1"/>
  <c r="UC26" i="1" s="1"/>
  <c r="UA26" i="1" a="1"/>
  <c r="UA26" i="1" s="1"/>
  <c r="TY26" i="1" a="1"/>
  <c r="TY26" i="1" s="1"/>
  <c r="TW26" i="1" a="1"/>
  <c r="TW26" i="1" s="1"/>
  <c r="TU26" i="1" a="1"/>
  <c r="TU26" i="1" s="1"/>
  <c r="TS26" i="1" a="1"/>
  <c r="TS26" i="1" s="1"/>
  <c r="TQ26" i="1" a="1"/>
  <c r="TQ26" i="1" s="1"/>
  <c r="TO26" i="1" a="1"/>
  <c r="TO26" i="1" s="1"/>
  <c r="TM26" i="1" a="1"/>
  <c r="TM26" i="1" s="1"/>
  <c r="TK26" i="1" a="1"/>
  <c r="TK26" i="1" s="1"/>
  <c r="TI26" i="1" a="1"/>
  <c r="TI26" i="1" s="1"/>
  <c r="TG26" i="1" a="1"/>
  <c r="TG26" i="1" s="1"/>
  <c r="TE26" i="1" a="1"/>
  <c r="TE26" i="1" s="1"/>
  <c r="TC26" i="1" a="1"/>
  <c r="TC26" i="1" s="1"/>
  <c r="TA26" i="1" a="1"/>
  <c r="TA26" i="1" s="1"/>
  <c r="SY26" i="1" a="1"/>
  <c r="SY26" i="1" s="1"/>
  <c r="SW26" i="1" a="1"/>
  <c r="SW26" i="1" s="1"/>
  <c r="UR26" i="1" a="1"/>
  <c r="UR26" i="1" s="1"/>
  <c r="UP26" i="1" a="1"/>
  <c r="UP26" i="1" s="1"/>
  <c r="UN26" i="1" a="1"/>
  <c r="UN26" i="1" s="1"/>
  <c r="UL26" i="1" a="1"/>
  <c r="UL26" i="1" s="1"/>
  <c r="UJ26" i="1" a="1"/>
  <c r="UJ26" i="1" s="1"/>
  <c r="UH26" i="1" a="1"/>
  <c r="UH26" i="1" s="1"/>
  <c r="UF26" i="1" a="1"/>
  <c r="UF26" i="1" s="1"/>
  <c r="UD26" i="1" a="1"/>
  <c r="UD26" i="1" s="1"/>
  <c r="UB26" i="1" a="1"/>
  <c r="UB26" i="1" s="1"/>
  <c r="TZ26" i="1" a="1"/>
  <c r="TZ26" i="1" s="1"/>
  <c r="TX26" i="1" a="1"/>
  <c r="TX26" i="1" s="1"/>
  <c r="TV26" i="1" a="1"/>
  <c r="TV26" i="1" s="1"/>
  <c r="TT26" i="1" a="1"/>
  <c r="TT26" i="1" s="1"/>
  <c r="TR26" i="1" a="1"/>
  <c r="TR26" i="1" s="1"/>
  <c r="TP26" i="1" a="1"/>
  <c r="TP26" i="1" s="1"/>
  <c r="TN26" i="1" a="1"/>
  <c r="TN26" i="1" s="1"/>
  <c r="TL26" i="1" a="1"/>
  <c r="TL26" i="1" s="1"/>
  <c r="TJ26" i="1" a="1"/>
  <c r="TJ26" i="1" s="1"/>
  <c r="TH26" i="1" a="1"/>
  <c r="TH26" i="1" s="1"/>
  <c r="TF26" i="1" a="1"/>
  <c r="TF26" i="1" s="1"/>
  <c r="TD26" i="1" a="1"/>
  <c r="TD26" i="1" s="1"/>
  <c r="TB26" i="1" a="1"/>
  <c r="TB26" i="1" s="1"/>
  <c r="SZ26" i="1" a="1"/>
  <c r="SZ26" i="1" s="1"/>
  <c r="SX26" i="1" a="1"/>
  <c r="SX26" i="1" s="1"/>
  <c r="AID26" i="1" a="1"/>
  <c r="AID26" i="1" s="1"/>
  <c r="AIC26" i="1" a="1"/>
  <c r="AIC26" i="1" s="1"/>
  <c r="SU26" i="1" a="1"/>
  <c r="SU26" i="1" s="1"/>
  <c r="SP26" i="1" a="1"/>
  <c r="SP26" i="1" s="1"/>
  <c r="AIB26" i="1" a="1"/>
  <c r="AIB26" i="1" s="1"/>
  <c r="AIA26" i="1" a="1"/>
  <c r="AIA26" i="1" s="1"/>
  <c r="SO26" i="1" a="1"/>
  <c r="SO26" i="1" s="1"/>
  <c r="SR26" i="1" a="1"/>
  <c r="SR26" i="1" s="1"/>
  <c r="AHZ26" i="1" a="1"/>
  <c r="AHZ26" i="1" s="1"/>
  <c r="AHY26" i="1" a="1"/>
  <c r="AHY26" i="1" s="1"/>
  <c r="SQ26" i="1" a="1"/>
  <c r="SQ26" i="1" s="1"/>
  <c r="ST26" i="1" a="1"/>
  <c r="ST26" i="1" s="1"/>
  <c r="AIE26" i="1" a="1"/>
  <c r="AIE26" i="1" s="1"/>
  <c r="SS26" i="1" a="1"/>
  <c r="SS26" i="1" s="1"/>
  <c r="RX56" i="1"/>
  <c r="CP73" i="1"/>
  <c r="CQ73" i="1" s="1"/>
  <c r="FD58" i="1"/>
  <c r="FE58" i="1" s="1"/>
  <c r="CL74" i="1"/>
  <c r="CM74" i="1" s="1"/>
  <c r="CL26" i="1"/>
  <c r="CM26" i="1" s="1"/>
  <c r="CO26" i="1"/>
  <c r="HX26" i="1"/>
  <c r="HY26" i="1" s="1"/>
  <c r="HZ26" i="1" s="1"/>
  <c r="CL76" i="1"/>
  <c r="CM76" i="1" s="1"/>
  <c r="RR19" i="1"/>
  <c r="RX61" i="1"/>
  <c r="FD60" i="1"/>
  <c r="FE60" i="1" s="1"/>
  <c r="AHE15" i="1"/>
  <c r="GM71" i="1"/>
  <c r="GN71" i="1" s="1"/>
  <c r="CL77" i="1"/>
  <c r="CM77" i="1" s="1"/>
  <c r="DY73" i="1"/>
  <c r="DZ73" i="1" s="1"/>
  <c r="EA73" i="1" s="1"/>
  <c r="AHE21" i="1"/>
  <c r="RR55" i="1"/>
  <c r="AHH55" i="1"/>
  <c r="DY16" i="1"/>
  <c r="DZ16" i="1" s="1"/>
  <c r="EA16" i="1" s="1"/>
  <c r="GQ14" i="1"/>
  <c r="GR14" i="1" s="1"/>
  <c r="GJ57" i="1"/>
  <c r="GK57" i="1" s="1"/>
  <c r="CP17" i="1"/>
  <c r="CQ17" i="1" s="1"/>
  <c r="CL57" i="1"/>
  <c r="CM57" i="1" s="1"/>
  <c r="GQ16" i="1"/>
  <c r="GR16" i="1" s="1"/>
  <c r="CP12" i="1"/>
  <c r="CQ12" i="1" s="1"/>
  <c r="GQ73" i="1"/>
  <c r="GR73" i="1" s="1"/>
  <c r="CL13" i="1"/>
  <c r="CM13" i="1" s="1"/>
  <c r="FD21" i="1"/>
  <c r="FE21" i="1" s="1"/>
  <c r="EA14" i="1"/>
  <c r="CP19" i="1"/>
  <c r="CQ19" i="1" s="1"/>
  <c r="CL62" i="1"/>
  <c r="CM62" i="1" s="1"/>
  <c r="FH73" i="1"/>
  <c r="FI73" i="1" s="1"/>
  <c r="FJ73" i="1" s="1"/>
  <c r="GQ20" i="1"/>
  <c r="GR20" i="1" s="1"/>
  <c r="DY62" i="1"/>
  <c r="DZ62" i="1" s="1"/>
  <c r="EA62" i="1" s="1"/>
  <c r="CP14" i="1"/>
  <c r="CQ14" i="1" s="1"/>
  <c r="FD76" i="1"/>
  <c r="FE76" i="1" s="1"/>
  <c r="GJ63" i="1"/>
  <c r="GK63" i="1" s="1"/>
  <c r="GM63" i="1" s="1"/>
  <c r="GN63" i="1" s="1"/>
  <c r="AHE56" i="1"/>
  <c r="DR60" i="1"/>
  <c r="DS60" i="1" s="1"/>
  <c r="DY15" i="1"/>
  <c r="DZ15" i="1" s="1"/>
  <c r="EA15" i="1" s="1"/>
  <c r="FA59" i="1"/>
  <c r="FB59" i="1" s="1"/>
  <c r="GQ55" i="1"/>
  <c r="GR55" i="1" s="1"/>
  <c r="CL61" i="1"/>
  <c r="CM61" i="1" s="1"/>
  <c r="FA72" i="1"/>
  <c r="FB72" i="1" s="1"/>
  <c r="AHH56" i="1"/>
  <c r="DU61" i="1"/>
  <c r="DV61" i="1" s="1"/>
  <c r="AHH59" i="1"/>
  <c r="GM74" i="1"/>
  <c r="GN74" i="1" s="1"/>
  <c r="GJ74" i="1"/>
  <c r="GK74" i="1" s="1"/>
  <c r="CO63" i="1"/>
  <c r="HX63" i="1"/>
  <c r="HY63" i="1" s="1"/>
  <c r="HZ63" i="1" s="1"/>
  <c r="VF26" i="1" a="1"/>
  <c r="VF26" i="1" s="1"/>
  <c r="AKZ26" i="1" a="1"/>
  <c r="AKZ26" i="1" s="1"/>
  <c r="AKS26" i="1" a="1"/>
  <c r="AKS26" i="1" s="1"/>
  <c r="VG26" i="1" a="1"/>
  <c r="VG26" i="1" s="1"/>
  <c r="VT26" i="1" a="1"/>
  <c r="VT26" i="1" s="1"/>
  <c r="AKU26" i="1" a="1"/>
  <c r="AKU26" i="1" s="1"/>
  <c r="VE26" i="1" a="1"/>
  <c r="VE26" i="1" s="1"/>
  <c r="VR26" i="1" a="1"/>
  <c r="VR26" i="1" s="1"/>
  <c r="AHH26" i="1"/>
  <c r="AKW26" i="1" a="1"/>
  <c r="AKW26" i="1" s="1"/>
  <c r="VC26" i="1" a="1"/>
  <c r="VC26" i="1" s="1"/>
  <c r="VP26" i="1" a="1"/>
  <c r="VP26" i="1" s="1"/>
  <c r="AKP26" i="1" a="1"/>
  <c r="AKP26" i="1" s="1"/>
  <c r="ALG26" i="1" a="1"/>
  <c r="ALG26" i="1" s="1"/>
  <c r="QZ26" i="1"/>
  <c r="KS26" i="1"/>
  <c r="QI26" i="1"/>
  <c r="KV26" i="1"/>
  <c r="RU26" i="1" s="1"/>
  <c r="KR26" i="1"/>
  <c r="QX26" i="1" s="1" a="1"/>
  <c r="QX26" i="1" s="1"/>
  <c r="QY26" i="1" s="1"/>
  <c r="KU26" i="1"/>
  <c r="KT26" i="1"/>
  <c r="DY12" i="1"/>
  <c r="DZ12" i="1" s="1"/>
  <c r="EA12" i="1" s="1"/>
  <c r="FH56" i="1"/>
  <c r="FI56" i="1" s="1"/>
  <c r="FJ56" i="1" s="1"/>
  <c r="RR56" i="1"/>
  <c r="RU56" i="1"/>
  <c r="CL20" i="1"/>
  <c r="CM20" i="1" s="1"/>
  <c r="AHH61" i="1"/>
  <c r="GM77" i="1"/>
  <c r="GN77" i="1" s="1"/>
  <c r="FH12" i="1"/>
  <c r="FI12" i="1" s="1"/>
  <c r="FJ12" i="1" s="1"/>
  <c r="XZ16" i="1"/>
  <c r="SM16" i="1"/>
  <c r="SI16" i="1"/>
  <c r="YO16" i="1" s="1" a="1"/>
  <c r="YO16" i="1" s="1"/>
  <c r="YP16" i="1" s="1"/>
  <c r="SK16" i="1"/>
  <c r="SL16" i="1"/>
  <c r="YQ16" i="1"/>
  <c r="SJ16" i="1"/>
  <c r="CL78" i="1"/>
  <c r="CM78" i="1" s="1"/>
  <c r="CP23" i="1"/>
  <c r="CQ23" i="1" s="1"/>
  <c r="GM11" i="1"/>
  <c r="GN11" i="1" s="1"/>
  <c r="DU17" i="1"/>
  <c r="DV17" i="1" s="1"/>
  <c r="FH10" i="1"/>
  <c r="FI10" i="1" s="1"/>
  <c r="FJ10" i="1" s="1"/>
  <c r="FA61" i="1"/>
  <c r="FB61" i="1" s="1"/>
  <c r="FD61" i="1" s="1"/>
  <c r="FE61" i="1" s="1"/>
  <c r="CK11" i="1"/>
  <c r="RU55" i="1"/>
  <c r="GQ18" i="1"/>
  <c r="GR18" i="1" s="1"/>
  <c r="EA75" i="1"/>
  <c r="FD23" i="1"/>
  <c r="FE23" i="1" s="1"/>
  <c r="GJ61" i="1"/>
  <c r="GK61" i="1" s="1"/>
  <c r="GM61" i="1" s="1"/>
  <c r="GN61" i="1" s="1"/>
  <c r="CP10" i="1"/>
  <c r="CQ10" i="1" s="1"/>
  <c r="GQ12" i="1"/>
  <c r="GR12" i="1" s="1"/>
  <c r="DY13" i="1"/>
  <c r="DZ13" i="1" s="1"/>
  <c r="EA13" i="1" s="1"/>
  <c r="FD14" i="1"/>
  <c r="FE14" i="1" s="1"/>
  <c r="FH20" i="1"/>
  <c r="FI20" i="1" s="1"/>
  <c r="FJ20" i="1" s="1"/>
  <c r="GM23" i="1"/>
  <c r="GN23" i="1" s="1"/>
  <c r="DY18" i="1"/>
  <c r="DZ18" i="1" s="1"/>
  <c r="EA18" i="1" s="1"/>
  <c r="DU22" i="1"/>
  <c r="DV22" i="1" s="1"/>
  <c r="FH78" i="1"/>
  <c r="FI78" i="1" s="1"/>
  <c r="FJ78" i="1" s="1"/>
  <c r="GQ13" i="1"/>
  <c r="GR13" i="1" s="1"/>
  <c r="DU20" i="1"/>
  <c r="DV20" i="1" s="1"/>
  <c r="DU23" i="1"/>
  <c r="DV23" i="1" s="1"/>
  <c r="DY11" i="1"/>
  <c r="DZ11" i="1" s="1"/>
  <c r="EA11" i="1" s="1"/>
  <c r="CP22" i="1"/>
  <c r="CQ22" i="1" s="1"/>
  <c r="DY22" i="1" l="1"/>
  <c r="DZ22" i="1" s="1"/>
  <c r="FH14" i="1"/>
  <c r="FI14" i="1" s="1"/>
  <c r="GQ76" i="1"/>
  <c r="GR76" i="1" s="1"/>
  <c r="GQ56" i="1"/>
  <c r="GR56" i="1" s="1"/>
  <c r="CP77" i="1"/>
  <c r="CQ77" i="1" s="1"/>
  <c r="RR26" i="1"/>
  <c r="FH58" i="1"/>
  <c r="FI58" i="1" s="1"/>
  <c r="DY20" i="1"/>
  <c r="DZ20" i="1" s="1"/>
  <c r="FH23" i="1"/>
  <c r="FI23" i="1" s="1"/>
  <c r="SL26" i="1"/>
  <c r="SK26" i="1"/>
  <c r="YQ26" i="1"/>
  <c r="SJ26" i="1"/>
  <c r="XZ26" i="1"/>
  <c r="SM26" i="1"/>
  <c r="SI26" i="1"/>
  <c r="YO26" i="1" s="1" a="1"/>
  <c r="YO26" i="1" s="1"/>
  <c r="YP26" i="1" s="1"/>
  <c r="CP76" i="1"/>
  <c r="CQ76" i="1" s="1"/>
  <c r="FH77" i="1"/>
  <c r="FI77" i="1" s="1"/>
  <c r="FJ77" i="1" s="1"/>
  <c r="GQ58" i="1"/>
  <c r="GR58" i="1" s="1"/>
  <c r="CP63" i="1"/>
  <c r="CQ63" i="1" s="1"/>
  <c r="DY57" i="1"/>
  <c r="DZ57" i="1" s="1"/>
  <c r="FJ57" i="1"/>
  <c r="CP78" i="1"/>
  <c r="CQ78" i="1" s="1"/>
  <c r="GQ77" i="1"/>
  <c r="GR77" i="1" s="1"/>
  <c r="CP13" i="1"/>
  <c r="CQ13" i="1" s="1"/>
  <c r="GQ57" i="1"/>
  <c r="GR57" i="1" s="1"/>
  <c r="FJ58" i="1"/>
  <c r="DY23" i="1"/>
  <c r="DZ23" i="1" s="1"/>
  <c r="EA23" i="1" s="1"/>
  <c r="CP62" i="1"/>
  <c r="CQ62" i="1" s="1"/>
  <c r="GM57" i="1"/>
  <c r="GN57" i="1" s="1"/>
  <c r="CP74" i="1"/>
  <c r="CQ74" i="1" s="1"/>
  <c r="CP26" i="1"/>
  <c r="CQ26" i="1" s="1"/>
  <c r="CP71" i="1"/>
  <c r="CQ71" i="1" s="1"/>
  <c r="FH63" i="1"/>
  <c r="FI63" i="1" s="1"/>
  <c r="FJ63" i="1" s="1"/>
  <c r="GQ26" i="1"/>
  <c r="GR26" i="1" s="1"/>
  <c r="GQ71" i="1"/>
  <c r="GR71" i="1" s="1"/>
  <c r="EA57" i="1"/>
  <c r="GM60" i="1"/>
  <c r="GN60" i="1" s="1"/>
  <c r="DU60" i="1"/>
  <c r="DV60" i="1" s="1"/>
  <c r="FH59" i="1"/>
  <c r="FI59" i="1" s="1"/>
  <c r="GQ11" i="1"/>
  <c r="GR11" i="1" s="1"/>
  <c r="GS11" i="1" s="1"/>
  <c r="GU11" i="1" s="1"/>
  <c r="BI11" i="1" s="1"/>
  <c r="L35" i="1" s="1"/>
  <c r="FJ21" i="1"/>
  <c r="GQ23" i="1"/>
  <c r="GR23" i="1" s="1"/>
  <c r="CP57" i="1"/>
  <c r="CQ57" i="1" s="1"/>
  <c r="CP61" i="1"/>
  <c r="CQ61" i="1" s="1"/>
  <c r="CP56" i="1"/>
  <c r="CQ56" i="1" s="1"/>
  <c r="FD59" i="1"/>
  <c r="FE59" i="1" s="1"/>
  <c r="GQ78" i="1"/>
  <c r="GR78" i="1" s="1"/>
  <c r="FH21" i="1"/>
  <c r="FI21" i="1" s="1"/>
  <c r="DY10" i="1"/>
  <c r="DZ10" i="1" s="1"/>
  <c r="EA10" i="1" s="1"/>
  <c r="DY74" i="1"/>
  <c r="DZ74" i="1" s="1"/>
  <c r="EA74" i="1" s="1"/>
  <c r="CP11" i="1"/>
  <c r="CQ11" i="1" s="1"/>
  <c r="CR11" i="1" s="1"/>
  <c r="FH76" i="1"/>
  <c r="FI76" i="1" s="1"/>
  <c r="FJ76" i="1" s="1"/>
  <c r="FH55" i="1"/>
  <c r="FI55" i="1" s="1"/>
  <c r="FH26" i="1"/>
  <c r="FI26" i="1" s="1"/>
  <c r="FJ26" i="1" s="1"/>
  <c r="DY55" i="1"/>
  <c r="DZ55" i="1" s="1"/>
  <c r="EA55" i="1" s="1"/>
  <c r="EA20" i="1"/>
  <c r="GQ61" i="1"/>
  <c r="GR61" i="1" s="1"/>
  <c r="FH61" i="1"/>
  <c r="FI61" i="1" s="1"/>
  <c r="FJ61" i="1" s="1"/>
  <c r="EA17" i="1"/>
  <c r="EA22" i="1"/>
  <c r="FJ14" i="1"/>
  <c r="FJ23" i="1"/>
  <c r="CP20" i="1"/>
  <c r="CQ20" i="1" s="1"/>
  <c r="GQ74" i="1"/>
  <c r="GR74" i="1" s="1"/>
  <c r="GQ63" i="1"/>
  <c r="GR63" i="1" s="1"/>
  <c r="DY17" i="1"/>
  <c r="DZ17" i="1" s="1"/>
  <c r="FH60" i="1"/>
  <c r="FI60" i="1" s="1"/>
  <c r="FJ60" i="1" s="1"/>
  <c r="RX26" i="1"/>
  <c r="CP59" i="1"/>
  <c r="CQ59" i="1" s="1"/>
  <c r="FD72" i="1"/>
  <c r="FE72" i="1" s="1"/>
  <c r="CP18" i="1"/>
  <c r="CQ18" i="1" s="1"/>
  <c r="EA76" i="1"/>
  <c r="DY56" i="1"/>
  <c r="DZ56" i="1" s="1"/>
  <c r="EA56" i="1" s="1"/>
  <c r="DY72" i="1"/>
  <c r="DZ72" i="1" s="1"/>
  <c r="EA72" i="1" s="1"/>
  <c r="FJ55" i="1"/>
  <c r="FH22" i="1"/>
  <c r="FI22" i="1" s="1"/>
  <c r="FJ22" i="1" s="1"/>
  <c r="DY26" i="1"/>
  <c r="DZ26" i="1" s="1"/>
  <c r="EA26" i="1" s="1"/>
  <c r="DY71" i="1"/>
  <c r="DZ71" i="1" s="1"/>
  <c r="EA71" i="1" s="1"/>
  <c r="DY61" i="1"/>
  <c r="DZ61" i="1" s="1"/>
  <c r="EA61" i="1" s="1"/>
  <c r="FD74" i="1"/>
  <c r="FE74" i="1" s="1"/>
  <c r="CP60" i="1"/>
  <c r="CQ60" i="1" s="1"/>
  <c r="CL58" i="1"/>
  <c r="CM58" i="1" s="1"/>
  <c r="EA63" i="1"/>
  <c r="DY59" i="1"/>
  <c r="DZ59" i="1" s="1"/>
  <c r="EA59" i="1" s="1"/>
  <c r="EE11" i="1" l="1"/>
  <c r="BG11" i="1" s="1"/>
  <c r="J35" i="1" s="1"/>
  <c r="CV11" i="1"/>
  <c r="BE11" i="1" s="1"/>
  <c r="H35" i="1" s="1"/>
  <c r="CP58" i="1"/>
  <c r="CQ58" i="1" s="1"/>
  <c r="GQ60" i="1"/>
  <c r="GR60" i="1" s="1"/>
  <c r="DY60" i="1"/>
  <c r="DZ60" i="1" s="1"/>
  <c r="EA60" i="1" s="1"/>
  <c r="FH72" i="1"/>
  <c r="FI72" i="1" s="1"/>
  <c r="FJ59" i="1"/>
  <c r="FH74" i="1"/>
  <c r="FI74" i="1" s="1"/>
  <c r="FJ74" i="1"/>
  <c r="FJ72" i="1"/>
  <c r="OL76" i="1" l="1" a="1"/>
  <c r="AFD74" i="1" a="1"/>
  <c r="ALU74" i="1" a="1"/>
  <c r="AKH73" i="1" a="1"/>
  <c r="ANW62" i="1" a="1"/>
  <c r="AEO76" i="1" a="1"/>
  <c r="WV23" i="1" a="1"/>
  <c r="YM76" i="1" a="1"/>
  <c r="AGE76" i="1" a="1"/>
  <c r="ACN74" i="1" a="1"/>
  <c r="XB73" i="1" a="1"/>
  <c r="ADV73" i="1" a="1"/>
  <c r="AMP76" i="1" a="1"/>
  <c r="OS73" i="1" a="1"/>
  <c r="PK23" i="1" a="1"/>
  <c r="ADY71" i="1" a="1"/>
  <c r="ALV76" i="1" a="1"/>
  <c r="PD73" i="1" a="1"/>
  <c r="ALJ62" i="1" a="1"/>
  <c r="ALO71" i="1" a="1"/>
  <c r="WG23" i="1" a="1"/>
  <c r="XD76" i="1" a="1"/>
  <c r="WL71" i="1" a="1"/>
  <c r="AFG23" i="1" a="1"/>
  <c r="AFC71" i="1" a="1"/>
  <c r="QT71" i="1" a="1"/>
  <c r="PG76" i="1" a="1"/>
  <c r="OW73" i="1" a="1"/>
  <c r="PQ74" i="1" a="1"/>
  <c r="ALN17" i="1" a="1"/>
  <c r="AEQ74" i="1" a="1"/>
  <c r="AEF76" i="1" a="1"/>
  <c r="WL78" i="1" a="1"/>
  <c r="AMX78" i="1" a="1"/>
  <c r="WJ23" i="1" a="1"/>
  <c r="WH23" i="1" a="1"/>
  <c r="NF75" i="1" a="1"/>
  <c r="PC78" i="1" a="1"/>
  <c r="AGD76" i="1" a="1"/>
  <c r="AMK73" i="1" a="1"/>
  <c r="WG78" i="1" a="1"/>
  <c r="WW73" i="1" a="1"/>
  <c r="AEO14" i="1" a="1"/>
  <c r="OL78" i="1" a="1"/>
  <c r="PM73" i="1" a="1"/>
  <c r="ND76" i="1" a="1"/>
  <c r="WJ76" i="1" a="1"/>
  <c r="ADW71" i="1" a="1"/>
  <c r="WO78" i="1" a="1"/>
  <c r="OM74" i="1" a="1"/>
  <c r="AEV76" i="1" a="1"/>
  <c r="AEW74" i="1" a="1"/>
  <c r="RG23" i="1" a="1"/>
  <c r="AEL71" i="1" a="1"/>
  <c r="WG76" i="1" a="1"/>
  <c r="AKH23" i="1" a="1"/>
  <c r="PH73" i="1" a="1"/>
  <c r="ANX76" i="1" a="1"/>
  <c r="WY78" i="1" a="1"/>
  <c r="OY71" i="1" a="1"/>
  <c r="ADT73" i="1" a="1"/>
  <c r="AMG62" i="1" a="1"/>
  <c r="WN78" i="1" a="1"/>
  <c r="QV71" i="1" a="1"/>
  <c r="AGG76" i="1" a="1"/>
  <c r="XB23" i="1" a="1"/>
  <c r="PP23" i="1" a="1"/>
  <c r="ALL73" i="1" a="1"/>
  <c r="PH74" i="1" a="1"/>
  <c r="WC74" i="1" a="1"/>
  <c r="QT23" i="1" a="1"/>
  <c r="AKF78" i="1" a="1"/>
  <c r="WJ71" i="1" a="1"/>
  <c r="AMO71" i="1" a="1"/>
  <c r="PR74" i="1" a="1"/>
  <c r="ALI74" i="1" a="1"/>
  <c r="AKF62" i="1" a="1"/>
  <c r="AEQ23" i="1" a="1"/>
  <c r="AMO10" i="1" a="1"/>
  <c r="PU74" i="1" a="1"/>
  <c r="PF78" i="1" a="1"/>
  <c r="AGQ73" i="1" a="1"/>
  <c r="PP59" i="1" a="1"/>
  <c r="XN71" i="1" a="1"/>
  <c r="AMN23" i="1" a="1"/>
  <c r="AKG76" i="1" a="1"/>
  <c r="ADR71" i="1" a="1"/>
  <c r="AMM73" i="1" a="1"/>
  <c r="AMF62" i="1" a="1"/>
  <c r="AES76" i="1" a="1"/>
  <c r="XA74" i="1" a="1"/>
  <c r="ALP78" i="1" a="1"/>
  <c r="AME74" i="1" a="1"/>
  <c r="WS71" i="1" a="1"/>
  <c r="OW78" i="1" a="1"/>
  <c r="ACQ76" i="1" a="1"/>
  <c r="AKG62" i="1" a="1"/>
  <c r="XM73" i="1" a="1"/>
  <c r="PV71" i="1" a="1"/>
  <c r="OS23" i="1" a="1"/>
  <c r="XE74" i="1" a="1"/>
  <c r="XA78" i="1" a="1"/>
  <c r="WO23" i="1" a="1"/>
  <c r="AEM73" i="1" a="1"/>
  <c r="WR74" i="1" a="1"/>
  <c r="ALY62" i="1" a="1"/>
  <c r="AMP73" i="1" a="1"/>
  <c r="NE76" i="1" a="1"/>
  <c r="NG78" i="1" a="1"/>
  <c r="AMI23" i="1" a="1"/>
  <c r="AKE78" i="1" a="1"/>
  <c r="AMA71" i="1" a="1"/>
  <c r="AMT78" i="1" a="1"/>
  <c r="NF71" i="1" a="1"/>
  <c r="YN73" i="1" a="1"/>
  <c r="AEW71" i="1" a="1"/>
  <c r="ADT62" i="1" a="1"/>
  <c r="WK23" i="1" a="1"/>
  <c r="AEN73" i="1" a="1"/>
  <c r="AMN76" i="1" a="1"/>
  <c r="UU77" i="1" a="1"/>
  <c r="WR73" i="1" a="1"/>
  <c r="ALP71" i="1" a="1"/>
  <c r="ADR74" i="1" a="1"/>
  <c r="AES10" i="1" a="1"/>
  <c r="XF73" i="1" a="1"/>
  <c r="AEB23" i="1" a="1"/>
  <c r="AGR74" i="1" a="1"/>
  <c r="AMP23" i="1" a="1"/>
  <c r="AFG73" i="1" a="1"/>
  <c r="AML74" i="1" a="1"/>
  <c r="AMV71" i="1" a="1"/>
  <c r="PJ71" i="1" a="1"/>
  <c r="PF23" i="1" a="1"/>
  <c r="AMF78" i="1" a="1"/>
  <c r="WI71" i="1" a="1"/>
  <c r="AMO74" i="1" a="1"/>
  <c r="AGE73" i="1" a="1"/>
  <c r="ADU23" i="1" a="1"/>
  <c r="VY78" i="1" a="1"/>
  <c r="PM71" i="1" a="1"/>
  <c r="AME71" i="1" a="1"/>
  <c r="WB74" i="1" a="1"/>
  <c r="PG73" i="1" a="1"/>
  <c r="UX23" i="1" a="1"/>
  <c r="ALR71" i="1" a="1"/>
  <c r="AFF73" i="1" a="1"/>
  <c r="ALS23" i="1" a="1"/>
  <c r="AGD71" i="1" a="1"/>
  <c r="ADV77" i="1" a="1"/>
  <c r="QU76" i="1" a="1"/>
  <c r="WE76" i="1" a="1"/>
  <c r="AKE76" i="1" a="1"/>
  <c r="XM78" i="1" a="1"/>
  <c r="WV78" i="1" a="1"/>
  <c r="AEH76" i="1" a="1"/>
  <c r="AEN76" i="1" a="1"/>
  <c r="AEQ11" i="1" a="1"/>
  <c r="ANW78" i="1" a="1"/>
  <c r="YL23" i="1" a="1"/>
  <c r="PL78" i="1" a="1"/>
  <c r="AFC14" i="1" a="1"/>
  <c r="XM23" i="1" a="1"/>
  <c r="ALP57" i="1" a="1"/>
  <c r="AFA73" i="1" a="1"/>
  <c r="UV78" i="1" a="1"/>
  <c r="AEE11" i="1" a="1"/>
  <c r="PS71" i="1" a="1"/>
  <c r="PU78" i="1" a="1"/>
  <c r="AMP71" i="1" a="1"/>
  <c r="AEP57" i="1" a="1"/>
  <c r="AMV76" i="1" a="1"/>
  <c r="AMQ23" i="1" a="1"/>
  <c r="ON78" i="1" a="1"/>
  <c r="OI78" i="1" a="1"/>
  <c r="AEC73" i="1" a="1"/>
  <c r="YL20" i="1" a="1"/>
  <c r="WR78" i="1" a="1"/>
  <c r="ANV78" i="1" a="1"/>
  <c r="UV73" i="1" a="1"/>
  <c r="AEZ73" i="1" a="1"/>
  <c r="ANW74" i="1" a="1"/>
  <c r="ALK73" i="1" a="1"/>
  <c r="QW60" i="1" a="1"/>
  <c r="AFC74" i="1" a="1"/>
  <c r="ALI76" i="1" a="1"/>
  <c r="AML76" i="1" a="1"/>
  <c r="AMJ73" i="1" a="1"/>
  <c r="OX73" i="1" a="1"/>
  <c r="ON71" i="1" a="1"/>
  <c r="XD71" i="1" a="1"/>
  <c r="ALL71" i="1" a="1"/>
  <c r="ALL77" i="1" a="1"/>
  <c r="PR23" i="1" a="1"/>
  <c r="PH76" i="1" a="1"/>
  <c r="ANX62" i="1" a="1"/>
  <c r="PA73" i="1" a="1"/>
  <c r="AGG74" i="1" a="1"/>
  <c r="OU23" i="1" a="1"/>
  <c r="PD23" i="1" a="1"/>
  <c r="AKI62" i="1" a="1"/>
  <c r="PB74" i="1" a="1"/>
  <c r="PO60" i="1" a="1"/>
  <c r="PS60" i="1" a="1"/>
  <c r="OZ18" i="1" a="1"/>
  <c r="AEU18" i="1" a="1"/>
  <c r="ANW72" i="1" a="1"/>
  <c r="ACQ13" i="1" a="1"/>
  <c r="PR13" i="1" a="1"/>
  <c r="XJ62" i="1" a="1"/>
  <c r="AFB58" i="1" a="1"/>
  <c r="WQ62" i="1" a="1"/>
  <c r="AGR20" i="1" a="1"/>
  <c r="AET78" i="1" a="1"/>
  <c r="WI58" i="1" a="1"/>
  <c r="AEQ77" i="1" a="1"/>
  <c r="PU23" i="1" a="1"/>
  <c r="AEZ11" i="1" a="1"/>
  <c r="OV11" i="1" a="1"/>
  <c r="NE11" i="1" a="1"/>
  <c r="AMC11" i="1" a="1"/>
  <c r="ALT18" i="1" a="1"/>
  <c r="PC14" i="1" a="1"/>
  <c r="AMJ63" i="1" a="1"/>
  <c r="AGE23" i="1" a="1"/>
  <c r="AFD73" i="1" a="1"/>
  <c r="OS74" i="1" a="1"/>
  <c r="PW23" i="1" a="1"/>
  <c r="UX74" i="1" a="1"/>
  <c r="UW78" i="1" a="1"/>
  <c r="AEF77" i="1" a="1"/>
  <c r="AGQ77" i="1" a="1"/>
  <c r="AEU74" i="1" a="1"/>
  <c r="PI74" i="1" a="1"/>
  <c r="AMW78" i="1" a="1"/>
  <c r="ACN71" i="1" a="1"/>
  <c r="ALU73" i="1" a="1"/>
  <c r="ALQ23" i="1" a="1"/>
  <c r="ANV76" i="1" a="1"/>
  <c r="ALL23" i="1" a="1"/>
  <c r="WR76" i="1" a="1"/>
  <c r="AEH71" i="1" a="1"/>
  <c r="ADW77" i="1" a="1"/>
  <c r="AGD62" i="1" a="1"/>
  <c r="AFC73" i="1" a="1"/>
  <c r="AMM76" i="1" a="1"/>
  <c r="OQ76" i="1" a="1"/>
  <c r="NH77" i="1" a="1"/>
  <c r="ANX23" i="1" a="1"/>
  <c r="WL74" i="1" a="1"/>
  <c r="AEF23" i="1" a="1"/>
  <c r="AMC76" i="1" a="1"/>
  <c r="AES77" i="1" a="1"/>
  <c r="AFE77" i="1" a="1"/>
  <c r="XH23" i="1" a="1"/>
  <c r="AMA78" i="1" a="1"/>
  <c r="QT74" i="1" a="1"/>
  <c r="PQ71" i="1" a="1"/>
  <c r="ALK23" i="1" a="1"/>
  <c r="AFE71" i="1" a="1"/>
  <c r="ALS76" i="1" a="1"/>
  <c r="ALT74" i="1" a="1"/>
  <c r="WB71" i="1" a="1"/>
  <c r="ALQ78" i="1" a="1"/>
  <c r="ALM73" i="1" a="1"/>
  <c r="UX71" i="1" a="1"/>
  <c r="AFF23" i="1" a="1"/>
  <c r="PP76" i="1" a="1"/>
  <c r="AFG74" i="1" a="1"/>
  <c r="YM78" i="1" a="1"/>
  <c r="WN76" i="1" a="1"/>
  <c r="NG71" i="1" a="1"/>
  <c r="OI23" i="1" a="1"/>
  <c r="AFF71" i="1" a="1"/>
  <c r="ACP73" i="1" a="1"/>
  <c r="ALQ74" i="1" a="1"/>
  <c r="PW76" i="1" a="1"/>
  <c r="AMH23" i="1" a="1"/>
  <c r="XF78" i="1" a="1"/>
  <c r="ADX76" i="1" a="1"/>
  <c r="XD23" i="1" a="1"/>
  <c r="SA74" i="1" a="1"/>
  <c r="XK74" i="1" a="1"/>
  <c r="AEN74" i="1" a="1"/>
  <c r="ACP76" i="1" a="1"/>
  <c r="WU76" i="1" a="1"/>
  <c r="WL73" i="1" a="1"/>
  <c r="PB60" i="1" a="1"/>
  <c r="AKI23" i="1" a="1"/>
  <c r="AMB23" i="1" a="1"/>
  <c r="ALK62" i="1" a="1"/>
  <c r="PA58" i="1" a="1"/>
  <c r="ADY76" i="1" a="1"/>
  <c r="NG76" i="1" a="1"/>
  <c r="AEG76" i="1" a="1"/>
  <c r="ALV78" i="1" a="1"/>
  <c r="YM71" i="1" a="1"/>
  <c r="AMO58" i="1" a="1"/>
  <c r="YK23" i="1" a="1"/>
  <c r="AGG23" i="1" a="1"/>
  <c r="AKG78" i="1" a="1"/>
  <c r="WD78" i="1" a="1"/>
  <c r="PN78" i="1" a="1"/>
  <c r="UU73" i="1" a="1"/>
  <c r="WX74" i="1" a="1"/>
  <c r="AMO78" i="1" a="1"/>
  <c r="AMW73" i="1" a="1"/>
  <c r="AMJ62" i="1" a="1"/>
  <c r="WX76" i="1" a="1"/>
  <c r="VY71" i="1" a="1"/>
  <c r="ACQ74" i="1" a="1"/>
  <c r="AKE71" i="1" a="1"/>
  <c r="OI71" i="1" a="1"/>
  <c r="UX76" i="1" a="1"/>
  <c r="ALM62" i="1" a="1"/>
  <c r="AEH23" i="1" a="1"/>
  <c r="PP71" i="1" a="1"/>
  <c r="WQ73" i="1" a="1"/>
  <c r="OO73" i="1" a="1"/>
  <c r="ALW78" i="1" a="1"/>
  <c r="ALY73" i="1" a="1"/>
  <c r="WE78" i="1" a="1"/>
  <c r="WQ74" i="1" a="1"/>
  <c r="AEE73" i="1" a="1"/>
  <c r="AMM74" i="1" a="1"/>
  <c r="ADX71" i="1" a="1"/>
  <c r="QV73" i="1" a="1"/>
  <c r="PG23" i="1" a="1"/>
  <c r="PB23" i="1" a="1"/>
  <c r="VZ77" i="1" a="1"/>
  <c r="PI76" i="1" a="1"/>
  <c r="QW76" i="1" a="1"/>
  <c r="AGG77" i="1" a="1"/>
  <c r="OK72" i="1" a="1"/>
  <c r="ADT74" i="1" a="1"/>
  <c r="AEQ76" i="1" a="1"/>
  <c r="WC78" i="1" a="1"/>
  <c r="NG13" i="1" a="1"/>
  <c r="ADU74" i="1" a="1"/>
  <c r="AHK71" i="1" a="1"/>
  <c r="ADX77" i="1" a="1"/>
  <c r="QW74" i="1" a="1"/>
  <c r="XB76" i="1" a="1"/>
  <c r="XI74" i="1" a="1"/>
  <c r="WT71" i="1" a="1"/>
  <c r="ADS76" i="1" a="1"/>
  <c r="AFD71" i="1" a="1"/>
  <c r="VZ76" i="1" a="1"/>
  <c r="ALY23" i="1" a="1"/>
  <c r="AES73" i="1" a="1"/>
  <c r="WG73" i="1" a="1"/>
  <c r="AEO71" i="1" a="1"/>
  <c r="WC71" i="1" a="1"/>
  <c r="AEM77" i="1" a="1"/>
  <c r="WH78" i="1" a="1"/>
  <c r="ALV62" i="1" a="1"/>
  <c r="AEJ73" i="1" a="1"/>
  <c r="ALU76" i="1" a="1"/>
  <c r="AMU62" i="1" a="1"/>
  <c r="AES23" i="1" a="1"/>
  <c r="PO76" i="1" a="1"/>
  <c r="NE71" i="1" a="1"/>
  <c r="AMA23" i="1" a="1"/>
  <c r="VZ74" i="1" a="1"/>
  <c r="AMU71" i="1" a="1"/>
  <c r="PO71" i="1" a="1"/>
  <c r="OV71" i="1" a="1"/>
  <c r="AMI74" i="1" a="1"/>
  <c r="AMJ78" i="1" a="1"/>
  <c r="OO78" i="1" a="1"/>
  <c r="AMC71" i="1" a="1"/>
  <c r="AHK72" i="1" a="1"/>
  <c r="AMB73" i="1" a="1"/>
  <c r="WM78" i="1" a="1"/>
  <c r="WO76" i="1" a="1"/>
  <c r="ALJ76" i="1" a="1"/>
  <c r="WP74" i="1" a="1"/>
  <c r="AKE74" i="1" a="1"/>
  <c r="WY74" i="1" a="1"/>
  <c r="ADU77" i="1" a="1"/>
  <c r="AEY77" i="1" a="1"/>
  <c r="OV76" i="1" a="1"/>
  <c r="UW76" i="1" a="1"/>
  <c r="AMR62" i="1" a="1"/>
  <c r="AMJ71" i="1" a="1"/>
  <c r="PM76" i="1" a="1"/>
  <c r="AMF74" i="1" a="1"/>
  <c r="ADW76" i="1" a="1"/>
  <c r="AMB62" i="1" a="1"/>
  <c r="XM76" i="1" a="1"/>
  <c r="WE23" i="1" a="1"/>
  <c r="AEI23" i="1" a="1"/>
  <c r="AEW76" i="1" a="1"/>
  <c r="OW71" i="1" a="1"/>
  <c r="YK76" i="1" a="1"/>
  <c r="YM74" i="1" a="1"/>
  <c r="AEV73" i="1" a="1"/>
  <c r="XK23" i="1" a="1"/>
  <c r="UU76" i="1" a="1"/>
  <c r="AEI73" i="1" a="1"/>
  <c r="ALQ76" i="1" a="1"/>
  <c r="AMD73" i="1" a="1"/>
  <c r="UU78" i="1" a="1"/>
  <c r="PE74" i="1" a="1"/>
  <c r="NH76" i="1" a="1"/>
  <c r="AEH77" i="1" a="1"/>
  <c r="XK78" i="1" a="1"/>
  <c r="AET76" i="1" a="1"/>
  <c r="OP78" i="1" a="1"/>
  <c r="OO71" i="1" a="1"/>
  <c r="WP76" i="1" a="1"/>
  <c r="AMP78" i="1" a="1"/>
  <c r="AKI75" i="1" a="1"/>
  <c r="AMM23" i="1" a="1"/>
  <c r="WG74" i="1" a="1"/>
  <c r="ANX74" i="1" a="1"/>
  <c r="AKH78" i="1" a="1"/>
  <c r="ADV23" i="1" a="1"/>
  <c r="ADR60" i="1" a="1"/>
  <c r="WU78" i="1" a="1"/>
  <c r="PE71" i="1" a="1"/>
  <c r="OM23" i="1" a="1"/>
  <c r="AGD74" i="1" a="1"/>
  <c r="AMU76" i="1" a="1"/>
  <c r="QV23" i="1" a="1"/>
  <c r="ALT71" i="1" a="1"/>
  <c r="AGD23" i="1" a="1"/>
  <c r="AKH74" i="1" a="1"/>
  <c r="WX23" i="1" a="1"/>
  <c r="AEN23" i="1" a="1"/>
  <c r="AMC73" i="1" a="1"/>
  <c r="ALM78" i="1" a="1"/>
  <c r="AMK78" i="1" a="1"/>
  <c r="WB23" i="1" a="1"/>
  <c r="PE78" i="1" a="1"/>
  <c r="ALW62" i="1" a="1"/>
  <c r="AEC23" i="1" a="1"/>
  <c r="AGG71" i="1" a="1"/>
  <c r="AEJ17" i="1" a="1"/>
  <c r="AKF73" i="1" a="1"/>
  <c r="XD78" i="1" a="1"/>
  <c r="WC73" i="1" a="1"/>
  <c r="XL73" i="1" a="1"/>
  <c r="ALR23" i="1" a="1"/>
  <c r="WT23" i="1" a="1"/>
  <c r="AFE73" i="1" a="1"/>
  <c r="OY23" i="1" a="1"/>
  <c r="SA76" i="1" a="1"/>
  <c r="XD73" i="1" a="1"/>
  <c r="AEB71" i="1" a="1"/>
  <c r="ACR11" i="1" a="1"/>
  <c r="WS74" i="1" a="1"/>
  <c r="YN74" i="1" a="1"/>
  <c r="AGR23" i="1" a="1"/>
  <c r="AML71" i="1" a="1"/>
  <c r="ALR73" i="1" a="1"/>
  <c r="PI18" i="1" a="1"/>
  <c r="YK77" i="1" a="1"/>
  <c r="OK11" i="1" a="1"/>
  <c r="WB17" i="1" a="1"/>
  <c r="AHK62" i="1" a="1"/>
  <c r="AEW62" i="1" a="1"/>
  <c r="OU20" i="1" a="1"/>
  <c r="AMM13" i="1" a="1"/>
  <c r="WH18" i="1" a="1"/>
  <c r="ANV13" i="1" a="1"/>
  <c r="AKG18" i="1" a="1"/>
  <c r="QU14" i="1" a="1"/>
  <c r="AEP58" i="1" a="1"/>
  <c r="AMH62" i="1" a="1"/>
  <c r="XB71" i="1" a="1"/>
  <c r="OW23" i="1" a="1"/>
  <c r="AMW11" i="1" a="1"/>
  <c r="AKG57" i="1" a="1"/>
  <c r="AME75" i="1" a="1"/>
  <c r="XG72" i="1" a="1"/>
  <c r="PQ75" i="1" a="1"/>
  <c r="OM75" i="1" a="1"/>
  <c r="WX18" i="1" a="1"/>
  <c r="WY71" i="1" a="1"/>
  <c r="AFA74" i="1" a="1"/>
  <c r="PR71" i="1" a="1"/>
  <c r="OX74" i="1" a="1"/>
  <c r="PJ23" i="1" a="1"/>
  <c r="ON76" i="1" a="1"/>
  <c r="OI74" i="1" a="1"/>
  <c r="XG74" i="1" a="1"/>
  <c r="WD74" i="1" a="1"/>
  <c r="ADT11" i="1" a="1"/>
  <c r="YN71" i="1" a="1"/>
  <c r="WH74" i="1" a="1"/>
  <c r="PP74" i="1" a="1"/>
  <c r="PF71" i="1" a="1"/>
  <c r="OQ23" i="1" a="1"/>
  <c r="AEB77" i="1" a="1"/>
  <c r="WW78" i="1" a="1"/>
  <c r="NH78" i="1" a="1"/>
  <c r="OS76" i="1" a="1"/>
  <c r="XC76" i="1" a="1"/>
  <c r="PV23" i="1" a="1"/>
  <c r="AEH74" i="1" a="1"/>
  <c r="AMB76" i="1" a="1"/>
  <c r="WU74" i="1" a="1"/>
  <c r="UY78" i="1" a="1"/>
  <c r="AEO77" i="1" a="1"/>
  <c r="WB76" i="1" a="1"/>
  <c r="WE73" i="1" a="1"/>
  <c r="OR74" i="1" a="1"/>
  <c r="AFD77" i="1" a="1"/>
  <c r="XG23" i="1" a="1"/>
  <c r="PS74" i="1" a="1"/>
  <c r="PJ76" i="1" a="1"/>
  <c r="PL71" i="1" a="1"/>
  <c r="WJ78" i="1" a="1"/>
  <c r="AMN62" i="1" a="1"/>
  <c r="PS76" i="1" a="1"/>
  <c r="ALN71" i="1" a="1"/>
  <c r="AMG23" i="1" a="1"/>
  <c r="ALV74" i="1" a="1"/>
  <c r="AMU74" i="1" a="1"/>
  <c r="PI60" i="1" a="1"/>
  <c r="AEX71" i="1" a="1"/>
  <c r="OP73" i="1" a="1"/>
  <c r="PP78" i="1" a="1"/>
  <c r="ALM57" i="1" a="1"/>
  <c r="AMF76" i="1" a="1"/>
  <c r="AEE71" i="1" a="1"/>
  <c r="OS71" i="1" a="1"/>
  <c r="AFF13" i="1" a="1"/>
  <c r="ADT23" i="1" a="1"/>
  <c r="PW78" i="1" a="1"/>
  <c r="OY78" i="1" a="1"/>
  <c r="ALW23" i="1" a="1"/>
  <c r="ANU71" i="1" a="1"/>
  <c r="ADR23" i="1" a="1"/>
  <c r="PN71" i="1" a="1"/>
  <c r="OM71" i="1" a="1"/>
  <c r="WL23" i="1" a="1"/>
  <c r="XI76" i="1" a="1"/>
  <c r="UY74" i="1" a="1"/>
  <c r="OR78" i="1" a="1"/>
  <c r="OZ23" i="1" a="1"/>
  <c r="WN23" i="1" a="1"/>
  <c r="WD76" i="1" a="1"/>
  <c r="YL73" i="1" a="1"/>
  <c r="AEE74" i="1" a="1"/>
  <c r="WB73" i="1" a="1"/>
  <c r="WZ74" i="1" a="1"/>
  <c r="AMX76" i="1" a="1"/>
  <c r="ADZ77" i="1" a="1"/>
  <c r="UX78" i="1" a="1"/>
  <c r="ADS71" i="1" a="1"/>
  <c r="AGD73" i="1" a="1"/>
  <c r="PU73" i="1" a="1"/>
  <c r="ALX62" i="1" a="1"/>
  <c r="OJ74" i="1" a="1"/>
  <c r="OZ76" i="1" a="1"/>
  <c r="OU71" i="1" a="1"/>
  <c r="ALZ23" i="1" a="1"/>
  <c r="ANV62" i="1" a="1"/>
  <c r="AMW71" i="1" a="1"/>
  <c r="AMN73" i="1" a="1"/>
  <c r="UU74" i="1" a="1"/>
  <c r="XL74" i="1" a="1"/>
  <c r="AEL73" i="1" a="1"/>
  <c r="ADV76" i="1" a="1"/>
  <c r="OK77" i="1" a="1"/>
  <c r="XA73" i="1" a="1"/>
  <c r="AMS71" i="1" a="1"/>
  <c r="ACO74" i="1" a="1"/>
  <c r="AFA76" i="1" a="1"/>
  <c r="WZ76" i="1" a="1"/>
  <c r="UY76" i="1" a="1"/>
  <c r="PN60" i="1" a="1"/>
  <c r="PH23" i="1" a="1"/>
  <c r="WZ73" i="1" a="1"/>
  <c r="AEX77" i="1" a="1"/>
  <c r="AEL74" i="1" a="1"/>
  <c r="ADY74" i="1" a="1"/>
  <c r="PR73" i="1" a="1"/>
  <c r="ADW23" i="1" a="1"/>
  <c r="AEN71" i="1" a="1"/>
  <c r="PV73" i="1" a="1"/>
  <c r="PI78" i="1" a="1"/>
  <c r="PL73" i="1" a="1"/>
  <c r="AMI62" i="1" a="1"/>
  <c r="AHK23" i="1" a="1"/>
  <c r="XH71" i="1" a="1"/>
  <c r="AEJ23" i="1" a="1"/>
  <c r="AMH71" i="1" a="1"/>
  <c r="WQ76" i="1" a="1"/>
  <c r="VY73" i="1" a="1"/>
  <c r="YL74" i="1" a="1"/>
  <c r="AEI76" i="1" a="1"/>
  <c r="XL23" i="1" a="1"/>
  <c r="XK73" i="1" a="1"/>
  <c r="AEB73" i="1" a="1"/>
  <c r="AML78" i="1" a="1"/>
  <c r="AKE73" i="1" a="1"/>
  <c r="YK78" i="1" a="1"/>
  <c r="OZ74" i="1" a="1"/>
  <c r="AHK73" i="1" a="1"/>
  <c r="AEZ77" i="1" a="1"/>
  <c r="WY73" i="1" a="1"/>
  <c r="AMR73" i="1" a="1"/>
  <c r="XE23" i="1" a="1"/>
  <c r="WP23" i="1" a="1"/>
  <c r="AKI74" i="1" a="1"/>
  <c r="AEX20" i="1" a="1"/>
  <c r="AEL23" i="1" a="1"/>
  <c r="ALO78" i="1" a="1"/>
  <c r="WV71" i="1" a="1"/>
  <c r="AMA74" i="1" a="1"/>
  <c r="AMS62" i="1" a="1"/>
  <c r="AKE62" i="1" a="1"/>
  <c r="ALI10" i="1" a="1"/>
  <c r="WK78" i="1" a="1"/>
  <c r="AMH76" i="1" a="1"/>
  <c r="AME78" i="1" a="1"/>
  <c r="WH71" i="1" a="1"/>
  <c r="ACN77" i="1" a="1"/>
  <c r="ACQ73" i="1" a="1"/>
  <c r="AEK76" i="1" a="1"/>
  <c r="OW76" i="1" a="1"/>
  <c r="WW76" i="1" a="1"/>
  <c r="ADT71" i="1" a="1"/>
  <c r="ADX73" i="1" a="1"/>
  <c r="ANU76" i="1" a="1"/>
  <c r="AGQ71" i="1" a="1"/>
  <c r="AMT76" i="1" a="1"/>
  <c r="ACO77" i="1" a="1"/>
  <c r="ALP62" i="1" a="1"/>
  <c r="AEO23" i="1" a="1"/>
  <c r="ANX71" i="1" a="1"/>
  <c r="ALZ74" i="1" a="1"/>
  <c r="QU73" i="1" a="1"/>
  <c r="AEP23" i="1" a="1"/>
  <c r="WF23" i="1" a="1"/>
  <c r="WF76" i="1" a="1"/>
  <c r="VY74" i="1" a="1"/>
  <c r="XN74" i="1" a="1"/>
  <c r="AMS78" i="1" a="1"/>
  <c r="YN23" i="1" a="1"/>
  <c r="WD73" i="1" a="1"/>
  <c r="XI71" i="1" a="1"/>
  <c r="PW74" i="1" a="1"/>
  <c r="ALJ78" i="1" a="1"/>
  <c r="PO23" i="1" a="1"/>
  <c r="PL23" i="1" a="1"/>
  <c r="AFG75" i="1" a="1"/>
  <c r="ALP76" i="1" a="1"/>
  <c r="AEV71" i="1" a="1"/>
  <c r="ALO73" i="1" a="1"/>
  <c r="PQ78" i="1" a="1"/>
  <c r="AEY74" i="1" a="1"/>
  <c r="ALK76" i="1" a="1"/>
  <c r="ALY74" i="1" a="1"/>
  <c r="AKI78" i="1" a="1"/>
  <c r="ALW76" i="1" a="1"/>
  <c r="XC78" i="1" a="1"/>
  <c r="WF78" i="1" a="1"/>
  <c r="AEG62" i="1" a="1"/>
  <c r="WM73" i="1" a="1"/>
  <c r="ND71" i="1" a="1"/>
  <c r="AEX23" i="1" a="1"/>
  <c r="PW71" i="1" a="1"/>
  <c r="XL76" i="1" a="1"/>
  <c r="ALQ10" i="1" a="1"/>
  <c r="PG78" i="1" a="1"/>
  <c r="AME23" i="1" a="1"/>
  <c r="ALT23" i="1" a="1"/>
  <c r="ON60" i="1" a="1"/>
  <c r="OO76" i="1" a="1"/>
  <c r="UY71" i="1" a="1"/>
  <c r="OV74" i="1" a="1"/>
  <c r="AMQ77" i="1" a="1"/>
  <c r="AFG76" i="1" a="1"/>
  <c r="ADS77" i="1" a="1"/>
  <c r="AGE77" i="1" a="1"/>
  <c r="AMO23" i="1" a="1"/>
  <c r="AEG73" i="1" a="1"/>
  <c r="AMT73" i="1" a="1"/>
  <c r="AKG73" i="1" a="1"/>
  <c r="AEJ11" i="1" a="1"/>
  <c r="WU71" i="1" a="1"/>
  <c r="OV78" i="1" a="1"/>
  <c r="AMQ71" i="1" a="1"/>
  <c r="AED72" i="1" a="1"/>
  <c r="AMC74" i="1" a="1"/>
  <c r="ALR78" i="1" a="1"/>
  <c r="NF62" i="1" a="1"/>
  <c r="AMK74" i="1" a="1"/>
  <c r="AMX62" i="1" a="1"/>
  <c r="ND57" i="1" a="1"/>
  <c r="OH77" i="1" a="1"/>
  <c r="AEZ20" i="1" a="1"/>
  <c r="AER10" i="1" a="1"/>
  <c r="WT10" i="1" a="1"/>
  <c r="PE75" i="1" a="1"/>
  <c r="AML75" i="1" a="1"/>
  <c r="WF75" i="1" a="1"/>
  <c r="ALS11" i="1" a="1"/>
  <c r="PU17" i="1" a="1"/>
  <c r="PS75" i="1" a="1"/>
  <c r="ND18" i="1" a="1"/>
  <c r="WI18" i="1" a="1"/>
  <c r="OP10" i="1" a="1"/>
  <c r="ALW71" i="1" a="1"/>
  <c r="ALO23" i="1" a="1"/>
  <c r="AEE75" i="1" a="1"/>
  <c r="WP75" i="1" a="1"/>
  <c r="ADY60" i="1" a="1"/>
  <c r="WY14" i="1" a="1"/>
  <c r="PV11" i="1" a="1"/>
  <c r="ALX13" i="1" a="1"/>
  <c r="AET74" i="1" a="1"/>
  <c r="XJ71" i="1" a="1"/>
  <c r="QW73" i="1" a="1"/>
  <c r="RH60" i="1" a="1"/>
  <c r="PC23" i="1" a="1"/>
  <c r="AMI76" i="1" a="1"/>
  <c r="NF74" i="1" a="1"/>
  <c r="AMS76" i="1" a="1"/>
  <c r="AMQ74" i="1" a="1"/>
  <c r="OQ71" i="1" a="1"/>
  <c r="ACO18" i="1" a="1"/>
  <c r="AEZ23" i="1" a="1"/>
  <c r="ALY78" i="1" a="1"/>
  <c r="AEU76" i="1" a="1"/>
  <c r="OT76" i="1" a="1"/>
  <c r="AMC78" i="1" a="1"/>
  <c r="XG17" i="1" a="1"/>
  <c r="AEX74" i="1" a="1"/>
  <c r="AFE74" i="1" a="1"/>
  <c r="AMF73" i="1" a="1"/>
  <c r="AMG78" i="1" a="1"/>
  <c r="AMU78" i="1" a="1"/>
  <c r="WC23" i="1" a="1"/>
  <c r="PF73" i="1" a="1"/>
  <c r="ACQ77" i="1" a="1"/>
  <c r="OQ73" i="1" a="1"/>
  <c r="AED77" i="1" a="1"/>
  <c r="AEO73" i="1" a="1"/>
  <c r="AMS74" i="1" a="1"/>
  <c r="OJ71" i="1" a="1"/>
  <c r="XG76" i="1" a="1"/>
  <c r="ALP73" i="1" a="1"/>
  <c r="PA71" i="1" a="1"/>
  <c r="AEQ17" i="1" a="1"/>
  <c r="AEZ71" i="1" a="1"/>
  <c r="AMS73" i="1" a="1"/>
  <c r="ALZ76" i="1" a="1"/>
  <c r="NG73" i="1" a="1"/>
  <c r="AEP71" i="1" a="1"/>
  <c r="ACQ23" i="1" a="1"/>
  <c r="WS23" i="1" a="1"/>
  <c r="AEM76" i="1" a="1"/>
  <c r="AFB77" i="1" a="1"/>
  <c r="AMJ76" i="1" a="1"/>
  <c r="SA73" i="1" a="1"/>
  <c r="AMG74" i="1" a="1"/>
  <c r="PK78" i="1" a="1"/>
  <c r="ALV23" i="1" a="1"/>
  <c r="ANW73" i="1" a="1"/>
  <c r="WN73" i="1" a="1"/>
  <c r="AGD77" i="1" a="1"/>
  <c r="ADZ23" i="1" a="1"/>
  <c r="AEE76" i="1" a="1"/>
  <c r="ADR73" i="1" a="1"/>
  <c r="ACN76" i="1" a="1"/>
  <c r="WQ71" i="1" a="1"/>
  <c r="AFD76" i="1" a="1"/>
  <c r="ACN23" i="1" a="1"/>
  <c r="ND74" i="1" a="1"/>
  <c r="WO71" i="1" a="1"/>
  <c r="OW74" i="1" a="1"/>
  <c r="ND73" i="1" a="1"/>
  <c r="RG73" i="1" a="1"/>
  <c r="ADT76" i="1" a="1"/>
  <c r="AMX74" i="1" a="1"/>
  <c r="AMR76" i="1" a="1"/>
  <c r="XF76" i="1" a="1"/>
  <c r="XJ73" i="1" a="1"/>
  <c r="WX71" i="1" a="1"/>
  <c r="UY73" i="1" a="1"/>
  <c r="AGF73" i="1" a="1"/>
  <c r="AMD71" i="1" a="1"/>
  <c r="NF78" i="1" a="1"/>
  <c r="ACO23" i="1" a="1"/>
  <c r="ALZ71" i="1" a="1"/>
  <c r="OR73" i="1" a="1"/>
  <c r="AEJ76" i="1" a="1"/>
  <c r="PL14" i="1" a="1"/>
  <c r="PA14" i="1" a="1"/>
  <c r="AMV11" i="1" a="1"/>
  <c r="AMG76" i="1" a="1"/>
  <c r="AFB11" i="1" a="1"/>
  <c r="WL58" i="1" a="1"/>
  <c r="XJ74" i="1" a="1"/>
  <c r="AET71" i="1" a="1"/>
  <c r="ALN76" i="1" a="1"/>
  <c r="ALT62" i="1" a="1"/>
  <c r="AFF77" i="1" a="1"/>
  <c r="AEP74" i="1" a="1"/>
  <c r="AMU73" i="1" a="1"/>
  <c r="WT73" i="1" a="1"/>
  <c r="AMD74" i="1" a="1"/>
  <c r="AGE74" i="1" a="1"/>
  <c r="AMR78" i="1" a="1"/>
  <c r="ALL76" i="1" a="1"/>
  <c r="AEA77" i="1" a="1"/>
  <c r="OK78" i="1" a="1"/>
  <c r="WQ78" i="1" a="1"/>
  <c r="AEV23" i="1" a="1"/>
  <c r="ADU76" i="1" a="1"/>
  <c r="AEC11" i="1" a="1"/>
  <c r="ALI71" i="1" a="1"/>
  <c r="WW23" i="1" a="1"/>
  <c r="XK76" i="1" a="1"/>
  <c r="AMF71" i="1" a="1"/>
  <c r="UY23" i="1" a="1"/>
  <c r="ALK13" i="1" a="1"/>
  <c r="OI11" i="1" a="1"/>
  <c r="AMH11" i="1" a="1"/>
  <c r="AEF18" i="1" a="1"/>
  <c r="RH20" i="1" a="1"/>
  <c r="OL20" i="1" a="1"/>
  <c r="AEW72" i="1" a="1"/>
  <c r="OK17" i="1" a="1"/>
  <c r="WP17" i="1" a="1"/>
  <c r="QW17" i="1" a="1"/>
  <c r="AMT63" i="1" a="1"/>
  <c r="QV14" i="1" a="1"/>
  <c r="ALQ63" i="1" a="1"/>
  <c r="AFG11" i="1" a="1"/>
  <c r="AMN78" i="1" a="1"/>
  <c r="ALS78" i="1" a="1"/>
  <c r="AEG17" i="1" a="1"/>
  <c r="NG72" i="1" a="1"/>
  <c r="WH10" i="1" a="1"/>
  <c r="PV57" i="1" a="1"/>
  <c r="XN18" i="1" a="1"/>
  <c r="WQ18" i="1" a="1"/>
  <c r="WP71" i="1" a="1"/>
  <c r="AMA73" i="1" a="1"/>
  <c r="PK73" i="1" a="1"/>
  <c r="AHK77" i="1" a="1"/>
  <c r="ALJ71" i="1" a="1"/>
  <c r="AEH73" i="1" a="1"/>
  <c r="XE73" i="1" a="1"/>
  <c r="ANU78" i="1" a="1"/>
  <c r="XL71" i="1" a="1"/>
  <c r="AMN71" i="1" a="1"/>
  <c r="OT71" i="1" a="1"/>
  <c r="AMW74" i="1" a="1"/>
  <c r="OV73" i="1" a="1"/>
  <c r="PJ73" i="1" a="1"/>
  <c r="OK23" i="1" a="1"/>
  <c r="OT74" i="1" a="1"/>
  <c r="AMC62" i="1" a="1"/>
  <c r="OI76" i="1" a="1"/>
  <c r="PC76" i="1" a="1"/>
  <c r="AEK62" i="1" a="1"/>
  <c r="WR23" i="1" a="1"/>
  <c r="AEZ74" i="1" a="1"/>
  <c r="ALS73" i="1" a="1"/>
  <c r="AGQ20" i="1" a="1"/>
  <c r="AMM71" i="1" a="1"/>
  <c r="ALV71" i="1" a="1"/>
  <c r="AKF76" i="1" a="1"/>
  <c r="WA71" i="1" a="1"/>
  <c r="UV76" i="1" a="1"/>
  <c r="ALI78" i="1" a="1"/>
  <c r="PS73" i="1" a="1"/>
  <c r="ND78" i="1" a="1"/>
  <c r="OX23" i="1" a="1"/>
  <c r="AKI76" i="1" a="1"/>
  <c r="WI78" i="1" a="1"/>
  <c r="AEE23" i="1" a="1"/>
  <c r="WZ78" i="1" a="1"/>
  <c r="ON73" i="1" a="1"/>
  <c r="ALJ23" i="1" a="1"/>
  <c r="WC76" i="1" a="1"/>
  <c r="WB78" i="1" a="1"/>
  <c r="ON74" i="1" a="1"/>
  <c r="AEI77" i="1" a="1"/>
  <c r="OH74" i="1" a="1"/>
  <c r="AML10" i="1" a="1"/>
  <c r="AMI73" i="1" a="1"/>
  <c r="ALR76" i="1" a="1"/>
  <c r="AMH73" i="1" a="1"/>
  <c r="AED74" i="1" a="1"/>
  <c r="AGQ74" i="1" a="1"/>
  <c r="OI73" i="1" a="1"/>
  <c r="PR78" i="1" a="1"/>
  <c r="YL76" i="1" a="1"/>
  <c r="UV74" i="1" a="1"/>
  <c r="AMR57" i="1" a="1"/>
  <c r="UW74" i="1" a="1"/>
  <c r="PM78" i="1" a="1"/>
  <c r="AEJ71" i="1" a="1"/>
  <c r="AMW76" i="1" a="1"/>
  <c r="XM71" i="1" a="1"/>
  <c r="UW23" i="1" a="1"/>
  <c r="OH76" i="1" a="1"/>
  <c r="ALU23" i="1" a="1"/>
  <c r="YL71" i="1" a="1"/>
  <c r="QV76" i="1" a="1"/>
  <c r="ALR74" i="1" a="1"/>
  <c r="AMX23" i="1" a="1"/>
  <c r="AFA23" i="1" a="1"/>
  <c r="PF76" i="1" a="1"/>
  <c r="AMQ76" i="1" a="1"/>
  <c r="AMT74" i="1" a="1"/>
  <c r="UV23" i="1" a="1"/>
  <c r="AKE23" i="1" a="1"/>
  <c r="ADV71" i="1" a="1"/>
  <c r="XN73" i="1" a="1"/>
  <c r="OY74" i="1" a="1"/>
  <c r="PT17" i="1" a="1"/>
  <c r="AGF71" i="1" a="1"/>
  <c r="AMA76" i="1" a="1"/>
  <c r="ADS73" i="1" a="1"/>
  <c r="AKF23" i="1" a="1"/>
  <c r="AGF23" i="1" a="1"/>
  <c r="WM23" i="1" a="1"/>
  <c r="AKG71" i="1" a="1"/>
  <c r="RG59" i="1" a="1"/>
  <c r="ACR18" i="1" a="1"/>
  <c r="AEU78" i="1" a="1"/>
  <c r="AGR18" i="1" a="1"/>
  <c r="PS14" i="1" a="1"/>
  <c r="PE57" i="1" a="1"/>
  <c r="AHK76" i="1" a="1"/>
  <c r="PR18" i="1" a="1"/>
  <c r="AMJ72" i="1" a="1"/>
  <c r="WT76" i="1" a="1"/>
  <c r="YM23" i="1" a="1"/>
  <c r="XM74" i="1" a="1"/>
  <c r="AEX76" i="1" a="1"/>
  <c r="RH23" i="1" a="1"/>
  <c r="OR60" i="1" a="1"/>
  <c r="AEG74" i="1" a="1"/>
  <c r="AEB76" i="1" a="1"/>
  <c r="AKF74" i="1" a="1"/>
  <c r="WX78" i="1" a="1"/>
  <c r="ANV23" i="1" a="1"/>
  <c r="NH60" i="1" a="1"/>
  <c r="RG71" i="1" a="1"/>
  <c r="WM76" i="1" a="1"/>
  <c r="WK71" i="1" a="1"/>
  <c r="AMQ75" i="1" a="1"/>
  <c r="OL23" i="1" a="1"/>
  <c r="PK76" i="1" a="1"/>
  <c r="ANV18" i="1" a="1"/>
  <c r="XI23" i="1" a="1"/>
  <c r="WE74" i="1" a="1"/>
  <c r="AGD78" i="1" a="1"/>
  <c r="AEY20" i="1" a="1"/>
  <c r="AGQ75" i="1" a="1"/>
  <c r="WQ58" i="1" a="1"/>
  <c r="OU75" i="1" a="1"/>
  <c r="WB18" i="1" a="1"/>
  <c r="WO10" i="1" a="1"/>
  <c r="ACQ60" i="1" a="1"/>
  <c r="AGD17" i="1" a="1"/>
  <c r="WW72" i="1" a="1"/>
  <c r="WY18" i="1" a="1"/>
  <c r="AML13" i="1" a="1"/>
  <c r="PG75" i="1" a="1"/>
  <c r="AFG77" i="1" a="1"/>
  <c r="WK76" i="1" a="1"/>
  <c r="PG74" i="1" a="1"/>
  <c r="AMT17" i="1" a="1"/>
  <c r="AEB60" i="1" a="1"/>
  <c r="AME58" i="1" a="1"/>
  <c r="RH14" i="1" a="1"/>
  <c r="ALZ13" i="1" a="1"/>
  <c r="PK17" i="1" a="1"/>
  <c r="ON23" i="1" a="1"/>
  <c r="ALQ73" i="1" a="1"/>
  <c r="YL78" i="1" a="1"/>
  <c r="UV71" i="1" a="1"/>
  <c r="NE74" i="1" a="1"/>
  <c r="ALT73" i="1" a="1"/>
  <c r="OZ73" i="1" a="1"/>
  <c r="AMR71" i="1" a="1"/>
  <c r="PN23" i="1" a="1"/>
  <c r="OL18" i="1" a="1"/>
  <c r="AEC71" i="1" a="1"/>
  <c r="AGR77" i="1" a="1"/>
  <c r="ALK71" i="1" a="1"/>
  <c r="XD74" i="1" a="1"/>
  <c r="ADZ73" i="1" a="1"/>
  <c r="AFD62" i="1" a="1"/>
  <c r="WL76" i="1" a="1"/>
  <c r="WF73" i="1" a="1"/>
  <c r="AET77" i="1" a="1"/>
  <c r="AMI11" i="1" a="1"/>
  <c r="AMJ23" i="1" a="1"/>
  <c r="PU71" i="1" a="1"/>
  <c r="AET23" i="1" a="1"/>
  <c r="ON14" i="1" a="1"/>
  <c r="PM23" i="1" a="1"/>
  <c r="PR76" i="1" a="1"/>
  <c r="AEE77" i="1" a="1"/>
  <c r="AEW23" i="1" a="1"/>
  <c r="AGF77" i="1" a="1"/>
  <c r="PL74" i="1" a="1"/>
  <c r="AEA74" i="1" a="1"/>
  <c r="SA11" i="1" a="1"/>
  <c r="PE23" i="1" a="1"/>
  <c r="NH73" i="1" a="1"/>
  <c r="AFC23" i="1" a="1"/>
  <c r="AMQ62" i="1" a="1"/>
  <c r="XF74" i="1" a="1"/>
  <c r="WJ74" i="1" a="1"/>
  <c r="AMT62" i="1" a="1"/>
  <c r="QT78" i="1" a="1"/>
  <c r="NE78" i="1" a="1"/>
  <c r="XJ23" i="1" a="1"/>
  <c r="XC73" i="1" a="1"/>
  <c r="OJ76" i="1" a="1"/>
  <c r="ALN74" i="1" a="1"/>
  <c r="XG71" i="1" a="1"/>
  <c r="XH73" i="1" a="1"/>
  <c r="AEY71" i="1" a="1"/>
  <c r="AMW62" i="1" a="1"/>
  <c r="AEA73" i="1" a="1"/>
  <c r="AMR74" i="1" a="1"/>
  <c r="AEK71" i="1" a="1"/>
  <c r="ALX23" i="1" a="1"/>
  <c r="AEK23" i="1" a="1"/>
  <c r="AGF76" i="1" a="1"/>
  <c r="AME76" i="1" a="1"/>
  <c r="OU73" i="1" a="1"/>
  <c r="ALM74" i="1" a="1"/>
  <c r="WH76" i="1" a="1"/>
  <c r="ADW74" i="1" a="1"/>
  <c r="OX71" i="1" a="1"/>
  <c r="PT23" i="1" a="1"/>
  <c r="AER77" i="1" a="1"/>
  <c r="PT74" i="1" a="1"/>
  <c r="AMV78" i="1" a="1"/>
  <c r="AEA76" i="1" a="1"/>
  <c r="AEO74" i="1" a="1"/>
  <c r="OZ71" i="1" a="1"/>
  <c r="OL73" i="1" a="1"/>
  <c r="AMV73" i="1" a="1"/>
  <c r="QU74" i="1" a="1"/>
  <c r="AEG77" i="1" a="1"/>
  <c r="PD78" i="1" a="1"/>
  <c r="ADX23" i="1" a="1"/>
  <c r="YK74" i="1" a="1"/>
  <c r="WM71" i="1" a="1"/>
  <c r="OX76" i="1" a="1"/>
  <c r="AEC74" i="1" a="1"/>
  <c r="ANW76" i="1" a="1"/>
  <c r="ALL78" i="1" a="1"/>
  <c r="ALS74" i="1" a="1"/>
  <c r="AMV23" i="1" a="1"/>
  <c r="AKI60" i="1" a="1"/>
  <c r="PM58" i="1" a="1"/>
  <c r="ALQ77" i="1" a="1"/>
  <c r="PE73" i="1" a="1"/>
  <c r="PG13" i="1" a="1"/>
  <c r="AGQ78" i="1" a="1"/>
  <c r="OV72" i="1" a="1"/>
  <c r="ALI62" i="1" a="1"/>
  <c r="PT76" i="1" a="1"/>
  <c r="WA78" i="1" a="1"/>
  <c r="AEH62" i="1" a="1"/>
  <c r="NH74" i="1" a="1"/>
  <c r="OX11" i="1" a="1"/>
  <c r="ALK78" i="1" a="1"/>
  <c r="WW14" i="1" a="1"/>
  <c r="AGR71" i="1" a="1"/>
  <c r="PV76" i="1" a="1"/>
  <c r="ANV73" i="1" a="1"/>
  <c r="ALN23" i="1" a="1"/>
  <c r="OR76" i="1" a="1"/>
  <c r="WA72" i="1" a="1"/>
  <c r="AED71" i="1" a="1"/>
  <c r="AES74" i="1" a="1"/>
  <c r="NH23" i="1" a="1"/>
  <c r="NF76" i="1" a="1"/>
  <c r="WI73" i="1" a="1"/>
  <c r="UW73" i="1" a="1"/>
  <c r="AMD78" i="1" a="1"/>
  <c r="XA23" i="1" a="1"/>
  <c r="ALO74" i="1" a="1"/>
  <c r="AEW13" i="1" a="1"/>
  <c r="QW10" i="1" a="1"/>
  <c r="OZ14" i="1" a="1"/>
  <c r="AEU62" i="1" a="1"/>
  <c r="VY57" i="1" a="1"/>
  <c r="OU59" i="1" a="1"/>
  <c r="AMI17" i="1" a="1"/>
  <c r="PL60" i="1" a="1"/>
  <c r="AMU77" i="1" a="1"/>
  <c r="XA14" i="1" a="1"/>
  <c r="AMX11" i="1" a="1"/>
  <c r="AEZ17" i="1" a="1"/>
  <c r="PK58" i="1" a="1"/>
  <c r="PH71" i="1" a="1"/>
  <c r="WW71" i="1" a="1"/>
  <c r="AEM74" i="1" a="1"/>
  <c r="OL13" i="1" a="1"/>
  <c r="WP62" i="1" a="1"/>
  <c r="PW10" i="1" a="1"/>
  <c r="OY75" i="1" a="1"/>
  <c r="AEM78" i="1" a="1"/>
  <c r="AEU23" i="1" a="1"/>
  <c r="ALX71" i="1" a="1"/>
  <c r="AKH62" i="1" a="1"/>
  <c r="PJ60" i="1" a="1"/>
  <c r="WY76" i="1" a="1"/>
  <c r="AEK74" i="1" a="1"/>
  <c r="ALX10" i="1" a="1"/>
  <c r="ACR74" i="1" a="1"/>
  <c r="NF23" i="1" a="1"/>
  <c r="XB78" i="1" a="1"/>
  <c r="XF57" i="1" a="1"/>
  <c r="OY73" i="1" a="1"/>
  <c r="XI78" i="1" a="1"/>
  <c r="AMB74" i="1" a="1"/>
  <c r="AMX73" i="1" a="1"/>
  <c r="QW71" i="1" a="1"/>
  <c r="ADX18" i="1" a="1"/>
  <c r="PN73" i="1" a="1"/>
  <c r="WM74" i="1" a="1"/>
  <c r="AMD23" i="1" a="1"/>
  <c r="PK71" i="1" a="1"/>
  <c r="ADU71" i="1" a="1"/>
  <c r="ADY77" i="1" a="1"/>
  <c r="AFF62" i="1" a="1"/>
  <c r="OK76" i="1" a="1"/>
  <c r="YN76" i="1" a="1"/>
  <c r="WU73" i="1" a="1"/>
  <c r="ADR77" i="1" a="1"/>
  <c r="AFB76" i="1" a="1"/>
  <c r="AER74" i="1" a="1"/>
  <c r="ACP74" i="1" a="1"/>
  <c r="AKI73" i="1" a="1"/>
  <c r="OI57" i="1" a="1"/>
  <c r="AGR76" i="1" a="1"/>
  <c r="ACR77" i="1" a="1"/>
  <c r="QV78" i="1" a="1"/>
  <c r="AME73" i="1" a="1"/>
  <c r="ACR23" i="1" a="1"/>
  <c r="AEC76" i="1" a="1"/>
  <c r="WV73" i="1" a="1"/>
  <c r="PB73" i="1" a="1"/>
  <c r="OT23" i="1" a="1"/>
  <c r="ALS63" i="1" a="1"/>
  <c r="QU10" i="1" a="1"/>
  <c r="AMI63" i="1" a="1"/>
  <c r="NH20" i="1" a="1"/>
  <c r="AEP73" i="1" a="1"/>
  <c r="AKG74" i="1" a="1"/>
  <c r="ALY76" i="1" a="1"/>
  <c r="ALQ71" i="1" a="1"/>
  <c r="WA23" i="1" a="1"/>
  <c r="ALN78" i="1" a="1"/>
  <c r="PA23" i="1" a="1"/>
  <c r="AEF71" i="1" a="1"/>
  <c r="ALO76" i="1" a="1"/>
  <c r="PS78" i="1" a="1"/>
  <c r="ALT76" i="1" a="1"/>
  <c r="ACQ71" i="1" a="1"/>
  <c r="OR23" i="1" a="1"/>
  <c r="PT73" i="1" a="1"/>
  <c r="AGQ23" i="1" a="1"/>
  <c r="OX78" i="1" a="1"/>
  <c r="AFB73" i="1" a="1"/>
  <c r="PW73" i="1" a="1"/>
  <c r="AMG73" i="1" a="1"/>
  <c r="PQ73" i="1" a="1"/>
  <c r="AEC77" i="1" a="1"/>
  <c r="YK73" i="1" a="1"/>
  <c r="ANU23" i="1" a="1"/>
  <c r="AEV74" i="1" a="1"/>
  <c r="ALI23" i="1" a="1"/>
  <c r="XC71" i="1" a="1"/>
  <c r="OM78" i="1" a="1"/>
  <c r="AES71" i="1" a="1"/>
  <c r="WI74" i="1" a="1"/>
  <c r="AFE23" i="1" a="1"/>
  <c r="AMK71" i="1" a="1"/>
  <c r="OP72" i="1" a="1"/>
  <c r="AKI71" i="1" a="1"/>
  <c r="ALJ73" i="1" a="1"/>
  <c r="ADV74" i="1" a="1"/>
  <c r="UX73" i="1" a="1"/>
  <c r="OP23" i="1" a="1"/>
  <c r="AML62" i="1" a="1"/>
  <c r="OP71" i="1" a="1"/>
  <c r="XJ78" i="1" a="1"/>
  <c r="PC74" i="1" a="1"/>
  <c r="AMH74" i="1" a="1"/>
  <c r="AEL76" i="1" a="1"/>
  <c r="OJ23" i="1" a="1"/>
  <c r="XI18" i="1" a="1"/>
  <c r="AMG71" i="1" a="1"/>
  <c r="PA78" i="1" a="1"/>
  <c r="AFB71" i="1" a="1"/>
  <c r="OS17" i="1" a="1"/>
  <c r="OM73" i="1" a="1"/>
  <c r="AMS23" i="1" a="1"/>
  <c r="PI14" i="1" a="1"/>
  <c r="AEW75" i="1" a="1"/>
  <c r="PA11" i="1" a="1"/>
  <c r="SA23" i="1" a="1"/>
  <c r="WG62" i="1" a="1"/>
  <c r="PD20" i="1" a="1"/>
  <c r="OH23" i="1" a="1"/>
  <c r="PI73" i="1" a="1"/>
  <c r="ALX78" i="1" a="1"/>
  <c r="RG74" i="1" a="1"/>
  <c r="AEB10" i="1" a="1"/>
  <c r="SA71" i="1" a="1"/>
  <c r="XF71" i="1" a="1"/>
  <c r="AMK23" i="1" a="1"/>
  <c r="AEJ77" i="1" a="1"/>
  <c r="PD74" i="1" a="1"/>
  <c r="ND23" i="1" a="1"/>
  <c r="PB78" i="1" a="1"/>
  <c r="AKH76" i="1" a="1"/>
  <c r="AFG71" i="1" a="1"/>
  <c r="WI14" i="1" a="1"/>
  <c r="OU74" i="1" a="1"/>
  <c r="XL78" i="1" a="1"/>
  <c r="AEF73" i="1" a="1"/>
  <c r="AEL77" i="1" a="1"/>
  <c r="OQ78" i="1" a="1"/>
  <c r="PF74" i="1" a="1"/>
  <c r="XA71" i="1" a="1"/>
  <c r="WV74" i="1" a="1"/>
  <c r="ACN62" i="1" a="1"/>
  <c r="PP18" i="1" a="1"/>
  <c r="OY18" i="1" a="1"/>
  <c r="AMJ13" i="1" a="1"/>
  <c r="AMS72" i="1" a="1"/>
  <c r="ADV13" i="1" a="1"/>
  <c r="VZ62" i="1" a="1"/>
  <c r="OO14" i="1" a="1"/>
  <c r="YN62" i="1" a="1"/>
  <c r="AKG63" i="1" a="1"/>
  <c r="AFD11" i="1" a="1"/>
  <c r="AGD75" i="1" a="1"/>
  <c r="ALO77" i="1" a="1"/>
  <c r="ACO13" i="1" a="1"/>
  <c r="ADY23" i="1" a="1"/>
  <c r="XK71" i="1" a="1"/>
  <c r="PP60" i="1" a="1"/>
  <c r="ALN11" i="1" a="1"/>
  <c r="AMJ11" i="1" a="1"/>
  <c r="OK18" i="1" a="1"/>
  <c r="WU62" i="1" a="1"/>
  <c r="AMF63" i="1" a="1"/>
  <c r="XE71" i="1" a="1"/>
  <c r="AGF74" i="1" a="1"/>
  <c r="ALI73" i="1" a="1"/>
  <c r="PP62" i="1" a="1"/>
  <c r="PC73" i="1" a="1"/>
  <c r="AMW23" i="1" a="1"/>
  <c r="WC18" i="1" a="1"/>
  <c r="AED73" i="1" a="1"/>
  <c r="XE76" i="1" a="1"/>
  <c r="AGQ76" i="1" a="1"/>
  <c r="AEL58" i="1" a="1"/>
  <c r="ALL74" i="1" a="1"/>
  <c r="AMO62" i="1" a="1"/>
  <c r="AMD62" i="1" a="1"/>
  <c r="QT73" i="1" a="1"/>
  <c r="AEW77" i="1" a="1"/>
  <c r="XL58" i="1" a="1"/>
  <c r="PJ74" i="1" a="1"/>
  <c r="ALZ62" i="1" a="1"/>
  <c r="AMP74" i="1" a="1"/>
  <c r="AEU77" i="1" a="1"/>
  <c r="OO74" i="1" a="1"/>
  <c r="XC23" i="1" a="1"/>
  <c r="PQ11" i="1" a="1"/>
  <c r="AMI78" i="1" a="1"/>
  <c r="UU71" i="1" a="1"/>
  <c r="XC74" i="1" a="1"/>
  <c r="XN78" i="1" a="1"/>
  <c r="ALK74" i="1" a="1"/>
  <c r="UW10" i="1" a="1"/>
  <c r="PC71" i="1" a="1"/>
  <c r="PM74" i="1" a="1"/>
  <c r="AEA71" i="1" a="1"/>
  <c r="AEU11" i="1" a="1"/>
  <c r="ALQ11" i="1" a="1"/>
  <c r="AML77" i="1" a="1"/>
  <c r="PW13" i="1" a="1"/>
  <c r="XI62" i="1" a="1"/>
  <c r="NE14" i="1" a="1"/>
  <c r="AMM10" i="1" a="1"/>
  <c r="AEL11" i="1" a="1"/>
  <c r="OP60" i="1" a="1"/>
  <c r="OW75" i="1" a="1"/>
  <c r="ALK77" i="1" a="1"/>
  <c r="WJ14" i="1" a="1"/>
  <c r="WR62" i="1" a="1"/>
  <c r="WT74" i="1" a="1"/>
  <c r="OY76" i="1" a="1"/>
  <c r="ALV10" i="1" a="1"/>
  <c r="AFF17" i="1" a="1"/>
  <c r="PN20" i="1" a="1"/>
  <c r="AKH13" i="1" a="1"/>
  <c r="ACN73" i="1" a="1"/>
  <c r="OU76" i="1" a="1"/>
  <c r="XB74" i="1" a="1"/>
  <c r="AFD23" i="1" a="1"/>
  <c r="OJ73" i="1" a="1"/>
  <c r="AMC23" i="1" a="1"/>
  <c r="WJ73" i="1" a="1"/>
  <c r="AER71" i="1" a="1"/>
  <c r="OT73" i="1" a="1"/>
  <c r="ALY13" i="1" a="1"/>
  <c r="SA78" i="1" a="1"/>
  <c r="AFF76" i="1" a="1"/>
  <c r="AMV62" i="1" a="1"/>
  <c r="RH74" i="1" a="1"/>
  <c r="AGE11" i="1" a="1"/>
  <c r="AEI74" i="1" a="1"/>
  <c r="WO74" i="1" a="1"/>
  <c r="XN76" i="1" a="1"/>
  <c r="ALO62" i="1" a="1"/>
  <c r="ACP58" i="1" a="1"/>
  <c r="WC58" i="1" a="1"/>
  <c r="AHK58" i="1" a="1"/>
  <c r="ADS74" i="1" a="1"/>
  <c r="UV77" i="1" a="1"/>
  <c r="PG17" i="1" a="1"/>
  <c r="PT20" i="1" a="1"/>
  <c r="AEH14" i="1" a="1"/>
  <c r="WS77" i="1" a="1"/>
  <c r="AFC72" i="1" a="1"/>
  <c r="ALI75" i="1" a="1"/>
  <c r="AMK62" i="1" a="1"/>
  <c r="OH71" i="1" a="1"/>
  <c r="PH62" i="1" a="1"/>
  <c r="AEV18" i="1" a="1"/>
  <c r="OO58" i="1" a="1"/>
  <c r="WS76" i="1" a="1"/>
  <c r="AED76" i="1" a="1"/>
  <c r="OK73" i="1" a="1"/>
  <c r="VY58" i="1" a="1"/>
  <c r="AEQ57" i="1" a="1"/>
  <c r="ALQ72" i="1" a="1"/>
  <c r="SA13" i="1" a="1"/>
  <c r="PC72" i="1" a="1"/>
  <c r="AGD14" i="1" a="1"/>
  <c r="PJ57" i="1" a="1"/>
  <c r="AKE60" i="1" a="1"/>
  <c r="XL57" i="1" a="1"/>
  <c r="WL20" i="1" a="1"/>
  <c r="AEL14" i="1" a="1"/>
  <c r="PB18" i="1" a="1"/>
  <c r="OZ10" i="1" a="1"/>
  <c r="OJ13" i="1" a="1"/>
  <c r="WG77" i="1" a="1"/>
  <c r="ALW63" i="1" a="1"/>
  <c r="PW72" i="1" a="1"/>
  <c r="OU62" i="1" a="1"/>
  <c r="OR58" i="1" a="1"/>
  <c r="WI57" i="1" a="1"/>
  <c r="OV59" i="1" a="1"/>
  <c r="ADW75" i="1" a="1"/>
  <c r="AER60" i="1" a="1"/>
  <c r="AFG10" i="1" a="1"/>
  <c r="AEV57" i="1" a="1"/>
  <c r="AEH60" i="1" a="1"/>
  <c r="OY10" i="1" a="1"/>
  <c r="ALI72" i="1" a="1"/>
  <c r="AEM14" i="1" a="1"/>
  <c r="ALR11" i="1" a="1"/>
  <c r="AMS17" i="1" a="1"/>
  <c r="XI73" i="1" a="1"/>
  <c r="AEX73" i="1" a="1"/>
  <c r="ANX78" i="1" a="1"/>
  <c r="PP73" i="1" a="1"/>
  <c r="ALR62" i="1" a="1"/>
  <c r="AMB71" i="1" a="1"/>
  <c r="WP73" i="1" a="1"/>
  <c r="WK17" i="1" a="1"/>
  <c r="NF14" i="1" a="1"/>
  <c r="PH18" i="1" a="1"/>
  <c r="AMV74" i="1" a="1"/>
  <c r="PU20" i="1" a="1"/>
  <c r="AEW11" i="1" a="1"/>
  <c r="WJ62" i="1" a="1"/>
  <c r="ACQ72" i="1" a="1"/>
  <c r="PG18" i="1" a="1"/>
  <c r="ON11" i="1" a="1"/>
  <c r="OO23" i="1" a="1"/>
  <c r="AMF23" i="1" a="1"/>
  <c r="WK74" i="1" a="1"/>
  <c r="ANX57" i="1" a="1"/>
  <c r="PD75" i="1" a="1"/>
  <c r="XH18" i="1" a="1"/>
  <c r="XN10" i="1" a="1"/>
  <c r="ANU73" i="1" a="1"/>
  <c r="ACO76" i="1" a="1"/>
  <c r="OS58" i="1" a="1"/>
  <c r="WS72" i="1" a="1"/>
  <c r="XI57" i="1" a="1"/>
  <c r="AEQ60" i="1" a="1"/>
  <c r="ADZ17" i="1" a="1"/>
  <c r="PE20" i="1" a="1"/>
  <c r="ANX11" i="1" a="1"/>
  <c r="AEV20" i="1" a="1"/>
  <c r="UW18" i="1" a="1"/>
  <c r="WO17" i="1" a="1"/>
  <c r="PB20" i="1" a="1"/>
  <c r="OK75" i="1" a="1"/>
  <c r="OJ18" i="1" a="1"/>
  <c r="AEM17" i="1" a="1"/>
  <c r="PL10" i="1" a="1"/>
  <c r="WI20" i="1" a="1"/>
  <c r="AGQ11" i="1" a="1"/>
  <c r="WY75" i="1" a="1"/>
  <c r="AED57" i="1" a="1"/>
  <c r="ALJ77" i="1" a="1"/>
  <c r="AML58" i="1" a="1"/>
  <c r="OH72" i="1" a="1"/>
  <c r="WI10" i="1" a="1"/>
  <c r="AEX14" i="1" a="1"/>
  <c r="AGF11" i="1" a="1"/>
  <c r="WD10" i="1" a="1"/>
  <c r="AES18" i="1" a="1"/>
  <c r="AGD58" i="1" a="1"/>
  <c r="AGR72" i="1" a="1"/>
  <c r="WR77" i="1" a="1"/>
  <c r="PO77" i="1" a="1"/>
  <c r="XJ14" i="1" a="1"/>
  <c r="AGF72" i="1" a="1"/>
  <c r="AMN57" i="1" a="1"/>
  <c r="ALL57" i="1" a="1"/>
  <c r="OO18" i="1" a="1"/>
  <c r="AFD17" i="1" a="1"/>
  <c r="WU10" i="1" a="1"/>
  <c r="AMI71" i="1" a="1"/>
  <c r="AEA11" i="1" a="1"/>
  <c r="AEJ78" i="1" a="1"/>
  <c r="PB76" i="1" a="1"/>
  <c r="AEC62" i="1" a="1"/>
  <c r="WB77" i="1" a="1"/>
  <c r="PN76" i="1" a="1"/>
  <c r="NG77" i="1" a="1"/>
  <c r="ADW72" i="1" a="1"/>
  <c r="ADX11" i="1" a="1"/>
  <c r="AEY73" i="1" a="1"/>
  <c r="XL75" i="1" a="1"/>
  <c r="AMW77" i="1" a="1"/>
  <c r="PQ72" i="1" a="1"/>
  <c r="PD59" i="1" a="1"/>
  <c r="ALK75" i="1" a="1"/>
  <c r="XC10" i="1" a="1"/>
  <c r="XH74" i="1" a="1"/>
  <c r="RG78" i="1" a="1"/>
  <c r="AHK74" i="1" a="1"/>
  <c r="AFA60" i="1" a="1"/>
  <c r="OZ59" i="1" a="1"/>
  <c r="AHK10" i="1" a="1"/>
  <c r="UW71" i="1" a="1"/>
  <c r="PH78" i="1" a="1"/>
  <c r="ANX73" i="1" a="1"/>
  <c r="AMV60" i="1" a="1"/>
  <c r="AFG58" i="1" a="1"/>
  <c r="ALR63" i="1" a="1"/>
  <c r="PJ13" i="1" a="1"/>
  <c r="QW58" i="1" a="1"/>
  <c r="XC75" i="1" a="1"/>
  <c r="AMX77" i="1" a="1"/>
  <c r="AEY11" i="1" a="1"/>
  <c r="AGG57" i="1" a="1"/>
  <c r="AKE72" i="1" a="1"/>
  <c r="ALI13" i="1" a="1"/>
  <c r="RG17" i="1" a="1"/>
  <c r="AMR11" i="1" a="1"/>
  <c r="QV58" i="1" a="1"/>
  <c r="PD62" i="1" a="1"/>
  <c r="ACO11" i="1" a="1"/>
  <c r="AGD60" i="1" a="1"/>
  <c r="AHK60" i="1" a="1"/>
  <c r="AGR10" i="1" a="1"/>
  <c r="AEB57" i="1" a="1"/>
  <c r="AFB72" i="1" a="1"/>
  <c r="AMS60" i="1" a="1"/>
  <c r="ALS18" i="1" a="1"/>
  <c r="ADW13" i="1" a="1"/>
  <c r="NE72" i="1" a="1"/>
  <c r="AGQ13" i="1" a="1"/>
  <c r="ADX58" i="1" a="1"/>
  <c r="WH77" i="1" a="1"/>
  <c r="UV58" i="1" a="1"/>
  <c r="QT57" i="1" a="1"/>
  <c r="AMQ63" i="1" a="1"/>
  <c r="OQ58" i="1" a="1"/>
  <c r="ADU75" i="1" a="1"/>
  <c r="ADU60" i="1" a="1"/>
  <c r="AFC10" i="1" a="1"/>
  <c r="AEI60" i="1" a="1"/>
  <c r="WQ14" i="1" a="1"/>
  <c r="WZ71" i="1" a="1"/>
  <c r="AMA62" i="1" a="1"/>
  <c r="NG74" i="1" a="1"/>
  <c r="PO74" i="1" a="1"/>
  <c r="WI76" i="1" a="1"/>
  <c r="OP74" i="1" a="1"/>
  <c r="ACO71" i="1" a="1"/>
  <c r="RG76" i="1" a="1"/>
  <c r="ADX74" i="1" a="1"/>
  <c r="RH73" i="1" a="1"/>
  <c r="PV78" i="1" a="1"/>
  <c r="ON17" i="1" a="1"/>
  <c r="AEH75" i="1" a="1"/>
  <c r="PB75" i="1" a="1"/>
  <c r="ADS72" i="1" a="1"/>
  <c r="ALZ57" i="1" a="1"/>
  <c r="XL77" i="1" a="1"/>
  <c r="AEP17" i="1" a="1"/>
  <c r="AFB18" i="1" a="1"/>
  <c r="PN11" i="1" a="1"/>
  <c r="XB62" i="1" a="1"/>
  <c r="ALU63" i="1" a="1"/>
  <c r="NE60" i="1" a="1"/>
  <c r="AEA72" i="1" a="1"/>
  <c r="ADZ76" i="1" a="1"/>
  <c r="XH76" i="1" a="1"/>
  <c r="PT77" i="1" a="1"/>
  <c r="WB10" i="1" a="1"/>
  <c r="PU62" i="1" a="1"/>
  <c r="PD71" i="1" a="1"/>
  <c r="AEE62" i="1" a="1"/>
  <c r="QU71" i="1" a="1"/>
  <c r="PW20" i="1" a="1"/>
  <c r="ALQ62" i="1" a="1"/>
  <c r="PO78" i="1" a="1"/>
  <c r="AFB62" i="1" a="1"/>
  <c r="OU78" i="1" a="1"/>
  <c r="XN23" i="1" a="1"/>
  <c r="WN74" i="1" a="1"/>
  <c r="WN20" i="1" a="1"/>
  <c r="PN74" i="1" a="1"/>
  <c r="PD76" i="1" a="1"/>
  <c r="WW57" i="1" a="1"/>
  <c r="ALU62" i="1" a="1"/>
  <c r="ALV73" i="1" a="1"/>
  <c r="PS23" i="1" a="1"/>
  <c r="AFD78" i="1" a="1"/>
  <c r="NE23" i="1" a="1"/>
  <c r="YM73" i="1" a="1"/>
  <c r="PD60" i="1" a="1"/>
  <c r="PA10" i="1" a="1"/>
  <c r="OR77" i="1" a="1"/>
  <c r="XE78" i="1" a="1"/>
  <c r="NH11" i="1" a="1"/>
  <c r="WC62" i="1" a="1"/>
  <c r="NE58" i="1" a="1"/>
  <c r="WZ58" i="1" a="1"/>
  <c r="NG62" i="1" a="1"/>
  <c r="ADR20" i="1" a="1"/>
  <c r="AMN74" i="1" a="1"/>
  <c r="ALX74" i="1" a="1"/>
  <c r="RH71" i="1" a="1"/>
  <c r="ADX14" i="1" a="1"/>
  <c r="XC58" i="1" a="1"/>
  <c r="ADZ13" i="1" a="1"/>
  <c r="AEY23" i="1" a="1"/>
  <c r="ALZ78" i="1" a="1"/>
  <c r="QV74" i="1" a="1"/>
  <c r="PT10" i="1" a="1"/>
  <c r="WW62" i="1" a="1"/>
  <c r="ADZ11" i="1" a="1"/>
  <c r="PK11" i="1" a="1"/>
  <c r="AES60" i="1" a="1"/>
  <c r="AMP58" i="1" a="1"/>
  <c r="PR14" i="1" a="1"/>
  <c r="UU14" i="1" a="1"/>
  <c r="AER58" i="1" a="1"/>
  <c r="WH62" i="1" a="1"/>
  <c r="UX72" i="1" a="1"/>
  <c r="XA57" i="1" a="1"/>
  <c r="OU10" i="1" a="1"/>
  <c r="XB77" i="1" a="1"/>
  <c r="ALJ60" i="1" a="1"/>
  <c r="ALU57" i="1" a="1"/>
  <c r="AMD11" i="1" a="1"/>
  <c r="ALJ18" i="1" a="1"/>
  <c r="AEB13" i="1" a="1"/>
  <c r="AET58" i="1" a="1"/>
  <c r="AEE20" i="1" a="1"/>
  <c r="OJ60" i="1" a="1"/>
  <c r="AMC10" i="1" a="1"/>
  <c r="ALN10" i="1" a="1"/>
  <c r="WG20" i="1" a="1"/>
  <c r="AMR10" i="1" a="1"/>
  <c r="ANX75" i="1" a="1"/>
  <c r="OT58" i="1" a="1"/>
  <c r="ADW62" i="1" a="1"/>
  <c r="ALY58" i="1" a="1"/>
  <c r="SA18" i="1" a="1"/>
  <c r="OP76" i="1" a="1"/>
  <c r="PI23" i="1" a="1"/>
  <c r="ALP11" i="1" a="1"/>
  <c r="ALS62" i="1" a="1"/>
  <c r="AMJ74" i="1" a="1"/>
  <c r="OL74" i="1" a="1"/>
  <c r="AGR73" i="1" a="1"/>
  <c r="ALY10" i="1" a="1"/>
  <c r="AEX62" i="1" a="1"/>
  <c r="AEK20" i="1" a="1"/>
  <c r="ALS71" i="1" a="1"/>
  <c r="AFE72" i="1" a="1"/>
  <c r="WJ72" i="1" a="1"/>
  <c r="ALY57" i="1" a="1"/>
  <c r="ON58" i="1" a="1"/>
  <c r="AEK72" i="1" a="1"/>
  <c r="AMK75" i="1" a="1"/>
  <c r="ACN60" i="1" a="1"/>
  <c r="AMT23" i="1" a="1"/>
  <c r="ALZ73" i="1" a="1"/>
  <c r="WG75" i="1" a="1"/>
  <c r="PO58" i="1" a="1"/>
  <c r="PR59" i="1" a="1"/>
  <c r="ACR73" i="1" a="1"/>
  <c r="AGG73" i="1" a="1"/>
  <c r="PE76" i="1" a="1"/>
  <c r="PJ58" i="1" a="1"/>
  <c r="ALO72" i="1" a="1"/>
  <c r="ADZ58" i="1" a="1"/>
  <c r="XK62" i="1" a="1"/>
  <c r="ADY14" i="1" a="1"/>
  <c r="OH62" i="1" a="1"/>
  <c r="AEY78" i="1" a="1"/>
  <c r="ON13" i="1" a="1"/>
  <c r="WK20" i="1" a="1"/>
  <c r="ACP57" i="1" a="1"/>
  <c r="NF18" i="1" a="1"/>
  <c r="ANU13" i="1" a="1"/>
  <c r="PT11" i="1" a="1"/>
  <c r="OQ20" i="1" a="1"/>
  <c r="ALP75" i="1" a="1"/>
  <c r="OO13" i="1" a="1"/>
  <c r="AMO75" i="1" a="1"/>
  <c r="XE75" i="1" a="1"/>
  <c r="OT59" i="1" a="1"/>
  <c r="WW20" i="1" a="1"/>
  <c r="OW13" i="1" a="1"/>
  <c r="AMB17" i="1" a="1"/>
  <c r="AMV58" i="1" a="1"/>
  <c r="WE58" i="1" a="1"/>
  <c r="OY13" i="1" a="1"/>
  <c r="ALN58" i="1" a="1"/>
  <c r="PO18" i="1" a="1"/>
  <c r="ALU77" i="1" a="1"/>
  <c r="OY59" i="1" a="1"/>
  <c r="XH10" i="1" a="1"/>
  <c r="ALN60" i="1" a="1"/>
  <c r="ACR14" i="1" a="1"/>
  <c r="AEP20" i="1" a="1"/>
  <c r="WM75" i="1" a="1"/>
  <c r="PV59" i="1" a="1"/>
  <c r="XH75" i="1" a="1"/>
  <c r="AMB77" i="1" a="1"/>
  <c r="WX73" i="1" a="1"/>
  <c r="AEK73" i="1" a="1"/>
  <c r="AEV77" i="1" a="1"/>
  <c r="AEQ71" i="1" a="1"/>
  <c r="ALN62" i="1" a="1"/>
  <c r="NF73" i="1" a="1"/>
  <c r="AER76" i="1" a="1"/>
  <c r="AFA71" i="1" a="1"/>
  <c r="PT59" i="1" a="1"/>
  <c r="OY62" i="1" a="1"/>
  <c r="OQ60" i="1" a="1"/>
  <c r="WS78" i="1" a="1"/>
  <c r="ADR78" i="1" a="1"/>
  <c r="WG17" i="1" a="1"/>
  <c r="AFC60" i="1" a="1"/>
  <c r="OV13" i="1" a="1"/>
  <c r="AEP75" i="1" a="1"/>
  <c r="ALU17" i="1" a="1"/>
  <c r="AMB78" i="1" a="1"/>
  <c r="PV74" i="1" a="1"/>
  <c r="AEQ73" i="1" a="1"/>
  <c r="OK10" i="1" a="1"/>
  <c r="YL62" i="1" a="1"/>
  <c r="AMC63" i="1" a="1"/>
  <c r="OK74" i="1" a="1"/>
  <c r="ACO73" i="1" a="1"/>
  <c r="AMW10" i="1" a="1"/>
  <c r="OK20" i="1" a="1"/>
  <c r="ON75" i="1" a="1"/>
  <c r="AMW57" i="1" a="1"/>
  <c r="AFC57" i="1" a="1"/>
  <c r="AMC18" i="1" a="1"/>
  <c r="OQ13" i="1" a="1"/>
  <c r="XN62" i="1" a="1"/>
  <c r="ALK63" i="1" a="1"/>
  <c r="PF10" i="1" a="1"/>
  <c r="AEV62" i="1" a="1"/>
  <c r="UX20" i="1" a="1"/>
  <c r="ADU57" i="1" a="1"/>
  <c r="AFC18" i="1" a="1"/>
  <c r="OR14" i="1" a="1"/>
  <c r="RH13" i="1" a="1"/>
  <c r="ADR14" i="1" a="1"/>
  <c r="OS59" i="1" a="1"/>
  <c r="AMK10" i="1" a="1"/>
  <c r="XJ77" i="1" a="1"/>
  <c r="WK77" i="1" a="1"/>
  <c r="UU62" i="1" a="1"/>
  <c r="AMW13" i="1" a="1"/>
  <c r="AMQ11" i="1" a="1"/>
  <c r="AMG11" i="1" a="1"/>
  <c r="ACP62" i="1" a="1"/>
  <c r="ALZ11" i="1" a="1"/>
  <c r="OW10" i="1" a="1"/>
  <c r="WZ77" i="1" a="1"/>
  <c r="RH75" i="1" a="1"/>
  <c r="PM14" i="1" a="1"/>
  <c r="AMA57" i="1" a="1"/>
  <c r="PI58" i="1" a="1"/>
  <c r="NF57" i="1" a="1"/>
  <c r="OM57" i="1" a="1"/>
  <c r="ACO10" i="1" a="1"/>
  <c r="ADV60" i="1" a="1"/>
  <c r="AFD10" i="1" a="1"/>
  <c r="VY23" i="1" a="1"/>
  <c r="AED23" i="1" a="1"/>
  <c r="YN78" i="1" a="1"/>
  <c r="ALN73" i="1" a="1"/>
  <c r="WH73" i="1" a="1"/>
  <c r="ADU73" i="1" a="1"/>
  <c r="AML23" i="1" a="1"/>
  <c r="AMU72" i="1" a="1"/>
  <c r="WA17" i="1" a="1"/>
  <c r="PM57" i="1" a="1"/>
  <c r="XH17" i="1" a="1"/>
  <c r="AGE10" i="1" a="1"/>
  <c r="WX57" i="1" a="1"/>
  <c r="YK14" i="1" a="1"/>
  <c r="OU13" i="1" a="1"/>
  <c r="AEV58" i="1" a="1"/>
  <c r="OQ14" i="1" a="1"/>
  <c r="AMU10" i="1" a="1"/>
  <c r="XH78" i="1" a="1"/>
  <c r="AGE71" i="1" a="1"/>
  <c r="ANX10" i="1" a="1"/>
  <c r="AMN75" i="1" a="1"/>
  <c r="PT72" i="1" a="1"/>
  <c r="VZ23" i="1" a="1"/>
  <c r="YK71" i="1" a="1"/>
  <c r="AKH10" i="1" a="1"/>
  <c r="PB14" i="1" a="1"/>
  <c r="AES62" i="1" a="1"/>
  <c r="ALV72" i="1" a="1"/>
  <c r="XF72" i="1" a="1"/>
  <c r="AEB72" i="1" a="1"/>
  <c r="AEW17" i="1" a="1"/>
  <c r="WP78" i="1" a="1"/>
  <c r="AEP76" i="1" a="1"/>
  <c r="AMM62" i="1" a="1"/>
  <c r="XF23" i="1" a="1"/>
  <c r="ACP71" i="1" a="1"/>
  <c r="ALW73" i="1" a="1"/>
  <c r="OM76" i="1" a="1"/>
  <c r="PO73" i="1" a="1"/>
  <c r="ADR57" i="1" a="1"/>
  <c r="ALU13" i="1" a="1"/>
  <c r="UX57" i="1" a="1"/>
  <c r="XA18" i="1" a="1"/>
  <c r="WJ17" i="1" a="1"/>
  <c r="OY77" i="1" a="1"/>
  <c r="ALW58" i="1" a="1"/>
  <c r="WU72" i="1" a="1"/>
  <c r="ON57" i="1" a="1"/>
  <c r="XM17" i="1" a="1"/>
  <c r="PB17" i="1" a="1"/>
  <c r="WZ18" i="1" a="1"/>
  <c r="ANU62" i="1" a="1"/>
  <c r="AMQ73" i="1" a="1"/>
  <c r="WA73" i="1" a="1"/>
  <c r="AKH60" i="1" a="1"/>
  <c r="AMS58" i="1" a="1"/>
  <c r="AMJ18" i="1" a="1"/>
  <c r="AMT71" i="1" a="1"/>
  <c r="VZ73" i="1" a="1"/>
  <c r="XG73" i="1" a="1"/>
  <c r="XI75" i="1" a="1"/>
  <c r="WD71" i="1" a="1"/>
  <c r="AMH78" i="1" a="1"/>
  <c r="WE17" i="1" a="1"/>
  <c r="WI23" i="1" a="1"/>
  <c r="AEG23" i="1" a="1"/>
  <c r="ANV74" i="1" a="1"/>
  <c r="AMG63" i="1" a="1"/>
  <c r="OK71" i="1" a="1"/>
  <c r="QW23" i="1" a="1"/>
  <c r="NH71" i="1" a="1"/>
  <c r="AEZ76" i="1" a="1"/>
  <c r="ADS23" i="1" a="1"/>
  <c r="WF71" i="1" a="1"/>
  <c r="ANU74" i="1" a="1"/>
  <c r="ALM76" i="1" a="1"/>
  <c r="PT78" i="1" a="1"/>
  <c r="ANV57" i="1" a="1"/>
  <c r="AMK18" i="1" a="1"/>
  <c r="OV57" i="1" a="1"/>
  <c r="AFG62" i="1" a="1"/>
  <c r="AMX63" i="1" a="1"/>
  <c r="XB72" i="1" a="1"/>
  <c r="ALM18" i="1" a="1"/>
  <c r="AEW78" i="1" a="1"/>
  <c r="AMX60" i="1" a="1"/>
  <c r="PQ10" i="1" a="1"/>
  <c r="AMO76" i="1" a="1"/>
  <c r="PG71" i="1" a="1"/>
  <c r="QW78" i="1" a="1"/>
  <c r="NH13" i="1" a="1"/>
  <c r="ADY62" i="1" a="1"/>
  <c r="WW77" i="1" a="1"/>
  <c r="AML73" i="1" a="1"/>
  <c r="WA76" i="1" a="1"/>
  <c r="AEF62" i="1" a="1"/>
  <c r="OY72" i="1" a="1"/>
  <c r="WH17" i="1" a="1"/>
  <c r="AMF57" i="1" a="1"/>
  <c r="OR13" i="1" a="1"/>
  <c r="XL62" i="1" a="1"/>
  <c r="QV13" i="1" a="1"/>
  <c r="OL75" i="1" a="1"/>
  <c r="PP20" i="1" a="1"/>
  <c r="NG75" i="1" a="1"/>
  <c r="QU62" i="1" a="1"/>
  <c r="AMW72" i="1" a="1"/>
  <c r="WD77" i="1" a="1"/>
  <c r="AEB62" i="1" a="1"/>
  <c r="OY17" i="1" a="1"/>
  <c r="AEU72" i="1" a="1"/>
  <c r="PD57" i="1" a="1"/>
  <c r="PE13" i="1" a="1"/>
  <c r="ANW11" i="1" a="1"/>
  <c r="ANW75" i="1" a="1"/>
  <c r="AMD75" i="1" a="1"/>
  <c r="ALR13" i="1" a="1"/>
  <c r="AEQ18" i="1" a="1"/>
  <c r="WG72" i="1" a="1"/>
  <c r="ON77" i="1" a="1"/>
  <c r="RH72" i="1" a="1"/>
  <c r="OZ77" i="1" a="1"/>
  <c r="ACO17" i="1" a="1"/>
  <c r="WN75" i="1" a="1"/>
  <c r="NH58" i="1" a="1"/>
  <c r="PR60" i="1" a="1"/>
  <c r="ADZ71" i="1" a="1"/>
  <c r="AMX71" i="1" a="1"/>
  <c r="WV76" i="1" a="1"/>
  <c r="RH76" i="1" a="1"/>
  <c r="AMD76" i="1" a="1"/>
  <c r="WE71" i="1" a="1"/>
  <c r="VZ78" i="1" a="1"/>
  <c r="PI71" i="1" a="1"/>
  <c r="YM18" i="1" a="1"/>
  <c r="OI18" i="1" a="1"/>
  <c r="WG14" i="1" a="1"/>
  <c r="AEU73" i="1" a="1"/>
  <c r="NE17" i="1" a="1"/>
  <c r="QU60" i="1" a="1"/>
  <c r="SA59" i="1" a="1"/>
  <c r="AGD13" i="1" a="1"/>
  <c r="ADU20" i="1" a="1"/>
  <c r="AEX75" i="1" a="1"/>
  <c r="RH78" i="1" a="1"/>
  <c r="AFF74" i="1" a="1"/>
  <c r="AMP62" i="1" a="1"/>
  <c r="AMK58" i="1" a="1"/>
  <c r="AEG13" i="1" a="1"/>
  <c r="UX62" i="1" a="1"/>
  <c r="AER73" i="1" a="1"/>
  <c r="AEY76" i="1" a="1"/>
  <c r="OH73" i="1" a="1"/>
  <c r="AFF11" i="1" a="1"/>
  <c r="ADV11" i="1" a="1"/>
  <c r="QV75" i="1" a="1"/>
  <c r="AMO11" i="1" a="1"/>
  <c r="ALX58" i="1" a="1"/>
  <c r="ANW18" i="1" a="1"/>
  <c r="AFD58" i="1" a="1"/>
  <c r="PI13" i="1" a="1"/>
  <c r="XA62" i="1" a="1"/>
  <c r="OQ10" i="1" a="1"/>
  <c r="WU57" i="1" a="1"/>
  <c r="UY20" i="1" a="1"/>
  <c r="ALV13" i="1" a="1"/>
  <c r="AED58" i="1" a="1"/>
  <c r="PM13" i="1" a="1"/>
  <c r="OW72" i="1" a="1"/>
  <c r="AGQ14" i="1" a="1"/>
  <c r="OK14" i="1" a="1"/>
  <c r="PP13" i="1" a="1"/>
  <c r="AGR62" i="1" a="1"/>
  <c r="AMJ17" i="1" a="1"/>
  <c r="PV18" i="1" a="1"/>
  <c r="QV11" i="1" a="1"/>
  <c r="OS11" i="1" a="1"/>
  <c r="ALN72" i="1" a="1"/>
  <c r="QU11" i="1" a="1"/>
  <c r="AEA75" i="1" a="1"/>
  <c r="AHK13" i="1" a="1"/>
  <c r="AEH72" i="1" a="1"/>
  <c r="AEM58" i="1" a="1"/>
  <c r="VY18" i="1" a="1"/>
  <c r="AEJ14" i="1" a="1"/>
  <c r="WK72" i="1" a="1"/>
  <c r="QW77" i="1" a="1"/>
  <c r="PV72" i="1" a="1"/>
  <c r="XN75" i="1" a="1"/>
  <c r="YM20" i="1" a="1"/>
  <c r="AMM78" i="1" a="1"/>
  <c r="AMO73" i="1" a="1"/>
  <c r="ALP23" i="1" a="1"/>
  <c r="WD23" i="1" a="1"/>
  <c r="PA76" i="1" a="1"/>
  <c r="PQ23" i="1" a="1"/>
  <c r="AFC77" i="1" a="1"/>
  <c r="WN72" i="1" a="1"/>
  <c r="ALW75" i="1" a="1"/>
  <c r="OP11" i="1" a="1"/>
  <c r="PL75" i="1" a="1"/>
  <c r="ADT20" i="1" a="1"/>
  <c r="WP18" i="1" a="1"/>
  <c r="AKI77" i="1" a="1"/>
  <c r="ANX63" i="1" a="1"/>
  <c r="NG14" i="1" a="1"/>
  <c r="PD13" i="1" a="1"/>
  <c r="PE14" i="1" a="1"/>
  <c r="XA76" i="1" a="1"/>
  <c r="AEF74" i="1" a="1"/>
  <c r="PU60" i="1" a="1"/>
  <c r="ADV72" i="1" a="1"/>
  <c r="AMQ57" i="1" a="1"/>
  <c r="OZ78" i="1" a="1"/>
  <c r="AEJ74" i="1" a="1"/>
  <c r="AKG23" i="1" a="1"/>
  <c r="WR18" i="1" a="1"/>
  <c r="PA18" i="1" a="1"/>
  <c r="AMQ13" i="1" a="1"/>
  <c r="AFF14" i="1" a="1"/>
  <c r="AMH10" i="1" a="1"/>
  <c r="WA77" i="1" a="1"/>
  <c r="NG11" i="1" a="1"/>
  <c r="WY17" i="1" a="1"/>
  <c r="QU72" i="1" a="1"/>
  <c r="PN72" i="1" a="1"/>
  <c r="OP13" i="1" a="1"/>
  <c r="ALT63" i="1" a="1"/>
  <c r="AMN60" i="1" a="1"/>
  <c r="AFF57" i="1" a="1"/>
  <c r="WX10" i="1" a="1"/>
  <c r="AMA13" i="1" a="1"/>
  <c r="AMJ77" i="1" a="1"/>
  <c r="AKH75" i="1" a="1"/>
  <c r="XM72" i="1" a="1"/>
  <c r="PI77" i="1" a="1"/>
  <c r="PI62" i="1" a="1"/>
  <c r="PG77" i="1" a="1"/>
  <c r="WS20" i="1" a="1"/>
  <c r="ADX78" i="1" a="1"/>
  <c r="ACO75" i="1" a="1"/>
  <c r="PC62" i="1" a="1"/>
  <c r="ADS78" i="1" a="1"/>
  <c r="QW14" i="1" a="1"/>
  <c r="ACN72" i="1" a="1"/>
  <c r="AES13" i="1" a="1"/>
  <c r="ALT13" i="1" a="1"/>
  <c r="WX17" i="1" a="1"/>
  <c r="AER13" i="1" a="1"/>
  <c r="OI14" i="1" a="1"/>
  <c r="OH10" i="1" a="1"/>
  <c r="OM59" i="1" a="1"/>
  <c r="AKE10" i="1" a="1"/>
  <c r="WF77" i="1" a="1"/>
  <c r="WW74" i="1" a="1"/>
  <c r="ALT78" i="1" a="1"/>
  <c r="AMK76" i="1" a="1"/>
  <c r="AEM71" i="1" a="1"/>
  <c r="AEN77" i="1" a="1"/>
  <c r="AFE76" i="1" a="1"/>
  <c r="ADR76" i="1" a="1"/>
  <c r="AML17" i="1" a="1"/>
  <c r="AEN18" i="1" a="1"/>
  <c r="AEK78" i="1" a="1"/>
  <c r="ALM71" i="1" a="1"/>
  <c r="ALL18" i="1" a="1"/>
  <c r="AEZ14" i="1" a="1"/>
  <c r="OR75" i="1" a="1"/>
  <c r="AEI17" i="1" a="1"/>
  <c r="NF17" i="1" a="1"/>
  <c r="XE77" i="1" a="1"/>
  <c r="OY60" i="1" a="1"/>
  <c r="AEU71" i="1" a="1"/>
  <c r="AEK77" i="1" a="1"/>
  <c r="WR10" i="1" a="1"/>
  <c r="WR17" i="1" a="1"/>
  <c r="ADW14" i="1" a="1"/>
  <c r="AFB74" i="1" a="1"/>
  <c r="AFA77" i="1" a="1"/>
  <c r="AMT57" i="1" a="1"/>
  <c r="OS13" i="1" a="1"/>
  <c r="AEP11" i="1" a="1"/>
  <c r="AMN72" i="1" a="1"/>
  <c r="XN58" i="1" a="1"/>
  <c r="WS73" i="1" a="1"/>
  <c r="OQ74" i="1" a="1"/>
  <c r="WA74" i="1" a="1"/>
  <c r="PC60" i="1" a="1"/>
  <c r="OJ78" i="1" a="1"/>
  <c r="WG71" i="1" a="1"/>
  <c r="AMQ78" i="1" a="1"/>
  <c r="ALY71" i="1" a="1"/>
  <c r="UU18" i="1" a="1"/>
  <c r="ADT17" i="1" a="1"/>
  <c r="AFB13" i="1" a="1"/>
  <c r="XB20" i="1" a="1"/>
  <c r="ACN10" i="1" a="1"/>
  <c r="ALW60" i="1" a="1"/>
  <c r="OQ57" i="1" a="1"/>
  <c r="WZ14" i="1" a="1"/>
  <c r="OM14" i="1" a="1"/>
  <c r="AEB17" i="1" a="1"/>
  <c r="RG77" i="1" a="1"/>
  <c r="PU59" i="1" a="1"/>
  <c r="ALW74" i="1" a="1"/>
  <c r="XJ76" i="1" a="1"/>
  <c r="ALU71" i="1" a="1"/>
  <c r="PW14" i="1" a="1"/>
  <c r="RG13" i="1" a="1"/>
  <c r="ALT10" i="1" a="1"/>
  <c r="ADW73" i="1" a="1"/>
  <c r="WR71" i="1" a="1"/>
  <c r="ALX76" i="1" a="1"/>
  <c r="WK73" i="1" a="1"/>
  <c r="ACR76" i="1" a="1"/>
  <c r="WQ23" i="1" a="1"/>
  <c r="AEA23" i="1" a="1"/>
  <c r="QT76" i="1" a="1"/>
  <c r="PT71" i="1" a="1"/>
  <c r="AKF10" i="1" a="1"/>
  <c r="XG78" i="1" a="1"/>
  <c r="QU78" i="1" a="1"/>
  <c r="ALM23" i="1" a="1"/>
  <c r="VZ71" i="1" a="1"/>
  <c r="PQ76" i="1" a="1"/>
  <c r="AFB23" i="1" a="1"/>
  <c r="AKF71" i="1" a="1"/>
  <c r="ALU78" i="1" a="1"/>
  <c r="ALJ74" i="1" a="1"/>
  <c r="WY62" i="1" a="1"/>
  <c r="AGF57" i="1" a="1"/>
  <c r="OL14" i="1" a="1"/>
  <c r="AFF10" i="1" a="1"/>
  <c r="ANV10" i="1" a="1"/>
  <c r="PQ13" i="1" a="1"/>
  <c r="AEH58" i="1" a="1"/>
  <c r="XD77" i="1" a="1"/>
  <c r="OW60" i="1" a="1"/>
  <c r="AMJ10" i="1" a="1"/>
  <c r="OQ18" i="1" a="1"/>
  <c r="ANW23" i="1" a="1"/>
  <c r="ALL62" i="1" a="1"/>
  <c r="OH20" i="1" a="1"/>
  <c r="WW10" i="1" a="1"/>
  <c r="PH75" i="1" a="1"/>
  <c r="AMG10" i="1" a="1"/>
  <c r="OR71" i="1" a="1"/>
  <c r="ACP77" i="1" a="1"/>
  <c r="AFD18" i="1" a="1"/>
  <c r="NH17" i="1" a="1"/>
  <c r="UY72" i="1" a="1"/>
  <c r="WZ75" i="1" a="1"/>
  <c r="AMU11" i="1" a="1"/>
  <c r="ALV75" i="1" a="1"/>
  <c r="PF11" i="1" a="1"/>
  <c r="OJ77" i="1" a="1"/>
  <c r="PJ18" i="1" a="1"/>
  <c r="WS18" i="1" a="1"/>
  <c r="AFA62" i="1" a="1"/>
  <c r="AEG11" i="1" a="1"/>
  <c r="AEL13" i="1" a="1"/>
  <c r="NF10" i="1" a="1"/>
  <c r="AKE58" i="1" a="1"/>
  <c r="OI62" i="1" a="1"/>
  <c r="OV10" i="1" a="1"/>
  <c r="OV62" i="1" a="1"/>
  <c r="AEO78" i="1" a="1"/>
  <c r="AEU75" i="1" a="1"/>
  <c r="AFB75" i="1" a="1"/>
  <c r="AGF75" i="1" a="1"/>
  <c r="WW58" i="1" a="1"/>
  <c r="AME72" i="1" a="1"/>
  <c r="AGR58" i="1" a="1"/>
  <c r="AEE60" i="1" a="1"/>
  <c r="WC14" i="1" a="1"/>
  <c r="UV57" i="1" a="1"/>
  <c r="OT13" i="1" a="1"/>
  <c r="PN14" i="1" a="1"/>
  <c r="XC17" i="1" a="1"/>
  <c r="AEW73" i="1" a="1"/>
  <c r="WY23" i="1" a="1"/>
  <c r="WO73" i="1" a="1"/>
  <c r="OL71" i="1" a="1"/>
  <c r="AKH71" i="1" a="1"/>
  <c r="NE73" i="1" a="1"/>
  <c r="AME62" i="1" a="1"/>
  <c r="AHK11" i="1" a="1"/>
  <c r="ALO63" i="1" a="1"/>
  <c r="PF75" i="1" a="1"/>
  <c r="PT14" i="1" a="1"/>
  <c r="OY11" i="1" a="1"/>
  <c r="XF62" i="1" a="1"/>
  <c r="PN57" i="1" a="1"/>
  <c r="PF13" i="1" a="1"/>
  <c r="ACQ58" i="1" a="1"/>
  <c r="PD10" i="1" a="1"/>
  <c r="NG10" i="1" a="1"/>
  <c r="WU23" i="1" a="1"/>
  <c r="ALP74" i="1" a="1"/>
  <c r="AES11" i="1" a="1"/>
  <c r="XM77" i="1" a="1"/>
  <c r="OZ20" i="1" a="1"/>
  <c r="AEJ72" i="1" a="1"/>
  <c r="ADZ74" i="1" a="1"/>
  <c r="WT78" i="1" a="1"/>
  <c r="PV75" i="1" a="1"/>
  <c r="ADS14" i="1" a="1"/>
  <c r="QU18" i="1" a="1"/>
  <c r="QW72" i="1" a="1"/>
  <c r="PS10" i="1" a="1"/>
  <c r="ND13" i="1" a="1"/>
  <c r="YN77" i="1" a="1"/>
  <c r="XG18" i="1" a="1"/>
  <c r="AKI57" i="1" a="1"/>
  <c r="AMH57" i="1" a="1"/>
  <c r="AMJ60" i="1" a="1"/>
  <c r="AEY58" i="1" a="1"/>
  <c r="PJ77" i="1" a="1"/>
  <c r="AFB14" i="1" a="1"/>
  <c r="AEP72" i="1" a="1"/>
  <c r="OX20" i="1" a="1"/>
  <c r="AEN78" i="1" a="1"/>
  <c r="PU18" i="1" a="1"/>
  <c r="OQ17" i="1" a="1"/>
  <c r="AES17" i="1" a="1"/>
  <c r="YN10" i="1" a="1"/>
  <c r="ACQ17" i="1" a="1"/>
  <c r="XC57" i="1" a="1"/>
  <c r="OU57" i="1" a="1"/>
  <c r="AER20" i="1" a="1"/>
  <c r="AEW14" i="1" a="1"/>
  <c r="AGE20" i="1" a="1"/>
  <c r="AMD17" i="1" a="1"/>
  <c r="PV13" i="1" a="1"/>
  <c r="AEE10" i="1" a="1"/>
  <c r="OR18" i="1" a="1"/>
  <c r="OH14" i="1" a="1"/>
  <c r="WY58" i="1" a="1"/>
  <c r="AMM72" i="1" a="1"/>
  <c r="WE14" i="1" a="1"/>
  <c r="AEL18" i="1" a="1"/>
  <c r="OS10" i="1" a="1"/>
  <c r="ALL63" i="1" a="1"/>
  <c r="OH78" i="1" a="1"/>
  <c r="ALX73" i="1" a="1"/>
  <c r="AMU23" i="1" a="1"/>
  <c r="AER23" i="1" a="1"/>
  <c r="PU76" i="1" a="1"/>
  <c r="QU23" i="1" a="1"/>
  <c r="XC77" i="1" a="1"/>
  <c r="AEU17" i="1" a="1"/>
  <c r="PI72" i="1" a="1"/>
  <c r="ALJ13" i="1" a="1"/>
  <c r="WT75" i="1" a="1"/>
  <c r="PB62" i="1" a="1"/>
  <c r="YM17" i="1" a="1"/>
  <c r="ACQ11" i="1" a="1"/>
  <c r="ANV75" i="1" a="1"/>
  <c r="AMK13" i="1" a="1"/>
  <c r="AMS11" i="1" a="1"/>
  <c r="AET73" i="1" a="1"/>
  <c r="AEP77" i="1" a="1"/>
  <c r="ANV71" i="1" a="1"/>
  <c r="ALT75" i="1" a="1"/>
  <c r="WJ18" i="1" a="1"/>
  <c r="YL17" i="1" a="1"/>
  <c r="ANW58" i="1" a="1"/>
  <c r="OV23" i="1" a="1"/>
  <c r="ADY73" i="1" a="1"/>
  <c r="OO59" i="1" a="1"/>
  <c r="PQ57" i="1" a="1"/>
  <c r="WY20" i="1" a="1"/>
  <c r="ALJ58" i="1" a="1"/>
  <c r="PG20" i="1" a="1"/>
  <c r="AMV57" i="1" a="1"/>
  <c r="OO17" i="1" a="1"/>
  <c r="ADT78" i="1" a="1"/>
  <c r="WS17" i="1" a="1"/>
  <c r="AGG18" i="1" a="1"/>
  <c r="ALO57" i="1" a="1"/>
  <c r="XF18" i="1" a="1"/>
  <c r="AEV72" i="1" a="1"/>
  <c r="AFA14" i="1" a="1"/>
  <c r="OM10" i="1" a="1"/>
  <c r="ANX17" i="1" a="1"/>
  <c r="OV20" i="1" a="1"/>
  <c r="AEF75" i="1" a="1"/>
  <c r="ALR72" i="1" a="1"/>
  <c r="WO14" i="1" a="1"/>
  <c r="AEE58" i="1" a="1"/>
  <c r="PA77" i="1" a="1"/>
  <c r="QU58" i="1" a="1"/>
  <c r="PE58" i="1" a="1"/>
  <c r="OT75" i="1" a="1"/>
  <c r="PF58" i="1" a="1"/>
  <c r="AGE72" i="1" a="1"/>
  <c r="PR20" i="1" a="1"/>
  <c r="YK10" i="1" a="1"/>
  <c r="AMO57" i="1" a="1"/>
  <c r="ACR20" i="1" a="1"/>
  <c r="AGD11" i="1" a="1"/>
  <c r="ALU75" i="1" a="1"/>
  <c r="PL72" i="1" a="1"/>
  <c r="PU72" i="1" a="1"/>
  <c r="AMU75" i="1" a="1"/>
  <c r="WE72" i="1" a="1"/>
  <c r="PL77" i="1" a="1"/>
  <c r="OJ75" i="1" a="1"/>
  <c r="AGE17" i="1" a="1"/>
  <c r="AEG58" i="1" a="1"/>
  <c r="AEB74" i="1" a="1"/>
  <c r="AMP13" i="1" a="1"/>
  <c r="PA74" i="1" a="1"/>
  <c r="AEM23" i="1" a="1"/>
  <c r="UV14" i="1" a="1"/>
  <c r="AFA20" i="1" a="1"/>
  <c r="PQ60" i="1" a="1"/>
  <c r="NG23" i="1" a="1"/>
  <c r="ND10" i="1" a="1"/>
  <c r="YM14" i="1" a="1"/>
  <c r="AEN14" i="1" a="1"/>
  <c r="AEO10" i="1" a="1"/>
  <c r="XA10" i="1" a="1"/>
  <c r="PV77" i="1" a="1"/>
  <c r="AEI71" i="1" a="1"/>
  <c r="PL76" i="1" a="1"/>
  <c r="OT78" i="1" a="1"/>
  <c r="ALT58" i="1" a="1"/>
  <c r="ADZ10" i="1" a="1"/>
  <c r="WJ58" i="1" a="1"/>
  <c r="ACR71" i="1" a="1"/>
  <c r="OS78" i="1" a="1"/>
  <c r="AEG71" i="1" a="1"/>
  <c r="ACP23" i="1" a="1"/>
  <c r="YL77" i="1" a="1"/>
  <c r="ADT77" i="1" a="1"/>
  <c r="AGQ62" i="1" a="1"/>
  <c r="VZ18" i="1" a="1"/>
  <c r="OJ20" i="1" a="1"/>
  <c r="NG18" i="1" a="1"/>
  <c r="PE17" i="1" a="1"/>
  <c r="ALJ57" i="1" a="1"/>
  <c r="ACO72" i="1" a="1"/>
  <c r="AGR14" i="1" a="1"/>
  <c r="WJ10" i="1" a="1"/>
  <c r="ADZ20" i="1" a="1"/>
  <c r="WW75" i="1" a="1"/>
  <c r="AEB18" i="1" a="1"/>
  <c r="WJ75" i="1" a="1"/>
  <c r="OK59" i="1" a="1"/>
  <c r="OR10" i="1" a="1"/>
  <c r="PO14" i="1" a="1"/>
  <c r="OT62" i="1" a="1"/>
  <c r="ALZ75" i="1" a="1"/>
  <c r="AMT58" i="1" a="1"/>
  <c r="PP17" i="1" a="1"/>
  <c r="SA58" i="1" a="1"/>
  <c r="YL57" i="1" a="1"/>
  <c r="VZ57" i="1" a="1"/>
  <c r="OI58" i="1" a="1"/>
  <c r="AEV75" i="1" a="1"/>
  <c r="AEG60" i="1" a="1"/>
  <c r="AEK10" i="1" a="1"/>
  <c r="OP57" i="1" a="1"/>
  <c r="AEC17" i="1" a="1"/>
  <c r="WX20" i="1" a="1"/>
  <c r="AEN17" i="1" a="1"/>
  <c r="RH57" i="1" a="1"/>
  <c r="AMG13" i="1" a="1"/>
  <c r="AER75" i="1" a="1"/>
  <c r="XI17" i="1" a="1"/>
  <c r="AFE18" i="1" a="1"/>
  <c r="PP57" i="1" a="1"/>
  <c r="ANU77" i="1" a="1"/>
  <c r="XK72" i="1" a="1"/>
  <c r="PW77" i="1" a="1"/>
  <c r="WQ75" i="1" a="1"/>
  <c r="AMC17" i="1" a="1"/>
  <c r="XB10" i="1" a="1"/>
  <c r="PQ62" i="1" a="1"/>
  <c r="OJ59" i="1" a="1"/>
  <c r="ON18" i="1" a="1"/>
  <c r="AFC13" i="1" a="1"/>
  <c r="AEJ13" i="1" a="1"/>
  <c r="OQ62" i="1" a="1"/>
  <c r="AEK14" i="1" a="1"/>
  <c r="ADS60" i="1" a="1"/>
  <c r="ALI60" i="1" a="1"/>
  <c r="OP58" i="1" a="1"/>
  <c r="AER62" i="1" a="1"/>
  <c r="AEA57" i="1" a="1"/>
  <c r="AMM60" i="1" a="1"/>
  <c r="PR10" i="1" a="1"/>
  <c r="AGD72" i="1" a="1"/>
  <c r="AMR77" i="1" a="1"/>
  <c r="OT10" i="1" a="1"/>
  <c r="AFE11" i="1" a="1"/>
  <c r="ALN57" i="1" a="1"/>
  <c r="XA72" i="1" a="1"/>
  <c r="AEY10" i="1" a="1"/>
  <c r="WE10" i="1" a="1"/>
  <c r="AFC20" i="1" a="1"/>
  <c r="AFA58" i="1" a="1"/>
  <c r="ALM58" i="1" a="1"/>
  <c r="WN71" i="1" a="1"/>
  <c r="PG62" i="1" a="1"/>
  <c r="AMI75" i="1" a="1"/>
  <c r="OK13" i="1" a="1"/>
  <c r="ACN17" i="1" a="1"/>
  <c r="AEQ20" i="1" a="1"/>
  <c r="ANW77" i="1" a="1"/>
  <c r="QV18" i="1" a="1"/>
  <c r="AKG17" i="1" a="1"/>
  <c r="AES57" i="1" a="1"/>
  <c r="AMX75" i="1" a="1"/>
  <c r="ADS13" i="1" a="1"/>
  <c r="NF72" i="1" a="1"/>
  <c r="OO60" i="1" a="1"/>
  <c r="ALO75" i="1" a="1"/>
  <c r="PF72" i="1" a="1"/>
  <c r="UX17" i="1" a="1"/>
  <c r="WV62" i="1" a="1"/>
  <c r="ALW13" i="1" a="1"/>
  <c r="PQ20" i="1" a="1"/>
  <c r="PV58" i="1" a="1"/>
  <c r="ADX13" i="1" a="1"/>
  <c r="AME57" i="1" a="1"/>
  <c r="UX18" i="1" a="1"/>
  <c r="ALQ13" i="1" a="1"/>
  <c r="AEQ72" i="1" a="1"/>
  <c r="WS10" i="1" a="1"/>
  <c r="ACQ14" i="1" a="1"/>
  <c r="ACO14" i="1" a="1"/>
  <c r="XE18" i="1" a="1"/>
  <c r="AEU14" i="1" a="1"/>
  <c r="XM75" i="1" a="1"/>
  <c r="ADX57" i="1" a="1"/>
  <c r="AEX17" i="1" a="1"/>
  <c r="ALZ60" i="1" a="1"/>
  <c r="AFG17" i="1" a="1"/>
  <c r="WD62" i="1" a="1"/>
  <c r="OX10" i="1" a="1"/>
  <c r="AML11" i="1" a="1"/>
  <c r="XE72" i="1" a="1"/>
  <c r="ANU75" i="1" a="1"/>
  <c r="PV60" i="1" a="1"/>
  <c r="ALQ75" i="1" a="1"/>
  <c r="PL62" i="1" a="1"/>
  <c r="AGG75" i="1" a="1"/>
  <c r="WA18" i="1" a="1"/>
  <c r="ALQ57" i="1" a="1"/>
  <c r="AEU58" i="1" a="1"/>
  <c r="AED62" i="1" a="1"/>
  <c r="AMP63" i="1" a="1"/>
  <c r="AFC17" i="1" a="1"/>
  <c r="WA62" i="1" a="1"/>
  <c r="ADU11" i="1" a="1"/>
  <c r="ALW57" i="1" a="1"/>
  <c r="AMI13" i="1" a="1"/>
  <c r="AHK78" i="1" a="1"/>
  <c r="WI72" i="1" a="1"/>
  <c r="XD18" i="1" a="1"/>
  <c r="AEF78" i="1" a="1"/>
  <c r="AMP60" i="1" a="1"/>
  <c r="XJ18" i="1" a="1"/>
  <c r="OZ17" i="1" a="1"/>
  <c r="XF58" i="1" a="1"/>
  <c r="ADY13" i="1" a="1"/>
  <c r="AEP10" i="1" a="1"/>
  <c r="AML57" i="1" a="1"/>
  <c r="AEM18" i="1" a="1"/>
  <c r="AEH20" i="1" a="1"/>
  <c r="AMS57" i="1" a="1"/>
  <c r="AMG57" i="1" a="1"/>
  <c r="RH17" i="1" a="1"/>
  <c r="YL18" i="1" a="1"/>
  <c r="PO59" i="1" a="1"/>
  <c r="AMU58" i="1" a="1"/>
  <c r="WY10" i="1" a="1"/>
  <c r="AMH17" i="1" a="1"/>
  <c r="WK58" i="1" a="1"/>
  <c r="YK20" i="1" a="1"/>
  <c r="AMG17" i="1" a="1"/>
  <c r="AMI58" i="1" a="1"/>
  <c r="AMR63" i="1" a="1"/>
  <c r="OU11" i="1" a="1"/>
  <c r="AMR18" i="1" a="1"/>
  <c r="AEJ20" i="1" a="1"/>
  <c r="PO13" i="1" a="1"/>
  <c r="XD57" i="1" a="1"/>
  <c r="AFD60" i="1" a="1"/>
  <c r="AEX10" i="1" a="1"/>
  <c r="AEU57" i="1" a="1"/>
  <c r="ADU10" i="1" a="1"/>
  <c r="AMH60" i="1" a="1"/>
  <c r="AKH18" i="1" a="1"/>
  <c r="RG14" i="1" a="1"/>
  <c r="AEX57" i="1" a="1"/>
  <c r="ALW10" i="1" a="1"/>
  <c r="AFG72" i="1" a="1"/>
  <c r="AEC13" i="1" a="1"/>
  <c r="ANW63" i="1" a="1"/>
  <c r="SA62" i="1" a="1"/>
  <c r="ADT58" i="1" a="1"/>
  <c r="AEZ57" i="1" a="1"/>
  <c r="AEY60" i="1" a="1"/>
  <c r="ALT77" i="1" a="1"/>
  <c r="VY62" i="1" a="1"/>
  <c r="WT14" i="1" a="1"/>
  <c r="ACO57" i="1" a="1"/>
  <c r="ALY17" i="1" a="1"/>
  <c r="AGQ58" i="1" a="1"/>
  <c r="AMU17" i="1" a="1"/>
  <c r="ALP13" i="1" a="1"/>
  <c r="ALT60" i="1" a="1"/>
  <c r="WS57" i="1" a="1"/>
  <c r="ACR75" i="1" a="1"/>
  <c r="WT17" i="1" a="1"/>
  <c r="AMS75" i="1" a="1"/>
  <c r="ADY72" i="1" a="1"/>
  <c r="WL72" i="1" a="1"/>
  <c r="WT20" i="1" a="1"/>
  <c r="AMA17" i="1" a="1"/>
  <c r="AKE75" i="1" a="1"/>
  <c r="WZ62" i="1" a="1"/>
  <c r="WD20" i="1" a="1"/>
  <c r="AEE72" i="1" a="1"/>
  <c r="ADS17" i="1" a="1"/>
  <c r="NF77" i="1" a="1"/>
  <c r="AKE77" i="1" a="1"/>
  <c r="AMB57" i="1" a="1"/>
  <c r="AFD14" i="1" a="1"/>
  <c r="AGF13" i="1" a="1"/>
  <c r="AMF11" i="1" a="1"/>
  <c r="OT20" i="1" a="1"/>
  <c r="ANV58" i="1" a="1"/>
  <c r="WY72" i="1" a="1"/>
  <c r="WO62" i="1" a="1"/>
  <c r="WC75" i="1" a="1"/>
  <c r="ALM72" i="1" a="1"/>
  <c r="AEK75" i="1" a="1"/>
  <c r="OM13" i="1" a="1"/>
  <c r="PP72" i="1" a="1"/>
  <c r="AEC18" i="1" a="1"/>
  <c r="YM62" i="1" a="1"/>
  <c r="AEM10" i="1" a="1"/>
  <c r="AMN18" i="1" a="1"/>
  <c r="AMF75" i="1" a="1"/>
  <c r="OM58" i="1" a="1"/>
  <c r="PO11" i="1" a="1"/>
  <c r="AER18" i="1" a="1"/>
  <c r="NG59" i="1" a="1"/>
  <c r="ALX75" i="1" a="1"/>
  <c r="AEA20" i="1" a="1"/>
  <c r="ADY78" i="1" a="1"/>
  <c r="ADY75" i="1" a="1"/>
  <c r="AFC62" i="1" a="1"/>
  <c r="ALN63" i="1" a="1"/>
  <c r="AGR13" i="1" a="1"/>
  <c r="WP77" i="1" a="1"/>
  <c r="PI20" i="1" a="1"/>
  <c r="ADU17" i="1" a="1"/>
  <c r="XG14" i="1" a="1"/>
  <c r="AMC77" i="1" a="1"/>
  <c r="AEU10" i="1" a="1"/>
  <c r="AMT75" i="1" a="1"/>
  <c r="PA57" i="1" a="1"/>
  <c r="AEW20" i="1" a="1"/>
  <c r="AET18" i="1" a="1"/>
  <c r="ALT11" i="1" a="1"/>
  <c r="AGG20" i="1" a="1"/>
  <c r="PO72" i="1" a="1"/>
  <c r="AKF11" i="1" a="1"/>
  <c r="AEJ57" i="1" a="1"/>
  <c r="AFD75" i="1" a="1"/>
  <c r="AEP14" i="1" a="1"/>
  <c r="ON62" i="1" a="1"/>
  <c r="ALX17" i="1" a="1"/>
  <c r="PF62" i="1" a="1"/>
  <c r="AMD10" i="1" a="1"/>
  <c r="PJ59" i="1" a="1"/>
  <c r="AMH63" i="1" a="1"/>
  <c r="PT58" i="1" a="1"/>
  <c r="NF58" i="1" a="1"/>
  <c r="QW13" i="1" a="1"/>
  <c r="ND58" i="1" a="1"/>
  <c r="AGE60" i="1" a="1"/>
  <c r="QT14" i="1" a="1"/>
  <c r="WQ72" i="1" a="1"/>
  <c r="RH77" i="1" a="1"/>
  <c r="OX75" i="1" a="1"/>
  <c r="WM17" i="1" a="1"/>
  <c r="WG57" i="1" a="1"/>
  <c r="PD14" i="1" a="1"/>
  <c r="OO11" i="1" a="1"/>
  <c r="AEL17" i="1" a="1"/>
  <c r="OW57" i="1" a="1"/>
  <c r="ALY18" i="1" a="1"/>
  <c r="AMH58" i="1" a="1"/>
  <c r="OI72" i="1" a="1"/>
  <c r="PC58" i="1" a="1"/>
  <c r="AEF12" i="1" a="1"/>
  <c r="UV21" i="1" a="1"/>
  <c r="AMN19" i="1" a="1"/>
  <c r="YN63" i="1" a="1"/>
  <c r="AEI21" i="1" a="1"/>
  <c r="AMX12" i="1" a="1"/>
  <c r="RH61" i="1" a="1"/>
  <c r="RH15" i="1" a="1"/>
  <c r="AGD22" i="1" a="1"/>
  <c r="XG22" i="1" a="1"/>
  <c r="UU11" i="1" a="1"/>
  <c r="SA15" i="1" a="1"/>
  <c r="ALY22" i="1" a="1"/>
  <c r="WV11" i="1" a="1"/>
  <c r="AEW59" i="1" a="1"/>
  <c r="ALT56" i="1" a="1"/>
  <c r="OM62" i="1" a="1"/>
  <c r="AMD60" i="1" a="1"/>
  <c r="YK62" i="1" a="1"/>
  <c r="ALS58" i="1" a="1"/>
  <c r="WB72" i="1" a="1"/>
  <c r="PW18" i="1" a="1"/>
  <c r="WC20" i="1" a="1"/>
  <c r="WN14" i="1" a="1"/>
  <c r="AMT60" i="1" a="1"/>
  <c r="ADR13" i="1" a="1"/>
  <c r="ADR61" i="1" a="1"/>
  <c r="AFD13" i="1" a="1"/>
  <c r="ALL75" i="1" a="1"/>
  <c r="OX72" i="1" a="1"/>
  <c r="ANU11" i="1" a="1"/>
  <c r="AMX17" i="1" a="1"/>
  <c r="AMD72" i="1" a="1"/>
  <c r="AEI20" i="1" a="1"/>
  <c r="PV10" i="1" a="1"/>
  <c r="XK10" i="1" a="1"/>
  <c r="PQ17" i="1" a="1"/>
  <c r="PC57" i="1" a="1"/>
  <c r="PH10" i="1" a="1"/>
  <c r="PP14" i="1" a="1"/>
  <c r="AMK77" i="1" a="1"/>
  <c r="AMF58" i="1" a="1"/>
  <c r="PG14" i="1" a="1"/>
  <c r="AEI11" i="1" a="1"/>
  <c r="ALI58" i="1" a="1"/>
  <c r="ALP72" i="1" a="1"/>
  <c r="WM77" i="1" a="1"/>
  <c r="XC14" i="1" a="1"/>
  <c r="WC72" i="1" a="1"/>
  <c r="AEQ58" i="1" a="1"/>
  <c r="WB20" i="1" a="1"/>
  <c r="XE14" i="1" a="1"/>
  <c r="OW58" i="1" a="1"/>
  <c r="UW58" i="1" a="1"/>
  <c r="ANU18" i="1" a="1"/>
  <c r="SA60" i="1" a="1"/>
  <c r="AEG20" i="1" a="1"/>
  <c r="XF77" i="1" a="1"/>
  <c r="AMB58" i="1" a="1"/>
  <c r="QT60" i="1" a="1"/>
  <c r="NG60" i="1" a="1"/>
  <c r="XC18" i="1" a="1"/>
  <c r="WP58" i="1" a="1"/>
  <c r="PR11" i="1" a="1"/>
  <c r="AMB10" i="1" a="1"/>
  <c r="ALV11" i="1" a="1"/>
  <c r="NG57" i="1" a="1"/>
  <c r="ANV72" i="1" a="1"/>
  <c r="ACN20" i="1" a="1"/>
  <c r="AEL62" i="1" a="1"/>
  <c r="ALN21" i="1" a="1"/>
  <c r="AEB61" i="1" a="1"/>
  <c r="WV59" i="1" a="1"/>
  <c r="PN61" i="1" a="1"/>
  <c r="OW56" i="1" a="1"/>
  <c r="ALO61" i="1" a="1"/>
  <c r="AFA19" i="1" a="1"/>
  <c r="WH60" i="1" a="1"/>
  <c r="ALK19" i="1" a="1"/>
  <c r="WL63" i="1" a="1"/>
  <c r="WR55" i="1" a="1"/>
  <c r="AMB21" i="1" a="1"/>
  <c r="AEW16" i="1" a="1"/>
  <c r="XA22" i="1" a="1"/>
  <c r="WL21" i="1" a="1"/>
  <c r="ANV19" i="1" a="1"/>
  <c r="AMA72" i="1" a="1"/>
  <c r="WX77" i="1" a="1"/>
  <c r="PA62" i="1" a="1"/>
  <c r="AMA63" i="1" a="1"/>
  <c r="PA20" i="1" a="1"/>
  <c r="NF20" i="1" a="1"/>
  <c r="PJ75" i="1" a="1"/>
  <c r="ALS13" i="1" a="1"/>
  <c r="PP11" i="1" a="1"/>
  <c r="OR59" i="1" a="1"/>
  <c r="AET13" i="1" a="1"/>
  <c r="ADU18" i="1" a="1"/>
  <c r="OR57" i="1" a="1"/>
  <c r="OP17" i="1" a="1"/>
  <c r="ALM63" i="1" a="1"/>
  <c r="XD14" i="1" a="1"/>
  <c r="XK58" i="1" a="1"/>
  <c r="ADS62" i="1" a="1"/>
  <c r="PE18" i="1" a="1"/>
  <c r="VY17" i="1" a="1"/>
  <c r="ADS75" i="1" a="1"/>
  <c r="AGQ72" i="1" a="1"/>
  <c r="AKF60" i="1" a="1"/>
  <c r="WU17" i="1" a="1"/>
  <c r="ND20" i="1" a="1"/>
  <c r="PK72" i="1" a="1"/>
  <c r="AEO58" i="1" a="1"/>
  <c r="WX72" i="1" a="1"/>
  <c r="OV18" i="1" a="1"/>
  <c r="XA17" i="1" a="1"/>
  <c r="XB14" i="1" a="1"/>
  <c r="WT77" i="1" a="1"/>
  <c r="AFF58" i="1" a="1"/>
  <c r="AGD10" i="1" a="1"/>
  <c r="ALP77" i="1" a="1"/>
  <c r="AFA13" i="1" a="1"/>
  <c r="PI10" i="1" a="1"/>
  <c r="PB10" i="1" a="1"/>
  <c r="WN18" i="1" a="1"/>
  <c r="AMP11" i="1" a="1"/>
  <c r="AGE57" i="1" a="1"/>
  <c r="PH20" i="1" a="1"/>
  <c r="UV10" i="1" a="1"/>
  <c r="AEQ13" i="1" a="1"/>
  <c r="AEA13" i="1" a="1"/>
  <c r="ANW13" i="1" a="1"/>
  <c r="PH58" i="1" a="1"/>
  <c r="ALX63" i="1" a="1"/>
  <c r="WK62" i="1" a="1"/>
  <c r="PR72" i="1" a="1"/>
  <c r="OR62" i="1" a="1"/>
  <c r="AEY14" i="1" a="1"/>
  <c r="XA77" i="1" a="1"/>
  <c r="XK75" i="1" a="1"/>
  <c r="AMR22" i="1" a="1"/>
  <c r="WB22" i="1" a="1"/>
  <c r="WM56" i="1" a="1"/>
  <c r="AMF15" i="1" a="1"/>
  <c r="AEP12" i="1" a="1"/>
  <c r="NG21" i="1" a="1"/>
  <c r="XF55" i="1" a="1"/>
  <c r="PP22" i="1" a="1"/>
  <c r="AEA21" i="1" a="1"/>
  <c r="UY13" i="1" a="1"/>
  <c r="AMQ16" i="1" a="1"/>
  <c r="XE59" i="1" a="1"/>
  <c r="AMG56" i="1" a="1"/>
  <c r="XM57" i="1" a="1"/>
  <c r="NE75" i="1" a="1"/>
  <c r="PS13" i="1" a="1"/>
  <c r="ADS11" i="1" a="1"/>
  <c r="AMP57" i="1" a="1"/>
  <c r="SA10" i="1" a="1"/>
  <c r="NG20" i="1" a="1"/>
  <c r="AME13" i="1" a="1"/>
  <c r="ALS75" i="1" a="1"/>
  <c r="UW20" i="1" a="1"/>
  <c r="OR72" i="1" a="1"/>
  <c r="AFA17" i="1" a="1"/>
  <c r="AES72" i="1" a="1"/>
  <c r="YN72" i="1" a="1"/>
  <c r="PE10" i="1" a="1"/>
  <c r="ADZ60" i="1" a="1"/>
  <c r="AET14" i="1" a="1"/>
  <c r="ADV62" i="1" a="1"/>
  <c r="AEF17" i="1" a="1"/>
  <c r="NE57" i="1" a="1"/>
  <c r="AFF20" i="1" a="1"/>
  <c r="AKH72" i="1" a="1"/>
  <c r="ACR72" i="1" a="1"/>
  <c r="AFE60" i="1" a="1"/>
  <c r="AGF58" i="1" a="1"/>
  <c r="AMW18" i="1" a="1"/>
  <c r="ADV17" i="1" a="1"/>
  <c r="WD58" i="1" a="1"/>
  <c r="OZ60" i="1" a="1"/>
  <c r="OM60" i="1" a="1"/>
  <c r="PS77" i="1" a="1"/>
  <c r="XK57" i="1" a="1"/>
  <c r="AEA10" i="1" a="1"/>
  <c r="AEB14" i="1" a="1"/>
  <c r="ANV11" i="1" a="1"/>
  <c r="ADR11" i="1" a="1"/>
  <c r="ALR77" i="1" a="1"/>
  <c r="PE77" i="1" a="1"/>
  <c r="ACO78" i="1" a="1"/>
  <c r="WR58" i="1" a="1"/>
  <c r="AMK72" i="1" a="1"/>
  <c r="PI17" i="1" a="1"/>
  <c r="AMI60" i="1" a="1"/>
  <c r="AMF18" i="1" a="1"/>
  <c r="VY76" i="1" a="1"/>
  <c r="XD62" i="1" a="1"/>
  <c r="ANV77" i="1" a="1"/>
  <c r="ALQ17" i="1" a="1"/>
  <c r="UU23" i="1" a="1"/>
  <c r="PB71" i="1" a="1"/>
  <c r="OO20" i="1" a="1"/>
  <c r="AEY57" i="1" a="1"/>
  <c r="OQ11" i="1" a="1"/>
  <c r="NF11" i="1" a="1"/>
  <c r="PG72" i="1" a="1"/>
  <c r="PM59" i="1" a="1"/>
  <c r="AEI78" i="1" a="1"/>
  <c r="AMA58" i="1" a="1"/>
  <c r="UW72" i="1" a="1"/>
  <c r="PW60" i="1" a="1"/>
  <c r="AFA18" i="1" a="1"/>
  <c r="WM72" i="1" a="1"/>
  <c r="OS77" i="1" a="1"/>
  <c r="YM10" i="1" a="1"/>
  <c r="NF59" i="1" a="1"/>
  <c r="ALR10" i="1" a="1"/>
  <c r="AMH72" i="1" a="1"/>
  <c r="PJ11" i="1" a="1"/>
  <c r="ADW57" i="1" a="1"/>
  <c r="NH72" i="1" a="1"/>
  <c r="PC17" i="1" a="1"/>
  <c r="YK18" i="1" a="1"/>
  <c r="WL57" i="1" a="1"/>
  <c r="OY57" i="1" a="1"/>
  <c r="AGF20" i="1" a="1"/>
  <c r="OT18" i="1" a="1"/>
  <c r="OJ57" i="1" a="1"/>
  <c r="OU72" i="1" a="1"/>
  <c r="NH75" i="1" a="1"/>
  <c r="OJ17" i="1" a="1"/>
  <c r="AEA17" i="1" a="1"/>
  <c r="AMG77" i="1" a="1"/>
  <c r="PM75" i="1" a="1"/>
  <c r="OW62" i="1" a="1"/>
  <c r="WT62" i="1" a="1"/>
  <c r="WS62" i="1" a="1"/>
  <c r="AMM75" i="1" a="1"/>
  <c r="PK59" i="1" a="1"/>
  <c r="ALQ18" i="1" a="1"/>
  <c r="AMQ72" i="1" a="1"/>
  <c r="PS17" i="1" a="1"/>
  <c r="ANX77" i="1" a="1"/>
  <c r="OJ58" i="1" a="1"/>
  <c r="ALR75" i="1" a="1"/>
  <c r="WC77" i="1" a="1"/>
  <c r="WX14" i="1" a="1"/>
  <c r="WD18" i="1" a="1"/>
  <c r="ALU55" i="1" a="1"/>
  <c r="ACQ62" i="1" a="1"/>
  <c r="AEZ60" i="1" a="1"/>
  <c r="ALZ18" i="1" a="1"/>
  <c r="AGG62" i="1" a="1"/>
  <c r="OJ62" i="1" a="1"/>
  <c r="QV60" i="1" a="1"/>
  <c r="ADR72" i="1" a="1"/>
  <c r="WA10" i="1" a="1"/>
  <c r="ADV20" i="1" a="1"/>
  <c r="AEI14" i="1" a="1"/>
  <c r="AMR13" i="1" a="1"/>
  <c r="AFG14" i="1" a="1"/>
  <c r="PI59" i="1" a="1"/>
  <c r="SA14" i="1" a="1"/>
  <c r="OX18" i="1" a="1"/>
  <c r="WQ10" i="1" a="1"/>
  <c r="ALZ77" i="1" a="1"/>
  <c r="QU59" i="1" a="1"/>
  <c r="ALR58" i="1" a="1"/>
  <c r="WZ17" i="1" a="1"/>
  <c r="PM11" i="1" a="1"/>
  <c r="VZ10" i="1" a="1"/>
  <c r="OV60" i="1" a="1"/>
  <c r="WH14" i="1" a="1"/>
  <c r="UX75" i="1" a="1"/>
  <c r="ANW17" i="1" a="1"/>
  <c r="OI10" i="1" a="1"/>
  <c r="OO72" i="1" a="1"/>
  <c r="PN62" i="1" a="1"/>
  <c r="PK62" i="1" a="1"/>
  <c r="ADZ75" i="1" a="1"/>
  <c r="ACP60" i="1" a="1"/>
  <c r="XE57" i="1" a="1"/>
  <c r="ACR60" i="1" a="1"/>
  <c r="AGQ10" i="1" a="1"/>
  <c r="AKF13" i="1" a="1"/>
  <c r="NH14" i="1" a="1"/>
  <c r="AEV60" i="1" a="1"/>
  <c r="YL72" i="1" a="1"/>
  <c r="AKE18" i="1" a="1"/>
  <c r="ADS18" i="1" a="1"/>
  <c r="XF75" i="1" a="1"/>
  <c r="PB59" i="1" a="1"/>
  <c r="XL20" i="1" a="1"/>
  <c r="PL59" i="1" a="1"/>
  <c r="ALJ17" i="1" a="1"/>
  <c r="AMG58" i="1" a="1"/>
  <c r="VY14" i="1" a="1"/>
  <c r="AER78" i="1" a="1"/>
  <c r="OU60" i="1" a="1"/>
  <c r="AMD63" i="1" a="1"/>
  <c r="AMF77" i="1" a="1"/>
  <c r="ADR62" i="1" a="1"/>
  <c r="AEV17" i="1" a="1"/>
  <c r="AKE17" i="1" a="1"/>
  <c r="AHK57" i="1" a="1"/>
  <c r="PB57" i="1" a="1"/>
  <c r="ADV78" i="1" a="1"/>
  <c r="ALW72" i="1" a="1"/>
  <c r="NE77" i="1" a="1"/>
  <c r="QT59" i="1" a="1"/>
  <c r="ACO60" i="1" a="1"/>
  <c r="AMA60" i="1" a="1"/>
  <c r="AFD20" i="1" a="1"/>
  <c r="AMP18" i="1" a="1"/>
  <c r="AEI57" i="1" a="1"/>
  <c r="ALL13" i="1" a="1"/>
  <c r="AMB11" i="1" a="1"/>
  <c r="AEZ58" i="1" a="1"/>
  <c r="AFD72" i="1" a="1"/>
  <c r="ALV63" i="1" a="1"/>
  <c r="OK60" i="1" a="1"/>
  <c r="WO18" i="1" a="1"/>
  <c r="XM20" i="1" a="1"/>
  <c r="OW18" i="1" a="1"/>
  <c r="AMP72" i="1" a="1"/>
  <c r="WG18" i="1" a="1"/>
  <c r="WV77" i="1" a="1"/>
  <c r="AKF75" i="1" a="1"/>
  <c r="WE62" i="1" a="1"/>
  <c r="AGQ17" i="1" a="1"/>
  <c r="RG75" i="1" a="1"/>
  <c r="OZ72" i="1" a="1"/>
  <c r="ACR78" i="1" a="1"/>
  <c r="RG72" i="1" a="1"/>
  <c r="UY57" i="1" a="1"/>
  <c r="YL58" i="1" a="1"/>
  <c r="ADR17" i="1" a="1"/>
  <c r="ACO20" i="1" a="1"/>
  <c r="RH59" i="1" a="1"/>
  <c r="PQ18" i="1" a="1"/>
  <c r="NF13" i="1" a="1"/>
  <c r="ADW11" i="1" a="1"/>
  <c r="PB11" i="1" a="1"/>
  <c r="WJ20" i="1" a="1"/>
  <c r="ADW18" i="1" a="1"/>
  <c r="WH20" i="1" a="1"/>
  <c r="AFB78" i="1" a="1"/>
  <c r="AGE75" i="1" a="1"/>
  <c r="PU14" i="1" a="1"/>
  <c r="AEC72" i="1" a="1"/>
  <c r="AER72" i="1" a="1"/>
  <c r="XH62" i="1" a="1"/>
  <c r="WJ77" i="1" a="1"/>
  <c r="QW57" i="1" a="1"/>
  <c r="ACP20" i="1" a="1"/>
  <c r="ACQ20" i="1" a="1"/>
  <c r="XB58" i="1" a="1"/>
  <c r="ADV10" i="1" a="1"/>
  <c r="AKG77" i="1" a="1"/>
  <c r="AMV77" i="1" a="1"/>
  <c r="ADU58" i="1" a="1"/>
  <c r="AMO77" i="1" a="1"/>
  <c r="AMG75" i="1" a="1"/>
  <c r="AEF20" i="1" a="1"/>
  <c r="AFG57" i="1" a="1"/>
  <c r="ALM17" i="1" a="1"/>
  <c r="OX62" i="1" a="1"/>
  <c r="WD17" i="1" a="1"/>
  <c r="AMN77" i="1" a="1"/>
  <c r="AGQ18" i="1" a="1"/>
  <c r="VY20" i="1" a="1"/>
  <c r="AMD58" i="1" a="1"/>
  <c r="AMH18" i="1" a="1"/>
  <c r="YK57" i="1" a="1"/>
  <c r="AEG10" i="1" a="1"/>
  <c r="ALU60" i="1" a="1"/>
  <c r="AEZ62" i="1" a="1"/>
  <c r="ALJ11" i="1" a="1"/>
  <c r="AEF60" i="1" a="1"/>
  <c r="AMB72" i="1" a="1"/>
  <c r="WF58" i="1" a="1"/>
  <c r="WR72" i="1" a="1"/>
  <c r="ALV17" i="1" a="1"/>
  <c r="ADX10" i="1" a="1"/>
  <c r="ND77" i="1" a="1"/>
  <c r="WQ20" i="1" a="1"/>
  <c r="ALX11" i="1" a="1"/>
  <c r="AEL60" i="1" a="1"/>
  <c r="AEY18" i="1" a="1"/>
  <c r="PM77" i="1" a="1"/>
  <c r="ADY20" i="1" a="1"/>
  <c r="AMF17" i="1" a="1"/>
  <c r="OZ57" i="1" a="1"/>
  <c r="PN58" i="1" a="1"/>
  <c r="PG59" i="1" a="1"/>
  <c r="AMC58" i="1" a="1"/>
  <c r="AER14" i="1" a="1"/>
  <c r="YK75" i="1" a="1"/>
  <c r="WM20" i="1" a="1"/>
  <c r="PU11" i="1" a="1"/>
  <c r="UY62" i="1" a="1"/>
  <c r="AMK63" i="1" a="1"/>
  <c r="ADX60" i="1" a="1"/>
  <c r="AGE58" i="1" a="1"/>
  <c r="ALU18" i="1" a="1"/>
  <c r="AMR58" i="1" a="1"/>
  <c r="WX62" i="1" a="1"/>
  <c r="OI13" i="1" a="1"/>
  <c r="AHK75" i="1" a="1"/>
  <c r="VY77" i="1" a="1"/>
  <c r="QT75" i="1" a="1"/>
  <c r="PO62" i="1" a="1"/>
  <c r="AEL75" i="1" a="1"/>
  <c r="AFG60" i="1" a="1"/>
  <c r="AEA18" i="1" a="1"/>
  <c r="PE59" i="1" a="1"/>
  <c r="OX13" i="1" a="1"/>
  <c r="AFF60" i="1" a="1"/>
  <c r="PF14" i="1" a="1"/>
  <c r="ALN75" i="1" a="1"/>
  <c r="PQ58" i="1" a="1"/>
  <c r="XE58" i="1" a="1"/>
  <c r="AGE78" i="1" a="1"/>
  <c r="AEV14" i="1" a="1"/>
  <c r="ADZ57" i="1" a="1"/>
  <c r="XC62" i="1" a="1"/>
  <c r="ALO17" i="1" a="1"/>
  <c r="AEJ58" i="1" a="1"/>
  <c r="PK20" i="1" a="1"/>
  <c r="AFE17" i="1" a="1"/>
  <c r="AET20" i="1" a="1"/>
  <c r="OT17" i="1" a="1"/>
  <c r="PV14" i="1" a="1"/>
  <c r="AES75" i="1" a="1"/>
  <c r="AED20" i="1" a="1"/>
  <c r="AEO13" i="1" a="1"/>
  <c r="QV20" i="1" a="1"/>
  <c r="AMG72" i="1" a="1"/>
  <c r="AEN60" i="1" a="1"/>
  <c r="OJ10" i="1" a="1"/>
  <c r="PT18" i="1" a="1"/>
  <c r="AEO17" i="1" a="1"/>
  <c r="AEP18" i="1" a="1"/>
  <c r="WQ77" i="1" a="1"/>
  <c r="AKG11" i="1" a="1"/>
  <c r="ACP13" i="1" a="1"/>
  <c r="RG58" i="1" a="1"/>
  <c r="AMC60" i="1" a="1"/>
  <c r="AMH75" i="1" a="1"/>
  <c r="PS58" i="1" a="1"/>
  <c r="XD20" i="1" a="1"/>
  <c r="QU77" i="1" a="1"/>
  <c r="ADU13" i="1" a="1"/>
  <c r="UU20" i="1" a="1"/>
  <c r="AES78" i="1" a="1"/>
  <c r="ACN57" i="1" a="1"/>
  <c r="ADT13" i="1" a="1"/>
  <c r="AMM77" i="1" a="1"/>
  <c r="ADT60" i="1" a="1"/>
  <c r="ALN77" i="1" a="1"/>
  <c r="XG62" i="1" a="1"/>
  <c r="AEF57" i="1" a="1"/>
  <c r="PM18" i="1" a="1"/>
  <c r="ANX60" i="1" a="1"/>
  <c r="AEM20" i="1" a="1"/>
  <c r="WD12" i="1" a="1"/>
  <c r="PT63" i="1" a="1"/>
  <c r="AKI22" i="1" a="1"/>
  <c r="ANV16" i="1" a="1"/>
  <c r="AMG59" i="1" a="1"/>
  <c r="OP56" i="1" a="1"/>
  <c r="UU59" i="1" a="1"/>
  <c r="ACO16" i="1" a="1"/>
  <c r="WI55" i="1" a="1"/>
  <c r="OQ61" i="1" a="1"/>
  <c r="XH60" i="1" a="1"/>
  <c r="WY13" i="1" a="1"/>
  <c r="NE55" i="1" a="1"/>
  <c r="WN59" i="1" a="1"/>
  <c r="QU15" i="1" a="1"/>
  <c r="AMG22" i="1" a="1"/>
  <c r="AMG60" i="1" a="1"/>
  <c r="ON72" i="1" a="1"/>
  <c r="AEP60" i="1" a="1"/>
  <c r="WU58" i="1" a="1"/>
  <c r="PH77" i="1" a="1"/>
  <c r="AGF18" i="1" a="1"/>
  <c r="AEV11" i="1" a="1"/>
  <c r="QT20" i="1" a="1"/>
  <c r="PC18" i="1" a="1"/>
  <c r="AEW10" i="1" a="1"/>
  <c r="AFD57" i="1" a="1"/>
  <c r="AGG14" i="1" a="1"/>
  <c r="OI77" i="1" a="1"/>
  <c r="OH58" i="1" a="1"/>
  <c r="AES20" i="1" a="1"/>
  <c r="AEO11" i="1" a="1"/>
  <c r="AKE57" i="1" a="1"/>
  <c r="ALQ58" i="1" a="1"/>
  <c r="ALX77" i="1" a="1"/>
  <c r="OP14" i="1" a="1"/>
  <c r="ALJ63" i="1" a="1"/>
  <c r="PF57" i="1" a="1"/>
  <c r="AEK17" i="1" a="1"/>
  <c r="PB13" i="1" a="1"/>
  <c r="QU57" i="1" a="1"/>
  <c r="AMQ17" i="1" a="1"/>
  <c r="ALO18" i="1" a="1"/>
  <c r="PG60" i="1" a="1"/>
  <c r="WE75" i="1" a="1"/>
  <c r="ALZ58" i="1" a="1"/>
  <c r="OX14" i="1" a="1"/>
  <c r="PR58" i="1" a="1"/>
  <c r="OW77" i="1" a="1"/>
  <c r="XF14" i="1" a="1"/>
  <c r="AMV75" i="1" a="1"/>
  <c r="XG10" i="1" a="1"/>
  <c r="AEB78" i="1" a="1"/>
  <c r="AEY72" i="1" a="1"/>
  <c r="AEN13" i="1" a="1"/>
  <c r="OH60" i="1" a="1"/>
  <c r="AMX10" i="1" a="1"/>
  <c r="OH57" i="1" a="1"/>
  <c r="PW62" i="1" a="1"/>
  <c r="AMK11" i="1" a="1"/>
  <c r="AEW18" i="1" a="1"/>
  <c r="XF20" i="1" a="1"/>
  <c r="AEH57" i="1" a="1"/>
  <c r="OL72" i="1" a="1"/>
  <c r="OO77" i="1" a="1"/>
  <c r="AEH78" i="1" a="1"/>
  <c r="ND75" i="1" a="1"/>
  <c r="XI10" i="1" a="1"/>
  <c r="WV72" i="1" a="1"/>
  <c r="AEY17" i="1" a="1"/>
  <c r="RG56" i="1" a="1"/>
  <c r="AEU22" i="1" a="1"/>
  <c r="QT21" i="1" a="1"/>
  <c r="YM59" i="1" a="1"/>
  <c r="WI11" i="1" a="1"/>
  <c r="ADX61" i="1" a="1"/>
  <c r="ACP63" i="1" a="1"/>
  <c r="AMF55" i="1" a="1"/>
  <c r="WY15" i="1" a="1"/>
  <c r="AKG16" i="1" a="1"/>
  <c r="XN61" i="1" a="1"/>
  <c r="AMO55" i="1" a="1"/>
  <c r="ACQ56" i="1" a="1"/>
  <c r="YK61" i="1" a="1"/>
  <c r="PG63" i="1" a="1"/>
  <c r="ACR16" i="1" a="1"/>
  <c r="AGD57" i="1" a="1"/>
  <c r="PJ72" i="1" a="1"/>
  <c r="WU20" i="1" a="1"/>
  <c r="XG58" i="1" a="1"/>
  <c r="XK14" i="1" a="1"/>
  <c r="OP18" i="1" a="1"/>
  <c r="ON59" i="1" a="1"/>
  <c r="AET75" i="1" a="1"/>
  <c r="AEP78" i="1" a="1"/>
  <c r="ALJ72" i="1" a="1"/>
  <c r="PS20" i="1" a="1"/>
  <c r="WO75" i="1" a="1"/>
  <c r="XH20" i="1" a="1"/>
  <c r="OL59" i="1" a="1"/>
  <c r="ALP17" i="1" a="1"/>
  <c r="AEE17" i="1" a="1"/>
  <c r="UW62" i="1" a="1"/>
  <c r="AGE18" i="1" a="1"/>
  <c r="OL11" i="1" a="1"/>
  <c r="OR17" i="1" a="1"/>
  <c r="OT11" i="1" a="1"/>
  <c r="PN59" i="1" a="1"/>
  <c r="AMS10" i="1" a="1"/>
  <c r="AET17" i="1" a="1"/>
  <c r="OX58" i="1" a="1"/>
  <c r="AEW60" i="1" a="1"/>
  <c r="ANX13" i="1" a="1"/>
  <c r="AEQ14" i="1" a="1"/>
  <c r="WE57" i="1" a="1"/>
  <c r="ACR57" i="1" a="1"/>
  <c r="PN17" i="1" a="1"/>
  <c r="AEB75" i="1" a="1"/>
  <c r="QV57" i="1" a="1"/>
  <c r="PE60" i="1" a="1"/>
  <c r="AEQ10" i="1" a="1"/>
  <c r="AEV10" i="1" a="1"/>
  <c r="AMC75" i="1" a="1"/>
  <c r="WW18" i="1" a="1"/>
  <c r="ACP14" i="1" a="1"/>
  <c r="YM72" i="1" a="1"/>
  <c r="AFB10" i="1" a="1"/>
  <c r="PS62" i="1" a="1"/>
  <c r="AEE14" i="1" a="1"/>
  <c r="ALY72" i="1" a="1"/>
  <c r="ADS58" i="1" a="1"/>
  <c r="WM10" i="1" a="1"/>
  <c r="WQ57" i="1" a="1"/>
  <c r="AEF13" i="1" a="1"/>
  <c r="AGG58" i="1" a="1"/>
  <c r="PO75" i="1" a="1"/>
  <c r="VY10" i="1" a="1"/>
  <c r="ACP18" i="1" a="1"/>
  <c r="WX58" i="1" a="1"/>
  <c r="NF16" i="1" a="1"/>
  <c r="ADY61" i="1" a="1"/>
  <c r="YN61" i="1" a="1"/>
  <c r="AGQ16" i="1" a="1"/>
  <c r="AMP59" i="1" a="1"/>
  <c r="ACQ21" i="1" a="1"/>
  <c r="ADR56" i="1" a="1"/>
  <c r="XI61" i="1" a="1"/>
  <c r="OM55" i="1" a="1"/>
  <c r="OY61" i="1" a="1"/>
  <c r="ALO14" i="1" a="1"/>
  <c r="PW16" i="1" a="1"/>
  <c r="AKF19" i="1" a="1"/>
  <c r="WF74" i="1" a="1"/>
  <c r="ALR18" i="1" a="1"/>
  <c r="OS18" i="1" a="1"/>
  <c r="AMQ60" i="1" a="1"/>
  <c r="ANU63" i="1" a="1"/>
  <c r="PJ78" i="1" a="1"/>
  <c r="WL62" i="1" a="1"/>
  <c r="RH11" i="1" a="1"/>
  <c r="OQ75" i="1" a="1"/>
  <c r="ADX17" i="1" a="1"/>
  <c r="AMN63" i="1" a="1"/>
  <c r="XM10" i="1" a="1"/>
  <c r="AEC14" i="1" a="1"/>
  <c r="PW57" i="1" a="1"/>
  <c r="AMO72" i="1" a="1"/>
  <c r="AEJ62" i="1" a="1"/>
  <c r="AMF72" i="1" a="1"/>
  <c r="WU14" i="1" a="1"/>
  <c r="ALV60" i="1" a="1"/>
  <c r="PK77" i="1" a="1"/>
  <c r="AEJ60" i="1" a="1"/>
  <c r="UW75" i="1" a="1"/>
  <c r="AMV10" i="1" a="1"/>
  <c r="AMK60" i="1" a="1"/>
  <c r="ADV57" i="1" a="1"/>
  <c r="ANV17" i="1" a="1"/>
  <c r="AMO17" i="1" a="1"/>
  <c r="UW17" i="1" a="1"/>
  <c r="AEI13" i="1" a="1"/>
  <c r="PK10" i="1" a="1"/>
  <c r="PT13" i="1" a="1"/>
  <c r="WN10" i="1" a="1"/>
  <c r="RH10" i="1" a="1"/>
  <c r="OS75" i="1" a="1"/>
  <c r="XE17" i="1" a="1"/>
  <c r="OL58" i="1" a="1"/>
  <c r="WC57" i="1" a="1"/>
  <c r="ADY57" i="1" a="1"/>
  <c r="UW57" i="1" a="1"/>
  <c r="PU58" i="1" a="1"/>
  <c r="UY14" i="1" a="1"/>
  <c r="AMM63" i="1" a="1"/>
  <c r="AEC60" i="1" a="1"/>
  <c r="XG20" i="1" a="1"/>
  <c r="XM62" i="1" a="1"/>
  <c r="OL10" i="1" a="1"/>
  <c r="PS18" i="1" a="1"/>
  <c r="OK62" i="1" a="1"/>
  <c r="XJ57" i="1" a="1"/>
  <c r="AGG13" i="1" a="1"/>
  <c r="AEX60" i="1" a="1"/>
  <c r="AMW63" i="1" a="1"/>
  <c r="XI58" i="1" a="1"/>
  <c r="ACP72" i="1" a="1"/>
  <c r="YM75" i="1" a="1"/>
  <c r="XI77" i="1" a="1"/>
  <c r="AMC57" i="1" a="1"/>
  <c r="WY57" i="1" a="1"/>
  <c r="AKF63" i="1" a="1"/>
  <c r="ALS72" i="1" a="1"/>
  <c r="AGR57" i="1" a="1"/>
  <c r="AKH17" i="1" a="1"/>
  <c r="AKH58" i="1" a="1"/>
  <c r="QU13" i="1" a="1"/>
  <c r="AMD77" i="1" a="1"/>
  <c r="YN58" i="1" a="1"/>
  <c r="QT10" i="1" a="1"/>
  <c r="ALU72" i="1" a="1"/>
  <c r="ND17" i="1" a="1"/>
  <c r="AKI18" i="1" a="1"/>
  <c r="WX75" i="1" a="1"/>
  <c r="AMA77" i="1" a="1"/>
  <c r="AEX18" i="1" a="1"/>
  <c r="AMN13" i="1" a="1"/>
  <c r="AEN72" i="1" a="1"/>
  <c r="OH75" i="1" a="1"/>
  <c r="NE20" i="1" a="1"/>
  <c r="XF10" i="1" a="1"/>
  <c r="AEB20" i="1" a="1"/>
  <c r="WS75" i="1" a="1"/>
  <c r="ANV63" i="1" a="1"/>
  <c r="ADY10" i="1" a="1"/>
  <c r="ALV77" i="1" a="1"/>
  <c r="AMA18" i="1" a="1"/>
  <c r="WA57" i="1" a="1"/>
  <c r="AKE13" i="1" a="1"/>
  <c r="XN57" i="1" a="1"/>
  <c r="PG57" i="1" a="1"/>
  <c r="AEU20" i="1" a="1"/>
  <c r="AKF17" i="1" a="1"/>
  <c r="NE13" i="1" a="1"/>
  <c r="AME11" i="1" a="1"/>
  <c r="OS14" i="1" a="1"/>
  <c r="ALK11" i="1" a="1"/>
  <c r="WF72" i="1" a="1"/>
  <c r="OX77" i="1" a="1"/>
  <c r="OS62" i="1" a="1"/>
  <c r="ADU14" i="1" a="1"/>
  <c r="OH59" i="1" a="1"/>
  <c r="AED78" i="1" a="1"/>
  <c r="AFF78" i="1" a="1"/>
  <c r="WR57" i="1" a="1"/>
  <c r="ADW78" i="1" a="1"/>
  <c r="ALI11" i="1" a="1"/>
  <c r="PH57" i="1" a="1"/>
  <c r="ADS57" i="1" a="1"/>
  <c r="QV17" i="1" a="1"/>
  <c r="ALK60" i="1" a="1"/>
  <c r="UV18" i="1" a="1"/>
  <c r="AMV18" i="1" a="1"/>
  <c r="AKG10" i="1" a="1"/>
  <c r="PL18" i="1" a="1"/>
  <c r="XG57" i="1" a="1"/>
  <c r="PJ62" i="1" a="1"/>
  <c r="AMM11" i="1" a="1"/>
  <c r="ANU57" i="1" a="1"/>
  <c r="ADV75" i="1" a="1"/>
  <c r="OJ14" i="1" a="1"/>
  <c r="AEM13" i="1" a="1"/>
  <c r="WD57" i="1" a="1"/>
  <c r="ADW20" i="1" a="1"/>
  <c r="XJ17" i="1" a="1"/>
  <c r="XJ72" i="1" a="1"/>
  <c r="PT61" i="1" a="1"/>
  <c r="XJ10" i="1" a="1"/>
  <c r="AMF10" i="1" a="1"/>
  <c r="AMV13" i="1" a="1"/>
  <c r="PN18" i="1" a="1"/>
  <c r="WH75" i="1" a="1"/>
  <c r="AMI18" i="1" a="1"/>
  <c r="UY17" i="1" a="1"/>
  <c r="ND62" i="1" a="1"/>
  <c r="AEN75" i="1" a="1"/>
  <c r="PO20" i="1" a="1"/>
  <c r="ACP17" i="1" a="1"/>
  <c r="PG58" i="1" a="1"/>
  <c r="AGG10" i="1" a="1"/>
  <c r="AEC57" i="1" a="1"/>
  <c r="XN72" i="1" a="1"/>
  <c r="PB72" i="1" a="1"/>
  <c r="OW11" i="1" a="1"/>
  <c r="ADT14" i="1" a="1"/>
  <c r="XA75" i="1" a="1"/>
  <c r="ADS20" i="1" a="1"/>
  <c r="AFF75" i="1" a="1"/>
  <c r="AMP17" i="1" a="1"/>
  <c r="XI14" i="1" a="1"/>
  <c r="ADV18" i="1" a="1"/>
  <c r="ADZ62" i="1" a="1"/>
  <c r="PT62" i="1" a="1"/>
  <c r="ACO62" i="1" a="1"/>
  <c r="AEM11" i="1" a="1"/>
  <c r="AFA11" i="1" a="1"/>
  <c r="PH60" i="1" a="1"/>
  <c r="AEZ75" i="1" a="1"/>
  <c r="AEB58" i="1" a="1"/>
  <c r="ALM11" i="1" a="1"/>
  <c r="ADY17" i="1" a="1"/>
  <c r="OY14" i="1" a="1"/>
  <c r="QT13" i="1" a="1"/>
  <c r="OU14" i="1" a="1"/>
  <c r="AFC75" i="1" a="1"/>
  <c r="WE77" i="1" a="1"/>
  <c r="OI20" i="1" a="1"/>
  <c r="PW75" i="1" a="1"/>
  <c r="AER57" i="1" a="1"/>
  <c r="PI75" i="1" a="1"/>
  <c r="ALR57" i="1" a="1"/>
  <c r="VY75" i="1" a="1"/>
  <c r="ALT17" i="1" a="1"/>
  <c r="RH62" i="1" a="1"/>
  <c r="OZ13" i="1" a="1"/>
  <c r="ACR10" i="1" a="1"/>
  <c r="ALL17" i="1" a="1"/>
  <c r="AMB63" i="1" a="1"/>
  <c r="NE18" i="1" a="1"/>
  <c r="AEC78" i="1" a="1"/>
  <c r="ALK18" i="1" a="1"/>
  <c r="AGF62" i="1" a="1"/>
  <c r="AEL72" i="1" a="1"/>
  <c r="AFF18" i="1" a="1"/>
  <c r="AGG78" i="1" a="1"/>
  <c r="AMA75" i="1" a="1"/>
  <c r="OY58" i="1" a="1"/>
  <c r="ALS17" i="1" a="1"/>
  <c r="AEA60" i="1" a="1"/>
  <c r="AEL20" i="1" a="1"/>
  <c r="XK20" i="1" a="1"/>
  <c r="AMF13" i="1" a="1"/>
  <c r="XI72" i="1" a="1"/>
  <c r="PQ77" i="1" a="1"/>
  <c r="AMK17" i="1" a="1"/>
  <c r="OU18" i="1" a="1"/>
  <c r="XJ75" i="1" a="1"/>
  <c r="WB14" i="1" a="1"/>
  <c r="WT58" i="1" a="1"/>
  <c r="PF17" i="1" a="1"/>
  <c r="AGF10" i="1" a="1"/>
  <c r="PC10" i="1" a="1"/>
  <c r="AEK13" i="1" a="1"/>
  <c r="ADW17" i="1" a="1"/>
  <c r="AMD18" i="1" a="1"/>
  <c r="PW59" i="1" a="1"/>
  <c r="UU17" i="1" a="1"/>
  <c r="PE11" i="1" a="1"/>
  <c r="NE10" i="1" a="1"/>
  <c r="OH13" i="1" a="1"/>
  <c r="WK14" i="1" a="1"/>
  <c r="PL17" i="1" a="1"/>
  <c r="AGG60" i="1" a="1"/>
  <c r="WO58" i="1" a="1"/>
  <c r="QV10" i="1" a="1"/>
  <c r="AKI13" i="1" a="1"/>
  <c r="ND60" i="1" a="1"/>
  <c r="AKG60" i="1" a="1"/>
  <c r="ACN58" i="1" a="1"/>
  <c r="WQ17" i="1" a="1"/>
  <c r="SA57" i="1" a="1"/>
  <c r="AMK57" i="1" a="1"/>
  <c r="AGD18" i="1" a="1"/>
  <c r="WZ72" i="1" a="1"/>
  <c r="RG18" i="1" a="1"/>
  <c r="AMP75" i="1" a="1"/>
  <c r="SA17" i="1" a="1"/>
  <c r="NE62" i="1" a="1"/>
  <c r="WT57" i="1" a="1"/>
  <c r="PR77" i="1" a="1"/>
  <c r="OV77" i="1" a="1"/>
  <c r="WR75" i="1" a="1"/>
  <c r="AFE57" i="1" a="1"/>
  <c r="AMD13" i="1" a="1"/>
  <c r="PW11" i="1" a="1"/>
  <c r="QU20" i="1" a="1"/>
  <c r="ANW60" i="1" a="1"/>
  <c r="AHK14" i="1" a="1"/>
  <c r="WA75" i="1" a="1"/>
  <c r="ADY58" i="1" a="1"/>
  <c r="AEJ18" i="1" a="1"/>
  <c r="AKG75" i="1" a="1"/>
  <c r="WO77" i="1" a="1"/>
  <c r="OS72" i="1" a="1"/>
  <c r="RH58" i="1" a="1"/>
  <c r="PR57" i="1" a="1"/>
  <c r="PD18" i="1" a="1"/>
  <c r="PV17" i="1" a="1"/>
  <c r="WK57" i="1" a="1"/>
  <c r="XJ58" i="1" a="1"/>
  <c r="WU75" i="1" a="1"/>
  <c r="ALM75" i="1" a="1"/>
  <c r="AMP10" i="1" a="1"/>
  <c r="OM72" i="1" a="1"/>
  <c r="AMU18" i="1" a="1"/>
  <c r="ALY63" i="1" a="1"/>
  <c r="OQ77" i="1" a="1"/>
  <c r="ACP78" i="1" a="1"/>
  <c r="PK74" i="1" a="1"/>
  <c r="OH11" i="1" a="1"/>
  <c r="ALV58" i="1" a="1"/>
  <c r="AFC76" i="1" a="1"/>
  <c r="PK14" i="1" a="1"/>
  <c r="ANW71" i="1" a="1"/>
  <c r="AEN11" i="1" a="1"/>
  <c r="ALO10" i="1" a="1"/>
  <c r="WC17" i="1" a="1"/>
  <c r="AKG13" i="1" a="1"/>
  <c r="UY10" i="1" a="1"/>
  <c r="WE20" i="1" a="1"/>
  <c r="AMU63" i="1" a="1"/>
  <c r="WG58" i="1" a="1"/>
  <c r="AEO72" i="1" a="1"/>
  <c r="AMX18" i="1" a="1"/>
  <c r="AFF72" i="1" a="1"/>
  <c r="AMX57" i="1" a="1"/>
  <c r="XM18" i="1" a="1"/>
  <c r="UV20" i="1" a="1"/>
  <c r="AME10" i="1" a="1"/>
  <c r="AME63" i="1" a="1"/>
  <c r="UU10" i="1" a="1"/>
  <c r="AFE10" i="1" a="1"/>
  <c r="OY20" i="1" a="1"/>
  <c r="PU75" i="1" a="1"/>
  <c r="PF18" i="1" a="1"/>
  <c r="AEK11" i="1" a="1"/>
  <c r="AMJ75" i="1" a="1"/>
  <c r="PA72" i="1" a="1"/>
  <c r="XD17" i="1" a="1"/>
  <c r="QW20" i="1" a="1"/>
  <c r="YK17" i="1" a="1"/>
  <c r="AMN10" i="1" a="1"/>
  <c r="OU17" i="1" a="1"/>
  <c r="WO57" i="1" a="1"/>
  <c r="AGQ57" i="1" a="1"/>
  <c r="AMH13" i="1" a="1"/>
  <c r="AEZ13" i="1" a="1"/>
  <c r="WZ57" i="1" a="1"/>
  <c r="PH11" i="1" a="1"/>
  <c r="PO17" i="1" a="1"/>
  <c r="QV72" i="1" a="1"/>
  <c r="AFA78" i="1" a="1"/>
  <c r="ADT72" i="1" a="1"/>
  <c r="XE10" i="1" a="1"/>
  <c r="AMS63" i="1" a="1"/>
  <c r="AMU13" i="1" a="1"/>
  <c r="AMA10" i="1" a="1"/>
  <c r="ALS77" i="1" a="1"/>
  <c r="OJ72" i="1" a="1"/>
  <c r="OM20" i="1" a="1"/>
  <c r="RG10" i="1" a="1"/>
  <c r="AFE14" i="1" a="1"/>
  <c r="ACQ75" i="1" a="1"/>
  <c r="WF14" i="1" a="1"/>
  <c r="ALL60" i="1" a="1"/>
  <c r="YN57" i="1" a="1"/>
  <c r="OM17" i="1" a="1"/>
  <c r="WD14" i="1" a="1"/>
  <c r="OU58" i="1" a="1"/>
  <c r="AFB60" i="1" a="1"/>
  <c r="AMO60" i="1" a="1"/>
  <c r="ND14" i="1" a="1"/>
  <c r="PK57" i="1" a="1"/>
  <c r="AKG58" i="1" a="1"/>
  <c r="ACR13" i="1" a="1"/>
  <c r="PH72" i="1" a="1"/>
  <c r="ACR17" i="1" a="1"/>
  <c r="WA58" i="1" a="1"/>
  <c r="AEM62" i="1" a="1"/>
  <c r="AMI10" i="1" a="1"/>
  <c r="NH57" i="1" a="1"/>
  <c r="PD17" i="1" a="1"/>
  <c r="ALO11" i="1" a="1"/>
  <c r="OV14" i="1" a="1"/>
  <c r="WI75" i="1" a="1"/>
  <c r="PO57" i="1" a="1"/>
  <c r="ACQ57" i="1" a="1"/>
  <c r="AMT77" i="1" a="1"/>
  <c r="PR17" i="1" a="1"/>
  <c r="OP77" i="1" a="1"/>
  <c r="PL58" i="1" a="1"/>
  <c r="ADZ78" i="1" a="1"/>
  <c r="OW14" i="1" a="1"/>
  <c r="OL17" i="1" a="1"/>
  <c r="AEK58" i="1" a="1"/>
  <c r="PN10" i="1" a="1"/>
  <c r="PH13" i="1" a="1"/>
  <c r="ALO60" i="1" a="1"/>
  <c r="WM62" i="1" a="1"/>
  <c r="AMM17" i="1" a="1"/>
  <c r="QW11" i="1" a="1"/>
  <c r="AKI10" i="1" a="1"/>
  <c r="ALZ72" i="1" a="1"/>
  <c r="AME60" i="1" a="1"/>
  <c r="ALS60" i="1" a="1"/>
  <c r="OM77" i="1" a="1"/>
  <c r="ALI63" i="1" a="1"/>
  <c r="AEI62" i="1" a="1"/>
  <c r="AGR11" i="1" a="1"/>
  <c r="XH57" i="1" a="1"/>
  <c r="AER11" i="1" a="1"/>
  <c r="AEP13" i="1" a="1"/>
  <c r="AEZ10" i="1" a="1"/>
  <c r="XF17" i="1" a="1"/>
  <c r="YK58" i="1" a="1"/>
  <c r="AMQ18" i="1" a="1"/>
  <c r="PH59" i="1" a="1"/>
  <c r="VZ17" i="1" a="1"/>
  <c r="AMX72" i="1" a="1"/>
  <c r="AMQ10" i="1" a="1"/>
  <c r="ALT57" i="1" a="1"/>
  <c r="QT58" i="1" a="1"/>
  <c r="AMG18" i="1" a="1"/>
  <c r="XG77" i="1" a="1"/>
  <c r="XB17" i="1" a="1"/>
  <c r="ACQ10" i="1" a="1"/>
  <c r="ACO58" i="1" a="1"/>
  <c r="PS11" i="1" a="1"/>
  <c r="AHK18" i="1" a="1"/>
  <c r="PD72" i="1" a="1"/>
  <c r="OX57" i="1" a="1"/>
  <c r="XK17" i="1" a="1"/>
  <c r="PL57" i="1" a="1"/>
  <c r="AEY13" i="1" a="1"/>
  <c r="PJ14" i="1" a="1"/>
  <c r="AEV78" i="1" a="1"/>
  <c r="PA60" i="1" a="1"/>
  <c r="AKF57" i="1" a="1"/>
  <c r="WP14" i="1" a="1"/>
  <c r="ALM60" i="1" a="1"/>
  <c r="PC75" i="1" a="1"/>
  <c r="WN17" i="1" a="1"/>
  <c r="AMM18" i="1" a="1"/>
  <c r="AGE13" i="1" a="1"/>
  <c r="WZ23" i="1" a="1"/>
  <c r="AMS18" i="1" a="1"/>
  <c r="AMI77" i="1" a="1"/>
  <c r="XN17" i="1" a="1"/>
  <c r="AMB18" i="1" a="1"/>
  <c r="AEK18" i="1" a="1"/>
  <c r="OQ59" i="1" a="1"/>
  <c r="XL72" i="1" a="1"/>
  <c r="QV77" i="1" a="1"/>
  <c r="AEA62" i="1" a="1"/>
  <c r="WS58" i="1" a="1"/>
  <c r="AEF72" i="1" a="1"/>
  <c r="WZ10" i="1" a="1"/>
  <c r="ANW57" i="1" a="1"/>
  <c r="WP10" i="1" a="1"/>
  <c r="AES14" i="1" a="1"/>
  <c r="ALL11" i="1" a="1"/>
  <c r="ALK57" i="1" a="1"/>
  <c r="SA20" i="1" a="1"/>
  <c r="AMT11" i="1" a="1"/>
  <c r="WL75" i="1" a="1"/>
  <c r="ALP10" i="1" a="1"/>
  <c r="OT72" i="1" a="1"/>
  <c r="WF17" i="1" a="1"/>
  <c r="QT17" i="1" a="1"/>
  <c r="WV17" i="1" a="1"/>
  <c r="QV62" i="1" a="1"/>
  <c r="NG58" i="1" a="1"/>
  <c r="PD58" i="1" a="1"/>
  <c r="PW17" i="1" a="1"/>
  <c r="OZ58" i="1" a="1"/>
  <c r="AML63" i="1" a="1"/>
  <c r="ND59" i="1" a="1"/>
  <c r="AKI58" i="1" a="1"/>
  <c r="PA13" i="1" a="1"/>
  <c r="PC77" i="1" a="1"/>
  <c r="XM14" i="1" a="1"/>
  <c r="OJ11" i="1" a="1"/>
  <c r="AGG17" i="1" a="1"/>
  <c r="OO57" i="1" a="1"/>
  <c r="QT18" i="1" a="1"/>
  <c r="ALI57" i="1" a="1"/>
  <c r="YL10" i="1" a="1"/>
  <c r="UY75" i="1" a="1"/>
  <c r="ON10" i="1" a="1"/>
  <c r="PP10" i="1" a="1"/>
  <c r="OX17" i="1" a="1"/>
  <c r="OZ62" i="1" a="1"/>
  <c r="PB58" i="1" a="1"/>
  <c r="ALL72" i="1" a="1"/>
  <c r="AMP77" i="1" a="1"/>
  <c r="PE72" i="1" a="1"/>
  <c r="ADT18" i="1" a="1"/>
  <c r="PQ59" i="1" a="1"/>
  <c r="WF20" i="1" a="1"/>
  <c r="AMW58" i="1" a="1"/>
  <c r="RG57" i="1" a="1"/>
  <c r="OX59" i="1" a="1"/>
  <c r="AES58" i="1" a="1"/>
  <c r="PJ10" i="1" a="1"/>
  <c r="AKG72" i="1" a="1"/>
  <c r="AFA57" i="1" a="1"/>
  <c r="AMS77" i="1" a="1"/>
  <c r="AEX11" i="1" a="1"/>
  <c r="AEG72" i="1" a="1"/>
  <c r="OT57" i="1" a="1"/>
  <c r="AMR23" i="1" a="1"/>
  <c r="QU75" i="1" a="1"/>
  <c r="AEG78" i="1" a="1"/>
  <c r="AMR75" i="1" a="1"/>
  <c r="WI77" i="1" a="1"/>
  <c r="WW17" i="1" a="1"/>
  <c r="PF20" i="1" a="1"/>
  <c r="AET72" i="1" a="1"/>
  <c r="ALY60" i="1" a="1"/>
  <c r="AKF18" i="1" a="1"/>
  <c r="AEF58" i="1" a="1"/>
  <c r="YK72" i="1" a="1"/>
  <c r="PR62" i="1" a="1"/>
  <c r="WT72" i="1" a="1"/>
  <c r="AFG78" i="1" a="1"/>
  <c r="QW62" i="1" a="1"/>
  <c r="ANU58" i="1" a="1"/>
  <c r="AFC78" i="1" a="1"/>
  <c r="AKI17" i="1" a="1"/>
  <c r="QV59" i="1" a="1"/>
  <c r="XC56" i="1" a="1"/>
  <c r="AMS14" i="1" a="1"/>
  <c r="ANU14" i="1" a="1"/>
  <c r="ALV15" i="1" a="1"/>
  <c r="PN15" i="1" a="1"/>
  <c r="OM12" i="1" a="1"/>
  <c r="WH12" i="1" a="1"/>
  <c r="XA13" i="1" a="1"/>
  <c r="PN13" i="1" a="1"/>
  <c r="ALM10" i="1" a="1"/>
  <c r="ALZ10" i="1" a="1"/>
  <c r="PM20" i="1" a="1"/>
  <c r="AEV13" i="1" a="1"/>
  <c r="ALT72" i="1" a="1"/>
  <c r="RG11" i="1" a="1"/>
  <c r="AME77" i="1" a="1"/>
  <c r="AED11" i="1" a="1"/>
  <c r="ALL58" i="1" a="1"/>
  <c r="WM57" i="1" a="1"/>
  <c r="AMV17" i="1" a="1"/>
  <c r="AGG11" i="1" a="1"/>
  <c r="ALK17" i="1" a="1"/>
  <c r="OL60" i="1" a="1"/>
  <c r="PM62" i="1" a="1"/>
  <c r="RG62" i="1" a="1"/>
  <c r="ADU62" i="1" a="1"/>
  <c r="PO10" i="1" a="1"/>
  <c r="YM57" i="1" a="1"/>
  <c r="YN75" i="1" a="1"/>
  <c r="AEO62" i="1" a="1"/>
  <c r="XM58" i="1" a="1"/>
  <c r="OP75" i="1" a="1"/>
  <c r="VZ14" i="1" a="1"/>
  <c r="AMR60" i="1" a="1"/>
  <c r="AFB57" i="1" a="1"/>
  <c r="OT22" i="1" a="1"/>
  <c r="AEM56" i="1" a="1"/>
  <c r="WQ60" i="1" a="1"/>
  <c r="PC63" i="1" a="1"/>
  <c r="PW12" i="1" a="1"/>
  <c r="ADZ12" i="1" a="1"/>
  <c r="AKI14" i="1" a="1"/>
  <c r="ALY55" i="1" a="1"/>
  <c r="ALI77" i="1" a="1"/>
  <c r="AGR75" i="1" a="1"/>
  <c r="AMW17" i="1" a="1"/>
  <c r="AML72" i="1" a="1"/>
  <c r="WN62" i="1" a="1"/>
  <c r="WC10" i="1" a="1"/>
  <c r="ADS10" i="1" a="1"/>
  <c r="WT18" i="1" a="1"/>
  <c r="AEM57" i="1" a="1"/>
  <c r="WL77" i="1" a="1"/>
  <c r="AEG75" i="1" a="1"/>
  <c r="SA72" i="1" a="1"/>
  <c r="AME18" i="1" a="1"/>
  <c r="AEZ18" i="1" a="1"/>
  <c r="AFE58" i="1" a="1"/>
  <c r="AKE63" i="1" a="1"/>
  <c r="OS60" i="1" a="1"/>
  <c r="WO72" i="1" a="1"/>
  <c r="PL11" i="1" a="1"/>
  <c r="ACN18" i="1" a="1"/>
  <c r="ALX57" i="1" a="1"/>
  <c r="AFG18" i="1" a="1"/>
  <c r="WI17" i="1" a="1"/>
  <c r="PT57" i="1" a="1"/>
  <c r="AGF17" i="1" a="1"/>
  <c r="AGG72" i="1" a="1"/>
  <c r="WM58" i="1" a="1"/>
  <c r="AMI55" i="1" a="1"/>
  <c r="AEU63" i="1" a="1"/>
  <c r="AMR21" i="1" a="1"/>
  <c r="AEA12" i="1" a="1"/>
  <c r="XL59" i="1" a="1"/>
  <c r="AMG20" i="1" a="1"/>
  <c r="AMM22" i="1" a="1"/>
  <c r="AEO75" i="1" a="1"/>
  <c r="PM10" i="1" a="1"/>
  <c r="PT60" i="1" a="1"/>
  <c r="AEX58" i="1" a="1"/>
  <c r="QW59" i="1" a="1"/>
  <c r="AMF60" i="1" a="1"/>
  <c r="AEX13" i="1" a="1"/>
  <c r="AMH77" i="1" a="1"/>
  <c r="ALM13" i="1" a="1"/>
  <c r="XG75" i="1" a="1"/>
  <c r="ADW58" i="1" a="1"/>
  <c r="ALW77" i="1" a="1"/>
  <c r="AGF14" i="1" a="1"/>
  <c r="ANX72" i="1" a="1"/>
  <c r="ADW60" i="1" a="1"/>
  <c r="YM58" i="1" a="1"/>
  <c r="AEH10" i="1" a="1"/>
  <c r="AFA10" i="1" a="1"/>
  <c r="AMJ57" i="1" a="1"/>
  <c r="AMX58" i="1" a="1"/>
  <c r="AMC72" i="1" a="1"/>
  <c r="AMB13" i="1" a="1"/>
  <c r="AKF72" i="1" a="1"/>
  <c r="OW59" i="1" a="1"/>
  <c r="QW18" i="1" a="1"/>
  <c r="AEI72" i="1" a="1"/>
  <c r="OR20" i="1" a="1"/>
  <c r="XE62" i="1" a="1"/>
  <c r="XJ20" i="1" a="1"/>
  <c r="ALI18" i="1" a="1"/>
  <c r="WA14" i="1" a="1"/>
  <c r="WV75" i="1" a="1"/>
  <c r="WH57" i="1" a="1"/>
  <c r="XE20" i="1" a="1"/>
  <c r="XH58" i="1" a="1"/>
  <c r="AKF77" i="1" a="1"/>
  <c r="ADX20" i="1" a="1"/>
  <c r="AEA78" i="1" a="1"/>
  <c r="UX14" i="1" a="1"/>
  <c r="PP58" i="1" a="1"/>
  <c r="AME17" i="1" a="1"/>
  <c r="NH18" i="1" a="1"/>
  <c r="YM77" i="1" a="1"/>
  <c r="ADZ16" i="1" a="1"/>
  <c r="AEZ59" i="1" a="1"/>
  <c r="OP22" i="1" a="1"/>
  <c r="ALU12" i="1" a="1"/>
  <c r="ADV55" i="1" a="1"/>
  <c r="PL61" i="1" a="1"/>
  <c r="UU63" i="1" a="1"/>
  <c r="ALJ56" i="1" a="1"/>
  <c r="SA63" i="1" a="1"/>
  <c r="ALQ55" i="1" a="1"/>
  <c r="ND56" i="1" a="1"/>
  <c r="ADR63" i="1" a="1"/>
  <c r="YL56" i="1" a="1"/>
  <c r="XD12" i="1" a="1"/>
  <c r="OZ12" i="1" a="1"/>
  <c r="PQ22" i="1" a="1"/>
  <c r="AKG15" i="1" a="1"/>
  <c r="WC59" i="1" a="1"/>
  <c r="XI63" i="1" a="1"/>
  <c r="UY56" i="1" a="1"/>
  <c r="AFA63" i="1" a="1"/>
  <c r="WE13" i="1" a="1"/>
  <c r="ALK20" i="1" a="1"/>
  <c r="WD63" i="1" a="1"/>
  <c r="PC19" i="1" a="1"/>
  <c r="WD15" i="1" a="1"/>
  <c r="AEI10" i="1" a="1"/>
  <c r="OM11" i="1" a="1"/>
  <c r="ANV55" i="1" a="1"/>
  <c r="WP63" i="1" a="1"/>
  <c r="ACR63" i="1" a="1"/>
  <c r="ADS12" i="1" a="1"/>
  <c r="RG22" i="1" a="1"/>
  <c r="AFG21" i="1" a="1"/>
  <c r="AFG55" i="1" a="1"/>
  <c r="AGR61" i="1" a="1"/>
  <c r="WG59" i="1" a="1"/>
  <c r="OR15" i="1" a="1"/>
  <c r="ALM61" i="1" a="1"/>
  <c r="PV16" i="1" a="1"/>
  <c r="PV63" i="1" a="1"/>
  <c r="AMA61" i="1" a="1"/>
  <c r="WP22" i="1" a="1"/>
  <c r="WM21" i="1" a="1"/>
  <c r="RG12" i="1" a="1"/>
  <c r="XD15" i="1" a="1"/>
  <c r="YN21" i="1" a="1"/>
  <c r="AEE59" i="1" a="1"/>
  <c r="AEE15" i="1" a="1"/>
  <c r="ADZ22" i="1" a="1"/>
  <c r="ADX12" i="1" a="1"/>
  <c r="ALU19" i="1" a="1"/>
  <c r="AMB59" i="1" a="1"/>
  <c r="NF21" i="1" a="1"/>
  <c r="AMH16" i="1" a="1"/>
  <c r="AFC19" i="1" a="1"/>
  <c r="AKF14" i="1" a="1"/>
  <c r="WK75" i="1" a="1"/>
  <c r="UX15" i="1" a="1"/>
  <c r="AMP14" i="1" a="1"/>
  <c r="AEI56" i="1" a="1"/>
  <c r="AEF16" i="1" a="1"/>
  <c r="WS55" i="1" a="1"/>
  <c r="WH13" i="1" a="1"/>
  <c r="ANX16" i="1" a="1"/>
  <c r="AEK56" i="1" a="1"/>
  <c r="NG15" i="1" a="1"/>
  <c r="AMO22" i="1" a="1"/>
  <c r="XL11" i="1" a="1"/>
  <c r="XG63" i="1" a="1"/>
  <c r="ALT15" i="1" a="1"/>
  <c r="PM19" i="1" a="1"/>
  <c r="PA16" i="1" a="1"/>
  <c r="ND15" i="1" a="1"/>
  <c r="AEM63" i="1" a="1"/>
  <c r="AEZ21" i="1" a="1"/>
  <c r="AMP21" i="1" a="1"/>
  <c r="PQ15" i="1" a="1"/>
  <c r="AMI20" i="1" a="1"/>
  <c r="YL21" i="1" a="1"/>
  <c r="ADS16" i="1" a="1"/>
  <c r="AMT16" i="1" a="1"/>
  <c r="WW55" i="1" a="1"/>
  <c r="OS19" i="1" a="1"/>
  <c r="AEY63" i="1" a="1"/>
  <c r="PQ21" i="1" a="1"/>
  <c r="OZ22" i="1" a="1"/>
  <c r="AFF21" i="1" a="1"/>
  <c r="XM60" i="1" a="1"/>
  <c r="UV62" i="1" a="1"/>
  <c r="XK55" i="1" a="1"/>
  <c r="OX22" i="1" a="1"/>
  <c r="AFD21" i="1" a="1"/>
  <c r="AEA56" i="1" a="1"/>
  <c r="PC61" i="1" a="1"/>
  <c r="PH56" i="1" a="1"/>
  <c r="YK12" i="1" a="1"/>
  <c r="ALT19" i="1" a="1"/>
  <c r="AMK61" i="1" a="1"/>
  <c r="ALI12" i="1" a="1"/>
  <c r="AFE63" i="1" a="1"/>
  <c r="AKG19" i="1" a="1"/>
  <c r="ANX21" i="1" a="1"/>
  <c r="WD21" i="1" a="1"/>
  <c r="WU56" i="1" a="1"/>
  <c r="AFA21" i="1" a="1"/>
  <c r="OY55" i="1" a="1"/>
  <c r="AFC15" i="1" a="1"/>
  <c r="ALW15" i="1" a="1"/>
  <c r="AMG61" i="1" a="1"/>
  <c r="PM61" i="1" a="1"/>
  <c r="PW19" i="1" a="1"/>
  <c r="AEZ56" i="1" a="1"/>
  <c r="ADR19" i="1" a="1"/>
  <c r="OW22" i="1" a="1"/>
  <c r="RH19" i="1" a="1"/>
  <c r="AMS16" i="1" a="1"/>
  <c r="AFE59" i="1" a="1"/>
  <c r="AMU12" i="1" a="1"/>
  <c r="ACR56" i="1" a="1"/>
  <c r="ADR16" i="1" a="1"/>
  <c r="RG21" i="1" a="1"/>
  <c r="WA60" i="1" a="1"/>
  <c r="AEF22" i="1" a="1"/>
  <c r="AEO16" i="1" a="1"/>
  <c r="PF19" i="1" a="1"/>
  <c r="AEM59" i="1" a="1"/>
  <c r="WA21" i="1" a="1"/>
  <c r="OV21" i="1" a="1"/>
  <c r="AEZ12" i="1" a="1"/>
  <c r="AFE15" i="1" a="1"/>
  <c r="ALU21" i="1" a="1"/>
  <c r="XJ21" i="1" a="1"/>
  <c r="AMJ12" i="1" a="1"/>
  <c r="ALO16" i="1" a="1"/>
  <c r="WE22" i="1" a="1"/>
  <c r="AKF15" i="1" a="1"/>
  <c r="AMV56" i="1" a="1"/>
  <c r="AMR15" i="1" a="1"/>
  <c r="WJ12" i="1" a="1"/>
  <c r="YL61" i="1" a="1"/>
  <c r="AEW19" i="1" a="1"/>
  <c r="AKF21" i="1" a="1"/>
  <c r="AEV19" i="1" a="1"/>
  <c r="XK60" i="1" a="1"/>
  <c r="VY11" i="1" a="1"/>
  <c r="AFF61" i="1" a="1"/>
  <c r="OR21" i="1" a="1"/>
  <c r="AKE14" i="1" a="1"/>
  <c r="AME61" i="1" a="1"/>
  <c r="AEW15" i="1" a="1"/>
  <c r="AMN59" i="1" a="1"/>
  <c r="WG11" i="1" a="1"/>
  <c r="AMJ56" i="1" a="1"/>
  <c r="OI17" i="1" a="1"/>
  <c r="AEN57" i="1" a="1"/>
  <c r="AEH59" i="1" a="1"/>
  <c r="PL12" i="1" a="1"/>
  <c r="AKI12" i="1" a="1"/>
  <c r="NG16" i="1" a="1"/>
  <c r="ADU12" i="1" a="1"/>
  <c r="AEA63" i="1" a="1"/>
  <c r="AKH56" i="1" a="1"/>
  <c r="WM15" i="1" a="1"/>
  <c r="WD55" i="1" a="1"/>
  <c r="ALT59" i="1" a="1"/>
  <c r="PO56" i="1" a="1"/>
  <c r="ADR12" i="1" a="1"/>
  <c r="ON21" i="1" a="1"/>
  <c r="OO15" i="1" a="1"/>
  <c r="AEO15" i="1" a="1"/>
  <c r="ALO12" i="1" a="1"/>
  <c r="XN20" i="1" a="1"/>
  <c r="UX77" i="1" a="1"/>
  <c r="AMT72" i="1" a="1"/>
  <c r="OW20" i="1" a="1"/>
  <c r="AEG14" i="1" a="1"/>
  <c r="XC72" i="1" a="1"/>
  <c r="ALX72" i="1" a="1"/>
  <c r="AEN20" i="1" a="1"/>
  <c r="QW75" i="1" a="1"/>
  <c r="WN57" i="1" a="1"/>
  <c r="AEE78" i="1" a="1"/>
  <c r="AEZ78" i="1" a="1"/>
  <c r="PN77" i="1" a="1"/>
  <c r="ADX75" i="1" a="1"/>
  <c r="PG10" i="1" a="1"/>
  <c r="AEC75" i="1" a="1"/>
  <c r="OZ75" i="1" a="1"/>
  <c r="ALP58" i="1" a="1"/>
  <c r="OZ11" i="1" a="1"/>
  <c r="AFE20" i="1" a="1"/>
  <c r="ALP60" i="1" a="1"/>
  <c r="OH61" i="1" a="1"/>
  <c r="ALZ55" i="1" a="1"/>
  <c r="AEX15" i="1" a="1"/>
  <c r="ALL59" i="1" a="1"/>
  <c r="WQ13" i="1" a="1"/>
  <c r="ALZ61" i="1" a="1"/>
  <c r="WT56" i="1" a="1"/>
  <c r="OU56" i="1" a="1"/>
  <c r="ADR10" i="1" a="1"/>
  <c r="WV20" i="1" a="1"/>
  <c r="VZ72" i="1" a="1"/>
  <c r="WV58" i="1" a="1"/>
  <c r="AGR78" i="1" a="1"/>
  <c r="OP62" i="1" a="1"/>
  <c r="XK77" i="1" a="1"/>
  <c r="OK58" i="1" a="1"/>
  <c r="WB62" i="1" a="1"/>
  <c r="UY58" i="1" a="1"/>
  <c r="PF60" i="1" a="1"/>
  <c r="AHK17" i="1" a="1"/>
  <c r="AEA14" i="1" a="1"/>
  <c r="OS57" i="1" a="1"/>
  <c r="ACQ18" i="1" a="1"/>
  <c r="ALL10" i="1" a="1"/>
  <c r="ADZ14" i="1" a="1"/>
  <c r="AET60" i="1" a="1"/>
  <c r="PK13" i="1" a="1"/>
  <c r="AFC11" i="1" a="1"/>
  <c r="XD75" i="1" a="1"/>
  <c r="AEB11" i="1" a="1"/>
  <c r="ALW17" i="1" a="1"/>
  <c r="OH18" i="1" a="1"/>
  <c r="YN14" i="1" a="1"/>
  <c r="AMV63" i="1" a="1"/>
  <c r="ALP63" i="1" a="1"/>
  <c r="AKI16" i="1" a="1"/>
  <c r="AKI56" i="1" a="1"/>
  <c r="PC12" i="1" a="1"/>
  <c r="XE11" i="1" a="1"/>
  <c r="AKE15" i="1" a="1"/>
  <c r="AER21" i="1" a="1"/>
  <c r="OV22" i="1" a="1"/>
  <c r="XJ63" i="1" a="1"/>
  <c r="AMR17" i="1" a="1"/>
  <c r="ADR75" i="1" a="1"/>
  <c r="PC13" i="1" a="1"/>
  <c r="OS20" i="1" a="1"/>
  <c r="AMB60" i="1" a="1"/>
  <c r="AKI72" i="1" a="1"/>
  <c r="ALW18" i="1" a="1"/>
  <c r="AKE11" i="1" a="1"/>
  <c r="WU77" i="1" a="1"/>
  <c r="OQ72" i="1" a="1"/>
  <c r="AEO60" i="1" a="1"/>
  <c r="XL17" i="1" a="1"/>
  <c r="AEH13" i="1" a="1"/>
  <c r="UU72" i="1" a="1"/>
  <c r="AEA58" i="1" a="1"/>
  <c r="AMW75" i="1" a="1"/>
  <c r="WN58" i="1" a="1"/>
  <c r="WF62" i="1" a="1"/>
  <c r="WJ57" i="1" a="1"/>
  <c r="XD72" i="1" a="1"/>
  <c r="ACN78" i="1" a="1"/>
  <c r="XL10" i="1" a="1"/>
  <c r="AEF10" i="1" a="1"/>
  <c r="ADY18" i="1" a="1"/>
  <c r="ALY77" i="1" a="1"/>
  <c r="PM17" i="1" a="1"/>
  <c r="ANV60" i="1" a="1"/>
  <c r="UY15" i="1" a="1"/>
  <c r="QT19" i="1" a="1"/>
  <c r="ALP55" i="1" a="1"/>
  <c r="AMM14" i="1" a="1"/>
  <c r="AEP61" i="1" a="1"/>
  <c r="OR61" i="1" a="1"/>
  <c r="PF15" i="1" a="1"/>
  <c r="PV20" i="1" a="1"/>
  <c r="AEH17" i="1" a="1"/>
  <c r="ALR60" i="1" a="1"/>
  <c r="XL18" i="1" a="1"/>
  <c r="XD58" i="1" a="1"/>
  <c r="AMA11" i="1" a="1"/>
  <c r="AEQ75" i="1" a="1"/>
  <c r="AEQ78" i="1" a="1"/>
  <c r="PU77" i="1" a="1"/>
  <c r="WL17" i="1" a="1"/>
  <c r="AEL57" i="1" a="1"/>
  <c r="AER17" i="1" a="1"/>
  <c r="PH14" i="1" a="1"/>
  <c r="XB57" i="1" a="1"/>
  <c r="AEJ10" i="1" a="1"/>
  <c r="ALY75" i="1" a="1"/>
  <c r="AFB20" i="1" a="1"/>
  <c r="ADT10" i="1" a="1"/>
  <c r="NH59" i="1" a="1"/>
  <c r="UX10" i="1" a="1"/>
  <c r="AFE13" i="1" a="1"/>
  <c r="WR20" i="1" a="1"/>
  <c r="ALN13" i="1" a="1"/>
  <c r="AEX78" i="1" a="1"/>
  <c r="AED75" i="1" a="1"/>
  <c r="XB18" i="1" a="1"/>
  <c r="ND72" i="1" a="1"/>
  <c r="AEC10" i="1" a="1"/>
  <c r="ADU78" i="1" a="1"/>
  <c r="AFA75" i="1" a="1"/>
  <c r="XL14" i="1" a="1"/>
  <c r="XI20" i="1" a="1"/>
  <c r="RG60" i="1" a="1"/>
  <c r="NH10" i="1" a="1"/>
  <c r="ACN14" i="1" a="1"/>
  <c r="NG17" i="1" a="1"/>
  <c r="PT75" i="1" a="1"/>
  <c r="QT11" i="1" a="1"/>
  <c r="PS57" i="1" a="1"/>
  <c r="AEK57" i="1" a="1"/>
  <c r="WH58" i="1" a="1"/>
  <c r="AEW58" i="1" a="1"/>
  <c r="OH17" i="1" a="1"/>
  <c r="ADX56" i="1" a="1"/>
  <c r="QT15" i="1" a="1"/>
  <c r="AFE19" i="1" a="1"/>
  <c r="WP11" i="1" a="1"/>
  <c r="ALP16" i="1" a="1"/>
  <c r="YM21" i="1" a="1"/>
  <c r="ON15" i="1" a="1"/>
  <c r="ALX61" i="1" a="1"/>
  <c r="PF16" i="1" a="1"/>
  <c r="XC63" i="1" a="1"/>
  <c r="AER56" i="1" a="1"/>
  <c r="QT56" i="1" a="1"/>
  <c r="XD11" i="1" a="1"/>
  <c r="XF56" i="1" a="1"/>
  <c r="AMB61" i="1" a="1"/>
  <c r="AEG19" i="1" a="1"/>
  <c r="AMQ59" i="1" a="1"/>
  <c r="ALX15" i="1" a="1"/>
  <c r="AML21" i="1" a="1"/>
  <c r="ALO19" i="1" a="1"/>
  <c r="RG19" i="1" a="1"/>
  <c r="ADZ15" i="1" a="1"/>
  <c r="PU16" i="1" a="1"/>
  <c r="XB61" i="1" a="1"/>
  <c r="AMP15" i="1" a="1"/>
  <c r="QV56" i="1" a="1"/>
  <c r="YN18" i="1" a="1"/>
  <c r="AEK60" i="1" a="1"/>
  <c r="WJ15" i="1" a="1"/>
  <c r="WL55" i="1" a="1"/>
  <c r="PR63" i="1" a="1"/>
  <c r="AEW21" i="1" a="1"/>
  <c r="PW55" i="1" a="1"/>
  <c r="OZ61" i="1" a="1"/>
  <c r="AMG14" i="1" a="1"/>
  <c r="ADR22" i="1" a="1"/>
  <c r="ADW16" i="1" a="1"/>
  <c r="ADY55" i="1" a="1"/>
  <c r="AFC12" i="1" a="1"/>
  <c r="WD60" i="1" a="1"/>
  <c r="AMR19" i="1" a="1"/>
  <c r="AMW16" i="1" a="1"/>
  <c r="QU16" i="1" a="1"/>
  <c r="PI63" i="1" a="1"/>
  <c r="ANW61" i="1" a="1"/>
  <c r="WM22" i="1" a="1"/>
  <c r="WA56" i="1" a="1"/>
  <c r="OU15" i="1" a="1"/>
  <c r="PR55" i="1" a="1"/>
  <c r="AEA15" i="1" a="1"/>
  <c r="WT11" i="1" a="1"/>
  <c r="AFB63" i="1" a="1"/>
  <c r="AMM19" i="1" a="1"/>
  <c r="AEQ56" i="1" a="1"/>
  <c r="AMQ22" i="1" a="1"/>
  <c r="PS55" i="1" a="1"/>
  <c r="QW22" i="1" a="1"/>
  <c r="AMS13" i="1" a="1"/>
  <c r="WL22" i="1" a="1"/>
  <c r="ADX15" i="1" a="1"/>
  <c r="AMM15" i="1" a="1"/>
  <c r="AMC21" i="1" a="1"/>
  <c r="PW21" i="1" a="1"/>
  <c r="AMJ14" i="1" a="1"/>
  <c r="OW16" i="1" a="1"/>
  <c r="AML56" i="1" a="1"/>
  <c r="AEL55" i="1" a="1"/>
  <c r="AEL12" i="1" a="1"/>
  <c r="XH21" i="1" a="1"/>
  <c r="AMU56" i="1" a="1"/>
  <c r="WE63" i="1" a="1"/>
  <c r="VY12" i="1" a="1"/>
  <c r="AMR20" i="1" a="1"/>
  <c r="AMJ15" i="1" a="1"/>
  <c r="OJ19" i="1" a="1"/>
  <c r="WT61" i="1" a="1"/>
  <c r="AMS55" i="1" a="1"/>
  <c r="ACN55" i="1" a="1"/>
  <c r="PE21" i="1" a="1"/>
  <c r="PQ63" i="1" a="1"/>
  <c r="AKE21" i="1" a="1"/>
  <c r="OU55" i="1" a="1"/>
  <c r="ADS15" i="1" a="1"/>
  <c r="ADZ59" i="1" a="1"/>
  <c r="ACO12" i="1" a="1"/>
  <c r="AEW56" i="1" a="1"/>
  <c r="OI55" i="1" a="1"/>
  <c r="AMF59" i="1" a="1"/>
  <c r="PF59" i="1" a="1"/>
  <c r="ALZ63" i="1" a="1"/>
  <c r="ADT15" i="1" a="1"/>
  <c r="ADT19" i="1" a="1"/>
  <c r="ALV21" i="1" a="1"/>
  <c r="ADU61" i="1" a="1"/>
  <c r="WA59" i="1" a="1"/>
  <c r="ALU56" i="1" a="1"/>
  <c r="WG56" i="1" a="1"/>
  <c r="RH16" i="1" a="1"/>
  <c r="PW15" i="1" a="1"/>
  <c r="XD21" i="1" a="1"/>
  <c r="OK19" i="1" a="1"/>
  <c r="XJ15" i="1" a="1"/>
  <c r="XN55" i="1" a="1"/>
  <c r="OQ63" i="1" a="1"/>
  <c r="ALL19" i="1" a="1"/>
  <c r="ALI59" i="1" a="1"/>
  <c r="WT21" i="1" a="1"/>
  <c r="OP55" i="1" a="1"/>
  <c r="AME59" i="1" a="1"/>
  <c r="AEV12" i="1" a="1"/>
  <c r="AFF59" i="1" a="1"/>
  <c r="OX61" i="1" a="1"/>
  <c r="ALQ16" i="1" a="1"/>
  <c r="ACP16" i="1" a="1"/>
  <c r="XI55" i="1" a="1"/>
  <c r="ADT55" i="1" a="1"/>
  <c r="AEG63" i="1" a="1"/>
  <c r="XK15" i="1" a="1"/>
  <c r="PP61" i="1" a="1"/>
  <c r="OS12" i="1" a="1"/>
  <c r="AET61" i="1" a="1"/>
  <c r="AEF56" i="1" a="1"/>
  <c r="AGE12" i="1" a="1"/>
  <c r="AMD12" i="1" a="1"/>
  <c r="ADZ56" i="1" a="1"/>
  <c r="WD11" i="1" a="1"/>
  <c r="PP56" i="1" a="1"/>
  <c r="NF63" i="1" a="1"/>
  <c r="AEH56" i="1" a="1"/>
  <c r="AMU15" i="1" a="1"/>
  <c r="ACR58" i="1" a="1"/>
  <c r="WH72" i="1" a="1"/>
  <c r="PL13" i="1" a="1"/>
  <c r="AMO63" i="1" a="1"/>
  <c r="AEC20" i="1" a="1"/>
  <c r="PE62" i="1" a="1"/>
  <c r="ALX18" i="1" a="1"/>
  <c r="WP72" i="1" a="1"/>
  <c r="AMO13" i="1" a="1"/>
  <c r="VZ20" i="1" a="1"/>
  <c r="ACN75" i="1" a="1"/>
  <c r="PM60" i="1" a="1"/>
  <c r="OI75" i="1" a="1"/>
  <c r="AEY75" i="1" a="1"/>
  <c r="QT72" i="1" a="1"/>
  <c r="WL10" i="1" a="1"/>
  <c r="ANU17" i="1" a="1"/>
  <c r="AEG18" i="1" a="1"/>
  <c r="XA58" i="1" a="1"/>
  <c r="PI11" i="1" a="1"/>
  <c r="PQ56" i="1" a="1"/>
  <c r="ANU15" i="1" a="1"/>
  <c r="WP61" i="1" a="1"/>
  <c r="OK22" i="1" a="1"/>
  <c r="ALP21" i="1" a="1"/>
  <c r="XK59" i="1" a="1"/>
  <c r="XD22" i="1" a="1"/>
  <c r="AMV55" i="1" a="1"/>
  <c r="RG55" i="1" a="1"/>
  <c r="PJ17" i="1" a="1"/>
  <c r="AMO18" i="1" a="1"/>
  <c r="AEL10" i="1" a="1"/>
  <c r="WF18" i="1" a="1"/>
  <c r="ADZ72" i="1" a="1"/>
  <c r="AEN62" i="1" a="1"/>
  <c r="ALJ10" i="1" a="1"/>
  <c r="PU57" i="1" a="1"/>
  <c r="PA59" i="1" a="1"/>
  <c r="WI62" i="1" a="1"/>
  <c r="ANW10" i="1" a="1"/>
  <c r="AKI63" i="1" a="1"/>
  <c r="ALV57" i="1" a="1"/>
  <c r="ALU10" i="1" a="1"/>
  <c r="UY18" i="1" a="1"/>
  <c r="ADV58" i="1" a="1"/>
  <c r="WB75" i="1" a="1"/>
  <c r="ALN18" i="1" a="1"/>
  <c r="PD11" i="1" a="1"/>
  <c r="UU75" i="1" a="1"/>
  <c r="AEQ62" i="1" a="1"/>
  <c r="AKF58" i="1" a="1"/>
  <c r="ACN11" i="1" a="1"/>
  <c r="AMV72" i="1" a="1"/>
  <c r="PJ20" i="1" a="1"/>
  <c r="PI57" i="1" a="1"/>
  <c r="PA75" i="1" a="1"/>
  <c r="ANU12" i="1" a="1"/>
  <c r="OT15" i="1" a="1"/>
  <c r="AMU19" i="1" a="1"/>
  <c r="WK12" i="1" a="1"/>
  <c r="ADS63" i="1" a="1"/>
  <c r="VY63" i="1" a="1"/>
  <c r="ND19" i="1" a="1"/>
  <c r="AMN11" i="1" a="1"/>
  <c r="WK10" i="1" a="1"/>
  <c r="XN14" i="1" a="1"/>
  <c r="PS59" i="1" a="1"/>
  <c r="ALP18" i="1" a="1"/>
  <c r="WN77" i="1" a="1"/>
  <c r="AFE75" i="1" a="1"/>
  <c r="WU18" i="1" a="1"/>
  <c r="ANU10" i="1" a="1"/>
  <c r="ALM77" i="1" a="1"/>
  <c r="PP75" i="1" a="1"/>
  <c r="XN77" i="1" a="1"/>
  <c r="ANX18" i="1" a="1"/>
  <c r="AEX72" i="1" a="1"/>
  <c r="AEI58" i="1" a="1"/>
  <c r="ALO13" i="1" a="1"/>
  <c r="ALK72" i="1" a="1"/>
  <c r="UX58" i="1" a="1"/>
  <c r="AEE13" i="1" a="1"/>
  <c r="AMX13" i="1" a="1"/>
  <c r="AED60" i="1" a="1"/>
  <c r="ALV18" i="1" a="1"/>
  <c r="RH18" i="1" a="1"/>
  <c r="ADY11" i="1" a="1"/>
  <c r="ND11" i="1" a="1"/>
  <c r="AEU13" i="1" a="1"/>
  <c r="AEY62" i="1" a="1"/>
  <c r="ALW20" i="1" a="1"/>
  <c r="PO19" i="1" a="1"/>
  <c r="XL55" i="1" a="1"/>
  <c r="AFA61" i="1" a="1"/>
  <c r="PI21" i="1" a="1"/>
  <c r="PO12" i="1" a="1"/>
  <c r="XM12" i="1" a="1"/>
  <c r="AHK55" i="1" a="1"/>
  <c r="OO75" i="1" a="1"/>
  <c r="OV58" i="1" a="1"/>
  <c r="AFA72" i="1" a="1"/>
  <c r="PU10" i="1" a="1"/>
  <c r="OV75" i="1" a="1"/>
  <c r="WY77" i="1" a="1"/>
  <c r="ALS57" i="1" a="1"/>
  <c r="XH72" i="1" a="1"/>
  <c r="AMC13" i="1" a="1"/>
  <c r="AMU57" i="1" a="1"/>
  <c r="ALO58" i="1" a="1"/>
  <c r="WD75" i="1" a="1"/>
  <c r="PW58" i="1" a="1"/>
  <c r="OK57" i="1" a="1"/>
  <c r="AEW57" i="1" a="1"/>
  <c r="WB58" i="1" a="1"/>
  <c r="ALR17" i="1" a="1"/>
  <c r="OL62" i="1" a="1"/>
  <c r="AET62" i="1" a="1"/>
  <c r="AEF11" i="1" a="1"/>
  <c r="WP57" i="1" a="1"/>
  <c r="OI60" i="1" a="1"/>
  <c r="OR11" i="1" a="1"/>
  <c r="ADT75" i="1" a="1"/>
  <c r="PU13" i="1" a="1"/>
  <c r="ACQ78" i="1" a="1"/>
  <c r="PD77" i="1" a="1"/>
  <c r="AEN58" i="1" a="1"/>
  <c r="WA20" i="1" a="1"/>
  <c r="AEE57" i="1" a="1"/>
  <c r="AEO57" i="1" a="1"/>
  <c r="ANX58" i="1" a="1"/>
  <c r="AMJ58" i="1" a="1"/>
  <c r="ACP11" i="1" a="1"/>
  <c r="PL20" i="1" a="1"/>
  <c r="WG10" i="1" a="1"/>
  <c r="WS14" i="1" a="1"/>
  <c r="ALK10" i="1" a="1"/>
  <c r="AMB75" i="1" a="1"/>
  <c r="AGQ60" i="1" a="1"/>
  <c r="ANU72" i="1" a="1"/>
  <c r="AFE78" i="1" a="1"/>
  <c r="ADW15" i="1" a="1"/>
  <c r="AMX55" i="1" a="1"/>
  <c r="WK13" i="1" a="1"/>
  <c r="AEN61" i="1" a="1"/>
  <c r="XE60" i="1" a="1"/>
  <c r="OR16" i="1" a="1"/>
  <c r="WW56" i="1" a="1"/>
  <c r="AEC55" i="1" a="1"/>
  <c r="AEM12" i="1" a="1"/>
  <c r="AEJ63" i="1" a="1"/>
  <c r="ALY56" i="1" a="1"/>
  <c r="AEJ61" i="1" a="1"/>
  <c r="UW56" i="1" a="1"/>
  <c r="VZ59" i="1" a="1"/>
  <c r="ALY19" i="1" a="1"/>
  <c r="WW13" i="1" a="1"/>
  <c r="PB21" i="1" a="1"/>
  <c r="AEV61" i="1" a="1"/>
  <c r="AKF59" i="1" a="1"/>
  <c r="AEZ22" i="1" a="1"/>
  <c r="AKG22" i="1" a="1"/>
  <c r="WS12" i="1" a="1"/>
  <c r="AEC12" i="1" a="1"/>
  <c r="WC60" i="1" a="1"/>
  <c r="AMW19" i="1" a="1"/>
  <c r="AMX59" i="1" a="1"/>
  <c r="PJ21" i="1" a="1"/>
  <c r="PG11" i="1" a="1"/>
  <c r="UX12" i="1" a="1"/>
  <c r="PD15" i="1" a="1"/>
  <c r="ADY15" i="1" a="1"/>
  <c r="XA55" i="1" a="1"/>
  <c r="ALY21" i="1" a="1"/>
  <c r="QV21" i="1" a="1"/>
  <c r="UW59" i="1" a="1"/>
  <c r="AET15" i="1" a="1"/>
  <c r="ADZ19" i="1" a="1"/>
  <c r="PN16" i="1" a="1"/>
  <c r="AGD61" i="1" a="1"/>
  <c r="XA21" i="1" a="1"/>
  <c r="AKI15" i="1" a="1"/>
  <c r="WH15" i="1" a="1"/>
  <c r="PA15" i="1" a="1"/>
  <c r="AMN20" i="1" a="1"/>
  <c r="ALM19" i="1" a="1"/>
  <c r="ALR16" i="1" a="1"/>
  <c r="UV61" i="1" a="1"/>
  <c r="WN22" i="1" a="1"/>
  <c r="AGD55" i="1" a="1"/>
  <c r="AFG19" i="1" a="1"/>
  <c r="AEW63" i="1" a="1"/>
  <c r="WX59" i="1" a="1"/>
  <c r="PQ19" i="1" a="1"/>
  <c r="WU15" i="1" a="1"/>
  <c r="AMA14" i="1" a="1"/>
  <c r="PF22" i="1" a="1"/>
  <c r="AEH21" i="1" a="1"/>
  <c r="OU77" i="1" a="1"/>
  <c r="WL14" i="1" a="1"/>
  <c r="WQ61" i="1" a="1"/>
  <c r="NF55" i="1" a="1"/>
  <c r="AMS59" i="1" a="1"/>
  <c r="SA56" i="1" a="1"/>
  <c r="AGF59" i="1" a="1"/>
  <c r="QV12" i="1" a="1"/>
  <c r="AMX20" i="1" a="1"/>
  <c r="PE61" i="1" a="1"/>
  <c r="PV56" i="1" a="1"/>
  <c r="XN12" i="1" a="1"/>
  <c r="QU63" i="1" a="1"/>
  <c r="AMS22" i="1" a="1"/>
  <c r="ALU16" i="1" a="1"/>
  <c r="XA56" i="1" a="1"/>
  <c r="AMR56" i="1" a="1"/>
  <c r="WZ63" i="1" a="1"/>
  <c r="WO12" i="1" a="1"/>
  <c r="ON19" i="1" a="1"/>
  <c r="YM63" i="1" a="1"/>
  <c r="WO22" i="1" a="1"/>
  <c r="AEX56" i="1" a="1"/>
  <c r="OK21" i="1" a="1"/>
  <c r="QV55" i="1" a="1"/>
  <c r="AEY21" i="1" a="1"/>
  <c r="AMF12" i="1" a="1"/>
  <c r="VZ13" i="1" a="1"/>
  <c r="XF21" i="1" a="1"/>
  <c r="AFB55" i="1" a="1"/>
  <c r="OS21" i="1" a="1"/>
  <c r="OL15" i="1" a="1"/>
  <c r="PR75" i="1" a="1"/>
  <c r="ALR19" i="1" a="1"/>
  <c r="ACN19" i="1" a="1"/>
  <c r="OM21" i="1" a="1"/>
  <c r="OJ15" i="1" a="1"/>
  <c r="XN13" i="1" a="1"/>
  <c r="PM15" i="1" a="1"/>
  <c r="ALL61" i="1" a="1"/>
  <c r="PG61" i="1" a="1"/>
  <c r="WS60" i="1" a="1"/>
  <c r="ANU55" i="1" a="1"/>
  <c r="OR63" i="1" a="1"/>
  <c r="AMA15" i="1" a="1"/>
  <c r="ALK14" i="1" a="1"/>
  <c r="AHK15" i="1" a="1"/>
  <c r="OZ56" i="1" a="1"/>
  <c r="WW15" i="1" a="1"/>
  <c r="YM55" i="1" a="1"/>
  <c r="PW63" i="1" a="1"/>
  <c r="AFF16" i="1" a="1"/>
  <c r="AMN21" i="1" a="1"/>
  <c r="WT12" i="1" a="1"/>
  <c r="AKE19" i="1" a="1"/>
  <c r="AEB59" i="1" a="1"/>
  <c r="AMI22" i="1" a="1"/>
  <c r="ALM21" i="1" a="1"/>
  <c r="WH61" i="1" a="1"/>
  <c r="AES63" i="1" a="1"/>
  <c r="QW19" i="1" a="1"/>
  <c r="NE56" i="1" a="1"/>
  <c r="WD59" i="1" a="1"/>
  <c r="WM12" i="1" a="1"/>
  <c r="ADW21" i="1" a="1"/>
  <c r="ALV12" i="1" a="1"/>
  <c r="WT15" i="1" a="1"/>
  <c r="OV61" i="1" a="1"/>
  <c r="NE12" i="1" a="1"/>
  <c r="WU59" i="1" a="1"/>
  <c r="AKE20" i="1" a="1"/>
  <c r="ACN63" i="1" a="1"/>
  <c r="AEN12" i="1" a="1"/>
  <c r="WV63" i="1" a="1"/>
  <c r="AGQ63" i="1" a="1"/>
  <c r="WC12" i="1" a="1"/>
  <c r="OQ19" i="1" a="1"/>
  <c r="ALX12" i="1" a="1"/>
  <c r="AEJ56" i="1" a="1"/>
  <c r="PJ63" i="1" a="1"/>
  <c r="PQ16" i="1" a="1"/>
  <c r="ALR12" i="1" a="1"/>
  <c r="ALN12" i="1" a="1"/>
  <c r="PL22" i="1" a="1"/>
  <c r="PT56" i="1" a="1"/>
  <c r="AFC59" i="1" a="1"/>
  <c r="AMH19" i="1" a="1"/>
  <c r="OO63" i="1" a="1"/>
  <c r="WF61" i="1" a="1"/>
  <c r="PH61" i="1" a="1"/>
  <c r="OK63" i="1" a="1"/>
  <c r="AED61" i="1" a="1"/>
  <c r="OQ55" i="1" a="1"/>
  <c r="ACN15" i="1" a="1"/>
  <c r="XG11" i="1" a="1"/>
  <c r="XG13" i="1" a="1"/>
  <c r="PN21" i="1" a="1"/>
  <c r="PS63" i="1" a="1"/>
  <c r="PK18" i="1" a="1"/>
  <c r="ACQ19" i="1" a="1"/>
  <c r="WJ11" i="1" a="1"/>
  <c r="AEI61" i="1" a="1"/>
  <c r="ADS55" i="1" a="1"/>
  <c r="ALO56" i="1" a="1"/>
  <c r="WL56" i="1" a="1"/>
  <c r="AMV15" i="1" a="1"/>
  <c r="WV55" i="1" a="1"/>
  <c r="AFF63" i="1" a="1"/>
  <c r="AEB12" i="1" a="1"/>
  <c r="AEE16" i="1" a="1"/>
  <c r="XB55" i="1" a="1"/>
  <c r="AEV22" i="1" a="1"/>
  <c r="ACN21" i="1" a="1"/>
  <c r="AMT10" i="1" a="1"/>
  <c r="AEE18" i="1" a="1"/>
  <c r="ON20" i="1" a="1"/>
  <c r="OO62" i="1" a="1"/>
  <c r="OI59" i="1" a="1"/>
  <c r="QT62" i="1" a="1"/>
  <c r="AED13" i="1" a="1"/>
  <c r="PB77" i="1" a="1"/>
  <c r="AEI18" i="1" a="1"/>
  <c r="AEM60" i="1" a="1"/>
  <c r="ADT57" i="1" a="1"/>
  <c r="AMQ58" i="1" a="1"/>
  <c r="ALJ75" i="1" a="1"/>
  <c r="XD10" i="1" a="1"/>
  <c r="AEU60" i="1" a="1"/>
  <c r="AEC58" i="1" a="1"/>
  <c r="SA75" i="1" a="1"/>
  <c r="ADR58" i="1" a="1"/>
  <c r="WV10" i="1" a="1"/>
  <c r="AEM72" i="1" a="1"/>
  <c r="AMR61" i="1" a="1"/>
  <c r="ANX59" i="1" a="1"/>
  <c r="RH55" i="1" a="1"/>
  <c r="AEY19" i="1" a="1"/>
  <c r="PD56" i="1" a="1"/>
  <c r="AEL16" i="1" a="1"/>
  <c r="AMK56" i="1" a="1"/>
  <c r="NF61" i="1" a="1"/>
  <c r="WX12" i="1" a="1"/>
  <c r="AMD57" i="1" a="1"/>
  <c r="AED18" i="1" a="1"/>
  <c r="ALI17" i="1" a="1"/>
  <c r="UW14" i="1" a="1"/>
  <c r="AET10" i="1" a="1"/>
  <c r="NF60" i="1" a="1"/>
  <c r="PM72" i="1" a="1"/>
  <c r="OP59" i="1" a="1"/>
  <c r="RG20" i="1" a="1"/>
  <c r="PQ14" i="1" a="1"/>
  <c r="UU57" i="1" a="1"/>
  <c r="WM18" i="1" a="1"/>
  <c r="VZ75" i="1" a="1"/>
  <c r="ALW11" i="1" a="1"/>
  <c r="WO20" i="1" a="1"/>
  <c r="AKI11" i="1" a="1"/>
  <c r="WR14" i="1" a="1"/>
  <c r="UV17" i="1" a="1"/>
  <c r="ALQ60" i="1" a="1"/>
  <c r="PK60" i="1" a="1"/>
  <c r="AGE14" i="1" a="1"/>
  <c r="YL75" i="1" a="1"/>
  <c r="AFE62" i="1" a="1"/>
  <c r="WP20" i="1" a="1"/>
  <c r="AET11" i="1" a="1"/>
  <c r="AGD20" i="1" a="1"/>
  <c r="ALN15" i="1" a="1"/>
  <c r="PF61" i="1" a="1"/>
  <c r="AEI55" i="1" a="1"/>
  <c r="ALR22" i="1" a="1"/>
  <c r="ALU20" i="1" a="1"/>
  <c r="OZ19" i="1" a="1"/>
  <c r="AGQ61" i="1" a="1"/>
  <c r="AEX61" i="1" a="1"/>
  <c r="AEG57" i="1" a="1"/>
  <c r="OO10" i="1" a="1"/>
  <c r="ANU60" i="1" a="1"/>
  <c r="AEH18" i="1" a="1"/>
  <c r="OX60" i="1" a="1"/>
  <c r="XH77" i="1" a="1"/>
  <c r="AMW60" i="1" a="1"/>
  <c r="OT14" i="1" a="1"/>
  <c r="AFB17" i="1" a="1"/>
  <c r="PK75" i="1" a="1"/>
  <c r="PH17" i="1" a="1"/>
  <c r="OL77" i="1" a="1"/>
  <c r="ACP10" i="1" a="1"/>
  <c r="YN17" i="1" a="1"/>
  <c r="YL14" i="1" a="1"/>
  <c r="PC20" i="1" a="1"/>
  <c r="XH14" i="1" a="1"/>
  <c r="AKH77" i="1" a="1"/>
  <c r="UY77" i="1" a="1"/>
  <c r="AKH11" i="1" a="1"/>
  <c r="ADU72" i="1" a="1"/>
  <c r="AKH57" i="1" a="1"/>
  <c r="WV57" i="1" a="1"/>
  <c r="AGR17" i="1" a="1"/>
  <c r="AHK20" i="1" a="1"/>
  <c r="AED17" i="1" a="1"/>
  <c r="AEO20" i="1" a="1"/>
  <c r="AMM56" i="1" a="1"/>
  <c r="WF12" i="1" a="1"/>
  <c r="WU61" i="1" a="1"/>
  <c r="AEA22" i="1" a="1"/>
  <c r="AGG59" i="1" a="1"/>
  <c r="AEM55" i="1" a="1"/>
  <c r="YN56" i="1" a="1"/>
  <c r="OP20" i="1" a="1"/>
  <c r="WK18" i="1" a="1"/>
  <c r="ADX62" i="1" a="1"/>
  <c r="WV18" i="1" a="1"/>
  <c r="PN75" i="1" a="1"/>
  <c r="ALS10" i="1" a="1"/>
  <c r="ACP75" i="1" a="1"/>
  <c r="AMT13" i="1" a="1"/>
  <c r="NH62" i="1" a="1"/>
  <c r="NE59" i="1" a="1"/>
  <c r="VZ58" i="1" a="1"/>
  <c r="AEP62" i="1" a="1"/>
  <c r="YN20" i="1" a="1"/>
  <c r="OV17" i="1" a="1"/>
  <c r="OL57" i="1" a="1"/>
  <c r="ADW10" i="1" a="1"/>
  <c r="PS72" i="1" a="1"/>
  <c r="WF57" i="1" a="1"/>
  <c r="AKH63" i="1" a="1"/>
  <c r="AED14" i="1" a="1"/>
  <c r="AEL78" i="1" a="1"/>
  <c r="ALK58" i="1" a="1"/>
  <c r="AEO18" i="1" a="1"/>
  <c r="PP77" i="1" a="1"/>
  <c r="AEN10" i="1" a="1"/>
  <c r="AMR72" i="1" a="1"/>
  <c r="UW77" i="1" a="1"/>
  <c r="XA20" i="1" a="1"/>
  <c r="QT77" i="1" a="1"/>
  <c r="AMN58" i="1" a="1"/>
  <c r="QU17" i="1" a="1"/>
  <c r="AMI57" i="1" a="1"/>
  <c r="UU58" i="1" a="1"/>
  <c r="WE18" i="1" a="1"/>
  <c r="ADR18" i="1" a="1"/>
  <c r="OM18" i="1" a="1"/>
  <c r="AGE62" i="1" a="1"/>
  <c r="ALU11" i="1" a="1"/>
  <c r="SA77" i="1" a="1"/>
  <c r="VY72" i="1" a="1"/>
  <c r="AFC58" i="1" a="1"/>
  <c r="ADX72" i="1" a="1"/>
  <c r="AEH11" i="1" a="1"/>
  <c r="OL55" i="1" a="1"/>
  <c r="QW61" i="1" a="1"/>
  <c r="PU56" i="1" a="1"/>
  <c r="WM13" i="1" a="1"/>
  <c r="NG12" i="1" a="1"/>
  <c r="AMW20" i="1" a="1"/>
  <c r="AKH55" i="1" a="1"/>
  <c r="ANW16" i="1" a="1"/>
  <c r="WK21" i="1" a="1"/>
  <c r="OM19" i="1" a="1"/>
  <c r="AEH15" i="1" a="1"/>
  <c r="WK15" i="1" a="1"/>
  <c r="AER16" i="1" a="1"/>
  <c r="AME55" i="1" a="1"/>
  <c r="UU15" i="1" a="1"/>
  <c r="AMR14" i="1" a="1"/>
  <c r="ADW59" i="1" a="1"/>
  <c r="WQ11" i="1" a="1"/>
  <c r="ALK56" i="1" a="1"/>
  <c r="ACR19" i="1" a="1"/>
  <c r="ADU19" i="1" a="1"/>
  <c r="AMC20" i="1" a="1"/>
  <c r="WP12" i="1" a="1"/>
  <c r="AMK15" i="1" a="1"/>
  <c r="AFC63" i="1" a="1"/>
  <c r="ALV19" i="1" a="1"/>
  <c r="ACO59" i="1" a="1"/>
  <c r="ALZ17" i="1" a="1"/>
  <c r="WF56" i="1" a="1"/>
  <c r="ALO15" i="1" a="1"/>
  <c r="AEE19" i="1" a="1"/>
  <c r="WC61" i="1" a="1"/>
  <c r="AMB14" i="1" a="1"/>
  <c r="AGD59" i="1" a="1"/>
  <c r="PJ15" i="1" a="1"/>
  <c r="PU55" i="1" a="1"/>
  <c r="OW61" i="1" a="1"/>
  <c r="VZ60" i="1" a="1"/>
  <c r="AMI56" i="1" a="1"/>
  <c r="QT63" i="1" a="1"/>
  <c r="UW21" i="1" a="1"/>
  <c r="PN12" i="1" a="1"/>
  <c r="UX13" i="1" a="1"/>
  <c r="NG61" i="1" a="1"/>
  <c r="WX15" i="1" a="1"/>
  <c r="ALR55" i="1" a="1"/>
  <c r="OY19" i="1" a="1"/>
  <c r="OS61" i="1" a="1"/>
  <c r="ALR14" i="1" a="1"/>
  <c r="AMD61" i="1" a="1"/>
  <c r="VY61" i="1" a="1"/>
  <c r="AET63" i="1" a="1"/>
  <c r="ALP15" i="1" a="1"/>
  <c r="AMQ14" i="1" a="1"/>
  <c r="ALP22" i="1" a="1"/>
  <c r="AFG15" i="1" a="1"/>
  <c r="ALS59" i="1" a="1"/>
  <c r="WM14" i="1" a="1"/>
  <c r="ALX56" i="1" a="1"/>
  <c r="AFB12" i="1" a="1"/>
  <c r="AEA16" i="1" a="1"/>
  <c r="ADZ61" i="1" a="1"/>
  <c r="PM22" i="1" a="1"/>
  <c r="AEQ61" i="1" a="1"/>
  <c r="AEQ55" i="1" a="1"/>
  <c r="PP21" i="1" a="1"/>
  <c r="WO59" i="1" a="1"/>
  <c r="AMC56" i="1" a="1"/>
  <c r="YK56" i="1" a="1"/>
  <c r="AMC55" i="1" a="1"/>
  <c r="XD55" i="1" a="1"/>
  <c r="ADT63" i="1" a="1"/>
  <c r="ALJ14" i="1" a="1"/>
  <c r="ALW22" i="1" a="1"/>
  <c r="AMK16" i="1" a="1"/>
  <c r="XE56" i="1" a="1"/>
  <c r="ACO21" i="1" a="1"/>
  <c r="XH63" i="1" a="1"/>
  <c r="NH16" i="1" a="1"/>
  <c r="AMF56" i="1" a="1"/>
  <c r="ADW56" i="1" a="1"/>
  <c r="AFF55" i="1" a="1"/>
  <c r="AMR59" i="1" a="1"/>
  <c r="ADY63" i="1" a="1"/>
  <c r="ALN16" i="1" a="1"/>
  <c r="NE63" i="1" a="1"/>
  <c r="WU55" i="1" a="1"/>
  <c r="AEC59" i="1" a="1"/>
  <c r="PB16" i="1" a="1"/>
  <c r="AML60" i="1" a="1"/>
  <c r="ALM59" i="1" a="1"/>
  <c r="OO56" i="1" a="1"/>
  <c r="AER59" i="1" a="1"/>
  <c r="PH21" i="1" a="1"/>
  <c r="ALQ14" i="1" a="1"/>
  <c r="AEG55" i="1" a="1"/>
  <c r="ACP12" i="1" a="1"/>
  <c r="YN59" i="1" a="1"/>
  <c r="AKG56" i="1" a="1"/>
  <c r="XB15" i="1" a="1"/>
  <c r="ND16" i="1" a="1"/>
  <c r="ALU59" i="1" a="1"/>
  <c r="AEK21" i="1" a="1"/>
  <c r="OX55" i="1" a="1"/>
  <c r="WG12" i="1" a="1"/>
  <c r="OH12" i="1" a="1"/>
  <c r="XE61" i="1" a="1"/>
  <c r="ALZ14" i="1" a="1"/>
  <c r="AFC56" i="1" a="1"/>
  <c r="ANX56" i="1" a="1"/>
  <c r="WD56" i="1" a="1"/>
  <c r="AEQ63" i="1" a="1"/>
  <c r="OU21" i="1" a="1"/>
  <c r="ADV19" i="1" a="1"/>
  <c r="PF56" i="1" a="1"/>
  <c r="AEX12" i="1" a="1"/>
  <c r="AFB16" i="1" a="1"/>
  <c r="OX56" i="1" a="1"/>
  <c r="AED63" i="1" a="1"/>
  <c r="PT55" i="1" a="1"/>
  <c r="XH61" i="1" a="1"/>
  <c r="WT13" i="1" a="1"/>
  <c r="ALP14" i="1" a="1"/>
  <c r="ADS61" i="1" a="1"/>
  <c r="OT19" i="1" a="1"/>
  <c r="UX59" i="1" a="1"/>
  <c r="WW21" i="1" a="1"/>
  <c r="WP15" i="1" a="1"/>
  <c r="ACR15" i="1" a="1"/>
  <c r="ACR12" i="1" a="1"/>
  <c r="WG60" i="1" a="1"/>
  <c r="AEZ72" i="1" a="1"/>
  <c r="AML15" i="1" a="1"/>
  <c r="PM12" i="1" a="1"/>
  <c r="YK21" i="1" a="1"/>
  <c r="ALR61" i="1" a="1"/>
  <c r="AGD15" i="1" a="1"/>
  <c r="AGE22" i="1" a="1"/>
  <c r="AFG59" i="1" a="1"/>
  <c r="UU55" i="1" a="1"/>
  <c r="PD21" i="1" a="1"/>
  <c r="PE15" i="1" a="1"/>
  <c r="UU13" i="1" a="1"/>
  <c r="PT12" i="1" a="1"/>
  <c r="AKH59" i="1" a="1"/>
  <c r="ADT21" i="1" a="1"/>
  <c r="PJ19" i="1" a="1"/>
  <c r="PH19" i="1" a="1"/>
  <c r="AKE12" i="1" a="1"/>
  <c r="AHK59" i="1" a="1"/>
  <c r="PK21" i="1" a="1"/>
  <c r="AEB19" i="1" a="1"/>
  <c r="QW16" i="1" a="1"/>
  <c r="AMM57" i="1" a="1"/>
  <c r="ALX60" i="1" a="1"/>
  <c r="AGG55" i="1" a="1"/>
  <c r="ALI16" i="1" a="1"/>
  <c r="UY60" i="1" a="1"/>
  <c r="AMN56" i="1" a="1"/>
  <c r="WB56" i="1" a="1"/>
  <c r="AGR21" i="1" a="1"/>
  <c r="ACP19" i="1" a="1"/>
  <c r="AEI63" i="1" a="1"/>
  <c r="AML19" i="1" a="1"/>
  <c r="QV22" i="1" a="1"/>
  <c r="AEP19" i="1" a="1"/>
  <c r="AGQ56" i="1" a="1"/>
  <c r="ADW61" i="1" a="1"/>
  <c r="AGG19" i="1" a="1"/>
  <c r="AEQ16" i="1" a="1"/>
  <c r="WM59" i="1" a="1"/>
  <c r="PG22" i="1" a="1"/>
  <c r="XE22" i="1" a="1"/>
  <c r="AEU59" i="1" a="1"/>
  <c r="WO55" i="1" a="1"/>
  <c r="WC56" i="1" a="1"/>
  <c r="XI21" i="1" a="1"/>
  <c r="AEL21" i="1" a="1"/>
  <c r="WW11" i="1" a="1"/>
  <c r="AFD61" i="1" a="1"/>
  <c r="UY63" i="1" a="1"/>
  <c r="ADY22" i="1" a="1"/>
  <c r="XD60" i="1" a="1"/>
  <c r="UY21" i="1" a="1"/>
  <c r="WR61" i="1" a="1"/>
  <c r="ADV14" i="1" a="1"/>
  <c r="XC11" i="1" a="1"/>
  <c r="PJ56" i="1" a="1"/>
  <c r="XN21" i="1" a="1"/>
  <c r="ALR15" i="1" a="1"/>
  <c r="UV63" i="1" a="1"/>
  <c r="AMQ15" i="1" a="1"/>
  <c r="AMS21" i="1" a="1"/>
  <c r="ADV63" i="1" a="1"/>
  <c r="AGG12" i="1" a="1"/>
  <c r="PF21" i="1" a="1"/>
  <c r="WN55" i="1" a="1"/>
  <c r="XM11" i="1" a="1"/>
  <c r="ALI56" i="1" a="1"/>
  <c r="AED55" i="1" a="1"/>
  <c r="PC56" i="1" a="1"/>
  <c r="AEO59" i="1" a="1"/>
  <c r="QT12" i="1" a="1"/>
  <c r="ALW12" i="1" a="1"/>
  <c r="XJ12" i="1" a="1"/>
  <c r="OH55" i="1" a="1"/>
  <c r="PJ22" i="1" a="1"/>
  <c r="AFG56" i="1" a="1"/>
  <c r="PG19" i="1" a="1"/>
  <c r="ACO56" i="1" a="1"/>
  <c r="ALV20" i="1" a="1"/>
  <c r="ADR55" i="1" a="1"/>
  <c r="NH19" i="1" a="1"/>
  <c r="WZ22" i="1" a="1"/>
  <c r="ANX55" i="1" a="1"/>
  <c r="PP19" i="1" a="1"/>
  <c r="PD22" i="1" a="1"/>
  <c r="UW12" i="1" a="1"/>
  <c r="AEJ16" i="1" a="1"/>
  <c r="OJ63" i="1" a="1"/>
  <c r="AEN63" i="1" a="1"/>
  <c r="AMX61" i="1" a="1"/>
  <c r="AME16" i="1" a="1"/>
  <c r="YM11" i="1" a="1"/>
  <c r="AGF19" i="1" a="1"/>
  <c r="NG19" i="1" a="1"/>
  <c r="PV15" i="1" a="1"/>
  <c r="AKF22" i="1" a="1"/>
  <c r="PS16" i="1" a="1"/>
  <c r="ADT56" i="1" a="1"/>
  <c r="WG61" i="1" a="1"/>
  <c r="WJ21" i="1" a="1"/>
  <c r="QV19" i="1" a="1"/>
  <c r="PI12" i="1" a="1"/>
  <c r="VZ63" i="1" a="1"/>
  <c r="ADT16" i="1" a="1"/>
  <c r="ADT12" i="1" a="1"/>
  <c r="OO19" i="1" a="1"/>
  <c r="ALW16" i="1" a="1"/>
  <c r="OS63" i="1" a="1"/>
  <c r="ACR62" i="1" a="1"/>
  <c r="AEM75" i="1" a="1"/>
  <c r="AGR63" i="1" a="1"/>
  <c r="PD19" i="1" a="1"/>
  <c r="WF15" i="1" a="1"/>
  <c r="WA55" i="1" a="1"/>
  <c r="AMV21" i="1" a="1"/>
  <c r="AEE61" i="1" a="1"/>
  <c r="WL60" i="1" a="1"/>
  <c r="OQ21" i="1" a="1"/>
  <c r="AMU14" i="1" a="1"/>
  <c r="XK11" i="1" a="1"/>
  <c r="AMK20" i="1" a="1"/>
  <c r="ADU55" i="1" a="1"/>
  <c r="ALP12" i="1" a="1"/>
  <c r="AMJ20" i="1" a="1"/>
  <c r="ND12" i="1" a="1"/>
  <c r="WL15" i="1" a="1"/>
  <c r="PI16" i="1" a="1"/>
  <c r="ON63" i="1" a="1"/>
  <c r="AMH22" i="1" a="1"/>
  <c r="ALS12" i="1" a="1"/>
  <c r="AMK21" i="1" a="1"/>
  <c r="AHK16" i="1" a="1"/>
  <c r="AMU20" i="1" a="1"/>
  <c r="ALI55" i="1" a="1"/>
  <c r="OK55" i="1" a="1"/>
  <c r="AGR22" i="1" a="1"/>
  <c r="XB12" i="1" a="1"/>
  <c r="AFF22" i="1" a="1"/>
  <c r="AGF16" i="1" a="1"/>
  <c r="WL18" i="1" a="1"/>
  <c r="PB63" i="1" a="1"/>
  <c r="AEF21" i="1" a="1"/>
  <c r="AML16" i="1" a="1"/>
  <c r="AEL15" i="1" a="1"/>
  <c r="PR56" i="1" a="1"/>
  <c r="WP59" i="1" a="1"/>
  <c r="PA12" i="1" a="1"/>
  <c r="AEQ19" i="1" a="1"/>
  <c r="WY11" i="1" a="1"/>
  <c r="YM56" i="1" a="1"/>
  <c r="AMD19" i="1" a="1"/>
  <c r="OX19" i="1" a="1"/>
  <c r="AEH63" i="1" a="1"/>
  <c r="ALW56" i="1" a="1"/>
  <c r="AMQ61" i="1" a="1"/>
  <c r="WF11" i="1" a="1"/>
  <c r="WJ63" i="1" a="1"/>
  <c r="AMT15" i="1" a="1"/>
  <c r="AET19" i="1" a="1"/>
  <c r="YK11" i="1" a="1"/>
  <c r="ON56" i="1" a="1"/>
  <c r="ALN22" i="1" a="1"/>
  <c r="SA22" i="1" a="1"/>
  <c r="PH22" i="1" a="1"/>
  <c r="AEG21" i="1" a="1"/>
  <c r="AHK61" i="1" a="1"/>
  <c r="XF63" i="1" a="1"/>
  <c r="OL22" i="1" a="1"/>
  <c r="AGE56" i="1" a="1"/>
  <c r="AGR15" i="1" a="1"/>
  <c r="ALU58" i="1" a="1"/>
  <c r="AMU60" i="1" a="1"/>
  <c r="AED21" i="1" a="1"/>
  <c r="AEY56" i="1" a="1"/>
  <c r="ACP15" i="1" a="1"/>
  <c r="AEI19" i="1" a="1"/>
  <c r="XE13" i="1" a="1"/>
  <c r="PO21" i="1" a="1"/>
  <c r="ALL22" i="1" a="1"/>
  <c r="OY12" i="1" a="1"/>
  <c r="ALQ20" i="1" a="1"/>
  <c r="AMC19" i="1" a="1"/>
  <c r="WB63" i="1" a="1"/>
  <c r="XK21" i="1" a="1"/>
  <c r="AEO12" i="1" a="1"/>
  <c r="WC15" i="1" a="1"/>
  <c r="NG55" i="1" a="1"/>
  <c r="AES15" i="1" a="1"/>
  <c r="AKI55" i="1" a="1"/>
  <c r="AMT21" i="1" a="1"/>
  <c r="XF61" i="1" a="1"/>
  <c r="AMM20" i="1" a="1"/>
  <c r="WU13" i="1" a="1"/>
  <c r="ACQ59" i="1" a="1"/>
  <c r="AEN19" i="1" a="1"/>
  <c r="WC55" i="1" a="1"/>
  <c r="AEE56" i="1" a="1"/>
  <c r="UY11" i="1" a="1"/>
  <c r="AKG55" i="1" a="1"/>
  <c r="AMC16" i="1" a="1"/>
  <c r="AEG61" i="1" a="1"/>
  <c r="PO55" i="1" a="1"/>
  <c r="AMO15" i="1" a="1"/>
  <c r="PB22" i="1" a="1"/>
  <c r="WB13" i="1" a="1"/>
  <c r="AEL59" i="1" a="1"/>
  <c r="PV22" i="1" a="1"/>
  <c r="AKH21" i="1" a="1"/>
  <c r="XN22" i="1" a="1"/>
  <c r="AGD56" i="1" a="1"/>
  <c r="XM63" i="1" a="1"/>
  <c r="ACQ61" i="1" a="1"/>
  <c r="AEN16" i="1" a="1"/>
  <c r="ALI19" i="1" a="1"/>
  <c r="WG22" i="1" a="1"/>
  <c r="AEA55" i="1" a="1"/>
  <c r="WP21" i="1" a="1"/>
  <c r="AGF22" i="1" a="1"/>
  <c r="ADX16" i="1" a="1"/>
  <c r="WO56" i="1" a="1"/>
  <c r="ALR59" i="1" a="1"/>
  <c r="AMC14" i="1" a="1"/>
  <c r="AFC55" i="1" a="1"/>
  <c r="OV56" i="1" a="1"/>
  <c r="WV14" i="1" a="1"/>
  <c r="AGG16" i="1" a="1"/>
  <c r="UV55" i="1" a="1"/>
  <c r="PJ16" i="1" a="1"/>
  <c r="AMK19" i="1" a="1"/>
  <c r="AMJ61" i="1" a="1"/>
  <c r="AMQ19" i="1" a="1"/>
  <c r="UX63" i="1" a="1"/>
  <c r="YN12" i="1" a="1"/>
  <c r="ND63" i="1" a="1"/>
  <c r="ADR21" i="1" a="1"/>
  <c r="PC55" i="1" a="1"/>
  <c r="QU21" i="1" a="1"/>
  <c r="PR15" i="1" a="1"/>
  <c r="AEW22" i="1" a="1"/>
  <c r="OV15" i="1" a="1"/>
  <c r="AMA21" i="1" a="1"/>
  <c r="PM56" i="1" a="1"/>
  <c r="AEW12" i="1" a="1"/>
  <c r="PO61" i="1" a="1"/>
  <c r="AMS20" i="1" a="1"/>
  <c r="UU61" i="1" a="1"/>
  <c r="XG59" i="1" a="1"/>
  <c r="AEP22" i="1" a="1"/>
  <c r="XC20" i="1" a="1"/>
  <c r="AEV55" i="1" a="1"/>
  <c r="AMO21" i="1" a="1"/>
  <c r="AGQ59" i="1" a="1"/>
  <c r="AEV56" i="1" a="1"/>
  <c r="YK60" i="1" a="1"/>
  <c r="AKH22" i="1" a="1"/>
  <c r="WX61" i="1" a="1"/>
  <c r="XM56" i="1" a="1"/>
  <c r="WS59" i="1" a="1"/>
  <c r="OX63" i="1" a="1"/>
  <c r="PD63" i="1" a="1"/>
  <c r="OI61" i="1" a="1"/>
  <c r="AGR55" i="1" a="1"/>
  <c r="ANU20" i="1" a="1"/>
  <c r="XN59" i="1" a="1"/>
  <c r="OH22" i="1" a="1"/>
  <c r="ALT22" i="1" a="1"/>
  <c r="WT22" i="1" a="1"/>
  <c r="WW22" i="1" a="1"/>
  <c r="ALK12" i="1" a="1"/>
  <c r="XI59" i="1" a="1"/>
  <c r="ADU59" i="1" a="1"/>
  <c r="PC11" i="1" a="1"/>
  <c r="WT59" i="1" a="1"/>
  <c r="AMV16" i="1" a="1"/>
  <c r="QT16" i="1" a="1"/>
  <c r="ALN19" i="1" a="1"/>
  <c r="ALZ15" i="1" a="1"/>
  <c r="WJ61" i="1" a="1"/>
  <c r="ALW21" i="1" a="1"/>
  <c r="AGD19" i="1" a="1"/>
  <c r="AEQ59" i="1" a="1"/>
  <c r="OT61" i="1" a="1"/>
  <c r="OY56" i="1" a="1"/>
  <c r="AHK63" i="1" a="1"/>
  <c r="OJ12" i="1" a="1"/>
  <c r="AMX21" i="1" a="1"/>
  <c r="ADW55" i="1" a="1"/>
  <c r="XA63" i="1" a="1"/>
  <c r="WH11" i="1" a="1"/>
  <c r="ALL56" i="1" a="1"/>
  <c r="ADU56" i="1" a="1"/>
  <c r="ALS61" i="1" a="1"/>
  <c r="XJ60" i="1" a="1"/>
  <c r="AEF14" i="1" a="1"/>
  <c r="OW21" i="1" a="1"/>
  <c r="AMW14" i="1" a="1"/>
  <c r="WE12" i="1" a="1"/>
  <c r="ALX55" i="1" a="1"/>
  <c r="AMP22" i="1" a="1"/>
  <c r="AMM55" i="1" a="1"/>
  <c r="AML59" i="1" a="1"/>
  <c r="WG21" i="1" a="1"/>
  <c r="PS19" i="1" a="1"/>
  <c r="AED16" i="1" a="1"/>
  <c r="XC22" i="1" a="1"/>
  <c r="PI61" i="1" a="1"/>
  <c r="QU12" i="1" a="1"/>
  <c r="WL13" i="1" a="1"/>
  <c r="ANW14" i="1" a="1"/>
  <c r="AEP56" i="1" a="1"/>
  <c r="AFC61" i="1" a="1"/>
  <c r="AHK19" i="1" a="1"/>
  <c r="OT16" i="1" a="1"/>
  <c r="PI19" i="1" a="1"/>
  <c r="AEJ15" i="1" a="1"/>
  <c r="ALX22" i="1" a="1"/>
  <c r="WK56" i="1" a="1"/>
  <c r="ALY59" i="1" a="1"/>
  <c r="XN60" i="1" a="1"/>
  <c r="WG13" i="1" a="1"/>
  <c r="WJ59" i="1" a="1"/>
  <c r="AEC19" i="1" a="1"/>
  <c r="AMT56" i="1" a="1"/>
  <c r="RH63" i="1" a="1"/>
  <c r="AGG15" i="1" a="1"/>
  <c r="ADZ18" i="1" a="1"/>
  <c r="WE60" i="1" a="1"/>
  <c r="ALP19" i="1" a="1"/>
  <c r="PL63" i="1" a="1"/>
  <c r="XE21" i="1" a="1"/>
  <c r="AKE56" i="1" a="1"/>
  <c r="ALQ59" i="1" a="1"/>
  <c r="NG56" i="1" a="1"/>
  <c r="QU19" i="1" a="1"/>
  <c r="AEB21" i="1" a="1"/>
  <c r="AEV59" i="1" a="1"/>
  <c r="PO15" i="1" a="1"/>
  <c r="WM60" i="1" a="1"/>
  <c r="OH16" i="1" a="1"/>
  <c r="AES61" i="1" a="1"/>
  <c r="PN22" i="1" a="1"/>
  <c r="AEC21" i="1" a="1"/>
  <c r="AER55" i="1" a="1"/>
  <c r="ANU56" i="1" a="1"/>
  <c r="WP56" i="1" a="1"/>
  <c r="AGR16" i="1" a="1"/>
  <c r="AKF16" i="1" a="1"/>
  <c r="ADS22" i="1" a="1"/>
  <c r="WF21" i="1" a="1"/>
  <c r="OZ21" i="1" a="1"/>
  <c r="ANX19" i="1" a="1"/>
  <c r="ALX16" i="1" a="1"/>
  <c r="AES55" i="1" a="1"/>
  <c r="ACO63" i="1" a="1"/>
  <c r="UW15" i="1" a="1"/>
  <c r="WB12" i="1" a="1"/>
  <c r="PP55" i="1" a="1"/>
  <c r="AMO20" i="1" a="1"/>
  <c r="AMW21" i="1" a="1"/>
  <c r="ALT55" i="1" a="1"/>
  <c r="OW19" i="1" a="1"/>
  <c r="AEJ22" i="1" a="1"/>
  <c r="AEB63" i="1" a="1"/>
  <c r="ACN12" i="1" a="1"/>
  <c r="WT63" i="1" a="1"/>
  <c r="PO22" i="1" a="1"/>
  <c r="WF13" i="1" a="1"/>
  <c r="ACO19" i="1" a="1"/>
  <c r="ALO20" i="1" a="1"/>
  <c r="AGF61" i="1" a="1"/>
  <c r="AFG12" i="1" a="1"/>
  <c r="WW61" i="1" a="1"/>
  <c r="QT61" i="1" a="1"/>
  <c r="WO21" i="1" a="1"/>
  <c r="AMH56" i="1" a="1"/>
  <c r="AMG21" i="1" a="1"/>
  <c r="AEE55" i="1" a="1"/>
  <c r="AGQ12" i="1" a="1"/>
  <c r="XK61" i="1" a="1"/>
  <c r="ALZ59" i="1" a="1"/>
  <c r="OW17" i="1" a="1"/>
  <c r="NF15" i="1" a="1"/>
  <c r="OT63" i="1" a="1"/>
  <c r="AEE21" i="1" a="1"/>
  <c r="OT56" i="1" a="1"/>
  <c r="AEI15" i="1" a="1"/>
  <c r="OH56" i="1" a="1"/>
  <c r="XC13" i="1" a="1"/>
  <c r="AFD16" i="1" a="1"/>
  <c r="ACN59" i="1" a="1"/>
  <c r="PV12" i="1" a="1"/>
  <c r="WP60" i="1" a="1"/>
  <c r="AMA19" i="1" a="1"/>
  <c r="AMI16" i="1" a="1"/>
  <c r="UX21" i="1" a="1"/>
  <c r="UW55" i="1" a="1"/>
  <c r="AKE61" i="1" a="1"/>
  <c r="AMV12" i="1" a="1"/>
  <c r="ANV20" i="1" a="1"/>
  <c r="AMS15" i="1" a="1"/>
  <c r="AMC61" i="1" a="1"/>
  <c r="XN11" i="1" a="1"/>
  <c r="PR12" i="1" a="1"/>
  <c r="AMH21" i="1" a="1"/>
  <c r="XI13" i="1" a="1"/>
  <c r="WU63" i="1" a="1"/>
  <c r="WZ21" i="1" a="1"/>
  <c r="ALQ12" i="1" a="1"/>
  <c r="ALY20" i="1" a="1"/>
  <c r="AMN15" i="1" a="1"/>
  <c r="AMI72" i="1" a="1"/>
  <c r="AEI75" i="1" a="1"/>
  <c r="ALM15" i="1" a="1"/>
  <c r="ALO21" i="1" a="1"/>
  <c r="WM61" i="1" a="1"/>
  <c r="OO55" i="1" a="1"/>
  <c r="AEX22" i="1" a="1"/>
  <c r="AFC16" i="1" a="1"/>
  <c r="ALY61" i="1" a="1"/>
  <c r="OY15" i="1" a="1"/>
  <c r="XI60" i="1" a="1"/>
  <c r="ALM56" i="1" a="1"/>
  <c r="XC15" i="1" a="1"/>
  <c r="XH12" i="1" a="1"/>
  <c r="PB19" i="1" a="1"/>
  <c r="ANV22" i="1" a="1"/>
  <c r="ALY16" i="1" a="1"/>
  <c r="AFD63" i="1" a="1"/>
  <c r="ALN56" i="1" a="1"/>
  <c r="AKE59" i="1" a="1"/>
  <c r="AFG63" i="1" a="1"/>
  <c r="UV60" i="1" a="1"/>
  <c r="PI22" i="1" a="1"/>
  <c r="WE15" i="1" a="1"/>
  <c r="PJ55" i="1" a="1"/>
  <c r="ANV15" i="1" a="1"/>
  <c r="ALI21" i="1" a="1"/>
  <c r="PA61" i="1" a="1"/>
  <c r="AFG61" i="1" a="1"/>
  <c r="AMW12" i="1" a="1"/>
  <c r="OJ56" i="1" a="1"/>
  <c r="AEJ12" i="1" a="1"/>
  <c r="AGF60" i="1" a="1"/>
  <c r="AED10" i="1" a="1"/>
  <c r="ALJ21" i="1" a="1"/>
  <c r="PS56" i="1" a="1"/>
  <c r="QU55" i="1" a="1"/>
  <c r="RG61" i="1" a="1"/>
  <c r="YM22" i="1" a="1"/>
  <c r="PK16" i="1" a="1"/>
  <c r="AEH61" i="1" a="1"/>
  <c r="AEX55" i="1" a="1"/>
  <c r="PV61" i="1" a="1"/>
  <c r="XN15" i="1" a="1"/>
  <c r="ALL16" i="1" a="1"/>
  <c r="PP63" i="1" a="1"/>
  <c r="AGF21" i="1" a="1"/>
  <c r="PE56" i="1" a="1"/>
  <c r="WI21" i="1" a="1"/>
  <c r="AFE12" i="1" a="1"/>
  <c r="WS15" i="1" a="1"/>
  <c r="AMI14" i="1" a="1"/>
  <c r="AHK12" i="1" a="1"/>
  <c r="AMD56" i="1" a="1"/>
  <c r="AMA12" i="1" a="1"/>
  <c r="YM13" i="1" a="1"/>
  <c r="WL12" i="1" a="1"/>
  <c r="ADV15" i="1" a="1"/>
  <c r="AGD21" i="1" a="1"/>
  <c r="UW60" i="1" a="1"/>
  <c r="XB63" i="1" a="1"/>
  <c r="AMN16" i="1" a="1"/>
  <c r="WJ13" i="1" a="1"/>
  <c r="UU22" i="1" a="1"/>
  <c r="WI59" i="1" a="1"/>
  <c r="AGR19" i="1" a="1"/>
  <c r="AGE19" i="1" a="1"/>
  <c r="AEF61" i="1" a="1"/>
  <c r="AER19" i="1" a="1"/>
  <c r="AML14" i="1" a="1"/>
  <c r="ACP22" i="1" a="1"/>
  <c r="AMX56" i="1" a="1"/>
  <c r="AEA61" i="1" a="1"/>
  <c r="AEB22" i="1" a="1"/>
  <c r="AEM61" i="1" a="1"/>
  <c r="WZ15" i="1" a="1"/>
  <c r="ALU15" i="1" a="1"/>
  <c r="XC59" i="1" a="1"/>
  <c r="PH63" i="1" a="1"/>
  <c r="ADS19" i="1" a="1"/>
  <c r="ALX21" i="1" a="1"/>
  <c r="AEI16" i="1" a="1"/>
  <c r="XL56" i="1" a="1"/>
  <c r="OP61" i="1" a="1"/>
  <c r="ACO61" i="1" a="1"/>
  <c r="WQ15" i="1" a="1"/>
  <c r="AMM58" i="1" a="1"/>
  <c r="AEN56" i="1" a="1"/>
  <c r="OK15" i="1" a="1"/>
  <c r="ALX20" i="1" a="1"/>
  <c r="UW11" i="1" a="1"/>
  <c r="AEU61" i="1" a="1"/>
  <c r="AMF22" i="1" a="1"/>
  <c r="UV22" i="1" a="1"/>
  <c r="ALN20" i="1" a="1"/>
  <c r="ALN55" i="1" a="1"/>
  <c r="AMJ59" i="1" a="1"/>
  <c r="ALL14" i="1" a="1"/>
  <c r="AGE59" i="1" a="1"/>
  <c r="ND21" i="1" a="1"/>
  <c r="WQ55" i="1" a="1"/>
  <c r="YM61" i="1" a="1"/>
  <c r="ALL55" i="1" a="1"/>
  <c r="ACR22" i="1" a="1"/>
  <c r="AEO61" i="1" a="1"/>
  <c r="YL60" i="1" a="1"/>
  <c r="AMN55" i="1" a="1"/>
  <c r="OI19" i="1" a="1"/>
  <c r="AEQ15" i="1" a="1"/>
  <c r="RG16" i="1" a="1"/>
  <c r="AKH12" i="1" a="1"/>
  <c r="NH15" i="1" a="1"/>
  <c r="AGQ19" i="1" a="1"/>
  <c r="AFB22" i="1" a="1"/>
  <c r="OJ16" i="1" a="1"/>
  <c r="AEB55" i="1" a="1"/>
  <c r="WZ20" i="1" a="1"/>
  <c r="UX55" i="1" a="1"/>
  <c r="WU60" i="1" a="1"/>
  <c r="ALS56" i="1" a="1"/>
  <c r="XM22" i="1" a="1"/>
  <c r="WY12" i="1" a="1"/>
  <c r="AMR12" i="1" a="1"/>
  <c r="XM61" i="1" a="1"/>
  <c r="ALZ19" i="1" a="1"/>
  <c r="XK63" i="1" a="1"/>
  <c r="AKG14" i="1" a="1"/>
  <c r="ACP56" i="1" a="1"/>
  <c r="AEZ61" i="1" a="1"/>
  <c r="OV55" i="1" a="1"/>
  <c r="PS61" i="1" a="1"/>
  <c r="OU12" i="1" a="1"/>
  <c r="PK22" i="1" a="1"/>
  <c r="WQ22" i="1" a="1"/>
  <c r="AEG56" i="1" a="1"/>
  <c r="OV12" i="1" a="1"/>
  <c r="AEP63" i="1" a="1"/>
  <c r="AET21" i="1" a="1"/>
  <c r="ALM14" i="1" a="1"/>
  <c r="AMB22" i="1" a="1"/>
  <c r="AEG15" i="1" a="1"/>
  <c r="AEJ55" i="1" a="1"/>
  <c r="OK61" i="1" a="1"/>
  <c r="AES12" i="1" a="1"/>
  <c r="AES59" i="1" a="1"/>
  <c r="PB15" i="1" a="1"/>
  <c r="WI15" i="1" a="1"/>
  <c r="AFC21" i="1" a="1"/>
  <c r="WB57" i="1" a="1"/>
  <c r="AFD55" i="1" a="1"/>
  <c r="OO21" i="1" a="1"/>
  <c r="WG15" i="1" a="1"/>
  <c r="AME19" i="1" a="1"/>
  <c r="SA19" i="1" a="1"/>
  <c r="WB61" i="1" a="1"/>
  <c r="PM55" i="1" a="1"/>
  <c r="WM63" i="1" a="1"/>
  <c r="ALV14" i="1" a="1"/>
  <c r="AEK22" i="1" a="1"/>
  <c r="AEP21" i="1" a="1"/>
  <c r="AEZ55" i="1" a="1"/>
  <c r="OP12" i="1" a="1"/>
  <c r="WZ60" i="1" a="1"/>
  <c r="ACQ16" i="1" a="1"/>
  <c r="ANX14" i="1" a="1"/>
  <c r="WS11" i="1" a="1"/>
  <c r="ANU19" i="1" a="1"/>
  <c r="ANX22" i="1" a="1"/>
  <c r="AMW55" i="1" a="1"/>
  <c r="AET56" i="1" a="1"/>
  <c r="OJ61" i="1" a="1"/>
  <c r="NH56" i="1" a="1"/>
  <c r="PI55" i="1" a="1"/>
  <c r="AEK12" i="1" a="1"/>
  <c r="WB60" i="1" a="1"/>
  <c r="SA16" i="1" a="1"/>
  <c r="OZ15" i="1" a="1"/>
  <c r="WB21" i="1" a="1"/>
  <c r="AMP56" i="1" a="1"/>
  <c r="ALT21" i="1" a="1"/>
  <c r="ANU22" i="1" a="1"/>
  <c r="AEP15" i="1" a="1"/>
  <c r="RH12" i="1" a="1"/>
  <c r="WF63" i="1" a="1"/>
  <c r="NH61" i="1" a="1"/>
  <c r="NH12" i="1" a="1"/>
  <c r="AKE55" i="1" a="1"/>
  <c r="AET59" i="1" a="1"/>
  <c r="PK55" i="1" a="1"/>
  <c r="XF22" i="1" a="1"/>
  <c r="ADV59" i="1" a="1"/>
  <c r="PP16" i="1" a="1"/>
  <c r="ANW19" i="1" a="1"/>
  <c r="WR22" i="1" a="1"/>
  <c r="WO15" i="1" a="1"/>
  <c r="OL19" i="1" a="1"/>
  <c r="AEO21" i="1" a="1"/>
  <c r="PG55" i="1" a="1"/>
  <c r="AEG59" i="1" a="1"/>
  <c r="QW12" i="1" a="1"/>
  <c r="AMB15" i="1" a="1"/>
  <c r="AMV20" i="1" a="1"/>
  <c r="ALR21" i="1" a="1"/>
  <c r="XL13" i="1" a="1"/>
  <c r="ANU61" i="1" a="1"/>
  <c r="AMJ21" i="1" a="1"/>
  <c r="WQ56" i="1" a="1"/>
  <c r="AML61" i="1" a="1"/>
  <c r="OM15" i="1" a="1"/>
  <c r="ACO55" i="1" a="1"/>
  <c r="XB19" i="1" a="1"/>
  <c r="WU16" i="1" a="1"/>
  <c r="ACP26" i="1" a="1"/>
  <c r="WD19" i="1" a="1"/>
  <c r="AEG26" i="1" a="1"/>
  <c r="XE16" i="1" a="1"/>
  <c r="AEI26" i="1" a="1"/>
  <c r="ADY26" i="1" a="1"/>
  <c r="AEL26" i="1" a="1"/>
  <c r="ALS26" i="1" a="1"/>
  <c r="WN19" i="1" a="1"/>
  <c r="OI26" i="1" a="1"/>
  <c r="AEH26" i="1" a="1"/>
  <c r="OR26" i="1" a="1"/>
  <c r="AEF59" i="1" a="1"/>
  <c r="WV56" i="1" a="1"/>
  <c r="AFB61" i="1" a="1"/>
  <c r="ACP55" i="1" a="1"/>
  <c r="XJ11" i="1" a="1"/>
  <c r="AEX59" i="1" a="1"/>
  <c r="ADY12" i="1" a="1"/>
  <c r="WK59" i="1" a="1"/>
  <c r="XG12" i="1" a="1"/>
  <c r="AGQ21" i="1" a="1"/>
  <c r="ALQ19" i="1" a="1"/>
  <c r="PM63" i="1" a="1"/>
  <c r="AET55" i="1" a="1"/>
  <c r="PS21" i="1" a="1"/>
  <c r="PP15" i="1" a="1"/>
  <c r="AEA59" i="1" a="1"/>
  <c r="XG19" i="1" a="1"/>
  <c r="YL16" i="1" a="1"/>
  <c r="XN16" i="1" a="1"/>
  <c r="OZ26" i="1" a="1"/>
  <c r="AFF26" i="1" a="1"/>
  <c r="OY26" i="1" a="1"/>
  <c r="WO19" i="1" a="1"/>
  <c r="PM26" i="1" a="1"/>
  <c r="VZ19" i="1" a="1"/>
  <c r="ANU26" i="1" a="1"/>
  <c r="WX16" i="1" a="1"/>
  <c r="WG16" i="1" a="1"/>
  <c r="AKH26" i="1" a="1"/>
  <c r="AER26" i="1" a="1"/>
  <c r="XK16" i="1" a="1"/>
  <c r="AMW26" i="1" a="1"/>
  <c r="WK16" i="1" a="1"/>
  <c r="AEH12" i="1" a="1"/>
  <c r="AGQ15" i="1" a="1"/>
  <c r="OI56" i="1" a="1"/>
  <c r="XG15" i="1" a="1"/>
  <c r="ALJ55" i="1" a="1"/>
  <c r="ADX19" i="1" a="1"/>
  <c r="NF22" i="1" a="1"/>
  <c r="AMD20" i="1" a="1"/>
  <c r="AFD22" i="1" a="1"/>
  <c r="AEX16" i="1" a="1"/>
  <c r="WR60" i="1" a="1"/>
  <c r="ALO59" i="1" a="1"/>
  <c r="AMV19" i="1" a="1"/>
  <c r="OH63" i="1" a="1"/>
  <c r="OM22" i="1" a="1"/>
  <c r="WS21" i="1" a="1"/>
  <c r="ANV26" i="1" a="1"/>
  <c r="ALZ26" i="1" a="1"/>
  <c r="XH16" i="1" a="1"/>
  <c r="XA19" i="1" a="1"/>
  <c r="WG19" i="1" a="1"/>
  <c r="NG26" i="1" a="1"/>
  <c r="UW16" i="1" a="1"/>
  <c r="OX26" i="1" a="1"/>
  <c r="XE19" i="1" a="1"/>
  <c r="WN16" i="1" a="1"/>
  <c r="AMQ26" i="1" a="1"/>
  <c r="XF16" i="1" a="1"/>
  <c r="XI19" i="1" a="1"/>
  <c r="PN26" i="1" a="1"/>
  <c r="UU19" i="1" a="1"/>
  <c r="AEY22" i="1" a="1"/>
  <c r="XA59" i="1" a="1"/>
  <c r="ALM20" i="1" a="1"/>
  <c r="AEH55" i="1" a="1"/>
  <c r="PE19" i="1" a="1"/>
  <c r="AKF55" i="1" a="1"/>
  <c r="OP15" i="1" a="1"/>
  <c r="ALP59" i="1" a="1"/>
  <c r="ALI61" i="1" a="1"/>
  <c r="PG15" i="1" a="1"/>
  <c r="AEB15" i="1" a="1"/>
  <c r="PT22" i="1" a="1"/>
  <c r="AEL56" i="1" a="1"/>
  <c r="AEV15" i="1" a="1"/>
  <c r="ANW22" i="1" a="1"/>
  <c r="AFB19" i="1" a="1"/>
  <c r="PD26" i="1" a="1"/>
  <c r="ACO26" i="1" a="1"/>
  <c r="WZ16" i="1" a="1"/>
  <c r="UU16" i="1" a="1"/>
  <c r="XG16" i="1" a="1"/>
  <c r="WF16" i="1" a="1"/>
  <c r="VZ16" i="1" a="1"/>
  <c r="AEY26" i="1" a="1"/>
  <c r="XN19" i="1" a="1"/>
  <c r="AMS26" i="1" a="1"/>
  <c r="YN16" i="1" a="1"/>
  <c r="WY19" i="1" a="1"/>
  <c r="WR16" i="1" a="1"/>
  <c r="AEN26" i="1" a="1"/>
  <c r="AMD26" i="1" a="1"/>
  <c r="ADX26" i="1" a="1"/>
  <c r="YN19" i="1" a="1"/>
  <c r="AGQ26" i="1" a="1"/>
  <c r="UV26" i="1" a="1"/>
  <c r="UW26" i="1" a="1"/>
  <c r="WQ26" i="1" a="1"/>
  <c r="XM26" i="1" a="1"/>
  <c r="WT26" i="1" a="1"/>
  <c r="WZ26" i="1" a="1"/>
  <c r="WD26" i="1" a="1"/>
  <c r="WK26" i="1" a="1"/>
  <c r="XB26" i="1" a="1"/>
  <c r="WX26" i="1" a="1"/>
  <c r="WS26" i="1" a="1"/>
  <c r="WV26" i="1" a="1"/>
  <c r="XE26" i="1" a="1"/>
  <c r="WF26" i="1" a="1"/>
  <c r="WU26" i="1" a="1"/>
  <c r="XG26" i="1" a="1"/>
  <c r="WQ16" i="1" a="1"/>
  <c r="AFG26" i="1" a="1"/>
  <c r="XF19" i="1" a="1"/>
  <c r="XM19" i="1" a="1"/>
  <c r="WA26" i="1" a="1"/>
  <c r="WR26" i="1" a="1"/>
  <c r="WJ26" i="1" a="1"/>
  <c r="WE26" i="1" a="1"/>
  <c r="WW26" i="1" a="1"/>
  <c r="AMF20" i="1" a="1"/>
  <c r="OI12" i="1" a="1"/>
  <c r="XF11" i="1" a="1"/>
  <c r="YN15" i="1" a="1"/>
  <c r="AMG15" i="1" a="1"/>
  <c r="QT22" i="1" a="1"/>
  <c r="WA13" i="1" a="1"/>
  <c r="AGF12" i="1" a="1"/>
  <c r="WE55" i="1" a="1"/>
  <c r="PD61" i="1" a="1"/>
  <c r="AGG56" i="1" a="1"/>
  <c r="VZ21" i="1" a="1"/>
  <c r="AEM19" i="1" a="1"/>
  <c r="WS13" i="1" a="1"/>
  <c r="OW55" i="1" a="1"/>
  <c r="AEV63" i="1" a="1"/>
  <c r="ADS21" i="1" a="1"/>
  <c r="PD55" i="1" a="1"/>
  <c r="PR21" i="1" a="1"/>
  <c r="WH21" i="1" a="1"/>
  <c r="XH59" i="1" a="1"/>
  <c r="AEU56" i="1" a="1"/>
  <c r="YN13" i="1" a="1"/>
  <c r="QW15" i="1" a="1"/>
  <c r="WQ21" i="1" a="1"/>
  <c r="PA22" i="1" a="1"/>
  <c r="AKF61" i="1" a="1"/>
  <c r="AMH20" i="1" a="1"/>
  <c r="PK63" i="1" a="1"/>
  <c r="ALL12" i="1" a="1"/>
  <c r="AKI19" i="1" a="1"/>
  <c r="AEL61" i="1" a="1"/>
  <c r="AME15" i="1" a="1"/>
  <c r="AEC61" i="1" a="1"/>
  <c r="ADZ21" i="1" a="1"/>
  <c r="ADT59" i="1" a="1"/>
  <c r="ND22" i="1" a="1"/>
  <c r="OW63" i="1" a="1"/>
  <c r="AMM61" i="1" a="1"/>
  <c r="AEX19" i="1" a="1"/>
  <c r="PD16" i="1" a="1"/>
  <c r="AEY61" i="1" a="1"/>
  <c r="WN60" i="1" a="1"/>
  <c r="XL21" i="1" a="1"/>
  <c r="AFA16" i="1" a="1"/>
  <c r="ALK55" i="1" a="1"/>
  <c r="AKF56" i="1" a="1"/>
  <c r="AGF78" i="1" a="1"/>
  <c r="AEP59" i="1" a="1"/>
  <c r="OR12" i="1" a="1"/>
  <c r="XG56" i="1" a="1"/>
  <c r="OU16" i="1" a="1"/>
  <c r="SA12" i="1" a="1"/>
  <c r="WC63" i="1" a="1"/>
  <c r="WT55" i="1" a="1"/>
  <c r="XJ56" i="1" a="1"/>
  <c r="ALK15" i="1" a="1"/>
  <c r="AHK56" i="1" a="1"/>
  <c r="OS56" i="1" a="1"/>
  <c r="XM59" i="1" a="1"/>
  <c r="XH11" i="1" a="1"/>
  <c r="RH56" i="1" a="1"/>
  <c r="AEN15" i="1" a="1"/>
  <c r="ALL15" i="1" a="1"/>
  <c r="XB13" i="1" a="1"/>
  <c r="PL15" i="1" a="1"/>
  <c r="AKH20" i="1" a="1"/>
  <c r="AMD15" i="1" a="1"/>
  <c r="AED19" i="1" a="1"/>
  <c r="PU22" i="1" a="1"/>
  <c r="VZ12" i="1" a="1"/>
  <c r="ALJ19" i="1" a="1"/>
  <c r="PS12" i="1" a="1"/>
  <c r="ALM12" i="1" a="1"/>
  <c r="XH13" i="1" a="1"/>
  <c r="WA12" i="1" a="1"/>
  <c r="AMW22" i="1" a="1"/>
  <c r="OP16" i="1" a="1"/>
  <c r="ALM16" i="1" a="1"/>
  <c r="AMN17" i="1" a="1"/>
  <c r="PQ12" i="1" a="1"/>
  <c r="AML22" i="1" a="1"/>
  <c r="ON16" i="1" a="1"/>
  <c r="XI56" i="1" a="1"/>
  <c r="AEF63" i="1" a="1"/>
  <c r="ALW19" i="1" a="1"/>
  <c r="NH22" i="1" a="1"/>
  <c r="VY55" i="1" a="1"/>
  <c r="ALL21" i="1" a="1"/>
  <c r="PA56" i="1" a="1"/>
  <c r="WO13" i="1" a="1"/>
  <c r="OY21" i="1" a="1"/>
  <c r="WJ60" i="1" a="1"/>
  <c r="ADX22" i="1" a="1"/>
  <c r="AEJ19" i="1" a="1"/>
  <c r="OX16" i="1" a="1"/>
  <c r="AGG61" i="1" a="1"/>
  <c r="ALV61" i="1" a="1"/>
  <c r="XI11" i="1" a="1"/>
  <c r="AMD21" i="1" a="1"/>
  <c r="AEK63" i="1" a="1"/>
  <c r="WD22" i="1" a="1"/>
  <c r="XN56" i="1" a="1"/>
  <c r="PS15" i="1" a="1"/>
  <c r="ALJ22" i="1" a="1"/>
  <c r="AMX15" i="1" a="1"/>
  <c r="WI60" i="1" a="1"/>
  <c r="PO63" i="1" a="1"/>
  <c r="AMO12" i="1" a="1"/>
  <c r="WI56" i="1" a="1"/>
  <c r="AGR56" i="1" a="1"/>
  <c r="WQ12" i="1" a="1"/>
  <c r="WC22" i="1" a="1"/>
  <c r="XA15" i="1" a="1"/>
  <c r="XL12" i="1" a="1"/>
  <c r="WU22" i="1" a="1"/>
  <c r="PE63" i="1" a="1"/>
  <c r="AMK59" i="1" a="1"/>
  <c r="ALM55" i="1" a="1"/>
  <c r="ALU14" i="1" a="1"/>
  <c r="WI22" i="1" a="1"/>
  <c r="WX21" i="1" a="1"/>
  <c r="AEA19" i="1" a="1"/>
  <c r="AFG22" i="1" a="1"/>
  <c r="XH56" i="1" a="1"/>
  <c r="AMJ16" i="1" a="1"/>
  <c r="AFD59" i="1" a="1"/>
  <c r="WX56" i="1" a="1"/>
  <c r="AMN61" i="1" a="1"/>
  <c r="YN22" i="1" a="1"/>
  <c r="WV12" i="1" a="1"/>
  <c r="ALQ15" i="1" a="1"/>
  <c r="PV55" i="1" a="1"/>
  <c r="AFE22" i="1" a="1"/>
  <c r="XK18" i="1" a="1"/>
  <c r="AMX22" i="1" a="1"/>
  <c r="WC11" i="1" a="1"/>
  <c r="ALK21" i="1" a="1"/>
  <c r="AGG21" i="1" a="1"/>
  <c r="ALY12" i="1" a="1"/>
  <c r="NG22" i="1" a="1"/>
  <c r="AMK12" i="1" a="1"/>
  <c r="AKI21" i="1" a="1"/>
  <c r="ADT61" i="1" a="1"/>
  <c r="AFA55" i="1" a="1"/>
  <c r="OX21" i="1" a="1"/>
  <c r="YL15" i="1" a="1"/>
  <c r="AMR55" i="1" a="1"/>
  <c r="PN63" i="1" a="1"/>
  <c r="WR11" i="1" a="1"/>
  <c r="ADV61" i="1" a="1"/>
  <c r="WN21" i="1" a="1"/>
  <c r="AMI15" i="1" a="1"/>
  <c r="AKG59" i="1" a="1"/>
  <c r="ACP61" i="1" a="1"/>
  <c r="UX60" i="1" a="1"/>
  <c r="PO16" i="1" a="1"/>
  <c r="AHK21" i="1" a="1"/>
  <c r="WJ22" i="1" a="1"/>
  <c r="AMR16" i="1" a="1"/>
  <c r="NH63" i="1" a="1"/>
  <c r="WV21" i="1" a="1"/>
  <c r="AEJ21" i="1" a="1"/>
  <c r="AGE15" i="1" a="1"/>
  <c r="PV62" i="1" a="1"/>
  <c r="AML18" i="1" a="1"/>
  <c r="AMU59" i="1" a="1"/>
  <c r="AKH14" i="1" a="1"/>
  <c r="NF19" i="1" a="1"/>
  <c r="AES16" i="1" a="1"/>
  <c r="AFF19" i="1" a="1"/>
  <c r="WK11" i="1" a="1"/>
  <c r="OK56" i="1" a="1"/>
  <c r="VY13" i="1" a="1"/>
  <c r="OI21" i="1" a="1"/>
  <c r="ALP61" i="1" a="1"/>
  <c r="AMB12" i="1" a="1"/>
  <c r="UX56" i="1" a="1"/>
  <c r="ALV55" i="1" a="1"/>
  <c r="AMT14" i="1" a="1"/>
  <c r="WU12" i="1" a="1"/>
  <c r="PR19" i="1" a="1"/>
  <c r="ALM22" i="1" a="1"/>
  <c r="XH55" i="1" a="1"/>
  <c r="OL63" i="1" a="1"/>
  <c r="NF12" i="1" a="1"/>
  <c r="ADY19" i="1" a="1"/>
  <c r="PE22" i="1" a="1"/>
  <c r="PE16" i="1" a="1"/>
  <c r="WY61" i="1" a="1"/>
  <c r="AML55" i="1" a="1"/>
  <c r="ADR59" i="1" a="1"/>
  <c r="XF15" i="1" a="1"/>
  <c r="AMQ12" i="1" a="1"/>
  <c r="AET22" i="1" a="1"/>
  <c r="AEQ12" i="1" a="1"/>
  <c r="UV72" i="1" a="1"/>
  <c r="WV61" i="1" a="1"/>
  <c r="AMP19" i="1" a="1"/>
  <c r="AER22" i="1" a="1"/>
  <c r="PG56" i="1" a="1"/>
  <c r="YK59" i="1" a="1"/>
  <c r="VZ11" i="1" a="1"/>
  <c r="AKG20" i="1" a="1"/>
  <c r="XM13" i="1" a="1"/>
  <c r="AMA16" i="1" a="1"/>
  <c r="XC21" i="1" a="1"/>
  <c r="OQ12" i="1" a="1"/>
  <c r="WS61" i="1" a="1"/>
  <c r="WG55" i="1" a="1"/>
  <c r="ANV21" i="1" a="1"/>
  <c r="AMF19" i="1" a="1"/>
  <c r="OY63" i="1" a="1"/>
  <c r="ALJ15" i="1" a="1"/>
  <c r="PN56" i="1" a="1"/>
  <c r="NE22" i="1" a="1"/>
  <c r="QU56" i="1" a="1"/>
  <c r="AMD22" i="1" a="1"/>
  <c r="PB12" i="1" a="1"/>
  <c r="WX63" i="1" a="1"/>
  <c r="ALI20" i="1" a="1"/>
  <c r="PA55" i="1" a="1"/>
  <c r="AMM59" i="1" a="1"/>
  <c r="AMH15" i="1" a="1"/>
  <c r="ADS56" i="1" a="1"/>
  <c r="PV21" i="1" a="1"/>
  <c r="AME14" i="1" a="1"/>
  <c r="AMF61" i="1" a="1"/>
  <c r="ON22" i="1" a="1"/>
  <c r="YL12" i="1" a="1"/>
  <c r="ALS16" i="1" a="1"/>
  <c r="UV13" i="1" a="1"/>
  <c r="RG15" i="1" a="1"/>
  <c r="PK19" i="1" a="1"/>
  <c r="PU61" i="1" a="1"/>
  <c r="AFE56" i="1" a="1"/>
  <c r="QW21" i="1" a="1"/>
  <c r="AMH14" i="1" a="1"/>
  <c r="WN12" i="1" a="1"/>
  <c r="PT15" i="1" a="1"/>
  <c r="ANW59" i="1" a="1"/>
  <c r="WR13" i="1" a="1"/>
  <c r="AMK22" i="1" a="1"/>
  <c r="NE61" i="1" a="1"/>
  <c r="PD12" i="1" a="1"/>
  <c r="ALQ21" i="1" a="1"/>
  <c r="AGE55" i="1" a="1"/>
  <c r="WR59" i="1" a="1"/>
  <c r="AEC22" i="1" a="1"/>
  <c r="ALN59" i="1" a="1"/>
  <c r="PF77" i="1" a="1"/>
  <c r="ACN61" i="1" a="1"/>
  <c r="AGF55" i="1" a="1"/>
  <c r="OU61" i="1" a="1"/>
  <c r="WO60" i="1" a="1"/>
  <c r="YM12" i="1" a="1"/>
  <c r="PE12" i="1" a="1"/>
  <c r="XJ61" i="1" a="1"/>
  <c r="AEM21" i="1" a="1"/>
  <c r="WH63" i="1" a="1"/>
  <c r="UY55" i="1" a="1"/>
  <c r="RH22" i="1" a="1"/>
  <c r="AEQ21" i="1" a="1"/>
  <c r="ADS59" i="1" a="1"/>
  <c r="ADU15" i="1" a="1"/>
  <c r="PT19" i="1" a="1"/>
  <c r="OP21" i="1" a="1"/>
  <c r="XJ55" i="1" a="1"/>
  <c r="AEE22" i="1" a="1"/>
  <c r="PU21" i="1" a="1"/>
  <c r="WN15" i="1" a="1"/>
  <c r="PC16" i="1" a="1"/>
  <c r="PU19" i="1" a="1"/>
  <c r="VY60" i="1" a="1"/>
  <c r="WJ55" i="1" a="1"/>
  <c r="AEF55" i="1" a="1"/>
  <c r="AMV14" i="1" a="1"/>
  <c r="ANX61" i="1" a="1"/>
  <c r="ANW20" i="1" a="1"/>
  <c r="ALK16" i="1" a="1"/>
  <c r="UV75" i="1" a="1"/>
  <c r="YK13" i="1" a="1"/>
  <c r="AGD16" i="1" a="1"/>
  <c r="ALO22" i="1" a="1"/>
  <c r="AMW56" i="1" a="1"/>
  <c r="WS56" i="1" a="1"/>
  <c r="AEE63" i="1" a="1"/>
  <c r="AEI12" i="1" a="1"/>
  <c r="YM15" i="1" a="1"/>
  <c r="AMM16" i="1" a="1"/>
  <c r="OJ22" i="1" a="1"/>
  <c r="ALY15" i="1" a="1"/>
  <c r="YL13" i="1" a="1"/>
  <c r="OH15" i="1" a="1"/>
  <c r="WL59" i="1" a="1"/>
  <c r="AEV21" i="1" a="1"/>
  <c r="UY22" i="1" a="1"/>
  <c r="PB61" i="1" a="1"/>
  <c r="PK12" i="1" a="1"/>
  <c r="AMI61" i="1" a="1"/>
  <c r="ALP56" i="1" a="1"/>
  <c r="ALZ21" i="1" a="1"/>
  <c r="PA21" i="1" a="1"/>
  <c r="WY22" i="1" a="1"/>
  <c r="AEU12" i="1" a="1"/>
  <c r="AMF16" i="1" a="1"/>
  <c r="WQ59" i="1" a="1"/>
  <c r="OO61" i="1" a="1"/>
  <c r="YL55" i="1" a="1"/>
  <c r="UU12" i="1" a="1"/>
  <c r="PG12" i="1" a="1"/>
  <c r="ALW59" i="1" a="1"/>
  <c r="AET57" i="1" a="1"/>
  <c r="VY22" i="1" a="1"/>
  <c r="UV12" i="1" a="1"/>
  <c r="PP12" i="1" a="1"/>
  <c r="AMN22" i="1" a="1"/>
  <c r="ANW15" i="1" a="1"/>
  <c r="ND55" i="1" a="1"/>
  <c r="ACN16" i="1" a="1"/>
  <c r="OR56" i="1" a="1"/>
  <c r="ADR15" i="1" a="1"/>
  <c r="AME12" i="1" a="1"/>
  <c r="PQ61" i="1" a="1"/>
  <c r="OL56" i="1" a="1"/>
  <c r="AKG61" i="1" a="1"/>
  <c r="QV61" i="1" a="1"/>
  <c r="AFF56" i="1" a="1"/>
  <c r="PF12" i="1" a="1"/>
  <c r="XL60" i="1" a="1"/>
  <c r="PL16" i="1" a="1"/>
  <c r="OS15" i="1" a="1"/>
  <c r="AEM15" i="1" a="1"/>
  <c r="AMD55" i="1" a="1"/>
  <c r="ADY59" i="1" a="1"/>
  <c r="YK15" i="1" a="1"/>
  <c r="VY59" i="1" a="1"/>
  <c r="WI12" i="1" a="1"/>
  <c r="AER63" i="1" a="1"/>
  <c r="WK60" i="1" a="1"/>
  <c r="VY15" i="1" a="1"/>
  <c r="QV63" i="1" a="1"/>
  <c r="AMC22" i="1" a="1"/>
  <c r="AKH16" i="1" a="1"/>
  <c r="PN55" i="1" a="1"/>
  <c r="NH55" i="1" a="1"/>
  <c r="XB21" i="1" a="1"/>
  <c r="AMA56" i="1" a="1"/>
  <c r="ADX59" i="1" a="1"/>
  <c r="WB15" i="1" a="1"/>
  <c r="OT21" i="1" a="1"/>
  <c r="ALN14" i="1" a="1"/>
  <c r="AMO59" i="1" a="1"/>
  <c r="QV16" i="1" a="1"/>
  <c r="ALS19" i="1" a="1"/>
  <c r="WF60" i="1" a="1"/>
  <c r="ALT16" i="1" a="1"/>
  <c r="WC13" i="1" a="1"/>
  <c r="AGQ22" i="1" a="1"/>
  <c r="AMQ21" i="1" a="1"/>
  <c r="AKH15" i="1" a="1"/>
  <c r="ACR61" i="1" a="1"/>
  <c r="YK63" i="1" a="1"/>
  <c r="AMU21" i="1" a="1"/>
  <c r="ANV59" i="1" a="1"/>
  <c r="SA21" i="1" a="1"/>
  <c r="OV19" i="1" a="1"/>
  <c r="XD61" i="1" a="1"/>
  <c r="AGF63" i="1" a="1"/>
  <c r="WO11" i="1" a="1"/>
  <c r="AMB19" i="1" a="1"/>
  <c r="AMG16" i="1" a="1"/>
  <c r="XE15" i="1" a="1"/>
  <c r="WV19" i="1" a="1"/>
  <c r="YK16" i="1" a="1"/>
  <c r="ALL26" i="1" a="1"/>
  <c r="YM19" i="1" a="1"/>
  <c r="WJ16" i="1" a="1"/>
  <c r="ND26" i="1" a="1"/>
  <c r="AEA26" i="1" a="1"/>
  <c r="ALT26" i="1" a="1"/>
  <c r="OV26" i="1" a="1"/>
  <c r="XJ16" i="1" a="1"/>
  <c r="PJ26" i="1" a="1"/>
  <c r="PU26" i="1" a="1"/>
  <c r="WT19" i="1" a="1"/>
  <c r="UX16" i="1" a="1"/>
  <c r="AMI26" i="1" a="1"/>
  <c r="XJ59" i="1" a="1"/>
  <c r="OP19" i="1" a="1"/>
  <c r="AML12" i="1" a="1"/>
  <c r="AEZ63" i="1" a="1"/>
  <c r="ANU16" i="1" a="1"/>
  <c r="WR56" i="1" a="1"/>
  <c r="XK12" i="1" a="1"/>
  <c r="OM16" i="1" a="1"/>
  <c r="UV56" i="1" a="1"/>
  <c r="XJ22" i="1" a="1"/>
  <c r="AMI59" i="1" a="1"/>
  <c r="AEN55" i="1" a="1"/>
  <c r="XC55" i="1" a="1"/>
  <c r="AED59" i="1" a="1"/>
  <c r="UY12" i="1" a="1"/>
  <c r="PL21" i="1" a="1"/>
  <c r="WT16" i="1" a="1"/>
  <c r="WW16" i="1" a="1"/>
  <c r="ON26" i="1" a="1"/>
  <c r="ADU26" i="1" a="1"/>
  <c r="WE19" i="1" a="1"/>
  <c r="AMJ26" i="1" a="1"/>
  <c r="AMV26" i="1" a="1"/>
  <c r="XK19" i="1" a="1"/>
  <c r="AEW26" i="1" a="1"/>
  <c r="ADT26" i="1" a="1"/>
  <c r="AMX26" i="1" a="1"/>
  <c r="WS16" i="1" a="1"/>
  <c r="OM26" i="1" a="1"/>
  <c r="AGD26" i="1" a="1"/>
  <c r="ACQ26" i="1" a="1"/>
  <c r="ALY26" i="1" a="1"/>
  <c r="XB16" i="1" a="1"/>
  <c r="PU15" i="1" a="1"/>
  <c r="UY61" i="1" a="1"/>
  <c r="WF59" i="1" a="1"/>
  <c r="XC12" i="1" a="1"/>
  <c r="XF59" i="1" a="1"/>
  <c r="AEO19" i="1" a="1"/>
  <c r="WK22" i="1" a="1"/>
  <c r="AKI61" i="1" a="1"/>
  <c r="AFF15" i="1" a="1"/>
  <c r="QT55" i="1" a="1"/>
  <c r="OZ16" i="1" a="1"/>
  <c r="ANV12" i="1" a="1"/>
  <c r="ALQ22" i="1" a="1"/>
  <c r="PT16" i="1" a="1"/>
  <c r="ADW19" i="1" a="1"/>
  <c r="WZ56" i="1" a="1"/>
  <c r="WD16" i="1" a="1"/>
  <c r="AGG26" i="1" a="1"/>
  <c r="XJ19" i="1" a="1"/>
  <c r="VY16" i="1" a="1"/>
  <c r="PQ26" i="1" a="1"/>
  <c r="AEU26" i="1" a="1"/>
  <c r="WY16" i="1" a="1"/>
  <c r="AML26" i="1" a="1"/>
  <c r="AMO26" i="1" a="1"/>
  <c r="NE26" i="1" a="1"/>
  <c r="UV16" i="1" a="1"/>
  <c r="AEM26" i="1" a="1"/>
  <c r="RG26" i="1" a="1"/>
  <c r="ALO26" i="1" a="1"/>
  <c r="AEO26" i="1" a="1"/>
  <c r="WC21" i="1" a="1"/>
  <c r="ADZ55" i="1" a="1"/>
  <c r="PF63" i="1" a="1"/>
  <c r="XJ13" i="1" a="1"/>
  <c r="WP13" i="1" a="1"/>
  <c r="AKH61" i="1" a="1"/>
  <c r="AGQ55" i="1" a="1"/>
  <c r="OZ55" i="1" a="1"/>
  <c r="XG61" i="1" a="1"/>
  <c r="WA63" i="1" a="1"/>
  <c r="AET12" i="1" a="1"/>
  <c r="UU56" i="1" a="1"/>
  <c r="PK56" i="1" a="1"/>
  <c r="ACQ12" i="1" a="1"/>
  <c r="ADT22" i="1" a="1"/>
  <c r="AEJ26" i="1" a="1"/>
  <c r="YK19" i="1" a="1"/>
  <c r="AEF26" i="1" a="1"/>
  <c r="AFA26" i="1" a="1"/>
  <c r="AGF26" i="1" a="1"/>
  <c r="WI16" i="1" a="1"/>
  <c r="AKE26" i="1" a="1"/>
  <c r="WL16" i="1" a="1"/>
  <c r="UW19" i="1" a="1"/>
  <c r="AEZ26" i="1" a="1"/>
  <c r="XC19" i="1" a="1"/>
  <c r="AGR26" i="1" a="1"/>
  <c r="AFE26" i="1" a="1"/>
  <c r="PA26" i="1" a="1"/>
  <c r="PO26" i="1" a="1"/>
  <c r="PG26" i="1" a="1"/>
  <c r="AFD26" i="1" a="1"/>
  <c r="ADV26" i="1" a="1"/>
  <c r="WV16" i="1" a="1"/>
  <c r="YL26" i="1" a="1"/>
  <c r="WH26" i="1" a="1"/>
  <c r="WC26" i="1" a="1"/>
  <c r="XA26" i="1" a="1"/>
  <c r="WP26" i="1" a="1"/>
  <c r="XD26" i="1" a="1"/>
  <c r="WY26" i="1" a="1"/>
  <c r="XF26" i="1" a="1"/>
  <c r="YK26" i="1" a="1"/>
  <c r="UY26" i="1" a="1"/>
  <c r="QU26" i="1" a="1"/>
  <c r="NH26" i="1" a="1"/>
  <c r="XJ26" i="1" a="1"/>
  <c r="WI26" i="1" a="1"/>
  <c r="WN26" i="1" a="1"/>
  <c r="OS22" i="1" a="1"/>
  <c r="PL55" i="1" a="1"/>
  <c r="AMB20" i="1" a="1"/>
  <c r="VZ55" i="1" a="1"/>
  <c r="AGE16" i="1" a="1"/>
  <c r="WA22" i="1" a="1"/>
  <c r="ADV16" i="1" a="1"/>
  <c r="AEF15" i="1" a="1"/>
  <c r="AFA22" i="1" a="1"/>
  <c r="ALT61" i="1" a="1"/>
  <c r="PW61" i="1" a="1"/>
  <c r="WP55" i="1" a="1"/>
  <c r="AER15" i="1" a="1"/>
  <c r="ADX63" i="1" a="1"/>
  <c r="WR63" i="1" a="1"/>
  <c r="OY22" i="1" a="1"/>
  <c r="UW22" i="1" a="1"/>
  <c r="AEN21" i="1" a="1"/>
  <c r="WU11" i="1" a="1"/>
  <c r="YL59" i="1" a="1"/>
  <c r="WX13" i="1" a="1"/>
  <c r="AFA15" i="1" a="1"/>
  <c r="WF22" i="1" a="1"/>
  <c r="WD72" i="1" a="1"/>
  <c r="OL21" i="1" a="1"/>
  <c r="ADW22" i="1" a="1"/>
  <c r="AMS61" i="1" a="1"/>
  <c r="ALV59" i="1" a="1"/>
  <c r="OH19" i="1" a="1"/>
  <c r="AMF21" i="1" a="1"/>
  <c r="AMT12" i="1" a="1"/>
  <c r="WG63" i="1" a="1"/>
  <c r="ADU22" i="1" a="1"/>
  <c r="AMM21" i="1" a="1"/>
  <c r="PK15" i="1" a="1"/>
  <c r="XI12" i="1" a="1"/>
  <c r="AMC15" i="1" a="1"/>
  <c r="WH55" i="1" a="1"/>
  <c r="AMO61" i="1" a="1"/>
  <c r="UW61" i="1" a="1"/>
  <c r="UW13" i="1" a="1"/>
  <c r="OJ21" i="1" a="1"/>
  <c r="OI63" i="1" a="1"/>
  <c r="ACN56" i="1" a="1"/>
  <c r="PI56" i="1" a="1"/>
  <c r="AMV61" i="1" a="1"/>
  <c r="AEJ75" i="1" a="1"/>
  <c r="NE15" i="1" a="1"/>
  <c r="ALK61" i="1" a="1"/>
  <c r="UX11" i="1" a="1"/>
  <c r="AML20" i="1" a="1"/>
  <c r="VY21" i="1" a="1"/>
  <c r="ALQ56" i="1" a="1"/>
  <c r="AEY15" i="1" a="1"/>
  <c r="AEY16" i="1" a="1"/>
  <c r="AMD59" i="1" a="1"/>
  <c r="AMK14" i="1" a="1"/>
  <c r="AEH22" i="1" a="1"/>
  <c r="AEM16" i="1" a="1"/>
  <c r="WZ59" i="1" a="1"/>
  <c r="OQ22" i="1" a="1"/>
  <c r="SA55" i="1" a="1"/>
  <c r="YN11" i="1" a="1"/>
  <c r="QW56" i="1" a="1"/>
  <c r="ACR55" i="1" a="1"/>
  <c r="ON61" i="1" a="1"/>
  <c r="ANU59" i="1" a="1"/>
  <c r="XM21" i="1" a="1"/>
  <c r="AES19" i="1" a="1"/>
  <c r="AMP20" i="1" a="1"/>
  <c r="OM56" i="1" a="1"/>
  <c r="AMU61" i="1" a="1"/>
  <c r="ALR56" i="1" a="1"/>
  <c r="ANW21" i="1" a="1"/>
  <c r="XK56" i="1" a="1"/>
  <c r="ADW12" i="1" a="1"/>
  <c r="XF60" i="1" a="1"/>
  <c r="ACN13" i="1" a="1"/>
  <c r="WF10" i="1" a="1"/>
  <c r="ALN61" i="1" a="1"/>
  <c r="AEU19" i="1" a="1"/>
  <c r="AME20" i="1" a="1"/>
  <c r="AMJ55" i="1" a="1"/>
  <c r="PA19" i="1" a="1"/>
  <c r="AEV16" i="1" a="1"/>
  <c r="AKE16" i="1" a="1"/>
  <c r="WO61" i="1" a="1"/>
  <c r="ANX15" i="1" a="1"/>
  <c r="AED22" i="1" a="1"/>
  <c r="XL22" i="1" a="1"/>
  <c r="ACR59" i="1" a="1"/>
  <c r="PJ12" i="1" a="1"/>
  <c r="AKG12" i="1" a="1"/>
  <c r="PC21" i="1" a="1"/>
  <c r="WV60" i="1" a="1"/>
  <c r="AEN22" i="1" a="1"/>
  <c r="AGD12" i="1" a="1"/>
  <c r="UU60" i="1" a="1"/>
  <c r="ALS14" i="1" a="1"/>
  <c r="OU63" i="1" a="1"/>
  <c r="ADU63" i="1" a="1"/>
  <c r="AEK16" i="1" a="1"/>
  <c r="NE16" i="1" a="1"/>
  <c r="PU12" i="1" a="1"/>
  <c r="AMA59" i="1" a="1"/>
  <c r="WD13" i="1" a="1"/>
  <c r="RG63" i="1" a="1"/>
  <c r="AEO63" i="1" a="1"/>
  <c r="AEW55" i="1" a="1"/>
  <c r="YL11" i="1" a="1"/>
  <c r="XB56" i="1" a="1"/>
  <c r="AMA20" i="1" a="1"/>
  <c r="AMH12" i="1" a="1"/>
  <c r="VZ56" i="1" a="1"/>
  <c r="XA61" i="1" a="1"/>
  <c r="NE21" i="1" a="1"/>
  <c r="ADW63" i="1" a="1"/>
  <c r="XH22" i="1" a="1"/>
  <c r="AMU22" i="1" a="1"/>
  <c r="AMX19" i="1" a="1"/>
  <c r="PU63" i="1" a="1"/>
  <c r="PM21" i="1" a="1"/>
  <c r="YN55" i="1" a="1"/>
  <c r="ACQ55" i="1" a="1"/>
  <c r="AEC63" i="1" a="1"/>
  <c r="WR12" i="1" a="1"/>
  <c r="ALW55" i="1" a="1"/>
  <c r="WY55" i="1" a="1"/>
  <c r="AMP61" i="1" a="1"/>
  <c r="XC61" i="1" a="1"/>
  <c r="XE63" i="1" a="1"/>
  <c r="WE21" i="1" a="1"/>
  <c r="YL22" i="1" a="1"/>
  <c r="OT60" i="1" a="1"/>
  <c r="AEF19" i="1" a="1"/>
  <c r="WA61" i="1" a="1"/>
  <c r="AMB55" i="1" a="1"/>
  <c r="ALK59" i="1" a="1"/>
  <c r="AEU16" i="1" a="1"/>
  <c r="WF55" i="1" a="1"/>
  <c r="WX11" i="1" a="1"/>
  <c r="OL12" i="1" a="1"/>
  <c r="WZ13" i="1" a="1"/>
  <c r="AMP16" i="1" a="1"/>
  <c r="XA12" i="1" a="1"/>
  <c r="OO12" i="1" a="1"/>
  <c r="UV15" i="1" a="1"/>
  <c r="OS16" i="1" a="1"/>
  <c r="WH59" i="1" a="1"/>
  <c r="AMU55" i="1" a="1"/>
  <c r="PA63" i="1" a="1"/>
  <c r="AGE63" i="1" a="1"/>
  <c r="ALX19" i="1" a="1"/>
  <c r="ACO22" i="1" a="1"/>
  <c r="ADX21" i="1" a="1"/>
  <c r="ALJ20" i="1" a="1"/>
  <c r="AMW59" i="1" a="1"/>
  <c r="OU19" i="1" a="1"/>
  <c r="XL61" i="1" a="1"/>
  <c r="UW63" i="1" a="1"/>
  <c r="WY56" i="1" a="1"/>
  <c r="ALS21" i="1" a="1"/>
  <c r="AER12" i="1" a="1"/>
  <c r="AFG20" i="1" a="1"/>
  <c r="AGD63" i="1" a="1"/>
  <c r="ANV56" i="1" a="1"/>
  <c r="OU22" i="1" a="1"/>
  <c r="ALI14" i="1" a="1"/>
  <c r="AFA56" i="1" a="1"/>
  <c r="PJ61" i="1" a="1"/>
  <c r="XA60" i="1" a="1"/>
  <c r="AHK22" i="1" a="1"/>
  <c r="WV22" i="1" a="1"/>
  <c r="WZ12" i="1" a="1"/>
  <c r="OQ15" i="1" a="1"/>
  <c r="AEL63" i="1" a="1"/>
  <c r="ADV21" i="1" a="1"/>
  <c r="XN63" i="1" a="1"/>
  <c r="PH12" i="1" a="1"/>
  <c r="WE56" i="1" a="1"/>
  <c r="AMK55" i="1" a="1"/>
  <c r="ANV14" i="1" a="1"/>
  <c r="AEZ15" i="1" a="1"/>
  <c r="WB55" i="1" a="1"/>
  <c r="AMT61" i="1" a="1"/>
  <c r="WX55" i="1" a="1"/>
  <c r="WV13" i="1" a="1"/>
  <c r="WT60" i="1" a="1"/>
  <c r="AFF12" i="1" a="1"/>
  <c r="WQ63" i="1" a="1"/>
  <c r="ALZ56" i="1" a="1"/>
  <c r="AMJ22" i="1" a="1"/>
  <c r="AET16" i="1" a="1"/>
  <c r="XE55" i="1" a="1"/>
  <c r="AFE55" i="1" a="1"/>
  <c r="PC59" i="1" a="1"/>
  <c r="AEY12" i="1" a="1"/>
  <c r="RH21" i="1" a="1"/>
  <c r="AMX14" i="1" a="1"/>
  <c r="AGG22" i="1" a="1"/>
  <c r="QV15" i="1" a="1"/>
  <c r="XG60" i="1" a="1"/>
  <c r="AMQ56" i="1" a="1"/>
  <c r="AMS12" i="1" a="1"/>
  <c r="PG16" i="1" a="1"/>
  <c r="OZ63" i="1" a="1"/>
  <c r="AMW15" i="1" a="1"/>
  <c r="PQ55" i="1" a="1"/>
  <c r="AEC15" i="1" a="1"/>
  <c r="ANW55" i="1" a="1"/>
  <c r="ALI22" i="1" a="1"/>
  <c r="WZ55" i="1" a="1"/>
  <c r="AMV59" i="1" a="1"/>
  <c r="ACP21" i="1" a="1"/>
  <c r="ALV16" i="1" a="1"/>
  <c r="OV16" i="1" a="1"/>
  <c r="AFE61" i="1" a="1"/>
  <c r="XH15" i="1" a="1"/>
  <c r="AEL22" i="1" a="1"/>
  <c r="WI13" i="1" a="1"/>
  <c r="AEC16" i="1" a="1"/>
  <c r="PC15" i="1" a="1"/>
  <c r="ALJ59" i="1" a="1"/>
  <c r="AEI22" i="1" a="1"/>
  <c r="AEK59" i="1" a="1"/>
  <c r="OR22" i="1" a="1"/>
  <c r="AEO55" i="1" a="1"/>
  <c r="PW22" i="1" a="1"/>
  <c r="AMQ20" i="1" a="1"/>
  <c r="SA61" i="1" a="1"/>
  <c r="NF56" i="1" a="1"/>
  <c r="VZ15" i="1" a="1"/>
  <c r="AEB16" i="1" a="1"/>
  <c r="ADY16" i="1" a="1"/>
  <c r="ALI15" i="1" a="1"/>
  <c r="AEC56" i="1" a="1"/>
  <c r="AEU15" i="1" a="1"/>
  <c r="WJ56" i="1" a="1"/>
  <c r="AEY55" i="1" a="1"/>
  <c r="NG63" i="1" a="1"/>
  <c r="AMP12" i="1" a="1"/>
  <c r="ALW14" i="1" a="1"/>
  <c r="WY59" i="1" a="1"/>
  <c r="XF12" i="1" a="1"/>
  <c r="AFB21" i="1" a="1"/>
  <c r="XK22" i="1" a="1"/>
  <c r="PH15" i="1" a="1"/>
  <c r="ANX12" i="1" a="1"/>
  <c r="AMT18" i="1" a="1"/>
  <c r="XB75" i="1" a="1"/>
  <c r="AEQ22" i="1" a="1"/>
  <c r="VZ22" i="1" a="1"/>
  <c r="AEJ59" i="1" a="1"/>
  <c r="OK12" i="1" a="1"/>
  <c r="AKF20" i="1" a="1"/>
  <c r="AMQ55" i="1" a="1"/>
  <c r="ADV12" i="1" a="1"/>
  <c r="WR21" i="1" a="1"/>
  <c r="AMB56" i="1" a="1"/>
  <c r="WN61" i="1" a="1"/>
  <c r="PF55" i="1" a="1"/>
  <c r="AMH59" i="1" a="1"/>
  <c r="OQ56" i="1" a="1"/>
  <c r="AEG12" i="1" a="1"/>
  <c r="AEU21" i="1" a="1"/>
  <c r="AEY59" i="1" a="1"/>
  <c r="AEK15" i="1" a="1"/>
  <c r="AMI12" i="1" a="1"/>
  <c r="AED56" i="1" a="1"/>
  <c r="XB22" i="1" a="1"/>
  <c r="AMT20" i="1" a="1"/>
  <c r="OY16" i="1" a="1"/>
  <c r="ALS55" i="1" a="1"/>
  <c r="OL61" i="1" a="1"/>
  <c r="PL56" i="1" a="1"/>
  <c r="AMV22" i="1" a="1"/>
  <c r="PS22" i="1" a="1"/>
  <c r="AEB56" i="1" a="1"/>
  <c r="OQ16" i="1" a="1"/>
  <c r="PA17" i="1" a="1"/>
  <c r="ANW12" i="1" a="1"/>
  <c r="OK16" i="1" a="1"/>
  <c r="PI15" i="1" a="1"/>
  <c r="ALW61" i="1" a="1"/>
  <c r="AMT19" i="1" a="1"/>
  <c r="PN19" i="1" a="1"/>
  <c r="ACR21" i="1" a="1"/>
  <c r="AMF14" i="1" a="1"/>
  <c r="WL61" i="1" a="1"/>
  <c r="PH55" i="1" a="1"/>
  <c r="PG21" i="1" a="1"/>
  <c r="ALT14" i="1" a="1"/>
  <c r="XD13" i="1" a="1"/>
  <c r="AFE16" i="1" a="1"/>
  <c r="AME21" i="1" a="1"/>
  <c r="OX15" i="1" a="1"/>
  <c r="WE59" i="1" a="1"/>
  <c r="WB11" i="1" a="1"/>
  <c r="AER61" i="1" a="1"/>
  <c r="VZ61" i="1" a="1"/>
  <c r="AKH19" i="1" a="1"/>
  <c r="AES56" i="1" a="1"/>
  <c r="ALJ61" i="1" a="1"/>
  <c r="AGF56" i="1" a="1"/>
  <c r="PH16" i="1" a="1"/>
  <c r="AMG19" i="1" a="1"/>
  <c r="UY59" i="1" a="1"/>
  <c r="AMT22" i="1" a="1"/>
  <c r="AKI20" i="1" a="1"/>
  <c r="AEP55" i="1" a="1"/>
  <c r="AFG13" i="1" a="1"/>
  <c r="OT77" i="1" a="1"/>
  <c r="PM16" i="1" a="1"/>
  <c r="VY56" i="1" a="1"/>
  <c r="ALQ61" i="1" a="1"/>
  <c r="AEK19" i="1" a="1"/>
  <c r="WS63" i="1" a="1"/>
  <c r="ALY14" i="1" a="1"/>
  <c r="AEO56" i="1" a="1"/>
  <c r="AEX21" i="1" a="1"/>
  <c r="YK22" i="1" a="1"/>
  <c r="PT21" i="1" a="1"/>
  <c r="XD59" i="1" a="1"/>
  <c r="ACN22" i="1" a="1"/>
  <c r="ALJ16" i="1" a="1"/>
  <c r="AFB59" i="1" a="1"/>
  <c r="PB56" i="1" a="1"/>
  <c r="AEU55" i="1" a="1"/>
  <c r="OH21" i="1" a="1"/>
  <c r="ALL20" i="1" a="1"/>
  <c r="ADX55" i="1" a="1"/>
  <c r="QW55" i="1" a="1"/>
  <c r="YL63" i="1" a="1"/>
  <c r="ON12" i="1" a="1"/>
  <c r="AMW61" i="1" a="1"/>
  <c r="ALV56" i="1" a="1"/>
  <c r="WH56" i="1" a="1"/>
  <c r="WE61" i="1" a="1"/>
  <c r="XB11" i="1" a="1"/>
  <c r="UU21" i="1" a="1"/>
  <c r="AMH55" i="1" a="1"/>
  <c r="XG55" i="1" a="1"/>
  <c r="WY63" i="1" a="1"/>
  <c r="ALK22" i="1" a="1"/>
  <c r="WX60" i="1" a="1"/>
  <c r="OP63" i="1" a="1"/>
  <c r="ALV22" i="1" a="1"/>
  <c r="AMA55" i="1" a="1"/>
  <c r="AKI59" i="1" a="1"/>
  <c r="ACP59" i="1" a="1"/>
  <c r="ALZ22" i="1" a="1"/>
  <c r="OI15" i="1" a="1"/>
  <c r="ANX20" i="1" a="1"/>
  <c r="UX61" i="1" a="1"/>
  <c r="XA11" i="1" a="1"/>
  <c r="ALX59" i="1" a="1"/>
  <c r="XG21" i="1" a="1"/>
  <c r="ALZ20" i="1" a="1"/>
  <c r="XL15" i="1" a="1"/>
  <c r="WB59" i="1" a="1"/>
  <c r="XB59" i="1" a="1"/>
  <c r="AFD19" i="1" a="1"/>
  <c r="AFG16" i="1" a="1"/>
  <c r="AEW61" i="1" a="1"/>
  <c r="AFB56" i="1" a="1"/>
  <c r="AEE12" i="1" a="1"/>
  <c r="AEK55" i="1" a="1"/>
  <c r="WI61" i="1" a="1"/>
  <c r="AEK61" i="1" a="1"/>
  <c r="XM15" i="1" a="1"/>
  <c r="ADU16" i="1" a="1"/>
  <c r="WM55" i="1" a="1"/>
  <c r="AFB26" i="1" a="1"/>
  <c r="WS19" i="1" a="1"/>
  <c r="QW26" i="1" a="1"/>
  <c r="OQ26" i="1" a="1"/>
  <c r="AEC26" i="1" a="1"/>
  <c r="ADR26" i="1" a="1"/>
  <c r="AME26" i="1" a="1"/>
  <c r="ALP26" i="1" a="1"/>
  <c r="ALV26" i="1" a="1"/>
  <c r="UY19" i="1" a="1"/>
  <c r="ALW26" i="1" a="1"/>
  <c r="ACN26" i="1" a="1"/>
  <c r="PK26" i="1" a="1"/>
  <c r="AMM26" i="1" a="1"/>
  <c r="WJ19" i="1" a="1"/>
  <c r="ALU22" i="1" a="1"/>
  <c r="WZ11" i="1" a="1"/>
  <c r="WI63" i="1" a="1"/>
  <c r="WH22" i="1" a="1"/>
  <c r="WW63" i="1" a="1"/>
  <c r="AFA59" i="1" a="1"/>
  <c r="XD56" i="1" a="1"/>
  <c r="ACQ15" i="1" a="1"/>
  <c r="OI16" i="1" a="1"/>
  <c r="OR19" i="1" a="1"/>
  <c r="ADY21" i="1" a="1"/>
  <c r="WS22" i="1" a="1"/>
  <c r="OI22" i="1" a="1"/>
  <c r="AES21" i="1" a="1"/>
  <c r="QW63" i="1" a="1"/>
  <c r="AFD56" i="1" a="1"/>
  <c r="AKF26" i="1" a="1"/>
  <c r="ALN26" i="1" a="1"/>
  <c r="AEV26" i="1" a="1"/>
  <c r="OT26" i="1" a="1"/>
  <c r="WB19" i="1" a="1"/>
  <c r="AEB26" i="1" a="1"/>
  <c r="PP26" i="1" a="1"/>
  <c r="YM16" i="1" a="1"/>
  <c r="AMN26" i="1" a="1"/>
  <c r="XD19" i="1" a="1"/>
  <c r="OK26" i="1" a="1"/>
  <c r="VY19" i="1" a="1"/>
  <c r="PL26" i="1" a="1"/>
  <c r="WQ19" i="1" a="1"/>
  <c r="WM16" i="1" a="1"/>
  <c r="WL19" i="1" a="1"/>
  <c r="UX19" i="1" a="1"/>
  <c r="WV15" i="1" a="1"/>
  <c r="AGE21" i="1" a="1"/>
  <c r="ANU21" i="1" a="1"/>
  <c r="XB60" i="1" a="1"/>
  <c r="OM61" i="1" a="1"/>
  <c r="AFD15" i="1" a="1"/>
  <c r="WK61" i="1" a="1"/>
  <c r="QU22" i="1" a="1"/>
  <c r="OS55" i="1" a="1"/>
  <c r="AMJ19" i="1" a="1"/>
  <c r="WY60" i="1" a="1"/>
  <c r="ALZ12" i="1" a="1"/>
  <c r="PB55" i="1" a="1"/>
  <c r="ALT20" i="1" a="1"/>
  <c r="AGG63" i="1" a="1"/>
  <c r="ALK26" i="1" a="1"/>
  <c r="NF26" i="1" a="1"/>
  <c r="ALU26" i="1" a="1"/>
  <c r="AET26" i="1" a="1"/>
  <c r="XL19" i="1" a="1"/>
  <c r="OW26" i="1" a="1"/>
  <c r="WO16" i="1" a="1"/>
  <c r="QV26" i="1" a="1"/>
  <c r="ACR26" i="1" a="1"/>
  <c r="WX19" i="1" a="1"/>
  <c r="OH26" i="1" a="1"/>
  <c r="WF19" i="1" a="1"/>
  <c r="WE16" i="1" a="1"/>
  <c r="OL26" i="1" a="1"/>
  <c r="WC19" i="1" a="1"/>
  <c r="AKF12" i="1" a="1"/>
  <c r="ALU61" i="1" a="1"/>
  <c r="AFC22" i="1" a="1"/>
  <c r="XI22" i="1" a="1"/>
  <c r="WN63" i="1" a="1"/>
  <c r="OR55" i="1" a="1"/>
  <c r="AMN14" i="1" a="1"/>
  <c r="WX22" i="1" a="1"/>
  <c r="ALS22" i="1" a="1"/>
  <c r="WZ61" i="1" a="1"/>
  <c r="AGF15" i="1" a="1"/>
  <c r="WM11" i="1" a="1"/>
  <c r="AMC12" i="1" a="1"/>
  <c r="AEG22" i="1" a="1"/>
  <c r="PE55" i="1" a="1"/>
  <c r="XI15" i="1" a="1"/>
  <c r="AMC26" i="1" a="1"/>
  <c r="WH19" i="1" a="1"/>
  <c r="AMH26" i="1" a="1"/>
  <c r="XA16" i="1" a="1"/>
  <c r="ADZ26" i="1" a="1"/>
  <c r="OJ26" i="1" a="1"/>
  <c r="PC26" i="1" a="1"/>
  <c r="AMA26" i="1" a="1"/>
  <c r="AMF26" i="1" a="1"/>
  <c r="WZ19" i="1" a="1"/>
  <c r="XI16" i="1" a="1"/>
  <c r="AMU26" i="1" a="1"/>
  <c r="ALM26" i="1" a="1"/>
  <c r="WO26" i="1" a="1"/>
  <c r="XN26" i="1" a="1"/>
  <c r="VZ26" i="1" a="1"/>
  <c r="XC26" i="1" a="1"/>
  <c r="WL26" i="1" a="1"/>
  <c r="WK63" i="1" a="1"/>
  <c r="XD63" i="1" a="1"/>
  <c r="ALY11" i="1" a="1"/>
  <c r="AFA12" i="1" a="1"/>
  <c r="OJ55" i="1" a="1"/>
  <c r="ALX14" i="1" a="1"/>
  <c r="XK13" i="1" a="1"/>
  <c r="OW12" i="1" a="1"/>
  <c r="ALR20" i="1" a="1"/>
  <c r="AMS19" i="1" a="1"/>
  <c r="ALS20" i="1" a="1"/>
  <c r="AMB16" i="1" a="1"/>
  <c r="AGE61" i="1" a="1"/>
  <c r="WE11" i="1" a="1"/>
  <c r="AEI59" i="1" a="1"/>
  <c r="PW56" i="1" a="1"/>
  <c r="WA11" i="1" a="1"/>
  <c r="WO63" i="1" a="1"/>
  <c r="WU21" i="1" a="1"/>
  <c r="OT55" i="1" a="1"/>
  <c r="QU61" i="1" a="1"/>
  <c r="WA15" i="1" a="1"/>
  <c r="WD61" i="1" a="1"/>
  <c r="AEZ16" i="1" a="1"/>
  <c r="WW12" i="1" a="1"/>
  <c r="XH19" i="1" a="1"/>
  <c r="PF26" i="1" a="1"/>
  <c r="UY16" i="1" a="1"/>
  <c r="AKI26" i="1" a="1"/>
  <c r="OT12" i="1" a="1"/>
  <c r="ADU21" i="1" a="1"/>
  <c r="UX22" i="1" a="1"/>
  <c r="AKG21" i="1" a="1"/>
  <c r="XL16" i="1" a="1"/>
  <c r="PB26" i="1" a="1"/>
  <c r="WW19" i="1" a="1"/>
  <c r="PV26" i="1" a="1"/>
  <c r="AEL19" i="1" a="1"/>
  <c r="AMN12" i="1" a="1"/>
  <c r="PR16" i="1" a="1"/>
  <c r="WY21" i="1" a="1"/>
  <c r="AEQ26" i="1" a="1"/>
  <c r="AEX26" i="1" a="1"/>
  <c r="ALQ26" i="1" a="1"/>
  <c r="WI19" i="1" a="1"/>
  <c r="AMT55" i="1" a="1"/>
  <c r="XE12" i="1" a="1"/>
  <c r="XM16" i="1" a="1"/>
  <c r="ADW26" i="1" a="1"/>
  <c r="AEE26" i="1" a="1"/>
  <c r="XI26" i="1" a="1"/>
  <c r="WG26" i="1" a="1"/>
  <c r="AMM12" i="1" a="1"/>
  <c r="AEK26" i="1" a="1"/>
  <c r="VY26" i="1" a="1"/>
  <c r="ADZ63" i="1" a="1"/>
  <c r="AMX16" i="1" a="1"/>
  <c r="AMO19" i="1" a="1"/>
  <c r="AFB15" i="1" a="1"/>
  <c r="AEN59" i="1" a="1"/>
  <c r="AMI19" i="1" a="1"/>
  <c r="AMO56" i="1" a="1"/>
  <c r="WR15" i="1" a="1"/>
  <c r="AMU16" i="1" a="1"/>
  <c r="AEH16" i="1" a="1"/>
  <c r="AMP55" i="1" a="1"/>
  <c r="PK61" i="1" a="1"/>
  <c r="ALJ12" i="1" a="1"/>
  <c r="AME56" i="1" a="1"/>
  <c r="AES22" i="1" a="1"/>
  <c r="AMG12" i="1" a="1"/>
  <c r="OX12" i="1" a="1"/>
  <c r="WC16" i="1" a="1"/>
  <c r="AMG26" i="1" a="1"/>
  <c r="UV19" i="1" a="1"/>
  <c r="PT26" i="1" a="1"/>
  <c r="ANV61" i="1" a="1"/>
  <c r="WN11" i="1" a="1"/>
  <c r="AMI21" i="1" a="1"/>
  <c r="ND61" i="1" a="1"/>
  <c r="OO26" i="1" a="1"/>
  <c r="AEP26" i="1" a="1"/>
  <c r="QT26" i="1" a="1"/>
  <c r="PR26" i="1" a="1"/>
  <c r="ALO55" i="1" a="1"/>
  <c r="AMO16" i="1" a="1"/>
  <c r="OL16" i="1" a="1"/>
  <c r="ACO15" i="1" a="1"/>
  <c r="PI26" i="1" a="1"/>
  <c r="OU26" i="1" a="1"/>
  <c r="WM19" i="1" a="1"/>
  <c r="SA26" i="1" a="1"/>
  <c r="AED12" i="1" a="1"/>
  <c r="AFE21" i="1" a="1"/>
  <c r="YN60" i="1" a="1"/>
  <c r="OO22" i="1" a="1"/>
  <c r="OS26" i="1" a="1"/>
  <c r="XC16" i="1" a="1"/>
  <c r="WP16" i="1" a="1"/>
  <c r="PS26" i="1" a="1"/>
  <c r="XK26" i="1" a="1"/>
  <c r="YN26" i="1" a="1"/>
  <c r="UV11" i="1" a="1"/>
  <c r="NH21" i="1" a="1"/>
  <c r="AGR60" i="1" a="1"/>
  <c r="YK55" i="1" a="1"/>
  <c r="AMG55" i="1" a="1"/>
  <c r="OW15" i="1" a="1"/>
  <c r="ACQ22" i="1" a="1"/>
  <c r="AED15" i="1" a="1"/>
  <c r="PC22" i="1" a="1"/>
  <c r="WW59" i="1" a="1"/>
  <c r="XC60" i="1" a="1"/>
  <c r="AMD14" i="1" a="1"/>
  <c r="AFD12" i="1" a="1"/>
  <c r="YM60" i="1" a="1"/>
  <c r="WL11" i="1" a="1"/>
  <c r="ADV56" i="1" a="1"/>
  <c r="WN56" i="1" a="1"/>
  <c r="ADY56" i="1" a="1"/>
  <c r="AGE26" i="1" a="1"/>
  <c r="ALX26" i="1" a="1"/>
  <c r="WP19" i="1" a="1"/>
  <c r="AKG26" i="1" a="1"/>
  <c r="NE19" i="1" a="1"/>
  <c r="OV63" i="1" a="1"/>
  <c r="PV19" i="1" a="1"/>
  <c r="UV59" i="1" a="1"/>
  <c r="AMR26" i="1" a="1"/>
  <c r="AFC26" i="1" a="1"/>
  <c r="RH26" i="1" a="1"/>
  <c r="AMB26" i="1" a="1"/>
  <c r="AMC59" i="1" a="1"/>
  <c r="PL19" i="1" a="1"/>
  <c r="ALS15" i="1" a="1"/>
  <c r="OM63" i="1" a="1"/>
  <c r="PW26" i="1" a="1"/>
  <c r="WB16" i="1" a="1"/>
  <c r="AHK26" i="1" a="1"/>
  <c r="WU19" i="1" a="1"/>
  <c r="PE26" i="1" a="1"/>
  <c r="UX26" i="1" a="1"/>
  <c r="PR61" i="1" a="1"/>
  <c r="AMO14" i="1" a="1"/>
  <c r="ACQ63" i="1" a="1"/>
  <c r="AMT59" i="1" a="1"/>
  <c r="AEH19" i="1" a="1"/>
  <c r="ALZ16" i="1" a="1"/>
  <c r="AEP16" i="1" a="1"/>
  <c r="AMH61" i="1" a="1"/>
  <c r="AMS56" i="1" a="1"/>
  <c r="AEM22" i="1" a="1"/>
  <c r="XL63" i="1" a="1"/>
  <c r="WN13" i="1" a="1"/>
  <c r="AGR59" i="1" a="1"/>
  <c r="ON55" i="1" a="1"/>
  <c r="OO16" i="1" a="1"/>
  <c r="AGR12" i="1" a="1"/>
  <c r="AKE22" i="1" a="1"/>
  <c r="PH26" i="1" a="1"/>
  <c r="ALJ26" i="1" a="1"/>
  <c r="WH16" i="1" a="1"/>
  <c r="ALT12" i="1" a="1"/>
  <c r="ANW56" i="1" a="1"/>
  <c r="ALP20" i="1" a="1"/>
  <c r="AEZ19" i="1" a="1"/>
  <c r="ANX26" i="1" a="1"/>
  <c r="ANW26" i="1" a="1"/>
  <c r="ALI26" i="1" a="1"/>
  <c r="WK19" i="1" a="1"/>
  <c r="XF13" i="1" a="1"/>
  <c r="AEX63" i="1" a="1"/>
  <c r="PR22" i="1" a="1"/>
  <c r="WW60" i="1" a="1"/>
  <c r="AMK26" i="1" a="1"/>
  <c r="WA19" i="1" a="1"/>
  <c r="XD16" i="1" a="1"/>
  <c r="ADS26" i="1" a="1"/>
  <c r="WK55" i="1" a="1"/>
  <c r="AMD16" i="1" a="1"/>
  <c r="ADV22" i="1" a="1"/>
  <c r="XM55" i="1" a="1"/>
  <c r="AES26" i="1" a="1"/>
  <c r="WA16" i="1" a="1"/>
  <c r="AMT26" i="1" a="1"/>
  <c r="OP26" i="1" a="1"/>
  <c r="AMP26" i="1" a="1"/>
  <c r="YM26" i="1" a="1"/>
  <c r="WB26" i="1" a="1"/>
  <c r="UU26" i="1" a="1"/>
  <c r="AME22" i="1" a="1"/>
  <c r="AMA22" i="1" a="1"/>
  <c r="AED26" i="1" a="1"/>
  <c r="ALR26" i="1" a="1"/>
  <c r="XL26" i="1" a="1"/>
  <c r="WM26" i="1" a="1"/>
  <c r="AEO22" i="1" a="1"/>
  <c r="AEG16" i="1" a="1"/>
  <c r="YL19" i="1" a="1"/>
  <c r="WR19" i="1" a="1"/>
  <c r="XH26" i="1" a="1"/>
  <c r="XH26" i="1" l="1"/>
  <c r="WR19" i="1"/>
  <c r="YL19" i="1"/>
  <c r="YS19" i="1" s="1"/>
  <c r="AEG16" i="1"/>
  <c r="AEO22" i="1"/>
  <c r="WM26" i="1"/>
  <c r="XL26" i="1"/>
  <c r="ALR26" i="1"/>
  <c r="AED26" i="1"/>
  <c r="AMA22" i="1"/>
  <c r="AME22" i="1"/>
  <c r="UU26" i="1"/>
  <c r="WB26" i="1"/>
  <c r="YM26" i="1"/>
  <c r="YT26" i="1" s="1"/>
  <c r="AMP26" i="1"/>
  <c r="OP26" i="1"/>
  <c r="AMT26" i="1"/>
  <c r="WA16" i="1"/>
  <c r="AES26" i="1"/>
  <c r="XM55" i="1"/>
  <c r="ADV22" i="1"/>
  <c r="AMD16" i="1"/>
  <c r="WK55" i="1"/>
  <c r="ADS26" i="1"/>
  <c r="XD16" i="1"/>
  <c r="WA19" i="1"/>
  <c r="AMK26" i="1"/>
  <c r="WW60" i="1"/>
  <c r="PR22" i="1"/>
  <c r="AEX63" i="1"/>
  <c r="XF13" i="1"/>
  <c r="WK19" i="1"/>
  <c r="ALI26" i="1"/>
  <c r="ANW26" i="1"/>
  <c r="AOD26" i="1" s="1"/>
  <c r="ANX26" i="1"/>
  <c r="AOE26" i="1" s="1"/>
  <c r="AEZ19" i="1"/>
  <c r="ALP20" i="1"/>
  <c r="ANW56" i="1"/>
  <c r="AOD56" i="1" s="1"/>
  <c r="ALT12" i="1"/>
  <c r="WH16" i="1"/>
  <c r="ALJ26" i="1"/>
  <c r="PH26" i="1"/>
  <c r="AKE22" i="1"/>
  <c r="AGR12" i="1"/>
  <c r="OO16" i="1"/>
  <c r="ON55" i="1"/>
  <c r="AGR59" i="1"/>
  <c r="WN13" i="1"/>
  <c r="XL63" i="1"/>
  <c r="AEM22" i="1"/>
  <c r="AMS56" i="1"/>
  <c r="AMH61" i="1"/>
  <c r="AEP16" i="1"/>
  <c r="ALZ16" i="1"/>
  <c r="AEH19" i="1"/>
  <c r="AMT59" i="1"/>
  <c r="ACQ63" i="1"/>
  <c r="AMO14" i="1"/>
  <c r="PR61" i="1"/>
  <c r="UX26" i="1"/>
  <c r="PE26" i="1"/>
  <c r="WU19" i="1"/>
  <c r="AHK26" i="1"/>
  <c r="WB16" i="1"/>
  <c r="PW26" i="1"/>
  <c r="RE26" i="1" s="1"/>
  <c r="OM63" i="1"/>
  <c r="ALS15" i="1"/>
  <c r="PL19" i="1"/>
  <c r="AMC59" i="1"/>
  <c r="AMB26" i="1"/>
  <c r="RH26" i="1"/>
  <c r="AFC26" i="1"/>
  <c r="AMR26" i="1"/>
  <c r="UV59" i="1"/>
  <c r="PV19" i="1"/>
  <c r="OV63" i="1"/>
  <c r="NE19" i="1"/>
  <c r="AKG26" i="1"/>
  <c r="WP19" i="1"/>
  <c r="ALX26" i="1"/>
  <c r="AGE26" i="1"/>
  <c r="AGL26" i="1" s="1"/>
  <c r="ADY56" i="1"/>
  <c r="WN56" i="1"/>
  <c r="ADV56" i="1"/>
  <c r="WL11" i="1"/>
  <c r="YM60" i="1"/>
  <c r="YT60" i="1" s="1"/>
  <c r="AFD12" i="1"/>
  <c r="AMD14" i="1"/>
  <c r="XC60" i="1"/>
  <c r="WW59" i="1"/>
  <c r="PC22" i="1"/>
  <c r="AED15" i="1"/>
  <c r="ACQ22" i="1"/>
  <c r="OW15" i="1"/>
  <c r="AMG55" i="1"/>
  <c r="YK55" i="1"/>
  <c r="AGR60" i="1"/>
  <c r="NH21" i="1"/>
  <c r="UV11" i="1"/>
  <c r="YN26" i="1"/>
  <c r="YU26" i="1" s="1"/>
  <c r="XK26" i="1"/>
  <c r="PS26" i="1"/>
  <c r="WP16" i="1"/>
  <c r="XC16" i="1"/>
  <c r="OS26" i="1"/>
  <c r="OO22" i="1"/>
  <c r="YN60" i="1"/>
  <c r="YU60" i="1" s="1"/>
  <c r="AFE21" i="1"/>
  <c r="AED12" i="1"/>
  <c r="SA26" i="1"/>
  <c r="WM19" i="1"/>
  <c r="OU26" i="1"/>
  <c r="PI26" i="1"/>
  <c r="ACO15" i="1"/>
  <c r="OL16" i="1"/>
  <c r="AMO16" i="1"/>
  <c r="ALO55" i="1"/>
  <c r="PR26" i="1"/>
  <c r="QT26" i="1"/>
  <c r="RA26" i="1" s="1"/>
  <c r="AEP26" i="1"/>
  <c r="OO26" i="1"/>
  <c r="ND61" i="1"/>
  <c r="AMI21" i="1"/>
  <c r="WN11" i="1"/>
  <c r="ANV61" i="1"/>
  <c r="AOC61" i="1" s="1"/>
  <c r="PT26" i="1"/>
  <c r="UV19" i="1"/>
  <c r="AMG26" i="1"/>
  <c r="WC16" i="1"/>
  <c r="OX12" i="1"/>
  <c r="AMG12" i="1"/>
  <c r="AES22" i="1"/>
  <c r="AME56" i="1"/>
  <c r="ALJ12" i="1"/>
  <c r="PK61" i="1"/>
  <c r="AMP55" i="1"/>
  <c r="AEH16" i="1"/>
  <c r="AMU16" i="1"/>
  <c r="WR15" i="1"/>
  <c r="AMO56" i="1"/>
  <c r="AMI19" i="1"/>
  <c r="AEN59" i="1"/>
  <c r="AFB15" i="1"/>
  <c r="AMO19" i="1"/>
  <c r="AMX16" i="1"/>
  <c r="AOF16" i="1" s="1"/>
  <c r="ADZ63" i="1"/>
  <c r="VY26" i="1"/>
  <c r="AEK26" i="1"/>
  <c r="AMM12" i="1"/>
  <c r="WG26" i="1"/>
  <c r="XI26" i="1"/>
  <c r="AEE26" i="1"/>
  <c r="ADW26" i="1"/>
  <c r="XM16" i="1"/>
  <c r="XE12" i="1"/>
  <c r="AMT55" i="1"/>
  <c r="WI19" i="1"/>
  <c r="ALQ26" i="1"/>
  <c r="AEX26" i="1"/>
  <c r="AEQ26" i="1"/>
  <c r="WY21" i="1"/>
  <c r="PR16" i="1"/>
  <c r="AMN12" i="1"/>
  <c r="AEL19" i="1"/>
  <c r="PV26" i="1"/>
  <c r="WW19" i="1"/>
  <c r="PB26" i="1"/>
  <c r="XL16" i="1"/>
  <c r="AKG21" i="1"/>
  <c r="UX22" i="1"/>
  <c r="ADU21" i="1"/>
  <c r="OT12" i="1"/>
  <c r="AKI26" i="1"/>
  <c r="UY16" i="1"/>
  <c r="PF26" i="1"/>
  <c r="XH19" i="1"/>
  <c r="WW12" i="1"/>
  <c r="AEZ16" i="1"/>
  <c r="WD61" i="1"/>
  <c r="WA15" i="1"/>
  <c r="QU61" i="1"/>
  <c r="RB61" i="1" s="1"/>
  <c r="OT55" i="1"/>
  <c r="WU21" i="1"/>
  <c r="WO63" i="1"/>
  <c r="WA11" i="1"/>
  <c r="PW56" i="1"/>
  <c r="RE56" i="1" s="1"/>
  <c r="AEI59" i="1"/>
  <c r="WE11" i="1"/>
  <c r="AGE61" i="1"/>
  <c r="AGL61" i="1" s="1"/>
  <c r="AMB16" i="1"/>
  <c r="ALS20" i="1"/>
  <c r="AMS19" i="1"/>
  <c r="ALR20" i="1"/>
  <c r="OW12" i="1"/>
  <c r="XK13" i="1"/>
  <c r="ALX14" i="1"/>
  <c r="OJ55" i="1"/>
  <c r="AFA12" i="1"/>
  <c r="ALY11" i="1"/>
  <c r="XD63" i="1"/>
  <c r="WK63" i="1"/>
  <c r="WL26" i="1"/>
  <c r="XC26" i="1"/>
  <c r="VZ26" i="1"/>
  <c r="XN26" i="1"/>
  <c r="YV26" i="1" s="1"/>
  <c r="WO26" i="1"/>
  <c r="ALM26" i="1"/>
  <c r="AMU26" i="1"/>
  <c r="XI16" i="1"/>
  <c r="WZ19" i="1"/>
  <c r="AMF26" i="1"/>
  <c r="AMA26" i="1"/>
  <c r="PC26" i="1"/>
  <c r="OJ26" i="1"/>
  <c r="ADZ26" i="1"/>
  <c r="XA16" i="1"/>
  <c r="AMH26" i="1"/>
  <c r="WH19" i="1"/>
  <c r="AMC26" i="1"/>
  <c r="XI15" i="1"/>
  <c r="PE55" i="1"/>
  <c r="AEG22" i="1"/>
  <c r="AMC12" i="1"/>
  <c r="WM11" i="1"/>
  <c r="AGF15" i="1"/>
  <c r="AGM15" i="1" s="1"/>
  <c r="WZ61" i="1"/>
  <c r="ALS22" i="1"/>
  <c r="WX22" i="1"/>
  <c r="AMN14" i="1"/>
  <c r="OR55" i="1"/>
  <c r="WN63" i="1"/>
  <c r="XI22" i="1"/>
  <c r="AFC22" i="1"/>
  <c r="ALU61" i="1"/>
  <c r="AKF12" i="1"/>
  <c r="WC19" i="1"/>
  <c r="OL26" i="1"/>
  <c r="WE16" i="1"/>
  <c r="WF19" i="1"/>
  <c r="OH26" i="1"/>
  <c r="WX19" i="1"/>
  <c r="ACR26" i="1"/>
  <c r="QV26" i="1"/>
  <c r="RC26" i="1" s="1"/>
  <c r="WO16" i="1"/>
  <c r="OW26" i="1"/>
  <c r="XL19" i="1"/>
  <c r="AET26" i="1"/>
  <c r="ALU26" i="1"/>
  <c r="NF26" i="1"/>
  <c r="ALK26" i="1"/>
  <c r="AGG63" i="1"/>
  <c r="AGN63" i="1" s="1"/>
  <c r="ALT20" i="1"/>
  <c r="PB55" i="1"/>
  <c r="ALZ12" i="1"/>
  <c r="WY60" i="1"/>
  <c r="AMJ19" i="1"/>
  <c r="OS55" i="1"/>
  <c r="QU22" i="1"/>
  <c r="RB22" i="1" s="1"/>
  <c r="WK61" i="1"/>
  <c r="AFD15" i="1"/>
  <c r="OM61" i="1"/>
  <c r="XB60" i="1"/>
  <c r="ANU21" i="1"/>
  <c r="AGE21" i="1"/>
  <c r="AGL21" i="1" s="1"/>
  <c r="WV15" i="1"/>
  <c r="UX19" i="1"/>
  <c r="WL19" i="1"/>
  <c r="WM16" i="1"/>
  <c r="WQ19" i="1"/>
  <c r="PL26" i="1"/>
  <c r="VY19" i="1"/>
  <c r="OK26" i="1"/>
  <c r="XD19" i="1"/>
  <c r="AMN26" i="1"/>
  <c r="YM16" i="1"/>
  <c r="YT16" i="1" s="1"/>
  <c r="PP26" i="1"/>
  <c r="AEB26" i="1"/>
  <c r="WB19" i="1"/>
  <c r="OT26" i="1"/>
  <c r="AEV26" i="1"/>
  <c r="ALN26" i="1"/>
  <c r="AKF26" i="1"/>
  <c r="AFD56" i="1"/>
  <c r="QW63" i="1"/>
  <c r="RD63" i="1" s="1"/>
  <c r="AES21" i="1"/>
  <c r="OI22" i="1"/>
  <c r="WS22" i="1"/>
  <c r="ADY21" i="1"/>
  <c r="OR19" i="1"/>
  <c r="OI16" i="1"/>
  <c r="ACQ15" i="1"/>
  <c r="XD56" i="1"/>
  <c r="AFA59" i="1"/>
  <c r="WW63" i="1"/>
  <c r="WH22" i="1"/>
  <c r="WI63" i="1"/>
  <c r="WZ11" i="1"/>
  <c r="ALU22" i="1"/>
  <c r="WJ19" i="1"/>
  <c r="AMM26" i="1"/>
  <c r="PK26" i="1"/>
  <c r="ACN26" i="1"/>
  <c r="ALW26" i="1"/>
  <c r="UY19" i="1"/>
  <c r="ALV26" i="1"/>
  <c r="ALP26" i="1"/>
  <c r="AME26" i="1"/>
  <c r="ADR26" i="1"/>
  <c r="AEC26" i="1"/>
  <c r="OQ26" i="1"/>
  <c r="QW26" i="1"/>
  <c r="RD26" i="1" s="1"/>
  <c r="WS19" i="1"/>
  <c r="AFB26" i="1"/>
  <c r="WM55" i="1"/>
  <c r="ADU16" i="1"/>
  <c r="XM15" i="1"/>
  <c r="AEK61" i="1"/>
  <c r="WI61" i="1"/>
  <c r="AEK55" i="1"/>
  <c r="AEE12" i="1"/>
  <c r="AFB56" i="1"/>
  <c r="AEW61" i="1"/>
  <c r="AFG16" i="1"/>
  <c r="AGO16" i="1" s="1"/>
  <c r="AFD19" i="1"/>
  <c r="XB59" i="1"/>
  <c r="WB59" i="1"/>
  <c r="XL15" i="1"/>
  <c r="ALZ20" i="1"/>
  <c r="XG21" i="1"/>
  <c r="ALX59" i="1"/>
  <c r="XA11" i="1"/>
  <c r="UX61" i="1"/>
  <c r="ANX20" i="1"/>
  <c r="AOE20" i="1" s="1"/>
  <c r="OI15" i="1"/>
  <c r="ALZ22" i="1"/>
  <c r="ACP59" i="1"/>
  <c r="AKI59" i="1"/>
  <c r="AMA55" i="1"/>
  <c r="ALV22" i="1"/>
  <c r="OP63" i="1"/>
  <c r="WX60" i="1"/>
  <c r="ALK22" i="1"/>
  <c r="WY63" i="1"/>
  <c r="XG55" i="1"/>
  <c r="AMH55" i="1"/>
  <c r="UU21" i="1"/>
  <c r="XB11" i="1"/>
  <c r="WE61" i="1"/>
  <c r="WH56" i="1"/>
  <c r="ALV56" i="1"/>
  <c r="AMW61" i="1"/>
  <c r="ON12" i="1"/>
  <c r="YL63" i="1"/>
  <c r="YS63" i="1" s="1"/>
  <c r="QW55" i="1"/>
  <c r="RD55" i="1" s="1"/>
  <c r="ADX55" i="1"/>
  <c r="ALL20" i="1"/>
  <c r="OH21" i="1"/>
  <c r="AEU55" i="1"/>
  <c r="PB56" i="1"/>
  <c r="AFB59" i="1"/>
  <c r="ALJ16" i="1"/>
  <c r="ACN22" i="1"/>
  <c r="XD59" i="1"/>
  <c r="PT21" i="1"/>
  <c r="YK22" i="1"/>
  <c r="AEX21" i="1"/>
  <c r="AEO56" i="1"/>
  <c r="ALY14" i="1"/>
  <c r="WS63" i="1"/>
  <c r="AEK19" i="1"/>
  <c r="ALQ61" i="1"/>
  <c r="VY56" i="1"/>
  <c r="PM16" i="1"/>
  <c r="OT77" i="1"/>
  <c r="AFG13" i="1"/>
  <c r="AGO13" i="1" s="1"/>
  <c r="AEP55" i="1"/>
  <c r="AKI20" i="1"/>
  <c r="AMT22" i="1"/>
  <c r="UY59" i="1"/>
  <c r="AMG19" i="1"/>
  <c r="PH16" i="1"/>
  <c r="AGF56" i="1"/>
  <c r="AGM56" i="1" s="1"/>
  <c r="ALJ61" i="1"/>
  <c r="AES56" i="1"/>
  <c r="AKH19" i="1"/>
  <c r="VZ61" i="1"/>
  <c r="AER61" i="1"/>
  <c r="WB11" i="1"/>
  <c r="WE59" i="1"/>
  <c r="OX15" i="1"/>
  <c r="AME21" i="1"/>
  <c r="AFE16" i="1"/>
  <c r="XD13" i="1"/>
  <c r="ALT14" i="1"/>
  <c r="PG21" i="1"/>
  <c r="PH55" i="1"/>
  <c r="WL61" i="1"/>
  <c r="AMF14" i="1"/>
  <c r="ACR21" i="1"/>
  <c r="PN19" i="1"/>
  <c r="AMT19" i="1"/>
  <c r="ALW61" i="1"/>
  <c r="PI15" i="1"/>
  <c r="OK16" i="1"/>
  <c r="ANW12" i="1"/>
  <c r="AOD12" i="1" s="1"/>
  <c r="PA17" i="1"/>
  <c r="OQ16" i="1"/>
  <c r="AEB56" i="1"/>
  <c r="PS22" i="1"/>
  <c r="AMV22" i="1"/>
  <c r="PL56" i="1"/>
  <c r="OL61" i="1"/>
  <c r="ALS55" i="1"/>
  <c r="OY16" i="1"/>
  <c r="AMT20" i="1"/>
  <c r="XB22" i="1"/>
  <c r="AED56" i="1"/>
  <c r="AMI12" i="1"/>
  <c r="AEK15" i="1"/>
  <c r="AEY59" i="1"/>
  <c r="AEU21" i="1"/>
  <c r="AEG12" i="1"/>
  <c r="OQ56" i="1"/>
  <c r="AMH59" i="1"/>
  <c r="PF55" i="1"/>
  <c r="WN61" i="1"/>
  <c r="AMB56" i="1"/>
  <c r="WR21" i="1"/>
  <c r="ADV12" i="1"/>
  <c r="AMQ55" i="1"/>
  <c r="AKF20" i="1"/>
  <c r="OK12" i="1"/>
  <c r="AEJ59" i="1"/>
  <c r="VZ22" i="1"/>
  <c r="AEQ22" i="1"/>
  <c r="XB75" i="1"/>
  <c r="AMT18" i="1"/>
  <c r="ANX12" i="1"/>
  <c r="AOE12" i="1" s="1"/>
  <c r="PH15" i="1"/>
  <c r="XK22" i="1"/>
  <c r="AFB21" i="1"/>
  <c r="XF12" i="1"/>
  <c r="WY59" i="1"/>
  <c r="ALW14" i="1"/>
  <c r="AMP12" i="1"/>
  <c r="NG63" i="1"/>
  <c r="AEY55" i="1"/>
  <c r="WJ56" i="1"/>
  <c r="AEU15" i="1"/>
  <c r="AEC56" i="1"/>
  <c r="ALI15" i="1"/>
  <c r="ADY16" i="1"/>
  <c r="AEB16" i="1"/>
  <c r="VZ15" i="1"/>
  <c r="NF56" i="1"/>
  <c r="SA61" i="1"/>
  <c r="AMQ20" i="1"/>
  <c r="PW22" i="1"/>
  <c r="RE22" i="1" s="1"/>
  <c r="AEO55" i="1"/>
  <c r="OR22" i="1"/>
  <c r="AEK59" i="1"/>
  <c r="AEI22" i="1"/>
  <c r="ALJ59" i="1"/>
  <c r="PC15" i="1"/>
  <c r="AEC16" i="1"/>
  <c r="WI13" i="1"/>
  <c r="AEL22" i="1"/>
  <c r="XH15" i="1"/>
  <c r="AFE61" i="1"/>
  <c r="OV16" i="1"/>
  <c r="ALV16" i="1"/>
  <c r="ACP21" i="1"/>
  <c r="AMV59" i="1"/>
  <c r="WZ55" i="1"/>
  <c r="ALI22" i="1"/>
  <c r="ANW55" i="1"/>
  <c r="AOD55" i="1" s="1"/>
  <c r="AEC15" i="1"/>
  <c r="PQ55" i="1"/>
  <c r="AMW15" i="1"/>
  <c r="OZ63" i="1"/>
  <c r="PG16" i="1"/>
  <c r="AMS12" i="1"/>
  <c r="AMQ56" i="1"/>
  <c r="XG60" i="1"/>
  <c r="QV15" i="1"/>
  <c r="RC15" i="1" s="1"/>
  <c r="AGG22" i="1"/>
  <c r="AGN22" i="1" s="1"/>
  <c r="AMX14" i="1"/>
  <c r="AOF14" i="1" s="1"/>
  <c r="RH21" i="1"/>
  <c r="AEY12" i="1"/>
  <c r="PC59" i="1"/>
  <c r="AFE55" i="1"/>
  <c r="XE55" i="1"/>
  <c r="AET16" i="1"/>
  <c r="AMJ22" i="1"/>
  <c r="ALZ56" i="1"/>
  <c r="WQ63" i="1"/>
  <c r="AFF12" i="1"/>
  <c r="WT60" i="1"/>
  <c r="WV13" i="1"/>
  <c r="WX55" i="1"/>
  <c r="AMT61" i="1"/>
  <c r="WB55" i="1"/>
  <c r="AEZ15" i="1"/>
  <c r="ANV14" i="1"/>
  <c r="AOC14" i="1" s="1"/>
  <c r="AMK55" i="1"/>
  <c r="WE56" i="1"/>
  <c r="PH12" i="1"/>
  <c r="XN63" i="1"/>
  <c r="YV63" i="1" s="1"/>
  <c r="ADV21" i="1"/>
  <c r="AEL63" i="1"/>
  <c r="OQ15" i="1"/>
  <c r="WZ12" i="1"/>
  <c r="WV22" i="1"/>
  <c r="AHK22" i="1"/>
  <c r="XA60" i="1"/>
  <c r="PJ61" i="1"/>
  <c r="AFA56" i="1"/>
  <c r="ALI14" i="1"/>
  <c r="OU22" i="1"/>
  <c r="ANV56" i="1"/>
  <c r="AOC56" i="1" s="1"/>
  <c r="AGD63" i="1"/>
  <c r="AGK63" i="1" s="1"/>
  <c r="AFG20" i="1"/>
  <c r="AGO20" i="1" s="1"/>
  <c r="AER12" i="1"/>
  <c r="ALS21" i="1"/>
  <c r="WY56" i="1"/>
  <c r="UW63" i="1"/>
  <c r="XL61" i="1"/>
  <c r="OU19" i="1"/>
  <c r="AMW59" i="1"/>
  <c r="ALJ20" i="1"/>
  <c r="ADX21" i="1"/>
  <c r="ACO22" i="1"/>
  <c r="ALX19" i="1"/>
  <c r="AGE63" i="1"/>
  <c r="AGL63" i="1" s="1"/>
  <c r="PA63" i="1"/>
  <c r="AMU55" i="1"/>
  <c r="WH59" i="1"/>
  <c r="OS16" i="1"/>
  <c r="UV15" i="1"/>
  <c r="OO12" i="1"/>
  <c r="XA12" i="1"/>
  <c r="AMP16" i="1"/>
  <c r="WZ13" i="1"/>
  <c r="OL12" i="1"/>
  <c r="WX11" i="1"/>
  <c r="WF55" i="1"/>
  <c r="AEU16" i="1"/>
  <c r="ALK59" i="1"/>
  <c r="AMB55" i="1"/>
  <c r="WA61" i="1"/>
  <c r="AEF19" i="1"/>
  <c r="OT60" i="1"/>
  <c r="YL22" i="1"/>
  <c r="YS22" i="1" s="1"/>
  <c r="WE21" i="1"/>
  <c r="XE63" i="1"/>
  <c r="XC61" i="1"/>
  <c r="AMP61" i="1"/>
  <c r="WY55" i="1"/>
  <c r="ALW55" i="1"/>
  <c r="WR12" i="1"/>
  <c r="AEC63" i="1"/>
  <c r="ACQ55" i="1"/>
  <c r="YN55" i="1"/>
  <c r="YU55" i="1" s="1"/>
  <c r="PM21" i="1"/>
  <c r="PU63" i="1"/>
  <c r="AMX19" i="1"/>
  <c r="AOF19" i="1" s="1"/>
  <c r="AMU22" i="1"/>
  <c r="XH22" i="1"/>
  <c r="ADW63" i="1"/>
  <c r="NE21" i="1"/>
  <c r="XA61" i="1"/>
  <c r="VZ56" i="1"/>
  <c r="AMH12" i="1"/>
  <c r="AMA20" i="1"/>
  <c r="XB56" i="1"/>
  <c r="YL11" i="1"/>
  <c r="YS11" i="1" s="1"/>
  <c r="AEW55" i="1"/>
  <c r="AEO63" i="1"/>
  <c r="RG63" i="1"/>
  <c r="WD13" i="1"/>
  <c r="AMA59" i="1"/>
  <c r="PU12" i="1"/>
  <c r="NE16" i="1"/>
  <c r="AEK16" i="1"/>
  <c r="ADU63" i="1"/>
  <c r="OU63" i="1"/>
  <c r="ALS14" i="1"/>
  <c r="UU60" i="1"/>
  <c r="AGD12" i="1"/>
  <c r="AGK12" i="1" s="1"/>
  <c r="AEN22" i="1"/>
  <c r="WV60" i="1"/>
  <c r="PC21" i="1"/>
  <c r="AKG12" i="1"/>
  <c r="PJ12" i="1"/>
  <c r="ACR59" i="1"/>
  <c r="XL22" i="1"/>
  <c r="AED22" i="1"/>
  <c r="ANX15" i="1"/>
  <c r="AOE15" i="1" s="1"/>
  <c r="WO61" i="1"/>
  <c r="AKE16" i="1"/>
  <c r="AEV16" i="1"/>
  <c r="PA19" i="1"/>
  <c r="AMJ55" i="1"/>
  <c r="AME20" i="1"/>
  <c r="AEU19" i="1"/>
  <c r="ALN61" i="1"/>
  <c r="WF10" i="1"/>
  <c r="ACN13" i="1"/>
  <c r="XF60" i="1"/>
  <c r="ADW12" i="1"/>
  <c r="XK56" i="1"/>
  <c r="ANW21" i="1"/>
  <c r="AOD21" i="1" s="1"/>
  <c r="ALR56" i="1"/>
  <c r="AMU61" i="1"/>
  <c r="OM56" i="1"/>
  <c r="AMP20" i="1"/>
  <c r="AES19" i="1"/>
  <c r="XM21" i="1"/>
  <c r="ANU59" i="1"/>
  <c r="ON61" i="1"/>
  <c r="ACR55" i="1"/>
  <c r="QW56" i="1"/>
  <c r="RD56" i="1" s="1"/>
  <c r="YN11" i="1"/>
  <c r="YU11" i="1" s="1"/>
  <c r="SA55" i="1"/>
  <c r="OQ22" i="1"/>
  <c r="WZ59" i="1"/>
  <c r="AEM16" i="1"/>
  <c r="AEH22" i="1"/>
  <c r="AMK14" i="1"/>
  <c r="AMD59" i="1"/>
  <c r="AEY16" i="1"/>
  <c r="AEY15" i="1"/>
  <c r="ALQ56" i="1"/>
  <c r="VY21" i="1"/>
  <c r="AML20" i="1"/>
  <c r="UX11" i="1"/>
  <c r="ALK61" i="1"/>
  <c r="NE15" i="1"/>
  <c r="AEJ75" i="1"/>
  <c r="AMV61" i="1"/>
  <c r="PI56" i="1"/>
  <c r="ACN56" i="1"/>
  <c r="OI63" i="1"/>
  <c r="OJ21" i="1"/>
  <c r="UW13" i="1"/>
  <c r="UW61" i="1"/>
  <c r="AMO61" i="1"/>
  <c r="WH55" i="1"/>
  <c r="AMC15" i="1"/>
  <c r="XI12" i="1"/>
  <c r="PK15" i="1"/>
  <c r="AMM21" i="1"/>
  <c r="ADU22" i="1"/>
  <c r="WG63" i="1"/>
  <c r="AMT12" i="1"/>
  <c r="AMF21" i="1"/>
  <c r="OH19" i="1"/>
  <c r="ALV59" i="1"/>
  <c r="AMS61" i="1"/>
  <c r="ADW22" i="1"/>
  <c r="OL21" i="1"/>
  <c r="WD72" i="1"/>
  <c r="WF22" i="1"/>
  <c r="AFA15" i="1"/>
  <c r="WX13" i="1"/>
  <c r="YL59" i="1"/>
  <c r="YS59" i="1" s="1"/>
  <c r="WU11" i="1"/>
  <c r="AEN21" i="1"/>
  <c r="UW22" i="1"/>
  <c r="OY22" i="1"/>
  <c r="WR63" i="1"/>
  <c r="ADX63" i="1"/>
  <c r="AER15" i="1"/>
  <c r="WP55" i="1"/>
  <c r="PW61" i="1"/>
  <c r="RE61" i="1" s="1"/>
  <c r="ALT61" i="1"/>
  <c r="AFA22" i="1"/>
  <c r="AEF15" i="1"/>
  <c r="ADV16" i="1"/>
  <c r="WA22" i="1"/>
  <c r="AGE16" i="1"/>
  <c r="AGL16" i="1" s="1"/>
  <c r="VZ55" i="1"/>
  <c r="AMB20" i="1"/>
  <c r="PL55" i="1"/>
  <c r="OS22" i="1"/>
  <c r="WN26" i="1"/>
  <c r="WI26" i="1"/>
  <c r="XJ26" i="1"/>
  <c r="NH26" i="1"/>
  <c r="QU26" i="1"/>
  <c r="RB26" i="1" s="1"/>
  <c r="UY26" i="1"/>
  <c r="YK26" i="1"/>
  <c r="XF26" i="1"/>
  <c r="WY26" i="1"/>
  <c r="XD26" i="1"/>
  <c r="WP26" i="1"/>
  <c r="XA26" i="1"/>
  <c r="WC26" i="1"/>
  <c r="WH26" i="1"/>
  <c r="YL26" i="1"/>
  <c r="YS26" i="1" s="1"/>
  <c r="WV16" i="1"/>
  <c r="ADV26" i="1"/>
  <c r="AFD26" i="1"/>
  <c r="PG26" i="1"/>
  <c r="PO26" i="1"/>
  <c r="PA26" i="1"/>
  <c r="AFE26" i="1"/>
  <c r="AGR26" i="1"/>
  <c r="AGT26" i="1" s="1"/>
  <c r="XC19" i="1"/>
  <c r="AEZ26" i="1"/>
  <c r="UW19" i="1"/>
  <c r="WL16" i="1"/>
  <c r="AKE26" i="1"/>
  <c r="WI16" i="1"/>
  <c r="AGF26" i="1"/>
  <c r="AGM26" i="1" s="1"/>
  <c r="AFA26" i="1"/>
  <c r="AEF26" i="1"/>
  <c r="YK19" i="1"/>
  <c r="AEJ26" i="1"/>
  <c r="ADT22" i="1"/>
  <c r="ACQ12" i="1"/>
  <c r="PK56" i="1"/>
  <c r="UU56" i="1"/>
  <c r="AET12" i="1"/>
  <c r="WA63" i="1"/>
  <c r="XG61" i="1"/>
  <c r="OZ55" i="1"/>
  <c r="AGQ55" i="1"/>
  <c r="AKH61" i="1"/>
  <c r="WP13" i="1"/>
  <c r="XJ13" i="1"/>
  <c r="PF63" i="1"/>
  <c r="ADZ55" i="1"/>
  <c r="WC21" i="1"/>
  <c r="AEO26" i="1"/>
  <c r="ALO26" i="1"/>
  <c r="RG26" i="1"/>
  <c r="AEM26" i="1"/>
  <c r="UV16" i="1"/>
  <c r="NE26" i="1"/>
  <c r="AMO26" i="1"/>
  <c r="AML26" i="1"/>
  <c r="WY16" i="1"/>
  <c r="AEU26" i="1"/>
  <c r="PQ26" i="1"/>
  <c r="VY16" i="1"/>
  <c r="XJ19" i="1"/>
  <c r="AGG26" i="1"/>
  <c r="AGN26" i="1" s="1"/>
  <c r="WD16" i="1"/>
  <c r="WZ56" i="1"/>
  <c r="ADW19" i="1"/>
  <c r="PT16" i="1"/>
  <c r="ALQ22" i="1"/>
  <c r="ANV12" i="1"/>
  <c r="AOC12" i="1" s="1"/>
  <c r="OZ16" i="1"/>
  <c r="QT55" i="1"/>
  <c r="RA55" i="1" s="1"/>
  <c r="AFF15" i="1"/>
  <c r="AKI61" i="1"/>
  <c r="WK22" i="1"/>
  <c r="AEO19" i="1"/>
  <c r="XF59" i="1"/>
  <c r="XC12" i="1"/>
  <c r="WF59" i="1"/>
  <c r="UY61" i="1"/>
  <c r="PU15" i="1"/>
  <c r="XB16" i="1"/>
  <c r="ALY26" i="1"/>
  <c r="ACQ26" i="1"/>
  <c r="AGD26" i="1"/>
  <c r="AGK26" i="1" s="1"/>
  <c r="OM26" i="1"/>
  <c r="WS16" i="1"/>
  <c r="AMX26" i="1"/>
  <c r="AOF26" i="1" s="1"/>
  <c r="ADT26" i="1"/>
  <c r="AEW26" i="1"/>
  <c r="XK19" i="1"/>
  <c r="AMV26" i="1"/>
  <c r="AMJ26" i="1"/>
  <c r="WE19" i="1"/>
  <c r="ADU26" i="1"/>
  <c r="ON26" i="1"/>
  <c r="WW16" i="1"/>
  <c r="WT16" i="1"/>
  <c r="PL21" i="1"/>
  <c r="UY12" i="1"/>
  <c r="AED59" i="1"/>
  <c r="XC55" i="1"/>
  <c r="AEN55" i="1"/>
  <c r="AMI59" i="1"/>
  <c r="XJ22" i="1"/>
  <c r="UV56" i="1"/>
  <c r="OM16" i="1"/>
  <c r="XK12" i="1"/>
  <c r="WR56" i="1"/>
  <c r="ANU16" i="1"/>
  <c r="AEZ63" i="1"/>
  <c r="AML12" i="1"/>
  <c r="OP19" i="1"/>
  <c r="XJ59" i="1"/>
  <c r="AMI26" i="1"/>
  <c r="UX16" i="1"/>
  <c r="WT19" i="1"/>
  <c r="PU26" i="1"/>
  <c r="PJ26" i="1"/>
  <c r="XJ16" i="1"/>
  <c r="OV26" i="1"/>
  <c r="ALT26" i="1"/>
  <c r="AEA26" i="1"/>
  <c r="ND26" i="1"/>
  <c r="WJ16" i="1"/>
  <c r="YM19" i="1"/>
  <c r="YT19" i="1" s="1"/>
  <c r="ALL26" i="1"/>
  <c r="YK16" i="1"/>
  <c r="WV19" i="1"/>
  <c r="XE15" i="1"/>
  <c r="AMG16" i="1"/>
  <c r="AMB19" i="1"/>
  <c r="WO11" i="1"/>
  <c r="AGF63" i="1"/>
  <c r="AGM63" i="1" s="1"/>
  <c r="XD61" i="1"/>
  <c r="OV19" i="1"/>
  <c r="SA21" i="1"/>
  <c r="ANV59" i="1"/>
  <c r="AOC59" i="1" s="1"/>
  <c r="AMU21" i="1"/>
  <c r="YK63" i="1"/>
  <c r="ACR61" i="1"/>
  <c r="AKH15" i="1"/>
  <c r="AMQ21" i="1"/>
  <c r="AGQ22" i="1"/>
  <c r="WC13" i="1"/>
  <c r="ALT16" i="1"/>
  <c r="WF60" i="1"/>
  <c r="ALS19" i="1"/>
  <c r="QV16" i="1"/>
  <c r="RC16" i="1" s="1"/>
  <c r="AMO59" i="1"/>
  <c r="ALN14" i="1"/>
  <c r="OT21" i="1"/>
  <c r="WB15" i="1"/>
  <c r="ADX59" i="1"/>
  <c r="AMA56" i="1"/>
  <c r="XB21" i="1"/>
  <c r="NH55" i="1"/>
  <c r="PN55" i="1"/>
  <c r="AKH16" i="1"/>
  <c r="AMC22" i="1"/>
  <c r="QV63" i="1"/>
  <c r="RC63" i="1" s="1"/>
  <c r="VY15" i="1"/>
  <c r="WK60" i="1"/>
  <c r="AER63" i="1"/>
  <c r="WI12" i="1"/>
  <c r="VY59" i="1"/>
  <c r="YK15" i="1"/>
  <c r="ADY59" i="1"/>
  <c r="AMD55" i="1"/>
  <c r="AEM15" i="1"/>
  <c r="OS15" i="1"/>
  <c r="PL16" i="1"/>
  <c r="XL60" i="1"/>
  <c r="PF12" i="1"/>
  <c r="AFF56" i="1"/>
  <c r="QV61" i="1"/>
  <c r="RC61" i="1" s="1"/>
  <c r="AKG61" i="1"/>
  <c r="OL56" i="1"/>
  <c r="PQ61" i="1"/>
  <c r="AME12" i="1"/>
  <c r="ADR15" i="1"/>
  <c r="OR56" i="1"/>
  <c r="ACN16" i="1"/>
  <c r="ND55" i="1"/>
  <c r="ANW15" i="1"/>
  <c r="AOD15" i="1" s="1"/>
  <c r="AMN22" i="1"/>
  <c r="PP12" i="1"/>
  <c r="UV12" i="1"/>
  <c r="VY22" i="1"/>
  <c r="AET57" i="1"/>
  <c r="ALW59" i="1"/>
  <c r="PG12" i="1"/>
  <c r="UU12" i="1"/>
  <c r="YL55" i="1"/>
  <c r="YS55" i="1" s="1"/>
  <c r="OO61" i="1"/>
  <c r="WQ59" i="1"/>
  <c r="AMF16" i="1"/>
  <c r="AEU12" i="1"/>
  <c r="WY22" i="1"/>
  <c r="PA21" i="1"/>
  <c r="ALZ21" i="1"/>
  <c r="ALP56" i="1"/>
  <c r="AMI61" i="1"/>
  <c r="PK12" i="1"/>
  <c r="PB61" i="1"/>
  <c r="UY22" i="1"/>
  <c r="AEV21" i="1"/>
  <c r="WL59" i="1"/>
  <c r="OH15" i="1"/>
  <c r="YL13" i="1"/>
  <c r="YS13" i="1" s="1"/>
  <c r="ALY15" i="1"/>
  <c r="OJ22" i="1"/>
  <c r="AMM16" i="1"/>
  <c r="YM15" i="1"/>
  <c r="YT15" i="1" s="1"/>
  <c r="AEI12" i="1"/>
  <c r="AEE63" i="1"/>
  <c r="WS56" i="1"/>
  <c r="AMW56" i="1"/>
  <c r="ALO22" i="1"/>
  <c r="AGD16" i="1"/>
  <c r="AGK16" i="1" s="1"/>
  <c r="YK13" i="1"/>
  <c r="UV75" i="1"/>
  <c r="ALK16" i="1"/>
  <c r="ANW20" i="1"/>
  <c r="AOD20" i="1" s="1"/>
  <c r="ANX61" i="1"/>
  <c r="AOE61" i="1" s="1"/>
  <c r="AMV14" i="1"/>
  <c r="AEF55" i="1"/>
  <c r="WJ55" i="1"/>
  <c r="VY60" i="1"/>
  <c r="PU19" i="1"/>
  <c r="PC16" i="1"/>
  <c r="WN15" i="1"/>
  <c r="PU21" i="1"/>
  <c r="AEE22" i="1"/>
  <c r="XJ55" i="1"/>
  <c r="OP21" i="1"/>
  <c r="PT19" i="1"/>
  <c r="ADU15" i="1"/>
  <c r="ADS59" i="1"/>
  <c r="AEQ21" i="1"/>
  <c r="RH22" i="1"/>
  <c r="UY55" i="1"/>
  <c r="WH63" i="1"/>
  <c r="AEM21" i="1"/>
  <c r="XJ61" i="1"/>
  <c r="PE12" i="1"/>
  <c r="YM12" i="1"/>
  <c r="YT12" i="1" s="1"/>
  <c r="WO60" i="1"/>
  <c r="OU61" i="1"/>
  <c r="AGF55" i="1"/>
  <c r="AGM55" i="1" s="1"/>
  <c r="ACN61" i="1"/>
  <c r="PF77" i="1"/>
  <c r="ALN59" i="1"/>
  <c r="AEC22" i="1"/>
  <c r="WR59" i="1"/>
  <c r="AGE55" i="1"/>
  <c r="AGL55" i="1" s="1"/>
  <c r="ALQ21" i="1"/>
  <c r="PD12" i="1"/>
  <c r="NE61" i="1"/>
  <c r="AMK22" i="1"/>
  <c r="WR13" i="1"/>
  <c r="ANW59" i="1"/>
  <c r="AOD59" i="1" s="1"/>
  <c r="PT15" i="1"/>
  <c r="WN12" i="1"/>
  <c r="AMH14" i="1"/>
  <c r="QW21" i="1"/>
  <c r="RD21" i="1" s="1"/>
  <c r="AFE56" i="1"/>
  <c r="PU61" i="1"/>
  <c r="PK19" i="1"/>
  <c r="RG15" i="1"/>
  <c r="UV13" i="1"/>
  <c r="ALS16" i="1"/>
  <c r="YL12" i="1"/>
  <c r="YS12" i="1" s="1"/>
  <c r="ON22" i="1"/>
  <c r="AMF61" i="1"/>
  <c r="AME14" i="1"/>
  <c r="PV21" i="1"/>
  <c r="ADS56" i="1"/>
  <c r="AMH15" i="1"/>
  <c r="AMM59" i="1"/>
  <c r="PA55" i="1"/>
  <c r="ALI20" i="1"/>
  <c r="WX63" i="1"/>
  <c r="PB12" i="1"/>
  <c r="AMD22" i="1"/>
  <c r="QU56" i="1"/>
  <c r="RB56" i="1" s="1"/>
  <c r="NE22" i="1"/>
  <c r="PN56" i="1"/>
  <c r="ALJ15" i="1"/>
  <c r="OY63" i="1"/>
  <c r="AMF19" i="1"/>
  <c r="ANV21" i="1"/>
  <c r="AOC21" i="1" s="1"/>
  <c r="WG55" i="1"/>
  <c r="WS61" i="1"/>
  <c r="OQ12" i="1"/>
  <c r="XC21" i="1"/>
  <c r="AMA16" i="1"/>
  <c r="XM13" i="1"/>
  <c r="AKG20" i="1"/>
  <c r="VZ11" i="1"/>
  <c r="YK59" i="1"/>
  <c r="PG56" i="1"/>
  <c r="AER22" i="1"/>
  <c r="AMP19" i="1"/>
  <c r="WV61" i="1"/>
  <c r="UV72" i="1"/>
  <c r="AEQ12" i="1"/>
  <c r="AET22" i="1"/>
  <c r="AMQ12" i="1"/>
  <c r="XF15" i="1"/>
  <c r="ADR59" i="1"/>
  <c r="AML55" i="1"/>
  <c r="WY61" i="1"/>
  <c r="PE16" i="1"/>
  <c r="PE22" i="1"/>
  <c r="ADY19" i="1"/>
  <c r="NF12" i="1"/>
  <c r="OL63" i="1"/>
  <c r="XH55" i="1"/>
  <c r="ALM22" i="1"/>
  <c r="PR19" i="1"/>
  <c r="WU12" i="1"/>
  <c r="AMT14" i="1"/>
  <c r="ALV55" i="1"/>
  <c r="UX56" i="1"/>
  <c r="AMB12" i="1"/>
  <c r="ALP61" i="1"/>
  <c r="OI21" i="1"/>
  <c r="VY13" i="1"/>
  <c r="OK56" i="1"/>
  <c r="WK11" i="1"/>
  <c r="AFF19" i="1"/>
  <c r="AES16" i="1"/>
  <c r="NF19" i="1"/>
  <c r="AKH14" i="1"/>
  <c r="AMU59" i="1"/>
  <c r="AML18" i="1"/>
  <c r="PV62" i="1"/>
  <c r="AGE15" i="1"/>
  <c r="AGL15" i="1" s="1"/>
  <c r="AEJ21" i="1"/>
  <c r="WV21" i="1"/>
  <c r="NH63" i="1"/>
  <c r="AMR16" i="1"/>
  <c r="WJ22" i="1"/>
  <c r="AHK21" i="1"/>
  <c r="PO16" i="1"/>
  <c r="UX60" i="1"/>
  <c r="ACP61" i="1"/>
  <c r="AKG59" i="1"/>
  <c r="AMI15" i="1"/>
  <c r="WN21" i="1"/>
  <c r="ADV61" i="1"/>
  <c r="WR11" i="1"/>
  <c r="PN63" i="1"/>
  <c r="AMR55" i="1"/>
  <c r="YL15" i="1"/>
  <c r="YS15" i="1" s="1"/>
  <c r="OX21" i="1"/>
  <c r="AFA55" i="1"/>
  <c r="ADT61" i="1"/>
  <c r="AKI21" i="1"/>
  <c r="AMK12" i="1"/>
  <c r="NG22" i="1"/>
  <c r="ALY12" i="1"/>
  <c r="AGG21" i="1"/>
  <c r="AGN21" i="1" s="1"/>
  <c r="ALK21" i="1"/>
  <c r="WC11" i="1"/>
  <c r="AMX22" i="1"/>
  <c r="AOF22" i="1" s="1"/>
  <c r="XK18" i="1"/>
  <c r="AFE22" i="1"/>
  <c r="PV55" i="1"/>
  <c r="ALQ15" i="1"/>
  <c r="WV12" i="1"/>
  <c r="YN22" i="1"/>
  <c r="YU22" i="1" s="1"/>
  <c r="AMN61" i="1"/>
  <c r="WX56" i="1"/>
  <c r="AFD59" i="1"/>
  <c r="AMJ16" i="1"/>
  <c r="XH56" i="1"/>
  <c r="AFG22" i="1"/>
  <c r="AGO22" i="1" s="1"/>
  <c r="AEA19" i="1"/>
  <c r="WX21" i="1"/>
  <c r="WI22" i="1"/>
  <c r="ALU14" i="1"/>
  <c r="ALM55" i="1"/>
  <c r="AMK59" i="1"/>
  <c r="PE63" i="1"/>
  <c r="WU22" i="1"/>
  <c r="XL12" i="1"/>
  <c r="XA15" i="1"/>
  <c r="WC22" i="1"/>
  <c r="WQ12" i="1"/>
  <c r="AGR56" i="1"/>
  <c r="AGT56" i="1" s="1"/>
  <c r="WI56" i="1"/>
  <c r="AMO12" i="1"/>
  <c r="PO63" i="1"/>
  <c r="WI60" i="1"/>
  <c r="AMX15" i="1"/>
  <c r="AOF15" i="1" s="1"/>
  <c r="ALJ22" i="1"/>
  <c r="PS15" i="1"/>
  <c r="XN56" i="1"/>
  <c r="YV56" i="1" s="1"/>
  <c r="WD22" i="1"/>
  <c r="AEK63" i="1"/>
  <c r="AMD21" i="1"/>
  <c r="XI11" i="1"/>
  <c r="ALV61" i="1"/>
  <c r="AGG61" i="1"/>
  <c r="AGN61" i="1" s="1"/>
  <c r="OX16" i="1"/>
  <c r="AEJ19" i="1"/>
  <c r="ADX22" i="1"/>
  <c r="WJ60" i="1"/>
  <c r="OY21" i="1"/>
  <c r="WO13" i="1"/>
  <c r="PA56" i="1"/>
  <c r="ALL21" i="1"/>
  <c r="VY55" i="1"/>
  <c r="NH22" i="1"/>
  <c r="ALW19" i="1"/>
  <c r="AEF63" i="1"/>
  <c r="XI56" i="1"/>
  <c r="ON16" i="1"/>
  <c r="AML22" i="1"/>
  <c r="PQ12" i="1"/>
  <c r="AMN17" i="1"/>
  <c r="ALM16" i="1"/>
  <c r="OP16" i="1"/>
  <c r="AMW22" i="1"/>
  <c r="WA12" i="1"/>
  <c r="XH13" i="1"/>
  <c r="ALM12" i="1"/>
  <c r="PS12" i="1"/>
  <c r="ALJ19" i="1"/>
  <c r="VZ12" i="1"/>
  <c r="PU22" i="1"/>
  <c r="AED19" i="1"/>
  <c r="AMD15" i="1"/>
  <c r="AKH20" i="1"/>
  <c r="PL15" i="1"/>
  <c r="XB13" i="1"/>
  <c r="ALL15" i="1"/>
  <c r="AEN15" i="1"/>
  <c r="RH56" i="1"/>
  <c r="XH11" i="1"/>
  <c r="XM59" i="1"/>
  <c r="OS56" i="1"/>
  <c r="AHK56" i="1"/>
  <c r="ALK15" i="1"/>
  <c r="XJ56" i="1"/>
  <c r="WT55" i="1"/>
  <c r="WC63" i="1"/>
  <c r="SA12" i="1"/>
  <c r="OU16" i="1"/>
  <c r="XG56" i="1"/>
  <c r="OR12" i="1"/>
  <c r="AEP59" i="1"/>
  <c r="AGF78" i="1"/>
  <c r="AGM78" i="1" s="1"/>
  <c r="AKF56" i="1"/>
  <c r="ALK55" i="1"/>
  <c r="AFA16" i="1"/>
  <c r="XL21" i="1"/>
  <c r="WN60" i="1"/>
  <c r="AEY61" i="1"/>
  <c r="PD16" i="1"/>
  <c r="AEX19" i="1"/>
  <c r="AMM61" i="1"/>
  <c r="OW63" i="1"/>
  <c r="ND22" i="1"/>
  <c r="ADT59" i="1"/>
  <c r="ADZ21" i="1"/>
  <c r="AEC61" i="1"/>
  <c r="AME15" i="1"/>
  <c r="AEL61" i="1"/>
  <c r="AKI19" i="1"/>
  <c r="ALL12" i="1"/>
  <c r="PK63" i="1"/>
  <c r="AMH20" i="1"/>
  <c r="AKF61" i="1"/>
  <c r="PA22" i="1"/>
  <c r="WQ21" i="1"/>
  <c r="QW15" i="1"/>
  <c r="RD15" i="1" s="1"/>
  <c r="YN13" i="1"/>
  <c r="YU13" i="1" s="1"/>
  <c r="AEU56" i="1"/>
  <c r="XH59" i="1"/>
  <c r="WH21" i="1"/>
  <c r="PR21" i="1"/>
  <c r="PD55" i="1"/>
  <c r="ADS21" i="1"/>
  <c r="AEV63" i="1"/>
  <c r="OW55" i="1"/>
  <c r="WS13" i="1"/>
  <c r="AEM19" i="1"/>
  <c r="VZ21" i="1"/>
  <c r="AGG56" i="1"/>
  <c r="AGN56" i="1" s="1"/>
  <c r="PD61" i="1"/>
  <c r="WE55" i="1"/>
  <c r="AGF12" i="1"/>
  <c r="AGM12" i="1" s="1"/>
  <c r="WA13" i="1"/>
  <c r="QT22" i="1"/>
  <c r="RA22" i="1" s="1"/>
  <c r="AMG15" i="1"/>
  <c r="YN15" i="1"/>
  <c r="YU15" i="1" s="1"/>
  <c r="XF11" i="1"/>
  <c r="OI12" i="1"/>
  <c r="AMF20" i="1"/>
  <c r="WW26" i="1"/>
  <c r="WE26" i="1"/>
  <c r="WJ26" i="1"/>
  <c r="WR26" i="1"/>
  <c r="WA26" i="1"/>
  <c r="XM19" i="1"/>
  <c r="XF19" i="1"/>
  <c r="AFG26" i="1"/>
  <c r="AGO26" i="1" s="1"/>
  <c r="WQ16" i="1"/>
  <c r="XG26" i="1"/>
  <c r="WU26" i="1"/>
  <c r="WF26" i="1"/>
  <c r="XE26" i="1"/>
  <c r="WV26" i="1"/>
  <c r="WS26" i="1"/>
  <c r="WX26" i="1"/>
  <c r="XB26" i="1"/>
  <c r="WK26" i="1"/>
  <c r="WD26" i="1"/>
  <c r="WZ26" i="1"/>
  <c r="WT26" i="1"/>
  <c r="XM26" i="1"/>
  <c r="WQ26" i="1"/>
  <c r="UW26" i="1"/>
  <c r="UV26" i="1"/>
  <c r="AGQ26" i="1"/>
  <c r="YN19" i="1"/>
  <c r="YU19" i="1" s="1"/>
  <c r="ADX26" i="1"/>
  <c r="AMD26" i="1"/>
  <c r="AEN26" i="1"/>
  <c r="WR16" i="1"/>
  <c r="WY19" i="1"/>
  <c r="YN16" i="1"/>
  <c r="YU16" i="1" s="1"/>
  <c r="AMS26" i="1"/>
  <c r="XN19" i="1"/>
  <c r="YV19" i="1" s="1"/>
  <c r="AEY26" i="1"/>
  <c r="VZ16" i="1"/>
  <c r="WF16" i="1"/>
  <c r="XG16" i="1"/>
  <c r="UU16" i="1"/>
  <c r="WZ16" i="1"/>
  <c r="ACO26" i="1"/>
  <c r="PD26" i="1"/>
  <c r="AFB19" i="1"/>
  <c r="ANW22" i="1"/>
  <c r="AOD22" i="1" s="1"/>
  <c r="AEV15" i="1"/>
  <c r="AEL56" i="1"/>
  <c r="PT22" i="1"/>
  <c r="AEB15" i="1"/>
  <c r="PG15" i="1"/>
  <c r="ALI61" i="1"/>
  <c r="ALP59" i="1"/>
  <c r="OP15" i="1"/>
  <c r="AKF55" i="1"/>
  <c r="PE19" i="1"/>
  <c r="AEH55" i="1"/>
  <c r="ALM20" i="1"/>
  <c r="XA59" i="1"/>
  <c r="AEY22" i="1"/>
  <c r="UU19" i="1"/>
  <c r="PN26" i="1"/>
  <c r="XI19" i="1"/>
  <c r="XF16" i="1"/>
  <c r="AMQ26" i="1"/>
  <c r="WN16" i="1"/>
  <c r="XE19" i="1"/>
  <c r="OX26" i="1"/>
  <c r="UW16" i="1"/>
  <c r="NG26" i="1"/>
  <c r="WG19" i="1"/>
  <c r="XA19" i="1"/>
  <c r="XH16" i="1"/>
  <c r="ALZ26" i="1"/>
  <c r="ANV26" i="1"/>
  <c r="AOC26" i="1" s="1"/>
  <c r="WS21" i="1"/>
  <c r="OM22" i="1"/>
  <c r="OH63" i="1"/>
  <c r="AMV19" i="1"/>
  <c r="ALO59" i="1"/>
  <c r="WR60" i="1"/>
  <c r="AEX16" i="1"/>
  <c r="AFD22" i="1"/>
  <c r="AMD20" i="1"/>
  <c r="NF22" i="1"/>
  <c r="ADX19" i="1"/>
  <c r="ALJ55" i="1"/>
  <c r="XG15" i="1"/>
  <c r="OI56" i="1"/>
  <c r="AGQ15" i="1"/>
  <c r="AEH12" i="1"/>
  <c r="WK16" i="1"/>
  <c r="AMW26" i="1"/>
  <c r="XK16" i="1"/>
  <c r="AER26" i="1"/>
  <c r="AKH26" i="1"/>
  <c r="WG16" i="1"/>
  <c r="WX16" i="1"/>
  <c r="ANU26" i="1"/>
  <c r="VZ19" i="1"/>
  <c r="PM26" i="1"/>
  <c r="WO19" i="1"/>
  <c r="OY26" i="1"/>
  <c r="AFF26" i="1"/>
  <c r="OZ26" i="1"/>
  <c r="XN16" i="1"/>
  <c r="YV16" i="1" s="1"/>
  <c r="YL16" i="1"/>
  <c r="YS16" i="1" s="1"/>
  <c r="XG19" i="1"/>
  <c r="AEA59" i="1"/>
  <c r="PP15" i="1"/>
  <c r="PS21" i="1"/>
  <c r="AET55" i="1"/>
  <c r="PM63" i="1"/>
  <c r="ALQ19" i="1"/>
  <c r="AGQ21" i="1"/>
  <c r="XG12" i="1"/>
  <c r="WK59" i="1"/>
  <c r="ADY12" i="1"/>
  <c r="AEX59" i="1"/>
  <c r="XJ11" i="1"/>
  <c r="ACP55" i="1"/>
  <c r="AFB61" i="1"/>
  <c r="WV56" i="1"/>
  <c r="AEF59" i="1"/>
  <c r="OR26" i="1"/>
  <c r="AEH26" i="1"/>
  <c r="OI26" i="1"/>
  <c r="WN19" i="1"/>
  <c r="ALS26" i="1"/>
  <c r="AEL26" i="1"/>
  <c r="ADY26" i="1"/>
  <c r="AEI26" i="1"/>
  <c r="XE16" i="1"/>
  <c r="AEG26" i="1"/>
  <c r="WD19" i="1"/>
  <c r="ACP26" i="1"/>
  <c r="WU16" i="1"/>
  <c r="XB19" i="1"/>
  <c r="ACO55" i="1"/>
  <c r="OM15" i="1"/>
  <c r="AML61" i="1"/>
  <c r="WQ56" i="1"/>
  <c r="AMJ21" i="1"/>
  <c r="ANU61" i="1"/>
  <c r="XL13" i="1"/>
  <c r="ALR21" i="1"/>
  <c r="AMV20" i="1"/>
  <c r="AMB15" i="1"/>
  <c r="QW12" i="1"/>
  <c r="RD12" i="1" s="1"/>
  <c r="AEG59" i="1"/>
  <c r="PG55" i="1"/>
  <c r="AEO21" i="1"/>
  <c r="OL19" i="1"/>
  <c r="WO15" i="1"/>
  <c r="WR22" i="1"/>
  <c r="ANW19" i="1"/>
  <c r="AOD19" i="1" s="1"/>
  <c r="PP16" i="1"/>
  <c r="ADV59" i="1"/>
  <c r="XF22" i="1"/>
  <c r="PK55" i="1"/>
  <c r="AET59" i="1"/>
  <c r="AKE55" i="1"/>
  <c r="NH12" i="1"/>
  <c r="NH61" i="1"/>
  <c r="WF63" i="1"/>
  <c r="RH12" i="1"/>
  <c r="AEP15" i="1"/>
  <c r="ANU22" i="1"/>
  <c r="ALT21" i="1"/>
  <c r="AMP56" i="1"/>
  <c r="WB21" i="1"/>
  <c r="OZ15" i="1"/>
  <c r="SA16" i="1"/>
  <c r="WB60" i="1"/>
  <c r="AEK12" i="1"/>
  <c r="PI55" i="1"/>
  <c r="NH56" i="1"/>
  <c r="OJ61" i="1"/>
  <c r="AET56" i="1"/>
  <c r="AMW55" i="1"/>
  <c r="ANX22" i="1"/>
  <c r="AOE22" i="1" s="1"/>
  <c r="ANU19" i="1"/>
  <c r="WS11" i="1"/>
  <c r="ANX14" i="1"/>
  <c r="AOE14" i="1" s="1"/>
  <c r="ACQ16" i="1"/>
  <c r="WZ60" i="1"/>
  <c r="OP12" i="1"/>
  <c r="AEZ55" i="1"/>
  <c r="AEP21" i="1"/>
  <c r="AEK22" i="1"/>
  <c r="ALV14" i="1"/>
  <c r="WM63" i="1"/>
  <c r="PM55" i="1"/>
  <c r="WB61" i="1"/>
  <c r="SA19" i="1"/>
  <c r="AME19" i="1"/>
  <c r="WG15" i="1"/>
  <c r="OO21" i="1"/>
  <c r="AFD55" i="1"/>
  <c r="WB57" i="1"/>
  <c r="AFC21" i="1"/>
  <c r="WI15" i="1"/>
  <c r="PB15" i="1"/>
  <c r="AES59" i="1"/>
  <c r="AES12" i="1"/>
  <c r="OK61" i="1"/>
  <c r="AEJ55" i="1"/>
  <c r="AEG15" i="1"/>
  <c r="AMB22" i="1"/>
  <c r="ALM14" i="1"/>
  <c r="AET21" i="1"/>
  <c r="AEP63" i="1"/>
  <c r="OV12" i="1"/>
  <c r="AEG56" i="1"/>
  <c r="WQ22" i="1"/>
  <c r="PK22" i="1"/>
  <c r="OU12" i="1"/>
  <c r="PS61" i="1"/>
  <c r="OV55" i="1"/>
  <c r="AEZ61" i="1"/>
  <c r="ACP56" i="1"/>
  <c r="AKG14" i="1"/>
  <c r="XK63" i="1"/>
  <c r="ALZ19" i="1"/>
  <c r="XM61" i="1"/>
  <c r="AMR12" i="1"/>
  <c r="WY12" i="1"/>
  <c r="XM22" i="1"/>
  <c r="ALS56" i="1"/>
  <c r="WU60" i="1"/>
  <c r="UX55" i="1"/>
  <c r="WZ20" i="1"/>
  <c r="AEB55" i="1"/>
  <c r="OJ16" i="1"/>
  <c r="AFB22" i="1"/>
  <c r="AGQ19" i="1"/>
  <c r="NH15" i="1"/>
  <c r="AKH12" i="1"/>
  <c r="RG16" i="1"/>
  <c r="AEQ15" i="1"/>
  <c r="OI19" i="1"/>
  <c r="AMN55" i="1"/>
  <c r="YL60" i="1"/>
  <c r="YS60" i="1" s="1"/>
  <c r="AEO61" i="1"/>
  <c r="ACR22" i="1"/>
  <c r="ALL55" i="1"/>
  <c r="YM61" i="1"/>
  <c r="YT61" i="1" s="1"/>
  <c r="WQ55" i="1"/>
  <c r="ND21" i="1"/>
  <c r="AGE59" i="1"/>
  <c r="AGL59" i="1" s="1"/>
  <c r="ALL14" i="1"/>
  <c r="AMJ59" i="1"/>
  <c r="ALN55" i="1"/>
  <c r="ALN20" i="1"/>
  <c r="UV22" i="1"/>
  <c r="AMF22" i="1"/>
  <c r="AEU61" i="1"/>
  <c r="UW11" i="1"/>
  <c r="ALX20" i="1"/>
  <c r="OK15" i="1"/>
  <c r="AEN56" i="1"/>
  <c r="AMM58" i="1"/>
  <c r="WQ15" i="1"/>
  <c r="ACO61" i="1"/>
  <c r="OP61" i="1"/>
  <c r="XL56" i="1"/>
  <c r="AEI16" i="1"/>
  <c r="ALX21" i="1"/>
  <c r="ADS19" i="1"/>
  <c r="PH63" i="1"/>
  <c r="XC59" i="1"/>
  <c r="ALU15" i="1"/>
  <c r="WZ15" i="1"/>
  <c r="AEM61" i="1"/>
  <c r="AEB22" i="1"/>
  <c r="AEA61" i="1"/>
  <c r="AMX56" i="1"/>
  <c r="AOF56" i="1" s="1"/>
  <c r="ACP22" i="1"/>
  <c r="AML14" i="1"/>
  <c r="AER19" i="1"/>
  <c r="AEF61" i="1"/>
  <c r="AGE19" i="1"/>
  <c r="AGL19" i="1" s="1"/>
  <c r="AGR19" i="1"/>
  <c r="WI59" i="1"/>
  <c r="UU22" i="1"/>
  <c r="WJ13" i="1"/>
  <c r="AMN16" i="1"/>
  <c r="XB63" i="1"/>
  <c r="UW60" i="1"/>
  <c r="AGD21" i="1"/>
  <c r="AGK21" i="1" s="1"/>
  <c r="ADV15" i="1"/>
  <c r="WL12" i="1"/>
  <c r="YM13" i="1"/>
  <c r="YT13" i="1" s="1"/>
  <c r="AMA12" i="1"/>
  <c r="AMD56" i="1"/>
  <c r="AHK12" i="1"/>
  <c r="AHL12" i="1" s="1"/>
  <c r="AMI14" i="1"/>
  <c r="WS15" i="1"/>
  <c r="AFE12" i="1"/>
  <c r="WI21" i="1"/>
  <c r="PE56" i="1"/>
  <c r="AGF21" i="1"/>
  <c r="AGM21" i="1" s="1"/>
  <c r="PP63" i="1"/>
  <c r="ALL16" i="1"/>
  <c r="XN15" i="1"/>
  <c r="YV15" i="1" s="1"/>
  <c r="PV61" i="1"/>
  <c r="AEX55" i="1"/>
  <c r="AEH61" i="1"/>
  <c r="PK16" i="1"/>
  <c r="YM22" i="1"/>
  <c r="YT22" i="1" s="1"/>
  <c r="RG61" i="1"/>
  <c r="QU55" i="1"/>
  <c r="RB55" i="1" s="1"/>
  <c r="PS56" i="1"/>
  <c r="ALJ21" i="1"/>
  <c r="AED10" i="1"/>
  <c r="AGF60" i="1"/>
  <c r="AGM60" i="1" s="1"/>
  <c r="AEJ12" i="1"/>
  <c r="OJ56" i="1"/>
  <c r="AMW12" i="1"/>
  <c r="AFG61" i="1"/>
  <c r="AGO61" i="1" s="1"/>
  <c r="PA61" i="1"/>
  <c r="ALI21" i="1"/>
  <c r="ANV15" i="1"/>
  <c r="AOC15" i="1" s="1"/>
  <c r="PJ55" i="1"/>
  <c r="WE15" i="1"/>
  <c r="PI22" i="1"/>
  <c r="UV60" i="1"/>
  <c r="AFG63" i="1"/>
  <c r="AGO63" i="1" s="1"/>
  <c r="AKE59" i="1"/>
  <c r="ALN56" i="1"/>
  <c r="AFD63" i="1"/>
  <c r="ALY16" i="1"/>
  <c r="ANV22" i="1"/>
  <c r="AOC22" i="1" s="1"/>
  <c r="PB19" i="1"/>
  <c r="XH12" i="1"/>
  <c r="XC15" i="1"/>
  <c r="ALM56" i="1"/>
  <c r="XI60" i="1"/>
  <c r="OY15" i="1"/>
  <c r="ALY61" i="1"/>
  <c r="AFC16" i="1"/>
  <c r="AEX22" i="1"/>
  <c r="OO55" i="1"/>
  <c r="WM61" i="1"/>
  <c r="ALO21" i="1"/>
  <c r="ALM15" i="1"/>
  <c r="AEI75" i="1"/>
  <c r="AMI72" i="1"/>
  <c r="AMN15" i="1"/>
  <c r="ALY20" i="1"/>
  <c r="ALQ12" i="1"/>
  <c r="WZ21" i="1"/>
  <c r="WU63" i="1"/>
  <c r="XI13" i="1"/>
  <c r="AMH21" i="1"/>
  <c r="PR12" i="1"/>
  <c r="XN11" i="1"/>
  <c r="YV11" i="1" s="1"/>
  <c r="AMC61" i="1"/>
  <c r="AMS15" i="1"/>
  <c r="ANV20" i="1"/>
  <c r="AOC20" i="1" s="1"/>
  <c r="AMV12" i="1"/>
  <c r="AKE61" i="1"/>
  <c r="UW55" i="1"/>
  <c r="UX21" i="1"/>
  <c r="AMI16" i="1"/>
  <c r="AMA19" i="1"/>
  <c r="WP60" i="1"/>
  <c r="PV12" i="1"/>
  <c r="ACN59" i="1"/>
  <c r="AFD16" i="1"/>
  <c r="XC13" i="1"/>
  <c r="OH56" i="1"/>
  <c r="AEI15" i="1"/>
  <c r="OT56" i="1"/>
  <c r="AEE21" i="1"/>
  <c r="OT63" i="1"/>
  <c r="NF15" i="1"/>
  <c r="OW17" i="1"/>
  <c r="ALZ59" i="1"/>
  <c r="XK61" i="1"/>
  <c r="AGQ12" i="1"/>
  <c r="AEE55" i="1"/>
  <c r="AMG21" i="1"/>
  <c r="AMH56" i="1"/>
  <c r="WO21" i="1"/>
  <c r="QT61" i="1"/>
  <c r="RA61" i="1" s="1"/>
  <c r="WW61" i="1"/>
  <c r="AFG12" i="1"/>
  <c r="AGO12" i="1" s="1"/>
  <c r="AGF61" i="1"/>
  <c r="AGM61" i="1" s="1"/>
  <c r="ALO20" i="1"/>
  <c r="ACO19" i="1"/>
  <c r="WF13" i="1"/>
  <c r="PO22" i="1"/>
  <c r="WT63" i="1"/>
  <c r="ACN12" i="1"/>
  <c r="AEB63" i="1"/>
  <c r="AEJ22" i="1"/>
  <c r="OW19" i="1"/>
  <c r="ALT55" i="1"/>
  <c r="AMW21" i="1"/>
  <c r="AMO20" i="1"/>
  <c r="PP55" i="1"/>
  <c r="WB12" i="1"/>
  <c r="UW15" i="1"/>
  <c r="ACO63" i="1"/>
  <c r="AES55" i="1"/>
  <c r="ALX16" i="1"/>
  <c r="ANX19" i="1"/>
  <c r="AOE19" i="1" s="1"/>
  <c r="OZ21" i="1"/>
  <c r="WF21" i="1"/>
  <c r="ADS22" i="1"/>
  <c r="AKF16" i="1"/>
  <c r="AGR16" i="1"/>
  <c r="WP56" i="1"/>
  <c r="ANU56" i="1"/>
  <c r="AER55" i="1"/>
  <c r="AEC21" i="1"/>
  <c r="PN22" i="1"/>
  <c r="AES61" i="1"/>
  <c r="OH16" i="1"/>
  <c r="WM60" i="1"/>
  <c r="PO15" i="1"/>
  <c r="AEV59" i="1"/>
  <c r="AEB21" i="1"/>
  <c r="QU19" i="1"/>
  <c r="RB19" i="1" s="1"/>
  <c r="NG56" i="1"/>
  <c r="ALQ59" i="1"/>
  <c r="AKE56" i="1"/>
  <c r="XE21" i="1"/>
  <c r="PL63" i="1"/>
  <c r="ALP19" i="1"/>
  <c r="WE60" i="1"/>
  <c r="ADZ18" i="1"/>
  <c r="AGG15" i="1"/>
  <c r="AGN15" i="1" s="1"/>
  <c r="RH63" i="1"/>
  <c r="AMT56" i="1"/>
  <c r="AEC19" i="1"/>
  <c r="WJ59" i="1"/>
  <c r="WG13" i="1"/>
  <c r="XN60" i="1"/>
  <c r="YV60" i="1" s="1"/>
  <c r="ALY59" i="1"/>
  <c r="WK56" i="1"/>
  <c r="ALX22" i="1"/>
  <c r="AEJ15" i="1"/>
  <c r="PI19" i="1"/>
  <c r="OT16" i="1"/>
  <c r="AHK19" i="1"/>
  <c r="AFC61" i="1"/>
  <c r="AEP56" i="1"/>
  <c r="ANW14" i="1"/>
  <c r="AOD14" i="1" s="1"/>
  <c r="WL13" i="1"/>
  <c r="QU12" i="1"/>
  <c r="RB12" i="1" s="1"/>
  <c r="PI61" i="1"/>
  <c r="XC22" i="1"/>
  <c r="AED16" i="1"/>
  <c r="PS19" i="1"/>
  <c r="WG21" i="1"/>
  <c r="AML59" i="1"/>
  <c r="AMM55" i="1"/>
  <c r="AMP22" i="1"/>
  <c r="ALX55" i="1"/>
  <c r="WE12" i="1"/>
  <c r="AMW14" i="1"/>
  <c r="OW21" i="1"/>
  <c r="AEF14" i="1"/>
  <c r="XJ60" i="1"/>
  <c r="ALS61" i="1"/>
  <c r="ADU56" i="1"/>
  <c r="ALL56" i="1"/>
  <c r="WH11" i="1"/>
  <c r="XA63" i="1"/>
  <c r="ADW55" i="1"/>
  <c r="AMX21" i="1"/>
  <c r="AOF21" i="1" s="1"/>
  <c r="OJ12" i="1"/>
  <c r="AHK63" i="1"/>
  <c r="AHL63" i="1" s="1"/>
  <c r="OY56" i="1"/>
  <c r="OT61" i="1"/>
  <c r="AEQ59" i="1"/>
  <c r="AGD19" i="1"/>
  <c r="AGK19" i="1" s="1"/>
  <c r="ALW21" i="1"/>
  <c r="WJ61" i="1"/>
  <c r="ALZ15" i="1"/>
  <c r="ALN19" i="1"/>
  <c r="QT16" i="1"/>
  <c r="RA16" i="1" s="1"/>
  <c r="AMV16" i="1"/>
  <c r="WT59" i="1"/>
  <c r="PC11" i="1"/>
  <c r="ADU59" i="1"/>
  <c r="XI59" i="1"/>
  <c r="ALK12" i="1"/>
  <c r="WW22" i="1"/>
  <c r="WT22" i="1"/>
  <c r="ALT22" i="1"/>
  <c r="OH22" i="1"/>
  <c r="XN59" i="1"/>
  <c r="YV59" i="1" s="1"/>
  <c r="ANU20" i="1"/>
  <c r="AGR55" i="1"/>
  <c r="OI61" i="1"/>
  <c r="PD63" i="1"/>
  <c r="OX63" i="1"/>
  <c r="WS59" i="1"/>
  <c r="XM56" i="1"/>
  <c r="WX61" i="1"/>
  <c r="AKH22" i="1"/>
  <c r="YK60" i="1"/>
  <c r="AEV56" i="1"/>
  <c r="AGQ59" i="1"/>
  <c r="AMO21" i="1"/>
  <c r="AEV55" i="1"/>
  <c r="XC20" i="1"/>
  <c r="AEP22" i="1"/>
  <c r="XG59" i="1"/>
  <c r="UU61" i="1"/>
  <c r="AMS20" i="1"/>
  <c r="PO61" i="1"/>
  <c r="AEW12" i="1"/>
  <c r="PM56" i="1"/>
  <c r="AMA21" i="1"/>
  <c r="OV15" i="1"/>
  <c r="AEW22" i="1"/>
  <c r="PR15" i="1"/>
  <c r="QU21" i="1"/>
  <c r="RB21" i="1" s="1"/>
  <c r="PC55" i="1"/>
  <c r="ADR21" i="1"/>
  <c r="ND63" i="1"/>
  <c r="YN12" i="1"/>
  <c r="YU12" i="1" s="1"/>
  <c r="UX63" i="1"/>
  <c r="AMQ19" i="1"/>
  <c r="AMJ61" i="1"/>
  <c r="AMK19" i="1"/>
  <c r="PJ16" i="1"/>
  <c r="UV55" i="1"/>
  <c r="AGG16" i="1"/>
  <c r="AGN16" i="1" s="1"/>
  <c r="WV14" i="1"/>
  <c r="OV56" i="1"/>
  <c r="AFC55" i="1"/>
  <c r="AMC14" i="1"/>
  <c r="ALR59" i="1"/>
  <c r="WO56" i="1"/>
  <c r="ADX16" i="1"/>
  <c r="AGF22" i="1"/>
  <c r="AGM22" i="1" s="1"/>
  <c r="WP21" i="1"/>
  <c r="AEA55" i="1"/>
  <c r="WG22" i="1"/>
  <c r="ALI19" i="1"/>
  <c r="AEN16" i="1"/>
  <c r="ACQ61" i="1"/>
  <c r="XM63" i="1"/>
  <c r="AGD56" i="1"/>
  <c r="AGK56" i="1" s="1"/>
  <c r="XN22" i="1"/>
  <c r="YV22" i="1" s="1"/>
  <c r="AKH21" i="1"/>
  <c r="PV22" i="1"/>
  <c r="AEL59" i="1"/>
  <c r="WB13" i="1"/>
  <c r="PB22" i="1"/>
  <c r="AMO15" i="1"/>
  <c r="PO55" i="1"/>
  <c r="AEG61" i="1"/>
  <c r="AMC16" i="1"/>
  <c r="AKG55" i="1"/>
  <c r="UY11" i="1"/>
  <c r="AEE56" i="1"/>
  <c r="WC55" i="1"/>
  <c r="AEN19" i="1"/>
  <c r="ACQ59" i="1"/>
  <c r="WU13" i="1"/>
  <c r="AMM20" i="1"/>
  <c r="XF61" i="1"/>
  <c r="AMT21" i="1"/>
  <c r="AKI55" i="1"/>
  <c r="AES15" i="1"/>
  <c r="NG55" i="1"/>
  <c r="WC15" i="1"/>
  <c r="AEO12" i="1"/>
  <c r="XK21" i="1"/>
  <c r="WB63" i="1"/>
  <c r="AMC19" i="1"/>
  <c r="ALQ20" i="1"/>
  <c r="OY12" i="1"/>
  <c r="ALL22" i="1"/>
  <c r="PO21" i="1"/>
  <c r="XE13" i="1"/>
  <c r="AEI19" i="1"/>
  <c r="ACP15" i="1"/>
  <c r="AEY56" i="1"/>
  <c r="AED21" i="1"/>
  <c r="AMU60" i="1"/>
  <c r="ALU58" i="1"/>
  <c r="AGR15" i="1"/>
  <c r="AGT15" i="1" s="1"/>
  <c r="AGE56" i="1"/>
  <c r="AGL56" i="1" s="1"/>
  <c r="OL22" i="1"/>
  <c r="XF63" i="1"/>
  <c r="AHK61" i="1"/>
  <c r="AEG21" i="1"/>
  <c r="PH22" i="1"/>
  <c r="SA22" i="1"/>
  <c r="SB22" i="1" s="1"/>
  <c r="ALN22" i="1"/>
  <c r="ON56" i="1"/>
  <c r="YK11" i="1"/>
  <c r="AET19" i="1"/>
  <c r="AMT15" i="1"/>
  <c r="WJ63" i="1"/>
  <c r="WF11" i="1"/>
  <c r="AMQ61" i="1"/>
  <c r="ALW56" i="1"/>
  <c r="AEH63" i="1"/>
  <c r="OX19" i="1"/>
  <c r="AMD19" i="1"/>
  <c r="YM56" i="1"/>
  <c r="YT56" i="1" s="1"/>
  <c r="WY11" i="1"/>
  <c r="AEQ19" i="1"/>
  <c r="PA12" i="1"/>
  <c r="WP59" i="1"/>
  <c r="PR56" i="1"/>
  <c r="AEL15" i="1"/>
  <c r="AML16" i="1"/>
  <c r="AEF21" i="1"/>
  <c r="PB63" i="1"/>
  <c r="WL18" i="1"/>
  <c r="AGF16" i="1"/>
  <c r="AGM16" i="1" s="1"/>
  <c r="AFF22" i="1"/>
  <c r="XB12" i="1"/>
  <c r="AGR22" i="1"/>
  <c r="AGT22" i="1" s="1"/>
  <c r="OK55" i="1"/>
  <c r="ALI55" i="1"/>
  <c r="AMU20" i="1"/>
  <c r="AHK16" i="1"/>
  <c r="AHL16" i="1" s="1"/>
  <c r="AMK21" i="1"/>
  <c r="ALS12" i="1"/>
  <c r="AMH22" i="1"/>
  <c r="ON63" i="1"/>
  <c r="PI16" i="1"/>
  <c r="WL15" i="1"/>
  <c r="ND12" i="1"/>
  <c r="AMJ20" i="1"/>
  <c r="ALP12" i="1"/>
  <c r="ADU55" i="1"/>
  <c r="AMK20" i="1"/>
  <c r="XK11" i="1"/>
  <c r="AMU14" i="1"/>
  <c r="OQ21" i="1"/>
  <c r="WL60" i="1"/>
  <c r="AEE61" i="1"/>
  <c r="AMV21" i="1"/>
  <c r="WA55" i="1"/>
  <c r="WF15" i="1"/>
  <c r="PD19" i="1"/>
  <c r="AGR63" i="1"/>
  <c r="AGT63" i="1" s="1"/>
  <c r="AEM75" i="1"/>
  <c r="ACR62" i="1"/>
  <c r="OS63" i="1"/>
  <c r="ALW16" i="1"/>
  <c r="OO19" i="1"/>
  <c r="ADT12" i="1"/>
  <c r="ADT16" i="1"/>
  <c r="VZ63" i="1"/>
  <c r="PI12" i="1"/>
  <c r="QV19" i="1"/>
  <c r="RC19" i="1" s="1"/>
  <c r="WJ21" i="1"/>
  <c r="WG61" i="1"/>
  <c r="ADT56" i="1"/>
  <c r="PS16" i="1"/>
  <c r="AKF22" i="1"/>
  <c r="PV15" i="1"/>
  <c r="NG19" i="1"/>
  <c r="AGF19" i="1"/>
  <c r="AGM19" i="1" s="1"/>
  <c r="YM11" i="1"/>
  <c r="YT11" i="1" s="1"/>
  <c r="AME16" i="1"/>
  <c r="AMX61" i="1"/>
  <c r="AOF61" i="1" s="1"/>
  <c r="AEN63" i="1"/>
  <c r="OJ63" i="1"/>
  <c r="AEJ16" i="1"/>
  <c r="UW12" i="1"/>
  <c r="PD22" i="1"/>
  <c r="PP19" i="1"/>
  <c r="ANX55" i="1"/>
  <c r="AOE55" i="1" s="1"/>
  <c r="WZ22" i="1"/>
  <c r="NH19" i="1"/>
  <c r="ADR55" i="1"/>
  <c r="ALV20" i="1"/>
  <c r="ACO56" i="1"/>
  <c r="PG19" i="1"/>
  <c r="AFG56" i="1"/>
  <c r="AGO56" i="1" s="1"/>
  <c r="PJ22" i="1"/>
  <c r="OH55" i="1"/>
  <c r="XJ12" i="1"/>
  <c r="ALW12" i="1"/>
  <c r="QT12" i="1"/>
  <c r="RA12" i="1" s="1"/>
  <c r="RF12" i="1" s="1"/>
  <c r="AEO59" i="1"/>
  <c r="PC56" i="1"/>
  <c r="AED55" i="1"/>
  <c r="ALI56" i="1"/>
  <c r="XM11" i="1"/>
  <c r="WN55" i="1"/>
  <c r="PF21" i="1"/>
  <c r="AGG12" i="1"/>
  <c r="AGN12" i="1" s="1"/>
  <c r="ADV63" i="1"/>
  <c r="AMS21" i="1"/>
  <c r="AMQ15" i="1"/>
  <c r="UV63" i="1"/>
  <c r="ALR15" i="1"/>
  <c r="XN21" i="1"/>
  <c r="YV21" i="1" s="1"/>
  <c r="PJ56" i="1"/>
  <c r="XC11" i="1"/>
  <c r="ADV14" i="1"/>
  <c r="WR61" i="1"/>
  <c r="UY21" i="1"/>
  <c r="XD60" i="1"/>
  <c r="ADY22" i="1"/>
  <c r="UY63" i="1"/>
  <c r="AFD61" i="1"/>
  <c r="WW11" i="1"/>
  <c r="AEL21" i="1"/>
  <c r="XI21" i="1"/>
  <c r="WC56" i="1"/>
  <c r="WO55" i="1"/>
  <c r="AEU59" i="1"/>
  <c r="XE22" i="1"/>
  <c r="PG22" i="1"/>
  <c r="WM59" i="1"/>
  <c r="AEQ16" i="1"/>
  <c r="AGG19" i="1"/>
  <c r="AGN19" i="1" s="1"/>
  <c r="ADW61" i="1"/>
  <c r="AGQ56" i="1"/>
  <c r="AEP19" i="1"/>
  <c r="QV22" i="1"/>
  <c r="RC22" i="1" s="1"/>
  <c r="AML19" i="1"/>
  <c r="AEI63" i="1"/>
  <c r="ACP19" i="1"/>
  <c r="AGR21" i="1"/>
  <c r="WB56" i="1"/>
  <c r="AMN56" i="1"/>
  <c r="UY60" i="1"/>
  <c r="ALI16" i="1"/>
  <c r="AGG55" i="1"/>
  <c r="AGN55" i="1" s="1"/>
  <c r="ALX60" i="1"/>
  <c r="AMM57" i="1"/>
  <c r="QW16" i="1"/>
  <c r="RD16" i="1" s="1"/>
  <c r="AEB19" i="1"/>
  <c r="PK21" i="1"/>
  <c r="AHK59" i="1"/>
  <c r="AKE12" i="1"/>
  <c r="PH19" i="1"/>
  <c r="PJ19" i="1"/>
  <c r="ADT21" i="1"/>
  <c r="AKH59" i="1"/>
  <c r="PT12" i="1"/>
  <c r="UU13" i="1"/>
  <c r="PE15" i="1"/>
  <c r="PD21" i="1"/>
  <c r="UU55" i="1"/>
  <c r="AFG59" i="1"/>
  <c r="AGO59" i="1" s="1"/>
  <c r="AGE22" i="1"/>
  <c r="AGL22" i="1" s="1"/>
  <c r="AGD15" i="1"/>
  <c r="AGK15" i="1" s="1"/>
  <c r="ALR61" i="1"/>
  <c r="YK21" i="1"/>
  <c r="PM12" i="1"/>
  <c r="AML15" i="1"/>
  <c r="AEZ72" i="1"/>
  <c r="WG60" i="1"/>
  <c r="ACR12" i="1"/>
  <c r="ACR15" i="1"/>
  <c r="WP15" i="1"/>
  <c r="WW21" i="1"/>
  <c r="UX59" i="1"/>
  <c r="OT19" i="1"/>
  <c r="ADS61" i="1"/>
  <c r="ALP14" i="1"/>
  <c r="WT13" i="1"/>
  <c r="XH61" i="1"/>
  <c r="PT55" i="1"/>
  <c r="AED63" i="1"/>
  <c r="OX56" i="1"/>
  <c r="AFB16" i="1"/>
  <c r="AEX12" i="1"/>
  <c r="PF56" i="1"/>
  <c r="ADV19" i="1"/>
  <c r="OU21" i="1"/>
  <c r="AEQ63" i="1"/>
  <c r="WD56" i="1"/>
  <c r="ANX56" i="1"/>
  <c r="AOE56" i="1" s="1"/>
  <c r="AFC56" i="1"/>
  <c r="ALZ14" i="1"/>
  <c r="XE61" i="1"/>
  <c r="OH12" i="1"/>
  <c r="WG12" i="1"/>
  <c r="OX55" i="1"/>
  <c r="AEK21" i="1"/>
  <c r="ALU59" i="1"/>
  <c r="ND16" i="1"/>
  <c r="XB15" i="1"/>
  <c r="AKG56" i="1"/>
  <c r="YN59" i="1"/>
  <c r="YU59" i="1" s="1"/>
  <c r="ACP12" i="1"/>
  <c r="AEG55" i="1"/>
  <c r="ALQ14" i="1"/>
  <c r="PH21" i="1"/>
  <c r="AER59" i="1"/>
  <c r="OO56" i="1"/>
  <c r="ALM59" i="1"/>
  <c r="AML60" i="1"/>
  <c r="PB16" i="1"/>
  <c r="AEC59" i="1"/>
  <c r="WU55" i="1"/>
  <c r="NE63" i="1"/>
  <c r="ALN16" i="1"/>
  <c r="ADY63" i="1"/>
  <c r="AMR59" i="1"/>
  <c r="AFF55" i="1"/>
  <c r="ADW56" i="1"/>
  <c r="AMF56" i="1"/>
  <c r="NH16" i="1"/>
  <c r="XH63" i="1"/>
  <c r="ACO21" i="1"/>
  <c r="XE56" i="1"/>
  <c r="AMK16" i="1"/>
  <c r="ALW22" i="1"/>
  <c r="ALJ14" i="1"/>
  <c r="ADT63" i="1"/>
  <c r="XD55" i="1"/>
  <c r="AMC55" i="1"/>
  <c r="YK56" i="1"/>
  <c r="AMC56" i="1"/>
  <c r="WO59" i="1"/>
  <c r="PP21" i="1"/>
  <c r="AEQ55" i="1"/>
  <c r="AEQ61" i="1"/>
  <c r="PM22" i="1"/>
  <c r="ADZ61" i="1"/>
  <c r="AEA16" i="1"/>
  <c r="AFB12" i="1"/>
  <c r="ALX56" i="1"/>
  <c r="WM14" i="1"/>
  <c r="ALS59" i="1"/>
  <c r="AFG15" i="1"/>
  <c r="AGO15" i="1" s="1"/>
  <c r="ALP22" i="1"/>
  <c r="AMQ14" i="1"/>
  <c r="ALP15" i="1"/>
  <c r="AET63" i="1"/>
  <c r="VY61" i="1"/>
  <c r="AMD61" i="1"/>
  <c r="ALR14" i="1"/>
  <c r="OS61" i="1"/>
  <c r="OY19" i="1"/>
  <c r="ALR55" i="1"/>
  <c r="WX15" i="1"/>
  <c r="NG61" i="1"/>
  <c r="UX13" i="1"/>
  <c r="PN12" i="1"/>
  <c r="UW21" i="1"/>
  <c r="QT63" i="1"/>
  <c r="RA63" i="1" s="1"/>
  <c r="AMI56" i="1"/>
  <c r="VZ60" i="1"/>
  <c r="OW61" i="1"/>
  <c r="PU55" i="1"/>
  <c r="PJ15" i="1"/>
  <c r="AGD59" i="1"/>
  <c r="AGK59" i="1" s="1"/>
  <c r="AMB14" i="1"/>
  <c r="WC61" i="1"/>
  <c r="AEE19" i="1"/>
  <c r="ALO15" i="1"/>
  <c r="WF56" i="1"/>
  <c r="ALZ17" i="1"/>
  <c r="ACO59" i="1"/>
  <c r="ALV19" i="1"/>
  <c r="AFC63" i="1"/>
  <c r="AMK15" i="1"/>
  <c r="WP12" i="1"/>
  <c r="AMC20" i="1"/>
  <c r="ADU19" i="1"/>
  <c r="ACR19" i="1"/>
  <c r="ALK56" i="1"/>
  <c r="WQ11" i="1"/>
  <c r="ADW59" i="1"/>
  <c r="AMR14" i="1"/>
  <c r="UU15" i="1"/>
  <c r="AME55" i="1"/>
  <c r="AER16" i="1"/>
  <c r="WK15" i="1"/>
  <c r="AEH15" i="1"/>
  <c r="OM19" i="1"/>
  <c r="WK21" i="1"/>
  <c r="ANW16" i="1"/>
  <c r="AOD16" i="1" s="1"/>
  <c r="AKH55" i="1"/>
  <c r="AMW20" i="1"/>
  <c r="NG12" i="1"/>
  <c r="WM13" i="1"/>
  <c r="PU56" i="1"/>
  <c r="QW61" i="1"/>
  <c r="RD61" i="1" s="1"/>
  <c r="OL55" i="1"/>
  <c r="AEH11" i="1"/>
  <c r="ADX72" i="1"/>
  <c r="AFC58" i="1"/>
  <c r="VY72" i="1"/>
  <c r="SA77" i="1"/>
  <c r="SB77" i="1" s="1"/>
  <c r="ALU11" i="1"/>
  <c r="AGE62" i="1"/>
  <c r="AGL62" i="1" s="1"/>
  <c r="OM18" i="1"/>
  <c r="ADR18" i="1"/>
  <c r="WE18" i="1"/>
  <c r="UU58" i="1"/>
  <c r="AMI57" i="1"/>
  <c r="QU17" i="1"/>
  <c r="RB17" i="1" s="1"/>
  <c r="AMN58" i="1"/>
  <c r="QT77" i="1"/>
  <c r="RA77" i="1" s="1"/>
  <c r="XA20" i="1"/>
  <c r="UW77" i="1"/>
  <c r="AMR72" i="1"/>
  <c r="AEN10" i="1"/>
  <c r="PP77" i="1"/>
  <c r="AEO18" i="1"/>
  <c r="ALK58" i="1"/>
  <c r="AEL78" i="1"/>
  <c r="AED14" i="1"/>
  <c r="AKH63" i="1"/>
  <c r="WF57" i="1"/>
  <c r="PS72" i="1"/>
  <c r="ADW10" i="1"/>
  <c r="OL57" i="1"/>
  <c r="OV17" i="1"/>
  <c r="YN20" i="1"/>
  <c r="YU20" i="1" s="1"/>
  <c r="AEP62" i="1"/>
  <c r="VZ58" i="1"/>
  <c r="NE59" i="1"/>
  <c r="NH62" i="1"/>
  <c r="AMT13" i="1"/>
  <c r="ACP75" i="1"/>
  <c r="ALS10" i="1"/>
  <c r="PN75" i="1"/>
  <c r="WV18" i="1"/>
  <c r="ADX62" i="1"/>
  <c r="WK18" i="1"/>
  <c r="OP20" i="1"/>
  <c r="YN56" i="1"/>
  <c r="YU56" i="1" s="1"/>
  <c r="AEM55" i="1"/>
  <c r="AGG59" i="1"/>
  <c r="AGN59" i="1" s="1"/>
  <c r="AEA22" i="1"/>
  <c r="WU61" i="1"/>
  <c r="WF12" i="1"/>
  <c r="AMM56" i="1"/>
  <c r="AEO20" i="1"/>
  <c r="AED17" i="1"/>
  <c r="AHK20" i="1"/>
  <c r="AHL20" i="1" s="1"/>
  <c r="AGR17" i="1"/>
  <c r="WV57" i="1"/>
  <c r="AKH57" i="1"/>
  <c r="ADU72" i="1"/>
  <c r="AKH11" i="1"/>
  <c r="UY77" i="1"/>
  <c r="AKH77" i="1"/>
  <c r="XH14" i="1"/>
  <c r="PC20" i="1"/>
  <c r="YL14" i="1"/>
  <c r="YS14" i="1" s="1"/>
  <c r="YN17" i="1"/>
  <c r="YU17" i="1" s="1"/>
  <c r="ACP10" i="1"/>
  <c r="OL77" i="1"/>
  <c r="PH17" i="1"/>
  <c r="PK75" i="1"/>
  <c r="AFB17" i="1"/>
  <c r="OT14" i="1"/>
  <c r="AMW60" i="1"/>
  <c r="XH77" i="1"/>
  <c r="OX60" i="1"/>
  <c r="AEH18" i="1"/>
  <c r="ANU60" i="1"/>
  <c r="OO10" i="1"/>
  <c r="AEG57" i="1"/>
  <c r="AEX61" i="1"/>
  <c r="AGQ61" i="1"/>
  <c r="OZ19" i="1"/>
  <c r="ALU20" i="1"/>
  <c r="ALR22" i="1"/>
  <c r="AEI55" i="1"/>
  <c r="PF61" i="1"/>
  <c r="ALN15" i="1"/>
  <c r="AGD20" i="1"/>
  <c r="AGK20" i="1" s="1"/>
  <c r="AET11" i="1"/>
  <c r="WP20" i="1"/>
  <c r="AFE62" i="1"/>
  <c r="YL75" i="1"/>
  <c r="YS75" i="1" s="1"/>
  <c r="AGE14" i="1"/>
  <c r="AGL14" i="1" s="1"/>
  <c r="PK60" i="1"/>
  <c r="ALQ60" i="1"/>
  <c r="UV17" i="1"/>
  <c r="WR14" i="1"/>
  <c r="AKI11" i="1"/>
  <c r="WO20" i="1"/>
  <c r="ALW11" i="1"/>
  <c r="VZ75" i="1"/>
  <c r="WM18" i="1"/>
  <c r="UU57" i="1"/>
  <c r="PQ14" i="1"/>
  <c r="RG20" i="1"/>
  <c r="OP59" i="1"/>
  <c r="PM72" i="1"/>
  <c r="NF60" i="1"/>
  <c r="AET10" i="1"/>
  <c r="UW14" i="1"/>
  <c r="ALI17" i="1"/>
  <c r="AED18" i="1"/>
  <c r="AMD57" i="1"/>
  <c r="WX12" i="1"/>
  <c r="NF61" i="1"/>
  <c r="AMK56" i="1"/>
  <c r="AEL16" i="1"/>
  <c r="PD56" i="1"/>
  <c r="AEY19" i="1"/>
  <c r="RH55" i="1"/>
  <c r="ANX59" i="1"/>
  <c r="AOE59" i="1" s="1"/>
  <c r="AMR61" i="1"/>
  <c r="AEM72" i="1"/>
  <c r="WV10" i="1"/>
  <c r="ADR58" i="1"/>
  <c r="SA75" i="1"/>
  <c r="AEC58" i="1"/>
  <c r="AEU60" i="1"/>
  <c r="XD10" i="1"/>
  <c r="ALJ75" i="1"/>
  <c r="AMQ58" i="1"/>
  <c r="ADT57" i="1"/>
  <c r="AEM60" i="1"/>
  <c r="AEI18" i="1"/>
  <c r="PB77" i="1"/>
  <c r="AED13" i="1"/>
  <c r="QT62" i="1"/>
  <c r="RA62" i="1" s="1"/>
  <c r="OI59" i="1"/>
  <c r="OO62" i="1"/>
  <c r="ON20" i="1"/>
  <c r="AEE18" i="1"/>
  <c r="AMT10" i="1"/>
  <c r="ACN21" i="1"/>
  <c r="AEV22" i="1"/>
  <c r="XB55" i="1"/>
  <c r="AEE16" i="1"/>
  <c r="AEB12" i="1"/>
  <c r="AFF63" i="1"/>
  <c r="WV55" i="1"/>
  <c r="AMV15" i="1"/>
  <c r="WL56" i="1"/>
  <c r="ALO56" i="1"/>
  <c r="ADS55" i="1"/>
  <c r="AEI61" i="1"/>
  <c r="WJ11" i="1"/>
  <c r="ACQ19" i="1"/>
  <c r="PK18" i="1"/>
  <c r="PS63" i="1"/>
  <c r="PN21" i="1"/>
  <c r="XG13" i="1"/>
  <c r="XG11" i="1"/>
  <c r="ACN15" i="1"/>
  <c r="OQ55" i="1"/>
  <c r="AED61" i="1"/>
  <c r="OK63" i="1"/>
  <c r="PH61" i="1"/>
  <c r="WF61" i="1"/>
  <c r="OO63" i="1"/>
  <c r="AMH19" i="1"/>
  <c r="AFC59" i="1"/>
  <c r="PT56" i="1"/>
  <c r="PL22" i="1"/>
  <c r="ALN12" i="1"/>
  <c r="ALR12" i="1"/>
  <c r="PQ16" i="1"/>
  <c r="PJ63" i="1"/>
  <c r="AEJ56" i="1"/>
  <c r="ALX12" i="1"/>
  <c r="OQ19" i="1"/>
  <c r="WC12" i="1"/>
  <c r="AGQ63" i="1"/>
  <c r="WV63" i="1"/>
  <c r="AEN12" i="1"/>
  <c r="ACN63" i="1"/>
  <c r="AKE20" i="1"/>
  <c r="WU59" i="1"/>
  <c r="NE12" i="1"/>
  <c r="OV61" i="1"/>
  <c r="WT15" i="1"/>
  <c r="ALV12" i="1"/>
  <c r="ADW21" i="1"/>
  <c r="WM12" i="1"/>
  <c r="WD59" i="1"/>
  <c r="NE56" i="1"/>
  <c r="QW19" i="1"/>
  <c r="RD19" i="1" s="1"/>
  <c r="AES63" i="1"/>
  <c r="WH61" i="1"/>
  <c r="ALM21" i="1"/>
  <c r="AMI22" i="1"/>
  <c r="AEB59" i="1"/>
  <c r="AKE19" i="1"/>
  <c r="WT12" i="1"/>
  <c r="AMN21" i="1"/>
  <c r="AFF16" i="1"/>
  <c r="PW63" i="1"/>
  <c r="RE63" i="1" s="1"/>
  <c r="YM55" i="1"/>
  <c r="YT55" i="1" s="1"/>
  <c r="WW15" i="1"/>
  <c r="OZ56" i="1"/>
  <c r="AHK15" i="1"/>
  <c r="AHL15" i="1" s="1"/>
  <c r="ALK14" i="1"/>
  <c r="AMA15" i="1"/>
  <c r="OR63" i="1"/>
  <c r="ANU55" i="1"/>
  <c r="WS60" i="1"/>
  <c r="PG61" i="1"/>
  <c r="ALL61" i="1"/>
  <c r="PM15" i="1"/>
  <c r="XN13" i="1"/>
  <c r="YV13" i="1" s="1"/>
  <c r="OJ15" i="1"/>
  <c r="OM21" i="1"/>
  <c r="ACN19" i="1"/>
  <c r="ALR19" i="1"/>
  <c r="PR75" i="1"/>
  <c r="OL15" i="1"/>
  <c r="OS21" i="1"/>
  <c r="AFB55" i="1"/>
  <c r="XF21" i="1"/>
  <c r="VZ13" i="1"/>
  <c r="AMF12" i="1"/>
  <c r="AEY21" i="1"/>
  <c r="QV55" i="1"/>
  <c r="RC55" i="1" s="1"/>
  <c r="OK21" i="1"/>
  <c r="AEX56" i="1"/>
  <c r="WO22" i="1"/>
  <c r="YM63" i="1"/>
  <c r="YT63" i="1" s="1"/>
  <c r="ON19" i="1"/>
  <c r="WO12" i="1"/>
  <c r="WZ63" i="1"/>
  <c r="AMR56" i="1"/>
  <c r="XA56" i="1"/>
  <c r="ALU16" i="1"/>
  <c r="AMS22" i="1"/>
  <c r="QU63" i="1"/>
  <c r="RB63" i="1" s="1"/>
  <c r="XN12" i="1"/>
  <c r="YV12" i="1" s="1"/>
  <c r="PV56" i="1"/>
  <c r="PE61" i="1"/>
  <c r="AMX20" i="1"/>
  <c r="AOF20" i="1" s="1"/>
  <c r="QV12" i="1"/>
  <c r="RC12" i="1" s="1"/>
  <c r="AGF59" i="1"/>
  <c r="AGM59" i="1" s="1"/>
  <c r="SA56" i="1"/>
  <c r="AMS59" i="1"/>
  <c r="NF55" i="1"/>
  <c r="WQ61" i="1"/>
  <c r="WL14" i="1"/>
  <c r="OU77" i="1"/>
  <c r="AEH21" i="1"/>
  <c r="PF22" i="1"/>
  <c r="AMA14" i="1"/>
  <c r="WU15" i="1"/>
  <c r="PQ19" i="1"/>
  <c r="WX59" i="1"/>
  <c r="AEW63" i="1"/>
  <c r="AFG19" i="1"/>
  <c r="AGO19" i="1" s="1"/>
  <c r="AGD55" i="1"/>
  <c r="AGK55" i="1" s="1"/>
  <c r="WN22" i="1"/>
  <c r="UV61" i="1"/>
  <c r="ALR16" i="1"/>
  <c r="ALM19" i="1"/>
  <c r="AMN20" i="1"/>
  <c r="PA15" i="1"/>
  <c r="WH15" i="1"/>
  <c r="AKI15" i="1"/>
  <c r="XA21" i="1"/>
  <c r="AGD61" i="1"/>
  <c r="AGK61" i="1" s="1"/>
  <c r="PN16" i="1"/>
  <c r="ADZ19" i="1"/>
  <c r="AET15" i="1"/>
  <c r="UW59" i="1"/>
  <c r="QV21" i="1"/>
  <c r="RC21" i="1" s="1"/>
  <c r="ALY21" i="1"/>
  <c r="XA55" i="1"/>
  <c r="ADY15" i="1"/>
  <c r="PD15" i="1"/>
  <c r="UX12" i="1"/>
  <c r="PG11" i="1"/>
  <c r="PJ21" i="1"/>
  <c r="AMX59" i="1"/>
  <c r="AOF59" i="1" s="1"/>
  <c r="AMW19" i="1"/>
  <c r="WC60" i="1"/>
  <c r="AEC12" i="1"/>
  <c r="WS12" i="1"/>
  <c r="AKG22" i="1"/>
  <c r="AEZ22" i="1"/>
  <c r="AKF59" i="1"/>
  <c r="AEV61" i="1"/>
  <c r="PB21" i="1"/>
  <c r="WW13" i="1"/>
  <c r="ALY19" i="1"/>
  <c r="VZ59" i="1"/>
  <c r="UW56" i="1"/>
  <c r="AEJ61" i="1"/>
  <c r="ALY56" i="1"/>
  <c r="AEJ63" i="1"/>
  <c r="AEM12" i="1"/>
  <c r="AEC55" i="1"/>
  <c r="WW56" i="1"/>
  <c r="OR16" i="1"/>
  <c r="XE60" i="1"/>
  <c r="AEN61" i="1"/>
  <c r="WK13" i="1"/>
  <c r="AMX55" i="1"/>
  <c r="AOF55" i="1" s="1"/>
  <c r="ADW15" i="1"/>
  <c r="AFE78" i="1"/>
  <c r="ANU72" i="1"/>
  <c r="AGQ60" i="1"/>
  <c r="AMB75" i="1"/>
  <c r="ALK10" i="1"/>
  <c r="WS14" i="1"/>
  <c r="WG10" i="1"/>
  <c r="PL20" i="1"/>
  <c r="ACP11" i="1"/>
  <c r="AMJ58" i="1"/>
  <c r="ANX58" i="1"/>
  <c r="AOE58" i="1" s="1"/>
  <c r="AEO57" i="1"/>
  <c r="AEE57" i="1"/>
  <c r="WA20" i="1"/>
  <c r="AEN58" i="1"/>
  <c r="PD77" i="1"/>
  <c r="ACQ78" i="1"/>
  <c r="PU13" i="1"/>
  <c r="ADT75" i="1"/>
  <c r="OR11" i="1"/>
  <c r="OI60" i="1"/>
  <c r="WP57" i="1"/>
  <c r="AEF11" i="1"/>
  <c r="AET62" i="1"/>
  <c r="OL62" i="1"/>
  <c r="ALR17" i="1"/>
  <c r="WB58" i="1"/>
  <c r="AEW57" i="1"/>
  <c r="OK57" i="1"/>
  <c r="PW58" i="1"/>
  <c r="RE58" i="1" s="1"/>
  <c r="WD75" i="1"/>
  <c r="ALO58" i="1"/>
  <c r="AMU57" i="1"/>
  <c r="AMC13" i="1"/>
  <c r="XH72" i="1"/>
  <c r="ALS57" i="1"/>
  <c r="WY77" i="1"/>
  <c r="OV75" i="1"/>
  <c r="PU10" i="1"/>
  <c r="AFA72" i="1"/>
  <c r="OV58" i="1"/>
  <c r="OO75" i="1"/>
  <c r="AHK55" i="1"/>
  <c r="AHL55" i="1" s="1"/>
  <c r="XM12" i="1"/>
  <c r="PO12" i="1"/>
  <c r="PI21" i="1"/>
  <c r="AFA61" i="1"/>
  <c r="XL55" i="1"/>
  <c r="PO19" i="1"/>
  <c r="ALW20" i="1"/>
  <c r="AEY62" i="1"/>
  <c r="AEU13" i="1"/>
  <c r="ND11" i="1"/>
  <c r="ADY11" i="1"/>
  <c r="RH18" i="1"/>
  <c r="ALV18" i="1"/>
  <c r="AED60" i="1"/>
  <c r="AMX13" i="1"/>
  <c r="AOF13" i="1" s="1"/>
  <c r="AEE13" i="1"/>
  <c r="UX58" i="1"/>
  <c r="ALK72" i="1"/>
  <c r="ALO13" i="1"/>
  <c r="AEI58" i="1"/>
  <c r="AEX72" i="1"/>
  <c r="ANX18" i="1"/>
  <c r="AOE18" i="1" s="1"/>
  <c r="XN77" i="1"/>
  <c r="YV77" i="1" s="1"/>
  <c r="PP75" i="1"/>
  <c r="ALM77" i="1"/>
  <c r="ANU10" i="1"/>
  <c r="WU18" i="1"/>
  <c r="AFE75" i="1"/>
  <c r="WN77" i="1"/>
  <c r="ALP18" i="1"/>
  <c r="PS59" i="1"/>
  <c r="XN14" i="1"/>
  <c r="YV14" i="1" s="1"/>
  <c r="WK10" i="1"/>
  <c r="AMN11" i="1"/>
  <c r="ND19" i="1"/>
  <c r="VY63" i="1"/>
  <c r="ADS63" i="1"/>
  <c r="WK12" i="1"/>
  <c r="AMU19" i="1"/>
  <c r="OT15" i="1"/>
  <c r="ANU12" i="1"/>
  <c r="PA75" i="1"/>
  <c r="PI57" i="1"/>
  <c r="PJ20" i="1"/>
  <c r="AMV72" i="1"/>
  <c r="ACN11" i="1"/>
  <c r="AKF58" i="1"/>
  <c r="AEQ62" i="1"/>
  <c r="UU75" i="1"/>
  <c r="PD11" i="1"/>
  <c r="ALN18" i="1"/>
  <c r="WB75" i="1"/>
  <c r="ADV58" i="1"/>
  <c r="UY18" i="1"/>
  <c r="ALU10" i="1"/>
  <c r="ALV57" i="1"/>
  <c r="AKI63" i="1"/>
  <c r="ANW10" i="1"/>
  <c r="AOD10" i="1" s="1"/>
  <c r="WI62" i="1"/>
  <c r="PA59" i="1"/>
  <c r="PU57" i="1"/>
  <c r="ALJ10" i="1"/>
  <c r="AEN62" i="1"/>
  <c r="ADZ72" i="1"/>
  <c r="WF18" i="1"/>
  <c r="AEL10" i="1"/>
  <c r="AMO18" i="1"/>
  <c r="PJ17" i="1"/>
  <c r="RG55" i="1"/>
  <c r="AMV55" i="1"/>
  <c r="XD22" i="1"/>
  <c r="XK59" i="1"/>
  <c r="ALP21" i="1"/>
  <c r="OK22" i="1"/>
  <c r="WP61" i="1"/>
  <c r="ANU15" i="1"/>
  <c r="PQ56" i="1"/>
  <c r="PI11" i="1"/>
  <c r="XA58" i="1"/>
  <c r="AEG18" i="1"/>
  <c r="ANU17" i="1"/>
  <c r="WL10" i="1"/>
  <c r="QT72" i="1"/>
  <c r="RA72" i="1" s="1"/>
  <c r="AEY75" i="1"/>
  <c r="OI75" i="1"/>
  <c r="PM60" i="1"/>
  <c r="ACN75" i="1"/>
  <c r="VZ20" i="1"/>
  <c r="AMO13" i="1"/>
  <c r="WP72" i="1"/>
  <c r="ALX18" i="1"/>
  <c r="PE62" i="1"/>
  <c r="AEC20" i="1"/>
  <c r="AMO63" i="1"/>
  <c r="PL13" i="1"/>
  <c r="WH72" i="1"/>
  <c r="ACR58" i="1"/>
  <c r="AMU15" i="1"/>
  <c r="AEH56" i="1"/>
  <c r="NF63" i="1"/>
  <c r="PP56" i="1"/>
  <c r="WD11" i="1"/>
  <c r="ADZ56" i="1"/>
  <c r="AMD12" i="1"/>
  <c r="AGE12" i="1"/>
  <c r="AGL12" i="1" s="1"/>
  <c r="AEF56" i="1"/>
  <c r="AET61" i="1"/>
  <c r="OS12" i="1"/>
  <c r="PP61" i="1"/>
  <c r="XK15" i="1"/>
  <c r="AEG63" i="1"/>
  <c r="ADT55" i="1"/>
  <c r="XI55" i="1"/>
  <c r="ACP16" i="1"/>
  <c r="ALQ16" i="1"/>
  <c r="OX61" i="1"/>
  <c r="AFF59" i="1"/>
  <c r="AEV12" i="1"/>
  <c r="AME59" i="1"/>
  <c r="OP55" i="1"/>
  <c r="WT21" i="1"/>
  <c r="ALI59" i="1"/>
  <c r="ALL19" i="1"/>
  <c r="OQ63" i="1"/>
  <c r="XN55" i="1"/>
  <c r="YV55" i="1" s="1"/>
  <c r="XJ15" i="1"/>
  <c r="OK19" i="1"/>
  <c r="XD21" i="1"/>
  <c r="PW15" i="1"/>
  <c r="RE15" i="1" s="1"/>
  <c r="RH16" i="1"/>
  <c r="WG56" i="1"/>
  <c r="ALU56" i="1"/>
  <c r="WA59" i="1"/>
  <c r="ADU61" i="1"/>
  <c r="ALV21" i="1"/>
  <c r="ADT19" i="1"/>
  <c r="ADT15" i="1"/>
  <c r="ALZ63" i="1"/>
  <c r="PF59" i="1"/>
  <c r="AMF59" i="1"/>
  <c r="OI55" i="1"/>
  <c r="AEW56" i="1"/>
  <c r="ACO12" i="1"/>
  <c r="ADZ59" i="1"/>
  <c r="ADS15" i="1"/>
  <c r="OU55" i="1"/>
  <c r="AKE21" i="1"/>
  <c r="PQ63" i="1"/>
  <c r="PE21" i="1"/>
  <c r="ACN55" i="1"/>
  <c r="AMS55" i="1"/>
  <c r="WT61" i="1"/>
  <c r="OJ19" i="1"/>
  <c r="AMJ15" i="1"/>
  <c r="AMR20" i="1"/>
  <c r="VY12" i="1"/>
  <c r="WE63" i="1"/>
  <c r="AMU56" i="1"/>
  <c r="XH21" i="1"/>
  <c r="AEL12" i="1"/>
  <c r="AEL55" i="1"/>
  <c r="AML56" i="1"/>
  <c r="OW16" i="1"/>
  <c r="AMJ14" i="1"/>
  <c r="PW21" i="1"/>
  <c r="RE21" i="1" s="1"/>
  <c r="AMC21" i="1"/>
  <c r="AMM15" i="1"/>
  <c r="ADX15" i="1"/>
  <c r="WL22" i="1"/>
  <c r="AMS13" i="1"/>
  <c r="QW22" i="1"/>
  <c r="RD22" i="1" s="1"/>
  <c r="PS55" i="1"/>
  <c r="AMQ22" i="1"/>
  <c r="AEQ56" i="1"/>
  <c r="AMM19" i="1"/>
  <c r="AFB63" i="1"/>
  <c r="WT11" i="1"/>
  <c r="AEA15" i="1"/>
  <c r="PR55" i="1"/>
  <c r="OU15" i="1"/>
  <c r="WA56" i="1"/>
  <c r="WM22" i="1"/>
  <c r="ANW61" i="1"/>
  <c r="AOD61" i="1" s="1"/>
  <c r="PI63" i="1"/>
  <c r="QU16" i="1"/>
  <c r="RB16" i="1" s="1"/>
  <c r="AMW16" i="1"/>
  <c r="AMR19" i="1"/>
  <c r="WD60" i="1"/>
  <c r="AFC12" i="1"/>
  <c r="ADY55" i="1"/>
  <c r="ADW16" i="1"/>
  <c r="ADR22" i="1"/>
  <c r="AMG14" i="1"/>
  <c r="OZ61" i="1"/>
  <c r="PW55" i="1"/>
  <c r="RE55" i="1" s="1"/>
  <c r="AEW21" i="1"/>
  <c r="PR63" i="1"/>
  <c r="WL55" i="1"/>
  <c r="WJ15" i="1"/>
  <c r="AEK60" i="1"/>
  <c r="YN18" i="1"/>
  <c r="YU18" i="1" s="1"/>
  <c r="QV56" i="1"/>
  <c r="RC56" i="1" s="1"/>
  <c r="AMP15" i="1"/>
  <c r="XB61" i="1"/>
  <c r="PU16" i="1"/>
  <c r="ADZ15" i="1"/>
  <c r="RG19" i="1"/>
  <c r="ALO19" i="1"/>
  <c r="AML21" i="1"/>
  <c r="ALX15" i="1"/>
  <c r="AMQ59" i="1"/>
  <c r="AEG19" i="1"/>
  <c r="AMB61" i="1"/>
  <c r="XF56" i="1"/>
  <c r="XD11" i="1"/>
  <c r="QT56" i="1"/>
  <c r="RA56" i="1" s="1"/>
  <c r="AER56" i="1"/>
  <c r="XC63" i="1"/>
  <c r="PF16" i="1"/>
  <c r="ALX61" i="1"/>
  <c r="ON15" i="1"/>
  <c r="YM21" i="1"/>
  <c r="YT21" i="1" s="1"/>
  <c r="ALP16" i="1"/>
  <c r="WP11" i="1"/>
  <c r="AFE19" i="1"/>
  <c r="QT15" i="1"/>
  <c r="RA15" i="1" s="1"/>
  <c r="ADX56" i="1"/>
  <c r="OH17" i="1"/>
  <c r="AEW58" i="1"/>
  <c r="WH58" i="1"/>
  <c r="AEK57" i="1"/>
  <c r="PS57" i="1"/>
  <c r="QT11" i="1"/>
  <c r="RA11" i="1" s="1"/>
  <c r="PT75" i="1"/>
  <c r="NG17" i="1"/>
  <c r="ACN14" i="1"/>
  <c r="NH10" i="1"/>
  <c r="RG60" i="1"/>
  <c r="XI20" i="1"/>
  <c r="XL14" i="1"/>
  <c r="AFA75" i="1"/>
  <c r="ADU78" i="1"/>
  <c r="AEC10" i="1"/>
  <c r="ND72" i="1"/>
  <c r="XB18" i="1"/>
  <c r="AED75" i="1"/>
  <c r="AEX78" i="1"/>
  <c r="ALN13" i="1"/>
  <c r="WR20" i="1"/>
  <c r="AFE13" i="1"/>
  <c r="UX10" i="1"/>
  <c r="NH59" i="1"/>
  <c r="ADT10" i="1"/>
  <c r="AFB20" i="1"/>
  <c r="ALY75" i="1"/>
  <c r="AEJ10" i="1"/>
  <c r="XB57" i="1"/>
  <c r="PH14" i="1"/>
  <c r="AER17" i="1"/>
  <c r="AEL57" i="1"/>
  <c r="WL17" i="1"/>
  <c r="PU77" i="1"/>
  <c r="AEQ78" i="1"/>
  <c r="AEQ75" i="1"/>
  <c r="AMA11" i="1"/>
  <c r="XD58" i="1"/>
  <c r="XL18" i="1"/>
  <c r="ALR60" i="1"/>
  <c r="AEH17" i="1"/>
  <c r="PV20" i="1"/>
  <c r="PF15" i="1"/>
  <c r="OR61" i="1"/>
  <c r="AEP61" i="1"/>
  <c r="AMM14" i="1"/>
  <c r="ALP55" i="1"/>
  <c r="QT19" i="1"/>
  <c r="RA19" i="1" s="1"/>
  <c r="UY15" i="1"/>
  <c r="ANV60" i="1"/>
  <c r="AOC60" i="1" s="1"/>
  <c r="PM17" i="1"/>
  <c r="ALY77" i="1"/>
  <c r="ADY18" i="1"/>
  <c r="AEF10" i="1"/>
  <c r="XL10" i="1"/>
  <c r="ACN78" i="1"/>
  <c r="XD72" i="1"/>
  <c r="WJ57" i="1"/>
  <c r="WF62" i="1"/>
  <c r="WN58" i="1"/>
  <c r="AMW75" i="1"/>
  <c r="AEA58" i="1"/>
  <c r="UU72" i="1"/>
  <c r="AEH13" i="1"/>
  <c r="XL17" i="1"/>
  <c r="AEO60" i="1"/>
  <c r="OQ72" i="1"/>
  <c r="WU77" i="1"/>
  <c r="AKE11" i="1"/>
  <c r="ALW18" i="1"/>
  <c r="AKI72" i="1"/>
  <c r="AMB60" i="1"/>
  <c r="OS20" i="1"/>
  <c r="PC13" i="1"/>
  <c r="ADR75" i="1"/>
  <c r="AMR17" i="1"/>
  <c r="XJ63" i="1"/>
  <c r="OV22" i="1"/>
  <c r="AER21" i="1"/>
  <c r="AKE15" i="1"/>
  <c r="XE11" i="1"/>
  <c r="PC12" i="1"/>
  <c r="AKI56" i="1"/>
  <c r="AKI16" i="1"/>
  <c r="ALP63" i="1"/>
  <c r="AMV63" i="1"/>
  <c r="YN14" i="1"/>
  <c r="YU14" i="1" s="1"/>
  <c r="OH18" i="1"/>
  <c r="ALW17" i="1"/>
  <c r="AEB11" i="1"/>
  <c r="XD75" i="1"/>
  <c r="AFC11" i="1"/>
  <c r="PK13" i="1"/>
  <c r="AET60" i="1"/>
  <c r="ADZ14" i="1"/>
  <c r="ALL10" i="1"/>
  <c r="ACQ18" i="1"/>
  <c r="OS57" i="1"/>
  <c r="AEA14" i="1"/>
  <c r="AHK17" i="1"/>
  <c r="PF60" i="1"/>
  <c r="UY58" i="1"/>
  <c r="WB62" i="1"/>
  <c r="OK58" i="1"/>
  <c r="XK77" i="1"/>
  <c r="OP62" i="1"/>
  <c r="AGR78" i="1"/>
  <c r="WV58" i="1"/>
  <c r="VZ72" i="1"/>
  <c r="WV20" i="1"/>
  <c r="ADR10" i="1"/>
  <c r="OU56" i="1"/>
  <c r="WT56" i="1"/>
  <c r="ALZ61" i="1"/>
  <c r="WQ13" i="1"/>
  <c r="ALL59" i="1"/>
  <c r="AEX15" i="1"/>
  <c r="ALZ55" i="1"/>
  <c r="OH61" i="1"/>
  <c r="ALP60" i="1"/>
  <c r="AFE20" i="1"/>
  <c r="OZ11" i="1"/>
  <c r="ALP58" i="1"/>
  <c r="OZ75" i="1"/>
  <c r="AEC75" i="1"/>
  <c r="PG10" i="1"/>
  <c r="ADX75" i="1"/>
  <c r="PN77" i="1"/>
  <c r="AEZ78" i="1"/>
  <c r="AEE78" i="1"/>
  <c r="WN57" i="1"/>
  <c r="QW75" i="1"/>
  <c r="RD75" i="1" s="1"/>
  <c r="AEN20" i="1"/>
  <c r="ALX72" i="1"/>
  <c r="XC72" i="1"/>
  <c r="AEG14" i="1"/>
  <c r="OW20" i="1"/>
  <c r="AMT72" i="1"/>
  <c r="UX77" i="1"/>
  <c r="XN20" i="1"/>
  <c r="YV20" i="1" s="1"/>
  <c r="ALO12" i="1"/>
  <c r="AEO15" i="1"/>
  <c r="OO15" i="1"/>
  <c r="ON21" i="1"/>
  <c r="ADR12" i="1"/>
  <c r="PO56" i="1"/>
  <c r="ALT59" i="1"/>
  <c r="WD55" i="1"/>
  <c r="WM15" i="1"/>
  <c r="AKH56" i="1"/>
  <c r="AEA63" i="1"/>
  <c r="ADU12" i="1"/>
  <c r="NG16" i="1"/>
  <c r="AKI12" i="1"/>
  <c r="PL12" i="1"/>
  <c r="AEH59" i="1"/>
  <c r="AEN57" i="1"/>
  <c r="OI17" i="1"/>
  <c r="AMJ56" i="1"/>
  <c r="WG11" i="1"/>
  <c r="AMN59" i="1"/>
  <c r="AEW15" i="1"/>
  <c r="AME61" i="1"/>
  <c r="AKE14" i="1"/>
  <c r="OR21" i="1"/>
  <c r="AFF61" i="1"/>
  <c r="VY11" i="1"/>
  <c r="XK60" i="1"/>
  <c r="AEV19" i="1"/>
  <c r="AKF21" i="1"/>
  <c r="AEW19" i="1"/>
  <c r="YL61" i="1"/>
  <c r="YS61" i="1" s="1"/>
  <c r="WJ12" i="1"/>
  <c r="AMR15" i="1"/>
  <c r="AMV56" i="1"/>
  <c r="AKF15" i="1"/>
  <c r="WE22" i="1"/>
  <c r="ALO16" i="1"/>
  <c r="AMJ12" i="1"/>
  <c r="XJ21" i="1"/>
  <c r="ALU21" i="1"/>
  <c r="AFE15" i="1"/>
  <c r="AEZ12" i="1"/>
  <c r="OV21" i="1"/>
  <c r="WA21" i="1"/>
  <c r="AEM59" i="1"/>
  <c r="PF19" i="1"/>
  <c r="AEO16" i="1"/>
  <c r="AEF22" i="1"/>
  <c r="WA60" i="1"/>
  <c r="RG21" i="1"/>
  <c r="ADR16" i="1"/>
  <c r="ACR56" i="1"/>
  <c r="AMU12" i="1"/>
  <c r="AFE59" i="1"/>
  <c r="AMS16" i="1"/>
  <c r="RH19" i="1"/>
  <c r="RJ19" i="1" s="1"/>
  <c r="OW22" i="1"/>
  <c r="ADR19" i="1"/>
  <c r="AEZ56" i="1"/>
  <c r="PW19" i="1"/>
  <c r="RE19" i="1" s="1"/>
  <c r="PM61" i="1"/>
  <c r="AMG61" i="1"/>
  <c r="ALW15" i="1"/>
  <c r="AFC15" i="1"/>
  <c r="OY55" i="1"/>
  <c r="AFA21" i="1"/>
  <c r="WU56" i="1"/>
  <c r="WD21" i="1"/>
  <c r="ANX21" i="1"/>
  <c r="AOE21" i="1" s="1"/>
  <c r="AKG19" i="1"/>
  <c r="AFE63" i="1"/>
  <c r="ALI12" i="1"/>
  <c r="AMK61" i="1"/>
  <c r="ALT19" i="1"/>
  <c r="YK12" i="1"/>
  <c r="PH56" i="1"/>
  <c r="PC61" i="1"/>
  <c r="AEA56" i="1"/>
  <c r="AFD21" i="1"/>
  <c r="OX22" i="1"/>
  <c r="XK55" i="1"/>
  <c r="UV62" i="1"/>
  <c r="XM60" i="1"/>
  <c r="AFF21" i="1"/>
  <c r="OZ22" i="1"/>
  <c r="PQ21" i="1"/>
  <c r="AEY63" i="1"/>
  <c r="OS19" i="1"/>
  <c r="WW55" i="1"/>
  <c r="AMT16" i="1"/>
  <c r="ADS16" i="1"/>
  <c r="YL21" i="1"/>
  <c r="YS21" i="1" s="1"/>
  <c r="AMI20" i="1"/>
  <c r="PQ15" i="1"/>
  <c r="AMP21" i="1"/>
  <c r="AEZ21" i="1"/>
  <c r="AEM63" i="1"/>
  <c r="ND15" i="1"/>
  <c r="PA16" i="1"/>
  <c r="PM19" i="1"/>
  <c r="ALT15" i="1"/>
  <c r="XG63" i="1"/>
  <c r="XL11" i="1"/>
  <c r="AMO22" i="1"/>
  <c r="NG15" i="1"/>
  <c r="AEK56" i="1"/>
  <c r="ANX16" i="1"/>
  <c r="AOE16" i="1" s="1"/>
  <c r="WH13" i="1"/>
  <c r="WS55" i="1"/>
  <c r="AEF16" i="1"/>
  <c r="AEI56" i="1"/>
  <c r="AMP14" i="1"/>
  <c r="UX15" i="1"/>
  <c r="WK75" i="1"/>
  <c r="AKF14" i="1"/>
  <c r="AFC19" i="1"/>
  <c r="AMH16" i="1"/>
  <c r="NF21" i="1"/>
  <c r="AMB59" i="1"/>
  <c r="ALU19" i="1"/>
  <c r="ADX12" i="1"/>
  <c r="ADZ22" i="1"/>
  <c r="AEE15" i="1"/>
  <c r="AEE59" i="1"/>
  <c r="YN21" i="1"/>
  <c r="YU21" i="1" s="1"/>
  <c r="XD15" i="1"/>
  <c r="RG12" i="1"/>
  <c r="RI12" i="1" s="1"/>
  <c r="WM21" i="1"/>
  <c r="WP22" i="1"/>
  <c r="AMA61" i="1"/>
  <c r="PV63" i="1"/>
  <c r="PV16" i="1"/>
  <c r="ALM61" i="1"/>
  <c r="OR15" i="1"/>
  <c r="WG59" i="1"/>
  <c r="AGR61" i="1"/>
  <c r="AGT61" i="1" s="1"/>
  <c r="AFG55" i="1"/>
  <c r="AGO55" i="1" s="1"/>
  <c r="AFG21" i="1"/>
  <c r="AGO21" i="1" s="1"/>
  <c r="RG22" i="1"/>
  <c r="ADS12" i="1"/>
  <c r="ACR63" i="1"/>
  <c r="WP63" i="1"/>
  <c r="ANV55" i="1"/>
  <c r="AOC55" i="1" s="1"/>
  <c r="OM11" i="1"/>
  <c r="AEI10" i="1"/>
  <c r="WD15" i="1"/>
  <c r="PC19" i="1"/>
  <c r="WD63" i="1"/>
  <c r="ALK20" i="1"/>
  <c r="WE13" i="1"/>
  <c r="AFA63" i="1"/>
  <c r="UY56" i="1"/>
  <c r="XI63" i="1"/>
  <c r="WC59" i="1"/>
  <c r="AKG15" i="1"/>
  <c r="PQ22" i="1"/>
  <c r="OZ12" i="1"/>
  <c r="XD12" i="1"/>
  <c r="YL56" i="1"/>
  <c r="YS56" i="1" s="1"/>
  <c r="ADR63" i="1"/>
  <c r="ND56" i="1"/>
  <c r="ALQ55" i="1"/>
  <c r="SA63" i="1"/>
  <c r="SB63" i="1" s="1"/>
  <c r="ALJ56" i="1"/>
  <c r="UU63" i="1"/>
  <c r="PL61" i="1"/>
  <c r="ADV55" i="1"/>
  <c r="ALU12" i="1"/>
  <c r="OP22" i="1"/>
  <c r="AEZ59" i="1"/>
  <c r="ADZ16" i="1"/>
  <c r="YM77" i="1"/>
  <c r="YT77" i="1" s="1"/>
  <c r="NH18" i="1"/>
  <c r="AME17" i="1"/>
  <c r="PP58" i="1"/>
  <c r="UX14" i="1"/>
  <c r="AEA78" i="1"/>
  <c r="ADX20" i="1"/>
  <c r="AKF77" i="1"/>
  <c r="XH58" i="1"/>
  <c r="XE20" i="1"/>
  <c r="WH57" i="1"/>
  <c r="WV75" i="1"/>
  <c r="WA14" i="1"/>
  <c r="ALI18" i="1"/>
  <c r="XJ20" i="1"/>
  <c r="XE62" i="1"/>
  <c r="OR20" i="1"/>
  <c r="AEI72" i="1"/>
  <c r="QW18" i="1"/>
  <c r="RD18" i="1" s="1"/>
  <c r="OW59" i="1"/>
  <c r="AKF72" i="1"/>
  <c r="AMB13" i="1"/>
  <c r="AMC72" i="1"/>
  <c r="AMX58" i="1"/>
  <c r="AOF58" i="1" s="1"/>
  <c r="AMJ57" i="1"/>
  <c r="AFA10" i="1"/>
  <c r="AEH10" i="1"/>
  <c r="YM58" i="1"/>
  <c r="YT58" i="1" s="1"/>
  <c r="ADW60" i="1"/>
  <c r="ANX72" i="1"/>
  <c r="AOE72" i="1" s="1"/>
  <c r="AGF14" i="1"/>
  <c r="AGM14" i="1" s="1"/>
  <c r="ALW77" i="1"/>
  <c r="ADW58" i="1"/>
  <c r="XG75" i="1"/>
  <c r="ALM13" i="1"/>
  <c r="AMH77" i="1"/>
  <c r="AEX13" i="1"/>
  <c r="AMF60" i="1"/>
  <c r="QW59" i="1"/>
  <c r="RD59" i="1" s="1"/>
  <c r="AEX58" i="1"/>
  <c r="PT60" i="1"/>
  <c r="PM10" i="1"/>
  <c r="AEO75" i="1"/>
  <c r="AMM22" i="1"/>
  <c r="AMG20" i="1"/>
  <c r="XL59" i="1"/>
  <c r="AEA12" i="1"/>
  <c r="AMR21" i="1"/>
  <c r="AEU63" i="1"/>
  <c r="AMI55" i="1"/>
  <c r="WM58" i="1"/>
  <c r="AGG72" i="1"/>
  <c r="AGN72" i="1" s="1"/>
  <c r="AGF17" i="1"/>
  <c r="AGM17" i="1" s="1"/>
  <c r="PT57" i="1"/>
  <c r="WI17" i="1"/>
  <c r="AFG18" i="1"/>
  <c r="AGO18" i="1" s="1"/>
  <c r="ALX57" i="1"/>
  <c r="ACN18" i="1"/>
  <c r="PL11" i="1"/>
  <c r="WO72" i="1"/>
  <c r="OS60" i="1"/>
  <c r="AKE63" i="1"/>
  <c r="AFE58" i="1"/>
  <c r="AEZ18" i="1"/>
  <c r="AME18" i="1"/>
  <c r="SA72" i="1"/>
  <c r="SB72" i="1" s="1"/>
  <c r="AEG75" i="1"/>
  <c r="WL77" i="1"/>
  <c r="AEM57" i="1"/>
  <c r="WT18" i="1"/>
  <c r="ADS10" i="1"/>
  <c r="WC10" i="1"/>
  <c r="WN62" i="1"/>
  <c r="AML72" i="1"/>
  <c r="AMW17" i="1"/>
  <c r="AGR75" i="1"/>
  <c r="ALI77" i="1"/>
  <c r="ALY55" i="1"/>
  <c r="AKI14" i="1"/>
  <c r="ADZ12" i="1"/>
  <c r="PW12" i="1"/>
  <c r="RE12" i="1" s="1"/>
  <c r="PC63" i="1"/>
  <c r="WQ60" i="1"/>
  <c r="AEM56" i="1"/>
  <c r="OT22" i="1"/>
  <c r="AFB57" i="1"/>
  <c r="AMR60" i="1"/>
  <c r="VZ14" i="1"/>
  <c r="OP75" i="1"/>
  <c r="XM58" i="1"/>
  <c r="AEO62" i="1"/>
  <c r="YN75" i="1"/>
  <c r="YU75" i="1" s="1"/>
  <c r="YM57" i="1"/>
  <c r="YT57" i="1" s="1"/>
  <c r="PO10" i="1"/>
  <c r="ADU62" i="1"/>
  <c r="RG62" i="1"/>
  <c r="PM62" i="1"/>
  <c r="OL60" i="1"/>
  <c r="ALK17" i="1"/>
  <c r="AGG11" i="1"/>
  <c r="AGN11" i="1" s="1"/>
  <c r="AMV17" i="1"/>
  <c r="WM57" i="1"/>
  <c r="ALL58" i="1"/>
  <c r="AED11" i="1"/>
  <c r="AME77" i="1"/>
  <c r="RG11" i="1"/>
  <c r="ALT72" i="1"/>
  <c r="AEV13" i="1"/>
  <c r="PM20" i="1"/>
  <c r="ALZ10" i="1"/>
  <c r="ALM10" i="1"/>
  <c r="PN13" i="1"/>
  <c r="XA13" i="1"/>
  <c r="WH12" i="1"/>
  <c r="OM12" i="1"/>
  <c r="PN15" i="1"/>
  <c r="ALV15" i="1"/>
  <c r="ANU14" i="1"/>
  <c r="AMS14" i="1"/>
  <c r="XC56" i="1"/>
  <c r="QV59" i="1"/>
  <c r="RC59" i="1" s="1"/>
  <c r="AKI17" i="1"/>
  <c r="AFC78" i="1"/>
  <c r="ANU58" i="1"/>
  <c r="QW62" i="1"/>
  <c r="RD62" i="1" s="1"/>
  <c r="AFG78" i="1"/>
  <c r="AGO78" i="1" s="1"/>
  <c r="WT72" i="1"/>
  <c r="PR62" i="1"/>
  <c r="YK72" i="1"/>
  <c r="AEF58" i="1"/>
  <c r="AKF18" i="1"/>
  <c r="ALY60" i="1"/>
  <c r="AET72" i="1"/>
  <c r="PF20" i="1"/>
  <c r="WW17" i="1"/>
  <c r="WI77" i="1"/>
  <c r="AMR75" i="1"/>
  <c r="AEG78" i="1"/>
  <c r="QU75" i="1"/>
  <c r="RB75" i="1" s="1"/>
  <c r="AMR23" i="1"/>
  <c r="OT57" i="1"/>
  <c r="AEG72" i="1"/>
  <c r="AEX11" i="1"/>
  <c r="AMS77" i="1"/>
  <c r="AFA57" i="1"/>
  <c r="AKG72" i="1"/>
  <c r="PJ10" i="1"/>
  <c r="AES58" i="1"/>
  <c r="OX59" i="1"/>
  <c r="RG57" i="1"/>
  <c r="AMW58" i="1"/>
  <c r="WF20" i="1"/>
  <c r="PQ59" i="1"/>
  <c r="ADT18" i="1"/>
  <c r="PE72" i="1"/>
  <c r="AMP77" i="1"/>
  <c r="ALL72" i="1"/>
  <c r="PB58" i="1"/>
  <c r="OZ62" i="1"/>
  <c r="OX17" i="1"/>
  <c r="PP10" i="1"/>
  <c r="ON10" i="1"/>
  <c r="UY75" i="1"/>
  <c r="YL10" i="1"/>
  <c r="YS10" i="1" s="1"/>
  <c r="ALI57" i="1"/>
  <c r="QT18" i="1"/>
  <c r="RA18" i="1" s="1"/>
  <c r="OO57" i="1"/>
  <c r="AGG17" i="1"/>
  <c r="AGN17" i="1" s="1"/>
  <c r="OJ11" i="1"/>
  <c r="XM14" i="1"/>
  <c r="PC77" i="1"/>
  <c r="PA13" i="1"/>
  <c r="AKI58" i="1"/>
  <c r="ND59" i="1"/>
  <c r="AML63" i="1"/>
  <c r="OZ58" i="1"/>
  <c r="PW17" i="1"/>
  <c r="RE17" i="1" s="1"/>
  <c r="PD58" i="1"/>
  <c r="NG58" i="1"/>
  <c r="QV62" i="1"/>
  <c r="RC62" i="1" s="1"/>
  <c r="WV17" i="1"/>
  <c r="QT17" i="1"/>
  <c r="RA17" i="1" s="1"/>
  <c r="WF17" i="1"/>
  <c r="OT72" i="1"/>
  <c r="ALP10" i="1"/>
  <c r="WL75" i="1"/>
  <c r="AMT11" i="1"/>
  <c r="SA20" i="1"/>
  <c r="SB20" i="1" s="1"/>
  <c r="ALK57" i="1"/>
  <c r="ALL11" i="1"/>
  <c r="AES14" i="1"/>
  <c r="WP10" i="1"/>
  <c r="ANW57" i="1"/>
  <c r="AOD57" i="1" s="1"/>
  <c r="WZ10" i="1"/>
  <c r="AEF72" i="1"/>
  <c r="WS58" i="1"/>
  <c r="AEA62" i="1"/>
  <c r="QV77" i="1"/>
  <c r="RC77" i="1" s="1"/>
  <c r="XL72" i="1"/>
  <c r="OQ59" i="1"/>
  <c r="AEK18" i="1"/>
  <c r="AMB18" i="1"/>
  <c r="XN17" i="1"/>
  <c r="YV17" i="1" s="1"/>
  <c r="AMI77" i="1"/>
  <c r="AMS18" i="1"/>
  <c r="WZ23" i="1"/>
  <c r="AGE13" i="1"/>
  <c r="AGL13" i="1" s="1"/>
  <c r="AMM18" i="1"/>
  <c r="WN17" i="1"/>
  <c r="PC75" i="1"/>
  <c r="ALM60" i="1"/>
  <c r="WP14" i="1"/>
  <c r="AKF57" i="1"/>
  <c r="PA60" i="1"/>
  <c r="AEV78" i="1"/>
  <c r="PJ14" i="1"/>
  <c r="AEY13" i="1"/>
  <c r="PL57" i="1"/>
  <c r="XK17" i="1"/>
  <c r="OX57" i="1"/>
  <c r="PD72" i="1"/>
  <c r="AHK18" i="1"/>
  <c r="PS11" i="1"/>
  <c r="ACO58" i="1"/>
  <c r="ACQ10" i="1"/>
  <c r="XB17" i="1"/>
  <c r="XG77" i="1"/>
  <c r="AMG18" i="1"/>
  <c r="QT58" i="1"/>
  <c r="RA58" i="1" s="1"/>
  <c r="ALT57" i="1"/>
  <c r="AMQ10" i="1"/>
  <c r="AMX72" i="1"/>
  <c r="AOF72" i="1" s="1"/>
  <c r="VZ17" i="1"/>
  <c r="PH59" i="1"/>
  <c r="AMQ18" i="1"/>
  <c r="YK58" i="1"/>
  <c r="XF17" i="1"/>
  <c r="AEZ10" i="1"/>
  <c r="AEP13" i="1"/>
  <c r="AER11" i="1"/>
  <c r="XH57" i="1"/>
  <c r="AGR11" i="1"/>
  <c r="AEI62" i="1"/>
  <c r="ALI63" i="1"/>
  <c r="OM77" i="1"/>
  <c r="ALS60" i="1"/>
  <c r="AME60" i="1"/>
  <c r="ALZ72" i="1"/>
  <c r="AKI10" i="1"/>
  <c r="QW11" i="1"/>
  <c r="RD11" i="1" s="1"/>
  <c r="AMM17" i="1"/>
  <c r="WM62" i="1"/>
  <c r="ALO60" i="1"/>
  <c r="PH13" i="1"/>
  <c r="PN10" i="1"/>
  <c r="AEK58" i="1"/>
  <c r="OL17" i="1"/>
  <c r="OW14" i="1"/>
  <c r="ADZ78" i="1"/>
  <c r="PL58" i="1"/>
  <c r="OP77" i="1"/>
  <c r="PR17" i="1"/>
  <c r="AMT77" i="1"/>
  <c r="ACQ57" i="1"/>
  <c r="PO57" i="1"/>
  <c r="WI75" i="1"/>
  <c r="OV14" i="1"/>
  <c r="ALO11" i="1"/>
  <c r="PD17" i="1"/>
  <c r="NH57" i="1"/>
  <c r="AMI10" i="1"/>
  <c r="AEM62" i="1"/>
  <c r="WA58" i="1"/>
  <c r="ACR17" i="1"/>
  <c r="PH72" i="1"/>
  <c r="ACR13" i="1"/>
  <c r="AKG58" i="1"/>
  <c r="PK57" i="1"/>
  <c r="ND14" i="1"/>
  <c r="AMO60" i="1"/>
  <c r="AFB60" i="1"/>
  <c r="OU58" i="1"/>
  <c r="WD14" i="1"/>
  <c r="OM17" i="1"/>
  <c r="YN57" i="1"/>
  <c r="YU57" i="1" s="1"/>
  <c r="ALL60" i="1"/>
  <c r="WF14" i="1"/>
  <c r="ACQ75" i="1"/>
  <c r="AFE14" i="1"/>
  <c r="RG10" i="1"/>
  <c r="OM20" i="1"/>
  <c r="OJ72" i="1"/>
  <c r="ALS77" i="1"/>
  <c r="AMA10" i="1"/>
  <c r="AMU13" i="1"/>
  <c r="AMS63" i="1"/>
  <c r="XE10" i="1"/>
  <c r="ADT72" i="1"/>
  <c r="AFA78" i="1"/>
  <c r="QV72" i="1"/>
  <c r="RC72" i="1" s="1"/>
  <c r="PO17" i="1"/>
  <c r="PH11" i="1"/>
  <c r="WZ57" i="1"/>
  <c r="AEZ13" i="1"/>
  <c r="AMH13" i="1"/>
  <c r="AGQ57" i="1"/>
  <c r="WO57" i="1"/>
  <c r="OU17" i="1"/>
  <c r="AMN10" i="1"/>
  <c r="YK17" i="1"/>
  <c r="QW20" i="1"/>
  <c r="RD20" i="1" s="1"/>
  <c r="XD17" i="1"/>
  <c r="PA72" i="1"/>
  <c r="AMJ75" i="1"/>
  <c r="AEK11" i="1"/>
  <c r="PF18" i="1"/>
  <c r="PU75" i="1"/>
  <c r="OY20" i="1"/>
  <c r="AFE10" i="1"/>
  <c r="UU10" i="1"/>
  <c r="AME63" i="1"/>
  <c r="AME10" i="1"/>
  <c r="UV20" i="1"/>
  <c r="XM18" i="1"/>
  <c r="AMX57" i="1"/>
  <c r="AOF57" i="1" s="1"/>
  <c r="AFF72" i="1"/>
  <c r="AMX18" i="1"/>
  <c r="AOF18" i="1" s="1"/>
  <c r="AEO72" i="1"/>
  <c r="WG58" i="1"/>
  <c r="AMU63" i="1"/>
  <c r="WE20" i="1"/>
  <c r="UY10" i="1"/>
  <c r="AKG13" i="1"/>
  <c r="WC17" i="1"/>
  <c r="ALO10" i="1"/>
  <c r="AEN11" i="1"/>
  <c r="ANW71" i="1"/>
  <c r="AOD71" i="1" s="1"/>
  <c r="PK14" i="1"/>
  <c r="AFC76" i="1"/>
  <c r="ALV58" i="1"/>
  <c r="OH11" i="1"/>
  <c r="PK74" i="1"/>
  <c r="ACP78" i="1"/>
  <c r="OQ77" i="1"/>
  <c r="ALY63" i="1"/>
  <c r="AMU18" i="1"/>
  <c r="OM72" i="1"/>
  <c r="AMP10" i="1"/>
  <c r="ALM75" i="1"/>
  <c r="WU75" i="1"/>
  <c r="XJ58" i="1"/>
  <c r="WK57" i="1"/>
  <c r="PV17" i="1"/>
  <c r="PD18" i="1"/>
  <c r="PR57" i="1"/>
  <c r="RH58" i="1"/>
  <c r="OS72" i="1"/>
  <c r="WO77" i="1"/>
  <c r="AKG75" i="1"/>
  <c r="AEJ18" i="1"/>
  <c r="ADY58" i="1"/>
  <c r="WA75" i="1"/>
  <c r="AHK14" i="1"/>
  <c r="ANW60" i="1"/>
  <c r="AOD60" i="1" s="1"/>
  <c r="QU20" i="1"/>
  <c r="RB20" i="1" s="1"/>
  <c r="PW11" i="1"/>
  <c r="RE11" i="1" s="1"/>
  <c r="AMD13" i="1"/>
  <c r="AFE57" i="1"/>
  <c r="WR75" i="1"/>
  <c r="OV77" i="1"/>
  <c r="PR77" i="1"/>
  <c r="WT57" i="1"/>
  <c r="NE62" i="1"/>
  <c r="SA17" i="1"/>
  <c r="SB17" i="1" s="1"/>
  <c r="AMP75" i="1"/>
  <c r="RG18" i="1"/>
  <c r="WZ72" i="1"/>
  <c r="AGD18" i="1"/>
  <c r="AGK18" i="1" s="1"/>
  <c r="AMK57" i="1"/>
  <c r="SA57" i="1"/>
  <c r="WQ17" i="1"/>
  <c r="ACN58" i="1"/>
  <c r="AKG60" i="1"/>
  <c r="ND60" i="1"/>
  <c r="AKI13" i="1"/>
  <c r="QV10" i="1"/>
  <c r="RC10" i="1" s="1"/>
  <c r="WO58" i="1"/>
  <c r="AGG60" i="1"/>
  <c r="AGN60" i="1" s="1"/>
  <c r="PL17" i="1"/>
  <c r="WK14" i="1"/>
  <c r="OH13" i="1"/>
  <c r="NE10" i="1"/>
  <c r="PE11" i="1"/>
  <c r="UU17" i="1"/>
  <c r="PW59" i="1"/>
  <c r="RE59" i="1" s="1"/>
  <c r="AMD18" i="1"/>
  <c r="ADW17" i="1"/>
  <c r="AEK13" i="1"/>
  <c r="PC10" i="1"/>
  <c r="AGF10" i="1"/>
  <c r="AGM10" i="1" s="1"/>
  <c r="PF17" i="1"/>
  <c r="WT58" i="1"/>
  <c r="WB14" i="1"/>
  <c r="XJ75" i="1"/>
  <c r="OU18" i="1"/>
  <c r="AMK17" i="1"/>
  <c r="PQ77" i="1"/>
  <c r="XI72" i="1"/>
  <c r="AMF13" i="1"/>
  <c r="XK20" i="1"/>
  <c r="AEL20" i="1"/>
  <c r="AEA60" i="1"/>
  <c r="ALS17" i="1"/>
  <c r="OY58" i="1"/>
  <c r="AMA75" i="1"/>
  <c r="AGG78" i="1"/>
  <c r="AGN78" i="1" s="1"/>
  <c r="AFF18" i="1"/>
  <c r="AEL72" i="1"/>
  <c r="AGF62" i="1"/>
  <c r="AGM62" i="1" s="1"/>
  <c r="ALK18" i="1"/>
  <c r="AEC78" i="1"/>
  <c r="NE18" i="1"/>
  <c r="AMB63" i="1"/>
  <c r="ALL17" i="1"/>
  <c r="ACR10" i="1"/>
  <c r="OZ13" i="1"/>
  <c r="RH62" i="1"/>
  <c r="ALT17" i="1"/>
  <c r="VY75" i="1"/>
  <c r="ALR57" i="1"/>
  <c r="PI75" i="1"/>
  <c r="AER57" i="1"/>
  <c r="PW75" i="1"/>
  <c r="RE75" i="1" s="1"/>
  <c r="OI20" i="1"/>
  <c r="WE77" i="1"/>
  <c r="AFC75" i="1"/>
  <c r="OU14" i="1"/>
  <c r="QT13" i="1"/>
  <c r="RA13" i="1" s="1"/>
  <c r="OY14" i="1"/>
  <c r="ADY17" i="1"/>
  <c r="ALM11" i="1"/>
  <c r="AEB58" i="1"/>
  <c r="AEZ75" i="1"/>
  <c r="PH60" i="1"/>
  <c r="AFA11" i="1"/>
  <c r="AEM11" i="1"/>
  <c r="ACO62" i="1"/>
  <c r="PT62" i="1"/>
  <c r="ADZ62" i="1"/>
  <c r="ADV18" i="1"/>
  <c r="XI14" i="1"/>
  <c r="AMP17" i="1"/>
  <c r="AFF75" i="1"/>
  <c r="ADS20" i="1"/>
  <c r="XA75" i="1"/>
  <c r="ADT14" i="1"/>
  <c r="OW11" i="1"/>
  <c r="PB72" i="1"/>
  <c r="XN72" i="1"/>
  <c r="YV72" i="1" s="1"/>
  <c r="AEC57" i="1"/>
  <c r="AGG10" i="1"/>
  <c r="AGN10" i="1" s="1"/>
  <c r="PG58" i="1"/>
  <c r="ACP17" i="1"/>
  <c r="PO20" i="1"/>
  <c r="AEN75" i="1"/>
  <c r="ND62" i="1"/>
  <c r="UY17" i="1"/>
  <c r="AMI18" i="1"/>
  <c r="WH75" i="1"/>
  <c r="PN18" i="1"/>
  <c r="AMV13" i="1"/>
  <c r="AMF10" i="1"/>
  <c r="XJ10" i="1"/>
  <c r="PT61" i="1"/>
  <c r="XJ72" i="1"/>
  <c r="XJ17" i="1"/>
  <c r="ADW20" i="1"/>
  <c r="WD57" i="1"/>
  <c r="AEM13" i="1"/>
  <c r="OJ14" i="1"/>
  <c r="ADV75" i="1"/>
  <c r="ANU57" i="1"/>
  <c r="AMM11" i="1"/>
  <c r="PJ62" i="1"/>
  <c r="XG57" i="1"/>
  <c r="PL18" i="1"/>
  <c r="AKG10" i="1"/>
  <c r="AMV18" i="1"/>
  <c r="UV18" i="1"/>
  <c r="ALK60" i="1"/>
  <c r="QV17" i="1"/>
  <c r="RC17" i="1" s="1"/>
  <c r="ADS57" i="1"/>
  <c r="PH57" i="1"/>
  <c r="ALI11" i="1"/>
  <c r="ADW78" i="1"/>
  <c r="WR57" i="1"/>
  <c r="AFF78" i="1"/>
  <c r="AED78" i="1"/>
  <c r="OH59" i="1"/>
  <c r="ADU14" i="1"/>
  <c r="OS62" i="1"/>
  <c r="OX77" i="1"/>
  <c r="WF72" i="1"/>
  <c r="ALK11" i="1"/>
  <c r="OS14" i="1"/>
  <c r="AME11" i="1"/>
  <c r="NE13" i="1"/>
  <c r="AKF17" i="1"/>
  <c r="AEU20" i="1"/>
  <c r="PG57" i="1"/>
  <c r="XN57" i="1"/>
  <c r="YV57" i="1" s="1"/>
  <c r="AKE13" i="1"/>
  <c r="WA57" i="1"/>
  <c r="AMA18" i="1"/>
  <c r="ALV77" i="1"/>
  <c r="ADY10" i="1"/>
  <c r="ANV63" i="1"/>
  <c r="AOC63" i="1" s="1"/>
  <c r="WS75" i="1"/>
  <c r="AEB20" i="1"/>
  <c r="XF10" i="1"/>
  <c r="NE20" i="1"/>
  <c r="OH75" i="1"/>
  <c r="AEN72" i="1"/>
  <c r="AMN13" i="1"/>
  <c r="AEX18" i="1"/>
  <c r="AMA77" i="1"/>
  <c r="WX75" i="1"/>
  <c r="AKI18" i="1"/>
  <c r="ND17" i="1"/>
  <c r="ALU72" i="1"/>
  <c r="QT10" i="1"/>
  <c r="RA10" i="1" s="1"/>
  <c r="YN58" i="1"/>
  <c r="YU58" i="1" s="1"/>
  <c r="AMD77" i="1"/>
  <c r="QU13" i="1"/>
  <c r="RB13" i="1" s="1"/>
  <c r="AKH58" i="1"/>
  <c r="AKH17" i="1"/>
  <c r="AGR57" i="1"/>
  <c r="ALS72" i="1"/>
  <c r="AKF63" i="1"/>
  <c r="WY57" i="1"/>
  <c r="AMC57" i="1"/>
  <c r="XI77" i="1"/>
  <c r="YM75" i="1"/>
  <c r="YT75" i="1" s="1"/>
  <c r="ACP72" i="1"/>
  <c r="XI58" i="1"/>
  <c r="AMW63" i="1"/>
  <c r="AEX60" i="1"/>
  <c r="AGG13" i="1"/>
  <c r="AGN13" i="1" s="1"/>
  <c r="XJ57" i="1"/>
  <c r="OK62" i="1"/>
  <c r="PS18" i="1"/>
  <c r="OL10" i="1"/>
  <c r="XM62" i="1"/>
  <c r="XG20" i="1"/>
  <c r="AEC60" i="1"/>
  <c r="AMM63" i="1"/>
  <c r="UY14" i="1"/>
  <c r="PU58" i="1"/>
  <c r="UW57" i="1"/>
  <c r="ADY57" i="1"/>
  <c r="WC57" i="1"/>
  <c r="OL58" i="1"/>
  <c r="XE17" i="1"/>
  <c r="OS75" i="1"/>
  <c r="RH10" i="1"/>
  <c r="WN10" i="1"/>
  <c r="PT13" i="1"/>
  <c r="PK10" i="1"/>
  <c r="AEI13" i="1"/>
  <c r="UW17" i="1"/>
  <c r="AMO17" i="1"/>
  <c r="ANV17" i="1"/>
  <c r="AOC17" i="1" s="1"/>
  <c r="ADV57" i="1"/>
  <c r="AMK60" i="1"/>
  <c r="AMV10" i="1"/>
  <c r="UW75" i="1"/>
  <c r="AEJ60" i="1"/>
  <c r="PK77" i="1"/>
  <c r="ALV60" i="1"/>
  <c r="WU14" i="1"/>
  <c r="AMF72" i="1"/>
  <c r="AEJ62" i="1"/>
  <c r="AMO72" i="1"/>
  <c r="PW57" i="1"/>
  <c r="RE57" i="1" s="1"/>
  <c r="AEC14" i="1"/>
  <c r="XM10" i="1"/>
  <c r="AMN63" i="1"/>
  <c r="ADX17" i="1"/>
  <c r="OQ75" i="1"/>
  <c r="RH11" i="1"/>
  <c r="WL62" i="1"/>
  <c r="PJ78" i="1"/>
  <c r="ANU63" i="1"/>
  <c r="AMQ60" i="1"/>
  <c r="OS18" i="1"/>
  <c r="ALR18" i="1"/>
  <c r="WF74" i="1"/>
  <c r="AKF19" i="1"/>
  <c r="PW16" i="1"/>
  <c r="RE16" i="1" s="1"/>
  <c r="ALO14" i="1"/>
  <c r="OY61" i="1"/>
  <c r="OM55" i="1"/>
  <c r="XI61" i="1"/>
  <c r="ADR56" i="1"/>
  <c r="ACQ21" i="1"/>
  <c r="AMP59" i="1"/>
  <c r="AGQ16" i="1"/>
  <c r="YN61" i="1"/>
  <c r="YU61" i="1" s="1"/>
  <c r="ADY61" i="1"/>
  <c r="NF16" i="1"/>
  <c r="WX58" i="1"/>
  <c r="ACP18" i="1"/>
  <c r="VY10" i="1"/>
  <c r="PO75" i="1"/>
  <c r="AGG58" i="1"/>
  <c r="AGN58" i="1" s="1"/>
  <c r="AEF13" i="1"/>
  <c r="WQ57" i="1"/>
  <c r="WM10" i="1"/>
  <c r="ADS58" i="1"/>
  <c r="ALY72" i="1"/>
  <c r="AEE14" i="1"/>
  <c r="PS62" i="1"/>
  <c r="AFB10" i="1"/>
  <c r="YM72" i="1"/>
  <c r="YT72" i="1" s="1"/>
  <c r="ACP14" i="1"/>
  <c r="WW18" i="1"/>
  <c r="AMC75" i="1"/>
  <c r="AEV10" i="1"/>
  <c r="AEQ10" i="1"/>
  <c r="PE60" i="1"/>
  <c r="QV57" i="1"/>
  <c r="RC57" i="1" s="1"/>
  <c r="AEB75" i="1"/>
  <c r="PN17" i="1"/>
  <c r="ACR57" i="1"/>
  <c r="WE57" i="1"/>
  <c r="AEQ14" i="1"/>
  <c r="ANX13" i="1"/>
  <c r="AOE13" i="1" s="1"/>
  <c r="AEW60" i="1"/>
  <c r="OX58" i="1"/>
  <c r="AET17" i="1"/>
  <c r="AMS10" i="1"/>
  <c r="PN59" i="1"/>
  <c r="OT11" i="1"/>
  <c r="OR17" i="1"/>
  <c r="OL11" i="1"/>
  <c r="AGE18" i="1"/>
  <c r="AGL18" i="1" s="1"/>
  <c r="UW62" i="1"/>
  <c r="AEE17" i="1"/>
  <c r="ALP17" i="1"/>
  <c r="OL59" i="1"/>
  <c r="XH20" i="1"/>
  <c r="WO75" i="1"/>
  <c r="PS20" i="1"/>
  <c r="ALJ72" i="1"/>
  <c r="AEP78" i="1"/>
  <c r="AET75" i="1"/>
  <c r="ON59" i="1"/>
  <c r="OP18" i="1"/>
  <c r="XK14" i="1"/>
  <c r="XG58" i="1"/>
  <c r="WU20" i="1"/>
  <c r="PJ72" i="1"/>
  <c r="AGD57" i="1"/>
  <c r="AGK57" i="1" s="1"/>
  <c r="ACR16" i="1"/>
  <c r="PG63" i="1"/>
  <c r="YK61" i="1"/>
  <c r="ACQ56" i="1"/>
  <c r="AMO55" i="1"/>
  <c r="XN61" i="1"/>
  <c r="YV61" i="1" s="1"/>
  <c r="AKG16" i="1"/>
  <c r="WY15" i="1"/>
  <c r="AMF55" i="1"/>
  <c r="ACP63" i="1"/>
  <c r="ADX61" i="1"/>
  <c r="WI11" i="1"/>
  <c r="YM59" i="1"/>
  <c r="YT59" i="1" s="1"/>
  <c r="QT21" i="1"/>
  <c r="RA21" i="1" s="1"/>
  <c r="AEU22" i="1"/>
  <c r="RG56" i="1"/>
  <c r="AEY17" i="1"/>
  <c r="WV72" i="1"/>
  <c r="XI10" i="1"/>
  <c r="ND75" i="1"/>
  <c r="AEH78" i="1"/>
  <c r="OO77" i="1"/>
  <c r="OL72" i="1"/>
  <c r="AEH57" i="1"/>
  <c r="XF20" i="1"/>
  <c r="AEW18" i="1"/>
  <c r="AMK11" i="1"/>
  <c r="PW62" i="1"/>
  <c r="RE62" i="1" s="1"/>
  <c r="OH57" i="1"/>
  <c r="AMX10" i="1"/>
  <c r="AOF10" i="1" s="1"/>
  <c r="OH60" i="1"/>
  <c r="AEN13" i="1"/>
  <c r="AEY72" i="1"/>
  <c r="AEB78" i="1"/>
  <c r="XG10" i="1"/>
  <c r="AMV75" i="1"/>
  <c r="XF14" i="1"/>
  <c r="OW77" i="1"/>
  <c r="PR58" i="1"/>
  <c r="OX14" i="1"/>
  <c r="ALZ58" i="1"/>
  <c r="WE75" i="1"/>
  <c r="PG60" i="1"/>
  <c r="ALO18" i="1"/>
  <c r="AMQ17" i="1"/>
  <c r="QU57" i="1"/>
  <c r="RB57" i="1" s="1"/>
  <c r="PB13" i="1"/>
  <c r="AEK17" i="1"/>
  <c r="PF57" i="1"/>
  <c r="ALJ63" i="1"/>
  <c r="OP14" i="1"/>
  <c r="ALX77" i="1"/>
  <c r="ALQ58" i="1"/>
  <c r="AKE57" i="1"/>
  <c r="AEO11" i="1"/>
  <c r="AES20" i="1"/>
  <c r="OH58" i="1"/>
  <c r="OI77" i="1"/>
  <c r="AGG14" i="1"/>
  <c r="AGN14" i="1" s="1"/>
  <c r="AFD57" i="1"/>
  <c r="AEW10" i="1"/>
  <c r="PC18" i="1"/>
  <c r="QT20" i="1"/>
  <c r="RA20" i="1" s="1"/>
  <c r="AEV11" i="1"/>
  <c r="AGF18" i="1"/>
  <c r="AGM18" i="1" s="1"/>
  <c r="PH77" i="1"/>
  <c r="WU58" i="1"/>
  <c r="AEP60" i="1"/>
  <c r="ON72" i="1"/>
  <c r="AMG60" i="1"/>
  <c r="AMG22" i="1"/>
  <c r="QU15" i="1"/>
  <c r="RB15" i="1" s="1"/>
  <c r="WN59" i="1"/>
  <c r="NE55" i="1"/>
  <c r="WY13" i="1"/>
  <c r="XH60" i="1"/>
  <c r="OQ61" i="1"/>
  <c r="WI55" i="1"/>
  <c r="ACO16" i="1"/>
  <c r="UU59" i="1"/>
  <c r="OP56" i="1"/>
  <c r="AMG59" i="1"/>
  <c r="ANV16" i="1"/>
  <c r="AOC16" i="1" s="1"/>
  <c r="AKI22" i="1"/>
  <c r="PT63" i="1"/>
  <c r="WD12" i="1"/>
  <c r="AEM20" i="1"/>
  <c r="ANX60" i="1"/>
  <c r="AOE60" i="1" s="1"/>
  <c r="PM18" i="1"/>
  <c r="AEF57" i="1"/>
  <c r="XG62" i="1"/>
  <c r="ALN77" i="1"/>
  <c r="ADT60" i="1"/>
  <c r="AMM77" i="1"/>
  <c r="ADT13" i="1"/>
  <c r="ACN57" i="1"/>
  <c r="AES78" i="1"/>
  <c r="UU20" i="1"/>
  <c r="ADU13" i="1"/>
  <c r="QU77" i="1"/>
  <c r="RB77" i="1" s="1"/>
  <c r="XD20" i="1"/>
  <c r="PS58" i="1"/>
  <c r="AMH75" i="1"/>
  <c r="AMC60" i="1"/>
  <c r="RG58" i="1"/>
  <c r="ACP13" i="1"/>
  <c r="AKG11" i="1"/>
  <c r="WQ77" i="1"/>
  <c r="AEP18" i="1"/>
  <c r="AEO17" i="1"/>
  <c r="PT18" i="1"/>
  <c r="OJ10" i="1"/>
  <c r="AEN60" i="1"/>
  <c r="AMG72" i="1"/>
  <c r="QV20" i="1"/>
  <c r="RC20" i="1" s="1"/>
  <c r="AEO13" i="1"/>
  <c r="AED20" i="1"/>
  <c r="AES75" i="1"/>
  <c r="PV14" i="1"/>
  <c r="OT17" i="1"/>
  <c r="AET20" i="1"/>
  <c r="AFE17" i="1"/>
  <c r="PK20" i="1"/>
  <c r="AEJ58" i="1"/>
  <c r="ALO17" i="1"/>
  <c r="XC62" i="1"/>
  <c r="ADZ57" i="1"/>
  <c r="AEV14" i="1"/>
  <c r="AGE78" i="1"/>
  <c r="AGL78" i="1" s="1"/>
  <c r="XE58" i="1"/>
  <c r="PQ58" i="1"/>
  <c r="ALN75" i="1"/>
  <c r="PF14" i="1"/>
  <c r="AFF60" i="1"/>
  <c r="OX13" i="1"/>
  <c r="PE59" i="1"/>
  <c r="AEA18" i="1"/>
  <c r="AFG60" i="1"/>
  <c r="AGO60" i="1" s="1"/>
  <c r="AEL75" i="1"/>
  <c r="PO62" i="1"/>
  <c r="QT75" i="1"/>
  <c r="RA75" i="1" s="1"/>
  <c r="VY77" i="1"/>
  <c r="AHK75" i="1"/>
  <c r="OI13" i="1"/>
  <c r="WX62" i="1"/>
  <c r="AMR58" i="1"/>
  <c r="ALU18" i="1"/>
  <c r="AGE58" i="1"/>
  <c r="AGL58" i="1" s="1"/>
  <c r="ADX60" i="1"/>
  <c r="AMK63" i="1"/>
  <c r="UY62" i="1"/>
  <c r="PU11" i="1"/>
  <c r="WM20" i="1"/>
  <c r="YK75" i="1"/>
  <c r="AER14" i="1"/>
  <c r="AMC58" i="1"/>
  <c r="PG59" i="1"/>
  <c r="PN58" i="1"/>
  <c r="OZ57" i="1"/>
  <c r="AMF17" i="1"/>
  <c r="ADY20" i="1"/>
  <c r="PM77" i="1"/>
  <c r="AEY18" i="1"/>
  <c r="AEL60" i="1"/>
  <c r="ALX11" i="1"/>
  <c r="WQ20" i="1"/>
  <c r="ND77" i="1"/>
  <c r="ADX10" i="1"/>
  <c r="ALV17" i="1"/>
  <c r="WR72" i="1"/>
  <c r="WF58" i="1"/>
  <c r="AMB72" i="1"/>
  <c r="AEF60" i="1"/>
  <c r="ALJ11" i="1"/>
  <c r="AEZ62" i="1"/>
  <c r="ALU60" i="1"/>
  <c r="AEG10" i="1"/>
  <c r="YK57" i="1"/>
  <c r="AMH18" i="1"/>
  <c r="AMD58" i="1"/>
  <c r="VY20" i="1"/>
  <c r="AGQ18" i="1"/>
  <c r="AMN77" i="1"/>
  <c r="WD17" i="1"/>
  <c r="OX62" i="1"/>
  <c r="ALM17" i="1"/>
  <c r="AFG57" i="1"/>
  <c r="AGO57" i="1" s="1"/>
  <c r="AEF20" i="1"/>
  <c r="AMG75" i="1"/>
  <c r="AMO77" i="1"/>
  <c r="ADU58" i="1"/>
  <c r="AMV77" i="1"/>
  <c r="AKG77" i="1"/>
  <c r="ADV10" i="1"/>
  <c r="XB58" i="1"/>
  <c r="ACQ20" i="1"/>
  <c r="ACP20" i="1"/>
  <c r="QW57" i="1"/>
  <c r="RD57" i="1" s="1"/>
  <c r="WJ77" i="1"/>
  <c r="XH62" i="1"/>
  <c r="AER72" i="1"/>
  <c r="AEC72" i="1"/>
  <c r="PU14" i="1"/>
  <c r="AGE75" i="1"/>
  <c r="AGL75" i="1" s="1"/>
  <c r="AFB78" i="1"/>
  <c r="WH20" i="1"/>
  <c r="ADW18" i="1"/>
  <c r="WJ20" i="1"/>
  <c r="PB11" i="1"/>
  <c r="ADW11" i="1"/>
  <c r="NF13" i="1"/>
  <c r="PQ18" i="1"/>
  <c r="RH59" i="1"/>
  <c r="ACO20" i="1"/>
  <c r="ADR17" i="1"/>
  <c r="YL58" i="1"/>
  <c r="YS58" i="1" s="1"/>
  <c r="UY57" i="1"/>
  <c r="RG72" i="1"/>
  <c r="ACR78" i="1"/>
  <c r="OZ72" i="1"/>
  <c r="RG75" i="1"/>
  <c r="AGQ17" i="1"/>
  <c r="WE62" i="1"/>
  <c r="AKF75" i="1"/>
  <c r="WV77" i="1"/>
  <c r="WG18" i="1"/>
  <c r="AMP72" i="1"/>
  <c r="OW18" i="1"/>
  <c r="XM20" i="1"/>
  <c r="WO18" i="1"/>
  <c r="OK60" i="1"/>
  <c r="ALV63" i="1"/>
  <c r="AFD72" i="1"/>
  <c r="AEZ58" i="1"/>
  <c r="AMB11" i="1"/>
  <c r="ALL13" i="1"/>
  <c r="AEI57" i="1"/>
  <c r="AMP18" i="1"/>
  <c r="AFD20" i="1"/>
  <c r="AMA60" i="1"/>
  <c r="ACO60" i="1"/>
  <c r="QT59" i="1"/>
  <c r="RA59" i="1" s="1"/>
  <c r="NE77" i="1"/>
  <c r="ALW72" i="1"/>
  <c r="ADV78" i="1"/>
  <c r="PB57" i="1"/>
  <c r="AHK57" i="1"/>
  <c r="AHL57" i="1" s="1"/>
  <c r="AKE17" i="1"/>
  <c r="AEV17" i="1"/>
  <c r="ADR62" i="1"/>
  <c r="AMF77" i="1"/>
  <c r="AMD63" i="1"/>
  <c r="OU60" i="1"/>
  <c r="AER78" i="1"/>
  <c r="VY14" i="1"/>
  <c r="AMG58" i="1"/>
  <c r="ALJ17" i="1"/>
  <c r="PL59" i="1"/>
  <c r="XL20" i="1"/>
  <c r="PB59" i="1"/>
  <c r="XF75" i="1"/>
  <c r="ADS18" i="1"/>
  <c r="AKE18" i="1"/>
  <c r="YL72" i="1"/>
  <c r="YS72" i="1" s="1"/>
  <c r="AEV60" i="1"/>
  <c r="NH14" i="1"/>
  <c r="AKF13" i="1"/>
  <c r="AGQ10" i="1"/>
  <c r="ACR60" i="1"/>
  <c r="XE57" i="1"/>
  <c r="ACP60" i="1"/>
  <c r="ADZ75" i="1"/>
  <c r="PK62" i="1"/>
  <c r="PN62" i="1"/>
  <c r="OO72" i="1"/>
  <c r="OI10" i="1"/>
  <c r="ANW17" i="1"/>
  <c r="AOD17" i="1" s="1"/>
  <c r="UX75" i="1"/>
  <c r="WH14" i="1"/>
  <c r="OV60" i="1"/>
  <c r="VZ10" i="1"/>
  <c r="PM11" i="1"/>
  <c r="WZ17" i="1"/>
  <c r="ALR58" i="1"/>
  <c r="QU59" i="1"/>
  <c r="RB59" i="1" s="1"/>
  <c r="ALZ77" i="1"/>
  <c r="WQ10" i="1"/>
  <c r="OX18" i="1"/>
  <c r="SA14" i="1"/>
  <c r="SB14" i="1" s="1"/>
  <c r="PI59" i="1"/>
  <c r="AFG14" i="1"/>
  <c r="AGO14" i="1" s="1"/>
  <c r="AMR13" i="1"/>
  <c r="AEI14" i="1"/>
  <c r="ADV20" i="1"/>
  <c r="WA10" i="1"/>
  <c r="ADR72" i="1"/>
  <c r="QV60" i="1"/>
  <c r="RC60" i="1" s="1"/>
  <c r="OJ62" i="1"/>
  <c r="AGG62" i="1"/>
  <c r="AGN62" i="1" s="1"/>
  <c r="ALZ18" i="1"/>
  <c r="AEZ60" i="1"/>
  <c r="ACQ62" i="1"/>
  <c r="ALU55" i="1"/>
  <c r="WD18" i="1"/>
  <c r="WX14" i="1"/>
  <c r="WC77" i="1"/>
  <c r="ALR75" i="1"/>
  <c r="OJ58" i="1"/>
  <c r="ANX77" i="1"/>
  <c r="AOE77" i="1" s="1"/>
  <c r="PS17" i="1"/>
  <c r="AMQ72" i="1"/>
  <c r="ALQ18" i="1"/>
  <c r="PK59" i="1"/>
  <c r="AMM75" i="1"/>
  <c r="WS62" i="1"/>
  <c r="WT62" i="1"/>
  <c r="OW62" i="1"/>
  <c r="PM75" i="1"/>
  <c r="AMG77" i="1"/>
  <c r="AEA17" i="1"/>
  <c r="OJ17" i="1"/>
  <c r="NH75" i="1"/>
  <c r="OU72" i="1"/>
  <c r="OJ57" i="1"/>
  <c r="OT18" i="1"/>
  <c r="AGF20" i="1"/>
  <c r="AGM20" i="1" s="1"/>
  <c r="OY57" i="1"/>
  <c r="WL57" i="1"/>
  <c r="YK18" i="1"/>
  <c r="PC17" i="1"/>
  <c r="NH72" i="1"/>
  <c r="ADW57" i="1"/>
  <c r="PJ11" i="1"/>
  <c r="AMH72" i="1"/>
  <c r="ALR10" i="1"/>
  <c r="NF59" i="1"/>
  <c r="YM10" i="1"/>
  <c r="YT10" i="1" s="1"/>
  <c r="OS77" i="1"/>
  <c r="WM72" i="1"/>
  <c r="AFA18" i="1"/>
  <c r="PW60" i="1"/>
  <c r="RE60" i="1" s="1"/>
  <c r="UW72" i="1"/>
  <c r="AMA58" i="1"/>
  <c r="AEI78" i="1"/>
  <c r="PM59" i="1"/>
  <c r="PG72" i="1"/>
  <c r="NF11" i="1"/>
  <c r="OQ11" i="1"/>
  <c r="AEY57" i="1"/>
  <c r="OO20" i="1"/>
  <c r="PB71" i="1"/>
  <c r="UU23" i="1"/>
  <c r="ALQ17" i="1"/>
  <c r="ANV77" i="1"/>
  <c r="AOC77" i="1" s="1"/>
  <c r="XD62" i="1"/>
  <c r="VY76" i="1"/>
  <c r="AMF18" i="1"/>
  <c r="AMI60" i="1"/>
  <c r="PI17" i="1"/>
  <c r="AMK72" i="1"/>
  <c r="WR58" i="1"/>
  <c r="ACO78" i="1"/>
  <c r="PE77" i="1"/>
  <c r="ALR77" i="1"/>
  <c r="ADR11" i="1"/>
  <c r="ANV11" i="1"/>
  <c r="AOC11" i="1" s="1"/>
  <c r="AEB14" i="1"/>
  <c r="AEA10" i="1"/>
  <c r="XK57" i="1"/>
  <c r="PS77" i="1"/>
  <c r="OM60" i="1"/>
  <c r="OZ60" i="1"/>
  <c r="WD58" i="1"/>
  <c r="ADV17" i="1"/>
  <c r="AMW18" i="1"/>
  <c r="AGF58" i="1"/>
  <c r="AGM58" i="1" s="1"/>
  <c r="AFE60" i="1"/>
  <c r="ACR72" i="1"/>
  <c r="AKH72" i="1"/>
  <c r="AFF20" i="1"/>
  <c r="NE57" i="1"/>
  <c r="AEF17" i="1"/>
  <c r="ADV62" i="1"/>
  <c r="AET14" i="1"/>
  <c r="ADZ60" i="1"/>
  <c r="PE10" i="1"/>
  <c r="YN72" i="1"/>
  <c r="YU72" i="1" s="1"/>
  <c r="AES72" i="1"/>
  <c r="AFA17" i="1"/>
  <c r="OR72" i="1"/>
  <c r="UW20" i="1"/>
  <c r="ALS75" i="1"/>
  <c r="AME13" i="1"/>
  <c r="NG20" i="1"/>
  <c r="SA10" i="1"/>
  <c r="SB10" i="1" s="1"/>
  <c r="AMP57" i="1"/>
  <c r="ADS11" i="1"/>
  <c r="PS13" i="1"/>
  <c r="NE75" i="1"/>
  <c r="XM57" i="1"/>
  <c r="AMG56" i="1"/>
  <c r="XE59" i="1"/>
  <c r="AMQ16" i="1"/>
  <c r="UY13" i="1"/>
  <c r="AEA21" i="1"/>
  <c r="PP22" i="1"/>
  <c r="XF55" i="1"/>
  <c r="NG21" i="1"/>
  <c r="AEP12" i="1"/>
  <c r="AMF15" i="1"/>
  <c r="WM56" i="1"/>
  <c r="WB22" i="1"/>
  <c r="AMR22" i="1"/>
  <c r="XK75" i="1"/>
  <c r="XA77" i="1"/>
  <c r="AEY14" i="1"/>
  <c r="OR62" i="1"/>
  <c r="PR72" i="1"/>
  <c r="WK62" i="1"/>
  <c r="ALX63" i="1"/>
  <c r="PH58" i="1"/>
  <c r="ANW13" i="1"/>
  <c r="AOD13" i="1" s="1"/>
  <c r="AEA13" i="1"/>
  <c r="AEQ13" i="1"/>
  <c r="UV10" i="1"/>
  <c r="PH20" i="1"/>
  <c r="AGE57" i="1"/>
  <c r="AGL57" i="1" s="1"/>
  <c r="AMP11" i="1"/>
  <c r="WN18" i="1"/>
  <c r="PB10" i="1"/>
  <c r="PI10" i="1"/>
  <c r="AFA13" i="1"/>
  <c r="ALP77" i="1"/>
  <c r="AGD10" i="1"/>
  <c r="AGK10" i="1" s="1"/>
  <c r="AFF58" i="1"/>
  <c r="WT77" i="1"/>
  <c r="XB14" i="1"/>
  <c r="XA17" i="1"/>
  <c r="OV18" i="1"/>
  <c r="WX72" i="1"/>
  <c r="AEO58" i="1"/>
  <c r="PK72" i="1"/>
  <c r="ND20" i="1"/>
  <c r="WU17" i="1"/>
  <c r="AKF60" i="1"/>
  <c r="AGQ72" i="1"/>
  <c r="ADS75" i="1"/>
  <c r="VY17" i="1"/>
  <c r="PE18" i="1"/>
  <c r="ADS62" i="1"/>
  <c r="XK58" i="1"/>
  <c r="XD14" i="1"/>
  <c r="ALM63" i="1"/>
  <c r="OP17" i="1"/>
  <c r="OR57" i="1"/>
  <c r="ADU18" i="1"/>
  <c r="AET13" i="1"/>
  <c r="OR59" i="1"/>
  <c r="PP11" i="1"/>
  <c r="ALS13" i="1"/>
  <c r="PJ75" i="1"/>
  <c r="NF20" i="1"/>
  <c r="PA20" i="1"/>
  <c r="AMA63" i="1"/>
  <c r="PA62" i="1"/>
  <c r="WX77" i="1"/>
  <c r="AMA72" i="1"/>
  <c r="ANV19" i="1"/>
  <c r="AOC19" i="1" s="1"/>
  <c r="WL21" i="1"/>
  <c r="XA22" i="1"/>
  <c r="AEW16" i="1"/>
  <c r="AMB21" i="1"/>
  <c r="WR55" i="1"/>
  <c r="WL63" i="1"/>
  <c r="ALK19" i="1"/>
  <c r="WH60" i="1"/>
  <c r="AFA19" i="1"/>
  <c r="ALO61" i="1"/>
  <c r="OW56" i="1"/>
  <c r="PN61" i="1"/>
  <c r="WV59" i="1"/>
  <c r="AEB61" i="1"/>
  <c r="ALN21" i="1"/>
  <c r="AEL62" i="1"/>
  <c r="ACN20" i="1"/>
  <c r="ANV72" i="1"/>
  <c r="AOC72" i="1" s="1"/>
  <c r="NG57" i="1"/>
  <c r="ALV11" i="1"/>
  <c r="AMB10" i="1"/>
  <c r="PR11" i="1"/>
  <c r="WP58" i="1"/>
  <c r="XC18" i="1"/>
  <c r="NG60" i="1"/>
  <c r="QT60" i="1"/>
  <c r="RA60" i="1" s="1"/>
  <c r="AMB58" i="1"/>
  <c r="XF77" i="1"/>
  <c r="AEG20" i="1"/>
  <c r="SA60" i="1"/>
  <c r="SB60" i="1" s="1"/>
  <c r="ANU18" i="1"/>
  <c r="UW58" i="1"/>
  <c r="OW58" i="1"/>
  <c r="XE14" i="1"/>
  <c r="WB20" i="1"/>
  <c r="AEQ58" i="1"/>
  <c r="WC72" i="1"/>
  <c r="XC14" i="1"/>
  <c r="WM77" i="1"/>
  <c r="ALP72" i="1"/>
  <c r="ALI58" i="1"/>
  <c r="AEI11" i="1"/>
  <c r="PG14" i="1"/>
  <c r="AMF58" i="1"/>
  <c r="AMK77" i="1"/>
  <c r="PP14" i="1"/>
  <c r="PH10" i="1"/>
  <c r="PC57" i="1"/>
  <c r="PQ17" i="1"/>
  <c r="XK10" i="1"/>
  <c r="PV10" i="1"/>
  <c r="AEI20" i="1"/>
  <c r="AMD72" i="1"/>
  <c r="AMX17" i="1"/>
  <c r="AOF17" i="1" s="1"/>
  <c r="ANU11" i="1"/>
  <c r="OX72" i="1"/>
  <c r="ALL75" i="1"/>
  <c r="AFD13" i="1"/>
  <c r="ADR61" i="1"/>
  <c r="ADR13" i="1"/>
  <c r="AMT60" i="1"/>
  <c r="WN14" i="1"/>
  <c r="WC20" i="1"/>
  <c r="PW18" i="1"/>
  <c r="RE18" i="1" s="1"/>
  <c r="WB72" i="1"/>
  <c r="ALS58" i="1"/>
  <c r="YK62" i="1"/>
  <c r="AMD60" i="1"/>
  <c r="OM62" i="1"/>
  <c r="ALT56" i="1"/>
  <c r="AEW59" i="1"/>
  <c r="WV11" i="1"/>
  <c r="ALY22" i="1"/>
  <c r="SA15" i="1"/>
  <c r="SB15" i="1" s="1"/>
  <c r="UU11" i="1"/>
  <c r="XG22" i="1"/>
  <c r="AGD22" i="1"/>
  <c r="AGK22" i="1" s="1"/>
  <c r="RH15" i="1"/>
  <c r="RJ15" i="1" s="1"/>
  <c r="RH61" i="1"/>
  <c r="AMX12" i="1"/>
  <c r="AOF12" i="1" s="1"/>
  <c r="AEI21" i="1"/>
  <c r="YN63" i="1"/>
  <c r="YU63" i="1" s="1"/>
  <c r="AMN19" i="1"/>
  <c r="UV21" i="1"/>
  <c r="AEF12" i="1"/>
  <c r="PC58" i="1"/>
  <c r="OI72" i="1"/>
  <c r="AMH58" i="1"/>
  <c r="ALY18" i="1"/>
  <c r="OW57" i="1"/>
  <c r="AEL17" i="1"/>
  <c r="OO11" i="1"/>
  <c r="PD14" i="1"/>
  <c r="WG57" i="1"/>
  <c r="WM17" i="1"/>
  <c r="OX75" i="1"/>
  <c r="RH77" i="1"/>
  <c r="RJ77" i="1" s="1"/>
  <c r="WQ72" i="1"/>
  <c r="QT14" i="1"/>
  <c r="RA14" i="1" s="1"/>
  <c r="AGE60" i="1"/>
  <c r="AGL60" i="1" s="1"/>
  <c r="ND58" i="1"/>
  <c r="QW13" i="1"/>
  <c r="RD13" i="1" s="1"/>
  <c r="NF58" i="1"/>
  <c r="PT58" i="1"/>
  <c r="AMH63" i="1"/>
  <c r="PJ59" i="1"/>
  <c r="AMD10" i="1"/>
  <c r="PF62" i="1"/>
  <c r="ALX17" i="1"/>
  <c r="ON62" i="1"/>
  <c r="AEP14" i="1"/>
  <c r="AFD75" i="1"/>
  <c r="AEJ57" i="1"/>
  <c r="AKF11" i="1"/>
  <c r="PO72" i="1"/>
  <c r="AGG20" i="1"/>
  <c r="AGN20" i="1" s="1"/>
  <c r="ALT11" i="1"/>
  <c r="AET18" i="1"/>
  <c r="AEW20" i="1"/>
  <c r="PA57" i="1"/>
  <c r="AMT75" i="1"/>
  <c r="AEU10" i="1"/>
  <c r="AMC77" i="1"/>
  <c r="XG14" i="1"/>
  <c r="ADU17" i="1"/>
  <c r="PI20" i="1"/>
  <c r="WP77" i="1"/>
  <c r="AGR13" i="1"/>
  <c r="ALN63" i="1"/>
  <c r="AFC62" i="1"/>
  <c r="ADY75" i="1"/>
  <c r="ADY78" i="1"/>
  <c r="AEA20" i="1"/>
  <c r="ALX75" i="1"/>
  <c r="NG59" i="1"/>
  <c r="AER18" i="1"/>
  <c r="PO11" i="1"/>
  <c r="OM58" i="1"/>
  <c r="AMF75" i="1"/>
  <c r="AMN18" i="1"/>
  <c r="AEM10" i="1"/>
  <c r="YM62" i="1"/>
  <c r="YT62" i="1" s="1"/>
  <c r="AEC18" i="1"/>
  <c r="PP72" i="1"/>
  <c r="OM13" i="1"/>
  <c r="AEK75" i="1"/>
  <c r="ALM72" i="1"/>
  <c r="WC75" i="1"/>
  <c r="WO62" i="1"/>
  <c r="WY72" i="1"/>
  <c r="ANV58" i="1"/>
  <c r="AOC58" i="1" s="1"/>
  <c r="OT20" i="1"/>
  <c r="AMF11" i="1"/>
  <c r="AGF13" i="1"/>
  <c r="AGM13" i="1" s="1"/>
  <c r="AFD14" i="1"/>
  <c r="AMB57" i="1"/>
  <c r="AKE77" i="1"/>
  <c r="NF77" i="1"/>
  <c r="ADS17" i="1"/>
  <c r="AEE72" i="1"/>
  <c r="WD20" i="1"/>
  <c r="WZ62" i="1"/>
  <c r="AKE75" i="1"/>
  <c r="AMA17" i="1"/>
  <c r="WT20" i="1"/>
  <c r="WL72" i="1"/>
  <c r="ADY72" i="1"/>
  <c r="AMS75" i="1"/>
  <c r="WT17" i="1"/>
  <c r="ACR75" i="1"/>
  <c r="WS57" i="1"/>
  <c r="ALT60" i="1"/>
  <c r="ALP13" i="1"/>
  <c r="AMU17" i="1"/>
  <c r="AGQ58" i="1"/>
  <c r="ALY17" i="1"/>
  <c r="ACO57" i="1"/>
  <c r="WT14" i="1"/>
  <c r="VY62" i="1"/>
  <c r="ALT77" i="1"/>
  <c r="AEY60" i="1"/>
  <c r="AEZ57" i="1"/>
  <c r="ADT58" i="1"/>
  <c r="SA62" i="1"/>
  <c r="SB62" i="1" s="1"/>
  <c r="ANW63" i="1"/>
  <c r="AOD63" i="1" s="1"/>
  <c r="AEC13" i="1"/>
  <c r="AFG72" i="1"/>
  <c r="AGO72" i="1" s="1"/>
  <c r="ALW10" i="1"/>
  <c r="AEX57" i="1"/>
  <c r="RG14" i="1"/>
  <c r="AKH18" i="1"/>
  <c r="AMH60" i="1"/>
  <c r="ADU10" i="1"/>
  <c r="AEU57" i="1"/>
  <c r="AEX10" i="1"/>
  <c r="AFD60" i="1"/>
  <c r="XD57" i="1"/>
  <c r="PO13" i="1"/>
  <c r="AEJ20" i="1"/>
  <c r="AMR18" i="1"/>
  <c r="OU11" i="1"/>
  <c r="AMR63" i="1"/>
  <c r="AMI58" i="1"/>
  <c r="AMG17" i="1"/>
  <c r="YK20" i="1"/>
  <c r="WK58" i="1"/>
  <c r="AMH17" i="1"/>
  <c r="WY10" i="1"/>
  <c r="AMU58" i="1"/>
  <c r="PO59" i="1"/>
  <c r="YL18" i="1"/>
  <c r="YS18" i="1" s="1"/>
  <c r="RH17" i="1"/>
  <c r="AMG57" i="1"/>
  <c r="AMS57" i="1"/>
  <c r="AEH20" i="1"/>
  <c r="AEM18" i="1"/>
  <c r="AML57" i="1"/>
  <c r="AEP10" i="1"/>
  <c r="ADY13" i="1"/>
  <c r="XF58" i="1"/>
  <c r="OZ17" i="1"/>
  <c r="XJ18" i="1"/>
  <c r="AMP60" i="1"/>
  <c r="AEF78" i="1"/>
  <c r="XD18" i="1"/>
  <c r="WI72" i="1"/>
  <c r="AHK78" i="1"/>
  <c r="AMI13" i="1"/>
  <c r="ALW57" i="1"/>
  <c r="ADU11" i="1"/>
  <c r="WA62" i="1"/>
  <c r="AFC17" i="1"/>
  <c r="AMP63" i="1"/>
  <c r="AED62" i="1"/>
  <c r="AEU58" i="1"/>
  <c r="ALQ57" i="1"/>
  <c r="WA18" i="1"/>
  <c r="AGG75" i="1"/>
  <c r="AGN75" i="1" s="1"/>
  <c r="PL62" i="1"/>
  <c r="ALQ75" i="1"/>
  <c r="PV60" i="1"/>
  <c r="ANU75" i="1"/>
  <c r="XE72" i="1"/>
  <c r="AML11" i="1"/>
  <c r="OX10" i="1"/>
  <c r="WD62" i="1"/>
  <c r="AFG17" i="1"/>
  <c r="AGO17" i="1" s="1"/>
  <c r="ALZ60" i="1"/>
  <c r="AEX17" i="1"/>
  <c r="ADX57" i="1"/>
  <c r="XM75" i="1"/>
  <c r="AEU14" i="1"/>
  <c r="XE18" i="1"/>
  <c r="ACO14" i="1"/>
  <c r="ACQ14" i="1"/>
  <c r="WS10" i="1"/>
  <c r="AEQ72" i="1"/>
  <c r="ALQ13" i="1"/>
  <c r="UX18" i="1"/>
  <c r="AME57" i="1"/>
  <c r="ADX13" i="1"/>
  <c r="PV58" i="1"/>
  <c r="PQ20" i="1"/>
  <c r="ALW13" i="1"/>
  <c r="WV62" i="1"/>
  <c r="UX17" i="1"/>
  <c r="PF72" i="1"/>
  <c r="ALO75" i="1"/>
  <c r="OO60" i="1"/>
  <c r="NF72" i="1"/>
  <c r="ADS13" i="1"/>
  <c r="AMX75" i="1"/>
  <c r="AOF75" i="1" s="1"/>
  <c r="AES57" i="1"/>
  <c r="AKG17" i="1"/>
  <c r="QV18" i="1"/>
  <c r="RC18" i="1" s="1"/>
  <c r="ANW77" i="1"/>
  <c r="AOD77" i="1" s="1"/>
  <c r="AEQ20" i="1"/>
  <c r="ACN17" i="1"/>
  <c r="OK13" i="1"/>
  <c r="AMI75" i="1"/>
  <c r="PG62" i="1"/>
  <c r="WN71" i="1"/>
  <c r="ALM58" i="1"/>
  <c r="AFA58" i="1"/>
  <c r="AFC20" i="1"/>
  <c r="WE10" i="1"/>
  <c r="AEY10" i="1"/>
  <c r="XA72" i="1"/>
  <c r="ALN57" i="1"/>
  <c r="AFE11" i="1"/>
  <c r="OT10" i="1"/>
  <c r="AMR77" i="1"/>
  <c r="AGD72" i="1"/>
  <c r="AGK72" i="1" s="1"/>
  <c r="PR10" i="1"/>
  <c r="AMM60" i="1"/>
  <c r="AEA57" i="1"/>
  <c r="AER62" i="1"/>
  <c r="OP58" i="1"/>
  <c r="ALI60" i="1"/>
  <c r="ADS60" i="1"/>
  <c r="AEK14" i="1"/>
  <c r="OQ62" i="1"/>
  <c r="AEJ13" i="1"/>
  <c r="AFC13" i="1"/>
  <c r="ON18" i="1"/>
  <c r="OJ59" i="1"/>
  <c r="PQ62" i="1"/>
  <c r="XB10" i="1"/>
  <c r="AMC17" i="1"/>
  <c r="WQ75" i="1"/>
  <c r="PW77" i="1"/>
  <c r="RE77" i="1" s="1"/>
  <c r="XK72" i="1"/>
  <c r="ANU77" i="1"/>
  <c r="PP57" i="1"/>
  <c r="AFE18" i="1"/>
  <c r="XI17" i="1"/>
  <c r="AER75" i="1"/>
  <c r="AMG13" i="1"/>
  <c r="RH57" i="1"/>
  <c r="RJ57" i="1" s="1"/>
  <c r="AEN17" i="1"/>
  <c r="WX20" i="1"/>
  <c r="AEC17" i="1"/>
  <c r="OP57" i="1"/>
  <c r="AEK10" i="1"/>
  <c r="AEG60" i="1"/>
  <c r="AEV75" i="1"/>
  <c r="OI58" i="1"/>
  <c r="VZ57" i="1"/>
  <c r="YL57" i="1"/>
  <c r="YS57" i="1" s="1"/>
  <c r="SA58" i="1"/>
  <c r="SB58" i="1" s="1"/>
  <c r="PP17" i="1"/>
  <c r="AMT58" i="1"/>
  <c r="ALZ75" i="1"/>
  <c r="OT62" i="1"/>
  <c r="PO14" i="1"/>
  <c r="OR10" i="1"/>
  <c r="OK59" i="1"/>
  <c r="WJ75" i="1"/>
  <c r="AEB18" i="1"/>
  <c r="WW75" i="1"/>
  <c r="ADZ20" i="1"/>
  <c r="WJ10" i="1"/>
  <c r="AGR14" i="1"/>
  <c r="AGT14" i="1" s="1"/>
  <c r="ACO72" i="1"/>
  <c r="ALJ57" i="1"/>
  <c r="PE17" i="1"/>
  <c r="NG18" i="1"/>
  <c r="OJ20" i="1"/>
  <c r="VZ18" i="1"/>
  <c r="AGQ62" i="1"/>
  <c r="ADT77" i="1"/>
  <c r="YL77" i="1"/>
  <c r="YS77" i="1" s="1"/>
  <c r="ACP23" i="1"/>
  <c r="AEG71" i="1"/>
  <c r="OS78" i="1"/>
  <c r="ACR71" i="1"/>
  <c r="WJ58" i="1"/>
  <c r="ADZ10" i="1"/>
  <c r="ALT58" i="1"/>
  <c r="OT78" i="1"/>
  <c r="PL76" i="1"/>
  <c r="AEI71" i="1"/>
  <c r="PV77" i="1"/>
  <c r="XA10" i="1"/>
  <c r="AEO10" i="1"/>
  <c r="AEN14" i="1"/>
  <c r="YM14" i="1"/>
  <c r="YT14" i="1" s="1"/>
  <c r="ND10" i="1"/>
  <c r="NG23" i="1"/>
  <c r="PQ60" i="1"/>
  <c r="AFA20" i="1"/>
  <c r="UV14" i="1"/>
  <c r="AEM23" i="1"/>
  <c r="PA74" i="1"/>
  <c r="AMP13" i="1"/>
  <c r="AEB74" i="1"/>
  <c r="AEG58" i="1"/>
  <c r="AGE17" i="1"/>
  <c r="AGL17" i="1" s="1"/>
  <c r="OJ75" i="1"/>
  <c r="PL77" i="1"/>
  <c r="WE72" i="1"/>
  <c r="AMU75" i="1"/>
  <c r="PU72" i="1"/>
  <c r="PL72" i="1"/>
  <c r="ALU75" i="1"/>
  <c r="AGD11" i="1"/>
  <c r="AGK11" i="1" s="1"/>
  <c r="ACR20" i="1"/>
  <c r="AMO57" i="1"/>
  <c r="YK10" i="1"/>
  <c r="PR20" i="1"/>
  <c r="AGE72" i="1"/>
  <c r="AGL72" i="1" s="1"/>
  <c r="PF58" i="1"/>
  <c r="OT75" i="1"/>
  <c r="PE58" i="1"/>
  <c r="QU58" i="1"/>
  <c r="RB58" i="1" s="1"/>
  <c r="PA77" i="1"/>
  <c r="AEE58" i="1"/>
  <c r="WO14" i="1"/>
  <c r="ALR72" i="1"/>
  <c r="AEF75" i="1"/>
  <c r="OV20" i="1"/>
  <c r="ANX17" i="1"/>
  <c r="AOE17" i="1" s="1"/>
  <c r="OM10" i="1"/>
  <c r="AFA14" i="1"/>
  <c r="AEV72" i="1"/>
  <c r="XF18" i="1"/>
  <c r="ALO57" i="1"/>
  <c r="AGG18" i="1"/>
  <c r="AGN18" i="1" s="1"/>
  <c r="WS17" i="1"/>
  <c r="ADT78" i="1"/>
  <c r="OO17" i="1"/>
  <c r="AMV57" i="1"/>
  <c r="PG20" i="1"/>
  <c r="ALJ58" i="1"/>
  <c r="WY20" i="1"/>
  <c r="PQ57" i="1"/>
  <c r="OO59" i="1"/>
  <c r="ADY73" i="1"/>
  <c r="OV23" i="1"/>
  <c r="ANW58" i="1"/>
  <c r="AOD58" i="1" s="1"/>
  <c r="YL17" i="1"/>
  <c r="YS17" i="1" s="1"/>
  <c r="WJ18" i="1"/>
  <c r="ALT75" i="1"/>
  <c r="ANV71" i="1"/>
  <c r="AOC71" i="1" s="1"/>
  <c r="AEP77" i="1"/>
  <c r="AET73" i="1"/>
  <c r="AMS11" i="1"/>
  <c r="AMK13" i="1"/>
  <c r="ANV75" i="1"/>
  <c r="AOC75" i="1" s="1"/>
  <c r="ACQ11" i="1"/>
  <c r="YM17" i="1"/>
  <c r="YT17" i="1" s="1"/>
  <c r="PB62" i="1"/>
  <c r="WT75" i="1"/>
  <c r="ALJ13" i="1"/>
  <c r="PI72" i="1"/>
  <c r="AEU17" i="1"/>
  <c r="XC77" i="1"/>
  <c r="QU23" i="1"/>
  <c r="RB23" i="1" s="1"/>
  <c r="PU76" i="1"/>
  <c r="AER23" i="1"/>
  <c r="AMU23" i="1"/>
  <c r="ALX73" i="1"/>
  <c r="OH78" i="1"/>
  <c r="ALL63" i="1"/>
  <c r="OS10" i="1"/>
  <c r="AEL18" i="1"/>
  <c r="WE14" i="1"/>
  <c r="AMM72" i="1"/>
  <c r="WY58" i="1"/>
  <c r="OH14" i="1"/>
  <c r="OR18" i="1"/>
  <c r="AEE10" i="1"/>
  <c r="PV13" i="1"/>
  <c r="AMD17" i="1"/>
  <c r="AGE20" i="1"/>
  <c r="AGL20" i="1" s="1"/>
  <c r="AEW14" i="1"/>
  <c r="AER20" i="1"/>
  <c r="OU57" i="1"/>
  <c r="XC57" i="1"/>
  <c r="ACQ17" i="1"/>
  <c r="YN10" i="1"/>
  <c r="YU10" i="1" s="1"/>
  <c r="AES17" i="1"/>
  <c r="OQ17" i="1"/>
  <c r="PU18" i="1"/>
  <c r="AEN78" i="1"/>
  <c r="OX20" i="1"/>
  <c r="AEP72" i="1"/>
  <c r="AFB14" i="1"/>
  <c r="PJ77" i="1"/>
  <c r="AEY58" i="1"/>
  <c r="AMJ60" i="1"/>
  <c r="AMH57" i="1"/>
  <c r="AKI57" i="1"/>
  <c r="XG18" i="1"/>
  <c r="YN77" i="1"/>
  <c r="YU77" i="1" s="1"/>
  <c r="ND13" i="1"/>
  <c r="PS10" i="1"/>
  <c r="QW72" i="1"/>
  <c r="RD72" i="1" s="1"/>
  <c r="QU18" i="1"/>
  <c r="RB18" i="1" s="1"/>
  <c r="ADS14" i="1"/>
  <c r="PV75" i="1"/>
  <c r="WT78" i="1"/>
  <c r="ADZ74" i="1"/>
  <c r="AEJ72" i="1"/>
  <c r="OZ20" i="1"/>
  <c r="XM77" i="1"/>
  <c r="AES11" i="1"/>
  <c r="ALP74" i="1"/>
  <c r="WU23" i="1"/>
  <c r="NG10" i="1"/>
  <c r="PD10" i="1"/>
  <c r="ACQ58" i="1"/>
  <c r="PF13" i="1"/>
  <c r="PN57" i="1"/>
  <c r="XF62" i="1"/>
  <c r="OY11" i="1"/>
  <c r="PT14" i="1"/>
  <c r="PF75" i="1"/>
  <c r="ALO63" i="1"/>
  <c r="AHK11" i="1"/>
  <c r="AHL11" i="1" s="1"/>
  <c r="AME62" i="1"/>
  <c r="NE73" i="1"/>
  <c r="AKH71" i="1"/>
  <c r="OL71" i="1"/>
  <c r="WO73" i="1"/>
  <c r="WY23" i="1"/>
  <c r="AEW73" i="1"/>
  <c r="XC17" i="1"/>
  <c r="PN14" i="1"/>
  <c r="OT13" i="1"/>
  <c r="UV57" i="1"/>
  <c r="WC14" i="1"/>
  <c r="AEE60" i="1"/>
  <c r="AGR58" i="1"/>
  <c r="AGT58" i="1" s="1"/>
  <c r="AME72" i="1"/>
  <c r="WW58" i="1"/>
  <c r="AGF75" i="1"/>
  <c r="AGM75" i="1" s="1"/>
  <c r="AGT75" i="1" s="1"/>
  <c r="AFB75" i="1"/>
  <c r="AEU75" i="1"/>
  <c r="AEO78" i="1"/>
  <c r="OV62" i="1"/>
  <c r="OV10" i="1"/>
  <c r="OI62" i="1"/>
  <c r="AKE58" i="1"/>
  <c r="NF10" i="1"/>
  <c r="AEL13" i="1"/>
  <c r="AEG11" i="1"/>
  <c r="AFA62" i="1"/>
  <c r="WS18" i="1"/>
  <c r="PJ18" i="1"/>
  <c r="OJ77" i="1"/>
  <c r="PF11" i="1"/>
  <c r="ALV75" i="1"/>
  <c r="AMU11" i="1"/>
  <c r="WZ75" i="1"/>
  <c r="UY72" i="1"/>
  <c r="NH17" i="1"/>
  <c r="AFD18" i="1"/>
  <c r="ACP77" i="1"/>
  <c r="OR71" i="1"/>
  <c r="AMG10" i="1"/>
  <c r="PH75" i="1"/>
  <c r="WW10" i="1"/>
  <c r="OH20" i="1"/>
  <c r="ALL62" i="1"/>
  <c r="ANW23" i="1"/>
  <c r="AOD23" i="1" s="1"/>
  <c r="OQ18" i="1"/>
  <c r="AMJ10" i="1"/>
  <c r="OW60" i="1"/>
  <c r="XD77" i="1"/>
  <c r="AEH58" i="1"/>
  <c r="PQ13" i="1"/>
  <c r="ANV10" i="1"/>
  <c r="AOC10" i="1" s="1"/>
  <c r="AFF10" i="1"/>
  <c r="OL14" i="1"/>
  <c r="AGF57" i="1"/>
  <c r="AGM57" i="1" s="1"/>
  <c r="WY62" i="1"/>
  <c r="ALJ74" i="1"/>
  <c r="ALU78" i="1"/>
  <c r="AKF71" i="1"/>
  <c r="AFB23" i="1"/>
  <c r="PQ76" i="1"/>
  <c r="VZ71" i="1"/>
  <c r="ALM23" i="1"/>
  <c r="QU78" i="1"/>
  <c r="RB78" i="1" s="1"/>
  <c r="XG78" i="1"/>
  <c r="AKF10" i="1"/>
  <c r="PT71" i="1"/>
  <c r="QT76" i="1"/>
  <c r="RA76" i="1" s="1"/>
  <c r="AEA23" i="1"/>
  <c r="WQ23" i="1"/>
  <c r="ACR76" i="1"/>
  <c r="WK73" i="1"/>
  <c r="ALX76" i="1"/>
  <c r="WR71" i="1"/>
  <c r="ADW73" i="1"/>
  <c r="ALT10" i="1"/>
  <c r="RG13" i="1"/>
  <c r="PW14" i="1"/>
  <c r="RE14" i="1" s="1"/>
  <c r="ALU71" i="1"/>
  <c r="XJ76" i="1"/>
  <c r="ALW74" i="1"/>
  <c r="PU59" i="1"/>
  <c r="RG77" i="1"/>
  <c r="AEB17" i="1"/>
  <c r="OM14" i="1"/>
  <c r="WZ14" i="1"/>
  <c r="OQ57" i="1"/>
  <c r="ALW60" i="1"/>
  <c r="ACN10" i="1"/>
  <c r="XB20" i="1"/>
  <c r="AFB13" i="1"/>
  <c r="ADT17" i="1"/>
  <c r="UU18" i="1"/>
  <c r="ALY71" i="1"/>
  <c r="AMQ78" i="1"/>
  <c r="WG71" i="1"/>
  <c r="OJ78" i="1"/>
  <c r="PC60" i="1"/>
  <c r="WA74" i="1"/>
  <c r="OQ74" i="1"/>
  <c r="WS73" i="1"/>
  <c r="XN58" i="1"/>
  <c r="YV58" i="1" s="1"/>
  <c r="AMN72" i="1"/>
  <c r="AEP11" i="1"/>
  <c r="OS13" i="1"/>
  <c r="AMT57" i="1"/>
  <c r="AFA77" i="1"/>
  <c r="AFB74" i="1"/>
  <c r="ADW14" i="1"/>
  <c r="WR17" i="1"/>
  <c r="WR10" i="1"/>
  <c r="AEK77" i="1"/>
  <c r="AEU71" i="1"/>
  <c r="OY60" i="1"/>
  <c r="XE77" i="1"/>
  <c r="NF17" i="1"/>
  <c r="AEI17" i="1"/>
  <c r="OR75" i="1"/>
  <c r="AEZ14" i="1"/>
  <c r="ALL18" i="1"/>
  <c r="ALM71" i="1"/>
  <c r="AEK78" i="1"/>
  <c r="AEN18" i="1"/>
  <c r="AML17" i="1"/>
  <c r="ADR76" i="1"/>
  <c r="AFE76" i="1"/>
  <c r="AEN77" i="1"/>
  <c r="AEM71" i="1"/>
  <c r="AMK76" i="1"/>
  <c r="ALT78" i="1"/>
  <c r="WW74" i="1"/>
  <c r="WF77" i="1"/>
  <c r="AKE10" i="1"/>
  <c r="OM59" i="1"/>
  <c r="OH10" i="1"/>
  <c r="OI14" i="1"/>
  <c r="AER13" i="1"/>
  <c r="WX17" i="1"/>
  <c r="ALT13" i="1"/>
  <c r="AES13" i="1"/>
  <c r="ACN72" i="1"/>
  <c r="QW14" i="1"/>
  <c r="RD14" i="1" s="1"/>
  <c r="ADS78" i="1"/>
  <c r="PC62" i="1"/>
  <c r="ACO75" i="1"/>
  <c r="ADX78" i="1"/>
  <c r="WS20" i="1"/>
  <c r="PG77" i="1"/>
  <c r="PI62" i="1"/>
  <c r="PI77" i="1"/>
  <c r="XM72" i="1"/>
  <c r="AKH75" i="1"/>
  <c r="AMJ77" i="1"/>
  <c r="AMA13" i="1"/>
  <c r="WX10" i="1"/>
  <c r="AFF57" i="1"/>
  <c r="AMN60" i="1"/>
  <c r="ALT63" i="1"/>
  <c r="OP13" i="1"/>
  <c r="PN72" i="1"/>
  <c r="QU72" i="1"/>
  <c r="RB72" i="1" s="1"/>
  <c r="WY17" i="1"/>
  <c r="NG11" i="1"/>
  <c r="WA77" i="1"/>
  <c r="AMH10" i="1"/>
  <c r="AFF14" i="1"/>
  <c r="AMQ13" i="1"/>
  <c r="PA18" i="1"/>
  <c r="WR18" i="1"/>
  <c r="AKG23" i="1"/>
  <c r="AEJ74" i="1"/>
  <c r="OZ78" i="1"/>
  <c r="AMQ57" i="1"/>
  <c r="ADV72" i="1"/>
  <c r="PU60" i="1"/>
  <c r="AEF74" i="1"/>
  <c r="XA76" i="1"/>
  <c r="PE14" i="1"/>
  <c r="PD13" i="1"/>
  <c r="NG14" i="1"/>
  <c r="ANX63" i="1"/>
  <c r="AOE63" i="1" s="1"/>
  <c r="AKI77" i="1"/>
  <c r="WP18" i="1"/>
  <c r="ADT20" i="1"/>
  <c r="PL75" i="1"/>
  <c r="OP11" i="1"/>
  <c r="ALW75" i="1"/>
  <c r="WN72" i="1"/>
  <c r="AFC77" i="1"/>
  <c r="PQ23" i="1"/>
  <c r="PA76" i="1"/>
  <c r="WD23" i="1"/>
  <c r="ALP23" i="1"/>
  <c r="AMO73" i="1"/>
  <c r="AMM78" i="1"/>
  <c r="YM20" i="1"/>
  <c r="YT20" i="1" s="1"/>
  <c r="XN75" i="1"/>
  <c r="YV75" i="1" s="1"/>
  <c r="PV72" i="1"/>
  <c r="QW77" i="1"/>
  <c r="RD77" i="1" s="1"/>
  <c r="WK72" i="1"/>
  <c r="AEJ14" i="1"/>
  <c r="VY18" i="1"/>
  <c r="AEM58" i="1"/>
  <c r="AEH72" i="1"/>
  <c r="AHK13" i="1"/>
  <c r="AEA75" i="1"/>
  <c r="QU11" i="1"/>
  <c r="RB11" i="1" s="1"/>
  <c r="ALN72" i="1"/>
  <c r="OS11" i="1"/>
  <c r="QV11" i="1"/>
  <c r="RC11" i="1" s="1"/>
  <c r="PV18" i="1"/>
  <c r="AMJ17" i="1"/>
  <c r="AGR62" i="1"/>
  <c r="AGT62" i="1" s="1"/>
  <c r="PP13" i="1"/>
  <c r="OK14" i="1"/>
  <c r="AGQ14" i="1"/>
  <c r="OW72" i="1"/>
  <c r="PM13" i="1"/>
  <c r="AED58" i="1"/>
  <c r="ALV13" i="1"/>
  <c r="UY20" i="1"/>
  <c r="WU57" i="1"/>
  <c r="OQ10" i="1"/>
  <c r="XA62" i="1"/>
  <c r="PI13" i="1"/>
  <c r="AFD58" i="1"/>
  <c r="ANW18" i="1"/>
  <c r="AOD18" i="1" s="1"/>
  <c r="ALX58" i="1"/>
  <c r="AMO11" i="1"/>
  <c r="QV75" i="1"/>
  <c r="RC75" i="1" s="1"/>
  <c r="ADV11" i="1"/>
  <c r="AFF11" i="1"/>
  <c r="OH73" i="1"/>
  <c r="AEY76" i="1"/>
  <c r="AER73" i="1"/>
  <c r="UX62" i="1"/>
  <c r="AEG13" i="1"/>
  <c r="AMK58" i="1"/>
  <c r="AMP62" i="1"/>
  <c r="AFF74" i="1"/>
  <c r="RH78" i="1"/>
  <c r="AEX75" i="1"/>
  <c r="ADU20" i="1"/>
  <c r="AGD13" i="1"/>
  <c r="AGK13" i="1" s="1"/>
  <c r="SA59" i="1"/>
  <c r="SB59" i="1" s="1"/>
  <c r="QU60" i="1"/>
  <c r="RB60" i="1" s="1"/>
  <c r="NE17" i="1"/>
  <c r="AEU73" i="1"/>
  <c r="WG14" i="1"/>
  <c r="OI18" i="1"/>
  <c r="YM18" i="1"/>
  <c r="YT18" i="1" s="1"/>
  <c r="PI71" i="1"/>
  <c r="VZ78" i="1"/>
  <c r="WE71" i="1"/>
  <c r="AMD76" i="1"/>
  <c r="RH76" i="1"/>
  <c r="WV76" i="1"/>
  <c r="AMX71" i="1"/>
  <c r="AOF71" i="1" s="1"/>
  <c r="ADZ71" i="1"/>
  <c r="PR60" i="1"/>
  <c r="NH58" i="1"/>
  <c r="WN75" i="1"/>
  <c r="ACO17" i="1"/>
  <c r="OZ77" i="1"/>
  <c r="RH72" i="1"/>
  <c r="ON77" i="1"/>
  <c r="WG72" i="1"/>
  <c r="AEQ18" i="1"/>
  <c r="ALR13" i="1"/>
  <c r="AMD75" i="1"/>
  <c r="ANW75" i="1"/>
  <c r="AOD75" i="1" s="1"/>
  <c r="ANW11" i="1"/>
  <c r="AOD11" i="1" s="1"/>
  <c r="PE13" i="1"/>
  <c r="PD57" i="1"/>
  <c r="AEU72" i="1"/>
  <c r="OY17" i="1"/>
  <c r="AEB62" i="1"/>
  <c r="WD77" i="1"/>
  <c r="AMW72" i="1"/>
  <c r="QU62" i="1"/>
  <c r="RB62" i="1" s="1"/>
  <c r="NG75" i="1"/>
  <c r="PP20" i="1"/>
  <c r="OL75" i="1"/>
  <c r="QV13" i="1"/>
  <c r="RC13" i="1" s="1"/>
  <c r="XL62" i="1"/>
  <c r="OR13" i="1"/>
  <c r="AMF57" i="1"/>
  <c r="WH17" i="1"/>
  <c r="OY72" i="1"/>
  <c r="AEF62" i="1"/>
  <c r="WA76" i="1"/>
  <c r="AML73" i="1"/>
  <c r="WW77" i="1"/>
  <c r="ADY62" i="1"/>
  <c r="NH13" i="1"/>
  <c r="QW78" i="1"/>
  <c r="RD78" i="1" s="1"/>
  <c r="PG71" i="1"/>
  <c r="AMO76" i="1"/>
  <c r="PQ10" i="1"/>
  <c r="AMX60" i="1"/>
  <c r="AOF60" i="1" s="1"/>
  <c r="AEW78" i="1"/>
  <c r="ALM18" i="1"/>
  <c r="XB72" i="1"/>
  <c r="AMX63" i="1"/>
  <c r="AOF63" i="1" s="1"/>
  <c r="AFG62" i="1"/>
  <c r="AGO62" i="1" s="1"/>
  <c r="OV57" i="1"/>
  <c r="AMK18" i="1"/>
  <c r="ANV57" i="1"/>
  <c r="AOC57" i="1" s="1"/>
  <c r="PT78" i="1"/>
  <c r="ALM76" i="1"/>
  <c r="ANU74" i="1"/>
  <c r="WF71" i="1"/>
  <c r="ADS23" i="1"/>
  <c r="AEZ76" i="1"/>
  <c r="NH71" i="1"/>
  <c r="QW23" i="1"/>
  <c r="RD23" i="1" s="1"/>
  <c r="OK71" i="1"/>
  <c r="AMG63" i="1"/>
  <c r="ANV74" i="1"/>
  <c r="AOC74" i="1" s="1"/>
  <c r="AEG23" i="1"/>
  <c r="WI23" i="1"/>
  <c r="WE17" i="1"/>
  <c r="AMH78" i="1"/>
  <c r="WD71" i="1"/>
  <c r="XI75" i="1"/>
  <c r="XG73" i="1"/>
  <c r="VZ73" i="1"/>
  <c r="AMT71" i="1"/>
  <c r="AMJ18" i="1"/>
  <c r="AMS58" i="1"/>
  <c r="AKH60" i="1"/>
  <c r="WA73" i="1"/>
  <c r="AMQ73" i="1"/>
  <c r="ANU62" i="1"/>
  <c r="WZ18" i="1"/>
  <c r="PB17" i="1"/>
  <c r="XM17" i="1"/>
  <c r="ON57" i="1"/>
  <c r="WU72" i="1"/>
  <c r="ALW58" i="1"/>
  <c r="OY77" i="1"/>
  <c r="WJ17" i="1"/>
  <c r="XA18" i="1"/>
  <c r="UX57" i="1"/>
  <c r="ALU13" i="1"/>
  <c r="ADR57" i="1"/>
  <c r="PO73" i="1"/>
  <c r="OM76" i="1"/>
  <c r="ALW73" i="1"/>
  <c r="ACP71" i="1"/>
  <c r="XF23" i="1"/>
  <c r="AMM62" i="1"/>
  <c r="AEP76" i="1"/>
  <c r="WP78" i="1"/>
  <c r="AEW17" i="1"/>
  <c r="AEB72" i="1"/>
  <c r="XF72" i="1"/>
  <c r="ALV72" i="1"/>
  <c r="AES62" i="1"/>
  <c r="PB14" i="1"/>
  <c r="AKH10" i="1"/>
  <c r="YK71" i="1"/>
  <c r="VZ23" i="1"/>
  <c r="PT72" i="1"/>
  <c r="AMN75" i="1"/>
  <c r="ANX10" i="1"/>
  <c r="AOE10" i="1" s="1"/>
  <c r="AGE71" i="1"/>
  <c r="AGL71" i="1" s="1"/>
  <c r="XH78" i="1"/>
  <c r="AMU10" i="1"/>
  <c r="OQ14" i="1"/>
  <c r="AEV58" i="1"/>
  <c r="OU13" i="1"/>
  <c r="YK14" i="1"/>
  <c r="WX57" i="1"/>
  <c r="AGE10" i="1"/>
  <c r="AGL10" i="1" s="1"/>
  <c r="XH17" i="1"/>
  <c r="PM57" i="1"/>
  <c r="WA17" i="1"/>
  <c r="AMU72" i="1"/>
  <c r="AML23" i="1"/>
  <c r="ADU73" i="1"/>
  <c r="WH73" i="1"/>
  <c r="ALN73" i="1"/>
  <c r="YN78" i="1"/>
  <c r="YU78" i="1" s="1"/>
  <c r="AED23" i="1"/>
  <c r="VY23" i="1"/>
  <c r="AFD10" i="1"/>
  <c r="ADV60" i="1"/>
  <c r="ACO10" i="1"/>
  <c r="OM57" i="1"/>
  <c r="NF57" i="1"/>
  <c r="PI58" i="1"/>
  <c r="AMA57" i="1"/>
  <c r="PM14" i="1"/>
  <c r="RH75" i="1"/>
  <c r="WZ77" i="1"/>
  <c r="OW10" i="1"/>
  <c r="ALZ11" i="1"/>
  <c r="ACP62" i="1"/>
  <c r="AMG11" i="1"/>
  <c r="AMQ11" i="1"/>
  <c r="AMW13" i="1"/>
  <c r="UU62" i="1"/>
  <c r="WK77" i="1"/>
  <c r="XJ77" i="1"/>
  <c r="AMK10" i="1"/>
  <c r="OS59" i="1"/>
  <c r="ADR14" i="1"/>
  <c r="RH13" i="1"/>
  <c r="OR14" i="1"/>
  <c r="AFC18" i="1"/>
  <c r="ADU57" i="1"/>
  <c r="UX20" i="1"/>
  <c r="AEV62" i="1"/>
  <c r="PF10" i="1"/>
  <c r="ALK63" i="1"/>
  <c r="XN62" i="1"/>
  <c r="YV62" i="1" s="1"/>
  <c r="OQ13" i="1"/>
  <c r="AMC18" i="1"/>
  <c r="AFC57" i="1"/>
  <c r="AMW57" i="1"/>
  <c r="ON75" i="1"/>
  <c r="OK20" i="1"/>
  <c r="AMW10" i="1"/>
  <c r="ACO73" i="1"/>
  <c r="OK74" i="1"/>
  <c r="AMC63" i="1"/>
  <c r="YL62" i="1"/>
  <c r="YS62" i="1" s="1"/>
  <c r="OK10" i="1"/>
  <c r="AEQ73" i="1"/>
  <c r="PV74" i="1"/>
  <c r="AMB78" i="1"/>
  <c r="ALU17" i="1"/>
  <c r="AEP75" i="1"/>
  <c r="OV13" i="1"/>
  <c r="AFC60" i="1"/>
  <c r="WG17" i="1"/>
  <c r="ADR78" i="1"/>
  <c r="WS78" i="1"/>
  <c r="OQ60" i="1"/>
  <c r="OY62" i="1"/>
  <c r="PT59" i="1"/>
  <c r="AFA71" i="1"/>
  <c r="AER76" i="1"/>
  <c r="NF73" i="1"/>
  <c r="ALN62" i="1"/>
  <c r="AEQ71" i="1"/>
  <c r="AEV77" i="1"/>
  <c r="AEK73" i="1"/>
  <c r="WX73" i="1"/>
  <c r="AMB77" i="1"/>
  <c r="XH75" i="1"/>
  <c r="PV59" i="1"/>
  <c r="WM75" i="1"/>
  <c r="AEP20" i="1"/>
  <c r="ACR14" i="1"/>
  <c r="ALN60" i="1"/>
  <c r="XH10" i="1"/>
  <c r="OY59" i="1"/>
  <c r="ALU77" i="1"/>
  <c r="PO18" i="1"/>
  <c r="ALN58" i="1"/>
  <c r="OY13" i="1"/>
  <c r="WE58" i="1"/>
  <c r="AMV58" i="1"/>
  <c r="AMB17" i="1"/>
  <c r="OW13" i="1"/>
  <c r="WW20" i="1"/>
  <c r="OT59" i="1"/>
  <c r="XE75" i="1"/>
  <c r="AMO75" i="1"/>
  <c r="OO13" i="1"/>
  <c r="ALP75" i="1"/>
  <c r="OQ20" i="1"/>
  <c r="PT11" i="1"/>
  <c r="ANU13" i="1"/>
  <c r="NF18" i="1"/>
  <c r="ACP57" i="1"/>
  <c r="WK20" i="1"/>
  <c r="ON13" i="1"/>
  <c r="AEY78" i="1"/>
  <c r="OH62" i="1"/>
  <c r="ADY14" i="1"/>
  <c r="XK62" i="1"/>
  <c r="ADZ58" i="1"/>
  <c r="ALO72" i="1"/>
  <c r="PJ58" i="1"/>
  <c r="PE76" i="1"/>
  <c r="AGG73" i="1"/>
  <c r="AGN73" i="1" s="1"/>
  <c r="ACR73" i="1"/>
  <c r="PR59" i="1"/>
  <c r="PO58" i="1"/>
  <c r="WG75" i="1"/>
  <c r="ALZ73" i="1"/>
  <c r="AMT23" i="1"/>
  <c r="ACN60" i="1"/>
  <c r="AMK75" i="1"/>
  <c r="AEK72" i="1"/>
  <c r="ON58" i="1"/>
  <c r="ALY57" i="1"/>
  <c r="WJ72" i="1"/>
  <c r="AFE72" i="1"/>
  <c r="ALS71" i="1"/>
  <c r="AEK20" i="1"/>
  <c r="AEX62" i="1"/>
  <c r="ALY10" i="1"/>
  <c r="AGR73" i="1"/>
  <c r="OL74" i="1"/>
  <c r="AMJ74" i="1"/>
  <c r="ALS62" i="1"/>
  <c r="ALP11" i="1"/>
  <c r="PI23" i="1"/>
  <c r="OP76" i="1"/>
  <c r="SA18" i="1"/>
  <c r="SB18" i="1" s="1"/>
  <c r="ALY58" i="1"/>
  <c r="ADW62" i="1"/>
  <c r="OT58" i="1"/>
  <c r="ANX75" i="1"/>
  <c r="AOE75" i="1" s="1"/>
  <c r="AMR10" i="1"/>
  <c r="WG20" i="1"/>
  <c r="ALN10" i="1"/>
  <c r="AMC10" i="1"/>
  <c r="OJ60" i="1"/>
  <c r="AEE20" i="1"/>
  <c r="AET58" i="1"/>
  <c r="AEB13" i="1"/>
  <c r="ALJ18" i="1"/>
  <c r="AMD11" i="1"/>
  <c r="ALU57" i="1"/>
  <c r="ALJ60" i="1"/>
  <c r="XB77" i="1"/>
  <c r="OU10" i="1"/>
  <c r="XA57" i="1"/>
  <c r="UX72" i="1"/>
  <c r="WH62" i="1"/>
  <c r="AER58" i="1"/>
  <c r="UU14" i="1"/>
  <c r="PR14" i="1"/>
  <c r="AMP58" i="1"/>
  <c r="AES60" i="1"/>
  <c r="PK11" i="1"/>
  <c r="ADZ11" i="1"/>
  <c r="WW62" i="1"/>
  <c r="PT10" i="1"/>
  <c r="QV74" i="1"/>
  <c r="RC74" i="1" s="1"/>
  <c r="ALZ78" i="1"/>
  <c r="AEY23" i="1"/>
  <c r="ADZ13" i="1"/>
  <c r="XC58" i="1"/>
  <c r="ADX14" i="1"/>
  <c r="RH71" i="1"/>
  <c r="ALX74" i="1"/>
  <c r="AMN74" i="1"/>
  <c r="ADR20" i="1"/>
  <c r="NG62" i="1"/>
  <c r="WZ58" i="1"/>
  <c r="NE58" i="1"/>
  <c r="WC62" i="1"/>
  <c r="NH11" i="1"/>
  <c r="XE78" i="1"/>
  <c r="OR77" i="1"/>
  <c r="PA10" i="1"/>
  <c r="PD60" i="1"/>
  <c r="YM73" i="1"/>
  <c r="YT73" i="1" s="1"/>
  <c r="NE23" i="1"/>
  <c r="AFD78" i="1"/>
  <c r="PS23" i="1"/>
  <c r="ALV73" i="1"/>
  <c r="ALU62" i="1"/>
  <c r="WW57" i="1"/>
  <c r="PD76" i="1"/>
  <c r="PN74" i="1"/>
  <c r="WN20" i="1"/>
  <c r="WN74" i="1"/>
  <c r="XN23" i="1"/>
  <c r="YV23" i="1" s="1"/>
  <c r="OU78" i="1"/>
  <c r="AFB62" i="1"/>
  <c r="PO78" i="1"/>
  <c r="ALQ62" i="1"/>
  <c r="PW20" i="1"/>
  <c r="RE20" i="1" s="1"/>
  <c r="QU71" i="1"/>
  <c r="RB71" i="1" s="1"/>
  <c r="AEE62" i="1"/>
  <c r="PD71" i="1"/>
  <c r="PU62" i="1"/>
  <c r="WB10" i="1"/>
  <c r="PT77" i="1"/>
  <c r="XH76" i="1"/>
  <c r="ADZ76" i="1"/>
  <c r="AEA72" i="1"/>
  <c r="NE60" i="1"/>
  <c r="ALU63" i="1"/>
  <c r="XB62" i="1"/>
  <c r="PN11" i="1"/>
  <c r="AFB18" i="1"/>
  <c r="AEP17" i="1"/>
  <c r="XL77" i="1"/>
  <c r="ALZ57" i="1"/>
  <c r="ADS72" i="1"/>
  <c r="PB75" i="1"/>
  <c r="AEH75" i="1"/>
  <c r="ON17" i="1"/>
  <c r="PV78" i="1"/>
  <c r="RH73" i="1"/>
  <c r="ADX74" i="1"/>
  <c r="RG76" i="1"/>
  <c r="ACO71" i="1"/>
  <c r="OP74" i="1"/>
  <c r="WI76" i="1"/>
  <c r="PO74" i="1"/>
  <c r="NG74" i="1"/>
  <c r="AMA62" i="1"/>
  <c r="WZ71" i="1"/>
  <c r="WQ14" i="1"/>
  <c r="AEI60" i="1"/>
  <c r="AFC10" i="1"/>
  <c r="ADU60" i="1"/>
  <c r="ADU75" i="1"/>
  <c r="OQ58" i="1"/>
  <c r="AMQ63" i="1"/>
  <c r="QT57" i="1"/>
  <c r="RA57" i="1" s="1"/>
  <c r="UV58" i="1"/>
  <c r="WH77" i="1"/>
  <c r="ADX58" i="1"/>
  <c r="AGQ13" i="1"/>
  <c r="NE72" i="1"/>
  <c r="ADW13" i="1"/>
  <c r="ALS18" i="1"/>
  <c r="AMS60" i="1"/>
  <c r="AFB72" i="1"/>
  <c r="AEB57" i="1"/>
  <c r="AGR10" i="1"/>
  <c r="AHK60" i="1"/>
  <c r="AHL60" i="1" s="1"/>
  <c r="AGD60" i="1"/>
  <c r="AGK60" i="1" s="1"/>
  <c r="ACO11" i="1"/>
  <c r="PD62" i="1"/>
  <c r="QV58" i="1"/>
  <c r="RC58" i="1" s="1"/>
  <c r="AMR11" i="1"/>
  <c r="RG17" i="1"/>
  <c r="ALI13" i="1"/>
  <c r="AKE72" i="1"/>
  <c r="AGG57" i="1"/>
  <c r="AGN57" i="1" s="1"/>
  <c r="AEY11" i="1"/>
  <c r="AMX77" i="1"/>
  <c r="AOF77" i="1" s="1"/>
  <c r="XC75" i="1"/>
  <c r="QW58" i="1"/>
  <c r="RD58" i="1" s="1"/>
  <c r="PJ13" i="1"/>
  <c r="ALR63" i="1"/>
  <c r="AFG58" i="1"/>
  <c r="AGO58" i="1" s="1"/>
  <c r="AMV60" i="1"/>
  <c r="ANX73" i="1"/>
  <c r="AOE73" i="1" s="1"/>
  <c r="PH78" i="1"/>
  <c r="UW71" i="1"/>
  <c r="AHK10" i="1"/>
  <c r="AHL10" i="1" s="1"/>
  <c r="OZ59" i="1"/>
  <c r="AFA60" i="1"/>
  <c r="AHK74" i="1"/>
  <c r="RG78" i="1"/>
  <c r="XH74" i="1"/>
  <c r="XC10" i="1"/>
  <c r="ALK75" i="1"/>
  <c r="PD59" i="1"/>
  <c r="PQ72" i="1"/>
  <c r="AMW77" i="1"/>
  <c r="XL75" i="1"/>
  <c r="AEY73" i="1"/>
  <c r="ADX11" i="1"/>
  <c r="ADW72" i="1"/>
  <c r="NG77" i="1"/>
  <c r="PN76" i="1"/>
  <c r="WB77" i="1"/>
  <c r="AEC62" i="1"/>
  <c r="PB76" i="1"/>
  <c r="AEJ78" i="1"/>
  <c r="AEA11" i="1"/>
  <c r="AMI71" i="1"/>
  <c r="WU10" i="1"/>
  <c r="AFD17" i="1"/>
  <c r="OO18" i="1"/>
  <c r="ALL57" i="1"/>
  <c r="AMN57" i="1"/>
  <c r="AGF72" i="1"/>
  <c r="AGM72" i="1" s="1"/>
  <c r="XJ14" i="1"/>
  <c r="PO77" i="1"/>
  <c r="WR77" i="1"/>
  <c r="AGR72" i="1"/>
  <c r="AGT72" i="1" s="1"/>
  <c r="AGD58" i="1"/>
  <c r="AGK58" i="1" s="1"/>
  <c r="AES18" i="1"/>
  <c r="WD10" i="1"/>
  <c r="AGF11" i="1"/>
  <c r="AGM11" i="1" s="1"/>
  <c r="AEX14" i="1"/>
  <c r="WI10" i="1"/>
  <c r="OH72" i="1"/>
  <c r="AML58" i="1"/>
  <c r="ALJ77" i="1"/>
  <c r="AED57" i="1"/>
  <c r="WY75" i="1"/>
  <c r="AGQ11" i="1"/>
  <c r="WI20" i="1"/>
  <c r="PL10" i="1"/>
  <c r="AEM17" i="1"/>
  <c r="OJ18" i="1"/>
  <c r="OK75" i="1"/>
  <c r="PB20" i="1"/>
  <c r="WO17" i="1"/>
  <c r="UW18" i="1"/>
  <c r="AEV20" i="1"/>
  <c r="ANX11" i="1"/>
  <c r="AOE11" i="1" s="1"/>
  <c r="PE20" i="1"/>
  <c r="ADZ17" i="1"/>
  <c r="AEQ60" i="1"/>
  <c r="XI57" i="1"/>
  <c r="WS72" i="1"/>
  <c r="OS58" i="1"/>
  <c r="ACO76" i="1"/>
  <c r="ANU73" i="1"/>
  <c r="XN10" i="1"/>
  <c r="YV10" i="1" s="1"/>
  <c r="XH18" i="1"/>
  <c r="PD75" i="1"/>
  <c r="ANX57" i="1"/>
  <c r="AOE57" i="1" s="1"/>
  <c r="WK74" i="1"/>
  <c r="AMF23" i="1"/>
  <c r="OO23" i="1"/>
  <c r="ON11" i="1"/>
  <c r="PG18" i="1"/>
  <c r="ACQ72" i="1"/>
  <c r="WJ62" i="1"/>
  <c r="AEW11" i="1"/>
  <c r="PU20" i="1"/>
  <c r="AMV74" i="1"/>
  <c r="PH18" i="1"/>
  <c r="NF14" i="1"/>
  <c r="WK17" i="1"/>
  <c r="WP73" i="1"/>
  <c r="AMB71" i="1"/>
  <c r="ALR62" i="1"/>
  <c r="PP73" i="1"/>
  <c r="ANX78" i="1"/>
  <c r="AOE78" i="1" s="1"/>
  <c r="AEX73" i="1"/>
  <c r="XI73" i="1"/>
  <c r="AMS17" i="1"/>
  <c r="ALR11" i="1"/>
  <c r="AEM14" i="1"/>
  <c r="ALI72" i="1"/>
  <c r="OY10" i="1"/>
  <c r="AEH60" i="1"/>
  <c r="AEV57" i="1"/>
  <c r="AFG10" i="1"/>
  <c r="AGO10" i="1" s="1"/>
  <c r="AER60" i="1"/>
  <c r="ADW75" i="1"/>
  <c r="OV59" i="1"/>
  <c r="WI57" i="1"/>
  <c r="OR58" i="1"/>
  <c r="OU62" i="1"/>
  <c r="PW72" i="1"/>
  <c r="RE72" i="1" s="1"/>
  <c r="ALW63" i="1"/>
  <c r="WG77" i="1"/>
  <c r="OJ13" i="1"/>
  <c r="OZ10" i="1"/>
  <c r="PB18" i="1"/>
  <c r="AEL14" i="1"/>
  <c r="WL20" i="1"/>
  <c r="XL57" i="1"/>
  <c r="AKE60" i="1"/>
  <c r="PJ57" i="1"/>
  <c r="AGD14" i="1"/>
  <c r="AGK14" i="1" s="1"/>
  <c r="PC72" i="1"/>
  <c r="SA13" i="1"/>
  <c r="SB13" i="1" s="1"/>
  <c r="ALQ72" i="1"/>
  <c r="AEQ57" i="1"/>
  <c r="VY58" i="1"/>
  <c r="OK73" i="1"/>
  <c r="AED76" i="1"/>
  <c r="WS76" i="1"/>
  <c r="OO58" i="1"/>
  <c r="AEV18" i="1"/>
  <c r="PH62" i="1"/>
  <c r="OH71" i="1"/>
  <c r="AMK62" i="1"/>
  <c r="ALI75" i="1"/>
  <c r="AFC72" i="1"/>
  <c r="WS77" i="1"/>
  <c r="AEH14" i="1"/>
  <c r="PT20" i="1"/>
  <c r="PG17" i="1"/>
  <c r="UV77" i="1"/>
  <c r="ADS74" i="1"/>
  <c r="AHK58" i="1"/>
  <c r="WC58" i="1"/>
  <c r="ACP58" i="1"/>
  <c r="ALO62" i="1"/>
  <c r="XN76" i="1"/>
  <c r="YV76" i="1" s="1"/>
  <c r="WO74" i="1"/>
  <c r="AEI74" i="1"/>
  <c r="AGE11" i="1"/>
  <c r="AGL11" i="1" s="1"/>
  <c r="RH74" i="1"/>
  <c r="AMV62" i="1"/>
  <c r="AFF76" i="1"/>
  <c r="SA78" i="1"/>
  <c r="ALY13" i="1"/>
  <c r="OT73" i="1"/>
  <c r="AER71" i="1"/>
  <c r="WJ73" i="1"/>
  <c r="AMC23" i="1"/>
  <c r="OJ73" i="1"/>
  <c r="AFD23" i="1"/>
  <c r="XB74" i="1"/>
  <c r="OU76" i="1"/>
  <c r="ACN73" i="1"/>
  <c r="AKH13" i="1"/>
  <c r="PN20" i="1"/>
  <c r="AFF17" i="1"/>
  <c r="ALV10" i="1"/>
  <c r="OY76" i="1"/>
  <c r="WT74" i="1"/>
  <c r="WR62" i="1"/>
  <c r="WJ14" i="1"/>
  <c r="ALK77" i="1"/>
  <c r="OW75" i="1"/>
  <c r="OP60" i="1"/>
  <c r="AEL11" i="1"/>
  <c r="AMM10" i="1"/>
  <c r="NE14" i="1"/>
  <c r="XI62" i="1"/>
  <c r="PW13" i="1"/>
  <c r="RE13" i="1" s="1"/>
  <c r="AML77" i="1"/>
  <c r="ALQ11" i="1"/>
  <c r="AEU11" i="1"/>
  <c r="AEA71" i="1"/>
  <c r="PM74" i="1"/>
  <c r="PC71" i="1"/>
  <c r="UW10" i="1"/>
  <c r="ALK74" i="1"/>
  <c r="XN78" i="1"/>
  <c r="YV78" i="1" s="1"/>
  <c r="XC74" i="1"/>
  <c r="UU71" i="1"/>
  <c r="AMI78" i="1"/>
  <c r="PQ11" i="1"/>
  <c r="XC23" i="1"/>
  <c r="OO74" i="1"/>
  <c r="AEU77" i="1"/>
  <c r="AMP74" i="1"/>
  <c r="ALZ62" i="1"/>
  <c r="PJ74" i="1"/>
  <c r="XL58" i="1"/>
  <c r="AEW77" i="1"/>
  <c r="QT73" i="1"/>
  <c r="RA73" i="1" s="1"/>
  <c r="AMD62" i="1"/>
  <c r="AMO62" i="1"/>
  <c r="ALL74" i="1"/>
  <c r="AEL58" i="1"/>
  <c r="AGQ76" i="1"/>
  <c r="XE76" i="1"/>
  <c r="AED73" i="1"/>
  <c r="WC18" i="1"/>
  <c r="AMW23" i="1"/>
  <c r="PC73" i="1"/>
  <c r="PP62" i="1"/>
  <c r="ALI73" i="1"/>
  <c r="AGF74" i="1"/>
  <c r="AGM74" i="1" s="1"/>
  <c r="XE71" i="1"/>
  <c r="AMF63" i="1"/>
  <c r="WU62" i="1"/>
  <c r="OK18" i="1"/>
  <c r="AMJ11" i="1"/>
  <c r="ALN11" i="1"/>
  <c r="PP60" i="1"/>
  <c r="XK71" i="1"/>
  <c r="ADY23" i="1"/>
  <c r="ACO13" i="1"/>
  <c r="ALO77" i="1"/>
  <c r="AGD75" i="1"/>
  <c r="AGK75" i="1" s="1"/>
  <c r="AFD11" i="1"/>
  <c r="AKG63" i="1"/>
  <c r="YN62" i="1"/>
  <c r="YU62" i="1" s="1"/>
  <c r="OO14" i="1"/>
  <c r="VZ62" i="1"/>
  <c r="ADV13" i="1"/>
  <c r="AMS72" i="1"/>
  <c r="AMJ13" i="1"/>
  <c r="OY18" i="1"/>
  <c r="PP18" i="1"/>
  <c r="ACN62" i="1"/>
  <c r="WV74" i="1"/>
  <c r="XA71" i="1"/>
  <c r="PF74" i="1"/>
  <c r="OQ78" i="1"/>
  <c r="AEL77" i="1"/>
  <c r="AEF73" i="1"/>
  <c r="XL78" i="1"/>
  <c r="OU74" i="1"/>
  <c r="WI14" i="1"/>
  <c r="AFG71" i="1"/>
  <c r="AGO71" i="1" s="1"/>
  <c r="AKH76" i="1"/>
  <c r="PB78" i="1"/>
  <c r="ND23" i="1"/>
  <c r="PD74" i="1"/>
  <c r="AEJ77" i="1"/>
  <c r="AMK23" i="1"/>
  <c r="XF71" i="1"/>
  <c r="SA71" i="1"/>
  <c r="AEB10" i="1"/>
  <c r="RG74" i="1"/>
  <c r="ALX78" i="1"/>
  <c r="PI73" i="1"/>
  <c r="OH23" i="1"/>
  <c r="PD20" i="1"/>
  <c r="WG62" i="1"/>
  <c r="SA23" i="1"/>
  <c r="PA11" i="1"/>
  <c r="AEW75" i="1"/>
  <c r="PI14" i="1"/>
  <c r="AMS23" i="1"/>
  <c r="OM73" i="1"/>
  <c r="OS17" i="1"/>
  <c r="AFB71" i="1"/>
  <c r="PA78" i="1"/>
  <c r="AMG71" i="1"/>
  <c r="XI18" i="1"/>
  <c r="OJ23" i="1"/>
  <c r="AEL76" i="1"/>
  <c r="AMH74" i="1"/>
  <c r="PC74" i="1"/>
  <c r="XJ78" i="1"/>
  <c r="OP71" i="1"/>
  <c r="AML62" i="1"/>
  <c r="OP23" i="1"/>
  <c r="UX73" i="1"/>
  <c r="ADV74" i="1"/>
  <c r="ALJ73" i="1"/>
  <c r="AKI71" i="1"/>
  <c r="OP72" i="1"/>
  <c r="AMK71" i="1"/>
  <c r="AFE23" i="1"/>
  <c r="WI74" i="1"/>
  <c r="AES71" i="1"/>
  <c r="OM78" i="1"/>
  <c r="XC71" i="1"/>
  <c r="ALI23" i="1"/>
  <c r="AEV74" i="1"/>
  <c r="ANU23" i="1"/>
  <c r="YK73" i="1"/>
  <c r="AEC77" i="1"/>
  <c r="PQ73" i="1"/>
  <c r="AMG73" i="1"/>
  <c r="PW73" i="1"/>
  <c r="RE73" i="1" s="1"/>
  <c r="AFB73" i="1"/>
  <c r="OX78" i="1"/>
  <c r="AGQ23" i="1"/>
  <c r="PT73" i="1"/>
  <c r="OR23" i="1"/>
  <c r="ACQ71" i="1"/>
  <c r="ALT76" i="1"/>
  <c r="PS78" i="1"/>
  <c r="ALO76" i="1"/>
  <c r="AEF71" i="1"/>
  <c r="PA23" i="1"/>
  <c r="ALN78" i="1"/>
  <c r="WA23" i="1"/>
  <c r="ALQ71" i="1"/>
  <c r="ALY76" i="1"/>
  <c r="AKG74" i="1"/>
  <c r="AEP73" i="1"/>
  <c r="NH20" i="1"/>
  <c r="AMI63" i="1"/>
  <c r="QU10" i="1"/>
  <c r="RB10" i="1" s="1"/>
  <c r="RJ10" i="1" s="1"/>
  <c r="ALS63" i="1"/>
  <c r="OT23" i="1"/>
  <c r="PB73" i="1"/>
  <c r="WV73" i="1"/>
  <c r="AEC76" i="1"/>
  <c r="ACR23" i="1"/>
  <c r="AME73" i="1"/>
  <c r="QV78" i="1"/>
  <c r="RC78" i="1" s="1"/>
  <c r="ACR77" i="1"/>
  <c r="AGR76" i="1"/>
  <c r="OI57" i="1"/>
  <c r="AKI73" i="1"/>
  <c r="ACP74" i="1"/>
  <c r="AER74" i="1"/>
  <c r="AFB76" i="1"/>
  <c r="ADR77" i="1"/>
  <c r="WU73" i="1"/>
  <c r="YN76" i="1"/>
  <c r="YU76" i="1" s="1"/>
  <c r="OK76" i="1"/>
  <c r="AFF62" i="1"/>
  <c r="ADY77" i="1"/>
  <c r="ADU71" i="1"/>
  <c r="PK71" i="1"/>
  <c r="AMD23" i="1"/>
  <c r="WM74" i="1"/>
  <c r="PN73" i="1"/>
  <c r="ADX18" i="1"/>
  <c r="QW71" i="1"/>
  <c r="RD71" i="1" s="1"/>
  <c r="AMX73" i="1"/>
  <c r="AOF73" i="1" s="1"/>
  <c r="AMB74" i="1"/>
  <c r="XI78" i="1"/>
  <c r="OY73" i="1"/>
  <c r="XF57" i="1"/>
  <c r="XB78" i="1"/>
  <c r="NF23" i="1"/>
  <c r="ACR74" i="1"/>
  <c r="ALX10" i="1"/>
  <c r="AEK74" i="1"/>
  <c r="WY76" i="1"/>
  <c r="PJ60" i="1"/>
  <c r="AKH62" i="1"/>
  <c r="ALX71" i="1"/>
  <c r="AEU23" i="1"/>
  <c r="AEM78" i="1"/>
  <c r="OY75" i="1"/>
  <c r="PW10" i="1"/>
  <c r="RE10" i="1" s="1"/>
  <c r="WP62" i="1"/>
  <c r="OL13" i="1"/>
  <c r="AEM74" i="1"/>
  <c r="WW71" i="1"/>
  <c r="PH71" i="1"/>
  <c r="PK58" i="1"/>
  <c r="AEZ17" i="1"/>
  <c r="AMX11" i="1"/>
  <c r="AOF11" i="1" s="1"/>
  <c r="XA14" i="1"/>
  <c r="AMU77" i="1"/>
  <c r="PL60" i="1"/>
  <c r="AMI17" i="1"/>
  <c r="OU59" i="1"/>
  <c r="VY57" i="1"/>
  <c r="AEU62" i="1"/>
  <c r="OZ14" i="1"/>
  <c r="QW10" i="1"/>
  <c r="RD10" i="1" s="1"/>
  <c r="AEW13" i="1"/>
  <c r="ALO74" i="1"/>
  <c r="XA23" i="1"/>
  <c r="AMD78" i="1"/>
  <c r="UW73" i="1"/>
  <c r="WI73" i="1"/>
  <c r="NF76" i="1"/>
  <c r="NH23" i="1"/>
  <c r="AES74" i="1"/>
  <c r="AED71" i="1"/>
  <c r="WA72" i="1"/>
  <c r="OR76" i="1"/>
  <c r="ALN23" i="1"/>
  <c r="ANV73" i="1"/>
  <c r="AOC73" i="1" s="1"/>
  <c r="PV76" i="1"/>
  <c r="AGR71" i="1"/>
  <c r="WW14" i="1"/>
  <c r="ALK78" i="1"/>
  <c r="OX11" i="1"/>
  <c r="NH74" i="1"/>
  <c r="AEH62" i="1"/>
  <c r="WA78" i="1"/>
  <c r="PT76" i="1"/>
  <c r="ALI62" i="1"/>
  <c r="OV72" i="1"/>
  <c r="AGQ78" i="1"/>
  <c r="PG13" i="1"/>
  <c r="PE73" i="1"/>
  <c r="ALQ77" i="1"/>
  <c r="PM58" i="1"/>
  <c r="AKI60" i="1"/>
  <c r="AMV23" i="1"/>
  <c r="ALS74" i="1"/>
  <c r="ALL78" i="1"/>
  <c r="ANW76" i="1"/>
  <c r="AOD76" i="1" s="1"/>
  <c r="AEC74" i="1"/>
  <c r="OX76" i="1"/>
  <c r="WM71" i="1"/>
  <c r="YK74" i="1"/>
  <c r="ADX23" i="1"/>
  <c r="PD78" i="1"/>
  <c r="AEG77" i="1"/>
  <c r="QU74" i="1"/>
  <c r="RB74" i="1" s="1"/>
  <c r="AMV73" i="1"/>
  <c r="OL73" i="1"/>
  <c r="OZ71" i="1"/>
  <c r="AEO74" i="1"/>
  <c r="AEA76" i="1"/>
  <c r="AMV78" i="1"/>
  <c r="PT74" i="1"/>
  <c r="AER77" i="1"/>
  <c r="PT23" i="1"/>
  <c r="OX71" i="1"/>
  <c r="ADW74" i="1"/>
  <c r="WH76" i="1"/>
  <c r="ALM74" i="1"/>
  <c r="OU73" i="1"/>
  <c r="AME76" i="1"/>
  <c r="AGF76" i="1"/>
  <c r="AGM76" i="1" s="1"/>
  <c r="AEK23" i="1"/>
  <c r="ALX23" i="1"/>
  <c r="AEK71" i="1"/>
  <c r="AMR74" i="1"/>
  <c r="AEA73" i="1"/>
  <c r="AMW62" i="1"/>
  <c r="AEY71" i="1"/>
  <c r="XH73" i="1"/>
  <c r="XG71" i="1"/>
  <c r="ALN74" i="1"/>
  <c r="OJ76" i="1"/>
  <c r="XC73" i="1"/>
  <c r="XJ23" i="1"/>
  <c r="NE78" i="1"/>
  <c r="QT78" i="1"/>
  <c r="RA78" i="1" s="1"/>
  <c r="AMT62" i="1"/>
  <c r="WJ74" i="1"/>
  <c r="XF74" i="1"/>
  <c r="AMQ62" i="1"/>
  <c r="AFC23" i="1"/>
  <c r="NH73" i="1"/>
  <c r="PE23" i="1"/>
  <c r="SA11" i="1"/>
  <c r="SB11" i="1" s="1"/>
  <c r="AEA74" i="1"/>
  <c r="PL74" i="1"/>
  <c r="AGF77" i="1"/>
  <c r="AGM77" i="1" s="1"/>
  <c r="AEW23" i="1"/>
  <c r="AEE77" i="1"/>
  <c r="PR76" i="1"/>
  <c r="PM23" i="1"/>
  <c r="ON14" i="1"/>
  <c r="AET23" i="1"/>
  <c r="PU71" i="1"/>
  <c r="AMJ23" i="1"/>
  <c r="AMI11" i="1"/>
  <c r="AET77" i="1"/>
  <c r="WF73" i="1"/>
  <c r="WL76" i="1"/>
  <c r="AFD62" i="1"/>
  <c r="ADZ73" i="1"/>
  <c r="XD74" i="1"/>
  <c r="ALK71" i="1"/>
  <c r="AGR77" i="1"/>
  <c r="AEC71" i="1"/>
  <c r="OL18" i="1"/>
  <c r="PN23" i="1"/>
  <c r="AMR71" i="1"/>
  <c r="OZ73" i="1"/>
  <c r="ALT73" i="1"/>
  <c r="NE74" i="1"/>
  <c r="UV71" i="1"/>
  <c r="YL78" i="1"/>
  <c r="YS78" i="1" s="1"/>
  <c r="ALQ73" i="1"/>
  <c r="ON23" i="1"/>
  <c r="PK17" i="1"/>
  <c r="ALZ13" i="1"/>
  <c r="RH14" i="1"/>
  <c r="AME58" i="1"/>
  <c r="AEB60" i="1"/>
  <c r="AMT17" i="1"/>
  <c r="PG74" i="1"/>
  <c r="WK76" i="1"/>
  <c r="AFG77" i="1"/>
  <c r="AGO77" i="1" s="1"/>
  <c r="PG75" i="1"/>
  <c r="AML13" i="1"/>
  <c r="WY18" i="1"/>
  <c r="WW72" i="1"/>
  <c r="AGD17" i="1"/>
  <c r="AGK17" i="1" s="1"/>
  <c r="ACQ60" i="1"/>
  <c r="WO10" i="1"/>
  <c r="WB18" i="1"/>
  <c r="OU75" i="1"/>
  <c r="WQ58" i="1"/>
  <c r="AGQ75" i="1"/>
  <c r="AEY20" i="1"/>
  <c r="AGD78" i="1"/>
  <c r="AGK78" i="1" s="1"/>
  <c r="WE74" i="1"/>
  <c r="XI23" i="1"/>
  <c r="ANV18" i="1"/>
  <c r="AOC18" i="1" s="1"/>
  <c r="PK76" i="1"/>
  <c r="OL23" i="1"/>
  <c r="AMQ75" i="1"/>
  <c r="WK71" i="1"/>
  <c r="WM76" i="1"/>
  <c r="RG71" i="1"/>
  <c r="NH60" i="1"/>
  <c r="ANV23" i="1"/>
  <c r="AOC23" i="1" s="1"/>
  <c r="WX78" i="1"/>
  <c r="AKF74" i="1"/>
  <c r="AEB76" i="1"/>
  <c r="AEG74" i="1"/>
  <c r="OR60" i="1"/>
  <c r="RH23" i="1"/>
  <c r="AEX76" i="1"/>
  <c r="XM74" i="1"/>
  <c r="YM23" i="1"/>
  <c r="YT23" i="1" s="1"/>
  <c r="WT76" i="1"/>
  <c r="AMJ72" i="1"/>
  <c r="PR18" i="1"/>
  <c r="AHK76" i="1"/>
  <c r="PE57" i="1"/>
  <c r="PS14" i="1"/>
  <c r="AGR18" i="1"/>
  <c r="AEU78" i="1"/>
  <c r="ACR18" i="1"/>
  <c r="RG59" i="1"/>
  <c r="AKG71" i="1"/>
  <c r="WM23" i="1"/>
  <c r="AGF23" i="1"/>
  <c r="AGM23" i="1" s="1"/>
  <c r="AKF23" i="1"/>
  <c r="ADS73" i="1"/>
  <c r="AMA76" i="1"/>
  <c r="AGF71" i="1"/>
  <c r="AGM71" i="1" s="1"/>
  <c r="PT17" i="1"/>
  <c r="OY74" i="1"/>
  <c r="XN73" i="1"/>
  <c r="YV73" i="1" s="1"/>
  <c r="ADV71" i="1"/>
  <c r="AKE23" i="1"/>
  <c r="UV23" i="1"/>
  <c r="AMT74" i="1"/>
  <c r="AMQ76" i="1"/>
  <c r="PF76" i="1"/>
  <c r="AFA23" i="1"/>
  <c r="AMX23" i="1"/>
  <c r="AOF23" i="1" s="1"/>
  <c r="ALR74" i="1"/>
  <c r="QV76" i="1"/>
  <c r="RC76" i="1" s="1"/>
  <c r="YL71" i="1"/>
  <c r="YS71" i="1" s="1"/>
  <c r="ALU23" i="1"/>
  <c r="OH76" i="1"/>
  <c r="UW23" i="1"/>
  <c r="XM71" i="1"/>
  <c r="AMW76" i="1"/>
  <c r="AEJ71" i="1"/>
  <c r="PM78" i="1"/>
  <c r="UW74" i="1"/>
  <c r="AMR57" i="1"/>
  <c r="UV74" i="1"/>
  <c r="YL76" i="1"/>
  <c r="YS76" i="1" s="1"/>
  <c r="PR78" i="1"/>
  <c r="OI73" i="1"/>
  <c r="AGQ74" i="1"/>
  <c r="AED74" i="1"/>
  <c r="AMH73" i="1"/>
  <c r="ALR76" i="1"/>
  <c r="AMI73" i="1"/>
  <c r="AML10" i="1"/>
  <c r="OH74" i="1"/>
  <c r="AEI77" i="1"/>
  <c r="ON74" i="1"/>
  <c r="WB78" i="1"/>
  <c r="WC76" i="1"/>
  <c r="ALJ23" i="1"/>
  <c r="ON73" i="1"/>
  <c r="WZ78" i="1"/>
  <c r="AEE23" i="1"/>
  <c r="WI78" i="1"/>
  <c r="AKI76" i="1"/>
  <c r="OX23" i="1"/>
  <c r="ND78" i="1"/>
  <c r="PS73" i="1"/>
  <c r="ALI78" i="1"/>
  <c r="UV76" i="1"/>
  <c r="WA71" i="1"/>
  <c r="AKF76" i="1"/>
  <c r="ALV71" i="1"/>
  <c r="AMM71" i="1"/>
  <c r="AGQ20" i="1"/>
  <c r="ALS73" i="1"/>
  <c r="AEZ74" i="1"/>
  <c r="WR23" i="1"/>
  <c r="AEK62" i="1"/>
  <c r="PC76" i="1"/>
  <c r="OI76" i="1"/>
  <c r="AMC62" i="1"/>
  <c r="OT74" i="1"/>
  <c r="OK23" i="1"/>
  <c r="PJ73" i="1"/>
  <c r="OV73" i="1"/>
  <c r="AMW74" i="1"/>
  <c r="OT71" i="1"/>
  <c r="AMN71" i="1"/>
  <c r="XL71" i="1"/>
  <c r="ANU78" i="1"/>
  <c r="XE73" i="1"/>
  <c r="AEH73" i="1"/>
  <c r="ALJ71" i="1"/>
  <c r="AHK77" i="1"/>
  <c r="AHL77" i="1" s="1"/>
  <c r="PK73" i="1"/>
  <c r="AMA73" i="1"/>
  <c r="WP71" i="1"/>
  <c r="WQ18" i="1"/>
  <c r="XN18" i="1"/>
  <c r="YV18" i="1" s="1"/>
  <c r="PV57" i="1"/>
  <c r="WH10" i="1"/>
  <c r="NG72" i="1"/>
  <c r="AEG17" i="1"/>
  <c r="ALS78" i="1"/>
  <c r="AMN78" i="1"/>
  <c r="AFG11" i="1"/>
  <c r="AGO11" i="1" s="1"/>
  <c r="ALQ63" i="1"/>
  <c r="QV14" i="1"/>
  <c r="RC14" i="1" s="1"/>
  <c r="AMT63" i="1"/>
  <c r="QW17" i="1"/>
  <c r="RD17" i="1" s="1"/>
  <c r="WP17" i="1"/>
  <c r="OK17" i="1"/>
  <c r="AEW72" i="1"/>
  <c r="OL20" i="1"/>
  <c r="RH20" i="1"/>
  <c r="RJ20" i="1" s="1"/>
  <c r="AEF18" i="1"/>
  <c r="AMH11" i="1"/>
  <c r="OI11" i="1"/>
  <c r="ALK13" i="1"/>
  <c r="UY23" i="1"/>
  <c r="AMF71" i="1"/>
  <c r="XK76" i="1"/>
  <c r="WW23" i="1"/>
  <c r="ALI71" i="1"/>
  <c r="AEC11" i="1"/>
  <c r="ADU76" i="1"/>
  <c r="AEV23" i="1"/>
  <c r="WQ78" i="1"/>
  <c r="OK78" i="1"/>
  <c r="AEA77" i="1"/>
  <c r="ALL76" i="1"/>
  <c r="AMR78" i="1"/>
  <c r="AGE74" i="1"/>
  <c r="AGL74" i="1" s="1"/>
  <c r="AMD74" i="1"/>
  <c r="WT73" i="1"/>
  <c r="AMU73" i="1"/>
  <c r="AEP74" i="1"/>
  <c r="AFF77" i="1"/>
  <c r="ALT62" i="1"/>
  <c r="ALN76" i="1"/>
  <c r="AET71" i="1"/>
  <c r="XJ74" i="1"/>
  <c r="WL58" i="1"/>
  <c r="AFB11" i="1"/>
  <c r="AMG76" i="1"/>
  <c r="AMV11" i="1"/>
  <c r="PA14" i="1"/>
  <c r="PL14" i="1"/>
  <c r="AEJ76" i="1"/>
  <c r="OR73" i="1"/>
  <c r="ALZ71" i="1"/>
  <c r="ACO23" i="1"/>
  <c r="NF78" i="1"/>
  <c r="AMD71" i="1"/>
  <c r="AGF73" i="1"/>
  <c r="AGM73" i="1" s="1"/>
  <c r="UY73" i="1"/>
  <c r="WX71" i="1"/>
  <c r="XJ73" i="1"/>
  <c r="XF76" i="1"/>
  <c r="AMR76" i="1"/>
  <c r="AMX74" i="1"/>
  <c r="AOF74" i="1" s="1"/>
  <c r="ADT76" i="1"/>
  <c r="RG73" i="1"/>
  <c r="ND73" i="1"/>
  <c r="OW74" i="1"/>
  <c r="WO71" i="1"/>
  <c r="ND74" i="1"/>
  <c r="ACN23" i="1"/>
  <c r="AFD76" i="1"/>
  <c r="WQ71" i="1"/>
  <c r="ACN76" i="1"/>
  <c r="ADR73" i="1"/>
  <c r="AEE76" i="1"/>
  <c r="ADZ23" i="1"/>
  <c r="AGD77" i="1"/>
  <c r="AGK77" i="1" s="1"/>
  <c r="WN73" i="1"/>
  <c r="ANW73" i="1"/>
  <c r="AOD73" i="1" s="1"/>
  <c r="ALV23" i="1"/>
  <c r="PK78" i="1"/>
  <c r="AMG74" i="1"/>
  <c r="SA73" i="1"/>
  <c r="AMJ76" i="1"/>
  <c r="AFB77" i="1"/>
  <c r="AEM76" i="1"/>
  <c r="WS23" i="1"/>
  <c r="ACQ23" i="1"/>
  <c r="AEP71" i="1"/>
  <c r="NG73" i="1"/>
  <c r="ALZ76" i="1"/>
  <c r="AMS73" i="1"/>
  <c r="AEZ71" i="1"/>
  <c r="AEQ17" i="1"/>
  <c r="PA71" i="1"/>
  <c r="ALP73" i="1"/>
  <c r="XG76" i="1"/>
  <c r="OJ71" i="1"/>
  <c r="AMS74" i="1"/>
  <c r="AEO73" i="1"/>
  <c r="AED77" i="1"/>
  <c r="OQ73" i="1"/>
  <c r="ACQ77" i="1"/>
  <c r="PF73" i="1"/>
  <c r="WC23" i="1"/>
  <c r="AMU78" i="1"/>
  <c r="AMG78" i="1"/>
  <c r="AMF73" i="1"/>
  <c r="AFE74" i="1"/>
  <c r="AEX74" i="1"/>
  <c r="XG17" i="1"/>
  <c r="AMC78" i="1"/>
  <c r="OT76" i="1"/>
  <c r="AEU76" i="1"/>
  <c r="ALY78" i="1"/>
  <c r="AEZ23" i="1"/>
  <c r="ACO18" i="1"/>
  <c r="OQ71" i="1"/>
  <c r="AMQ74" i="1"/>
  <c r="AMS76" i="1"/>
  <c r="NF74" i="1"/>
  <c r="AMI76" i="1"/>
  <c r="PC23" i="1"/>
  <c r="RH60" i="1"/>
  <c r="QW73" i="1"/>
  <c r="RD73" i="1" s="1"/>
  <c r="XJ71" i="1"/>
  <c r="AET74" i="1"/>
  <c r="ALX13" i="1"/>
  <c r="PV11" i="1"/>
  <c r="WY14" i="1"/>
  <c r="ADY60" i="1"/>
  <c r="WP75" i="1"/>
  <c r="AEE75" i="1"/>
  <c r="ALO23" i="1"/>
  <c r="ALW71" i="1"/>
  <c r="OP10" i="1"/>
  <c r="WI18" i="1"/>
  <c r="ND18" i="1"/>
  <c r="PS75" i="1"/>
  <c r="PU17" i="1"/>
  <c r="ALS11" i="1"/>
  <c r="WF75" i="1"/>
  <c r="AML75" i="1"/>
  <c r="PE75" i="1"/>
  <c r="WT10" i="1"/>
  <c r="AER10" i="1"/>
  <c r="AEZ20" i="1"/>
  <c r="OH77" i="1"/>
  <c r="ND57" i="1"/>
  <c r="AMX62" i="1"/>
  <c r="AOF62" i="1" s="1"/>
  <c r="AMK74" i="1"/>
  <c r="NF62" i="1"/>
  <c r="ALR78" i="1"/>
  <c r="AMC74" i="1"/>
  <c r="AED72" i="1"/>
  <c r="AMQ71" i="1"/>
  <c r="OV78" i="1"/>
  <c r="WU71" i="1"/>
  <c r="AEJ11" i="1"/>
  <c r="AKG73" i="1"/>
  <c r="AMT73" i="1"/>
  <c r="AEG73" i="1"/>
  <c r="AMO23" i="1"/>
  <c r="AGE77" i="1"/>
  <c r="AGL77" i="1" s="1"/>
  <c r="AGT77" i="1" s="1"/>
  <c r="ADS77" i="1"/>
  <c r="AFG76" i="1"/>
  <c r="AGO76" i="1" s="1"/>
  <c r="AMQ77" i="1"/>
  <c r="OV74" i="1"/>
  <c r="UY71" i="1"/>
  <c r="OO76" i="1"/>
  <c r="ON60" i="1"/>
  <c r="ALT23" i="1"/>
  <c r="AME23" i="1"/>
  <c r="PG78" i="1"/>
  <c r="ALQ10" i="1"/>
  <c r="XL76" i="1"/>
  <c r="PW71" i="1"/>
  <c r="RE71" i="1" s="1"/>
  <c r="AEX23" i="1"/>
  <c r="ND71" i="1"/>
  <c r="WM73" i="1"/>
  <c r="AEG62" i="1"/>
  <c r="WF78" i="1"/>
  <c r="XC78" i="1"/>
  <c r="ALW76" i="1"/>
  <c r="AKI78" i="1"/>
  <c r="ALY74" i="1"/>
  <c r="ALK76" i="1"/>
  <c r="AEY74" i="1"/>
  <c r="PQ78" i="1"/>
  <c r="ALO73" i="1"/>
  <c r="AEV71" i="1"/>
  <c r="ALP76" i="1"/>
  <c r="AFG75" i="1"/>
  <c r="AGO75" i="1" s="1"/>
  <c r="PL23" i="1"/>
  <c r="PO23" i="1"/>
  <c r="ALJ78" i="1"/>
  <c r="PW74" i="1"/>
  <c r="RE74" i="1" s="1"/>
  <c r="XI71" i="1"/>
  <c r="WD73" i="1"/>
  <c r="YN23" i="1"/>
  <c r="YU23" i="1" s="1"/>
  <c r="AMS78" i="1"/>
  <c r="XN74" i="1"/>
  <c r="YV74" i="1" s="1"/>
  <c r="VY74" i="1"/>
  <c r="WF76" i="1"/>
  <c r="WF23" i="1"/>
  <c r="AEP23" i="1"/>
  <c r="QU73" i="1"/>
  <c r="RB73" i="1" s="1"/>
  <c r="ALZ74" i="1"/>
  <c r="ANX71" i="1"/>
  <c r="AOE71" i="1" s="1"/>
  <c r="AEO23" i="1"/>
  <c r="ALP62" i="1"/>
  <c r="ACO77" i="1"/>
  <c r="AMT76" i="1"/>
  <c r="AGQ71" i="1"/>
  <c r="ANU76" i="1"/>
  <c r="ADX73" i="1"/>
  <c r="ADT71" i="1"/>
  <c r="WW76" i="1"/>
  <c r="OW76" i="1"/>
  <c r="AEK76" i="1"/>
  <c r="ACQ73" i="1"/>
  <c r="ACN77" i="1"/>
  <c r="WH71" i="1"/>
  <c r="AME78" i="1"/>
  <c r="AMH76" i="1"/>
  <c r="WK78" i="1"/>
  <c r="ALI10" i="1"/>
  <c r="AKE62" i="1"/>
  <c r="AMS62" i="1"/>
  <c r="AMA74" i="1"/>
  <c r="WV71" i="1"/>
  <c r="ALO78" i="1"/>
  <c r="AEL23" i="1"/>
  <c r="AEX20" i="1"/>
  <c r="AKI74" i="1"/>
  <c r="WP23" i="1"/>
  <c r="XE23" i="1"/>
  <c r="AMR73" i="1"/>
  <c r="WY73" i="1"/>
  <c r="AEZ77" i="1"/>
  <c r="AHK73" i="1"/>
  <c r="OZ74" i="1"/>
  <c r="YK78" i="1"/>
  <c r="AKE73" i="1"/>
  <c r="AML78" i="1"/>
  <c r="AEB73" i="1"/>
  <c r="XK73" i="1"/>
  <c r="XL23" i="1"/>
  <c r="AEI76" i="1"/>
  <c r="YL74" i="1"/>
  <c r="YS74" i="1" s="1"/>
  <c r="VY73" i="1"/>
  <c r="WQ76" i="1"/>
  <c r="AMH71" i="1"/>
  <c r="AEJ23" i="1"/>
  <c r="XH71" i="1"/>
  <c r="AHK23" i="1"/>
  <c r="AMI62" i="1"/>
  <c r="PL73" i="1"/>
  <c r="PI78" i="1"/>
  <c r="PV73" i="1"/>
  <c r="AEN71" i="1"/>
  <c r="ADW23" i="1"/>
  <c r="PR73" i="1"/>
  <c r="ADY74" i="1"/>
  <c r="AEL74" i="1"/>
  <c r="AEX77" i="1"/>
  <c r="WZ73" i="1"/>
  <c r="PH23" i="1"/>
  <c r="PN60" i="1"/>
  <c r="UY76" i="1"/>
  <c r="WZ76" i="1"/>
  <c r="AFA76" i="1"/>
  <c r="ACO74" i="1"/>
  <c r="AMS71" i="1"/>
  <c r="XA73" i="1"/>
  <c r="OK77" i="1"/>
  <c r="ADV76" i="1"/>
  <c r="AEL73" i="1"/>
  <c r="XL74" i="1"/>
  <c r="UU74" i="1"/>
  <c r="AMN73" i="1"/>
  <c r="AMW71" i="1"/>
  <c r="ANV62" i="1"/>
  <c r="AOC62" i="1" s="1"/>
  <c r="ALZ23" i="1"/>
  <c r="OU71" i="1"/>
  <c r="OZ76" i="1"/>
  <c r="OJ74" i="1"/>
  <c r="ALX62" i="1"/>
  <c r="PU73" i="1"/>
  <c r="AGD73" i="1"/>
  <c r="AGK73" i="1" s="1"/>
  <c r="ADS71" i="1"/>
  <c r="UX78" i="1"/>
  <c r="ADZ77" i="1"/>
  <c r="AMX76" i="1"/>
  <c r="AOF76" i="1" s="1"/>
  <c r="WZ74" i="1"/>
  <c r="WB73" i="1"/>
  <c r="AEE74" i="1"/>
  <c r="YL73" i="1"/>
  <c r="YS73" i="1" s="1"/>
  <c r="WD76" i="1"/>
  <c r="WN23" i="1"/>
  <c r="OZ23" i="1"/>
  <c r="OR78" i="1"/>
  <c r="UY74" i="1"/>
  <c r="XI76" i="1"/>
  <c r="WL23" i="1"/>
  <c r="OM71" i="1"/>
  <c r="PN71" i="1"/>
  <c r="ADR23" i="1"/>
  <c r="ANU71" i="1"/>
  <c r="ALW23" i="1"/>
  <c r="OY78" i="1"/>
  <c r="PW78" i="1"/>
  <c r="RE78" i="1" s="1"/>
  <c r="ADT23" i="1"/>
  <c r="AFF13" i="1"/>
  <c r="OS71" i="1"/>
  <c r="AEE71" i="1"/>
  <c r="AMF76" i="1"/>
  <c r="ALM57" i="1"/>
  <c r="PP78" i="1"/>
  <c r="OP73" i="1"/>
  <c r="AEX71" i="1"/>
  <c r="PI60" i="1"/>
  <c r="AMU74" i="1"/>
  <c r="ALV74" i="1"/>
  <c r="AMG23" i="1"/>
  <c r="ALN71" i="1"/>
  <c r="PS76" i="1"/>
  <c r="AMN62" i="1"/>
  <c r="WJ78" i="1"/>
  <c r="PL71" i="1"/>
  <c r="PJ76" i="1"/>
  <c r="PS74" i="1"/>
  <c r="XG23" i="1"/>
  <c r="AFD77" i="1"/>
  <c r="OR74" i="1"/>
  <c r="WE73" i="1"/>
  <c r="WB76" i="1"/>
  <c r="AEO77" i="1"/>
  <c r="UY78" i="1"/>
  <c r="WU74" i="1"/>
  <c r="AMB76" i="1"/>
  <c r="AEH74" i="1"/>
  <c r="PV23" i="1"/>
  <c r="XC76" i="1"/>
  <c r="OS76" i="1"/>
  <c r="NH78" i="1"/>
  <c r="WW78" i="1"/>
  <c r="AEB77" i="1"/>
  <c r="OQ23" i="1"/>
  <c r="PF71" i="1"/>
  <c r="PP74" i="1"/>
  <c r="WH74" i="1"/>
  <c r="YN71" i="1"/>
  <c r="YU71" i="1" s="1"/>
  <c r="ADT11" i="1"/>
  <c r="WD74" i="1"/>
  <c r="XG74" i="1"/>
  <c r="OI74" i="1"/>
  <c r="ON76" i="1"/>
  <c r="PJ23" i="1"/>
  <c r="OX74" i="1"/>
  <c r="PR71" i="1"/>
  <c r="AFA74" i="1"/>
  <c r="WY71" i="1"/>
  <c r="WX18" i="1"/>
  <c r="OM75" i="1"/>
  <c r="PQ75" i="1"/>
  <c r="XG72" i="1"/>
  <c r="AME75" i="1"/>
  <c r="AKG57" i="1"/>
  <c r="AMW11" i="1"/>
  <c r="OW23" i="1"/>
  <c r="XB71" i="1"/>
  <c r="AMH62" i="1"/>
  <c r="AEP58" i="1"/>
  <c r="QU14" i="1"/>
  <c r="RB14" i="1" s="1"/>
  <c r="AKG18" i="1"/>
  <c r="ANV13" i="1"/>
  <c r="AOC13" i="1" s="1"/>
  <c r="WH18" i="1"/>
  <c r="AMM13" i="1"/>
  <c r="OU20" i="1"/>
  <c r="AEW62" i="1"/>
  <c r="AHK62" i="1"/>
  <c r="AHL62" i="1" s="1"/>
  <c r="WB17" i="1"/>
  <c r="OK11" i="1"/>
  <c r="YK77" i="1"/>
  <c r="PI18" i="1"/>
  <c r="ALR73" i="1"/>
  <c r="AML71" i="1"/>
  <c r="AGR23" i="1"/>
  <c r="YN74" i="1"/>
  <c r="YU74" i="1" s="1"/>
  <c r="WS74" i="1"/>
  <c r="ACR11" i="1"/>
  <c r="AEB71" i="1"/>
  <c r="XD73" i="1"/>
  <c r="SA76" i="1"/>
  <c r="OY23" i="1"/>
  <c r="AFE73" i="1"/>
  <c r="WT23" i="1"/>
  <c r="ALR23" i="1"/>
  <c r="XL73" i="1"/>
  <c r="WC73" i="1"/>
  <c r="XD78" i="1"/>
  <c r="AKF73" i="1"/>
  <c r="AEJ17" i="1"/>
  <c r="AGG71" i="1"/>
  <c r="AGN71" i="1" s="1"/>
  <c r="AEC23" i="1"/>
  <c r="ALW62" i="1"/>
  <c r="PE78" i="1"/>
  <c r="WB23" i="1"/>
  <c r="AMK78" i="1"/>
  <c r="ALM78" i="1"/>
  <c r="AMC73" i="1"/>
  <c r="AEN23" i="1"/>
  <c r="WX23" i="1"/>
  <c r="AKH74" i="1"/>
  <c r="AGD23" i="1"/>
  <c r="AGK23" i="1" s="1"/>
  <c r="ALT71" i="1"/>
  <c r="QV23" i="1"/>
  <c r="RC23" i="1" s="1"/>
  <c r="AMU76" i="1"/>
  <c r="AGD74" i="1"/>
  <c r="AGK74" i="1" s="1"/>
  <c r="OM23" i="1"/>
  <c r="PE71" i="1"/>
  <c r="WU78" i="1"/>
  <c r="ADR60" i="1"/>
  <c r="ADV23" i="1"/>
  <c r="AKH78" i="1"/>
  <c r="ANX74" i="1"/>
  <c r="AOE74" i="1" s="1"/>
  <c r="WG74" i="1"/>
  <c r="AMM23" i="1"/>
  <c r="AKI75" i="1"/>
  <c r="AMP78" i="1"/>
  <c r="WP76" i="1"/>
  <c r="OO71" i="1"/>
  <c r="OP78" i="1"/>
  <c r="AET76" i="1"/>
  <c r="XK78" i="1"/>
  <c r="AEH77" i="1"/>
  <c r="NH76" i="1"/>
  <c r="PE74" i="1"/>
  <c r="UU78" i="1"/>
  <c r="AMD73" i="1"/>
  <c r="ALQ76" i="1"/>
  <c r="AEI73" i="1"/>
  <c r="UU76" i="1"/>
  <c r="XK23" i="1"/>
  <c r="AEV73" i="1"/>
  <c r="YM74" i="1"/>
  <c r="YT74" i="1" s="1"/>
  <c r="YK76" i="1"/>
  <c r="OW71" i="1"/>
  <c r="AEW76" i="1"/>
  <c r="AEI23" i="1"/>
  <c r="WE23" i="1"/>
  <c r="XM76" i="1"/>
  <c r="AMB62" i="1"/>
  <c r="ADW76" i="1"/>
  <c r="AMF74" i="1"/>
  <c r="PM76" i="1"/>
  <c r="AMJ71" i="1"/>
  <c r="AMR62" i="1"/>
  <c r="UW76" i="1"/>
  <c r="OV76" i="1"/>
  <c r="AEY77" i="1"/>
  <c r="ADU77" i="1"/>
  <c r="WY74" i="1"/>
  <c r="AKE74" i="1"/>
  <c r="WP74" i="1"/>
  <c r="ALJ76" i="1"/>
  <c r="WO76" i="1"/>
  <c r="WM78" i="1"/>
  <c r="AMB73" i="1"/>
  <c r="AHK72" i="1"/>
  <c r="AMC71" i="1"/>
  <c r="OO78" i="1"/>
  <c r="AMJ78" i="1"/>
  <c r="AMI74" i="1"/>
  <c r="OV71" i="1"/>
  <c r="PO71" i="1"/>
  <c r="AMU71" i="1"/>
  <c r="VZ74" i="1"/>
  <c r="AMA23" i="1"/>
  <c r="NE71" i="1"/>
  <c r="PO76" i="1"/>
  <c r="AES23" i="1"/>
  <c r="AMU62" i="1"/>
  <c r="ALU76" i="1"/>
  <c r="AEJ73" i="1"/>
  <c r="ALV62" i="1"/>
  <c r="WH78" i="1"/>
  <c r="AEM77" i="1"/>
  <c r="WC71" i="1"/>
  <c r="AEO71" i="1"/>
  <c r="WG73" i="1"/>
  <c r="AES73" i="1"/>
  <c r="ALY23" i="1"/>
  <c r="VZ76" i="1"/>
  <c r="AFD71" i="1"/>
  <c r="ADS76" i="1"/>
  <c r="WT71" i="1"/>
  <c r="XI74" i="1"/>
  <c r="XB76" i="1"/>
  <c r="QW74" i="1"/>
  <c r="RD74" i="1" s="1"/>
  <c r="ADX77" i="1"/>
  <c r="AHK71" i="1"/>
  <c r="ADU74" i="1"/>
  <c r="NG13" i="1"/>
  <c r="WC78" i="1"/>
  <c r="AEQ76" i="1"/>
  <c r="ADT74" i="1"/>
  <c r="OK72" i="1"/>
  <c r="AGG77" i="1"/>
  <c r="AGN77" i="1" s="1"/>
  <c r="QW76" i="1"/>
  <c r="RD76" i="1" s="1"/>
  <c r="PI76" i="1"/>
  <c r="VZ77" i="1"/>
  <c r="PB23" i="1"/>
  <c r="PG23" i="1"/>
  <c r="QV73" i="1"/>
  <c r="RC73" i="1" s="1"/>
  <c r="ADX71" i="1"/>
  <c r="AMM74" i="1"/>
  <c r="AEE73" i="1"/>
  <c r="WQ74" i="1"/>
  <c r="WE78" i="1"/>
  <c r="ALY73" i="1"/>
  <c r="ALW78" i="1"/>
  <c r="OO73" i="1"/>
  <c r="WQ73" i="1"/>
  <c r="PP71" i="1"/>
  <c r="AEH23" i="1"/>
  <c r="ALM62" i="1"/>
  <c r="UX76" i="1"/>
  <c r="OI71" i="1"/>
  <c r="AKE71" i="1"/>
  <c r="ACQ74" i="1"/>
  <c r="VY71" i="1"/>
  <c r="WX76" i="1"/>
  <c r="AMJ62" i="1"/>
  <c r="AMW73" i="1"/>
  <c r="AMO78" i="1"/>
  <c r="WX74" i="1"/>
  <c r="UU73" i="1"/>
  <c r="PN78" i="1"/>
  <c r="WD78" i="1"/>
  <c r="AKG78" i="1"/>
  <c r="AGG23" i="1"/>
  <c r="AGN23" i="1" s="1"/>
  <c r="YK23" i="1"/>
  <c r="AMO58" i="1"/>
  <c r="YM71" i="1"/>
  <c r="YT71" i="1" s="1"/>
  <c r="ALV78" i="1"/>
  <c r="AEG76" i="1"/>
  <c r="NG76" i="1"/>
  <c r="ADY76" i="1"/>
  <c r="PA58" i="1"/>
  <c r="ALK62" i="1"/>
  <c r="AMB23" i="1"/>
  <c r="AKI23" i="1"/>
  <c r="PB60" i="1"/>
  <c r="WL73" i="1"/>
  <c r="WU76" i="1"/>
  <c r="ACP76" i="1"/>
  <c r="AEN74" i="1"/>
  <c r="XK74" i="1"/>
  <c r="SA74" i="1"/>
  <c r="XD23" i="1"/>
  <c r="ADX76" i="1"/>
  <c r="XF78" i="1"/>
  <c r="AMH23" i="1"/>
  <c r="PW76" i="1"/>
  <c r="RE76" i="1" s="1"/>
  <c r="ALQ74" i="1"/>
  <c r="ACP73" i="1"/>
  <c r="AFF71" i="1"/>
  <c r="OI23" i="1"/>
  <c r="NG71" i="1"/>
  <c r="WN76" i="1"/>
  <c r="YM78" i="1"/>
  <c r="YT78" i="1" s="1"/>
  <c r="AFG74" i="1"/>
  <c r="AGO74" i="1" s="1"/>
  <c r="PP76" i="1"/>
  <c r="AFF23" i="1"/>
  <c r="UX71" i="1"/>
  <c r="ALM73" i="1"/>
  <c r="ALQ78" i="1"/>
  <c r="WB71" i="1"/>
  <c r="ALT74" i="1"/>
  <c r="ALS76" i="1"/>
  <c r="AFE71" i="1"/>
  <c r="ALK23" i="1"/>
  <c r="PQ71" i="1"/>
  <c r="QT74" i="1"/>
  <c r="RA74" i="1" s="1"/>
  <c r="AMA78" i="1"/>
  <c r="XH23" i="1"/>
  <c r="AFE77" i="1"/>
  <c r="AES77" i="1"/>
  <c r="AMC76" i="1"/>
  <c r="AEF23" i="1"/>
  <c r="WL74" i="1"/>
  <c r="ANX23" i="1"/>
  <c r="AOE23" i="1" s="1"/>
  <c r="NH77" i="1"/>
  <c r="OQ76" i="1"/>
  <c r="AMM76" i="1"/>
  <c r="AFC73" i="1"/>
  <c r="AGD62" i="1"/>
  <c r="AGK62" i="1" s="1"/>
  <c r="ADW77" i="1"/>
  <c r="AEH71" i="1"/>
  <c r="WR76" i="1"/>
  <c r="ALL23" i="1"/>
  <c r="ANV76" i="1"/>
  <c r="AOC76" i="1" s="1"/>
  <c r="ALQ23" i="1"/>
  <c r="ALU73" i="1"/>
  <c r="ACN71" i="1"/>
  <c r="AMW78" i="1"/>
  <c r="PI74" i="1"/>
  <c r="AEU74" i="1"/>
  <c r="AGQ77" i="1"/>
  <c r="AEF77" i="1"/>
  <c r="UW78" i="1"/>
  <c r="UX74" i="1"/>
  <c r="PW23" i="1"/>
  <c r="RE23" i="1" s="1"/>
  <c r="OS74" i="1"/>
  <c r="AFD73" i="1"/>
  <c r="AGE23" i="1"/>
  <c r="AGL23" i="1" s="1"/>
  <c r="AMJ63" i="1"/>
  <c r="PC14" i="1"/>
  <c r="ALT18" i="1"/>
  <c r="AMC11" i="1"/>
  <c r="NE11" i="1"/>
  <c r="OV11" i="1"/>
  <c r="AEZ11" i="1"/>
  <c r="PU23" i="1"/>
  <c r="AEQ77" i="1"/>
  <c r="WI58" i="1"/>
  <c r="AET78" i="1"/>
  <c r="AGR20" i="1"/>
  <c r="AGT20" i="1" s="1"/>
  <c r="WQ62" i="1"/>
  <c r="AFB58" i="1"/>
  <c r="XJ62" i="1"/>
  <c r="PR13" i="1"/>
  <c r="ACQ13" i="1"/>
  <c r="ANW72" i="1"/>
  <c r="AOD72" i="1" s="1"/>
  <c r="AEU18" i="1"/>
  <c r="OZ18" i="1"/>
  <c r="PS60" i="1"/>
  <c r="PO60" i="1"/>
  <c r="PB74" i="1"/>
  <c r="AKI62" i="1"/>
  <c r="PD23" i="1"/>
  <c r="OU23" i="1"/>
  <c r="AGG74" i="1"/>
  <c r="AGN74" i="1" s="1"/>
  <c r="PA73" i="1"/>
  <c r="ANX62" i="1"/>
  <c r="AOE62" i="1" s="1"/>
  <c r="PH76" i="1"/>
  <c r="PR23" i="1"/>
  <c r="ALL77" i="1"/>
  <c r="ALL71" i="1"/>
  <c r="XD71" i="1"/>
  <c r="ON71" i="1"/>
  <c r="OX73" i="1"/>
  <c r="AMJ73" i="1"/>
  <c r="AML76" i="1"/>
  <c r="ALI76" i="1"/>
  <c r="AFC74" i="1"/>
  <c r="QW60" i="1"/>
  <c r="RD60" i="1" s="1"/>
  <c r="ALK73" i="1"/>
  <c r="ANW74" i="1"/>
  <c r="AOD74" i="1" s="1"/>
  <c r="AEZ73" i="1"/>
  <c r="UV73" i="1"/>
  <c r="ANV78" i="1"/>
  <c r="AOC78" i="1" s="1"/>
  <c r="WR78" i="1"/>
  <c r="YL20" i="1"/>
  <c r="YS20" i="1" s="1"/>
  <c r="AEC73" i="1"/>
  <c r="OI78" i="1"/>
  <c r="ON78" i="1"/>
  <c r="AMQ23" i="1"/>
  <c r="AMV76" i="1"/>
  <c r="AEP57" i="1"/>
  <c r="AMP71" i="1"/>
  <c r="PU78" i="1"/>
  <c r="PS71" i="1"/>
  <c r="AEE11" i="1"/>
  <c r="UV78" i="1"/>
  <c r="AFA73" i="1"/>
  <c r="ALP57" i="1"/>
  <c r="XM23" i="1"/>
  <c r="AFC14" i="1"/>
  <c r="PL78" i="1"/>
  <c r="YL23" i="1"/>
  <c r="YS23" i="1" s="1"/>
  <c r="ANW78" i="1"/>
  <c r="AOD78" i="1" s="1"/>
  <c r="AEQ11" i="1"/>
  <c r="AEN76" i="1"/>
  <c r="AEH76" i="1"/>
  <c r="WV78" i="1"/>
  <c r="XM78" i="1"/>
  <c r="AKE76" i="1"/>
  <c r="WE76" i="1"/>
  <c r="QU76" i="1"/>
  <c r="RB76" i="1" s="1"/>
  <c r="ADV77" i="1"/>
  <c r="AGD71" i="1"/>
  <c r="AGK71" i="1" s="1"/>
  <c r="ALS23" i="1"/>
  <c r="AFF73" i="1"/>
  <c r="ALR71" i="1"/>
  <c r="UX23" i="1"/>
  <c r="PG73" i="1"/>
  <c r="WB74" i="1"/>
  <c r="AME71" i="1"/>
  <c r="PM71" i="1"/>
  <c r="VY78" i="1"/>
  <c r="ADU23" i="1"/>
  <c r="AGE73" i="1"/>
  <c r="AGL73" i="1" s="1"/>
  <c r="AMO74" i="1"/>
  <c r="WI71" i="1"/>
  <c r="AMF78" i="1"/>
  <c r="PF23" i="1"/>
  <c r="PJ71" i="1"/>
  <c r="AMV71" i="1"/>
  <c r="AML74" i="1"/>
  <c r="AFG73" i="1"/>
  <c r="AGO73" i="1" s="1"/>
  <c r="AMP23" i="1"/>
  <c r="AGR74" i="1"/>
  <c r="AGT74" i="1" s="1"/>
  <c r="AEB23" i="1"/>
  <c r="XF73" i="1"/>
  <c r="AES10" i="1"/>
  <c r="ADR74" i="1"/>
  <c r="ALP71" i="1"/>
  <c r="WR73" i="1"/>
  <c r="UU77" i="1"/>
  <c r="AMN76" i="1"/>
  <c r="AEN73" i="1"/>
  <c r="WK23" i="1"/>
  <c r="ADT62" i="1"/>
  <c r="AEW71" i="1"/>
  <c r="YN73" i="1"/>
  <c r="YU73" i="1" s="1"/>
  <c r="NF71" i="1"/>
  <c r="AMT78" i="1"/>
  <c r="AMA71" i="1"/>
  <c r="AKE78" i="1"/>
  <c r="AMI23" i="1"/>
  <c r="NG78" i="1"/>
  <c r="NE76" i="1"/>
  <c r="AMP73" i="1"/>
  <c r="ALY62" i="1"/>
  <c r="WR74" i="1"/>
  <c r="AEM73" i="1"/>
  <c r="WO23" i="1"/>
  <c r="XA78" i="1"/>
  <c r="XE74" i="1"/>
  <c r="OS23" i="1"/>
  <c r="PV71" i="1"/>
  <c r="XM73" i="1"/>
  <c r="AKG62" i="1"/>
  <c r="ACQ76" i="1"/>
  <c r="OW78" i="1"/>
  <c r="WS71" i="1"/>
  <c r="AME74" i="1"/>
  <c r="ALP78" i="1"/>
  <c r="XA74" i="1"/>
  <c r="AES76" i="1"/>
  <c r="AMF62" i="1"/>
  <c r="AMM73" i="1"/>
  <c r="ADR71" i="1"/>
  <c r="AKG76" i="1"/>
  <c r="AMN23" i="1"/>
  <c r="XN71" i="1"/>
  <c r="YV71" i="1" s="1"/>
  <c r="PP59" i="1"/>
  <c r="AGQ73" i="1"/>
  <c r="PF78" i="1"/>
  <c r="PU74" i="1"/>
  <c r="AMO10" i="1"/>
  <c r="AEQ23" i="1"/>
  <c r="AKF62" i="1"/>
  <c r="ALI74" i="1"/>
  <c r="PR74" i="1"/>
  <c r="AMO71" i="1"/>
  <c r="WJ71" i="1"/>
  <c r="AKF78" i="1"/>
  <c r="QT23" i="1"/>
  <c r="RA23" i="1" s="1"/>
  <c r="WC74" i="1"/>
  <c r="PH74" i="1"/>
  <c r="ALL73" i="1"/>
  <c r="PP23" i="1"/>
  <c r="XB23" i="1"/>
  <c r="AGG76" i="1"/>
  <c r="AGN76" i="1" s="1"/>
  <c r="QV71" i="1"/>
  <c r="RC71" i="1" s="1"/>
  <c r="RJ71" i="1" s="1"/>
  <c r="WN78" i="1"/>
  <c r="AMG62" i="1"/>
  <c r="ADT73" i="1"/>
  <c r="OY71" i="1"/>
  <c r="WY78" i="1"/>
  <c r="ANX76" i="1"/>
  <c r="AOE76" i="1" s="1"/>
  <c r="PH73" i="1"/>
  <c r="AKH23" i="1"/>
  <c r="WG76" i="1"/>
  <c r="AEL71" i="1"/>
  <c r="RG23" i="1"/>
  <c r="AEW74" i="1"/>
  <c r="AEV76" i="1"/>
  <c r="OM74" i="1"/>
  <c r="WO78" i="1"/>
  <c r="ADW71" i="1"/>
  <c r="WJ76" i="1"/>
  <c r="ND76" i="1"/>
  <c r="PM73" i="1"/>
  <c r="OL78" i="1"/>
  <c r="AEO14" i="1"/>
  <c r="WW73" i="1"/>
  <c r="WG78" i="1"/>
  <c r="AMK73" i="1"/>
  <c r="AGD76" i="1"/>
  <c r="AGK76" i="1" s="1"/>
  <c r="PC78" i="1"/>
  <c r="NF75" i="1"/>
  <c r="WH23" i="1"/>
  <c r="WJ23" i="1"/>
  <c r="AMX78" i="1"/>
  <c r="AOF78" i="1" s="1"/>
  <c r="WL78" i="1"/>
  <c r="AEF76" i="1"/>
  <c r="AEQ74" i="1"/>
  <c r="ALN17" i="1"/>
  <c r="PQ74" i="1"/>
  <c r="OW73" i="1"/>
  <c r="PG76" i="1"/>
  <c r="QT71" i="1"/>
  <c r="RA71" i="1" s="1"/>
  <c r="AFC71" i="1"/>
  <c r="AFG23" i="1"/>
  <c r="AGO23" i="1" s="1"/>
  <c r="WL71" i="1"/>
  <c r="XD76" i="1"/>
  <c r="WG23" i="1"/>
  <c r="ALO71" i="1"/>
  <c r="ALJ62" i="1"/>
  <c r="PD73" i="1"/>
  <c r="ALV76" i="1"/>
  <c r="ADY71" i="1"/>
  <c r="PK23" i="1"/>
  <c r="OS73" i="1"/>
  <c r="AMP76" i="1"/>
  <c r="ADV73" i="1"/>
  <c r="XB73" i="1"/>
  <c r="ACN74" i="1"/>
  <c r="AGE76" i="1"/>
  <c r="AGL76" i="1" s="1"/>
  <c r="YM76" i="1"/>
  <c r="YT76" i="1" s="1"/>
  <c r="WV23" i="1"/>
  <c r="AEO76" i="1"/>
  <c r="ANW62" i="1"/>
  <c r="AOD62" i="1" s="1"/>
  <c r="AKH73" i="1"/>
  <c r="ALU74" i="1"/>
  <c r="AFD74" i="1"/>
  <c r="OL76" i="1"/>
  <c r="XP11" i="1" a="1"/>
  <c r="PY55" i="1" a="1"/>
  <c r="AMZ61" i="1" a="1"/>
  <c r="XP63" i="1" a="1"/>
  <c r="AFI26" i="1" a="1"/>
  <c r="AMZ21" i="1" a="1"/>
  <c r="AMZ55" i="1" a="1"/>
  <c r="AMZ56" i="1" a="1"/>
  <c r="AMZ58" i="1" a="1"/>
  <c r="AFI57" i="1" a="1"/>
  <c r="XP59" i="1" a="1"/>
  <c r="AFI15" i="1" a="1"/>
  <c r="PY19" i="1" a="1"/>
  <c r="XP56" i="1" a="1"/>
  <c r="AFI10" i="1" a="1"/>
  <c r="XP21" i="1" a="1"/>
  <c r="XP14" i="1" a="1"/>
  <c r="PY11" i="1" a="1"/>
  <c r="AMZ57" i="1" a="1"/>
  <c r="XP58" i="1" a="1"/>
  <c r="XP57" i="1" a="1"/>
  <c r="PY62" i="1" a="1"/>
  <c r="PY59" i="1" a="1"/>
  <c r="AFI78" i="1" a="1"/>
  <c r="PY78" i="1" a="1"/>
  <c r="PY18" i="1" a="1"/>
  <c r="PY13" i="1" a="1"/>
  <c r="AMZ77" i="1" a="1"/>
  <c r="AMZ71" i="1" a="1"/>
  <c r="AMZ76" i="1" a="1"/>
  <c r="PY74" i="1" a="1"/>
  <c r="AMZ73" i="1" a="1"/>
  <c r="AFI62" i="1" a="1"/>
  <c r="XP16" i="1" a="1"/>
  <c r="XP19" i="1" a="1"/>
  <c r="PY26" i="1" a="1"/>
  <c r="AMZ26" i="1" a="1"/>
  <c r="AMZ22" i="1" a="1"/>
  <c r="XP61" i="1" a="1"/>
  <c r="AMZ15" i="1" a="1"/>
  <c r="XP55" i="1" a="1"/>
  <c r="AFI56" i="1" a="1"/>
  <c r="AFI21" i="1" a="1"/>
  <c r="AMZ10" i="1" a="1"/>
  <c r="AMZ72" i="1" a="1"/>
  <c r="XP60" i="1" a="1"/>
  <c r="AMZ20" i="1" a="1"/>
  <c r="AFI18" i="1" a="1"/>
  <c r="AFI72" i="1" a="1"/>
  <c r="XP75" i="1" a="1"/>
  <c r="AMZ60" i="1" a="1"/>
  <c r="AFI13" i="1" a="1"/>
  <c r="XP10" i="1" a="1"/>
  <c r="AMZ19" i="1" a="1"/>
  <c r="AFI58" i="1" a="1"/>
  <c r="XP62" i="1" a="1"/>
  <c r="AFI77" i="1" a="1"/>
  <c r="PY75" i="1" a="1"/>
  <c r="PY77" i="1" a="1"/>
  <c r="XP17" i="1" a="1"/>
  <c r="XP23" i="1" a="1"/>
  <c r="AMZ78" i="1" a="1"/>
  <c r="XP78" i="1" a="1"/>
  <c r="PY76" i="1" a="1"/>
  <c r="XP71" i="1" a="1"/>
  <c r="AFI76" i="1" a="1"/>
  <c r="AFI74" i="1" a="1"/>
  <c r="AMZ62" i="1" a="1"/>
  <c r="AMZ23" i="1" a="1"/>
  <c r="AFI11" i="1" a="1"/>
  <c r="AFI73" i="1" a="1"/>
  <c r="AMZ16" i="1" a="1"/>
  <c r="AFI61" i="1" a="1"/>
  <c r="XP12" i="1" a="1"/>
  <c r="AFI59" i="1" a="1"/>
  <c r="XP26" i="1" a="1"/>
  <c r="PY61" i="1" a="1"/>
  <c r="PY16" i="1" a="1"/>
  <c r="PY56" i="1" a="1"/>
  <c r="PY12" i="1" a="1"/>
  <c r="AMZ12" i="1" a="1"/>
  <c r="AFI12" i="1" a="1"/>
  <c r="AMZ14" i="1" a="1"/>
  <c r="XP20" i="1" a="1"/>
  <c r="AMZ17" i="1" a="1"/>
  <c r="PY10" i="1" a="1"/>
  <c r="PY58" i="1" a="1"/>
  <c r="PY57" i="1" a="1"/>
  <c r="PY20" i="1" a="1"/>
  <c r="XP74" i="1" a="1"/>
  <c r="XP76" i="1" a="1"/>
  <c r="PY60" i="1" a="1"/>
  <c r="PY23" i="1" a="1"/>
  <c r="XP72" i="1" a="1"/>
  <c r="AMZ13" i="1" a="1"/>
  <c r="AFI71" i="1" a="1"/>
  <c r="AFI23" i="1" a="1"/>
  <c r="PY71" i="1" a="1"/>
  <c r="XP15" i="1" a="1"/>
  <c r="AMZ59" i="1" a="1"/>
  <c r="PY21" i="1" a="1"/>
  <c r="XP22" i="1" a="1"/>
  <c r="AFI22" i="1" a="1"/>
  <c r="PY22" i="1" a="1"/>
  <c r="XP13" i="1" a="1"/>
  <c r="AFI16" i="1" a="1"/>
  <c r="PY63" i="1" a="1"/>
  <c r="AFI63" i="1" a="1"/>
  <c r="PY15" i="1" a="1"/>
  <c r="AFI75" i="1" a="1"/>
  <c r="AFI55" i="1" a="1"/>
  <c r="AFI19" i="1" a="1"/>
  <c r="PY72" i="1" a="1"/>
  <c r="AMZ18" i="1" a="1"/>
  <c r="AFI14" i="1" a="1"/>
  <c r="PY14" i="1" a="1"/>
  <c r="AMZ11" i="1" a="1"/>
  <c r="AFI60" i="1" a="1"/>
  <c r="PY17" i="1" a="1"/>
  <c r="XP18" i="1" a="1"/>
  <c r="AFI17" i="1" a="1"/>
  <c r="XP77" i="1" a="1"/>
  <c r="AFI20" i="1" a="1"/>
  <c r="XP73" i="1" a="1"/>
  <c r="AMZ63" i="1" a="1"/>
  <c r="AMZ75" i="1" a="1"/>
  <c r="PY73" i="1" a="1"/>
  <c r="AMZ74" i="1" a="1"/>
  <c r="AGT10" i="1" l="1"/>
  <c r="RJ17" i="1"/>
  <c r="AGT21" i="1"/>
  <c r="RJ60" i="1"/>
  <c r="AGT18" i="1"/>
  <c r="RJ61" i="1"/>
  <c r="AHL72" i="1"/>
  <c r="SB76" i="1"/>
  <c r="SB73" i="1"/>
  <c r="RJ72" i="1"/>
  <c r="AMZ74" i="1"/>
  <c r="PY73" i="1"/>
  <c r="AMZ75" i="1"/>
  <c r="AMZ63" i="1"/>
  <c r="XP73" i="1"/>
  <c r="AFI20" i="1"/>
  <c r="XP77" i="1"/>
  <c r="AFI17" i="1"/>
  <c r="XP18" i="1"/>
  <c r="PY17" i="1"/>
  <c r="AFI60" i="1"/>
  <c r="AMZ11" i="1"/>
  <c r="PY14" i="1"/>
  <c r="AFI14" i="1"/>
  <c r="AMZ18" i="1"/>
  <c r="PY72" i="1"/>
  <c r="AFI19" i="1"/>
  <c r="AFI55" i="1"/>
  <c r="AFI75" i="1"/>
  <c r="PY15" i="1"/>
  <c r="AFI63" i="1"/>
  <c r="PY63" i="1"/>
  <c r="AFI16" i="1"/>
  <c r="XP13" i="1"/>
  <c r="PY22" i="1"/>
  <c r="AFI22" i="1"/>
  <c r="XP22" i="1"/>
  <c r="PY21" i="1"/>
  <c r="AMZ59" i="1"/>
  <c r="XP15" i="1"/>
  <c r="PY71" i="1"/>
  <c r="AFI23" i="1"/>
  <c r="AFI71" i="1"/>
  <c r="AMZ13" i="1"/>
  <c r="XP72" i="1"/>
  <c r="PY23" i="1"/>
  <c r="PY60" i="1"/>
  <c r="XP76" i="1"/>
  <c r="XP74" i="1"/>
  <c r="PY20" i="1"/>
  <c r="PY57" i="1"/>
  <c r="PY58" i="1"/>
  <c r="PY10" i="1"/>
  <c r="AMZ17" i="1"/>
  <c r="XP20" i="1"/>
  <c r="AMZ14" i="1"/>
  <c r="AFI12" i="1"/>
  <c r="AMZ12" i="1"/>
  <c r="PY12" i="1"/>
  <c r="PY56" i="1"/>
  <c r="PY16" i="1"/>
  <c r="PY61" i="1"/>
  <c r="XP26" i="1"/>
  <c r="AFI59" i="1"/>
  <c r="XP12" i="1"/>
  <c r="AFI61" i="1"/>
  <c r="AMZ16" i="1"/>
  <c r="AFI73" i="1"/>
  <c r="AFI11" i="1"/>
  <c r="AMZ23" i="1"/>
  <c r="AMZ62" i="1"/>
  <c r="AFI74" i="1"/>
  <c r="AFI76" i="1"/>
  <c r="XP71" i="1"/>
  <c r="PY76" i="1"/>
  <c r="XP78" i="1"/>
  <c r="AMZ78" i="1"/>
  <c r="XP23" i="1"/>
  <c r="XP17" i="1"/>
  <c r="PY77" i="1"/>
  <c r="PY75" i="1"/>
  <c r="AFI77" i="1"/>
  <c r="XP62" i="1"/>
  <c r="AFI58" i="1"/>
  <c r="AMZ19" i="1"/>
  <c r="XP10" i="1"/>
  <c r="AFI13" i="1"/>
  <c r="AMZ60" i="1"/>
  <c r="XP75" i="1"/>
  <c r="AFI72" i="1"/>
  <c r="AFI18" i="1"/>
  <c r="AMZ20" i="1"/>
  <c r="XP60" i="1"/>
  <c r="AMZ72" i="1"/>
  <c r="AMZ10" i="1"/>
  <c r="AFI21" i="1"/>
  <c r="AFI56" i="1"/>
  <c r="XP55" i="1"/>
  <c r="AMZ15" i="1"/>
  <c r="XP61" i="1"/>
  <c r="AMZ22" i="1"/>
  <c r="AMZ26" i="1"/>
  <c r="PY26" i="1"/>
  <c r="XP19" i="1"/>
  <c r="XP16" i="1"/>
  <c r="AFI62" i="1"/>
  <c r="AMZ73" i="1"/>
  <c r="PY74" i="1"/>
  <c r="AMZ76" i="1"/>
  <c r="AMZ71" i="1"/>
  <c r="AMZ77" i="1"/>
  <c r="PY13" i="1"/>
  <c r="PY18" i="1"/>
  <c r="PY78" i="1"/>
  <c r="AFI78" i="1"/>
  <c r="PY59" i="1"/>
  <c r="PY62" i="1"/>
  <c r="XP57" i="1"/>
  <c r="XP58" i="1"/>
  <c r="AMZ57" i="1"/>
  <c r="PY11" i="1"/>
  <c r="XP14" i="1"/>
  <c r="XP21" i="1"/>
  <c r="AFI10" i="1"/>
  <c r="XP56" i="1"/>
  <c r="PY19" i="1"/>
  <c r="AFI15" i="1"/>
  <c r="XP59" i="1"/>
  <c r="AFI57" i="1"/>
  <c r="AMZ58" i="1"/>
  <c r="AMZ56" i="1"/>
  <c r="AMZ55" i="1"/>
  <c r="AMZ21" i="1"/>
  <c r="AFI26" i="1"/>
  <c r="XP63" i="1"/>
  <c r="AMZ61" i="1"/>
  <c r="PY55" i="1"/>
  <c r="XP11" i="1"/>
  <c r="RJ23" i="1"/>
  <c r="RJ14" i="1"/>
  <c r="AGT71" i="1"/>
  <c r="RP10" i="1"/>
  <c r="RM10" i="1"/>
  <c r="RS10" i="1"/>
  <c r="RY10" i="1"/>
  <c r="RV10" i="1"/>
  <c r="ANS73" i="1"/>
  <c r="ANP73" i="1"/>
  <c r="ANM73" i="1"/>
  <c r="ANO73" i="1"/>
  <c r="ANL73" i="1"/>
  <c r="ANK73" i="1"/>
  <c r="ANN73" i="1"/>
  <c r="ANR73" i="1"/>
  <c r="ANQ73" i="1"/>
  <c r="AOP23" i="1"/>
  <c r="AOW23" i="1"/>
  <c r="AOT23" i="1"/>
  <c r="AOV23" i="1"/>
  <c r="APE23" i="1"/>
  <c r="APF23" i="1" s="1"/>
  <c r="APG23" i="1" s="1"/>
  <c r="APK23" i="1" s="1"/>
  <c r="AOZ23" i="1"/>
  <c r="AOS23" i="1"/>
  <c r="AON23" i="1"/>
  <c r="APB23" i="1" a="1"/>
  <c r="APB23" i="1" s="1"/>
  <c r="AOO23" i="1"/>
  <c r="AOH23" i="1" a="1"/>
  <c r="AOH23" i="1" s="1"/>
  <c r="AOM23" i="1"/>
  <c r="AOQ23" i="1"/>
  <c r="AOY23" i="1"/>
  <c r="AOU23" i="1"/>
  <c r="AOL23" i="1"/>
  <c r="AOG23" i="1"/>
  <c r="APD23" i="1"/>
  <c r="AOX23" i="1"/>
  <c r="AOB23" i="1"/>
  <c r="AOJ23" i="1" s="1"/>
  <c r="APC23" i="1"/>
  <c r="AOI23" i="1" a="1"/>
  <c r="AOI23" i="1" s="1"/>
  <c r="AOK23" i="1" s="1"/>
  <c r="AOR23" i="1"/>
  <c r="APA23" i="1"/>
  <c r="SB23" i="1"/>
  <c r="QN74" i="1"/>
  <c r="QO74" i="1"/>
  <c r="QL74" i="1"/>
  <c r="QP74" i="1"/>
  <c r="QM74" i="1"/>
  <c r="QJ74" i="1"/>
  <c r="QQ74" i="1"/>
  <c r="QK74" i="1"/>
  <c r="QR74" i="1"/>
  <c r="YF10" i="1"/>
  <c r="YA10" i="1"/>
  <c r="YE10" i="1"/>
  <c r="YH10" i="1"/>
  <c r="YB10" i="1"/>
  <c r="YG10" i="1"/>
  <c r="YC10" i="1"/>
  <c r="YI10" i="1"/>
  <c r="YD10" i="1"/>
  <c r="AHL74" i="1"/>
  <c r="RF57" i="1"/>
  <c r="RI57" i="1"/>
  <c r="APE13" i="1"/>
  <c r="APF13" i="1" s="1"/>
  <c r="APG13" i="1" s="1"/>
  <c r="APK13" i="1" s="1"/>
  <c r="AOG13" i="1"/>
  <c r="AOQ13" i="1"/>
  <c r="APB13" i="1" a="1"/>
  <c r="APB13" i="1" s="1"/>
  <c r="AOH13" i="1" a="1"/>
  <c r="AOH13" i="1" s="1"/>
  <c r="AOW13" i="1"/>
  <c r="APD13" i="1"/>
  <c r="AOT13" i="1"/>
  <c r="AOP13" i="1"/>
  <c r="AON13" i="1"/>
  <c r="AOU13" i="1"/>
  <c r="AOV13" i="1"/>
  <c r="AOS13" i="1"/>
  <c r="AOB13" i="1"/>
  <c r="AOR13" i="1"/>
  <c r="AOM13" i="1"/>
  <c r="APA13" i="1"/>
  <c r="AOX13" i="1"/>
  <c r="AOY13" i="1"/>
  <c r="APC13" i="1"/>
  <c r="AOL13" i="1"/>
  <c r="AOO13" i="1"/>
  <c r="AOI13" i="1" a="1"/>
  <c r="AOI13" i="1" s="1"/>
  <c r="AOK13" i="1" s="1"/>
  <c r="AOZ13" i="1"/>
  <c r="RY23" i="1"/>
  <c r="RP23" i="1"/>
  <c r="RV23" i="1"/>
  <c r="RM23" i="1"/>
  <c r="RS23" i="1"/>
  <c r="RY78" i="1"/>
  <c r="RM78" i="1"/>
  <c r="RS78" i="1"/>
  <c r="RV78" i="1"/>
  <c r="RP78" i="1"/>
  <c r="RJ76" i="1"/>
  <c r="AGS13" i="1"/>
  <c r="AGP13" i="1"/>
  <c r="RF76" i="1"/>
  <c r="RI76" i="1"/>
  <c r="ANS62" i="1"/>
  <c r="ANK62" i="1"/>
  <c r="ANP62" i="1"/>
  <c r="ANQ62" i="1"/>
  <c r="ANL62" i="1"/>
  <c r="ANN62" i="1"/>
  <c r="ANO62" i="1"/>
  <c r="ANM62" i="1"/>
  <c r="ANR62" i="1"/>
  <c r="YI23" i="1"/>
  <c r="YA23" i="1"/>
  <c r="YD23" i="1"/>
  <c r="YE23" i="1"/>
  <c r="YF23" i="1"/>
  <c r="YC23" i="1"/>
  <c r="YB23" i="1"/>
  <c r="YG23" i="1"/>
  <c r="YH23" i="1"/>
  <c r="AGA78" i="1"/>
  <c r="AFT78" i="1"/>
  <c r="AFY78" i="1"/>
  <c r="AFU78" i="1"/>
  <c r="AGB78" i="1"/>
  <c r="AFV78" i="1"/>
  <c r="AFZ78" i="1"/>
  <c r="AFW78" i="1"/>
  <c r="AFX78" i="1"/>
  <c r="ZQ10" i="1"/>
  <c r="ZJ10" i="1"/>
  <c r="ZO10" i="1"/>
  <c r="ZH10" i="1"/>
  <c r="ZF10" i="1"/>
  <c r="ZP10" i="1"/>
  <c r="ZB10" i="1"/>
  <c r="ZL10" i="1"/>
  <c r="YX10" i="1" a="1"/>
  <c r="YX10" i="1" s="1"/>
  <c r="ZS10" i="1"/>
  <c r="YR10" i="1"/>
  <c r="YZ10" i="1" s="1"/>
  <c r="YW10" i="1"/>
  <c r="ZN10" i="1"/>
  <c r="ZE10" i="1"/>
  <c r="ZC10" i="1"/>
  <c r="ZR10" i="1" a="1"/>
  <c r="ZR10" i="1" s="1"/>
  <c r="ZD10" i="1"/>
  <c r="ZI10" i="1"/>
  <c r="ZU10" i="1"/>
  <c r="ZV10" i="1" s="1"/>
  <c r="ZW10" i="1" s="1"/>
  <c r="APL10" i="1" s="1"/>
  <c r="ZM10" i="1"/>
  <c r="ZK10" i="1"/>
  <c r="ZG10" i="1"/>
  <c r="ZT10" i="1"/>
  <c r="YY10" i="1" a="1"/>
  <c r="YY10" i="1" s="1"/>
  <c r="ZA10" i="1" s="1"/>
  <c r="AOT77" i="1"/>
  <c r="AOL77" i="1"/>
  <c r="APE77" i="1"/>
  <c r="APF77" i="1" s="1"/>
  <c r="APG77" i="1" s="1"/>
  <c r="APK77" i="1" s="1"/>
  <c r="AOY77" i="1"/>
  <c r="AOZ77" i="1"/>
  <c r="AOP77" i="1"/>
  <c r="AOB77" i="1"/>
  <c r="APC77" i="1"/>
  <c r="AOR77" i="1"/>
  <c r="AOV77" i="1"/>
  <c r="AOU77" i="1"/>
  <c r="AOW77" i="1"/>
  <c r="AOQ77" i="1"/>
  <c r="AOG77" i="1"/>
  <c r="APD77" i="1"/>
  <c r="AON77" i="1"/>
  <c r="AOI77" i="1" a="1"/>
  <c r="AOI77" i="1" s="1"/>
  <c r="AOK77" i="1" s="1"/>
  <c r="AOO77" i="1"/>
  <c r="APB77" i="1" a="1"/>
  <c r="APB77" i="1" s="1"/>
  <c r="APA77" i="1"/>
  <c r="AOX77" i="1"/>
  <c r="AOS77" i="1"/>
  <c r="AOH77" i="1" a="1"/>
  <c r="AOH77" i="1" s="1"/>
  <c r="AOJ77" i="1" s="1"/>
  <c r="AOM77" i="1"/>
  <c r="AGP72" i="1"/>
  <c r="AGS72" i="1"/>
  <c r="ZP20" i="1"/>
  <c r="ZJ20" i="1"/>
  <c r="ZO20" i="1"/>
  <c r="ZI20" i="1"/>
  <c r="YY20" i="1" a="1"/>
  <c r="YY20" i="1" s="1"/>
  <c r="ZA20" i="1" s="1"/>
  <c r="ZS20" i="1"/>
  <c r="ZG20" i="1"/>
  <c r="YX20" i="1" a="1"/>
  <c r="YX20" i="1" s="1"/>
  <c r="YR20" i="1"/>
  <c r="ZE20" i="1"/>
  <c r="ZF20" i="1"/>
  <c r="ZK20" i="1"/>
  <c r="YW20" i="1"/>
  <c r="ZC20" i="1"/>
  <c r="ZR20" i="1" a="1"/>
  <c r="ZR20" i="1" s="1"/>
  <c r="ZQ20" i="1"/>
  <c r="ZH20" i="1"/>
  <c r="ZN20" i="1"/>
  <c r="ZD20" i="1"/>
  <c r="ZM20" i="1"/>
  <c r="ZB20" i="1"/>
  <c r="ZT20" i="1"/>
  <c r="ZL20" i="1"/>
  <c r="ZU20" i="1"/>
  <c r="ZV20" i="1" s="1"/>
  <c r="ZW20" i="1" s="1"/>
  <c r="APL20" i="1" s="1"/>
  <c r="QM14" i="1"/>
  <c r="QK14" i="1"/>
  <c r="QL14" i="1"/>
  <c r="QQ14" i="1"/>
  <c r="QN14" i="1"/>
  <c r="QJ14" i="1"/>
  <c r="QO14" i="1"/>
  <c r="QP14" i="1"/>
  <c r="QR14" i="1"/>
  <c r="AHL22" i="1"/>
  <c r="AGS22" i="1"/>
  <c r="AGP22" i="1"/>
  <c r="ANR13" i="1"/>
  <c r="ANM13" i="1"/>
  <c r="ANN13" i="1"/>
  <c r="ANQ13" i="1"/>
  <c r="ANL13" i="1"/>
  <c r="ANO13" i="1"/>
  <c r="ANK13" i="1"/>
  <c r="ANS13" i="1"/>
  <c r="ANP13" i="1"/>
  <c r="ZK18" i="1"/>
  <c r="ZE18" i="1"/>
  <c r="ZN18" i="1"/>
  <c r="ZG18" i="1"/>
  <c r="YR18" i="1"/>
  <c r="ZO18" i="1"/>
  <c r="ZT18" i="1"/>
  <c r="YW18" i="1"/>
  <c r="ZU18" i="1"/>
  <c r="ZV18" i="1" s="1"/>
  <c r="ZW18" i="1" s="1"/>
  <c r="APL18" i="1" s="1"/>
  <c r="ZP18" i="1"/>
  <c r="YY18" i="1" a="1"/>
  <c r="YY18" i="1" s="1"/>
  <c r="ZA18" i="1" s="1"/>
  <c r="ZB18" i="1"/>
  <c r="ZD18" i="1"/>
  <c r="ZJ18" i="1"/>
  <c r="ZS18" i="1"/>
  <c r="ZF18" i="1"/>
  <c r="YX18" i="1" a="1"/>
  <c r="YX18" i="1" s="1"/>
  <c r="ZM18" i="1"/>
  <c r="ZL18" i="1"/>
  <c r="ZR18" i="1" a="1"/>
  <c r="ZR18" i="1" s="1"/>
  <c r="ZI18" i="1"/>
  <c r="ZH18" i="1"/>
  <c r="ZC18" i="1"/>
  <c r="ZQ18" i="1"/>
  <c r="RJ59" i="1"/>
  <c r="RF75" i="1"/>
  <c r="RI75" i="1"/>
  <c r="AFV60" i="1"/>
  <c r="AFU60" i="1"/>
  <c r="AGA60" i="1"/>
  <c r="AFX60" i="1"/>
  <c r="AGB60" i="1"/>
  <c r="AFY60" i="1"/>
  <c r="AFW60" i="1"/>
  <c r="AFZ60" i="1"/>
  <c r="AFT60" i="1"/>
  <c r="YI14" i="1"/>
  <c r="YG14" i="1"/>
  <c r="YF14" i="1"/>
  <c r="YH14" i="1"/>
  <c r="YE14" i="1"/>
  <c r="YA14" i="1"/>
  <c r="YC14" i="1"/>
  <c r="YB14" i="1"/>
  <c r="YD14" i="1"/>
  <c r="AGZ13" i="1"/>
  <c r="AGW13" i="1"/>
  <c r="AHC13" i="1"/>
  <c r="AHI13" i="1"/>
  <c r="AHF13" i="1"/>
  <c r="AGZ78" i="1"/>
  <c r="AHF78" i="1"/>
  <c r="AGW78" i="1"/>
  <c r="AHI78" i="1"/>
  <c r="AHC78" i="1"/>
  <c r="AGW60" i="1"/>
  <c r="AHF60" i="1"/>
  <c r="AGZ60" i="1"/>
  <c r="AHI60" i="1"/>
  <c r="AHC60" i="1"/>
  <c r="SB57" i="1"/>
  <c r="RJ58" i="1"/>
  <c r="AFZ11" i="1"/>
  <c r="AFU11" i="1"/>
  <c r="AFW11" i="1"/>
  <c r="AFV11" i="1"/>
  <c r="AFT11" i="1"/>
  <c r="AFY11" i="1"/>
  <c r="AGB11" i="1"/>
  <c r="AFX11" i="1"/>
  <c r="AGA11" i="1"/>
  <c r="ZD58" i="1"/>
  <c r="YY58" i="1" a="1"/>
  <c r="YY58" i="1" s="1"/>
  <c r="ZA58" i="1" s="1"/>
  <c r="ZC58" i="1"/>
  <c r="YR58" i="1"/>
  <c r="ZP58" i="1"/>
  <c r="ZM58" i="1"/>
  <c r="ZR58" i="1" a="1"/>
  <c r="ZR58" i="1" s="1"/>
  <c r="ZU58" i="1"/>
  <c r="ZV58" i="1" s="1"/>
  <c r="ZW58" i="1" s="1"/>
  <c r="APL58" i="1" s="1"/>
  <c r="ZO58" i="1"/>
  <c r="ZL58" i="1"/>
  <c r="ZB58" i="1"/>
  <c r="ZI58" i="1"/>
  <c r="ZG58" i="1"/>
  <c r="ZN58" i="1"/>
  <c r="ZH58" i="1"/>
  <c r="ZF58" i="1"/>
  <c r="ZE58" i="1"/>
  <c r="ZQ58" i="1"/>
  <c r="YX58" i="1" a="1"/>
  <c r="YX58" i="1" s="1"/>
  <c r="YW58" i="1"/>
  <c r="ZJ58" i="1"/>
  <c r="ZS58" i="1"/>
  <c r="ZT58" i="1"/>
  <c r="ZK58" i="1"/>
  <c r="AGW17" i="1"/>
  <c r="AHI17" i="1"/>
  <c r="AHC17" i="1"/>
  <c r="AGZ17" i="1"/>
  <c r="AHF17" i="1"/>
  <c r="AOT58" i="1"/>
  <c r="AOQ58" i="1"/>
  <c r="AOH58" i="1" a="1"/>
  <c r="AOH58" i="1" s="1"/>
  <c r="AOS58" i="1"/>
  <c r="AOX58" i="1"/>
  <c r="AOP58" i="1"/>
  <c r="AOZ58" i="1"/>
  <c r="AOU58" i="1"/>
  <c r="AOB58" i="1"/>
  <c r="APB58" i="1" a="1"/>
  <c r="APB58" i="1" s="1"/>
  <c r="APA58" i="1"/>
  <c r="APE58" i="1"/>
  <c r="APF58" i="1" s="1"/>
  <c r="APG58" i="1" s="1"/>
  <c r="APK58" i="1" s="1"/>
  <c r="AOV58" i="1"/>
  <c r="AON58" i="1"/>
  <c r="AOI58" i="1" a="1"/>
  <c r="AOI58" i="1" s="1"/>
  <c r="AOK58" i="1" s="1"/>
  <c r="AOY58" i="1"/>
  <c r="AOR58" i="1"/>
  <c r="AOL58" i="1"/>
  <c r="AOM58" i="1"/>
  <c r="APC58" i="1"/>
  <c r="AOW58" i="1"/>
  <c r="AOG58" i="1"/>
  <c r="APD58" i="1"/>
  <c r="AOO58" i="1"/>
  <c r="AGW11" i="1"/>
  <c r="AHC11" i="1"/>
  <c r="AGZ11" i="1"/>
  <c r="AHI11" i="1"/>
  <c r="AHF11" i="1"/>
  <c r="AHI72" i="1"/>
  <c r="AHC72" i="1"/>
  <c r="AGW72" i="1"/>
  <c r="AGZ72" i="1"/>
  <c r="AHF72" i="1"/>
  <c r="YY12" i="1" a="1"/>
  <c r="YY12" i="1" s="1"/>
  <c r="ZA12" i="1" s="1"/>
  <c r="ZL12" i="1"/>
  <c r="YW12" i="1"/>
  <c r="ZM12" i="1"/>
  <c r="ZS12" i="1"/>
  <c r="ZK12" i="1"/>
  <c r="ZB12" i="1"/>
  <c r="ZN12" i="1"/>
  <c r="ZJ12" i="1"/>
  <c r="ZQ12" i="1"/>
  <c r="ZD12" i="1"/>
  <c r="ZT12" i="1"/>
  <c r="ZP12" i="1"/>
  <c r="ZF12" i="1"/>
  <c r="ZR12" i="1" a="1"/>
  <c r="ZR12" i="1" s="1"/>
  <c r="ZH12" i="1"/>
  <c r="YR12" i="1"/>
  <c r="YZ12" i="1" s="1"/>
  <c r="ZC12" i="1"/>
  <c r="YX12" i="1" a="1"/>
  <c r="YX12" i="1" s="1"/>
  <c r="ZO12" i="1"/>
  <c r="ZU12" i="1"/>
  <c r="ZV12" i="1" s="1"/>
  <c r="ZW12" i="1" s="1"/>
  <c r="APL12" i="1" s="1"/>
  <c r="ZI12" i="1"/>
  <c r="ZE12" i="1"/>
  <c r="ZG12" i="1"/>
  <c r="YA56" i="1"/>
  <c r="YG56" i="1"/>
  <c r="YH56" i="1"/>
  <c r="YB56" i="1"/>
  <c r="YF56" i="1"/>
  <c r="YI56" i="1"/>
  <c r="YD56" i="1"/>
  <c r="YC56" i="1"/>
  <c r="YE56" i="1"/>
  <c r="RP75" i="1"/>
  <c r="RS75" i="1"/>
  <c r="RV75" i="1"/>
  <c r="RM75" i="1"/>
  <c r="RY75" i="1"/>
  <c r="AHL17" i="1"/>
  <c r="YE77" i="1"/>
  <c r="YB77" i="1"/>
  <c r="YA77" i="1"/>
  <c r="YG77" i="1"/>
  <c r="YH77" i="1"/>
  <c r="YC77" i="1"/>
  <c r="YI77" i="1"/>
  <c r="YD77" i="1"/>
  <c r="YF77" i="1"/>
  <c r="RF19" i="1"/>
  <c r="RI19" i="1"/>
  <c r="RF56" i="1"/>
  <c r="RI56" i="1"/>
  <c r="AON15" i="1"/>
  <c r="AOV15" i="1"/>
  <c r="AOQ15" i="1"/>
  <c r="APC15" i="1"/>
  <c r="AOM15" i="1"/>
  <c r="AOI15" i="1" a="1"/>
  <c r="AOI15" i="1" s="1"/>
  <c r="AOK15" i="1" s="1"/>
  <c r="AOH15" i="1" a="1"/>
  <c r="AOH15" i="1" s="1"/>
  <c r="AOO15" i="1"/>
  <c r="AOP15" i="1"/>
  <c r="APD15" i="1"/>
  <c r="AOX15" i="1"/>
  <c r="AOZ15" i="1"/>
  <c r="AOY15" i="1"/>
  <c r="APE15" i="1"/>
  <c r="APF15" i="1" s="1"/>
  <c r="APG15" i="1" s="1"/>
  <c r="APK15" i="1" s="1"/>
  <c r="APA15" i="1"/>
  <c r="AOU15" i="1"/>
  <c r="AOL15" i="1"/>
  <c r="AOW15" i="1"/>
  <c r="AOS15" i="1"/>
  <c r="AOB15" i="1"/>
  <c r="AOJ15" i="1" s="1"/>
  <c r="APB15" i="1" a="1"/>
  <c r="APB15" i="1" s="1"/>
  <c r="AOG15" i="1"/>
  <c r="AOT15" i="1"/>
  <c r="AOR15" i="1"/>
  <c r="RJ18" i="1"/>
  <c r="AFY58" i="1"/>
  <c r="AFX58" i="1"/>
  <c r="AFW58" i="1"/>
  <c r="AGA58" i="1"/>
  <c r="AFT58" i="1"/>
  <c r="AFV58" i="1"/>
  <c r="AGB58" i="1"/>
  <c r="AFZ58" i="1"/>
  <c r="AFU58" i="1"/>
  <c r="QM15" i="1"/>
  <c r="QL15" i="1"/>
  <c r="QR15" i="1"/>
  <c r="QP15" i="1"/>
  <c r="QO15" i="1"/>
  <c r="QN15" i="1"/>
  <c r="QQ15" i="1"/>
  <c r="QJ15" i="1"/>
  <c r="QK15" i="1"/>
  <c r="YE15" i="1"/>
  <c r="YB15" i="1"/>
  <c r="YA15" i="1"/>
  <c r="YH15" i="1"/>
  <c r="YC15" i="1"/>
  <c r="YD15" i="1"/>
  <c r="YG15" i="1"/>
  <c r="YI15" i="1"/>
  <c r="YF15" i="1"/>
  <c r="RP19" i="1"/>
  <c r="RS19" i="1"/>
  <c r="RM19" i="1"/>
  <c r="RY19" i="1"/>
  <c r="RV19" i="1"/>
  <c r="AFV12" i="1"/>
  <c r="AFZ12" i="1"/>
  <c r="AFW12" i="1"/>
  <c r="AFY12" i="1"/>
  <c r="AGA12" i="1"/>
  <c r="AFX12" i="1"/>
  <c r="AFT12" i="1"/>
  <c r="AFU12" i="1"/>
  <c r="AGB12" i="1"/>
  <c r="RF63" i="1"/>
  <c r="RI63" i="1"/>
  <c r="AHF55" i="1"/>
  <c r="AHI55" i="1"/>
  <c r="AGW55" i="1"/>
  <c r="AHC55" i="1"/>
  <c r="AGZ55" i="1"/>
  <c r="QR19" i="1"/>
  <c r="QL19" i="1"/>
  <c r="QM19" i="1"/>
  <c r="QQ19" i="1"/>
  <c r="QP19" i="1"/>
  <c r="QN19" i="1"/>
  <c r="QK19" i="1"/>
  <c r="QO19" i="1"/>
  <c r="QJ19" i="1"/>
  <c r="YR11" i="1"/>
  <c r="ZC11" i="1"/>
  <c r="ZT11" i="1"/>
  <c r="ZB11" i="1"/>
  <c r="ZM11" i="1"/>
  <c r="ZK11" i="1"/>
  <c r="YX11" i="1" a="1"/>
  <c r="YX11" i="1" s="1"/>
  <c r="ZU11" i="1"/>
  <c r="ZV11" i="1" s="1"/>
  <c r="ZW11" i="1" s="1"/>
  <c r="APL11" i="1" s="1"/>
  <c r="YW11" i="1"/>
  <c r="ZL11" i="1"/>
  <c r="ZN11" i="1"/>
  <c r="ZO11" i="1"/>
  <c r="ZE11" i="1"/>
  <c r="ZF11" i="1"/>
  <c r="ZD11" i="1"/>
  <c r="ZP11" i="1"/>
  <c r="YY11" i="1" a="1"/>
  <c r="YY11" i="1" s="1"/>
  <c r="ZA11" i="1" s="1"/>
  <c r="ZH11" i="1"/>
  <c r="ZJ11" i="1"/>
  <c r="ZI11" i="1"/>
  <c r="ZQ11" i="1"/>
  <c r="ZR11" i="1" a="1"/>
  <c r="ZR11" i="1" s="1"/>
  <c r="ZS11" i="1"/>
  <c r="ZG11" i="1"/>
  <c r="QP63" i="1"/>
  <c r="QJ63" i="1"/>
  <c r="QM63" i="1"/>
  <c r="QQ63" i="1"/>
  <c r="QO63" i="1"/>
  <c r="QK63" i="1"/>
  <c r="QN63" i="1"/>
  <c r="QR63" i="1"/>
  <c r="QL63" i="1"/>
  <c r="AGP19" i="1"/>
  <c r="AGS19" i="1"/>
  <c r="AHL19" i="1"/>
  <c r="RJ63" i="1"/>
  <c r="AOT56" i="1"/>
  <c r="AOG56" i="1"/>
  <c r="AOW56" i="1"/>
  <c r="APB56" i="1" a="1"/>
  <c r="APB56" i="1" s="1"/>
  <c r="AOU56" i="1"/>
  <c r="AOM56" i="1"/>
  <c r="AOB56" i="1"/>
  <c r="AON56" i="1"/>
  <c r="AOV56" i="1"/>
  <c r="AOL56" i="1"/>
  <c r="AOY56" i="1"/>
  <c r="AOH56" i="1" a="1"/>
  <c r="AOH56" i="1" s="1"/>
  <c r="APA56" i="1"/>
  <c r="APE56" i="1"/>
  <c r="APF56" i="1" s="1"/>
  <c r="APG56" i="1" s="1"/>
  <c r="APK56" i="1" s="1"/>
  <c r="AOZ56" i="1"/>
  <c r="AOR56" i="1"/>
  <c r="AOX56" i="1"/>
  <c r="AOO56" i="1"/>
  <c r="APD56" i="1"/>
  <c r="AOP56" i="1"/>
  <c r="APC56" i="1"/>
  <c r="AOQ56" i="1"/>
  <c r="AOI56" i="1" a="1"/>
  <c r="AOI56" i="1" s="1"/>
  <c r="AOK56" i="1" s="1"/>
  <c r="AOS56" i="1"/>
  <c r="SB19" i="1"/>
  <c r="AOU26" i="1"/>
  <c r="APD26" i="1"/>
  <c r="AOO26" i="1"/>
  <c r="AOX26" i="1"/>
  <c r="APC26" i="1"/>
  <c r="APB26" i="1" a="1"/>
  <c r="APB26" i="1" s="1"/>
  <c r="AOG26" i="1"/>
  <c r="AOB26" i="1"/>
  <c r="AOQ26" i="1"/>
  <c r="APA26" i="1"/>
  <c r="AOZ26" i="1"/>
  <c r="AOP26" i="1"/>
  <c r="AOV26" i="1"/>
  <c r="AOT26" i="1"/>
  <c r="APE26" i="1"/>
  <c r="APF26" i="1" s="1"/>
  <c r="APG26" i="1" s="1"/>
  <c r="APK26" i="1" s="1"/>
  <c r="AY26" i="1" s="1"/>
  <c r="AOM26" i="1"/>
  <c r="AOW26" i="1"/>
  <c r="AOR26" i="1"/>
  <c r="AOI26" i="1" a="1"/>
  <c r="AOI26" i="1" s="1"/>
  <c r="AOK26" i="1" s="1"/>
  <c r="AON26" i="1"/>
  <c r="AOL26" i="1"/>
  <c r="AOY26" i="1"/>
  <c r="AOS26" i="1"/>
  <c r="AOH26" i="1" a="1"/>
  <c r="AOH26" i="1" s="1"/>
  <c r="AFT26" i="1"/>
  <c r="AGB26" i="1"/>
  <c r="AFY26" i="1"/>
  <c r="AFX26" i="1"/>
  <c r="AFW26" i="1"/>
  <c r="AFV26" i="1"/>
  <c r="AFZ26" i="1"/>
  <c r="AGA26" i="1"/>
  <c r="AFU26" i="1"/>
  <c r="AGZ56" i="1"/>
  <c r="AHF56" i="1"/>
  <c r="AGW56" i="1"/>
  <c r="AHI56" i="1"/>
  <c r="AHC56" i="1"/>
  <c r="AFX15" i="1"/>
  <c r="AFT15" i="1"/>
  <c r="AFZ15" i="1"/>
  <c r="AFV15" i="1"/>
  <c r="AFY15" i="1"/>
  <c r="AGB15" i="1"/>
  <c r="AGA15" i="1"/>
  <c r="AFU15" i="1"/>
  <c r="AFW15" i="1"/>
  <c r="AHF21" i="1"/>
  <c r="AGZ21" i="1"/>
  <c r="AHI21" i="1"/>
  <c r="AHC21" i="1"/>
  <c r="AGW21" i="1"/>
  <c r="ANQ14" i="1"/>
  <c r="ANM14" i="1"/>
  <c r="ANK14" i="1"/>
  <c r="ANN14" i="1"/>
  <c r="ANP14" i="1"/>
  <c r="ANR14" i="1"/>
  <c r="ANL14" i="1"/>
  <c r="ANS14" i="1"/>
  <c r="ANO14" i="1"/>
  <c r="AGS16" i="1"/>
  <c r="AGP16" i="1"/>
  <c r="ANM12" i="1"/>
  <c r="ANR12" i="1"/>
  <c r="ANS12" i="1"/>
  <c r="ANL12" i="1"/>
  <c r="ANO12" i="1"/>
  <c r="ANK12" i="1"/>
  <c r="ANN12" i="1"/>
  <c r="ANP12" i="1"/>
  <c r="ANQ12" i="1"/>
  <c r="ZS63" i="1"/>
  <c r="ZR63" i="1" a="1"/>
  <c r="ZR63" i="1" s="1"/>
  <c r="ZP63" i="1"/>
  <c r="ZI63" i="1"/>
  <c r="ZJ63" i="1"/>
  <c r="ZE63" i="1"/>
  <c r="ZQ63" i="1"/>
  <c r="ZB63" i="1"/>
  <c r="ZM63" i="1"/>
  <c r="ZG63" i="1"/>
  <c r="YR63" i="1"/>
  <c r="ZC63" i="1"/>
  <c r="ZU63" i="1"/>
  <c r="ZV63" i="1" s="1"/>
  <c r="ZW63" i="1" s="1"/>
  <c r="APL63" i="1" s="1"/>
  <c r="ZT63" i="1"/>
  <c r="ZO63" i="1"/>
  <c r="ZN63" i="1"/>
  <c r="ZK63" i="1"/>
  <c r="ZD63" i="1"/>
  <c r="ZF63" i="1"/>
  <c r="YW63" i="1"/>
  <c r="ZL63" i="1"/>
  <c r="YY63" i="1" a="1"/>
  <c r="YY63" i="1" s="1"/>
  <c r="ZA63" i="1" s="1"/>
  <c r="ZH63" i="1"/>
  <c r="YX63" i="1" a="1"/>
  <c r="YX63" i="1" s="1"/>
  <c r="ZL16" i="1"/>
  <c r="ZU16" i="1"/>
  <c r="ZV16" i="1" s="1"/>
  <c r="ZW16" i="1" s="1"/>
  <c r="APL16" i="1" s="1"/>
  <c r="ZF16" i="1"/>
  <c r="ZK16" i="1"/>
  <c r="ZI16" i="1"/>
  <c r="ZM16" i="1"/>
  <c r="YR16" i="1"/>
  <c r="ZT16" i="1"/>
  <c r="ZH16" i="1"/>
  <c r="ZR16" i="1" a="1"/>
  <c r="ZR16" i="1" s="1"/>
  <c r="ZB16" i="1"/>
  <c r="ZC16" i="1"/>
  <c r="ZO16" i="1"/>
  <c r="ZE16" i="1"/>
  <c r="ZJ16" i="1"/>
  <c r="ZS16" i="1"/>
  <c r="ZD16" i="1"/>
  <c r="ZN16" i="1"/>
  <c r="YY16" i="1" a="1"/>
  <c r="YY16" i="1" s="1"/>
  <c r="ZA16" i="1" s="1"/>
  <c r="YW16" i="1"/>
  <c r="ZG16" i="1"/>
  <c r="ZP16" i="1"/>
  <c r="YX16" i="1" a="1"/>
  <c r="YX16" i="1" s="1"/>
  <c r="ZQ16" i="1"/>
  <c r="RF55" i="1"/>
  <c r="RI55" i="1"/>
  <c r="AGZ26" i="1"/>
  <c r="AHF26" i="1"/>
  <c r="AGW26" i="1"/>
  <c r="AHI26" i="1"/>
  <c r="AHC26" i="1"/>
  <c r="ZK26" i="1"/>
  <c r="ZU26" i="1"/>
  <c r="ZV26" i="1" s="1"/>
  <c r="ZW26" i="1" s="1"/>
  <c r="APL26" i="1" s="1"/>
  <c r="APM26" i="1" s="1"/>
  <c r="AZ26" i="1" s="1"/>
  <c r="ZF26" i="1"/>
  <c r="ZT26" i="1"/>
  <c r="ZE26" i="1"/>
  <c r="ZH26" i="1"/>
  <c r="ZC26" i="1"/>
  <c r="YY26" i="1" a="1"/>
  <c r="YY26" i="1" s="1"/>
  <c r="ZA26" i="1" s="1"/>
  <c r="ZP26" i="1"/>
  <c r="ZG26" i="1"/>
  <c r="ZR26" i="1" a="1"/>
  <c r="ZR26" i="1" s="1"/>
  <c r="ZB26" i="1"/>
  <c r="ZQ26" i="1"/>
  <c r="ZS26" i="1"/>
  <c r="ZD26" i="1"/>
  <c r="ZN26" i="1"/>
  <c r="ZM26" i="1"/>
  <c r="YX26" i="1" a="1"/>
  <c r="YX26" i="1" s="1"/>
  <c r="ZO26" i="1"/>
  <c r="YW26" i="1"/>
  <c r="ZJ26" i="1"/>
  <c r="YR26" i="1"/>
  <c r="YZ26" i="1" s="1"/>
  <c r="ZI26" i="1"/>
  <c r="ZL26" i="1"/>
  <c r="AFY21" i="1"/>
  <c r="AFW21" i="1"/>
  <c r="AFU21" i="1"/>
  <c r="AGB21" i="1"/>
  <c r="AFX21" i="1"/>
  <c r="AFV21" i="1"/>
  <c r="AFT21" i="1"/>
  <c r="AGA21" i="1"/>
  <c r="AFZ21" i="1"/>
  <c r="SB55" i="1"/>
  <c r="ANK20" i="1"/>
  <c r="ANP20" i="1"/>
  <c r="ANM20" i="1"/>
  <c r="ANS20" i="1"/>
  <c r="ANO20" i="1"/>
  <c r="ANQ20" i="1"/>
  <c r="ANL20" i="1"/>
  <c r="ANN20" i="1"/>
  <c r="ANR20" i="1"/>
  <c r="RJ21" i="1"/>
  <c r="SB61" i="1"/>
  <c r="RP63" i="1"/>
  <c r="RY63" i="1"/>
  <c r="RV63" i="1"/>
  <c r="RS63" i="1"/>
  <c r="RM63" i="1"/>
  <c r="ZH55" i="1"/>
  <c r="ZJ55" i="1"/>
  <c r="YY55" i="1" a="1"/>
  <c r="YY55" i="1" s="1"/>
  <c r="ZA55" i="1" s="1"/>
  <c r="YX55" i="1" a="1"/>
  <c r="YX55" i="1" s="1"/>
  <c r="ZC55" i="1"/>
  <c r="ZD55" i="1"/>
  <c r="YR55" i="1"/>
  <c r="ZL55" i="1"/>
  <c r="ZO55" i="1"/>
  <c r="ZP55" i="1"/>
  <c r="ZT55" i="1"/>
  <c r="ZS55" i="1"/>
  <c r="ZQ55" i="1"/>
  <c r="ZR55" i="1" a="1"/>
  <c r="ZR55" i="1" s="1"/>
  <c r="ZN55" i="1"/>
  <c r="YW55" i="1"/>
  <c r="ZU55" i="1"/>
  <c r="ZV55" i="1" s="1"/>
  <c r="ZW55" i="1" s="1"/>
  <c r="APL55" i="1" s="1"/>
  <c r="ZF55" i="1"/>
  <c r="ZK55" i="1"/>
  <c r="ZI55" i="1"/>
  <c r="ZM55" i="1"/>
  <c r="ZB55" i="1"/>
  <c r="ZG55" i="1"/>
  <c r="ZE55" i="1"/>
  <c r="AGT12" i="1"/>
  <c r="AGZ76" i="1"/>
  <c r="AHF76" i="1"/>
  <c r="AHC76" i="1"/>
  <c r="AGW76" i="1"/>
  <c r="AHI76" i="1"/>
  <c r="ANP74" i="1"/>
  <c r="ANN74" i="1"/>
  <c r="ANO74" i="1"/>
  <c r="ANQ74" i="1"/>
  <c r="ANK74" i="1"/>
  <c r="ANM74" i="1"/>
  <c r="ANR74" i="1"/>
  <c r="ANS74" i="1"/>
  <c r="ANL74" i="1"/>
  <c r="AHC77" i="1"/>
  <c r="AGZ77" i="1"/>
  <c r="AGW77" i="1"/>
  <c r="AHI77" i="1"/>
  <c r="AHF77" i="1"/>
  <c r="QJ73" i="1"/>
  <c r="QQ73" i="1"/>
  <c r="QK73" i="1"/>
  <c r="QP73" i="1"/>
  <c r="QR73" i="1"/>
  <c r="QN73" i="1"/>
  <c r="QM73" i="1"/>
  <c r="QO73" i="1"/>
  <c r="QL73" i="1"/>
  <c r="SB71" i="1"/>
  <c r="RI71" i="1"/>
  <c r="RF71" i="1"/>
  <c r="ANL71" i="1"/>
  <c r="ANS71" i="1"/>
  <c r="ANO71" i="1"/>
  <c r="ANR71" i="1"/>
  <c r="ANN71" i="1"/>
  <c r="ANK71" i="1"/>
  <c r="ANP71" i="1"/>
  <c r="ANQ71" i="1"/>
  <c r="ANM71" i="1"/>
  <c r="AGW74" i="1"/>
  <c r="AHF74" i="1"/>
  <c r="AHC74" i="1"/>
  <c r="AHI74" i="1"/>
  <c r="AGZ74" i="1"/>
  <c r="SB74" i="1"/>
  <c r="YC76" i="1"/>
  <c r="YB76" i="1"/>
  <c r="YG76" i="1"/>
  <c r="YH76" i="1"/>
  <c r="YE76" i="1"/>
  <c r="YD76" i="1"/>
  <c r="YA76" i="1"/>
  <c r="YF76" i="1"/>
  <c r="YI76" i="1"/>
  <c r="RM74" i="1"/>
  <c r="RS74" i="1"/>
  <c r="RP74" i="1"/>
  <c r="RV74" i="1"/>
  <c r="RY74" i="1"/>
  <c r="AGA23" i="1"/>
  <c r="AFU23" i="1"/>
  <c r="AGB23" i="1"/>
  <c r="AFY23" i="1"/>
  <c r="AFT23" i="1"/>
  <c r="AFV23" i="1"/>
  <c r="AFX23" i="1"/>
  <c r="AFZ23" i="1"/>
  <c r="AFW23" i="1"/>
  <c r="AGZ71" i="1"/>
  <c r="AGW71" i="1"/>
  <c r="AHC71" i="1"/>
  <c r="AHI71" i="1"/>
  <c r="AHF71" i="1"/>
  <c r="AGT23" i="1"/>
  <c r="YX77" i="1" a="1"/>
  <c r="YX77" i="1" s="1"/>
  <c r="YR77" i="1"/>
  <c r="YW77" i="1"/>
  <c r="ZN77" i="1"/>
  <c r="ZD77" i="1"/>
  <c r="ZC77" i="1"/>
  <c r="ZP77" i="1"/>
  <c r="ZJ77" i="1"/>
  <c r="ZO77" i="1"/>
  <c r="ZQ77" i="1"/>
  <c r="ZR77" i="1" a="1"/>
  <c r="ZR77" i="1" s="1"/>
  <c r="ZG77" i="1"/>
  <c r="ZH77" i="1"/>
  <c r="ZU77" i="1"/>
  <c r="ZV77" i="1" s="1"/>
  <c r="ZW77" i="1" s="1"/>
  <c r="APL77" i="1" s="1"/>
  <c r="ZL77" i="1"/>
  <c r="ZE77" i="1"/>
  <c r="ZF77" i="1"/>
  <c r="ZB77" i="1"/>
  <c r="ZK77" i="1"/>
  <c r="ZI77" i="1"/>
  <c r="ZS77" i="1"/>
  <c r="ZT77" i="1"/>
  <c r="YY77" i="1" a="1"/>
  <c r="YY77" i="1" s="1"/>
  <c r="ZA77" i="1" s="1"/>
  <c r="ZM77" i="1"/>
  <c r="AOP71" i="1"/>
  <c r="APA71" i="1"/>
  <c r="AOR71" i="1"/>
  <c r="AOH71" i="1" a="1"/>
  <c r="AOH71" i="1" s="1"/>
  <c r="AOW71" i="1"/>
  <c r="AOG71" i="1"/>
  <c r="AOU71" i="1"/>
  <c r="APB71" i="1" a="1"/>
  <c r="APB71" i="1" s="1"/>
  <c r="AOT71" i="1"/>
  <c r="AOO71" i="1"/>
  <c r="AOL71" i="1"/>
  <c r="AON71" i="1"/>
  <c r="AOB71" i="1"/>
  <c r="APD71" i="1"/>
  <c r="APE71" i="1"/>
  <c r="APF71" i="1" s="1"/>
  <c r="APG71" i="1" s="1"/>
  <c r="APK71" i="1" s="1"/>
  <c r="AOI71" i="1" a="1"/>
  <c r="AOI71" i="1" s="1"/>
  <c r="AOK71" i="1" s="1"/>
  <c r="APC71" i="1"/>
  <c r="AOV71" i="1"/>
  <c r="AOY71" i="1"/>
  <c r="AOX71" i="1"/>
  <c r="AOM71" i="1"/>
  <c r="AOS71" i="1"/>
  <c r="AOQ71" i="1"/>
  <c r="AOZ71" i="1"/>
  <c r="AFX71" i="1"/>
  <c r="AGB71" i="1"/>
  <c r="AGA71" i="1"/>
  <c r="AFY71" i="1"/>
  <c r="AFW71" i="1"/>
  <c r="AFV71" i="1"/>
  <c r="AFU71" i="1"/>
  <c r="AFT71" i="1"/>
  <c r="AFZ71" i="1"/>
  <c r="ANS23" i="1"/>
  <c r="ANL23" i="1"/>
  <c r="ANP23" i="1"/>
  <c r="ANQ23" i="1"/>
  <c r="ANN23" i="1"/>
  <c r="ANO23" i="1"/>
  <c r="ANM23" i="1"/>
  <c r="ANR23" i="1"/>
  <c r="ANK23" i="1"/>
  <c r="RP73" i="1"/>
  <c r="RY73" i="1"/>
  <c r="RS73" i="1"/>
  <c r="RM73" i="1"/>
  <c r="RV73" i="1"/>
  <c r="AGP77" i="1"/>
  <c r="AGS77" i="1"/>
  <c r="AHL76" i="1"/>
  <c r="AGP78" i="1"/>
  <c r="AGS78" i="1"/>
  <c r="AGP17" i="1"/>
  <c r="AGS17" i="1"/>
  <c r="YY74" i="1" a="1"/>
  <c r="YY74" i="1" s="1"/>
  <c r="ZA74" i="1" s="1"/>
  <c r="YX74" i="1" a="1"/>
  <c r="YX74" i="1" s="1"/>
  <c r="ZC74" i="1"/>
  <c r="ZL74" i="1"/>
  <c r="ZT74" i="1"/>
  <c r="ZP74" i="1"/>
  <c r="ZN74" i="1"/>
  <c r="ZU74" i="1"/>
  <c r="ZV74" i="1" s="1"/>
  <c r="ZW74" i="1" s="1"/>
  <c r="APL74" i="1" s="1"/>
  <c r="ZS74" i="1"/>
  <c r="ZR74" i="1" a="1"/>
  <c r="ZR74" i="1" s="1"/>
  <c r="YW74" i="1"/>
  <c r="ZB74" i="1"/>
  <c r="ZE74" i="1"/>
  <c r="ZQ74" i="1"/>
  <c r="ZM74" i="1"/>
  <c r="ZF74" i="1"/>
  <c r="ZJ74" i="1"/>
  <c r="ZI74" i="1"/>
  <c r="ZO74" i="1"/>
  <c r="ZK74" i="1"/>
  <c r="ZH74" i="1"/>
  <c r="ZG74" i="1"/>
  <c r="ZD74" i="1"/>
  <c r="YR74" i="1"/>
  <c r="YZ74" i="1" s="1"/>
  <c r="AGT76" i="1"/>
  <c r="AGS75" i="1"/>
  <c r="AGP75" i="1"/>
  <c r="RJ74" i="1"/>
  <c r="AHL58" i="1"/>
  <c r="AOP73" i="1"/>
  <c r="APC73" i="1"/>
  <c r="APA73" i="1"/>
  <c r="AOX73" i="1"/>
  <c r="AOT73" i="1"/>
  <c r="AOR73" i="1"/>
  <c r="AOY73" i="1"/>
  <c r="AOS73" i="1"/>
  <c r="AOZ73" i="1"/>
  <c r="AOH73" i="1" a="1"/>
  <c r="AOH73" i="1" s="1"/>
  <c r="AOU73" i="1"/>
  <c r="AOG73" i="1"/>
  <c r="AOV73" i="1"/>
  <c r="APE73" i="1"/>
  <c r="APF73" i="1" s="1"/>
  <c r="APG73" i="1" s="1"/>
  <c r="APK73" i="1" s="1"/>
  <c r="AOM73" i="1"/>
  <c r="AOO73" i="1"/>
  <c r="AOB73" i="1"/>
  <c r="AOJ73" i="1" s="1"/>
  <c r="AOW73" i="1"/>
  <c r="AOL73" i="1"/>
  <c r="AON73" i="1"/>
  <c r="AOI73" i="1" a="1"/>
  <c r="AOI73" i="1" s="1"/>
  <c r="AOK73" i="1" s="1"/>
  <c r="APD73" i="1"/>
  <c r="APB73" i="1" a="1"/>
  <c r="APB73" i="1" s="1"/>
  <c r="AOQ73" i="1"/>
  <c r="QK62" i="1"/>
  <c r="QN62" i="1"/>
  <c r="QJ62" i="1"/>
  <c r="QP62" i="1"/>
  <c r="QQ62" i="1"/>
  <c r="QL62" i="1"/>
  <c r="QM62" i="1"/>
  <c r="QR62" i="1"/>
  <c r="QO62" i="1"/>
  <c r="RJ73" i="1"/>
  <c r="QO71" i="1"/>
  <c r="QP71" i="1"/>
  <c r="QN71" i="1"/>
  <c r="QJ71" i="1"/>
  <c r="QM71" i="1"/>
  <c r="QR71" i="1"/>
  <c r="QK71" i="1"/>
  <c r="QL71" i="1"/>
  <c r="QQ71" i="1"/>
  <c r="QQ76" i="1"/>
  <c r="QR76" i="1"/>
  <c r="QO76" i="1"/>
  <c r="QN76" i="1"/>
  <c r="QP76" i="1"/>
  <c r="QL76" i="1"/>
  <c r="QJ76" i="1"/>
  <c r="QM76" i="1"/>
  <c r="QK76" i="1"/>
  <c r="QP60" i="1"/>
  <c r="QJ60" i="1"/>
  <c r="QR60" i="1"/>
  <c r="QK60" i="1"/>
  <c r="QQ60" i="1"/>
  <c r="QM60" i="1"/>
  <c r="QL60" i="1"/>
  <c r="QO60" i="1"/>
  <c r="QN60" i="1"/>
  <c r="AGT73" i="1"/>
  <c r="RJ75" i="1"/>
  <c r="YD72" i="1"/>
  <c r="YH72" i="1"/>
  <c r="YG72" i="1"/>
  <c r="YA72" i="1"/>
  <c r="YI72" i="1"/>
  <c r="YF72" i="1"/>
  <c r="YE72" i="1"/>
  <c r="YC72" i="1"/>
  <c r="YB72" i="1"/>
  <c r="APC74" i="1"/>
  <c r="AOZ74" i="1"/>
  <c r="APE74" i="1"/>
  <c r="APF74" i="1" s="1"/>
  <c r="APG74" i="1" s="1"/>
  <c r="APK74" i="1" s="1"/>
  <c r="AOU74" i="1"/>
  <c r="AOR74" i="1"/>
  <c r="AOH74" i="1" a="1"/>
  <c r="AOH74" i="1" s="1"/>
  <c r="AOV74" i="1"/>
  <c r="APA74" i="1"/>
  <c r="AOW74" i="1"/>
  <c r="AON74" i="1"/>
  <c r="AOL74" i="1"/>
  <c r="AOT74" i="1"/>
  <c r="AOG74" i="1"/>
  <c r="APD74" i="1"/>
  <c r="AOP74" i="1"/>
  <c r="APB74" i="1" a="1"/>
  <c r="APB74" i="1" s="1"/>
  <c r="AOS74" i="1"/>
  <c r="AOQ74" i="1"/>
  <c r="AOX74" i="1"/>
  <c r="AOM74" i="1"/>
  <c r="AOY74" i="1"/>
  <c r="AOI74" i="1" a="1"/>
  <c r="AOI74" i="1" s="1"/>
  <c r="AOK74" i="1" s="1"/>
  <c r="AOO74" i="1"/>
  <c r="AOB74" i="1"/>
  <c r="AOJ74" i="1" s="1"/>
  <c r="RS77" i="1"/>
  <c r="RM77" i="1"/>
  <c r="RY77" i="1"/>
  <c r="RV77" i="1"/>
  <c r="RP77" i="1"/>
  <c r="QL13" i="1"/>
  <c r="QJ13" i="1"/>
  <c r="QR13" i="1"/>
  <c r="QN13" i="1"/>
  <c r="QP13" i="1"/>
  <c r="QQ13" i="1"/>
  <c r="QK13" i="1"/>
  <c r="QM13" i="1"/>
  <c r="QO13" i="1"/>
  <c r="AGB77" i="1"/>
  <c r="AGA77" i="1"/>
  <c r="AFT77" i="1"/>
  <c r="AFY77" i="1"/>
  <c r="AFW77" i="1"/>
  <c r="AFU77" i="1"/>
  <c r="AFV77" i="1"/>
  <c r="AFX77" i="1"/>
  <c r="AFZ77" i="1"/>
  <c r="AFV18" i="1"/>
  <c r="AFU18" i="1"/>
  <c r="AFX18" i="1"/>
  <c r="AFW18" i="1"/>
  <c r="AGB18" i="1"/>
  <c r="AFT18" i="1"/>
  <c r="AFY18" i="1"/>
  <c r="AFZ18" i="1"/>
  <c r="AGA18" i="1"/>
  <c r="AGW18" i="1"/>
  <c r="AHF18" i="1"/>
  <c r="AHC18" i="1"/>
  <c r="AGZ18" i="1"/>
  <c r="AHI18" i="1"/>
  <c r="AGB17" i="1"/>
  <c r="AFT17" i="1"/>
  <c r="AGA17" i="1"/>
  <c r="AFW17" i="1"/>
  <c r="AFZ17" i="1"/>
  <c r="AFV17" i="1"/>
  <c r="AFY17" i="1"/>
  <c r="AFX17" i="1"/>
  <c r="AFU17" i="1"/>
  <c r="ANR57" i="1"/>
  <c r="ANQ57" i="1"/>
  <c r="ANL57" i="1"/>
  <c r="ANN57" i="1"/>
  <c r="ANP57" i="1"/>
  <c r="ANO57" i="1"/>
  <c r="ANK57" i="1"/>
  <c r="ANS57" i="1"/>
  <c r="ANM57" i="1"/>
  <c r="AGT13" i="1"/>
  <c r="AGZ20" i="1"/>
  <c r="AGW20" i="1"/>
  <c r="AHI20" i="1"/>
  <c r="AHF20" i="1"/>
  <c r="AHC20" i="1"/>
  <c r="YA17" i="1"/>
  <c r="YC17" i="1"/>
  <c r="YF17" i="1"/>
  <c r="YB17" i="1"/>
  <c r="YE17" i="1"/>
  <c r="YI17" i="1"/>
  <c r="YD17" i="1"/>
  <c r="YH17" i="1"/>
  <c r="YG17" i="1"/>
  <c r="AFW13" i="1"/>
  <c r="AGB13" i="1"/>
  <c r="AFY13" i="1"/>
  <c r="AFU13" i="1"/>
  <c r="AFZ13" i="1"/>
  <c r="AFX13" i="1"/>
  <c r="AFV13" i="1"/>
  <c r="AGA13" i="1"/>
  <c r="AFT13" i="1"/>
  <c r="AGP57" i="1"/>
  <c r="AGS57" i="1"/>
  <c r="AGW58" i="1"/>
  <c r="AHI58" i="1"/>
  <c r="AHF58" i="1"/>
  <c r="AHC58" i="1"/>
  <c r="AGZ58" i="1"/>
  <c r="RI10" i="1"/>
  <c r="RF10" i="1"/>
  <c r="AFT72" i="1"/>
  <c r="AFX72" i="1"/>
  <c r="AGA72" i="1"/>
  <c r="AFW72" i="1"/>
  <c r="AGB72" i="1"/>
  <c r="AFY72" i="1"/>
  <c r="AFV72" i="1"/>
  <c r="AFU72" i="1"/>
  <c r="AFZ72" i="1"/>
  <c r="RJ62" i="1"/>
  <c r="AHL14" i="1"/>
  <c r="RV20" i="1"/>
  <c r="RY20" i="1"/>
  <c r="RP20" i="1"/>
  <c r="RM20" i="1"/>
  <c r="RS20" i="1"/>
  <c r="ANS60" i="1"/>
  <c r="ANR60" i="1"/>
  <c r="ANQ60" i="1"/>
  <c r="ANN60" i="1"/>
  <c r="ANM60" i="1"/>
  <c r="ANL60" i="1"/>
  <c r="ANO60" i="1"/>
  <c r="ANP60" i="1"/>
  <c r="ANK60" i="1"/>
  <c r="RV59" i="1"/>
  <c r="RP59" i="1"/>
  <c r="RY59" i="1"/>
  <c r="RS59" i="1"/>
  <c r="RM59" i="1"/>
  <c r="RM18" i="1"/>
  <c r="RP18" i="1"/>
  <c r="RV18" i="1"/>
  <c r="RY18" i="1"/>
  <c r="RS18" i="1"/>
  <c r="ANS17" i="1"/>
  <c r="ANK17" i="1"/>
  <c r="ANO17" i="1"/>
  <c r="ANP17" i="1"/>
  <c r="ANQ17" i="1"/>
  <c r="ANN17" i="1"/>
  <c r="ANL17" i="1"/>
  <c r="ANR17" i="1"/>
  <c r="ANM17" i="1"/>
  <c r="ANS61" i="1"/>
  <c r="ANR61" i="1"/>
  <c r="ANM61" i="1"/>
  <c r="ANP61" i="1"/>
  <c r="ANN61" i="1"/>
  <c r="ANQ61" i="1"/>
  <c r="ANK61" i="1"/>
  <c r="ANO61" i="1"/>
  <c r="ANL61" i="1"/>
  <c r="AGT78" i="1"/>
  <c r="RY22" i="1"/>
  <c r="RP22" i="1"/>
  <c r="RS22" i="1"/>
  <c r="RM22" i="1"/>
  <c r="RV22" i="1"/>
  <c r="ANO59" i="1"/>
  <c r="ANR59" i="1"/>
  <c r="ANP59" i="1"/>
  <c r="ANK59" i="1"/>
  <c r="ANL59" i="1"/>
  <c r="ANQ59" i="1"/>
  <c r="ANN59" i="1"/>
  <c r="ANM59" i="1"/>
  <c r="ANS59" i="1"/>
  <c r="RI72" i="1"/>
  <c r="RF72" i="1"/>
  <c r="AFU62" i="1"/>
  <c r="AFY62" i="1"/>
  <c r="AGB62" i="1"/>
  <c r="AFV62" i="1"/>
  <c r="AFZ62" i="1"/>
  <c r="AFX62" i="1"/>
  <c r="AFW62" i="1"/>
  <c r="AFT62" i="1"/>
  <c r="AGA62" i="1"/>
  <c r="YD18" i="1"/>
  <c r="YG18" i="1"/>
  <c r="YF18" i="1"/>
  <c r="YH18" i="1"/>
  <c r="YC18" i="1"/>
  <c r="YI18" i="1"/>
  <c r="YB18" i="1"/>
  <c r="YA18" i="1"/>
  <c r="YE18" i="1"/>
  <c r="AOG72" i="1"/>
  <c r="AOZ72" i="1"/>
  <c r="APD72" i="1"/>
  <c r="APB72" i="1" a="1"/>
  <c r="APB72" i="1" s="1"/>
  <c r="AOH72" i="1" a="1"/>
  <c r="AOH72" i="1" s="1"/>
  <c r="AOW72" i="1"/>
  <c r="AOP72" i="1"/>
  <c r="AOI72" i="1" a="1"/>
  <c r="AOI72" i="1" s="1"/>
  <c r="AOK72" i="1" s="1"/>
  <c r="AOT72" i="1"/>
  <c r="AOU72" i="1"/>
  <c r="AOO72" i="1"/>
  <c r="AOL72" i="1"/>
  <c r="AOM72" i="1"/>
  <c r="AON72" i="1"/>
  <c r="AOY72" i="1"/>
  <c r="AOQ72" i="1"/>
  <c r="AOB72" i="1"/>
  <c r="AOJ72" i="1" s="1"/>
  <c r="APE72" i="1"/>
  <c r="APF72" i="1" s="1"/>
  <c r="APG72" i="1" s="1"/>
  <c r="APK72" i="1" s="1"/>
  <c r="AOV72" i="1"/>
  <c r="APA72" i="1"/>
  <c r="AOX72" i="1"/>
  <c r="AOR72" i="1"/>
  <c r="AOS72" i="1"/>
  <c r="APC72" i="1"/>
  <c r="AGS61" i="1"/>
  <c r="AGP61" i="1"/>
  <c r="SB56" i="1"/>
  <c r="YG59" i="1"/>
  <c r="YF59" i="1"/>
  <c r="YC59" i="1"/>
  <c r="YE59" i="1"/>
  <c r="YB59" i="1"/>
  <c r="YA59" i="1"/>
  <c r="YD59" i="1"/>
  <c r="YI59" i="1"/>
  <c r="YH59" i="1"/>
  <c r="SB75" i="1"/>
  <c r="QJ56" i="1"/>
  <c r="QR56" i="1"/>
  <c r="QO56" i="1"/>
  <c r="QM56" i="1"/>
  <c r="QQ56" i="1"/>
  <c r="QN56" i="1"/>
  <c r="QP56" i="1"/>
  <c r="QL56" i="1"/>
  <c r="QK56" i="1"/>
  <c r="YA61" i="1"/>
  <c r="YH61" i="1"/>
  <c r="YE61" i="1"/>
  <c r="YI61" i="1"/>
  <c r="YG61" i="1"/>
  <c r="YC61" i="1"/>
  <c r="YB61" i="1"/>
  <c r="YF61" i="1"/>
  <c r="YD61" i="1"/>
  <c r="ZE56" i="1"/>
  <c r="ZO56" i="1"/>
  <c r="ZM56" i="1"/>
  <c r="ZP56" i="1"/>
  <c r="YY56" i="1" a="1"/>
  <c r="YY56" i="1" s="1"/>
  <c r="ZA56" i="1" s="1"/>
  <c r="ZI56" i="1"/>
  <c r="ZL56" i="1"/>
  <c r="ZD56" i="1"/>
  <c r="ZB56" i="1"/>
  <c r="ZN56" i="1"/>
  <c r="ZF56" i="1"/>
  <c r="ZR56" i="1" a="1"/>
  <c r="ZR56" i="1" s="1"/>
  <c r="ZQ56" i="1"/>
  <c r="ZT56" i="1"/>
  <c r="YX56" i="1" a="1"/>
  <c r="YX56" i="1" s="1"/>
  <c r="ZH56" i="1"/>
  <c r="YR56" i="1"/>
  <c r="YZ56" i="1" s="1"/>
  <c r="ZJ56" i="1"/>
  <c r="ZS56" i="1"/>
  <c r="ZU56" i="1"/>
  <c r="ZV56" i="1" s="1"/>
  <c r="ZW56" i="1" s="1"/>
  <c r="APL56" i="1" s="1"/>
  <c r="ZG56" i="1"/>
  <c r="ZC56" i="1"/>
  <c r="YW56" i="1"/>
  <c r="ZK56" i="1"/>
  <c r="AGP15" i="1"/>
  <c r="AGS15" i="1"/>
  <c r="QP21" i="1"/>
  <c r="QL21" i="1"/>
  <c r="QQ21" i="1"/>
  <c r="QR21" i="1"/>
  <c r="QO21" i="1"/>
  <c r="QM21" i="1"/>
  <c r="QK21" i="1"/>
  <c r="QN21" i="1"/>
  <c r="QJ21" i="1"/>
  <c r="RY16" i="1"/>
  <c r="RP16" i="1"/>
  <c r="RS16" i="1"/>
  <c r="RV16" i="1"/>
  <c r="RM16" i="1"/>
  <c r="AHC19" i="1"/>
  <c r="AHI19" i="1"/>
  <c r="AGZ19" i="1"/>
  <c r="AGW19" i="1"/>
  <c r="AHF19" i="1"/>
  <c r="QK22" i="1"/>
  <c r="QN22" i="1"/>
  <c r="QQ22" i="1"/>
  <c r="QO22" i="1"/>
  <c r="QL22" i="1"/>
  <c r="QP22" i="1"/>
  <c r="QM22" i="1"/>
  <c r="QJ22" i="1"/>
  <c r="QR22" i="1"/>
  <c r="AFY63" i="1"/>
  <c r="AFT63" i="1"/>
  <c r="AFU63" i="1"/>
  <c r="AFZ63" i="1"/>
  <c r="AFW63" i="1"/>
  <c r="AFV63" i="1"/>
  <c r="AGB63" i="1"/>
  <c r="AFX63" i="1"/>
  <c r="AGA63" i="1"/>
  <c r="AGT19" i="1"/>
  <c r="YC13" i="1"/>
  <c r="YB13" i="1"/>
  <c r="YH13" i="1"/>
  <c r="YD13" i="1"/>
  <c r="YF13" i="1"/>
  <c r="YE13" i="1"/>
  <c r="YA13" i="1"/>
  <c r="YI13" i="1"/>
  <c r="YG13" i="1"/>
  <c r="AFX16" i="1"/>
  <c r="AGA16" i="1"/>
  <c r="AFZ16" i="1"/>
  <c r="AFW16" i="1"/>
  <c r="AGB16" i="1"/>
  <c r="AFV16" i="1"/>
  <c r="AFT16" i="1"/>
  <c r="AFY16" i="1"/>
  <c r="AFU16" i="1"/>
  <c r="AHC15" i="1"/>
  <c r="AHF15" i="1"/>
  <c r="AGZ15" i="1"/>
  <c r="AGW15" i="1"/>
  <c r="AHI15" i="1"/>
  <c r="RI61" i="1"/>
  <c r="RF61" i="1"/>
  <c r="AGS21" i="1"/>
  <c r="AGP21" i="1"/>
  <c r="YF60" i="1"/>
  <c r="YH60" i="1"/>
  <c r="YA60" i="1"/>
  <c r="YI60" i="1"/>
  <c r="YB60" i="1"/>
  <c r="YD60" i="1"/>
  <c r="YG60" i="1"/>
  <c r="YC60" i="1"/>
  <c r="YE60" i="1"/>
  <c r="AOV19" i="1"/>
  <c r="AOM19" i="1"/>
  <c r="AOW19" i="1"/>
  <c r="AOX19" i="1"/>
  <c r="AOL19" i="1"/>
  <c r="AOO19" i="1"/>
  <c r="AOI19" i="1" a="1"/>
  <c r="AOI19" i="1" s="1"/>
  <c r="AOK19" i="1" s="1"/>
  <c r="AOT19" i="1"/>
  <c r="AOS19" i="1"/>
  <c r="AOG19" i="1"/>
  <c r="APD19" i="1"/>
  <c r="AOP19" i="1"/>
  <c r="AOU19" i="1"/>
  <c r="AON19" i="1"/>
  <c r="AOB19" i="1"/>
  <c r="AOY19" i="1"/>
  <c r="APE19" i="1"/>
  <c r="APF19" i="1" s="1"/>
  <c r="APG19" i="1" s="1"/>
  <c r="APK19" i="1" s="1"/>
  <c r="AOZ19" i="1"/>
  <c r="AOH19" i="1" a="1"/>
  <c r="AOH19" i="1" s="1"/>
  <c r="AOQ19" i="1"/>
  <c r="APC19" i="1"/>
  <c r="APA19" i="1"/>
  <c r="AOR19" i="1"/>
  <c r="APB19" i="1" a="1"/>
  <c r="APB19" i="1" s="1"/>
  <c r="RJ12" i="1"/>
  <c r="RV15" i="1"/>
  <c r="RP15" i="1"/>
  <c r="RS15" i="1"/>
  <c r="RY15" i="1"/>
  <c r="RM15" i="1"/>
  <c r="YC22" i="1"/>
  <c r="YE22" i="1"/>
  <c r="YG22" i="1"/>
  <c r="YB22" i="1"/>
  <c r="YI22" i="1"/>
  <c r="YH22" i="1"/>
  <c r="YD22" i="1"/>
  <c r="YA22" i="1"/>
  <c r="YF22" i="1"/>
  <c r="ZB15" i="1"/>
  <c r="YR15" i="1"/>
  <c r="ZH15" i="1"/>
  <c r="ZM15" i="1"/>
  <c r="YW15" i="1"/>
  <c r="ZG15" i="1"/>
  <c r="ZN15" i="1"/>
  <c r="YY15" i="1" a="1"/>
  <c r="YY15" i="1" s="1"/>
  <c r="ZA15" i="1" s="1"/>
  <c r="ZL15" i="1"/>
  <c r="ZJ15" i="1"/>
  <c r="ZC15" i="1"/>
  <c r="ZO15" i="1"/>
  <c r="ZR15" i="1" a="1"/>
  <c r="ZR15" i="1" s="1"/>
  <c r="ZP15" i="1"/>
  <c r="ZT15" i="1"/>
  <c r="YX15" i="1" a="1"/>
  <c r="YX15" i="1" s="1"/>
  <c r="ZK15" i="1"/>
  <c r="ZI15" i="1"/>
  <c r="ZU15" i="1"/>
  <c r="ZV15" i="1" s="1"/>
  <c r="ZW15" i="1" s="1"/>
  <c r="APL15" i="1" s="1"/>
  <c r="ZE15" i="1"/>
  <c r="ZF15" i="1"/>
  <c r="ZQ15" i="1"/>
  <c r="ZS15" i="1"/>
  <c r="ZD15" i="1"/>
  <c r="AFV55" i="1"/>
  <c r="AFT55" i="1"/>
  <c r="AGB55" i="1"/>
  <c r="AFX55" i="1"/>
  <c r="AGA55" i="1"/>
  <c r="AFY55" i="1"/>
  <c r="AFW55" i="1"/>
  <c r="AFU55" i="1"/>
  <c r="AFZ55" i="1"/>
  <c r="YF11" i="1"/>
  <c r="YB11" i="1"/>
  <c r="YG11" i="1"/>
  <c r="YD11" i="1"/>
  <c r="YE11" i="1"/>
  <c r="YH11" i="1"/>
  <c r="YC11" i="1"/>
  <c r="YI11" i="1"/>
  <c r="YA11" i="1"/>
  <c r="AOL59" i="1"/>
  <c r="AOX59" i="1"/>
  <c r="AOT59" i="1"/>
  <c r="APA59" i="1"/>
  <c r="AON59" i="1"/>
  <c r="APD59" i="1"/>
  <c r="AOZ59" i="1"/>
  <c r="AOP59" i="1"/>
  <c r="APB59" i="1" a="1"/>
  <c r="APB59" i="1" s="1"/>
  <c r="AOR59" i="1"/>
  <c r="AOB59" i="1"/>
  <c r="AOM59" i="1"/>
  <c r="AOH59" i="1" a="1"/>
  <c r="AOH59" i="1" s="1"/>
  <c r="AOY59" i="1"/>
  <c r="APE59" i="1"/>
  <c r="APF59" i="1" s="1"/>
  <c r="APG59" i="1" s="1"/>
  <c r="APK59" i="1" s="1"/>
  <c r="AOS59" i="1"/>
  <c r="AOO59" i="1"/>
  <c r="AOQ59" i="1"/>
  <c r="AOI59" i="1" a="1"/>
  <c r="AOI59" i="1" s="1"/>
  <c r="AOK59" i="1" s="1"/>
  <c r="AOV59" i="1"/>
  <c r="AOG59" i="1"/>
  <c r="AOW59" i="1"/>
  <c r="APC59" i="1"/>
  <c r="AOU59" i="1"/>
  <c r="ANO21" i="1"/>
  <c r="ANP21" i="1"/>
  <c r="ANR21" i="1"/>
  <c r="ANM21" i="1"/>
  <c r="ANK21" i="1"/>
  <c r="ANQ21" i="1"/>
  <c r="ANS21" i="1"/>
  <c r="ANL21" i="1"/>
  <c r="ANN21" i="1"/>
  <c r="RP26" i="1"/>
  <c r="RM26" i="1"/>
  <c r="RS26" i="1"/>
  <c r="RY26" i="1"/>
  <c r="RV26" i="1"/>
  <c r="ANN26" i="1"/>
  <c r="ANM26" i="1"/>
  <c r="ANP26" i="1"/>
  <c r="ANQ26" i="1"/>
  <c r="ANR26" i="1"/>
  <c r="ANL26" i="1"/>
  <c r="ANK26" i="1"/>
  <c r="ANS26" i="1"/>
  <c r="ANO26" i="1"/>
  <c r="AOI21" i="1" a="1"/>
  <c r="AOI21" i="1" s="1"/>
  <c r="AOK21" i="1" s="1"/>
  <c r="AOH21" i="1" a="1"/>
  <c r="AOH21" i="1" s="1"/>
  <c r="AOS21" i="1"/>
  <c r="APD21" i="1"/>
  <c r="APB21" i="1" a="1"/>
  <c r="APB21" i="1" s="1"/>
  <c r="AOQ21" i="1"/>
  <c r="APC21" i="1"/>
  <c r="AOO21" i="1"/>
  <c r="AOT21" i="1"/>
  <c r="AOV21" i="1"/>
  <c r="AOM21" i="1"/>
  <c r="AOL21" i="1"/>
  <c r="AON21" i="1"/>
  <c r="APA21" i="1"/>
  <c r="AOB21" i="1"/>
  <c r="APE21" i="1"/>
  <c r="APF21" i="1" s="1"/>
  <c r="APG21" i="1" s="1"/>
  <c r="APK21" i="1" s="1"/>
  <c r="AOY21" i="1"/>
  <c r="AOW21" i="1"/>
  <c r="AOX21" i="1"/>
  <c r="AOZ21" i="1"/>
  <c r="AOU21" i="1"/>
  <c r="AOP21" i="1"/>
  <c r="AOR21" i="1"/>
  <c r="AOG21" i="1"/>
  <c r="AGW63" i="1"/>
  <c r="AHC63" i="1"/>
  <c r="AHI63" i="1"/>
  <c r="AGZ63" i="1"/>
  <c r="AHF63" i="1"/>
  <c r="YH21" i="1"/>
  <c r="YC21" i="1"/>
  <c r="YB21" i="1"/>
  <c r="YF21" i="1"/>
  <c r="YA21" i="1"/>
  <c r="YI21" i="1"/>
  <c r="YG21" i="1"/>
  <c r="YD21" i="1"/>
  <c r="YE21" i="1"/>
  <c r="RI26" i="1"/>
  <c r="RF26" i="1"/>
  <c r="RJ26" i="1"/>
  <c r="AHL26" i="1"/>
  <c r="AGT59" i="1"/>
  <c r="ANS22" i="1"/>
  <c r="ANQ22" i="1"/>
  <c r="ANP22" i="1"/>
  <c r="ANO22" i="1"/>
  <c r="ANL22" i="1"/>
  <c r="ANR22" i="1"/>
  <c r="ANM22" i="1"/>
  <c r="ANK22" i="1"/>
  <c r="ANN22" i="1"/>
  <c r="AGP71" i="1"/>
  <c r="AGS71" i="1"/>
  <c r="RF74" i="1"/>
  <c r="RI74" i="1"/>
  <c r="RF23" i="1"/>
  <c r="RI23" i="1"/>
  <c r="ZJ23" i="1"/>
  <c r="ZO23" i="1"/>
  <c r="YR23" i="1"/>
  <c r="ZL23" i="1"/>
  <c r="YW23" i="1"/>
  <c r="ZH23" i="1"/>
  <c r="ZE23" i="1"/>
  <c r="YY23" i="1" a="1"/>
  <c r="YY23" i="1" s="1"/>
  <c r="ZA23" i="1" s="1"/>
  <c r="ZU23" i="1"/>
  <c r="ZV23" i="1" s="1"/>
  <c r="ZW23" i="1" s="1"/>
  <c r="APL23" i="1" s="1"/>
  <c r="ZQ23" i="1"/>
  <c r="ZM23" i="1"/>
  <c r="ZF23" i="1"/>
  <c r="ZP23" i="1"/>
  <c r="ZN23" i="1"/>
  <c r="ZK23" i="1"/>
  <c r="ZG23" i="1"/>
  <c r="ZD23" i="1"/>
  <c r="ZS23" i="1"/>
  <c r="YX23" i="1" a="1"/>
  <c r="YX23" i="1" s="1"/>
  <c r="ZI23" i="1"/>
  <c r="ZB23" i="1"/>
  <c r="ZC23" i="1"/>
  <c r="ZT23" i="1"/>
  <c r="ZR23" i="1" a="1"/>
  <c r="ZR23" i="1" s="1"/>
  <c r="ZO76" i="1"/>
  <c r="ZQ76" i="1"/>
  <c r="ZT76" i="1"/>
  <c r="ZI76" i="1"/>
  <c r="ZC76" i="1"/>
  <c r="ZD76" i="1"/>
  <c r="ZJ76" i="1"/>
  <c r="ZB76" i="1"/>
  <c r="ZK76" i="1"/>
  <c r="ZE76" i="1"/>
  <c r="ZN76" i="1"/>
  <c r="YY76" i="1" a="1"/>
  <c r="YY76" i="1" s="1"/>
  <c r="ZA76" i="1" s="1"/>
  <c r="ZR76" i="1" a="1"/>
  <c r="ZR76" i="1" s="1"/>
  <c r="YX76" i="1" a="1"/>
  <c r="YX76" i="1" s="1"/>
  <c r="ZF76" i="1"/>
  <c r="YR76" i="1"/>
  <c r="YW76" i="1"/>
  <c r="ZH76" i="1"/>
  <c r="ZL76" i="1"/>
  <c r="ZM76" i="1"/>
  <c r="ZS76" i="1"/>
  <c r="ZP76" i="1"/>
  <c r="ZU76" i="1"/>
  <c r="ZV76" i="1" s="1"/>
  <c r="ZW76" i="1" s="1"/>
  <c r="APL76" i="1" s="1"/>
  <c r="ZG76" i="1"/>
  <c r="AGP74" i="1"/>
  <c r="AGS74" i="1"/>
  <c r="AGP23" i="1"/>
  <c r="AGS23" i="1"/>
  <c r="ANO75" i="1"/>
  <c r="ANK75" i="1"/>
  <c r="ANN75" i="1"/>
  <c r="ANS75" i="1"/>
  <c r="ANQ75" i="1"/>
  <c r="ANL75" i="1"/>
  <c r="ANP75" i="1"/>
  <c r="ANR75" i="1"/>
  <c r="ANM75" i="1"/>
  <c r="YI74" i="1"/>
  <c r="YD74" i="1"/>
  <c r="YH74" i="1"/>
  <c r="YB74" i="1"/>
  <c r="YA74" i="1"/>
  <c r="YC74" i="1"/>
  <c r="YG74" i="1"/>
  <c r="YF74" i="1"/>
  <c r="YE74" i="1"/>
  <c r="AHL23" i="1"/>
  <c r="ANO78" i="1"/>
  <c r="ANP78" i="1"/>
  <c r="ANK78" i="1"/>
  <c r="ANM78" i="1"/>
  <c r="ANN78" i="1"/>
  <c r="ANS78" i="1"/>
  <c r="ANL78" i="1"/>
  <c r="ANQ78" i="1"/>
  <c r="ANR78" i="1"/>
  <c r="RY17" i="1"/>
  <c r="RP17" i="1"/>
  <c r="RM17" i="1"/>
  <c r="RV17" i="1"/>
  <c r="RS17" i="1"/>
  <c r="AOR78" i="1"/>
  <c r="AOB78" i="1"/>
  <c r="AOY78" i="1"/>
  <c r="AOI78" i="1" a="1"/>
  <c r="AOI78" i="1" s="1"/>
  <c r="AOK78" i="1" s="1"/>
  <c r="AOX78" i="1"/>
  <c r="APA78" i="1"/>
  <c r="AON78" i="1"/>
  <c r="AOL78" i="1"/>
  <c r="APE78" i="1"/>
  <c r="APF78" i="1" s="1"/>
  <c r="APG78" i="1" s="1"/>
  <c r="APK78" i="1" s="1"/>
  <c r="AOM78" i="1"/>
  <c r="APD78" i="1"/>
  <c r="AOH78" i="1" a="1"/>
  <c r="AOH78" i="1" s="1"/>
  <c r="AOW78" i="1"/>
  <c r="APB78" i="1" a="1"/>
  <c r="APB78" i="1" s="1"/>
  <c r="AOU78" i="1"/>
  <c r="AOT78" i="1"/>
  <c r="AOQ78" i="1"/>
  <c r="AOS78" i="1"/>
  <c r="AOO78" i="1"/>
  <c r="AOZ78" i="1"/>
  <c r="AOP78" i="1"/>
  <c r="AOV78" i="1"/>
  <c r="APC78" i="1"/>
  <c r="AOG78" i="1"/>
  <c r="RF78" i="1"/>
  <c r="RI78" i="1"/>
  <c r="ANP76" i="1"/>
  <c r="ANQ76" i="1"/>
  <c r="ANO76" i="1"/>
  <c r="ANS76" i="1"/>
  <c r="ANK76" i="1"/>
  <c r="ANM76" i="1"/>
  <c r="ANN76" i="1"/>
  <c r="ANR76" i="1"/>
  <c r="ANL76" i="1"/>
  <c r="YA73" i="1"/>
  <c r="YG73" i="1"/>
  <c r="YF73" i="1"/>
  <c r="YI73" i="1"/>
  <c r="YB73" i="1"/>
  <c r="YE73" i="1"/>
  <c r="YC73" i="1"/>
  <c r="YD73" i="1"/>
  <c r="YH73" i="1"/>
  <c r="QP20" i="1"/>
  <c r="QK20" i="1"/>
  <c r="QQ20" i="1"/>
  <c r="QL20" i="1"/>
  <c r="QO20" i="1"/>
  <c r="QR20" i="1"/>
  <c r="QN20" i="1"/>
  <c r="QJ20" i="1"/>
  <c r="QM20" i="1"/>
  <c r="YH62" i="1"/>
  <c r="YB62" i="1"/>
  <c r="YC62" i="1"/>
  <c r="YI62" i="1"/>
  <c r="YE62" i="1"/>
  <c r="YD62" i="1"/>
  <c r="YA62" i="1"/>
  <c r="YG62" i="1"/>
  <c r="YF62" i="1"/>
  <c r="RF73" i="1"/>
  <c r="RI73" i="1"/>
  <c r="SB78" i="1"/>
  <c r="QO75" i="1"/>
  <c r="QJ75" i="1"/>
  <c r="QN75" i="1"/>
  <c r="QK75" i="1"/>
  <c r="QM75" i="1"/>
  <c r="QP75" i="1"/>
  <c r="QL75" i="1"/>
  <c r="QR75" i="1"/>
  <c r="QQ75" i="1"/>
  <c r="AGP58" i="1"/>
  <c r="AGS58" i="1"/>
  <c r="ZM71" i="1"/>
  <c r="YR71" i="1"/>
  <c r="ZB71" i="1"/>
  <c r="ZU71" i="1"/>
  <c r="ZV71" i="1" s="1"/>
  <c r="ZW71" i="1" s="1"/>
  <c r="APL71" i="1" s="1"/>
  <c r="ZK71" i="1"/>
  <c r="ZH71" i="1"/>
  <c r="ZS71" i="1"/>
  <c r="ZR71" i="1" a="1"/>
  <c r="ZR71" i="1" s="1"/>
  <c r="ZF71" i="1"/>
  <c r="ZL71" i="1"/>
  <c r="ZJ71" i="1"/>
  <c r="ZD71" i="1"/>
  <c r="ZP71" i="1"/>
  <c r="ZT71" i="1"/>
  <c r="ZC71" i="1"/>
  <c r="ZQ71" i="1"/>
  <c r="YX71" i="1" a="1"/>
  <c r="YX71" i="1" s="1"/>
  <c r="ZE71" i="1"/>
  <c r="YW71" i="1"/>
  <c r="ZN71" i="1"/>
  <c r="YY71" i="1" a="1"/>
  <c r="YY71" i="1" s="1"/>
  <c r="ZA71" i="1" s="1"/>
  <c r="ZI71" i="1"/>
  <c r="ZG71" i="1"/>
  <c r="ZO71" i="1"/>
  <c r="AOM62" i="1"/>
  <c r="AOZ62" i="1"/>
  <c r="APD62" i="1"/>
  <c r="AON62" i="1"/>
  <c r="AOX62" i="1"/>
  <c r="AOU62" i="1"/>
  <c r="APC62" i="1"/>
  <c r="AOT62" i="1"/>
  <c r="AOS62" i="1"/>
  <c r="AOO62" i="1"/>
  <c r="APA62" i="1"/>
  <c r="APB62" i="1" a="1"/>
  <c r="APB62" i="1" s="1"/>
  <c r="APE62" i="1"/>
  <c r="APF62" i="1" s="1"/>
  <c r="APG62" i="1" s="1"/>
  <c r="APK62" i="1" s="1"/>
  <c r="AOP62" i="1"/>
  <c r="AOW62" i="1"/>
  <c r="AOG62" i="1"/>
  <c r="AOR62" i="1"/>
  <c r="AOL62" i="1"/>
  <c r="AOQ62" i="1"/>
  <c r="AOV62" i="1"/>
  <c r="AOI62" i="1" a="1"/>
  <c r="AOI62" i="1" s="1"/>
  <c r="AOK62" i="1" s="1"/>
  <c r="AOB62" i="1"/>
  <c r="AOH62" i="1" a="1"/>
  <c r="AOH62" i="1" s="1"/>
  <c r="AOY62" i="1"/>
  <c r="QN57" i="1"/>
  <c r="QL57" i="1"/>
  <c r="QK57" i="1"/>
  <c r="QO57" i="1"/>
  <c r="QJ57" i="1"/>
  <c r="QR57" i="1"/>
  <c r="QQ57" i="1"/>
  <c r="QM57" i="1"/>
  <c r="QP57" i="1"/>
  <c r="YG57" i="1"/>
  <c r="YI57" i="1"/>
  <c r="YB57" i="1"/>
  <c r="YF57" i="1"/>
  <c r="YC57" i="1"/>
  <c r="YH57" i="1"/>
  <c r="YE57" i="1"/>
  <c r="YA57" i="1"/>
  <c r="YD57" i="1"/>
  <c r="RP14" i="1"/>
  <c r="RS14" i="1"/>
  <c r="RV14" i="1"/>
  <c r="RY14" i="1"/>
  <c r="RM14" i="1"/>
  <c r="ANR72" i="1"/>
  <c r="ANK72" i="1"/>
  <c r="ANM72" i="1"/>
  <c r="ANP72" i="1"/>
  <c r="ANN72" i="1"/>
  <c r="ANL72" i="1"/>
  <c r="ANQ72" i="1"/>
  <c r="ANS72" i="1"/>
  <c r="ANO72" i="1"/>
  <c r="QN10" i="1"/>
  <c r="QL10" i="1"/>
  <c r="QK10" i="1"/>
  <c r="QP10" i="1"/>
  <c r="QM10" i="1"/>
  <c r="QQ10" i="1"/>
  <c r="QO10" i="1"/>
  <c r="QR10" i="1"/>
  <c r="QJ10" i="1"/>
  <c r="AHL78" i="1"/>
  <c r="RI14" i="1"/>
  <c r="RF14" i="1"/>
  <c r="ZS62" i="1"/>
  <c r="ZM62" i="1"/>
  <c r="ZD62" i="1"/>
  <c r="ZQ62" i="1"/>
  <c r="ZF62" i="1"/>
  <c r="YR62" i="1"/>
  <c r="ZN62" i="1"/>
  <c r="ZO62" i="1"/>
  <c r="ZU62" i="1"/>
  <c r="ZV62" i="1" s="1"/>
  <c r="ZW62" i="1" s="1"/>
  <c r="APL62" i="1" s="1"/>
  <c r="ZR62" i="1" a="1"/>
  <c r="ZR62" i="1" s="1"/>
  <c r="ZI62" i="1"/>
  <c r="ZH62" i="1"/>
  <c r="ZP62" i="1"/>
  <c r="ZC62" i="1"/>
  <c r="ZK62" i="1"/>
  <c r="YY62" i="1" a="1"/>
  <c r="YY62" i="1" s="1"/>
  <c r="ZA62" i="1" s="1"/>
  <c r="ZJ62" i="1"/>
  <c r="ZT62" i="1"/>
  <c r="ZG62" i="1"/>
  <c r="ZB62" i="1"/>
  <c r="YX62" i="1" a="1"/>
  <c r="YX62" i="1" s="1"/>
  <c r="ZE62" i="1"/>
  <c r="ZL62" i="1"/>
  <c r="YW62" i="1"/>
  <c r="APE11" i="1"/>
  <c r="APF11" i="1" s="1"/>
  <c r="APG11" i="1" s="1"/>
  <c r="APK11" i="1" s="1"/>
  <c r="AON11" i="1"/>
  <c r="AOU11" i="1"/>
  <c r="APB11" i="1" a="1"/>
  <c r="APB11" i="1" s="1"/>
  <c r="AOO11" i="1"/>
  <c r="AOV11" i="1"/>
  <c r="AOG11" i="1"/>
  <c r="AOI11" i="1" a="1"/>
  <c r="AOI11" i="1" s="1"/>
  <c r="AOK11" i="1" s="1"/>
  <c r="AOT11" i="1"/>
  <c r="AOP11" i="1"/>
  <c r="APA11" i="1"/>
  <c r="AOY11" i="1"/>
  <c r="AOZ11" i="1"/>
  <c r="AOM11" i="1"/>
  <c r="AOB11" i="1"/>
  <c r="AOH11" i="1" a="1"/>
  <c r="AOH11" i="1" s="1"/>
  <c r="APC11" i="1"/>
  <c r="AOQ11" i="1"/>
  <c r="APD11" i="1"/>
  <c r="AOX11" i="1"/>
  <c r="AOR11" i="1"/>
  <c r="AOW11" i="1"/>
  <c r="AOL11" i="1"/>
  <c r="AOS11" i="1"/>
  <c r="AOV18" i="1"/>
  <c r="AOB18" i="1"/>
  <c r="AOQ18" i="1"/>
  <c r="AOZ18" i="1"/>
  <c r="APE18" i="1"/>
  <c r="APF18" i="1" s="1"/>
  <c r="APG18" i="1" s="1"/>
  <c r="APK18" i="1" s="1"/>
  <c r="AOW18" i="1"/>
  <c r="AOY18" i="1"/>
  <c r="AOS18" i="1"/>
  <c r="APB18" i="1" a="1"/>
  <c r="APB18" i="1" s="1"/>
  <c r="AOM18" i="1"/>
  <c r="APD18" i="1"/>
  <c r="AOU18" i="1"/>
  <c r="AOT18" i="1"/>
  <c r="APA18" i="1"/>
  <c r="AOX18" i="1"/>
  <c r="AOO18" i="1"/>
  <c r="AOG18" i="1"/>
  <c r="APC18" i="1"/>
  <c r="AOL18" i="1"/>
  <c r="AOI18" i="1" a="1"/>
  <c r="AOI18" i="1" s="1"/>
  <c r="AOK18" i="1" s="1"/>
  <c r="AOH18" i="1" a="1"/>
  <c r="AOH18" i="1" s="1"/>
  <c r="AOP18" i="1"/>
  <c r="AON18" i="1"/>
  <c r="AOR18" i="1"/>
  <c r="AHC62" i="1"/>
  <c r="AGZ62" i="1"/>
  <c r="AHI62" i="1"/>
  <c r="AHF62" i="1"/>
  <c r="AGW62" i="1"/>
  <c r="AHL75" i="1"/>
  <c r="YB58" i="1"/>
  <c r="YC58" i="1"/>
  <c r="YA58" i="1"/>
  <c r="YG58" i="1"/>
  <c r="YI58" i="1"/>
  <c r="YF58" i="1"/>
  <c r="YD58" i="1"/>
  <c r="YH58" i="1"/>
  <c r="YE58" i="1"/>
  <c r="RF20" i="1"/>
  <c r="RI20" i="1"/>
  <c r="AHF14" i="1"/>
  <c r="AHC14" i="1"/>
  <c r="AGW14" i="1"/>
  <c r="AGZ14" i="1"/>
  <c r="AHI14" i="1"/>
  <c r="ZB61" i="1"/>
  <c r="ZL61" i="1"/>
  <c r="ZJ61" i="1"/>
  <c r="ZQ61" i="1"/>
  <c r="ZS61" i="1"/>
  <c r="ZT61" i="1"/>
  <c r="ZF61" i="1"/>
  <c r="ZR61" i="1" a="1"/>
  <c r="ZR61" i="1" s="1"/>
  <c r="ZC61" i="1"/>
  <c r="YR61" i="1"/>
  <c r="ZD61" i="1"/>
  <c r="ZN61" i="1"/>
  <c r="ZP61" i="1"/>
  <c r="ZO61" i="1"/>
  <c r="ZU61" i="1"/>
  <c r="ZV61" i="1" s="1"/>
  <c r="ZW61" i="1" s="1"/>
  <c r="APL61" i="1" s="1"/>
  <c r="ZH61" i="1"/>
  <c r="ZE61" i="1"/>
  <c r="ZG61" i="1"/>
  <c r="YX61" i="1" a="1"/>
  <c r="YX61" i="1" s="1"/>
  <c r="ZI61" i="1"/>
  <c r="YW61" i="1"/>
  <c r="ZM61" i="1"/>
  <c r="YY61" i="1" a="1"/>
  <c r="YY61" i="1" s="1"/>
  <c r="ZA61" i="1" s="1"/>
  <c r="ZK61" i="1"/>
  <c r="RJ11" i="1"/>
  <c r="ANN11" i="1"/>
  <c r="ANL11" i="1"/>
  <c r="ANQ11" i="1"/>
  <c r="ANM11" i="1"/>
  <c r="ANO11" i="1"/>
  <c r="ANS11" i="1"/>
  <c r="ANK11" i="1"/>
  <c r="ANP11" i="1"/>
  <c r="ANR11" i="1"/>
  <c r="AOI57" i="1" a="1"/>
  <c r="AOI57" i="1" s="1"/>
  <c r="AOK57" i="1" s="1"/>
  <c r="AOV57" i="1"/>
  <c r="AOG57" i="1"/>
  <c r="AOW57" i="1"/>
  <c r="APC57" i="1"/>
  <c r="AOU57" i="1"/>
  <c r="AOY57" i="1"/>
  <c r="APE57" i="1"/>
  <c r="APF57" i="1" s="1"/>
  <c r="APG57" i="1" s="1"/>
  <c r="APK57" i="1" s="1"/>
  <c r="AOS57" i="1"/>
  <c r="AOQ57" i="1"/>
  <c r="AOL57" i="1"/>
  <c r="AOX57" i="1"/>
  <c r="AOT57" i="1"/>
  <c r="APA57" i="1"/>
  <c r="AON57" i="1"/>
  <c r="APD57" i="1"/>
  <c r="AOH57" i="1" a="1"/>
  <c r="AOH57" i="1" s="1"/>
  <c r="AOO57" i="1"/>
  <c r="AOZ57" i="1"/>
  <c r="AOP57" i="1"/>
  <c r="APB57" i="1" a="1"/>
  <c r="APB57" i="1" s="1"/>
  <c r="AOR57" i="1"/>
  <c r="AOB57" i="1"/>
  <c r="AOM57" i="1"/>
  <c r="RF13" i="1"/>
  <c r="RI13" i="1"/>
  <c r="AGP18" i="1"/>
  <c r="AGS18" i="1"/>
  <c r="QQ18" i="1"/>
  <c r="QR18" i="1"/>
  <c r="QJ18" i="1"/>
  <c r="QN18" i="1"/>
  <c r="QP18" i="1"/>
  <c r="QK18" i="1"/>
  <c r="QL18" i="1"/>
  <c r="QO18" i="1"/>
  <c r="QM18" i="1"/>
  <c r="YG75" i="1"/>
  <c r="YF75" i="1"/>
  <c r="YC75" i="1"/>
  <c r="YA75" i="1"/>
  <c r="YE75" i="1"/>
  <c r="YH75" i="1"/>
  <c r="YD75" i="1"/>
  <c r="YB75" i="1"/>
  <c r="YI75" i="1"/>
  <c r="ANM10" i="1"/>
  <c r="ANO10" i="1"/>
  <c r="ANP10" i="1"/>
  <c r="ANN10" i="1"/>
  <c r="ANK10" i="1"/>
  <c r="ANQ10" i="1"/>
  <c r="ANR10" i="1"/>
  <c r="ANL10" i="1"/>
  <c r="ANS10" i="1"/>
  <c r="ZR17" i="1" a="1"/>
  <c r="ZR17" i="1" s="1"/>
  <c r="ZC17" i="1"/>
  <c r="ZH17" i="1"/>
  <c r="YY17" i="1" a="1"/>
  <c r="YY17" i="1" s="1"/>
  <c r="ZA17" i="1" s="1"/>
  <c r="ZS17" i="1"/>
  <c r="YW17" i="1"/>
  <c r="ZL17" i="1"/>
  <c r="ZB17" i="1"/>
  <c r="ZQ17" i="1"/>
  <c r="ZK17" i="1"/>
  <c r="ZO17" i="1"/>
  <c r="ZG17" i="1"/>
  <c r="ZF17" i="1"/>
  <c r="YX17" i="1" a="1"/>
  <c r="YX17" i="1" s="1"/>
  <c r="YR17" i="1"/>
  <c r="ZI17" i="1"/>
  <c r="ZE17" i="1"/>
  <c r="ZP17" i="1"/>
  <c r="ZJ17" i="1"/>
  <c r="ZT17" i="1"/>
  <c r="ZM17" i="1"/>
  <c r="ZN17" i="1"/>
  <c r="ZD17" i="1"/>
  <c r="ZU17" i="1"/>
  <c r="ZV17" i="1" s="1"/>
  <c r="ZW17" i="1" s="1"/>
  <c r="APL17" i="1" s="1"/>
  <c r="RS11" i="1"/>
  <c r="RP11" i="1"/>
  <c r="RV11" i="1"/>
  <c r="RY11" i="1"/>
  <c r="RM11" i="1"/>
  <c r="AGT11" i="1"/>
  <c r="AHL18" i="1"/>
  <c r="RF17" i="1"/>
  <c r="RI17" i="1"/>
  <c r="QO58" i="1"/>
  <c r="QQ58" i="1"/>
  <c r="QN58" i="1"/>
  <c r="QJ58" i="1"/>
  <c r="QK58" i="1"/>
  <c r="QM58" i="1"/>
  <c r="QL58" i="1"/>
  <c r="QP58" i="1"/>
  <c r="QR58" i="1"/>
  <c r="RF18" i="1"/>
  <c r="RI18" i="1"/>
  <c r="AOG14" i="1"/>
  <c r="APC14" i="1"/>
  <c r="AOW14" i="1"/>
  <c r="APE14" i="1"/>
  <c r="APF14" i="1" s="1"/>
  <c r="APG14" i="1" s="1"/>
  <c r="APK14" i="1" s="1"/>
  <c r="AOB14" i="1"/>
  <c r="AOI14" i="1" a="1"/>
  <c r="AOI14" i="1" s="1"/>
  <c r="AOK14" i="1" s="1"/>
  <c r="AOS14" i="1"/>
  <c r="AOV14" i="1"/>
  <c r="AOT14" i="1"/>
  <c r="AOX14" i="1"/>
  <c r="AOU14" i="1"/>
  <c r="APD14" i="1"/>
  <c r="AOH14" i="1" a="1"/>
  <c r="AOH14" i="1" s="1"/>
  <c r="AOQ14" i="1"/>
  <c r="AON14" i="1"/>
  <c r="AOP14" i="1"/>
  <c r="APA14" i="1"/>
  <c r="AOY14" i="1"/>
  <c r="AOZ14" i="1"/>
  <c r="APB14" i="1" a="1"/>
  <c r="APB14" i="1" s="1"/>
  <c r="AOM14" i="1"/>
  <c r="AOO14" i="1"/>
  <c r="AOR14" i="1"/>
  <c r="AOL14" i="1"/>
  <c r="RF15" i="1"/>
  <c r="RI15" i="1"/>
  <c r="RJ16" i="1"/>
  <c r="QL11" i="1"/>
  <c r="QQ11" i="1"/>
  <c r="QJ11" i="1"/>
  <c r="QP11" i="1"/>
  <c r="QM11" i="1"/>
  <c r="QN11" i="1"/>
  <c r="QR11" i="1"/>
  <c r="QK11" i="1"/>
  <c r="QO11" i="1"/>
  <c r="AOZ10" i="1"/>
  <c r="AOP10" i="1"/>
  <c r="AOU10" i="1"/>
  <c r="AOL10" i="1"/>
  <c r="AOV10" i="1"/>
  <c r="AON10" i="1"/>
  <c r="APE10" i="1"/>
  <c r="APF10" i="1" s="1"/>
  <c r="APG10" i="1" s="1"/>
  <c r="APK10" i="1" s="1"/>
  <c r="AOB10" i="1"/>
  <c r="AOX10" i="1"/>
  <c r="AOH10" i="1" a="1"/>
  <c r="AOH10" i="1" s="1"/>
  <c r="APD10" i="1"/>
  <c r="AOT10" i="1"/>
  <c r="APC10" i="1"/>
  <c r="AOM10" i="1"/>
  <c r="AOW10" i="1"/>
  <c r="AOR10" i="1"/>
  <c r="APA10" i="1"/>
  <c r="AOI10" i="1" a="1"/>
  <c r="AOI10" i="1" s="1"/>
  <c r="AOK10" i="1" s="1"/>
  <c r="AOG10" i="1"/>
  <c r="AOO10" i="1"/>
  <c r="AOS10" i="1"/>
  <c r="AOQ10" i="1"/>
  <c r="APB10" i="1" a="1"/>
  <c r="APB10" i="1" s="1"/>
  <c r="AOY10" i="1"/>
  <c r="AGB61" i="1"/>
  <c r="AFY61" i="1"/>
  <c r="AFW61" i="1"/>
  <c r="AFZ61" i="1"/>
  <c r="AFT61" i="1"/>
  <c r="AFV61" i="1"/>
  <c r="AFU61" i="1"/>
  <c r="AFX61" i="1"/>
  <c r="AGA61" i="1"/>
  <c r="APA55" i="1"/>
  <c r="APB55" i="1" a="1"/>
  <c r="APB55" i="1" s="1"/>
  <c r="APD55" i="1"/>
  <c r="AOH55" i="1" a="1"/>
  <c r="AOH55" i="1" s="1"/>
  <c r="AOQ55" i="1"/>
  <c r="AOT55" i="1"/>
  <c r="AOB55" i="1"/>
  <c r="AOJ55" i="1" s="1"/>
  <c r="APC55" i="1"/>
  <c r="AOX55" i="1"/>
  <c r="AOP55" i="1"/>
  <c r="AOV55" i="1"/>
  <c r="AOM55" i="1"/>
  <c r="AOO55" i="1"/>
  <c r="AON55" i="1"/>
  <c r="AOW55" i="1"/>
  <c r="AOY55" i="1"/>
  <c r="APE55" i="1"/>
  <c r="APF55" i="1" s="1"/>
  <c r="APG55" i="1" s="1"/>
  <c r="APK55" i="1" s="1"/>
  <c r="AOL55" i="1"/>
  <c r="AOR55" i="1"/>
  <c r="AOI55" i="1" a="1"/>
  <c r="AOI55" i="1" s="1"/>
  <c r="AOK55" i="1" s="1"/>
  <c r="AOU55" i="1"/>
  <c r="AOZ55" i="1"/>
  <c r="AOS55" i="1"/>
  <c r="AOG55" i="1"/>
  <c r="RF62" i="1"/>
  <c r="RI62" i="1"/>
  <c r="APD60" i="1"/>
  <c r="APB60" i="1" a="1"/>
  <c r="APB60" i="1" s="1"/>
  <c r="AOW60" i="1"/>
  <c r="AOU60" i="1"/>
  <c r="AOT60" i="1"/>
  <c r="AOM60" i="1"/>
  <c r="APA60" i="1"/>
  <c r="AOQ60" i="1"/>
  <c r="AOG60" i="1"/>
  <c r="AOL60" i="1"/>
  <c r="AOV60" i="1"/>
  <c r="AOY60" i="1"/>
  <c r="AOB60" i="1"/>
  <c r="AOH60" i="1" a="1"/>
  <c r="AOH60" i="1" s="1"/>
  <c r="AOP60" i="1"/>
  <c r="AOI60" i="1" a="1"/>
  <c r="AOI60" i="1" s="1"/>
  <c r="AOK60" i="1" s="1"/>
  <c r="APE60" i="1"/>
  <c r="APF60" i="1" s="1"/>
  <c r="APG60" i="1" s="1"/>
  <c r="APK60" i="1" s="1"/>
  <c r="AON60" i="1"/>
  <c r="AOZ60" i="1"/>
  <c r="AOX60" i="1"/>
  <c r="AOR60" i="1"/>
  <c r="AOO60" i="1"/>
  <c r="APC60" i="1"/>
  <c r="AOS60" i="1"/>
  <c r="AFU10" i="1"/>
  <c r="AFT10" i="1"/>
  <c r="AFV10" i="1"/>
  <c r="AFX10" i="1"/>
  <c r="AFY10" i="1"/>
  <c r="AGB10" i="1"/>
  <c r="AFW10" i="1"/>
  <c r="AFZ10" i="1"/>
  <c r="AGA10" i="1"/>
  <c r="RF77" i="1"/>
  <c r="RI77" i="1"/>
  <c r="RY61" i="1"/>
  <c r="RV61" i="1"/>
  <c r="RP61" i="1"/>
  <c r="RS61" i="1"/>
  <c r="RM61" i="1"/>
  <c r="ANS55" i="1"/>
  <c r="ANO55" i="1"/>
  <c r="ANN55" i="1"/>
  <c r="ANL55" i="1"/>
  <c r="ANR55" i="1"/>
  <c r="ANP55" i="1"/>
  <c r="ANK55" i="1"/>
  <c r="ANQ55" i="1"/>
  <c r="ANM55" i="1"/>
  <c r="AGS59" i="1"/>
  <c r="AGP59" i="1"/>
  <c r="AHL59" i="1"/>
  <c r="AHL61" i="1"/>
  <c r="AGS56" i="1"/>
  <c r="AGP56" i="1"/>
  <c r="AHC16" i="1"/>
  <c r="AHF16" i="1"/>
  <c r="AGW16" i="1"/>
  <c r="AGZ16" i="1"/>
  <c r="AHI16" i="1"/>
  <c r="ZF60" i="1"/>
  <c r="YW60" i="1"/>
  <c r="ZQ60" i="1"/>
  <c r="ZD60" i="1"/>
  <c r="ZU60" i="1"/>
  <c r="ZV60" i="1" s="1"/>
  <c r="ZW60" i="1" s="1"/>
  <c r="APL60" i="1" s="1"/>
  <c r="ZT60" i="1"/>
  <c r="ZJ60" i="1"/>
  <c r="ZI60" i="1"/>
  <c r="ZL60" i="1"/>
  <c r="ZO60" i="1"/>
  <c r="ZK60" i="1"/>
  <c r="ZE60" i="1"/>
  <c r="ZM60" i="1"/>
  <c r="ZH60" i="1"/>
  <c r="YR60" i="1"/>
  <c r="ZC60" i="1"/>
  <c r="ZP60" i="1"/>
  <c r="ZG60" i="1"/>
  <c r="YY60" i="1" a="1"/>
  <c r="YY60" i="1" s="1"/>
  <c r="ZA60" i="1" s="1"/>
  <c r="YX60" i="1" a="1"/>
  <c r="YX60" i="1" s="1"/>
  <c r="ZR60" i="1" a="1"/>
  <c r="ZR60" i="1" s="1"/>
  <c r="ZS60" i="1"/>
  <c r="ZN60" i="1"/>
  <c r="ZB60" i="1"/>
  <c r="AGT55" i="1"/>
  <c r="AGT16" i="1"/>
  <c r="YE63" i="1"/>
  <c r="YC63" i="1"/>
  <c r="YG63" i="1"/>
  <c r="YA63" i="1"/>
  <c r="YI63" i="1"/>
  <c r="YB63" i="1"/>
  <c r="YH63" i="1"/>
  <c r="YF63" i="1"/>
  <c r="YD63" i="1"/>
  <c r="AFV56" i="1"/>
  <c r="AGB56" i="1"/>
  <c r="AFX56" i="1"/>
  <c r="AGA56" i="1"/>
  <c r="AFW56" i="1"/>
  <c r="AFY56" i="1"/>
  <c r="AFU56" i="1"/>
  <c r="AFZ56" i="1"/>
  <c r="AFT56" i="1"/>
  <c r="SB16" i="1"/>
  <c r="RS12" i="1"/>
  <c r="RP12" i="1"/>
  <c r="RV12" i="1"/>
  <c r="RM12" i="1"/>
  <c r="RY12" i="1"/>
  <c r="YB16" i="1"/>
  <c r="YE16" i="1"/>
  <c r="YA16" i="1"/>
  <c r="YG16" i="1"/>
  <c r="YD16" i="1"/>
  <c r="YF16" i="1"/>
  <c r="YH16" i="1"/>
  <c r="YI16" i="1"/>
  <c r="YC16" i="1"/>
  <c r="ANK15" i="1"/>
  <c r="ANM15" i="1"/>
  <c r="ANL15" i="1"/>
  <c r="ANO15" i="1"/>
  <c r="ANQ15" i="1"/>
  <c r="ANN15" i="1"/>
  <c r="ANS15" i="1"/>
  <c r="ANP15" i="1"/>
  <c r="ANR15" i="1"/>
  <c r="QK16" i="1"/>
  <c r="QN16" i="1"/>
  <c r="QM16" i="1"/>
  <c r="QR16" i="1"/>
  <c r="QL16" i="1"/>
  <c r="QO16" i="1"/>
  <c r="QQ16" i="1"/>
  <c r="QP16" i="1"/>
  <c r="QJ16" i="1"/>
  <c r="SB12" i="1"/>
  <c r="AGW61" i="1"/>
  <c r="AHI61" i="1"/>
  <c r="AHC61" i="1"/>
  <c r="AGZ61" i="1"/>
  <c r="AHF61" i="1"/>
  <c r="YA12" i="1"/>
  <c r="YG12" i="1"/>
  <c r="YI12" i="1"/>
  <c r="YD12" i="1"/>
  <c r="YH12" i="1"/>
  <c r="YC12" i="1"/>
  <c r="YB12" i="1"/>
  <c r="YF12" i="1"/>
  <c r="YE12" i="1"/>
  <c r="RM21" i="1"/>
  <c r="RY21" i="1"/>
  <c r="RV21" i="1"/>
  <c r="RS21" i="1"/>
  <c r="RP21" i="1"/>
  <c r="QN12" i="1"/>
  <c r="QJ12" i="1"/>
  <c r="QR12" i="1"/>
  <c r="QK12" i="1"/>
  <c r="QM12" i="1"/>
  <c r="QP12" i="1"/>
  <c r="QL12" i="1"/>
  <c r="QQ12" i="1"/>
  <c r="QO12" i="1"/>
  <c r="AOZ16" i="1"/>
  <c r="AOS16" i="1"/>
  <c r="AOB16" i="1"/>
  <c r="APB16" i="1" a="1"/>
  <c r="APB16" i="1" s="1"/>
  <c r="AOH16" i="1" a="1"/>
  <c r="AOH16" i="1" s="1"/>
  <c r="AOU16" i="1"/>
  <c r="AOL16" i="1"/>
  <c r="AOW16" i="1"/>
  <c r="AOQ16" i="1"/>
  <c r="AOG16" i="1"/>
  <c r="AOR16" i="1"/>
  <c r="AOT16" i="1"/>
  <c r="AOP16" i="1"/>
  <c r="APC16" i="1"/>
  <c r="APD16" i="1"/>
  <c r="APA16" i="1"/>
  <c r="AOY16" i="1"/>
  <c r="AON16" i="1"/>
  <c r="AOM16" i="1"/>
  <c r="APE16" i="1"/>
  <c r="APF16" i="1" s="1"/>
  <c r="APG16" i="1" s="1"/>
  <c r="APK16" i="1" s="1"/>
  <c r="AOI16" i="1" a="1"/>
  <c r="AOI16" i="1" s="1"/>
  <c r="AOK16" i="1" s="1"/>
  <c r="AOV16" i="1"/>
  <c r="AOO16" i="1"/>
  <c r="AOX16" i="1"/>
  <c r="ZS19" i="1"/>
  <c r="ZD19" i="1"/>
  <c r="ZK19" i="1"/>
  <c r="ZT19" i="1"/>
  <c r="ZN19" i="1"/>
  <c r="ZR19" i="1" a="1"/>
  <c r="ZR19" i="1" s="1"/>
  <c r="ZQ19" i="1"/>
  <c r="YY19" i="1" a="1"/>
  <c r="YY19" i="1" s="1"/>
  <c r="ZA19" i="1" s="1"/>
  <c r="ZP19" i="1"/>
  <c r="YX19" i="1" a="1"/>
  <c r="YX19" i="1" s="1"/>
  <c r="ZF19" i="1"/>
  <c r="ZO19" i="1"/>
  <c r="ZI19" i="1"/>
  <c r="ZM19" i="1"/>
  <c r="YR19" i="1"/>
  <c r="ZB19" i="1"/>
  <c r="ZL19" i="1"/>
  <c r="ZU19" i="1"/>
  <c r="ZV19" i="1" s="1"/>
  <c r="ZW19" i="1" s="1"/>
  <c r="APL19" i="1" s="1"/>
  <c r="YW19" i="1"/>
  <c r="ZJ19" i="1"/>
  <c r="ZC19" i="1"/>
  <c r="ZG19" i="1"/>
  <c r="ZH19" i="1"/>
  <c r="ZE19" i="1"/>
  <c r="RP56" i="1"/>
  <c r="RV56" i="1"/>
  <c r="RS56" i="1"/>
  <c r="RY56" i="1"/>
  <c r="RM56" i="1"/>
  <c r="AGB22" i="1"/>
  <c r="AFZ22" i="1"/>
  <c r="AFY22" i="1"/>
  <c r="AFX22" i="1"/>
  <c r="AGA22" i="1"/>
  <c r="AFU22" i="1"/>
  <c r="AFW22" i="1"/>
  <c r="AFT22" i="1"/>
  <c r="AFV22" i="1"/>
  <c r="AHI22" i="1"/>
  <c r="AHF22" i="1"/>
  <c r="AHC22" i="1"/>
  <c r="AGW22" i="1"/>
  <c r="AGZ22" i="1"/>
  <c r="RS55" i="1"/>
  <c r="RY55" i="1"/>
  <c r="RM55" i="1"/>
  <c r="RP55" i="1"/>
  <c r="RV55" i="1"/>
  <c r="AFT59" i="1"/>
  <c r="AFW59" i="1"/>
  <c r="AFV59" i="1"/>
  <c r="AGA59" i="1"/>
  <c r="AFY59" i="1"/>
  <c r="AFZ59" i="1"/>
  <c r="AGB59" i="1"/>
  <c r="AFU59" i="1"/>
  <c r="AFX59" i="1"/>
  <c r="SB26" i="1"/>
  <c r="YH19" i="1"/>
  <c r="YI19" i="1"/>
  <c r="YG19" i="1"/>
  <c r="YE19" i="1"/>
  <c r="YF19" i="1"/>
  <c r="YD19" i="1"/>
  <c r="YA19" i="1"/>
  <c r="YB19" i="1"/>
  <c r="YC19" i="1"/>
  <c r="AFY76" i="1"/>
  <c r="AGB76" i="1"/>
  <c r="AFX76" i="1"/>
  <c r="AFU76" i="1"/>
  <c r="AFZ76" i="1"/>
  <c r="AFW76" i="1"/>
  <c r="AFV76" i="1"/>
  <c r="AFT76" i="1"/>
  <c r="AGA76" i="1"/>
  <c r="AHL73" i="1"/>
  <c r="AGP73" i="1"/>
  <c r="AGS73" i="1"/>
  <c r="YD71" i="1"/>
  <c r="YA71" i="1"/>
  <c r="YF71" i="1"/>
  <c r="YG71" i="1"/>
  <c r="YC71" i="1"/>
  <c r="YB71" i="1"/>
  <c r="YI71" i="1"/>
  <c r="YE71" i="1"/>
  <c r="YH71" i="1"/>
  <c r="AGP76" i="1"/>
  <c r="AGS76" i="1"/>
  <c r="AGB73" i="1"/>
  <c r="AFT73" i="1"/>
  <c r="AFV73" i="1"/>
  <c r="AGA73" i="1"/>
  <c r="AFU73" i="1"/>
  <c r="AFY73" i="1"/>
  <c r="AFW73" i="1"/>
  <c r="AFX73" i="1"/>
  <c r="AFZ73" i="1"/>
  <c r="RM60" i="1"/>
  <c r="RP60" i="1"/>
  <c r="RY60" i="1"/>
  <c r="RV60" i="1"/>
  <c r="RS60" i="1"/>
  <c r="QM23" i="1"/>
  <c r="QK23" i="1"/>
  <c r="QN23" i="1"/>
  <c r="QL23" i="1"/>
  <c r="QQ23" i="1"/>
  <c r="QJ23" i="1"/>
  <c r="QR23" i="1"/>
  <c r="QP23" i="1"/>
  <c r="QO23" i="1"/>
  <c r="AGS62" i="1"/>
  <c r="AGP62" i="1"/>
  <c r="AFX74" i="1"/>
  <c r="AGA74" i="1"/>
  <c r="AGB74" i="1"/>
  <c r="AFW74" i="1"/>
  <c r="AFZ74" i="1"/>
  <c r="AFT74" i="1"/>
  <c r="AFY74" i="1"/>
  <c r="AFU74" i="1"/>
  <c r="AFV74" i="1"/>
  <c r="AGZ23" i="1"/>
  <c r="AGW23" i="1"/>
  <c r="AHF23" i="1"/>
  <c r="AHI23" i="1"/>
  <c r="AHC23" i="1"/>
  <c r="RM76" i="1"/>
  <c r="RP76" i="1"/>
  <c r="RY76" i="1"/>
  <c r="RS76" i="1"/>
  <c r="RV76" i="1"/>
  <c r="AHL71" i="1"/>
  <c r="YF78" i="1"/>
  <c r="YD78" i="1"/>
  <c r="YA78" i="1"/>
  <c r="YE78" i="1"/>
  <c r="YG78" i="1"/>
  <c r="YH78" i="1"/>
  <c r="YB78" i="1"/>
  <c r="YI78" i="1"/>
  <c r="YC78" i="1"/>
  <c r="ZU78" i="1"/>
  <c r="ZV78" i="1" s="1"/>
  <c r="ZW78" i="1" s="1"/>
  <c r="APL78" i="1" s="1"/>
  <c r="ZL78" i="1"/>
  <c r="ZE78" i="1"/>
  <c r="ZD78" i="1"/>
  <c r="ZO78" i="1"/>
  <c r="ZR78" i="1" a="1"/>
  <c r="ZR78" i="1" s="1"/>
  <c r="YW78" i="1"/>
  <c r="ZJ78" i="1"/>
  <c r="ZS78" i="1"/>
  <c r="ZB78" i="1"/>
  <c r="ZM78" i="1"/>
  <c r="ZC78" i="1"/>
  <c r="ZT78" i="1"/>
  <c r="ZQ78" i="1"/>
  <c r="YR78" i="1"/>
  <c r="ZN78" i="1"/>
  <c r="ZG78" i="1"/>
  <c r="ZK78" i="1"/>
  <c r="ZH78" i="1"/>
  <c r="YX78" i="1" a="1"/>
  <c r="YX78" i="1" s="1"/>
  <c r="ZI78" i="1"/>
  <c r="ZF78" i="1"/>
  <c r="ZP78" i="1"/>
  <c r="YY78" i="1" a="1"/>
  <c r="YY78" i="1" s="1"/>
  <c r="ZA78" i="1" s="1"/>
  <c r="APA76" i="1"/>
  <c r="AOZ76" i="1"/>
  <c r="AOO76" i="1"/>
  <c r="AOV76" i="1"/>
  <c r="AOX76" i="1"/>
  <c r="AOR76" i="1"/>
  <c r="AOW76" i="1"/>
  <c r="AOH76" i="1" a="1"/>
  <c r="AOH76" i="1" s="1"/>
  <c r="AOG76" i="1"/>
  <c r="AOS76" i="1"/>
  <c r="AOI76" i="1" a="1"/>
  <c r="AOI76" i="1" s="1"/>
  <c r="AOK76" i="1" s="1"/>
  <c r="APC76" i="1"/>
  <c r="AON76" i="1"/>
  <c r="AOM76" i="1"/>
  <c r="APB76" i="1" a="1"/>
  <c r="APB76" i="1" s="1"/>
  <c r="APD76" i="1"/>
  <c r="AOL76" i="1"/>
  <c r="AOP76" i="1"/>
  <c r="AOT76" i="1"/>
  <c r="AOU76" i="1"/>
  <c r="AOQ76" i="1"/>
  <c r="AOY76" i="1"/>
  <c r="APE76" i="1"/>
  <c r="APF76" i="1" s="1"/>
  <c r="APG76" i="1" s="1"/>
  <c r="APK76" i="1" s="1"/>
  <c r="AOB76" i="1"/>
  <c r="AOJ76" i="1" s="1"/>
  <c r="ANQ58" i="1"/>
  <c r="ANM58" i="1"/>
  <c r="ANS58" i="1"/>
  <c r="ANL58" i="1"/>
  <c r="ANN58" i="1"/>
  <c r="ANP58" i="1"/>
  <c r="ANR58" i="1"/>
  <c r="ANK58" i="1"/>
  <c r="ANO58" i="1"/>
  <c r="QM78" i="1"/>
  <c r="QO78" i="1"/>
  <c r="QL78" i="1"/>
  <c r="QP78" i="1"/>
  <c r="QK78" i="1"/>
  <c r="QJ78" i="1"/>
  <c r="QR78" i="1"/>
  <c r="QQ78" i="1"/>
  <c r="QN78" i="1"/>
  <c r="RY71" i="1"/>
  <c r="RV71" i="1"/>
  <c r="RM71" i="1"/>
  <c r="RP71" i="1"/>
  <c r="RS71" i="1"/>
  <c r="RJ78" i="1"/>
  <c r="ZP73" i="1"/>
  <c r="YY73" i="1" a="1"/>
  <c r="YY73" i="1" s="1"/>
  <c r="ZA73" i="1" s="1"/>
  <c r="ZU73" i="1"/>
  <c r="ZV73" i="1" s="1"/>
  <c r="ZW73" i="1" s="1"/>
  <c r="APL73" i="1" s="1"/>
  <c r="ZD73" i="1"/>
  <c r="ZN73" i="1"/>
  <c r="ZM73" i="1"/>
  <c r="YW73" i="1"/>
  <c r="ZF73" i="1"/>
  <c r="ZG73" i="1"/>
  <c r="ZK73" i="1"/>
  <c r="ZO73" i="1"/>
  <c r="ZI73" i="1"/>
  <c r="ZC73" i="1"/>
  <c r="ZE73" i="1"/>
  <c r="YX73" i="1" a="1"/>
  <c r="YX73" i="1" s="1"/>
  <c r="ZR73" i="1" a="1"/>
  <c r="ZR73" i="1" s="1"/>
  <c r="ZH73" i="1"/>
  <c r="ZQ73" i="1"/>
  <c r="ZL73" i="1"/>
  <c r="YR73" i="1"/>
  <c r="ZS73" i="1"/>
  <c r="ZB73" i="1"/>
  <c r="ZJ73" i="1"/>
  <c r="ZT73" i="1"/>
  <c r="AGS14" i="1"/>
  <c r="AGP14" i="1"/>
  <c r="QP59" i="1"/>
  <c r="QN59" i="1"/>
  <c r="QL59" i="1"/>
  <c r="QQ59" i="1"/>
  <c r="QM59" i="1"/>
  <c r="QO59" i="1"/>
  <c r="QR59" i="1"/>
  <c r="QJ59" i="1"/>
  <c r="QK59" i="1"/>
  <c r="RV58" i="1"/>
  <c r="RS58" i="1"/>
  <c r="RP58" i="1"/>
  <c r="RM58" i="1"/>
  <c r="RY58" i="1"/>
  <c r="AHI57" i="1"/>
  <c r="AHF57" i="1"/>
  <c r="AGZ57" i="1"/>
  <c r="AGW57" i="1"/>
  <c r="AHC57" i="1"/>
  <c r="AGP60" i="1"/>
  <c r="AGS60" i="1"/>
  <c r="AHC73" i="1"/>
  <c r="AGZ73" i="1"/>
  <c r="AHF73" i="1"/>
  <c r="AGW73" i="1"/>
  <c r="AHI73" i="1"/>
  <c r="RJ13" i="1"/>
  <c r="ZI14" i="1"/>
  <c r="ZP14" i="1"/>
  <c r="ZB14" i="1"/>
  <c r="ZG14" i="1"/>
  <c r="ZD14" i="1"/>
  <c r="ZR14" i="1" a="1"/>
  <c r="ZR14" i="1" s="1"/>
  <c r="ZM14" i="1"/>
  <c r="YX14" i="1" a="1"/>
  <c r="YX14" i="1" s="1"/>
  <c r="ZF14" i="1"/>
  <c r="ZL14" i="1"/>
  <c r="ZC14" i="1"/>
  <c r="YW14" i="1"/>
  <c r="ZO14" i="1"/>
  <c r="YY14" i="1" a="1"/>
  <c r="YY14" i="1" s="1"/>
  <c r="ZA14" i="1" s="1"/>
  <c r="ZT14" i="1"/>
  <c r="ZH14" i="1"/>
  <c r="ZQ14" i="1"/>
  <c r="ZE14" i="1"/>
  <c r="ZS14" i="1"/>
  <c r="ZN14" i="1"/>
  <c r="ZK14" i="1"/>
  <c r="YR14" i="1"/>
  <c r="ZJ14" i="1"/>
  <c r="ZU14" i="1"/>
  <c r="ZV14" i="1" s="1"/>
  <c r="ZW14" i="1" s="1"/>
  <c r="APL14" i="1" s="1"/>
  <c r="AHL13" i="1"/>
  <c r="RS72" i="1"/>
  <c r="RP72" i="1"/>
  <c r="RY72" i="1"/>
  <c r="RV72" i="1"/>
  <c r="RM72" i="1"/>
  <c r="AGP11" i="1"/>
  <c r="AGS11" i="1"/>
  <c r="AFU14" i="1"/>
  <c r="AFZ14" i="1"/>
  <c r="AFW14" i="1"/>
  <c r="AFY14" i="1"/>
  <c r="AGA14" i="1"/>
  <c r="AGB14" i="1"/>
  <c r="AFV14" i="1"/>
  <c r="AFX14" i="1"/>
  <c r="AFT14" i="1"/>
  <c r="APB75" i="1" a="1"/>
  <c r="APB75" i="1" s="1"/>
  <c r="AOX75" i="1"/>
  <c r="APE75" i="1"/>
  <c r="APF75" i="1" s="1"/>
  <c r="APG75" i="1" s="1"/>
  <c r="APK75" i="1" s="1"/>
  <c r="AOH75" i="1" a="1"/>
  <c r="AOH75" i="1" s="1"/>
  <c r="APC75" i="1"/>
  <c r="AOO75" i="1"/>
  <c r="AOP75" i="1"/>
  <c r="AOM75" i="1"/>
  <c r="AOU75" i="1"/>
  <c r="AOT75" i="1"/>
  <c r="APD75" i="1"/>
  <c r="AOI75" i="1" a="1"/>
  <c r="AOI75" i="1" s="1"/>
  <c r="AOK75" i="1" s="1"/>
  <c r="AOZ75" i="1"/>
  <c r="AOB75" i="1"/>
  <c r="AOW75" i="1"/>
  <c r="AOV75" i="1"/>
  <c r="AON75" i="1"/>
  <c r="AOQ75" i="1"/>
  <c r="AOY75" i="1"/>
  <c r="APA75" i="1"/>
  <c r="AOS75" i="1"/>
  <c r="AOL75" i="1"/>
  <c r="AOG75" i="1"/>
  <c r="AOR75" i="1"/>
  <c r="AGZ75" i="1"/>
  <c r="AHC75" i="1"/>
  <c r="AHI75" i="1"/>
  <c r="AGW75" i="1"/>
  <c r="AHF75" i="1"/>
  <c r="RV13" i="1"/>
  <c r="RM13" i="1"/>
  <c r="RP13" i="1"/>
  <c r="RY13" i="1"/>
  <c r="RS13" i="1"/>
  <c r="RI60" i="1"/>
  <c r="RF60" i="1"/>
  <c r="AGP10" i="1"/>
  <c r="AGS10" i="1"/>
  <c r="RI59" i="1"/>
  <c r="RF59" i="1"/>
  <c r="RM57" i="1"/>
  <c r="RV57" i="1"/>
  <c r="RS57" i="1"/>
  <c r="RY57" i="1"/>
  <c r="RP57" i="1"/>
  <c r="ZL57" i="1"/>
  <c r="ZF57" i="1"/>
  <c r="ZI57" i="1"/>
  <c r="ZS57" i="1"/>
  <c r="ZG57" i="1"/>
  <c r="ZE57" i="1"/>
  <c r="ZO57" i="1"/>
  <c r="ZC57" i="1"/>
  <c r="ZT57" i="1"/>
  <c r="ZK57" i="1"/>
  <c r="ZM57" i="1"/>
  <c r="ZD57" i="1"/>
  <c r="ZQ57" i="1"/>
  <c r="YY57" i="1" a="1"/>
  <c r="YY57" i="1" s="1"/>
  <c r="ZA57" i="1" s="1"/>
  <c r="ZR57" i="1" a="1"/>
  <c r="ZR57" i="1" s="1"/>
  <c r="YX57" i="1" a="1"/>
  <c r="YX57" i="1" s="1"/>
  <c r="ZN57" i="1"/>
  <c r="ZH57" i="1"/>
  <c r="ZU57" i="1"/>
  <c r="ZV57" i="1" s="1"/>
  <c r="ZW57" i="1" s="1"/>
  <c r="APL57" i="1" s="1"/>
  <c r="ZJ57" i="1"/>
  <c r="ZP57" i="1"/>
  <c r="ZB57" i="1"/>
  <c r="YR57" i="1"/>
  <c r="YW57" i="1"/>
  <c r="ZR75" i="1" a="1"/>
  <c r="ZR75" i="1" s="1"/>
  <c r="ZP75" i="1"/>
  <c r="ZK75" i="1"/>
  <c r="ZL75" i="1"/>
  <c r="ZD75" i="1"/>
  <c r="ZG75" i="1"/>
  <c r="ZQ75" i="1"/>
  <c r="ZT75" i="1"/>
  <c r="ZB75" i="1"/>
  <c r="YX75" i="1" a="1"/>
  <c r="YX75" i="1" s="1"/>
  <c r="ZS75" i="1"/>
  <c r="ZF75" i="1"/>
  <c r="YY75" i="1" a="1"/>
  <c r="YY75" i="1" s="1"/>
  <c r="ZA75" i="1" s="1"/>
  <c r="ZH75" i="1"/>
  <c r="ZO75" i="1"/>
  <c r="ZE75" i="1"/>
  <c r="ZC75" i="1"/>
  <c r="ZJ75" i="1"/>
  <c r="ZN75" i="1"/>
  <c r="YW75" i="1"/>
  <c r="ZI75" i="1"/>
  <c r="ZM75" i="1"/>
  <c r="YR75" i="1"/>
  <c r="ZU75" i="1"/>
  <c r="ZV75" i="1" s="1"/>
  <c r="ZW75" i="1" s="1"/>
  <c r="APL75" i="1" s="1"/>
  <c r="RI21" i="1"/>
  <c r="RF21" i="1"/>
  <c r="YE20" i="1"/>
  <c r="YC20" i="1"/>
  <c r="YG20" i="1"/>
  <c r="YH20" i="1"/>
  <c r="YI20" i="1"/>
  <c r="YB20" i="1"/>
  <c r="YF20" i="1"/>
  <c r="YA20" i="1"/>
  <c r="YD20" i="1"/>
  <c r="APB63" i="1" a="1"/>
  <c r="APB63" i="1" s="1"/>
  <c r="AOT63" i="1"/>
  <c r="AOB63" i="1"/>
  <c r="AOU63" i="1"/>
  <c r="AOR63" i="1"/>
  <c r="AOW63" i="1"/>
  <c r="APA63" i="1"/>
  <c r="AOO63" i="1"/>
  <c r="AOH63" i="1" a="1"/>
  <c r="AOH63" i="1" s="1"/>
  <c r="AOS63" i="1"/>
  <c r="AOM63" i="1"/>
  <c r="APC63" i="1"/>
  <c r="APD63" i="1"/>
  <c r="APE63" i="1"/>
  <c r="APF63" i="1" s="1"/>
  <c r="APG63" i="1" s="1"/>
  <c r="APK63" i="1" s="1"/>
  <c r="AON63" i="1"/>
  <c r="AOG63" i="1"/>
  <c r="AOP63" i="1"/>
  <c r="AOQ63" i="1"/>
  <c r="AOI63" i="1" a="1"/>
  <c r="AOI63" i="1" s="1"/>
  <c r="AOK63" i="1" s="1"/>
  <c r="AOV63" i="1"/>
  <c r="AOL63" i="1"/>
  <c r="AOX63" i="1"/>
  <c r="AOZ63" i="1"/>
  <c r="AOY63" i="1"/>
  <c r="AGT57" i="1"/>
  <c r="AGB75" i="1"/>
  <c r="AFX75" i="1"/>
  <c r="AFV75" i="1"/>
  <c r="AGA75" i="1"/>
  <c r="AFU75" i="1"/>
  <c r="AFY75" i="1"/>
  <c r="AFZ75" i="1"/>
  <c r="AFT75" i="1"/>
  <c r="AFW75" i="1"/>
  <c r="AHC10" i="1"/>
  <c r="AHF10" i="1"/>
  <c r="AHI10" i="1"/>
  <c r="AGZ10" i="1"/>
  <c r="AGW10" i="1"/>
  <c r="ANO63" i="1"/>
  <c r="ANM63" i="1"/>
  <c r="ANQ63" i="1"/>
  <c r="ANK63" i="1"/>
  <c r="ANS63" i="1"/>
  <c r="ANP63" i="1"/>
  <c r="ANL63" i="1"/>
  <c r="ANR63" i="1"/>
  <c r="ANN63" i="1"/>
  <c r="QO17" i="1"/>
  <c r="QJ17" i="1"/>
  <c r="QR17" i="1"/>
  <c r="QP17" i="1"/>
  <c r="QQ17" i="1"/>
  <c r="QK17" i="1"/>
  <c r="QM17" i="1"/>
  <c r="QL17" i="1"/>
  <c r="QN17" i="1"/>
  <c r="RI58" i="1"/>
  <c r="RF58" i="1"/>
  <c r="QJ72" i="1"/>
  <c r="QQ72" i="1"/>
  <c r="QK72" i="1"/>
  <c r="QM72" i="1"/>
  <c r="QR72" i="1"/>
  <c r="QL72" i="1"/>
  <c r="QP72" i="1"/>
  <c r="QO72" i="1"/>
  <c r="QN72" i="1"/>
  <c r="YR72" i="1"/>
  <c r="ZR72" i="1" a="1"/>
  <c r="ZR72" i="1" s="1"/>
  <c r="ZS72" i="1"/>
  <c r="ZK72" i="1"/>
  <c r="YY72" i="1" a="1"/>
  <c r="YY72" i="1" s="1"/>
  <c r="ZA72" i="1" s="1"/>
  <c r="ZH72" i="1"/>
  <c r="ZJ72" i="1"/>
  <c r="ZD72" i="1"/>
  <c r="ZT72" i="1"/>
  <c r="ZO72" i="1"/>
  <c r="ZI72" i="1"/>
  <c r="ZB72" i="1"/>
  <c r="ZN72" i="1"/>
  <c r="ZF72" i="1"/>
  <c r="ZL72" i="1"/>
  <c r="ZP72" i="1"/>
  <c r="YW72" i="1"/>
  <c r="YX72" i="1" a="1"/>
  <c r="YX72" i="1" s="1"/>
  <c r="ZQ72" i="1"/>
  <c r="ZM72" i="1"/>
  <c r="ZE72" i="1"/>
  <c r="ZU72" i="1"/>
  <c r="ZV72" i="1" s="1"/>
  <c r="ZW72" i="1" s="1"/>
  <c r="APL72" i="1" s="1"/>
  <c r="ZG72" i="1"/>
  <c r="ZC72" i="1"/>
  <c r="RM62" i="1"/>
  <c r="RV62" i="1"/>
  <c r="RS62" i="1"/>
  <c r="RP62" i="1"/>
  <c r="RY62" i="1"/>
  <c r="ANO77" i="1"/>
  <c r="ANR77" i="1"/>
  <c r="ANM77" i="1"/>
  <c r="ANQ77" i="1"/>
  <c r="ANK77" i="1"/>
  <c r="ANS77" i="1"/>
  <c r="ANN77" i="1"/>
  <c r="ANL77" i="1"/>
  <c r="ANP77" i="1"/>
  <c r="ANQ18" i="1"/>
  <c r="ANL18" i="1"/>
  <c r="ANR18" i="1"/>
  <c r="ANO18" i="1"/>
  <c r="ANM18" i="1"/>
  <c r="ANK18" i="1"/>
  <c r="ANN18" i="1"/>
  <c r="ANS18" i="1"/>
  <c r="ANP18" i="1"/>
  <c r="AGB57" i="1"/>
  <c r="AFZ57" i="1"/>
  <c r="AFU57" i="1"/>
  <c r="AFY57" i="1"/>
  <c r="AFT57" i="1"/>
  <c r="AFX57" i="1"/>
  <c r="AFV57" i="1"/>
  <c r="AFW57" i="1"/>
  <c r="AGA57" i="1"/>
  <c r="AFZ20" i="1"/>
  <c r="AGA20" i="1"/>
  <c r="AFY20" i="1"/>
  <c r="AFU20" i="1"/>
  <c r="AGB20" i="1"/>
  <c r="AFV20" i="1"/>
  <c r="AFW20" i="1"/>
  <c r="AFT20" i="1"/>
  <c r="AFX20" i="1"/>
  <c r="RF11" i="1"/>
  <c r="RI11" i="1"/>
  <c r="AOT17" i="1"/>
  <c r="AOS17" i="1"/>
  <c r="APC17" i="1"/>
  <c r="APB17" i="1" a="1"/>
  <c r="APB17" i="1" s="1"/>
  <c r="AOM17" i="1"/>
  <c r="AOV17" i="1"/>
  <c r="AOP17" i="1"/>
  <c r="AOH17" i="1" a="1"/>
  <c r="AOH17" i="1" s="1"/>
  <c r="AOB17" i="1"/>
  <c r="AOW17" i="1"/>
  <c r="AON17" i="1"/>
  <c r="AOL17" i="1"/>
  <c r="AOO17" i="1"/>
  <c r="AOY17" i="1"/>
  <c r="AOU17" i="1"/>
  <c r="APA17" i="1"/>
  <c r="AOR17" i="1"/>
  <c r="APE17" i="1"/>
  <c r="APF17" i="1" s="1"/>
  <c r="APG17" i="1" s="1"/>
  <c r="APK17" i="1" s="1"/>
  <c r="AOQ17" i="1"/>
  <c r="AOZ17" i="1"/>
  <c r="AOX17" i="1"/>
  <c r="AOG17" i="1"/>
  <c r="APD17" i="1"/>
  <c r="AOI17" i="1" a="1"/>
  <c r="AOI17" i="1" s="1"/>
  <c r="AOK17" i="1" s="1"/>
  <c r="AOM12" i="1"/>
  <c r="APB12" i="1" a="1"/>
  <c r="APB12" i="1" s="1"/>
  <c r="AOS12" i="1"/>
  <c r="AOH12" i="1" a="1"/>
  <c r="AOH12" i="1" s="1"/>
  <c r="AOI12" i="1" a="1"/>
  <c r="AOI12" i="1" s="1"/>
  <c r="AOK12" i="1" s="1"/>
  <c r="AOW12" i="1"/>
  <c r="AOT12" i="1"/>
  <c r="AOV12" i="1"/>
  <c r="AOY12" i="1"/>
  <c r="AOZ12" i="1"/>
  <c r="AOO12" i="1"/>
  <c r="AOG12" i="1"/>
  <c r="AOP12" i="1"/>
  <c r="AOB12" i="1"/>
  <c r="AOJ12" i="1" s="1"/>
  <c r="APE12" i="1"/>
  <c r="APF12" i="1" s="1"/>
  <c r="APG12" i="1" s="1"/>
  <c r="APK12" i="1" s="1"/>
  <c r="AY12" i="1" s="1"/>
  <c r="AOL12" i="1"/>
  <c r="APA12" i="1"/>
  <c r="AOR12" i="1"/>
  <c r="AON12" i="1"/>
  <c r="AOU12" i="1"/>
  <c r="AOX12" i="1"/>
  <c r="APC12" i="1"/>
  <c r="AOQ12" i="1"/>
  <c r="APD12" i="1"/>
  <c r="QN77" i="1"/>
  <c r="QQ77" i="1"/>
  <c r="QM77" i="1"/>
  <c r="QR77" i="1"/>
  <c r="QO77" i="1"/>
  <c r="QK77" i="1"/>
  <c r="QJ77" i="1"/>
  <c r="QP77" i="1"/>
  <c r="QL77" i="1"/>
  <c r="AGS55" i="1"/>
  <c r="AGP55" i="1"/>
  <c r="RJ55" i="1"/>
  <c r="AGS20" i="1"/>
  <c r="AGP20" i="1"/>
  <c r="AGT17" i="1"/>
  <c r="AHC59" i="1"/>
  <c r="AHI59" i="1"/>
  <c r="AGW59" i="1"/>
  <c r="AGZ59" i="1"/>
  <c r="AHF59" i="1"/>
  <c r="YG55" i="1"/>
  <c r="YD55" i="1"/>
  <c r="YI55" i="1"/>
  <c r="YH55" i="1"/>
  <c r="YB55" i="1"/>
  <c r="YE55" i="1"/>
  <c r="YC55" i="1"/>
  <c r="YF55" i="1"/>
  <c r="YA55" i="1"/>
  <c r="ZD21" i="1"/>
  <c r="ZE21" i="1"/>
  <c r="YR21" i="1"/>
  <c r="ZU21" i="1"/>
  <c r="ZV21" i="1" s="1"/>
  <c r="ZW21" i="1" s="1"/>
  <c r="APL21" i="1" s="1"/>
  <c r="ZC21" i="1"/>
  <c r="ZI21" i="1"/>
  <c r="ZN21" i="1"/>
  <c r="ZP21" i="1"/>
  <c r="ZG21" i="1"/>
  <c r="ZF21" i="1"/>
  <c r="ZH21" i="1"/>
  <c r="ZM21" i="1"/>
  <c r="YY21" i="1" a="1"/>
  <c r="YY21" i="1" s="1"/>
  <c r="ZA21" i="1" s="1"/>
  <c r="YX21" i="1" a="1"/>
  <c r="YX21" i="1" s="1"/>
  <c r="ZK21" i="1"/>
  <c r="ZQ21" i="1"/>
  <c r="ZR21" i="1" a="1"/>
  <c r="ZR21" i="1" s="1"/>
  <c r="YW21" i="1"/>
  <c r="ZS21" i="1"/>
  <c r="ZO21" i="1"/>
  <c r="ZJ21" i="1"/>
  <c r="ZL21" i="1"/>
  <c r="ZT21" i="1"/>
  <c r="ZB21" i="1"/>
  <c r="AHC12" i="1"/>
  <c r="AHI12" i="1"/>
  <c r="AGZ12" i="1"/>
  <c r="AGW12" i="1"/>
  <c r="AHF12" i="1"/>
  <c r="RW12" i="1"/>
  <c r="RT12" i="1"/>
  <c r="RQ12" i="1"/>
  <c r="RZ12" i="1"/>
  <c r="RN12" i="1"/>
  <c r="ANO16" i="1"/>
  <c r="ANM16" i="1"/>
  <c r="ANN16" i="1"/>
  <c r="ANS16" i="1"/>
  <c r="ANQ16" i="1"/>
  <c r="ANL16" i="1"/>
  <c r="ANP16" i="1"/>
  <c r="ANK16" i="1"/>
  <c r="ANR16" i="1"/>
  <c r="AFX19" i="1"/>
  <c r="AFZ19" i="1"/>
  <c r="AFY19" i="1"/>
  <c r="AGB19" i="1"/>
  <c r="AFU19" i="1"/>
  <c r="AGA19" i="1"/>
  <c r="AFT19" i="1"/>
  <c r="AFW19" i="1"/>
  <c r="AFV19" i="1"/>
  <c r="APB20" i="1" a="1"/>
  <c r="APB20" i="1" s="1"/>
  <c r="AOW20" i="1"/>
  <c r="AOV20" i="1"/>
  <c r="AOT20" i="1"/>
  <c r="AOU20" i="1"/>
  <c r="APC20" i="1"/>
  <c r="AOL20" i="1"/>
  <c r="AOG20" i="1"/>
  <c r="AOY20" i="1"/>
  <c r="AOB20" i="1"/>
  <c r="AOS20" i="1"/>
  <c r="AON20" i="1"/>
  <c r="AOZ20" i="1"/>
  <c r="AOX20" i="1"/>
  <c r="AOO20" i="1"/>
  <c r="AOR20" i="1"/>
  <c r="APE20" i="1"/>
  <c r="APF20" i="1" s="1"/>
  <c r="APG20" i="1" s="1"/>
  <c r="APK20" i="1" s="1"/>
  <c r="APD20" i="1"/>
  <c r="AOH20" i="1" a="1"/>
  <c r="AOH20" i="1" s="1"/>
  <c r="AOI20" i="1" a="1"/>
  <c r="AOI20" i="1" s="1"/>
  <c r="AOK20" i="1" s="1"/>
  <c r="APA20" i="1"/>
  <c r="AOQ20" i="1"/>
  <c r="AOP20" i="1"/>
  <c r="AOM20" i="1"/>
  <c r="RF16" i="1"/>
  <c r="RI16" i="1"/>
  <c r="ANR19" i="1"/>
  <c r="ANP19" i="1"/>
  <c r="ANQ19" i="1"/>
  <c r="ANN19" i="1"/>
  <c r="ANL19" i="1"/>
  <c r="ANS19" i="1"/>
  <c r="ANO19" i="1"/>
  <c r="ANM19" i="1"/>
  <c r="ANK19" i="1"/>
  <c r="AOT22" i="1"/>
  <c r="AON22" i="1"/>
  <c r="APB22" i="1" a="1"/>
  <c r="APB22" i="1" s="1"/>
  <c r="AOV22" i="1"/>
  <c r="AOQ22" i="1"/>
  <c r="AOU22" i="1"/>
  <c r="APA22" i="1"/>
  <c r="AOB22" i="1"/>
  <c r="APC22" i="1"/>
  <c r="AOS22" i="1"/>
  <c r="AOL22" i="1"/>
  <c r="AOY22" i="1"/>
  <c r="APD22" i="1"/>
  <c r="AOX22" i="1"/>
  <c r="AOH22" i="1" a="1"/>
  <c r="AOH22" i="1" s="1"/>
  <c r="AOO22" i="1"/>
  <c r="AOI22" i="1" a="1"/>
  <c r="AOI22" i="1" s="1"/>
  <c r="AOK22" i="1" s="1"/>
  <c r="AOM22" i="1"/>
  <c r="AOP22" i="1"/>
  <c r="AOZ22" i="1"/>
  <c r="APE22" i="1"/>
  <c r="APF22" i="1" s="1"/>
  <c r="APG22" i="1" s="1"/>
  <c r="APK22" i="1" s="1"/>
  <c r="AOR22" i="1"/>
  <c r="AOW22" i="1"/>
  <c r="AOG22" i="1"/>
  <c r="AOV61" i="1"/>
  <c r="AOB61" i="1"/>
  <c r="AOU61" i="1"/>
  <c r="APC61" i="1"/>
  <c r="APE61" i="1"/>
  <c r="APF61" i="1" s="1"/>
  <c r="APG61" i="1" s="1"/>
  <c r="APK61" i="1" s="1"/>
  <c r="AOM61" i="1"/>
  <c r="AOY61" i="1"/>
  <c r="APD61" i="1"/>
  <c r="APB61" i="1" a="1"/>
  <c r="APB61" i="1" s="1"/>
  <c r="AON61" i="1"/>
  <c r="AOW61" i="1"/>
  <c r="AOX61" i="1"/>
  <c r="AOG61" i="1"/>
  <c r="AOO61" i="1"/>
  <c r="AOT61" i="1"/>
  <c r="AOQ61" i="1"/>
  <c r="AOZ61" i="1"/>
  <c r="AOP61" i="1"/>
  <c r="AOS61" i="1"/>
  <c r="AOI61" i="1" a="1"/>
  <c r="AOI61" i="1" s="1"/>
  <c r="AOK61" i="1" s="1"/>
  <c r="AOR61" i="1"/>
  <c r="APA61" i="1"/>
  <c r="AOL61" i="1"/>
  <c r="AOH61" i="1" a="1"/>
  <c r="AOH61" i="1" s="1"/>
  <c r="QN26" i="1"/>
  <c r="QK26" i="1"/>
  <c r="QM26" i="1"/>
  <c r="QP26" i="1"/>
  <c r="QJ26" i="1"/>
  <c r="QO26" i="1"/>
  <c r="QQ26" i="1"/>
  <c r="QR26" i="1"/>
  <c r="QL26" i="1"/>
  <c r="YA26" i="1"/>
  <c r="YI26" i="1"/>
  <c r="YE26" i="1"/>
  <c r="YC26" i="1"/>
  <c r="YB26" i="1"/>
  <c r="YD26" i="1"/>
  <c r="YH26" i="1"/>
  <c r="YF26" i="1"/>
  <c r="YG26" i="1"/>
  <c r="RF22" i="1"/>
  <c r="RI22" i="1"/>
  <c r="QP61" i="1"/>
  <c r="QJ61" i="1"/>
  <c r="QQ61" i="1"/>
  <c r="QK61" i="1"/>
  <c r="QR61" i="1"/>
  <c r="QO61" i="1"/>
  <c r="QL61" i="1"/>
  <c r="QN61" i="1"/>
  <c r="QM61" i="1"/>
  <c r="QQ55" i="1"/>
  <c r="QJ55" i="1"/>
  <c r="QK55" i="1"/>
  <c r="QN55" i="1"/>
  <c r="QR55" i="1"/>
  <c r="QM55" i="1"/>
  <c r="QL55" i="1"/>
  <c r="QP55" i="1"/>
  <c r="QO55" i="1"/>
  <c r="AHL56" i="1"/>
  <c r="RJ56" i="1"/>
  <c r="AHL21" i="1"/>
  <c r="ZI59" i="1"/>
  <c r="ZO59" i="1"/>
  <c r="ZH59" i="1"/>
  <c r="ZQ59" i="1"/>
  <c r="YY59" i="1" a="1"/>
  <c r="YY59" i="1" s="1"/>
  <c r="ZA59" i="1" s="1"/>
  <c r="YX59" i="1" a="1"/>
  <c r="YX59" i="1" s="1"/>
  <c r="ZL59" i="1"/>
  <c r="ZC59" i="1"/>
  <c r="ZR59" i="1" a="1"/>
  <c r="ZR59" i="1" s="1"/>
  <c r="ZS59" i="1"/>
  <c r="YW59" i="1"/>
  <c r="ZJ59" i="1"/>
  <c r="ZU59" i="1"/>
  <c r="ZV59" i="1" s="1"/>
  <c r="ZW59" i="1" s="1"/>
  <c r="APL59" i="1" s="1"/>
  <c r="ZT59" i="1"/>
  <c r="ZB59" i="1"/>
  <c r="ZD59" i="1"/>
  <c r="ZM59" i="1"/>
  <c r="YR59" i="1"/>
  <c r="YZ59" i="1" s="1"/>
  <c r="ZF59" i="1"/>
  <c r="ZE59" i="1"/>
  <c r="ZK59" i="1"/>
  <c r="ZN59" i="1"/>
  <c r="ZP59" i="1"/>
  <c r="ZG59" i="1"/>
  <c r="RJ22" i="1"/>
  <c r="ZF13" i="1"/>
  <c r="ZK13" i="1"/>
  <c r="ZO13" i="1"/>
  <c r="ZU13" i="1"/>
  <c r="ZV13" i="1" s="1"/>
  <c r="ZW13" i="1" s="1"/>
  <c r="APL13" i="1" s="1"/>
  <c r="ZS13" i="1"/>
  <c r="ZL13" i="1"/>
  <c r="ZP13" i="1"/>
  <c r="YX13" i="1" a="1"/>
  <c r="YX13" i="1" s="1"/>
  <c r="YY13" i="1" a="1"/>
  <c r="YY13" i="1" s="1"/>
  <c r="ZA13" i="1" s="1"/>
  <c r="ZC13" i="1"/>
  <c r="ZH13" i="1"/>
  <c r="ZI13" i="1"/>
  <c r="ZR13" i="1" a="1"/>
  <c r="ZR13" i="1" s="1"/>
  <c r="ZB13" i="1"/>
  <c r="ZJ13" i="1"/>
  <c r="YW13" i="1"/>
  <c r="ZT13" i="1"/>
  <c r="YR13" i="1"/>
  <c r="ZD13" i="1"/>
  <c r="ZQ13" i="1"/>
  <c r="ZM13" i="1"/>
  <c r="ZG13" i="1"/>
  <c r="ZN13" i="1"/>
  <c r="ZE13" i="1"/>
  <c r="SB21" i="1"/>
  <c r="AGS26" i="1"/>
  <c r="AGP26" i="1"/>
  <c r="AGP12" i="1"/>
  <c r="AGS12" i="1"/>
  <c r="AGS63" i="1"/>
  <c r="AGP63" i="1"/>
  <c r="ZR22" i="1" a="1"/>
  <c r="ZR22" i="1" s="1"/>
  <c r="YW22" i="1"/>
  <c r="ZP22" i="1"/>
  <c r="ZI22" i="1"/>
  <c r="YR22" i="1"/>
  <c r="YX22" i="1" a="1"/>
  <c r="YX22" i="1" s="1"/>
  <c r="ZK22" i="1"/>
  <c r="ZB22" i="1"/>
  <c r="ZH22" i="1"/>
  <c r="ZG22" i="1"/>
  <c r="ZJ22" i="1"/>
  <c r="ZM22" i="1"/>
  <c r="ZN22" i="1"/>
  <c r="ZE22" i="1"/>
  <c r="ZS22" i="1"/>
  <c r="ZF22" i="1"/>
  <c r="YY22" i="1" a="1"/>
  <c r="YY22" i="1" s="1"/>
  <c r="ZA22" i="1" s="1"/>
  <c r="ZQ22" i="1"/>
  <c r="ZD22" i="1"/>
  <c r="ZL22" i="1"/>
  <c r="ZU22" i="1"/>
  <c r="ZV22" i="1" s="1"/>
  <c r="ZW22" i="1" s="1"/>
  <c r="APL22" i="1" s="1"/>
  <c r="ZT22" i="1"/>
  <c r="ZO22" i="1"/>
  <c r="ZC22" i="1"/>
  <c r="ANP56" i="1"/>
  <c r="ANM56" i="1"/>
  <c r="ANL56" i="1"/>
  <c r="ANK56" i="1"/>
  <c r="ANN56" i="1"/>
  <c r="ANQ56" i="1"/>
  <c r="ANO56" i="1"/>
  <c r="ANR56" i="1"/>
  <c r="ANS56" i="1"/>
  <c r="AGT60" i="1"/>
  <c r="YZ55" i="1" l="1"/>
  <c r="YZ21" i="1"/>
  <c r="AOJ63" i="1"/>
  <c r="YZ60" i="1"/>
  <c r="AOJ59" i="1"/>
  <c r="YZ77" i="1"/>
  <c r="AOJ58" i="1"/>
  <c r="AOJ13" i="1"/>
  <c r="AOJ75" i="1"/>
  <c r="AOJ56" i="1"/>
  <c r="YZ72" i="1"/>
  <c r="YZ78" i="1"/>
  <c r="YZ19" i="1"/>
  <c r="AOJ60" i="1"/>
  <c r="AOJ11" i="1"/>
  <c r="YZ58" i="1"/>
  <c r="AHG63" i="1"/>
  <c r="AGX63" i="1"/>
  <c r="AHA63" i="1"/>
  <c r="AHJ63" i="1"/>
  <c r="AHD63" i="1"/>
  <c r="APM61" i="1"/>
  <c r="AZ61" i="1" s="1"/>
  <c r="AY61" i="1"/>
  <c r="B61" i="1" s="1"/>
  <c r="AY20" i="1"/>
  <c r="APM20" i="1"/>
  <c r="AZ20" i="1" s="1"/>
  <c r="AHJ20" i="1"/>
  <c r="AHG20" i="1"/>
  <c r="AHD20" i="1"/>
  <c r="AGX20" i="1"/>
  <c r="AHA20" i="1"/>
  <c r="YZ13" i="1"/>
  <c r="AOJ22" i="1"/>
  <c r="AOJ17" i="1"/>
  <c r="YZ75" i="1"/>
  <c r="YZ57" i="1"/>
  <c r="RT59" i="1"/>
  <c r="RN59" i="1"/>
  <c r="RW59" i="1"/>
  <c r="RQ59" i="1"/>
  <c r="RZ59" i="1"/>
  <c r="RQ60" i="1"/>
  <c r="RW60" i="1"/>
  <c r="RT60" i="1"/>
  <c r="RN60" i="1"/>
  <c r="RZ60" i="1"/>
  <c r="AGX60" i="1"/>
  <c r="AHD60" i="1"/>
  <c r="AHJ60" i="1"/>
  <c r="AHA60" i="1"/>
  <c r="AHG60" i="1"/>
  <c r="AHD14" i="1"/>
  <c r="AHA14" i="1"/>
  <c r="AHJ14" i="1"/>
  <c r="AHG14" i="1"/>
  <c r="AGX14" i="1"/>
  <c r="AHD73" i="1"/>
  <c r="AGX73" i="1"/>
  <c r="AHG73" i="1"/>
  <c r="AHJ73" i="1"/>
  <c r="AHA73" i="1"/>
  <c r="AY10" i="1"/>
  <c r="APM10" i="1"/>
  <c r="AZ10" i="1" s="1"/>
  <c r="RW18" i="1"/>
  <c r="RT18" i="1"/>
  <c r="RQ18" i="1"/>
  <c r="RN18" i="1"/>
  <c r="RZ18" i="1"/>
  <c r="YZ17" i="1"/>
  <c r="AOJ18" i="1"/>
  <c r="YZ62" i="1"/>
  <c r="AOJ62" i="1"/>
  <c r="YZ71" i="1"/>
  <c r="AOJ78" i="1"/>
  <c r="AHA23" i="1"/>
  <c r="AGX23" i="1"/>
  <c r="AHG23" i="1"/>
  <c r="AHD23" i="1"/>
  <c r="AHJ23" i="1"/>
  <c r="YZ23" i="1"/>
  <c r="RW23" i="1"/>
  <c r="RT23" i="1"/>
  <c r="RZ23" i="1"/>
  <c r="RN23" i="1"/>
  <c r="RQ23" i="1"/>
  <c r="AGX71" i="1"/>
  <c r="AHG71" i="1"/>
  <c r="AHJ71" i="1"/>
  <c r="AHD71" i="1"/>
  <c r="AHA71" i="1"/>
  <c r="YZ15" i="1"/>
  <c r="AY19" i="1"/>
  <c r="APM19" i="1"/>
  <c r="AZ19" i="1" s="1"/>
  <c r="RQ61" i="1"/>
  <c r="RZ61" i="1"/>
  <c r="RT61" i="1"/>
  <c r="RN61" i="1"/>
  <c r="RW61" i="1"/>
  <c r="AGX15" i="1"/>
  <c r="AHJ15" i="1"/>
  <c r="AHD15" i="1"/>
  <c r="AHA15" i="1"/>
  <c r="AHG15" i="1"/>
  <c r="RT10" i="1"/>
  <c r="RZ10" i="1"/>
  <c r="RQ10" i="1"/>
  <c r="RW10" i="1"/>
  <c r="RN10" i="1"/>
  <c r="AGX57" i="1"/>
  <c r="AHD57" i="1"/>
  <c r="AHA57" i="1"/>
  <c r="AHJ57" i="1"/>
  <c r="AHG57" i="1"/>
  <c r="AHD78" i="1"/>
  <c r="AGX78" i="1"/>
  <c r="AHJ78" i="1"/>
  <c r="AHG78" i="1"/>
  <c r="AHA78" i="1"/>
  <c r="AY71" i="1"/>
  <c r="APM71" i="1"/>
  <c r="AZ71" i="1" s="1"/>
  <c r="AX26" i="1"/>
  <c r="BM26" i="1"/>
  <c r="CK26" i="1" s="1"/>
  <c r="CR26" i="1" s="1"/>
  <c r="FN26" i="1"/>
  <c r="GL26" i="1" s="1"/>
  <c r="GS26" i="1" s="1"/>
  <c r="GU26" i="1" s="1"/>
  <c r="BI26" i="1" s="1"/>
  <c r="RN55" i="1"/>
  <c r="RW55" i="1"/>
  <c r="RQ55" i="1"/>
  <c r="RT55" i="1"/>
  <c r="RZ55" i="1"/>
  <c r="APM56" i="1"/>
  <c r="AZ56" i="1" s="1"/>
  <c r="AY56" i="1"/>
  <c r="B56" i="1" s="1"/>
  <c r="RT19" i="1"/>
  <c r="RW19" i="1"/>
  <c r="RZ19" i="1"/>
  <c r="RN19" i="1"/>
  <c r="RQ19" i="1"/>
  <c r="APM12" i="1"/>
  <c r="AZ12" i="1" s="1"/>
  <c r="APM58" i="1"/>
  <c r="AZ58" i="1" s="1"/>
  <c r="AY58" i="1"/>
  <c r="B58" i="1" s="1"/>
  <c r="YZ20" i="1"/>
  <c r="AY77" i="1"/>
  <c r="APM77" i="1"/>
  <c r="AZ77" i="1" s="1"/>
  <c r="AHG13" i="1"/>
  <c r="AHJ13" i="1"/>
  <c r="AHA13" i="1"/>
  <c r="AGX13" i="1"/>
  <c r="AHD13" i="1"/>
  <c r="AY13" i="1"/>
  <c r="APM13" i="1"/>
  <c r="AZ13" i="1" s="1"/>
  <c r="XT11" i="1"/>
  <c r="XQ11" i="1"/>
  <c r="XU11" i="1"/>
  <c r="XS11" i="1"/>
  <c r="XW11" i="1"/>
  <c r="XR11" i="1"/>
  <c r="XY11" i="1"/>
  <c r="XV11" i="1"/>
  <c r="XX11" i="1"/>
  <c r="AFN26" i="1"/>
  <c r="AFR26" i="1"/>
  <c r="AFO26" i="1"/>
  <c r="AFL26" i="1"/>
  <c r="AFK26" i="1"/>
  <c r="AFM26" i="1"/>
  <c r="AFP26" i="1"/>
  <c r="AFJ26" i="1"/>
  <c r="AHM26" i="1" s="1"/>
  <c r="AHN26" i="1" s="1"/>
  <c r="AHO26" i="1" s="1"/>
  <c r="AHP26" i="1" s="1"/>
  <c r="AFQ26" i="1"/>
  <c r="ANI58" i="1"/>
  <c r="ANF58" i="1"/>
  <c r="ANC58" i="1"/>
  <c r="AND58" i="1"/>
  <c r="ANA58" i="1"/>
  <c r="ANG58" i="1"/>
  <c r="ANB58" i="1"/>
  <c r="ANE58" i="1"/>
  <c r="ANH58" i="1"/>
  <c r="QE19" i="1"/>
  <c r="QF19" i="1"/>
  <c r="QC19" i="1"/>
  <c r="QB19" i="1"/>
  <c r="QD19" i="1"/>
  <c r="QH19" i="1"/>
  <c r="PZ19" i="1"/>
  <c r="SC19" i="1" s="1"/>
  <c r="SD19" i="1" s="1"/>
  <c r="SE19" i="1" s="1"/>
  <c r="SF19" i="1" s="1"/>
  <c r="QA19" i="1"/>
  <c r="QG19" i="1"/>
  <c r="XV14" i="1"/>
  <c r="XS14" i="1"/>
  <c r="XQ14" i="1"/>
  <c r="XX14" i="1"/>
  <c r="XY14" i="1"/>
  <c r="XU14" i="1"/>
  <c r="XW14" i="1"/>
  <c r="XR14" i="1"/>
  <c r="XT14" i="1"/>
  <c r="XV57" i="1"/>
  <c r="XS57" i="1"/>
  <c r="XX57" i="1"/>
  <c r="XY57" i="1"/>
  <c r="XT57" i="1"/>
  <c r="XU57" i="1"/>
  <c r="XW57" i="1"/>
  <c r="XQ57" i="1"/>
  <c r="XR57" i="1"/>
  <c r="QA78" i="1"/>
  <c r="QF78" i="1"/>
  <c r="QB78" i="1"/>
  <c r="PZ78" i="1"/>
  <c r="SC78" i="1" s="1"/>
  <c r="SD78" i="1" s="1"/>
  <c r="SE78" i="1" s="1"/>
  <c r="SF78" i="1" s="1"/>
  <c r="QH78" i="1"/>
  <c r="QD78" i="1"/>
  <c r="QG78" i="1"/>
  <c r="QC78" i="1"/>
  <c r="QE78" i="1"/>
  <c r="ANH71" i="1"/>
  <c r="ANA71" i="1"/>
  <c r="ANC71" i="1"/>
  <c r="AND71" i="1"/>
  <c r="ANF71" i="1"/>
  <c r="ANE71" i="1"/>
  <c r="ANI71" i="1"/>
  <c r="ANG71" i="1"/>
  <c r="ANB71" i="1"/>
  <c r="AFM62" i="1"/>
  <c r="AFN62" i="1"/>
  <c r="AFJ62" i="1"/>
  <c r="AHM62" i="1" s="1"/>
  <c r="AHN62" i="1" s="1"/>
  <c r="AHO62" i="1" s="1"/>
  <c r="AHP62" i="1" s="1"/>
  <c r="AFK62" i="1"/>
  <c r="AFR62" i="1"/>
  <c r="AFO62" i="1"/>
  <c r="AFL62" i="1"/>
  <c r="AFP62" i="1"/>
  <c r="AFQ62" i="1"/>
  <c r="ANI26" i="1"/>
  <c r="ANG26" i="1"/>
  <c r="ANF26" i="1"/>
  <c r="ANH26" i="1"/>
  <c r="AND26" i="1"/>
  <c r="ANA26" i="1"/>
  <c r="ANE26" i="1"/>
  <c r="ANB26" i="1"/>
  <c r="ANC26" i="1"/>
  <c r="XQ55" i="1"/>
  <c r="XR55" i="1"/>
  <c r="XT55" i="1"/>
  <c r="XV55" i="1"/>
  <c r="XY55" i="1"/>
  <c r="XW55" i="1"/>
  <c r="XX55" i="1"/>
  <c r="XU55" i="1"/>
  <c r="XS55" i="1"/>
  <c r="ANE72" i="1"/>
  <c r="ANH72" i="1"/>
  <c r="ANI72" i="1"/>
  <c r="ANG72" i="1"/>
  <c r="ANF72" i="1"/>
  <c r="AND72" i="1"/>
  <c r="ANA72" i="1"/>
  <c r="ANB72" i="1"/>
  <c r="ANC72" i="1"/>
  <c r="AFK72" i="1"/>
  <c r="AFQ72" i="1"/>
  <c r="AFM72" i="1"/>
  <c r="AFL72" i="1"/>
  <c r="AFO72" i="1"/>
  <c r="AFP72" i="1"/>
  <c r="AFN72" i="1"/>
  <c r="AFJ72" i="1"/>
  <c r="AHM72" i="1" s="1"/>
  <c r="AHN72" i="1" s="1"/>
  <c r="AHO72" i="1" s="1"/>
  <c r="AHP72" i="1" s="1"/>
  <c r="AFR72" i="1"/>
  <c r="XX10" i="1"/>
  <c r="XR10" i="1"/>
  <c r="XV10" i="1"/>
  <c r="XW10" i="1"/>
  <c r="XS10" i="1"/>
  <c r="XQ10" i="1"/>
  <c r="XY10" i="1"/>
  <c r="XU10" i="1"/>
  <c r="XT10" i="1"/>
  <c r="AFK77" i="1"/>
  <c r="AFR77" i="1"/>
  <c r="AFQ77" i="1"/>
  <c r="AFN77" i="1"/>
  <c r="AFJ77" i="1"/>
  <c r="AHM77" i="1" s="1"/>
  <c r="AHN77" i="1" s="1"/>
  <c r="AHO77" i="1" s="1"/>
  <c r="AHP77" i="1" s="1"/>
  <c r="AFP77" i="1"/>
  <c r="AFL77" i="1"/>
  <c r="AFO77" i="1"/>
  <c r="AFM77" i="1"/>
  <c r="XV23" i="1"/>
  <c r="XY23" i="1"/>
  <c r="XS23" i="1"/>
  <c r="XU23" i="1"/>
  <c r="XR23" i="1"/>
  <c r="XX23" i="1"/>
  <c r="XW23" i="1"/>
  <c r="XQ23" i="1"/>
  <c r="XT23" i="1"/>
  <c r="XY71" i="1"/>
  <c r="XW71" i="1"/>
  <c r="XS71" i="1"/>
  <c r="XR71" i="1"/>
  <c r="XV71" i="1"/>
  <c r="XU71" i="1"/>
  <c r="XT71" i="1"/>
  <c r="XQ71" i="1"/>
  <c r="XX71" i="1"/>
  <c r="ANH23" i="1"/>
  <c r="ANA23" i="1"/>
  <c r="ANF23" i="1"/>
  <c r="ANC23" i="1"/>
  <c r="AND23" i="1"/>
  <c r="ANI23" i="1"/>
  <c r="ANG23" i="1"/>
  <c r="ANE23" i="1"/>
  <c r="ANB23" i="1"/>
  <c r="AFN61" i="1"/>
  <c r="AFL61" i="1"/>
  <c r="AFR61" i="1"/>
  <c r="AFJ61" i="1"/>
  <c r="AHM61" i="1" s="1"/>
  <c r="AHN61" i="1" s="1"/>
  <c r="AHO61" i="1" s="1"/>
  <c r="AHP61" i="1" s="1"/>
  <c r="AFP61" i="1"/>
  <c r="AFQ61" i="1"/>
  <c r="AFK61" i="1"/>
  <c r="AFO61" i="1"/>
  <c r="AFM61" i="1"/>
  <c r="QH61" i="1"/>
  <c r="QD61" i="1"/>
  <c r="QB61" i="1"/>
  <c r="QA61" i="1"/>
  <c r="QF61" i="1"/>
  <c r="QE61" i="1"/>
  <c r="QG61" i="1"/>
  <c r="QC61" i="1"/>
  <c r="PZ61" i="1"/>
  <c r="SC61" i="1" s="1"/>
  <c r="SD61" i="1" s="1"/>
  <c r="SE61" i="1" s="1"/>
  <c r="SF61" i="1" s="1"/>
  <c r="ANG12" i="1"/>
  <c r="AND12" i="1"/>
  <c r="ANE12" i="1"/>
  <c r="ANH12" i="1"/>
  <c r="ANF12" i="1"/>
  <c r="ANC12" i="1"/>
  <c r="ANI12" i="1"/>
  <c r="ANA12" i="1"/>
  <c r="ANB12" i="1"/>
  <c r="ANB17" i="1"/>
  <c r="ANG17" i="1"/>
  <c r="ANC17" i="1"/>
  <c r="AND17" i="1"/>
  <c r="ANF17" i="1"/>
  <c r="ANH17" i="1"/>
  <c r="ANE17" i="1"/>
  <c r="ANA17" i="1"/>
  <c r="ANI17" i="1"/>
  <c r="QF20" i="1"/>
  <c r="QA20" i="1"/>
  <c r="QE20" i="1"/>
  <c r="QG20" i="1"/>
  <c r="QC20" i="1"/>
  <c r="QD20" i="1"/>
  <c r="QH20" i="1"/>
  <c r="PZ20" i="1"/>
  <c r="SC20" i="1" s="1"/>
  <c r="SD20" i="1" s="1"/>
  <c r="SE20" i="1" s="1"/>
  <c r="SF20" i="1" s="1"/>
  <c r="QB20" i="1"/>
  <c r="QE23" i="1"/>
  <c r="QA23" i="1"/>
  <c r="QD23" i="1"/>
  <c r="QF23" i="1"/>
  <c r="PZ23" i="1"/>
  <c r="SC23" i="1" s="1"/>
  <c r="SD23" i="1" s="1"/>
  <c r="SE23" i="1" s="1"/>
  <c r="SF23" i="1" s="1"/>
  <c r="QG23" i="1"/>
  <c r="QC23" i="1"/>
  <c r="QH23" i="1"/>
  <c r="QB23" i="1"/>
  <c r="AFP23" i="1"/>
  <c r="AFK23" i="1"/>
  <c r="AFO23" i="1"/>
  <c r="AFQ23" i="1"/>
  <c r="AFJ23" i="1"/>
  <c r="AHM23" i="1" s="1"/>
  <c r="AHN23" i="1" s="1"/>
  <c r="AHO23" i="1" s="1"/>
  <c r="AHP23" i="1" s="1"/>
  <c r="AFN23" i="1"/>
  <c r="AFL23" i="1"/>
  <c r="AFM23" i="1"/>
  <c r="AFR23" i="1"/>
  <c r="QC21" i="1"/>
  <c r="QD21" i="1"/>
  <c r="QB21" i="1"/>
  <c r="QF21" i="1"/>
  <c r="QA21" i="1"/>
  <c r="QH21" i="1"/>
  <c r="QE21" i="1"/>
  <c r="QG21" i="1"/>
  <c r="PZ21" i="1"/>
  <c r="SC21" i="1" s="1"/>
  <c r="SD21" i="1" s="1"/>
  <c r="SE21" i="1" s="1"/>
  <c r="SF21" i="1" s="1"/>
  <c r="XW13" i="1"/>
  <c r="XT13" i="1"/>
  <c r="XQ13" i="1"/>
  <c r="XY13" i="1"/>
  <c r="XU13" i="1"/>
  <c r="XX13" i="1"/>
  <c r="XV13" i="1"/>
  <c r="XR13" i="1"/>
  <c r="XS13" i="1"/>
  <c r="QE15" i="1"/>
  <c r="QD15" i="1"/>
  <c r="PZ15" i="1"/>
  <c r="SC15" i="1" s="1"/>
  <c r="SD15" i="1" s="1"/>
  <c r="SE15" i="1" s="1"/>
  <c r="SF15" i="1" s="1"/>
  <c r="QG15" i="1"/>
  <c r="QB15" i="1"/>
  <c r="QH15" i="1"/>
  <c r="QF15" i="1"/>
  <c r="QC15" i="1"/>
  <c r="QA15" i="1"/>
  <c r="QH72" i="1"/>
  <c r="QG72" i="1"/>
  <c r="QC72" i="1"/>
  <c r="QD72" i="1"/>
  <c r="QF72" i="1"/>
  <c r="QB72" i="1"/>
  <c r="PZ72" i="1"/>
  <c r="SC72" i="1" s="1"/>
  <c r="SD72" i="1" s="1"/>
  <c r="SE72" i="1" s="1"/>
  <c r="SF72" i="1" s="1"/>
  <c r="QA72" i="1"/>
  <c r="QE72" i="1"/>
  <c r="ANA11" i="1"/>
  <c r="ANC11" i="1"/>
  <c r="ANE11" i="1"/>
  <c r="ANH11" i="1"/>
  <c r="ANI11" i="1"/>
  <c r="AND11" i="1"/>
  <c r="ANB11" i="1"/>
  <c r="ANF11" i="1"/>
  <c r="ANG11" i="1"/>
  <c r="AFM17" i="1"/>
  <c r="AFR17" i="1"/>
  <c r="AFP17" i="1"/>
  <c r="AFL17" i="1"/>
  <c r="AFK17" i="1"/>
  <c r="AFJ17" i="1"/>
  <c r="AHM17" i="1" s="1"/>
  <c r="AHN17" i="1" s="1"/>
  <c r="AHO17" i="1" s="1"/>
  <c r="AHP17" i="1" s="1"/>
  <c r="AFO17" i="1"/>
  <c r="AFN17" i="1"/>
  <c r="AFQ17" i="1"/>
  <c r="ANA63" i="1"/>
  <c r="ANH63" i="1"/>
  <c r="ANB63" i="1"/>
  <c r="ANI63" i="1"/>
  <c r="ANC63" i="1"/>
  <c r="ANG63" i="1"/>
  <c r="AND63" i="1"/>
  <c r="ANE63" i="1"/>
  <c r="ANF63" i="1"/>
  <c r="RN22" i="1"/>
  <c r="RW22" i="1"/>
  <c r="RQ22" i="1"/>
  <c r="RT22" i="1"/>
  <c r="RZ22" i="1"/>
  <c r="RT58" i="1"/>
  <c r="RQ58" i="1"/>
  <c r="RN58" i="1"/>
  <c r="RZ58" i="1"/>
  <c r="RW58" i="1"/>
  <c r="RZ21" i="1"/>
  <c r="RN21" i="1"/>
  <c r="RW21" i="1"/>
  <c r="RT21" i="1"/>
  <c r="RQ21" i="1"/>
  <c r="APM75" i="1"/>
  <c r="AZ75" i="1" s="1"/>
  <c r="AY75" i="1"/>
  <c r="AGX76" i="1"/>
  <c r="AHA76" i="1"/>
  <c r="AHG76" i="1"/>
  <c r="AHD76" i="1"/>
  <c r="AHJ76" i="1"/>
  <c r="AGX56" i="1"/>
  <c r="AHG56" i="1"/>
  <c r="AHD56" i="1"/>
  <c r="AHA56" i="1"/>
  <c r="AHJ56" i="1"/>
  <c r="AHA59" i="1"/>
  <c r="AGX59" i="1"/>
  <c r="AHG59" i="1"/>
  <c r="AHD59" i="1"/>
  <c r="AHJ59" i="1"/>
  <c r="RN62" i="1"/>
  <c r="RW62" i="1"/>
  <c r="RQ62" i="1"/>
  <c r="RT62" i="1"/>
  <c r="RZ62" i="1"/>
  <c r="AY55" i="1"/>
  <c r="B55" i="1" s="1"/>
  <c r="APM55" i="1"/>
  <c r="AZ55" i="1" s="1"/>
  <c r="RQ13" i="1"/>
  <c r="RZ13" i="1"/>
  <c r="RN13" i="1"/>
  <c r="RT13" i="1"/>
  <c r="RW13" i="1"/>
  <c r="APM18" i="1"/>
  <c r="AZ18" i="1" s="1"/>
  <c r="AY18" i="1"/>
  <c r="AY11" i="1"/>
  <c r="AX11" i="1" s="1"/>
  <c r="APM11" i="1"/>
  <c r="AY62" i="1"/>
  <c r="B62" i="1" s="1"/>
  <c r="APM62" i="1"/>
  <c r="AZ62" i="1" s="1"/>
  <c r="RN78" i="1"/>
  <c r="RT78" i="1"/>
  <c r="RW78" i="1"/>
  <c r="RZ78" i="1"/>
  <c r="RQ78" i="1"/>
  <c r="APM78" i="1"/>
  <c r="AZ78" i="1" s="1"/>
  <c r="AY78" i="1"/>
  <c r="RN26" i="1"/>
  <c r="RW26" i="1"/>
  <c r="RQ26" i="1"/>
  <c r="RZ26" i="1"/>
  <c r="RT26" i="1"/>
  <c r="APM21" i="1"/>
  <c r="AZ21" i="1" s="1"/>
  <c r="AY21" i="1"/>
  <c r="APM59" i="1"/>
  <c r="AZ59" i="1" s="1"/>
  <c r="AY59" i="1"/>
  <c r="B59" i="1" s="1"/>
  <c r="AY74" i="1"/>
  <c r="APM74" i="1"/>
  <c r="AZ74" i="1" s="1"/>
  <c r="AOJ26" i="1"/>
  <c r="AHG19" i="1"/>
  <c r="AHJ19" i="1"/>
  <c r="AHA19" i="1"/>
  <c r="AGX19" i="1"/>
  <c r="AHD19" i="1"/>
  <c r="AGX22" i="1"/>
  <c r="AHA22" i="1"/>
  <c r="AHG22" i="1"/>
  <c r="AHJ22" i="1"/>
  <c r="AHD22" i="1"/>
  <c r="QF55" i="1"/>
  <c r="QC55" i="1"/>
  <c r="QD55" i="1"/>
  <c r="PZ55" i="1"/>
  <c r="SC55" i="1" s="1"/>
  <c r="SD55" i="1" s="1"/>
  <c r="SE55" i="1" s="1"/>
  <c r="SF55" i="1" s="1"/>
  <c r="QH55" i="1"/>
  <c r="QG55" i="1"/>
  <c r="QA55" i="1"/>
  <c r="QE55" i="1"/>
  <c r="QB55" i="1"/>
  <c r="ANH21" i="1"/>
  <c r="ANC21" i="1"/>
  <c r="ANE21" i="1"/>
  <c r="ANI21" i="1"/>
  <c r="ANG21" i="1"/>
  <c r="ANA21" i="1"/>
  <c r="AND21" i="1"/>
  <c r="ANB21" i="1"/>
  <c r="ANF21" i="1"/>
  <c r="AFO57" i="1"/>
  <c r="AFP57" i="1"/>
  <c r="AFM57" i="1"/>
  <c r="AFL57" i="1"/>
  <c r="AFN57" i="1"/>
  <c r="AFK57" i="1"/>
  <c r="AFJ57" i="1"/>
  <c r="AHM57" i="1" s="1"/>
  <c r="AHN57" i="1" s="1"/>
  <c r="AHO57" i="1" s="1"/>
  <c r="AHP57" i="1" s="1"/>
  <c r="AFR57" i="1"/>
  <c r="AFQ57" i="1"/>
  <c r="XT56" i="1"/>
  <c r="XR56" i="1"/>
  <c r="XU56" i="1"/>
  <c r="XW56" i="1"/>
  <c r="XQ56" i="1"/>
  <c r="XS56" i="1"/>
  <c r="XX56" i="1"/>
  <c r="XV56" i="1"/>
  <c r="XY56" i="1"/>
  <c r="PZ11" i="1"/>
  <c r="SC11" i="1" s="1"/>
  <c r="SD11" i="1" s="1"/>
  <c r="SE11" i="1" s="1"/>
  <c r="SF11" i="1" s="1"/>
  <c r="QC11" i="1"/>
  <c r="QF11" i="1"/>
  <c r="QG11" i="1"/>
  <c r="QA11" i="1"/>
  <c r="QH11" i="1"/>
  <c r="QE11" i="1"/>
  <c r="QB11" i="1"/>
  <c r="QD11" i="1"/>
  <c r="PZ62" i="1"/>
  <c r="SC62" i="1" s="1"/>
  <c r="SD62" i="1" s="1"/>
  <c r="SE62" i="1" s="1"/>
  <c r="SF62" i="1" s="1"/>
  <c r="QA62" i="1"/>
  <c r="QD62" i="1"/>
  <c r="QE62" i="1"/>
  <c r="QG62" i="1"/>
  <c r="QB62" i="1"/>
  <c r="QC62" i="1"/>
  <c r="QH62" i="1"/>
  <c r="QF62" i="1"/>
  <c r="QF18" i="1"/>
  <c r="QA18" i="1"/>
  <c r="QD18" i="1"/>
  <c r="QE18" i="1"/>
  <c r="PZ18" i="1"/>
  <c r="SC18" i="1" s="1"/>
  <c r="SD18" i="1" s="1"/>
  <c r="SE18" i="1" s="1"/>
  <c r="SF18" i="1" s="1"/>
  <c r="QH18" i="1"/>
  <c r="QB18" i="1"/>
  <c r="QG18" i="1"/>
  <c r="QC18" i="1"/>
  <c r="AND76" i="1"/>
  <c r="ANE76" i="1"/>
  <c r="ANH76" i="1"/>
  <c r="ANI76" i="1"/>
  <c r="ANC76" i="1"/>
  <c r="ANB76" i="1"/>
  <c r="ANG76" i="1"/>
  <c r="ANA76" i="1"/>
  <c r="ANF76" i="1"/>
  <c r="XR16" i="1"/>
  <c r="XS16" i="1"/>
  <c r="XQ16" i="1"/>
  <c r="XX16" i="1"/>
  <c r="XY16" i="1"/>
  <c r="XT16" i="1"/>
  <c r="XV16" i="1"/>
  <c r="XU16" i="1"/>
  <c r="XW16" i="1"/>
  <c r="ANH22" i="1"/>
  <c r="ANG22" i="1"/>
  <c r="ANE22" i="1"/>
  <c r="ANA22" i="1"/>
  <c r="ANB22" i="1"/>
  <c r="ANI22" i="1"/>
  <c r="ANC22" i="1"/>
  <c r="AND22" i="1"/>
  <c r="ANF22" i="1"/>
  <c r="AFK56" i="1"/>
  <c r="AFN56" i="1"/>
  <c r="AFM56" i="1"/>
  <c r="AFQ56" i="1"/>
  <c r="AFJ56" i="1"/>
  <c r="AHM56" i="1" s="1"/>
  <c r="AHN56" i="1" s="1"/>
  <c r="AHO56" i="1" s="1"/>
  <c r="AHP56" i="1" s="1"/>
  <c r="AFO56" i="1"/>
  <c r="AFL56" i="1"/>
  <c r="AFP56" i="1"/>
  <c r="AFR56" i="1"/>
  <c r="XT60" i="1"/>
  <c r="XS60" i="1"/>
  <c r="XV60" i="1"/>
  <c r="XY60" i="1"/>
  <c r="XX60" i="1"/>
  <c r="XW60" i="1"/>
  <c r="XU60" i="1"/>
  <c r="XR60" i="1"/>
  <c r="XQ60" i="1"/>
  <c r="XS75" i="1"/>
  <c r="XR75" i="1"/>
  <c r="XU75" i="1"/>
  <c r="XT75" i="1"/>
  <c r="XY75" i="1"/>
  <c r="XV75" i="1"/>
  <c r="XW75" i="1"/>
  <c r="XQ75" i="1"/>
  <c r="XX75" i="1"/>
  <c r="ANB19" i="1"/>
  <c r="ANF19" i="1"/>
  <c r="AND19" i="1"/>
  <c r="ANH19" i="1"/>
  <c r="ANI19" i="1"/>
  <c r="ANA19" i="1"/>
  <c r="ANE19" i="1"/>
  <c r="ANG19" i="1"/>
  <c r="ANC19" i="1"/>
  <c r="QH75" i="1"/>
  <c r="QE75" i="1"/>
  <c r="QC75" i="1"/>
  <c r="PZ75" i="1"/>
  <c r="SC75" i="1" s="1"/>
  <c r="SD75" i="1" s="1"/>
  <c r="SE75" i="1" s="1"/>
  <c r="SF75" i="1" s="1"/>
  <c r="QG75" i="1"/>
  <c r="QB75" i="1"/>
  <c r="QA75" i="1"/>
  <c r="QF75" i="1"/>
  <c r="QD75" i="1"/>
  <c r="ANI78" i="1"/>
  <c r="ANE78" i="1"/>
  <c r="ANA78" i="1"/>
  <c r="AND78" i="1"/>
  <c r="ANH78" i="1"/>
  <c r="ANF78" i="1"/>
  <c r="ANC78" i="1"/>
  <c r="ANG78" i="1"/>
  <c r="ANB78" i="1"/>
  <c r="AFM76" i="1"/>
  <c r="AFQ76" i="1"/>
  <c r="AFK76" i="1"/>
  <c r="AFR76" i="1"/>
  <c r="AFN76" i="1"/>
  <c r="AFP76" i="1"/>
  <c r="AFJ76" i="1"/>
  <c r="AHM76" i="1" s="1"/>
  <c r="AHN76" i="1" s="1"/>
  <c r="AHO76" i="1" s="1"/>
  <c r="AHP76" i="1" s="1"/>
  <c r="AFO76" i="1"/>
  <c r="AFL76" i="1"/>
  <c r="AFO11" i="1"/>
  <c r="AFQ11" i="1"/>
  <c r="AFP11" i="1"/>
  <c r="AFM11" i="1"/>
  <c r="AFN11" i="1"/>
  <c r="AFJ11" i="1"/>
  <c r="AHM11" i="1" s="1"/>
  <c r="AHN11" i="1" s="1"/>
  <c r="AHO11" i="1" s="1"/>
  <c r="AHP11" i="1" s="1"/>
  <c r="AFL11" i="1"/>
  <c r="AFK11" i="1"/>
  <c r="AFR11" i="1"/>
  <c r="XS12" i="1"/>
  <c r="XU12" i="1"/>
  <c r="XW12" i="1"/>
  <c r="XX12" i="1"/>
  <c r="XV12" i="1"/>
  <c r="XY12" i="1"/>
  <c r="XQ12" i="1"/>
  <c r="XR12" i="1"/>
  <c r="XT12" i="1"/>
  <c r="QC16" i="1"/>
  <c r="QG16" i="1"/>
  <c r="PZ16" i="1"/>
  <c r="SC16" i="1" s="1"/>
  <c r="SD16" i="1" s="1"/>
  <c r="SE16" i="1" s="1"/>
  <c r="SF16" i="1" s="1"/>
  <c r="QB16" i="1"/>
  <c r="QF16" i="1"/>
  <c r="QA16" i="1"/>
  <c r="QD16" i="1"/>
  <c r="QE16" i="1"/>
  <c r="QH16" i="1"/>
  <c r="AFQ12" i="1"/>
  <c r="AFK12" i="1"/>
  <c r="AFJ12" i="1"/>
  <c r="AHM12" i="1" s="1"/>
  <c r="AHN12" i="1" s="1"/>
  <c r="AHO12" i="1" s="1"/>
  <c r="AHP12" i="1" s="1"/>
  <c r="AFL12" i="1"/>
  <c r="AFN12" i="1"/>
  <c r="AFM12" i="1"/>
  <c r="AFO12" i="1"/>
  <c r="AFP12" i="1"/>
  <c r="AFR12" i="1"/>
  <c r="QD10" i="1"/>
  <c r="QF10" i="1"/>
  <c r="QE10" i="1"/>
  <c r="QG10" i="1"/>
  <c r="QA10" i="1"/>
  <c r="QC10" i="1"/>
  <c r="QB10" i="1"/>
  <c r="QH10" i="1"/>
  <c r="PZ10" i="1"/>
  <c r="SC10" i="1" s="1"/>
  <c r="SD10" i="1" s="1"/>
  <c r="SE10" i="1" s="1"/>
  <c r="SF10" i="1" s="1"/>
  <c r="XV74" i="1"/>
  <c r="XQ74" i="1"/>
  <c r="XY74" i="1"/>
  <c r="XT74" i="1"/>
  <c r="XS74" i="1"/>
  <c r="XW74" i="1"/>
  <c r="XR74" i="1"/>
  <c r="XX74" i="1"/>
  <c r="XU74" i="1"/>
  <c r="XU72" i="1"/>
  <c r="XX72" i="1"/>
  <c r="XY72" i="1"/>
  <c r="XW72" i="1"/>
  <c r="XV72" i="1"/>
  <c r="XT72" i="1"/>
  <c r="XQ72" i="1"/>
  <c r="XR72" i="1"/>
  <c r="XS72" i="1"/>
  <c r="QC71" i="1"/>
  <c r="QA71" i="1"/>
  <c r="QE71" i="1"/>
  <c r="PZ71" i="1"/>
  <c r="SC71" i="1" s="1"/>
  <c r="SD71" i="1" s="1"/>
  <c r="SE71" i="1" s="1"/>
  <c r="SF71" i="1" s="1"/>
  <c r="QD71" i="1"/>
  <c r="QB71" i="1"/>
  <c r="QG71" i="1"/>
  <c r="QH71" i="1"/>
  <c r="QF71" i="1"/>
  <c r="XR22" i="1"/>
  <c r="XV22" i="1"/>
  <c r="XX22" i="1"/>
  <c r="XW22" i="1"/>
  <c r="XQ22" i="1"/>
  <c r="XU22" i="1"/>
  <c r="XT22" i="1"/>
  <c r="XY22" i="1"/>
  <c r="XS22" i="1"/>
  <c r="AFL16" i="1"/>
  <c r="AFO16" i="1"/>
  <c r="AFQ16" i="1"/>
  <c r="AFM16" i="1"/>
  <c r="AFK16" i="1"/>
  <c r="AFP16" i="1"/>
  <c r="AFN16" i="1"/>
  <c r="AFR16" i="1"/>
  <c r="AFJ16" i="1"/>
  <c r="AHM16" i="1" s="1"/>
  <c r="AHN16" i="1" s="1"/>
  <c r="AHO16" i="1" s="1"/>
  <c r="AHP16" i="1" s="1"/>
  <c r="AFM75" i="1"/>
  <c r="AFK75" i="1"/>
  <c r="AFO75" i="1"/>
  <c r="AFP75" i="1"/>
  <c r="AFN75" i="1"/>
  <c r="AFR75" i="1"/>
  <c r="AFL75" i="1"/>
  <c r="AFQ75" i="1"/>
  <c r="AFJ75" i="1"/>
  <c r="AHM75" i="1" s="1"/>
  <c r="AHN75" i="1" s="1"/>
  <c r="AHO75" i="1" s="1"/>
  <c r="AHP75" i="1" s="1"/>
  <c r="ANG18" i="1"/>
  <c r="ANE18" i="1"/>
  <c r="ANC18" i="1"/>
  <c r="ANA18" i="1"/>
  <c r="ANI18" i="1"/>
  <c r="AND18" i="1"/>
  <c r="ANH18" i="1"/>
  <c r="ANF18" i="1"/>
  <c r="ANB18" i="1"/>
  <c r="AFQ60" i="1"/>
  <c r="AFP60" i="1"/>
  <c r="AFN60" i="1"/>
  <c r="AFO60" i="1"/>
  <c r="AFL60" i="1"/>
  <c r="AFM60" i="1"/>
  <c r="AFK60" i="1"/>
  <c r="AFR60" i="1"/>
  <c r="AFJ60" i="1"/>
  <c r="AHM60" i="1" s="1"/>
  <c r="AHN60" i="1" s="1"/>
  <c r="AHO60" i="1" s="1"/>
  <c r="AHP60" i="1" s="1"/>
  <c r="XQ77" i="1"/>
  <c r="XS77" i="1"/>
  <c r="XT77" i="1"/>
  <c r="XR77" i="1"/>
  <c r="XU77" i="1"/>
  <c r="XY77" i="1"/>
  <c r="XW77" i="1"/>
  <c r="XV77" i="1"/>
  <c r="XX77" i="1"/>
  <c r="ANE75" i="1"/>
  <c r="ANG75" i="1"/>
  <c r="ANA75" i="1"/>
  <c r="ANF75" i="1"/>
  <c r="AND75" i="1"/>
  <c r="ANC75" i="1"/>
  <c r="ANH75" i="1"/>
  <c r="ANB75" i="1"/>
  <c r="ANI75" i="1"/>
  <c r="YZ22" i="1"/>
  <c r="AHJ12" i="1"/>
  <c r="AHD12" i="1"/>
  <c r="AGX12" i="1"/>
  <c r="AHA12" i="1"/>
  <c r="AHG12" i="1"/>
  <c r="AOJ61" i="1"/>
  <c r="AOJ20" i="1"/>
  <c r="AHA55" i="1"/>
  <c r="AHD55" i="1"/>
  <c r="AHG55" i="1"/>
  <c r="AGX55" i="1"/>
  <c r="AHJ55" i="1"/>
  <c r="RZ11" i="1"/>
  <c r="RQ11" i="1"/>
  <c r="RT11" i="1"/>
  <c r="RN11" i="1"/>
  <c r="RW11" i="1"/>
  <c r="AY63" i="1"/>
  <c r="B63" i="1" s="1"/>
  <c r="APM63" i="1"/>
  <c r="AZ63" i="1" s="1"/>
  <c r="AHA11" i="1"/>
  <c r="AHD11" i="1"/>
  <c r="AGX11" i="1"/>
  <c r="AHJ11" i="1"/>
  <c r="AHG11" i="1"/>
  <c r="YZ73" i="1"/>
  <c r="AY16" i="1"/>
  <c r="APM16" i="1"/>
  <c r="AZ16" i="1" s="1"/>
  <c r="RQ77" i="1"/>
  <c r="RT77" i="1"/>
  <c r="RW77" i="1"/>
  <c r="RZ77" i="1"/>
  <c r="RN77" i="1"/>
  <c r="RT15" i="1"/>
  <c r="RZ15" i="1"/>
  <c r="RN15" i="1"/>
  <c r="RQ15" i="1"/>
  <c r="RW15" i="1"/>
  <c r="AOJ14" i="1"/>
  <c r="AY57" i="1"/>
  <c r="B57" i="1" s="1"/>
  <c r="APM57" i="1"/>
  <c r="AZ57" i="1" s="1"/>
  <c r="YZ61" i="1"/>
  <c r="RZ20" i="1"/>
  <c r="RQ20" i="1"/>
  <c r="RT20" i="1"/>
  <c r="RN20" i="1"/>
  <c r="RW20" i="1"/>
  <c r="RW14" i="1"/>
  <c r="RQ14" i="1"/>
  <c r="RZ14" i="1"/>
  <c r="RT14" i="1"/>
  <c r="RN14" i="1"/>
  <c r="AHD74" i="1"/>
  <c r="AHA74" i="1"/>
  <c r="AGX74" i="1"/>
  <c r="AHJ74" i="1"/>
  <c r="AHG74" i="1"/>
  <c r="RN74" i="1"/>
  <c r="RQ74" i="1"/>
  <c r="RW74" i="1"/>
  <c r="RZ74" i="1"/>
  <c r="RT74" i="1"/>
  <c r="AOJ21" i="1"/>
  <c r="AOJ19" i="1"/>
  <c r="AGX21" i="1"/>
  <c r="AHJ21" i="1"/>
  <c r="AHA21" i="1"/>
  <c r="AHG21" i="1"/>
  <c r="AHD21" i="1"/>
  <c r="AHA61" i="1"/>
  <c r="AHJ61" i="1"/>
  <c r="AHG61" i="1"/>
  <c r="AHD61" i="1"/>
  <c r="AGX61" i="1"/>
  <c r="AY72" i="1"/>
  <c r="APM72" i="1"/>
  <c r="AZ72" i="1" s="1"/>
  <c r="RT72" i="1"/>
  <c r="RQ72" i="1"/>
  <c r="RZ72" i="1"/>
  <c r="RN72" i="1"/>
  <c r="RW72" i="1"/>
  <c r="AY73" i="1"/>
  <c r="APM73" i="1"/>
  <c r="AZ73" i="1" s="1"/>
  <c r="AHA75" i="1"/>
  <c r="AHJ75" i="1"/>
  <c r="AHG75" i="1"/>
  <c r="AGX75" i="1"/>
  <c r="AHD75" i="1"/>
  <c r="AHJ17" i="1"/>
  <c r="AHD17" i="1"/>
  <c r="AHA17" i="1"/>
  <c r="AHG17" i="1"/>
  <c r="AGX17" i="1"/>
  <c r="AOJ71" i="1"/>
  <c r="YZ16" i="1"/>
  <c r="YZ63" i="1"/>
  <c r="AHJ16" i="1"/>
  <c r="AHA16" i="1"/>
  <c r="AGX16" i="1"/>
  <c r="AHD16" i="1"/>
  <c r="AHG16" i="1"/>
  <c r="YZ11" i="1"/>
  <c r="RZ63" i="1"/>
  <c r="RT63" i="1"/>
  <c r="RN63" i="1"/>
  <c r="RW63" i="1"/>
  <c r="RQ63" i="1"/>
  <c r="RW56" i="1"/>
  <c r="RZ56" i="1"/>
  <c r="RQ56" i="1"/>
  <c r="RT56" i="1"/>
  <c r="RN56" i="1"/>
  <c r="RN75" i="1"/>
  <c r="RQ75" i="1"/>
  <c r="RW75" i="1"/>
  <c r="RT75" i="1"/>
  <c r="RZ75" i="1"/>
  <c r="AHA72" i="1"/>
  <c r="AGX72" i="1"/>
  <c r="AHJ72" i="1"/>
  <c r="AHG72" i="1"/>
  <c r="AHD72" i="1"/>
  <c r="RZ57" i="1"/>
  <c r="RT57" i="1"/>
  <c r="RW57" i="1"/>
  <c r="RN57" i="1"/>
  <c r="RQ57" i="1"/>
  <c r="AY23" i="1"/>
  <c r="APM23" i="1"/>
  <c r="AZ23" i="1" s="1"/>
  <c r="ANA61" i="1"/>
  <c r="ANE61" i="1"/>
  <c r="ANH61" i="1"/>
  <c r="ANC61" i="1"/>
  <c r="ANI61" i="1"/>
  <c r="ANF61" i="1"/>
  <c r="ANB61" i="1"/>
  <c r="AND61" i="1"/>
  <c r="ANG61" i="1"/>
  <c r="ANI55" i="1"/>
  <c r="ANB55" i="1"/>
  <c r="ANF55" i="1"/>
  <c r="ANE55" i="1"/>
  <c r="ANA55" i="1"/>
  <c r="ANG55" i="1"/>
  <c r="ANC55" i="1"/>
  <c r="ANH55" i="1"/>
  <c r="AND55" i="1"/>
  <c r="XW59" i="1"/>
  <c r="XU59" i="1"/>
  <c r="XQ59" i="1"/>
  <c r="XR59" i="1"/>
  <c r="XX59" i="1"/>
  <c r="XT59" i="1"/>
  <c r="XS59" i="1"/>
  <c r="XY59" i="1"/>
  <c r="XV59" i="1"/>
  <c r="AFO10" i="1"/>
  <c r="AFK10" i="1"/>
  <c r="AFJ10" i="1"/>
  <c r="AHM10" i="1" s="1"/>
  <c r="AHN10" i="1" s="1"/>
  <c r="AHO10" i="1" s="1"/>
  <c r="AHP10" i="1" s="1"/>
  <c r="AFQ10" i="1"/>
  <c r="AFM10" i="1"/>
  <c r="AFL10" i="1"/>
  <c r="AFN10" i="1"/>
  <c r="AFR10" i="1"/>
  <c r="AFP10" i="1"/>
  <c r="ANH57" i="1"/>
  <c r="ANF57" i="1"/>
  <c r="ANA57" i="1"/>
  <c r="ANE57" i="1"/>
  <c r="ANG57" i="1"/>
  <c r="ANC57" i="1"/>
  <c r="AND57" i="1"/>
  <c r="ANI57" i="1"/>
  <c r="ANB57" i="1"/>
  <c r="QF59" i="1"/>
  <c r="QB59" i="1"/>
  <c r="QA59" i="1"/>
  <c r="QG59" i="1"/>
  <c r="PZ59" i="1"/>
  <c r="SC59" i="1" s="1"/>
  <c r="SD59" i="1" s="1"/>
  <c r="SE59" i="1" s="1"/>
  <c r="SF59" i="1" s="1"/>
  <c r="QE59" i="1"/>
  <c r="QD59" i="1"/>
  <c r="QC59" i="1"/>
  <c r="QH59" i="1"/>
  <c r="QA13" i="1"/>
  <c r="QB13" i="1"/>
  <c r="QC13" i="1"/>
  <c r="PZ13" i="1"/>
  <c r="SC13" i="1" s="1"/>
  <c r="SD13" i="1" s="1"/>
  <c r="SE13" i="1" s="1"/>
  <c r="SF13" i="1" s="1"/>
  <c r="QH13" i="1"/>
  <c r="QG13" i="1"/>
  <c r="QE13" i="1"/>
  <c r="QD13" i="1"/>
  <c r="QF13" i="1"/>
  <c r="QC74" i="1"/>
  <c r="QA74" i="1"/>
  <c r="QF74" i="1"/>
  <c r="PZ74" i="1"/>
  <c r="SC74" i="1" s="1"/>
  <c r="SD74" i="1" s="1"/>
  <c r="SE74" i="1" s="1"/>
  <c r="SF74" i="1" s="1"/>
  <c r="QG74" i="1"/>
  <c r="QB74" i="1"/>
  <c r="QH74" i="1"/>
  <c r="QE74" i="1"/>
  <c r="QD74" i="1"/>
  <c r="XV19" i="1"/>
  <c r="XY19" i="1"/>
  <c r="XW19" i="1"/>
  <c r="XS19" i="1"/>
  <c r="XU19" i="1"/>
  <c r="XX19" i="1"/>
  <c r="XQ19" i="1"/>
  <c r="XR19" i="1"/>
  <c r="XT19" i="1"/>
  <c r="XW61" i="1"/>
  <c r="XT61" i="1"/>
  <c r="XY61" i="1"/>
  <c r="XS61" i="1"/>
  <c r="XU61" i="1"/>
  <c r="XR61" i="1"/>
  <c r="XV61" i="1"/>
  <c r="XX61" i="1"/>
  <c r="XQ61" i="1"/>
  <c r="AFK21" i="1"/>
  <c r="AFP21" i="1"/>
  <c r="AFJ21" i="1"/>
  <c r="AHM21" i="1" s="1"/>
  <c r="AHN21" i="1" s="1"/>
  <c r="AHO21" i="1" s="1"/>
  <c r="AHP21" i="1" s="1"/>
  <c r="AFM21" i="1"/>
  <c r="AFO21" i="1"/>
  <c r="AFQ21" i="1"/>
  <c r="AFL21" i="1"/>
  <c r="AFR21" i="1"/>
  <c r="AFN21" i="1"/>
  <c r="AND20" i="1"/>
  <c r="ANB20" i="1"/>
  <c r="ANH20" i="1"/>
  <c r="ANA20" i="1"/>
  <c r="ANE20" i="1"/>
  <c r="ANI20" i="1"/>
  <c r="ANF20" i="1"/>
  <c r="ANC20" i="1"/>
  <c r="ANG20" i="1"/>
  <c r="ANB60" i="1"/>
  <c r="ANC60" i="1"/>
  <c r="ANI60" i="1"/>
  <c r="ANA60" i="1"/>
  <c r="ANF60" i="1"/>
  <c r="AND60" i="1"/>
  <c r="ANE60" i="1"/>
  <c r="ANH60" i="1"/>
  <c r="ANG60" i="1"/>
  <c r="AFQ58" i="1"/>
  <c r="AFO58" i="1"/>
  <c r="AFR58" i="1"/>
  <c r="AFN58" i="1"/>
  <c r="AFK58" i="1"/>
  <c r="AFM58" i="1"/>
  <c r="AFP58" i="1"/>
  <c r="AFL58" i="1"/>
  <c r="AFJ58" i="1"/>
  <c r="AHM58" i="1" s="1"/>
  <c r="AHN58" i="1" s="1"/>
  <c r="AHO58" i="1" s="1"/>
  <c r="AHP58" i="1" s="1"/>
  <c r="QG77" i="1"/>
  <c r="QE77" i="1"/>
  <c r="QD77" i="1"/>
  <c r="QF77" i="1"/>
  <c r="QA77" i="1"/>
  <c r="QB77" i="1"/>
  <c r="QC77" i="1"/>
  <c r="PZ77" i="1"/>
  <c r="SC77" i="1" s="1"/>
  <c r="SD77" i="1" s="1"/>
  <c r="SE77" i="1" s="1"/>
  <c r="SF77" i="1" s="1"/>
  <c r="QH77" i="1"/>
  <c r="XY78" i="1"/>
  <c r="XX78" i="1"/>
  <c r="XS78" i="1"/>
  <c r="XV78" i="1"/>
  <c r="XQ78" i="1"/>
  <c r="XT78" i="1"/>
  <c r="XR78" i="1"/>
  <c r="XW78" i="1"/>
  <c r="XU78" i="1"/>
  <c r="AFO74" i="1"/>
  <c r="AFN74" i="1"/>
  <c r="AFM74" i="1"/>
  <c r="AFR74" i="1"/>
  <c r="AFP74" i="1"/>
  <c r="AFQ74" i="1"/>
  <c r="AFK74" i="1"/>
  <c r="AFL74" i="1"/>
  <c r="AFJ74" i="1"/>
  <c r="AHM74" i="1" s="1"/>
  <c r="AHN74" i="1" s="1"/>
  <c r="AHO74" i="1" s="1"/>
  <c r="AHP74" i="1" s="1"/>
  <c r="AFO73" i="1"/>
  <c r="AFM73" i="1"/>
  <c r="AFL73" i="1"/>
  <c r="AFP73" i="1"/>
  <c r="AFR73" i="1"/>
  <c r="AFN73" i="1"/>
  <c r="AFK73" i="1"/>
  <c r="AFQ73" i="1"/>
  <c r="AFJ73" i="1"/>
  <c r="AHM73" i="1" s="1"/>
  <c r="AHN73" i="1" s="1"/>
  <c r="AHO73" i="1" s="1"/>
  <c r="AHP73" i="1" s="1"/>
  <c r="AFM59" i="1"/>
  <c r="AFK59" i="1"/>
  <c r="AFL59" i="1"/>
  <c r="AFJ59" i="1"/>
  <c r="AHM59" i="1" s="1"/>
  <c r="AHN59" i="1" s="1"/>
  <c r="AHO59" i="1" s="1"/>
  <c r="AHP59" i="1" s="1"/>
  <c r="AFO59" i="1"/>
  <c r="AFR59" i="1"/>
  <c r="AFP59" i="1"/>
  <c r="AFQ59" i="1"/>
  <c r="AFN59" i="1"/>
  <c r="QG56" i="1"/>
  <c r="PZ56" i="1"/>
  <c r="SC56" i="1" s="1"/>
  <c r="SD56" i="1" s="1"/>
  <c r="SE56" i="1" s="1"/>
  <c r="SF56" i="1" s="1"/>
  <c r="QF56" i="1"/>
  <c r="QC56" i="1"/>
  <c r="QH56" i="1"/>
  <c r="QD56" i="1"/>
  <c r="QE56" i="1"/>
  <c r="QB56" i="1"/>
  <c r="QA56" i="1"/>
  <c r="AND14" i="1"/>
  <c r="ANG14" i="1"/>
  <c r="ANI14" i="1"/>
  <c r="ANA14" i="1"/>
  <c r="ANH14" i="1"/>
  <c r="ANF14" i="1"/>
  <c r="ANB14" i="1"/>
  <c r="ANE14" i="1"/>
  <c r="ANC14" i="1"/>
  <c r="PZ58" i="1"/>
  <c r="SC58" i="1" s="1"/>
  <c r="SD58" i="1" s="1"/>
  <c r="SE58" i="1" s="1"/>
  <c r="SF58" i="1" s="1"/>
  <c r="QD58" i="1"/>
  <c r="QG58" i="1"/>
  <c r="QE58" i="1"/>
  <c r="QF58" i="1"/>
  <c r="QH58" i="1"/>
  <c r="QA58" i="1"/>
  <c r="QC58" i="1"/>
  <c r="QB58" i="1"/>
  <c r="XR76" i="1"/>
  <c r="XY76" i="1"/>
  <c r="XT76" i="1"/>
  <c r="XU76" i="1"/>
  <c r="XV76" i="1"/>
  <c r="XW76" i="1"/>
  <c r="XX76" i="1"/>
  <c r="XQ76" i="1"/>
  <c r="XS76" i="1"/>
  <c r="ANC13" i="1"/>
  <c r="ANE13" i="1"/>
  <c r="ANA13" i="1"/>
  <c r="ANB13" i="1"/>
  <c r="ANG13" i="1"/>
  <c r="AND13" i="1"/>
  <c r="ANF13" i="1"/>
  <c r="ANH13" i="1"/>
  <c r="ANI13" i="1"/>
  <c r="XV15" i="1"/>
  <c r="XT15" i="1"/>
  <c r="XU15" i="1"/>
  <c r="XS15" i="1"/>
  <c r="XX15" i="1"/>
  <c r="XR15" i="1"/>
  <c r="XW15" i="1"/>
  <c r="XY15" i="1"/>
  <c r="XQ15" i="1"/>
  <c r="AFQ22" i="1"/>
  <c r="AFR22" i="1"/>
  <c r="AFN22" i="1"/>
  <c r="AFP22" i="1"/>
  <c r="AFK22" i="1"/>
  <c r="AFL22" i="1"/>
  <c r="AFM22" i="1"/>
  <c r="AFO22" i="1"/>
  <c r="AFJ22" i="1"/>
  <c r="AHM22" i="1" s="1"/>
  <c r="AHN22" i="1" s="1"/>
  <c r="AHO22" i="1" s="1"/>
  <c r="AHP22" i="1" s="1"/>
  <c r="QH63" i="1"/>
  <c r="QG63" i="1"/>
  <c r="QB63" i="1"/>
  <c r="PZ63" i="1"/>
  <c r="SC63" i="1" s="1"/>
  <c r="SD63" i="1" s="1"/>
  <c r="SE63" i="1" s="1"/>
  <c r="SF63" i="1" s="1"/>
  <c r="QA63" i="1"/>
  <c r="QE63" i="1"/>
  <c r="QD63" i="1"/>
  <c r="QF63" i="1"/>
  <c r="QC63" i="1"/>
  <c r="AFK55" i="1"/>
  <c r="AFM55" i="1"/>
  <c r="AFJ55" i="1"/>
  <c r="AHM55" i="1" s="1"/>
  <c r="AHN55" i="1" s="1"/>
  <c r="AHO55" i="1" s="1"/>
  <c r="AHP55" i="1" s="1"/>
  <c r="AFL55" i="1"/>
  <c r="AFP55" i="1"/>
  <c r="AFQ55" i="1"/>
  <c r="AFR55" i="1"/>
  <c r="AFN55" i="1"/>
  <c r="AFO55" i="1"/>
  <c r="AFQ14" i="1"/>
  <c r="AFR14" i="1"/>
  <c r="AFP14" i="1"/>
  <c r="AFL14" i="1"/>
  <c r="AFO14" i="1"/>
  <c r="AFN14" i="1"/>
  <c r="AFJ14" i="1"/>
  <c r="AHM14" i="1" s="1"/>
  <c r="AHN14" i="1" s="1"/>
  <c r="AHO14" i="1" s="1"/>
  <c r="AHP14" i="1" s="1"/>
  <c r="AFM14" i="1"/>
  <c r="AFK14" i="1"/>
  <c r="QB17" i="1"/>
  <c r="QC17" i="1"/>
  <c r="QH17" i="1"/>
  <c r="QA17" i="1"/>
  <c r="QE17" i="1"/>
  <c r="QF17" i="1"/>
  <c r="QG17" i="1"/>
  <c r="QD17" i="1"/>
  <c r="PZ17" i="1"/>
  <c r="SC17" i="1" s="1"/>
  <c r="SD17" i="1" s="1"/>
  <c r="SE17" i="1" s="1"/>
  <c r="SF17" i="1" s="1"/>
  <c r="AFK20" i="1"/>
  <c r="AFM20" i="1"/>
  <c r="AFO20" i="1"/>
  <c r="AFN20" i="1"/>
  <c r="AFR20" i="1"/>
  <c r="AFP20" i="1"/>
  <c r="AFQ20" i="1"/>
  <c r="AFJ20" i="1"/>
  <c r="AHM20" i="1" s="1"/>
  <c r="AHN20" i="1" s="1"/>
  <c r="AHO20" i="1" s="1"/>
  <c r="AHP20" i="1" s="1"/>
  <c r="AFL20" i="1"/>
  <c r="QF73" i="1"/>
  <c r="QE73" i="1"/>
  <c r="QG73" i="1"/>
  <c r="QA73" i="1"/>
  <c r="QB73" i="1"/>
  <c r="QC73" i="1"/>
  <c r="PZ73" i="1"/>
  <c r="SC73" i="1" s="1"/>
  <c r="SD73" i="1" s="1"/>
  <c r="SE73" i="1" s="1"/>
  <c r="SF73" i="1" s="1"/>
  <c r="QD73" i="1"/>
  <c r="QH73" i="1"/>
  <c r="AHJ26" i="1"/>
  <c r="AGX26" i="1"/>
  <c r="AHD26" i="1"/>
  <c r="AHG26" i="1"/>
  <c r="AHA26" i="1"/>
  <c r="AY22" i="1"/>
  <c r="APM22" i="1"/>
  <c r="AZ22" i="1" s="1"/>
  <c r="RN16" i="1"/>
  <c r="RZ16" i="1"/>
  <c r="RT16" i="1"/>
  <c r="RW16" i="1"/>
  <c r="RQ16" i="1"/>
  <c r="AY17" i="1"/>
  <c r="APM17" i="1"/>
  <c r="AZ17" i="1" s="1"/>
  <c r="AHG10" i="1"/>
  <c r="AGX10" i="1"/>
  <c r="AHJ10" i="1"/>
  <c r="AHD10" i="1"/>
  <c r="AHA10" i="1"/>
  <c r="YZ14" i="1"/>
  <c r="AY76" i="1"/>
  <c r="APM76" i="1"/>
  <c r="AZ76" i="1" s="1"/>
  <c r="AHD62" i="1"/>
  <c r="AHA62" i="1"/>
  <c r="AHG62" i="1"/>
  <c r="AHJ62" i="1"/>
  <c r="AGX62" i="1"/>
  <c r="AOJ16" i="1"/>
  <c r="AY60" i="1"/>
  <c r="B60" i="1" s="1"/>
  <c r="APM60" i="1"/>
  <c r="AZ60" i="1" s="1"/>
  <c r="AOJ10" i="1"/>
  <c r="AY14" i="1"/>
  <c r="APM14" i="1"/>
  <c r="AZ14" i="1" s="1"/>
  <c r="RW17" i="1"/>
  <c r="RT17" i="1"/>
  <c r="RN17" i="1"/>
  <c r="RQ17" i="1"/>
  <c r="RZ17" i="1"/>
  <c r="AHJ18" i="1"/>
  <c r="AGX18" i="1"/>
  <c r="AHG18" i="1"/>
  <c r="AHD18" i="1"/>
  <c r="AHA18" i="1"/>
  <c r="AOJ57" i="1"/>
  <c r="AGX58" i="1"/>
  <c r="AHD58" i="1"/>
  <c r="AHG58" i="1"/>
  <c r="AHA58" i="1"/>
  <c r="AHJ58" i="1"/>
  <c r="RN73" i="1"/>
  <c r="RZ73" i="1"/>
  <c r="RT73" i="1"/>
  <c r="RW73" i="1"/>
  <c r="RQ73" i="1"/>
  <c r="YZ76" i="1"/>
  <c r="AHD77" i="1"/>
  <c r="AGX77" i="1"/>
  <c r="AHJ77" i="1"/>
  <c r="AHA77" i="1"/>
  <c r="AHG77" i="1"/>
  <c r="RQ71" i="1"/>
  <c r="RZ71" i="1"/>
  <c r="RW71" i="1"/>
  <c r="RN71" i="1"/>
  <c r="RT71" i="1"/>
  <c r="APM15" i="1"/>
  <c r="AZ15" i="1" s="1"/>
  <c r="AY15" i="1"/>
  <c r="YZ18" i="1"/>
  <c r="RQ76" i="1"/>
  <c r="RW76" i="1"/>
  <c r="RN76" i="1"/>
  <c r="RZ76" i="1"/>
  <c r="RT76" i="1"/>
  <c r="XT63" i="1"/>
  <c r="XU63" i="1"/>
  <c r="XX63" i="1"/>
  <c r="XQ63" i="1"/>
  <c r="XS63" i="1"/>
  <c r="XV63" i="1"/>
  <c r="XW63" i="1"/>
  <c r="XR63" i="1"/>
  <c r="XY63" i="1"/>
  <c r="ANF56" i="1"/>
  <c r="ANE56" i="1"/>
  <c r="ANA56" i="1"/>
  <c r="ANH56" i="1"/>
  <c r="AND56" i="1"/>
  <c r="ANC56" i="1"/>
  <c r="ANI56" i="1"/>
  <c r="ANG56" i="1"/>
  <c r="ANB56" i="1"/>
  <c r="AFP15" i="1"/>
  <c r="AFO15" i="1"/>
  <c r="AFM15" i="1"/>
  <c r="AFR15" i="1"/>
  <c r="AFN15" i="1"/>
  <c r="AFL15" i="1"/>
  <c r="AFQ15" i="1"/>
  <c r="AFJ15" i="1"/>
  <c r="AHM15" i="1" s="1"/>
  <c r="AHN15" i="1" s="1"/>
  <c r="AHO15" i="1" s="1"/>
  <c r="AHP15" i="1" s="1"/>
  <c r="AFK15" i="1"/>
  <c r="XU21" i="1"/>
  <c r="XW21" i="1"/>
  <c r="XQ21" i="1"/>
  <c r="XS21" i="1"/>
  <c r="XT21" i="1"/>
  <c r="XX21" i="1"/>
  <c r="XR21" i="1"/>
  <c r="XY21" i="1"/>
  <c r="XV21" i="1"/>
  <c r="XR58" i="1"/>
  <c r="XU58" i="1"/>
  <c r="XW58" i="1"/>
  <c r="XT58" i="1"/>
  <c r="XV58" i="1"/>
  <c r="XX58" i="1"/>
  <c r="XY58" i="1"/>
  <c r="XQ58" i="1"/>
  <c r="XS58" i="1"/>
  <c r="AFP78" i="1"/>
  <c r="AFQ78" i="1"/>
  <c r="AFK78" i="1"/>
  <c r="AFR78" i="1"/>
  <c r="AFN78" i="1"/>
  <c r="AFM78" i="1"/>
  <c r="AFJ78" i="1"/>
  <c r="AHM78" i="1" s="1"/>
  <c r="AHN78" i="1" s="1"/>
  <c r="AHO78" i="1" s="1"/>
  <c r="AHP78" i="1" s="1"/>
  <c r="AFO78" i="1"/>
  <c r="AFL78" i="1"/>
  <c r="ANF77" i="1"/>
  <c r="ANG77" i="1"/>
  <c r="ANA77" i="1"/>
  <c r="ANI77" i="1"/>
  <c r="AND77" i="1"/>
  <c r="ANC77" i="1"/>
  <c r="ANH77" i="1"/>
  <c r="ANB77" i="1"/>
  <c r="ANE77" i="1"/>
  <c r="ANB73" i="1"/>
  <c r="ANI73" i="1"/>
  <c r="ANC73" i="1"/>
  <c r="ANE73" i="1"/>
  <c r="ANF73" i="1"/>
  <c r="AND73" i="1"/>
  <c r="ANH73" i="1"/>
  <c r="ANA73" i="1"/>
  <c r="ANG73" i="1"/>
  <c r="QE26" i="1"/>
  <c r="PZ26" i="1"/>
  <c r="SC26" i="1" s="1"/>
  <c r="SD26" i="1" s="1"/>
  <c r="SE26" i="1" s="1"/>
  <c r="SF26" i="1" s="1"/>
  <c r="QH26" i="1"/>
  <c r="QA26" i="1"/>
  <c r="QG26" i="1"/>
  <c r="QF26" i="1"/>
  <c r="QC26" i="1"/>
  <c r="QB26" i="1"/>
  <c r="QD26" i="1"/>
  <c r="ANA15" i="1"/>
  <c r="ANH15" i="1"/>
  <c r="AND15" i="1"/>
  <c r="ANC15" i="1"/>
  <c r="ANE15" i="1"/>
  <c r="ANI15" i="1"/>
  <c r="ANB15" i="1"/>
  <c r="ANF15" i="1"/>
  <c r="ANG15" i="1"/>
  <c r="ANI10" i="1"/>
  <c r="ANF10" i="1"/>
  <c r="ANC10" i="1"/>
  <c r="ANE10" i="1"/>
  <c r="ANA10" i="1"/>
  <c r="AND10" i="1"/>
  <c r="ANG10" i="1"/>
  <c r="ANH10" i="1"/>
  <c r="ANB10" i="1"/>
  <c r="AFP18" i="1"/>
  <c r="AFN18" i="1"/>
  <c r="AFM18" i="1"/>
  <c r="AFL18" i="1"/>
  <c r="AFK18" i="1"/>
  <c r="AFO18" i="1"/>
  <c r="AFQ18" i="1"/>
  <c r="AFJ18" i="1"/>
  <c r="AHM18" i="1" s="1"/>
  <c r="AHN18" i="1" s="1"/>
  <c r="AHO18" i="1" s="1"/>
  <c r="AHP18" i="1" s="1"/>
  <c r="AFR18" i="1"/>
  <c r="AFQ13" i="1"/>
  <c r="AFK13" i="1"/>
  <c r="AFP13" i="1"/>
  <c r="AFO13" i="1"/>
  <c r="AFR13" i="1"/>
  <c r="AFM13" i="1"/>
  <c r="AFN13" i="1"/>
  <c r="AFJ13" i="1"/>
  <c r="AHM13" i="1" s="1"/>
  <c r="AHN13" i="1" s="1"/>
  <c r="AHO13" i="1" s="1"/>
  <c r="AHP13" i="1" s="1"/>
  <c r="AFL13" i="1"/>
  <c r="XS62" i="1"/>
  <c r="XU62" i="1"/>
  <c r="XQ62" i="1"/>
  <c r="XR62" i="1"/>
  <c r="XT62" i="1"/>
  <c r="XY62" i="1"/>
  <c r="XX62" i="1"/>
  <c r="XW62" i="1"/>
  <c r="XV62" i="1"/>
  <c r="XQ17" i="1"/>
  <c r="XY17" i="1"/>
  <c r="XR17" i="1"/>
  <c r="XS17" i="1"/>
  <c r="XW17" i="1"/>
  <c r="XT17" i="1"/>
  <c r="XV17" i="1"/>
  <c r="XX17" i="1"/>
  <c r="XU17" i="1"/>
  <c r="QC76" i="1"/>
  <c r="QA76" i="1"/>
  <c r="QF76" i="1"/>
  <c r="QH76" i="1"/>
  <c r="QD76" i="1"/>
  <c r="QG76" i="1"/>
  <c r="PZ76" i="1"/>
  <c r="SC76" i="1" s="1"/>
  <c r="SD76" i="1" s="1"/>
  <c r="SE76" i="1" s="1"/>
  <c r="SF76" i="1" s="1"/>
  <c r="QB76" i="1"/>
  <c r="QE76" i="1"/>
  <c r="ANC62" i="1"/>
  <c r="ANG62" i="1"/>
  <c r="ANE62" i="1"/>
  <c r="AND62" i="1"/>
  <c r="ANI62" i="1"/>
  <c r="ANF62" i="1"/>
  <c r="ANH62" i="1"/>
  <c r="ANA62" i="1"/>
  <c r="ANB62" i="1"/>
  <c r="ANB16" i="1"/>
  <c r="ANC16" i="1"/>
  <c r="ANI16" i="1"/>
  <c r="ANF16" i="1"/>
  <c r="AND16" i="1"/>
  <c r="ANG16" i="1"/>
  <c r="ANH16" i="1"/>
  <c r="ANE16" i="1"/>
  <c r="ANA16" i="1"/>
  <c r="XU26" i="1"/>
  <c r="XW26" i="1"/>
  <c r="XY26" i="1"/>
  <c r="XQ26" i="1"/>
  <c r="XS26" i="1"/>
  <c r="XR26" i="1"/>
  <c r="XX26" i="1"/>
  <c r="XV26" i="1"/>
  <c r="XT26" i="1"/>
  <c r="QF12" i="1"/>
  <c r="QB12" i="1"/>
  <c r="QG12" i="1"/>
  <c r="QA12" i="1"/>
  <c r="QD12" i="1"/>
  <c r="PZ12" i="1"/>
  <c r="SC12" i="1" s="1"/>
  <c r="SD12" i="1" s="1"/>
  <c r="SE12" i="1" s="1"/>
  <c r="SF12" i="1" s="1"/>
  <c r="QC12" i="1"/>
  <c r="QE12" i="1"/>
  <c r="QH12" i="1"/>
  <c r="XY20" i="1"/>
  <c r="XU20" i="1"/>
  <c r="XR20" i="1"/>
  <c r="XW20" i="1"/>
  <c r="XQ20" i="1"/>
  <c r="XT20" i="1"/>
  <c r="XV20" i="1"/>
  <c r="XX20" i="1"/>
  <c r="XS20" i="1"/>
  <c r="QG57" i="1"/>
  <c r="QF57" i="1"/>
  <c r="QB57" i="1"/>
  <c r="QD57" i="1"/>
  <c r="QH57" i="1"/>
  <c r="PZ57" i="1"/>
  <c r="SC57" i="1" s="1"/>
  <c r="SD57" i="1" s="1"/>
  <c r="SE57" i="1" s="1"/>
  <c r="SF57" i="1" s="1"/>
  <c r="QA57" i="1"/>
  <c r="QE57" i="1"/>
  <c r="QC57" i="1"/>
  <c r="QF60" i="1"/>
  <c r="QE60" i="1"/>
  <c r="QC60" i="1"/>
  <c r="QD60" i="1"/>
  <c r="QA60" i="1"/>
  <c r="PZ60" i="1"/>
  <c r="SC60" i="1" s="1"/>
  <c r="SD60" i="1" s="1"/>
  <c r="SE60" i="1" s="1"/>
  <c r="SF60" i="1" s="1"/>
  <c r="QB60" i="1"/>
  <c r="QH60" i="1"/>
  <c r="QG60" i="1"/>
  <c r="AFL71" i="1"/>
  <c r="AFJ71" i="1"/>
  <c r="AHM71" i="1" s="1"/>
  <c r="AHN71" i="1" s="1"/>
  <c r="AHO71" i="1" s="1"/>
  <c r="AHP71" i="1" s="1"/>
  <c r="AFR71" i="1"/>
  <c r="AFM71" i="1"/>
  <c r="AFQ71" i="1"/>
  <c r="AFP71" i="1"/>
  <c r="AFO71" i="1"/>
  <c r="AFK71" i="1"/>
  <c r="AFN71" i="1"/>
  <c r="ANE59" i="1"/>
  <c r="ANC59" i="1"/>
  <c r="ANA59" i="1"/>
  <c r="AND59" i="1"/>
  <c r="ANB59" i="1"/>
  <c r="ANG59" i="1"/>
  <c r="ANI59" i="1"/>
  <c r="ANH59" i="1"/>
  <c r="ANF59" i="1"/>
  <c r="QB22" i="1"/>
  <c r="QF22" i="1"/>
  <c r="QA22" i="1"/>
  <c r="QC22" i="1"/>
  <c r="PZ22" i="1"/>
  <c r="SC22" i="1" s="1"/>
  <c r="SD22" i="1" s="1"/>
  <c r="SE22" i="1" s="1"/>
  <c r="SF22" i="1" s="1"/>
  <c r="QD22" i="1"/>
  <c r="QH22" i="1"/>
  <c r="QG22" i="1"/>
  <c r="QE22" i="1"/>
  <c r="AFK63" i="1"/>
  <c r="AFO63" i="1"/>
  <c r="AFL63" i="1"/>
  <c r="AFP63" i="1"/>
  <c r="AFN63" i="1"/>
  <c r="AFJ63" i="1"/>
  <c r="AHM63" i="1" s="1"/>
  <c r="AHN63" i="1" s="1"/>
  <c r="AHO63" i="1" s="1"/>
  <c r="AHP63" i="1" s="1"/>
  <c r="AFM63" i="1"/>
  <c r="AFR63" i="1"/>
  <c r="AFQ63" i="1"/>
  <c r="AFR19" i="1"/>
  <c r="AFP19" i="1"/>
  <c r="AFM19" i="1"/>
  <c r="AFL19" i="1"/>
  <c r="AFQ19" i="1"/>
  <c r="AFK19" i="1"/>
  <c r="AFO19" i="1"/>
  <c r="AFN19" i="1"/>
  <c r="AFJ19" i="1"/>
  <c r="AHM19" i="1" s="1"/>
  <c r="AHN19" i="1" s="1"/>
  <c r="AHO19" i="1" s="1"/>
  <c r="AHP19" i="1" s="1"/>
  <c r="QA14" i="1"/>
  <c r="QB14" i="1"/>
  <c r="QC14" i="1"/>
  <c r="QH14" i="1"/>
  <c r="PZ14" i="1"/>
  <c r="SC14" i="1" s="1"/>
  <c r="SD14" i="1" s="1"/>
  <c r="SE14" i="1" s="1"/>
  <c r="SF14" i="1" s="1"/>
  <c r="QF14" i="1"/>
  <c r="QE14" i="1"/>
  <c r="QD14" i="1"/>
  <c r="QG14" i="1"/>
  <c r="XR18" i="1"/>
  <c r="XU18" i="1"/>
  <c r="XV18" i="1"/>
  <c r="XX18" i="1"/>
  <c r="XW18" i="1"/>
  <c r="XQ18" i="1"/>
  <c r="XY18" i="1"/>
  <c r="XS18" i="1"/>
  <c r="XT18" i="1"/>
  <c r="XQ73" i="1"/>
  <c r="XU73" i="1"/>
  <c r="XT73" i="1"/>
  <c r="XX73" i="1"/>
  <c r="XW73" i="1"/>
  <c r="XY73" i="1"/>
  <c r="XR73" i="1"/>
  <c r="XS73" i="1"/>
  <c r="XV73" i="1"/>
  <c r="ANE74" i="1"/>
  <c r="AND74" i="1"/>
  <c r="ANG74" i="1"/>
  <c r="ANB74" i="1"/>
  <c r="ANC74" i="1"/>
  <c r="ANA74" i="1"/>
  <c r="ANF74" i="1"/>
  <c r="ANH74" i="1"/>
  <c r="ANI74" i="1"/>
  <c r="FN15" i="1" l="1"/>
  <c r="GL15" i="1" s="1"/>
  <c r="GS15" i="1" s="1"/>
  <c r="GU15" i="1" s="1"/>
  <c r="BI15" i="1" s="1"/>
  <c r="L39" i="1" s="1"/>
  <c r="BM15" i="1"/>
  <c r="CK15" i="1" s="1"/>
  <c r="CR15" i="1" s="1"/>
  <c r="AX15" i="1"/>
  <c r="BM60" i="1"/>
  <c r="CK60" i="1" s="1"/>
  <c r="CR60" i="1" s="1"/>
  <c r="FN60" i="1"/>
  <c r="GL60" i="1" s="1"/>
  <c r="GS60" i="1" s="1"/>
  <c r="GU60" i="1" s="1"/>
  <c r="BI60" i="1" s="1"/>
  <c r="AX60" i="1"/>
  <c r="FN76" i="1"/>
  <c r="GL76" i="1" s="1"/>
  <c r="GS76" i="1" s="1"/>
  <c r="GU76" i="1" s="1"/>
  <c r="BI76" i="1" s="1"/>
  <c r="AX76" i="1"/>
  <c r="BM76" i="1"/>
  <c r="CK76" i="1" s="1"/>
  <c r="CR76" i="1" s="1"/>
  <c r="BM17" i="1"/>
  <c r="CK17" i="1" s="1"/>
  <c r="CR17" i="1" s="1"/>
  <c r="FN17" i="1"/>
  <c r="GL17" i="1" s="1"/>
  <c r="GS17" i="1" s="1"/>
  <c r="GU17" i="1" s="1"/>
  <c r="BI17" i="1" s="1"/>
  <c r="L41" i="1" s="1"/>
  <c r="AX17" i="1"/>
  <c r="BM23" i="1"/>
  <c r="CK23" i="1" s="1"/>
  <c r="CR23" i="1" s="1"/>
  <c r="AX23" i="1"/>
  <c r="FN23" i="1"/>
  <c r="GL23" i="1" s="1"/>
  <c r="GS23" i="1" s="1"/>
  <c r="GU23" i="1" s="1"/>
  <c r="BI23" i="1" s="1"/>
  <c r="AX57" i="1"/>
  <c r="BM57" i="1"/>
  <c r="CK57" i="1" s="1"/>
  <c r="CR57" i="1" s="1"/>
  <c r="FN57" i="1"/>
  <c r="GL57" i="1" s="1"/>
  <c r="GS57" i="1" s="1"/>
  <c r="GU57" i="1" s="1"/>
  <c r="BI57" i="1" s="1"/>
  <c r="BM74" i="1"/>
  <c r="CK74" i="1" s="1"/>
  <c r="CR74" i="1" s="1"/>
  <c r="AX74" i="1"/>
  <c r="FN74" i="1"/>
  <c r="GL74" i="1" s="1"/>
  <c r="GS74" i="1" s="1"/>
  <c r="GU74" i="1" s="1"/>
  <c r="BI74" i="1" s="1"/>
  <c r="FN59" i="1"/>
  <c r="GL59" i="1" s="1"/>
  <c r="GS59" i="1" s="1"/>
  <c r="GU59" i="1" s="1"/>
  <c r="BI59" i="1" s="1"/>
  <c r="AX59" i="1"/>
  <c r="BM59" i="1"/>
  <c r="CK59" i="1" s="1"/>
  <c r="CR59" i="1" s="1"/>
  <c r="BM18" i="1"/>
  <c r="CK18" i="1" s="1"/>
  <c r="CR18" i="1" s="1"/>
  <c r="FN18" i="1"/>
  <c r="GL18" i="1" s="1"/>
  <c r="GS18" i="1" s="1"/>
  <c r="GU18" i="1" s="1"/>
  <c r="BI18" i="1" s="1"/>
  <c r="L42" i="1" s="1"/>
  <c r="AX18" i="1"/>
  <c r="BM77" i="1"/>
  <c r="CK77" i="1" s="1"/>
  <c r="CR77" i="1" s="1"/>
  <c r="FN77" i="1"/>
  <c r="GL77" i="1" s="1"/>
  <c r="GS77" i="1" s="1"/>
  <c r="GU77" i="1" s="1"/>
  <c r="BI77" i="1" s="1"/>
  <c r="AX77" i="1"/>
  <c r="FN58" i="1"/>
  <c r="GL58" i="1" s="1"/>
  <c r="GS58" i="1" s="1"/>
  <c r="GU58" i="1" s="1"/>
  <c r="BI58" i="1" s="1"/>
  <c r="AX58" i="1"/>
  <c r="BM58" i="1"/>
  <c r="CK58" i="1" s="1"/>
  <c r="CR58" i="1" s="1"/>
  <c r="BM56" i="1"/>
  <c r="CK56" i="1" s="1"/>
  <c r="CR56" i="1" s="1"/>
  <c r="FN56" i="1"/>
  <c r="GL56" i="1" s="1"/>
  <c r="GS56" i="1" s="1"/>
  <c r="GU56" i="1" s="1"/>
  <c r="BI56" i="1" s="1"/>
  <c r="AX56" i="1"/>
  <c r="FN19" i="1"/>
  <c r="GL19" i="1" s="1"/>
  <c r="GS19" i="1" s="1"/>
  <c r="GU19" i="1" s="1"/>
  <c r="BI19" i="1" s="1"/>
  <c r="L43" i="1" s="1"/>
  <c r="AX19" i="1"/>
  <c r="BM19" i="1"/>
  <c r="CK19" i="1" s="1"/>
  <c r="CR19" i="1" s="1"/>
  <c r="FN22" i="1"/>
  <c r="GL22" i="1" s="1"/>
  <c r="GS22" i="1" s="1"/>
  <c r="GU22" i="1" s="1"/>
  <c r="BI22" i="1" s="1"/>
  <c r="L46" i="1" s="1"/>
  <c r="AX22" i="1"/>
  <c r="BM22" i="1"/>
  <c r="CK22" i="1" s="1"/>
  <c r="CR22" i="1" s="1"/>
  <c r="FN72" i="1"/>
  <c r="GL72" i="1" s="1"/>
  <c r="GS72" i="1" s="1"/>
  <c r="GU72" i="1" s="1"/>
  <c r="BI72" i="1" s="1"/>
  <c r="BM72" i="1"/>
  <c r="CK72" i="1" s="1"/>
  <c r="CR72" i="1" s="1"/>
  <c r="AX72" i="1"/>
  <c r="BM16" i="1"/>
  <c r="CK16" i="1" s="1"/>
  <c r="CR16" i="1" s="1"/>
  <c r="AX16" i="1"/>
  <c r="FN16" i="1"/>
  <c r="GL16" i="1" s="1"/>
  <c r="GS16" i="1" s="1"/>
  <c r="GU16" i="1" s="1"/>
  <c r="BI16" i="1" s="1"/>
  <c r="L40" i="1" s="1"/>
  <c r="AX63" i="1"/>
  <c r="BM63" i="1"/>
  <c r="CK63" i="1" s="1"/>
  <c r="CR63" i="1" s="1"/>
  <c r="FN63" i="1"/>
  <c r="GL63" i="1" s="1"/>
  <c r="GS63" i="1" s="1"/>
  <c r="GU63" i="1" s="1"/>
  <c r="BI63" i="1" s="1"/>
  <c r="BM78" i="1"/>
  <c r="CK78" i="1" s="1"/>
  <c r="CR78" i="1" s="1"/>
  <c r="FN78" i="1"/>
  <c r="GL78" i="1" s="1"/>
  <c r="GS78" i="1" s="1"/>
  <c r="GU78" i="1" s="1"/>
  <c r="BI78" i="1" s="1"/>
  <c r="AX78" i="1"/>
  <c r="BM75" i="1"/>
  <c r="CK75" i="1" s="1"/>
  <c r="CR75" i="1" s="1"/>
  <c r="AX75" i="1"/>
  <c r="FN75" i="1"/>
  <c r="GL75" i="1" s="1"/>
  <c r="GS75" i="1" s="1"/>
  <c r="GU75" i="1" s="1"/>
  <c r="BI75" i="1" s="1"/>
  <c r="BM13" i="1"/>
  <c r="CK13" i="1" s="1"/>
  <c r="CR13" i="1" s="1"/>
  <c r="FN13" i="1"/>
  <c r="GL13" i="1" s="1"/>
  <c r="GS13" i="1" s="1"/>
  <c r="GU13" i="1" s="1"/>
  <c r="BI13" i="1" s="1"/>
  <c r="L37" i="1" s="1"/>
  <c r="AX13" i="1"/>
  <c r="BM12" i="1"/>
  <c r="CK12" i="1" s="1"/>
  <c r="CR12" i="1" s="1"/>
  <c r="FN12" i="1"/>
  <c r="GL12" i="1" s="1"/>
  <c r="GS12" i="1" s="1"/>
  <c r="GU12" i="1" s="1"/>
  <c r="BI12" i="1" s="1"/>
  <c r="L36" i="1" s="1"/>
  <c r="AX12" i="1"/>
  <c r="AX71" i="1"/>
  <c r="FN71" i="1"/>
  <c r="GL71" i="1" s="1"/>
  <c r="GS71" i="1" s="1"/>
  <c r="GU71" i="1" s="1"/>
  <c r="BI71" i="1" s="1"/>
  <c r="BM71" i="1"/>
  <c r="CK71" i="1" s="1"/>
  <c r="CR71" i="1" s="1"/>
  <c r="FN73" i="1"/>
  <c r="GL73" i="1" s="1"/>
  <c r="GS73" i="1" s="1"/>
  <c r="GU73" i="1" s="1"/>
  <c r="BI73" i="1" s="1"/>
  <c r="AX73" i="1"/>
  <c r="BM73" i="1"/>
  <c r="CK73" i="1" s="1"/>
  <c r="CR73" i="1" s="1"/>
  <c r="AX21" i="1"/>
  <c r="BM21" i="1"/>
  <c r="CK21" i="1" s="1"/>
  <c r="CR21" i="1" s="1"/>
  <c r="FN21" i="1"/>
  <c r="GL21" i="1" s="1"/>
  <c r="GS21" i="1" s="1"/>
  <c r="GU21" i="1" s="1"/>
  <c r="BI21" i="1" s="1"/>
  <c r="L45" i="1" s="1"/>
  <c r="AX55" i="1"/>
  <c r="FN55" i="1"/>
  <c r="GL55" i="1" s="1"/>
  <c r="GS55" i="1" s="1"/>
  <c r="GU55" i="1" s="1"/>
  <c r="BI55" i="1" s="1"/>
  <c r="BM55" i="1"/>
  <c r="CK55" i="1" s="1"/>
  <c r="CR55" i="1" s="1"/>
  <c r="FN10" i="1"/>
  <c r="GL10" i="1" s="1"/>
  <c r="GS10" i="1" s="1"/>
  <c r="GU10" i="1" s="1"/>
  <c r="BI10" i="1" s="1"/>
  <c r="L34" i="1" s="1"/>
  <c r="L31" i="1" s="1" a="1"/>
  <c r="L31" i="1" s="1"/>
  <c r="AX10" i="1"/>
  <c r="BM10" i="1"/>
  <c r="CK10" i="1" s="1"/>
  <c r="CR10" i="1" s="1"/>
  <c r="AX61" i="1"/>
  <c r="BM61" i="1"/>
  <c r="CK61" i="1" s="1"/>
  <c r="CR61" i="1" s="1"/>
  <c r="FN61" i="1"/>
  <c r="GL61" i="1" s="1"/>
  <c r="GS61" i="1" s="1"/>
  <c r="GU61" i="1" s="1"/>
  <c r="BI61" i="1" s="1"/>
  <c r="BM14" i="1"/>
  <c r="CK14" i="1" s="1"/>
  <c r="CR14" i="1" s="1"/>
  <c r="AX14" i="1"/>
  <c r="FN14" i="1"/>
  <c r="GL14" i="1" s="1"/>
  <c r="GS14" i="1" s="1"/>
  <c r="GU14" i="1" s="1"/>
  <c r="BI14" i="1" s="1"/>
  <c r="L38" i="1" s="1"/>
  <c r="FN62" i="1"/>
  <c r="GL62" i="1" s="1"/>
  <c r="GS62" i="1" s="1"/>
  <c r="GU62" i="1" s="1"/>
  <c r="BI62" i="1" s="1"/>
  <c r="BM62" i="1"/>
  <c r="CK62" i="1" s="1"/>
  <c r="CR62" i="1" s="1"/>
  <c r="AX62" i="1"/>
  <c r="CV26" i="1"/>
  <c r="BF26" i="1" s="1"/>
  <c r="EE26" i="1"/>
  <c r="BH26" i="1" s="1"/>
  <c r="FN20" i="1"/>
  <c r="GL20" i="1" s="1"/>
  <c r="GS20" i="1" s="1"/>
  <c r="GU20" i="1" s="1"/>
  <c r="BI20" i="1" s="1"/>
  <c r="L44" i="1" s="1"/>
  <c r="AX20" i="1"/>
  <c r="BM20" i="1"/>
  <c r="CK20" i="1" s="1"/>
  <c r="CR20" i="1" s="1"/>
  <c r="EE61" i="1" l="1"/>
  <c r="BG61" i="1" s="1"/>
  <c r="CV61" i="1"/>
  <c r="CV78" i="1"/>
  <c r="BE78" i="1" s="1"/>
  <c r="EE78" i="1"/>
  <c r="BG78" i="1" s="1"/>
  <c r="B78" i="1"/>
  <c r="B72" i="1"/>
  <c r="CV72" i="1"/>
  <c r="BE72" i="1" s="1"/>
  <c r="EE72" i="1"/>
  <c r="BG72" i="1" s="1"/>
  <c r="B77" i="1"/>
  <c r="EE77" i="1"/>
  <c r="BG77" i="1" s="1"/>
  <c r="CV77" i="1"/>
  <c r="BE77" i="1" s="1"/>
  <c r="EE59" i="1"/>
  <c r="BG59" i="1" s="1"/>
  <c r="CV59" i="1"/>
  <c r="CV60" i="1"/>
  <c r="EE60" i="1"/>
  <c r="BG60" i="1" s="1"/>
  <c r="EE55" i="1"/>
  <c r="BG55" i="1" s="1"/>
  <c r="CV55" i="1"/>
  <c r="BE55" i="1" s="1"/>
  <c r="CV21" i="1"/>
  <c r="EE21" i="1"/>
  <c r="BH21" i="1" s="1"/>
  <c r="K45" i="1" s="1"/>
  <c r="CV75" i="1"/>
  <c r="BE75" i="1" s="1"/>
  <c r="EE75" i="1"/>
  <c r="BG75" i="1" s="1"/>
  <c r="B75" i="1"/>
  <c r="CV19" i="1"/>
  <c r="BF19" i="1" s="1"/>
  <c r="I43" i="1" s="1"/>
  <c r="EE19" i="1"/>
  <c r="BH19" i="1" s="1"/>
  <c r="K43" i="1" s="1"/>
  <c r="EE74" i="1"/>
  <c r="BG74" i="1" s="1"/>
  <c r="CV74" i="1"/>
  <c r="BE74" i="1" s="1"/>
  <c r="B74" i="1"/>
  <c r="EE20" i="1"/>
  <c r="BG20" i="1" s="1"/>
  <c r="J44" i="1" s="1"/>
  <c r="CV20" i="1"/>
  <c r="BD20" i="1" s="1"/>
  <c r="G44" i="1" s="1"/>
  <c r="EE62" i="1"/>
  <c r="BG62" i="1" s="1"/>
  <c r="CV62" i="1"/>
  <c r="EE14" i="1"/>
  <c r="BG14" i="1" s="1"/>
  <c r="J38" i="1" s="1"/>
  <c r="CV14" i="1"/>
  <c r="BD14" i="1" s="1"/>
  <c r="G38" i="1" s="1"/>
  <c r="EE10" i="1"/>
  <c r="BG10" i="1" s="1"/>
  <c r="J34" i="1" s="1"/>
  <c r="J31" i="1" s="1" a="1"/>
  <c r="J31" i="1" s="1"/>
  <c r="CV10" i="1"/>
  <c r="BD10" i="1" s="1"/>
  <c r="G34" i="1" s="1"/>
  <c r="G31" i="1" s="1" a="1"/>
  <c r="G31" i="1" s="1"/>
  <c r="EE71" i="1"/>
  <c r="BG71" i="1" s="1"/>
  <c r="CV71" i="1"/>
  <c r="BE71" i="1" s="1"/>
  <c r="B71" i="1"/>
  <c r="EE13" i="1"/>
  <c r="BG13" i="1" s="1"/>
  <c r="J37" i="1" s="1"/>
  <c r="CV13" i="1"/>
  <c r="EE63" i="1"/>
  <c r="BG63" i="1" s="1"/>
  <c r="CV63" i="1"/>
  <c r="BD63" i="1" s="1"/>
  <c r="CV16" i="1"/>
  <c r="BD16" i="1" s="1"/>
  <c r="G40" i="1" s="1"/>
  <c r="EE16" i="1"/>
  <c r="BG16" i="1" s="1"/>
  <c r="J40" i="1" s="1"/>
  <c r="EE22" i="1"/>
  <c r="BH22" i="1" s="1"/>
  <c r="K46" i="1" s="1"/>
  <c r="CV22" i="1"/>
  <c r="EE56" i="1"/>
  <c r="BG56" i="1" s="1"/>
  <c r="CV56" i="1"/>
  <c r="BE56" i="1" s="1"/>
  <c r="EE17" i="1"/>
  <c r="BG17" i="1" s="1"/>
  <c r="J41" i="1" s="1"/>
  <c r="CV17" i="1"/>
  <c r="CV15" i="1"/>
  <c r="BE15" i="1" s="1"/>
  <c r="H39" i="1" s="1"/>
  <c r="H31" i="1" s="1" a="1"/>
  <c r="H31" i="1" s="1"/>
  <c r="EE15" i="1"/>
  <c r="BG15" i="1" s="1"/>
  <c r="J39" i="1" s="1"/>
  <c r="EE73" i="1"/>
  <c r="BG73" i="1" s="1"/>
  <c r="CV73" i="1"/>
  <c r="BE73" i="1" s="1"/>
  <c r="B73" i="1"/>
  <c r="EE12" i="1"/>
  <c r="BH12" i="1" s="1"/>
  <c r="K36" i="1" s="1"/>
  <c r="K31" i="1" s="1" a="1"/>
  <c r="K31" i="1" s="1"/>
  <c r="CV12" i="1"/>
  <c r="BF12" i="1" s="1"/>
  <c r="I36" i="1" s="1"/>
  <c r="I31" i="1" s="1" a="1"/>
  <c r="I31" i="1" s="1"/>
  <c r="EE58" i="1"/>
  <c r="BG58" i="1" s="1"/>
  <c r="CV58" i="1"/>
  <c r="EE18" i="1"/>
  <c r="BH18" i="1" s="1"/>
  <c r="K42" i="1" s="1"/>
  <c r="CV18" i="1"/>
  <c r="CV57" i="1"/>
  <c r="BF57" i="1" s="1"/>
  <c r="EE57" i="1"/>
  <c r="BH57" i="1" s="1"/>
  <c r="EE23" i="1"/>
  <c r="BG23" i="1" s="1"/>
  <c r="CV23" i="1"/>
  <c r="CV76" i="1"/>
  <c r="BE76" i="1" s="1"/>
  <c r="EE76" i="1"/>
  <c r="BG76" i="1" s="1"/>
  <c r="B76" i="1"/>
</calcChain>
</file>

<file path=xl/comments1.xml><?xml version="1.0" encoding="utf-8"?>
<comments xmlns="http://schemas.openxmlformats.org/spreadsheetml/2006/main">
  <authors>
    <author>Bill Dalton</author>
  </authors>
  <commentList>
    <comment ref="BV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  <comment ref="DE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  <comment ref="EN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  <comment ref="FW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  <comment ref="HD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</commentList>
</comments>
</file>

<file path=xl/comments2.xml><?xml version="1.0" encoding="utf-8"?>
<comments xmlns="http://schemas.openxmlformats.org/spreadsheetml/2006/main">
  <authors>
    <author>Bill Dalton</author>
  </authors>
  <commentList>
    <comment ref="M18" authorId="0" shapeId="0">
      <text>
        <r>
          <rPr>
            <sz val="10"/>
            <color rgb="FF000000"/>
            <rFont val="Calibri"/>
            <family val="2"/>
          </rPr>
          <t xml:space="preserve">for organics, imurities, goehtite, not crushed etc etc 
</t>
        </r>
      </text>
    </comment>
    <comment ref="E20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G20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I20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J20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K20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 is 8.7, but this seems low ... typical generic is 10%
</t>
        </r>
      </text>
    </comment>
    <comment ref="R20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S20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T20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W20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X20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E2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F21" authorId="0" shapeId="0">
      <text>
        <r>
          <rPr>
            <sz val="10"/>
            <color rgb="FF000000"/>
            <rFont val="Tahoma"/>
            <family val="2"/>
          </rPr>
          <t xml:space="preserve">based on Alufer data to CM
</t>
        </r>
      </text>
    </comment>
    <comment ref="G2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H21" authorId="0" shapeId="0">
      <text>
        <r>
          <rPr>
            <sz val="10"/>
            <color rgb="FF000000"/>
            <rFont val="Tahoma"/>
            <family val="2"/>
          </rPr>
          <t xml:space="preserve">based on Alufer data to CM
</t>
        </r>
      </text>
    </comment>
    <comment ref="K2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R21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S21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T21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W21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X21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E22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G22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H22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J22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K22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R22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S22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T22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W22" authorId="0" shapeId="0">
      <text>
        <r>
          <rPr>
            <sz val="10"/>
            <color rgb="FF000000"/>
            <rFont val="Tahoma"/>
            <family val="2"/>
          </rPr>
          <t xml:space="preserve">allaowance for transhipping inefficiency
</t>
        </r>
      </text>
    </comment>
    <comment ref="X22" authorId="0" shapeId="0">
      <text>
        <r>
          <rPr>
            <sz val="10"/>
            <color rgb="FF000000"/>
            <rFont val="Tahoma"/>
            <family val="2"/>
          </rPr>
          <t xml:space="preserve">allaowance for transhipping inefficiency
</t>
        </r>
      </text>
    </comment>
    <comment ref="E23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G23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I23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J23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K23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R23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S23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T23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W23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X23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E24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G24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I24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J24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K24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R24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S24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T24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W24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X24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E25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G25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I25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J25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K25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R25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S25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T25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W25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X25" authorId="0" shapeId="0">
      <text>
        <r>
          <rPr>
            <sz val="10"/>
            <color rgb="FF000000"/>
            <rFont val="Tahoma"/>
            <family val="2"/>
          </rPr>
          <t xml:space="preserve">Assumed
</t>
        </r>
      </text>
    </comment>
    <comment ref="E26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G26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
</t>
        </r>
      </text>
    </comment>
    <comment ref="I26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J26" authorId="0" shapeId="0">
      <text>
        <r>
          <rPr>
            <sz val="10"/>
            <color rgb="FF000000"/>
            <rFont val="Tahoma"/>
            <family val="2"/>
          </rPr>
          <t xml:space="preserve">assumed based on limited full analysis available
</t>
        </r>
      </text>
    </comment>
    <comment ref="K26" authorId="0" shapeId="0">
      <text>
        <r>
          <rPr>
            <sz val="10"/>
            <color rgb="FF000000"/>
            <rFont val="Tahoma"/>
            <family val="2"/>
          </rPr>
          <t xml:space="preserve">avg of third party trades to 2019 to October is 8.7, but this seems low ... typical generic is 10%
</t>
        </r>
      </text>
    </comment>
    <comment ref="R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S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T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U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V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W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X26" authorId="0" shapeId="0">
      <text>
        <r>
          <rPr>
            <sz val="10"/>
            <color rgb="FF000000"/>
            <rFont val="Tahoma"/>
            <family val="2"/>
          </rPr>
          <t xml:space="preserve">Based on Winning website information
</t>
        </r>
      </text>
    </comment>
    <comment ref="E27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F27" authorId="0" shapeId="0">
      <text>
        <r>
          <rPr>
            <sz val="10"/>
            <color rgb="FF000000"/>
            <rFont val="Tahoma"/>
            <family val="2"/>
          </rPr>
          <t xml:space="preserve">based on Alufer data to CM
</t>
        </r>
      </text>
    </comment>
    <comment ref="G27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H27" authorId="0" shapeId="0">
      <text>
        <r>
          <rPr>
            <sz val="10"/>
            <color rgb="FF000000"/>
            <rFont val="Tahoma"/>
            <family val="2"/>
          </rPr>
          <t xml:space="preserve">based on Alufer data to CM
</t>
        </r>
      </text>
    </comment>
    <comment ref="K27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R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S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T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U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V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W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X27" authorId="0" shapeId="0">
      <text>
        <r>
          <rPr>
            <sz val="10"/>
            <color rgb="FF000000"/>
            <rFont val="Tahoma"/>
            <family val="2"/>
          </rPr>
          <t xml:space="preserve">Mar 2018 field trip
</t>
        </r>
      </text>
    </comment>
    <comment ref="E28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G28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H28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J28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K28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R28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S28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T28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U28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V28" authorId="0" shapeId="0">
      <text>
        <r>
          <rPr>
            <sz val="10"/>
            <color rgb="FF000000"/>
            <rFont val="Tahoma"/>
            <family val="2"/>
          </rPr>
          <t xml:space="preserve">based on information from Bob Adam late 2019
</t>
        </r>
      </text>
    </comment>
    <comment ref="W28" authorId="0" shapeId="0">
      <text>
        <r>
          <rPr>
            <sz val="10"/>
            <color rgb="FF000000"/>
            <rFont val="Tahoma"/>
            <family val="2"/>
          </rPr>
          <t xml:space="preserve">allaowance for transhipping inefficiency
</t>
        </r>
      </text>
    </comment>
    <comment ref="X28" authorId="0" shapeId="0">
      <text>
        <r>
          <rPr>
            <sz val="10"/>
            <color rgb="FF000000"/>
            <rFont val="Tahoma"/>
            <family val="2"/>
          </rPr>
          <t xml:space="preserve">allaowance for transhipping inefficiency
</t>
        </r>
      </text>
    </comment>
    <comment ref="E3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G3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  <comment ref="H31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J31" authorId="0" shapeId="0">
      <text>
        <r>
          <rPr>
            <sz val="10"/>
            <color rgb="FF000000"/>
            <rFont val="Tahoma"/>
            <family val="2"/>
          </rPr>
          <t xml:space="preserve">estimate
</t>
        </r>
      </text>
    </comment>
    <comment ref="K31" authorId="0" shapeId="0">
      <text>
        <r>
          <rPr>
            <sz val="10"/>
            <color rgb="FF000000"/>
            <rFont val="Tahoma"/>
            <family val="2"/>
          </rPr>
          <t xml:space="preserve">avg of 2019 trades
</t>
        </r>
      </text>
    </comment>
  </commentList>
</comments>
</file>

<file path=xl/comments3.xml><?xml version="1.0" encoding="utf-8"?>
<comments xmlns="http://schemas.openxmlformats.org/spreadsheetml/2006/main">
  <authors>
    <author>Bill Dalton</author>
  </authors>
  <commentList>
    <comment ref="O10" authorId="0" shapeId="0">
      <text>
        <r>
          <rPr>
            <b/>
            <sz val="9"/>
            <color indexed="81"/>
            <rFont val="Verdana"/>
            <family val="2"/>
          </rPr>
          <t>Bill Dalton:</t>
        </r>
        <r>
          <rPr>
            <sz val="9"/>
            <color indexed="81"/>
            <rFont val="Verdana"/>
            <family val="2"/>
          </rPr>
          <t xml:space="preserve">
based on Chalco RMB 260 mln for a 12 yr service life dam taking 2.0 mln tpa dry mud and Coal Mine Alumina pipeline of 120 Mln for 5 mln t of dry mud pa over 13 km over 10 years + some running and mtce costs
</t>
        </r>
      </text>
    </comment>
    <comment ref="O11" authorId="0" shapeId="0">
      <text>
        <r>
          <rPr>
            <b/>
            <sz val="9"/>
            <color indexed="81"/>
            <rFont val="Verdana"/>
            <family val="2"/>
          </rPr>
          <t>Bill Dalton:</t>
        </r>
        <r>
          <rPr>
            <sz val="9"/>
            <color indexed="81"/>
            <rFont val="Verdana"/>
            <family val="2"/>
          </rPr>
          <t xml:space="preserve">
based on Chalco RMB 260 mln for a 12 yr service life dam taking 2.0 mln tpa dry mud and Coal Mine Alumina pipeline of 120 Mln for 5 mln t of dry mud pa over 13 km over 10 years + some running and mtce costs
</t>
        </r>
      </text>
    </comment>
  </commentList>
</comments>
</file>

<file path=xl/comments4.xml><?xml version="1.0" encoding="utf-8"?>
<comments xmlns="http://schemas.openxmlformats.org/spreadsheetml/2006/main">
  <authors>
    <author>Bill Dalton</author>
  </authors>
  <commentList>
    <comment ref="F3" authorId="0" shapeId="0">
      <text>
        <r>
          <rPr>
            <sz val="10"/>
            <color rgb="FF000000"/>
            <rFont val="Tahoma"/>
            <family val="2"/>
          </rPr>
          <t>avg of 380 / 180nwhere popssible, else either or 180 / 380</t>
        </r>
      </text>
    </comment>
  </commentList>
</comments>
</file>

<file path=xl/comments5.xml><?xml version="1.0" encoding="utf-8"?>
<comments xmlns="http://schemas.openxmlformats.org/spreadsheetml/2006/main">
  <authors>
    <author>Bill Dalton</author>
  </authors>
  <commentList>
    <comment ref="E169" authorId="0" shapeId="0">
      <text>
        <r>
          <rPr>
            <b/>
            <sz val="9"/>
            <color indexed="81"/>
            <rFont val="Verdana"/>
            <family val="2"/>
          </rPr>
          <t>Bill Dalton:</t>
        </r>
        <r>
          <rPr>
            <sz val="9"/>
            <color indexed="81"/>
            <rFont val="Verdana"/>
            <family val="2"/>
          </rPr>
          <t xml:space="preserve">
http://www.oanda.com/currency/historical-rates/</t>
        </r>
      </text>
    </comment>
    <comment ref="E449" authorId="0" shapeId="0">
      <text>
        <r>
          <rPr>
            <b/>
            <sz val="10"/>
            <color rgb="FF000000"/>
            <rFont val="Tahoma"/>
            <family val="2"/>
          </rPr>
          <t>ex CMAAX data Cihang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449" authorId="0" shapeId="0">
      <text>
        <r>
          <rPr>
            <b/>
            <sz val="10"/>
            <color rgb="FF000000"/>
            <rFont val="Tahoma"/>
            <family val="2"/>
          </rPr>
          <t>Reserve Bank Australia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454" authorId="0" shapeId="0">
      <text>
        <r>
          <rPr>
            <b/>
            <sz val="10"/>
            <color rgb="FF000000"/>
            <rFont val="Tahoma"/>
            <family val="2"/>
          </rPr>
          <t>Bill Dalton: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Bank of International Settlements</t>
        </r>
      </text>
    </comment>
    <comment ref="E455" authorId="0" shapeId="0">
      <text>
        <r>
          <rPr>
            <b/>
            <sz val="10"/>
            <color rgb="FF000000"/>
            <rFont val="Tahoma"/>
            <family val="2"/>
          </rPr>
          <t>Bill Dalton: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Bank of International Settlements</t>
        </r>
      </text>
    </comment>
    <comment ref="F455" authorId="0" shapeId="0">
      <text>
        <r>
          <rPr>
            <b/>
            <sz val="10"/>
            <color rgb="FF000000"/>
            <rFont val="Tahoma"/>
            <family val="2"/>
          </rPr>
          <t>Bill Dalton: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Bank of International Settlements</t>
        </r>
      </text>
    </comment>
    <comment ref="F456" authorId="0" shapeId="0">
      <text>
        <r>
          <rPr>
            <b/>
            <sz val="10"/>
            <color rgb="FF000000"/>
            <rFont val="Tahoma"/>
            <family val="2"/>
          </rPr>
          <t>Bill Dalton: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Bank of International Settlements</t>
        </r>
      </text>
    </comment>
    <comment ref="F457" authorId="0" shapeId="0">
      <text>
        <r>
          <rPr>
            <b/>
            <sz val="10"/>
            <color rgb="FF000000"/>
            <rFont val="Tahoma"/>
            <family val="2"/>
          </rPr>
          <t>Bill Dalton: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Google</t>
        </r>
      </text>
    </comment>
  </commentList>
</comments>
</file>

<file path=xl/sharedStrings.xml><?xml version="1.0" encoding="utf-8"?>
<sst xmlns="http://schemas.openxmlformats.org/spreadsheetml/2006/main" count="12477" uniqueCount="1441">
  <si>
    <t>Date</t>
  </si>
  <si>
    <t>Mine</t>
  </si>
  <si>
    <t>Price Type</t>
  </si>
  <si>
    <t>Price Basis</t>
  </si>
  <si>
    <t>CIF</t>
  </si>
  <si>
    <t>dmt</t>
  </si>
  <si>
    <t>wmt</t>
  </si>
  <si>
    <t>date data received</t>
  </si>
  <si>
    <t>Total Alumina</t>
  </si>
  <si>
    <t>LT Avail. Alumina</t>
  </si>
  <si>
    <t>Total Silica</t>
  </si>
  <si>
    <t xml:space="preserve">LT R.Silica </t>
  </si>
  <si>
    <t>%</t>
  </si>
  <si>
    <t>US$/t</t>
  </si>
  <si>
    <t>-</t>
  </si>
  <si>
    <t>e.g. whomever</t>
  </si>
  <si>
    <t>Moisture</t>
  </si>
  <si>
    <t>Processing</t>
  </si>
  <si>
    <t>LT, HT-B,
HT-D</t>
  </si>
  <si>
    <t>e.g. Bel Air, Weipa, CBG, Bauxite Hills etc</t>
  </si>
  <si>
    <t>somebody</t>
  </si>
  <si>
    <t>Spare</t>
  </si>
  <si>
    <t>HT-D, HT-B, LT</t>
  </si>
  <si>
    <t>Tonnage
typical vessel</t>
  </si>
  <si>
    <t>dwt</t>
  </si>
  <si>
    <t>knots</t>
  </si>
  <si>
    <t>wmt/day</t>
  </si>
  <si>
    <t>spare</t>
  </si>
  <si>
    <t>Exporting Port</t>
  </si>
  <si>
    <t>name</t>
  </si>
  <si>
    <t>LT</t>
  </si>
  <si>
    <t>Mono-hydrate / HT Alumina</t>
  </si>
  <si>
    <t>Quartz / HT Silica</t>
  </si>
  <si>
    <t>Panamax loading rates</t>
  </si>
  <si>
    <t>Capesize loading rates</t>
  </si>
  <si>
    <t>SMB Generic</t>
  </si>
  <si>
    <t>Alufer Bel Air</t>
  </si>
  <si>
    <t>CBG LT</t>
  </si>
  <si>
    <t>GAC Generic</t>
  </si>
  <si>
    <t>*</t>
  </si>
  <si>
    <t>Using Modifing equations for Mine Spec (to account for missing values in raw data)</t>
  </si>
  <si>
    <t>Key</t>
  </si>
  <si>
    <t>Column</t>
  </si>
  <si>
    <t>RMB</t>
  </si>
  <si>
    <t>US$</t>
  </si>
  <si>
    <t>FX rate</t>
    <phoneticPr fontId="14" type="noConversion"/>
  </si>
  <si>
    <t>Date</t>
    <phoneticPr fontId="14" type="noConversion"/>
  </si>
  <si>
    <t>RMB per US$</t>
  </si>
  <si>
    <t>AU$ per US$</t>
  </si>
  <si>
    <t>US$ per US$</t>
  </si>
  <si>
    <t>*</t>
    <phoneticPr fontId="14" type="noConversion"/>
  </si>
  <si>
    <t>Update weekly</t>
  </si>
  <si>
    <t>*</t>
    <phoneticPr fontId="0" type="noConversion"/>
  </si>
  <si>
    <t>record no.</t>
    <phoneticPr fontId="0" type="noConversion"/>
  </si>
  <si>
    <t>bunkerworld</t>
  </si>
  <si>
    <t>record no.</t>
  </si>
  <si>
    <t>US$/day</t>
  </si>
  <si>
    <t>Handysize</t>
  </si>
  <si>
    <t>Panamax</t>
  </si>
  <si>
    <t>Capesize</t>
  </si>
  <si>
    <t>Price
(RMB/t)
(exc VAT)</t>
  </si>
  <si>
    <t>Energy value
(kcal/kg)</t>
  </si>
  <si>
    <t>Grade</t>
    <phoneticPr fontId="14" type="noConversion"/>
  </si>
  <si>
    <t>Price
(RMB/t)</t>
  </si>
  <si>
    <t>Price
(RMB/t.mud dry)</t>
  </si>
  <si>
    <t>Lignitious Coal - Shandong (del. excl. VAT)</t>
  </si>
  <si>
    <t>Caustic Soda - Shandong (del. excl. VAT)</t>
  </si>
  <si>
    <t>Lime - Shandong (del. excl. VAT)</t>
  </si>
  <si>
    <t>Mud disposal cost (excl. VAT)</t>
  </si>
  <si>
    <t>kcal per GJ</t>
    <phoneticPr fontId="14" type="noConversion"/>
  </si>
  <si>
    <t>-</t>
    <phoneticPr fontId="0" type="noConversion"/>
  </si>
  <si>
    <t>conversion kt to t</t>
    <phoneticPr fontId="0" type="noConversion"/>
  </si>
  <si>
    <t>hours per day</t>
    <phoneticPr fontId="0" type="noConversion"/>
  </si>
  <si>
    <t>legs per round trip</t>
    <phoneticPr fontId="0" type="noConversion"/>
  </si>
  <si>
    <t>shipping profit rate</t>
  </si>
  <si>
    <t>Extraction Efficiency %</t>
    <phoneticPr fontId="14" type="noConversion"/>
  </si>
  <si>
    <t>Caustic wash loss (t.NaOH/t.aa)</t>
    <phoneticPr fontId="14" type="noConversion"/>
  </si>
  <si>
    <t>HT-D</t>
  </si>
  <si>
    <t>HT-B</t>
  </si>
  <si>
    <t>Kaolinite (Al2O3.2SiO2.2H20) - Al2O3:SiO2 ratio</t>
  </si>
  <si>
    <t>Alumina mol weight</t>
  </si>
  <si>
    <t>Silica Mol Wt</t>
  </si>
  <si>
    <t>Reactive Alumina</t>
  </si>
  <si>
    <t>DSP Al2O3:SiO2 (wt/wt)</t>
  </si>
  <si>
    <t>DSP NaOH:SiO2 (wt/wt)</t>
  </si>
  <si>
    <t>Lig Coal (GJ/t)</t>
  </si>
  <si>
    <t>Reactive Silica</t>
  </si>
  <si>
    <t>Quartz Attack</t>
  </si>
  <si>
    <t>Indonesian LT</t>
  </si>
  <si>
    <t>CBIX LT</t>
  </si>
  <si>
    <t>CBIX HT</t>
  </si>
  <si>
    <t>Australia HT</t>
  </si>
  <si>
    <t>Guinea 45/3 LT</t>
  </si>
  <si>
    <t>Guinea 45/3 LT, Australia HT, Indonesia LT</t>
  </si>
  <si>
    <t>Vessel dwt</t>
  </si>
  <si>
    <t>Qingdao</t>
  </si>
  <si>
    <t>Yantai</t>
  </si>
  <si>
    <t>RMB/NRT</t>
  </si>
  <si>
    <t>RMB/GRT</t>
  </si>
  <si>
    <t>RMB/LOA</t>
  </si>
  <si>
    <t>Max % of vessel deadweight allowed for loading</t>
  </si>
  <si>
    <t>date</t>
  </si>
  <si>
    <t>index name</t>
  </si>
  <si>
    <t>DWT
typical vessel</t>
  </si>
  <si>
    <t>m tonnes</t>
  </si>
  <si>
    <t>DWT&lt; tonnes</t>
  </si>
  <si>
    <t>Panamax, Cape etc</t>
  </si>
  <si>
    <t>Class</t>
  </si>
  <si>
    <t>VLOC</t>
  </si>
  <si>
    <t>Estimated LOA (length over all) (m)</t>
  </si>
  <si>
    <t>Estimated NRT (net register tons)</t>
  </si>
  <si>
    <t>Estimated GRT (gross register tons)</t>
  </si>
  <si>
    <t>(m)</t>
  </si>
  <si>
    <t>net register tons</t>
  </si>
  <si>
    <t>gross register tons</t>
  </si>
  <si>
    <t>LOA estimate correlation multiplier</t>
  </si>
  <si>
    <t>LOA estimate correlation constant</t>
  </si>
  <si>
    <t>NRT estimate correlation multiplier</t>
  </si>
  <si>
    <t>NRT estimate correlation constant</t>
  </si>
  <si>
    <t>GRT estimate correlation multiplier</t>
  </si>
  <si>
    <t>GRT estimate correlation constant</t>
  </si>
  <si>
    <t>Canal</t>
  </si>
  <si>
    <t>Suez</t>
  </si>
  <si>
    <t>MDO / MGO burn rate</t>
  </si>
  <si>
    <t>tpd</t>
  </si>
  <si>
    <t>kn</t>
  </si>
  <si>
    <t>Days Loading</t>
  </si>
  <si>
    <t>Days unloading</t>
  </si>
  <si>
    <t>days</t>
  </si>
  <si>
    <t>Vessel Un-Loading rate</t>
  </si>
  <si>
    <t>Vessel Loading rate</t>
  </si>
  <si>
    <t>Minimum Lay days allowed</t>
  </si>
  <si>
    <t>Minimum Lay days allowed as % of sailing time</t>
  </si>
  <si>
    <t>Lay days allowance (50% each port)</t>
  </si>
  <si>
    <t>Lay allowance Loading port</t>
  </si>
  <si>
    <t>RMB/T_Cargo (wet)</t>
  </si>
  <si>
    <t>RMB/T_Cargo (wet)/day berthed</t>
  </si>
  <si>
    <t>RMB/T_Cargo (wet)/day anchored</t>
  </si>
  <si>
    <t>RMB Fixed fee</t>
  </si>
  <si>
    <t>RMB per day berthed</t>
  </si>
  <si>
    <t>RMB per day anchored</t>
  </si>
  <si>
    <t>RMB/NRT/day berthed</t>
  </si>
  <si>
    <t>RMB/NRT/day anchored</t>
  </si>
  <si>
    <t>RMB/GRT/day berthed</t>
  </si>
  <si>
    <t>RMB/GRT/day anchored</t>
  </si>
  <si>
    <t>RMB/LOA/day berthed</t>
  </si>
  <si>
    <t>RMB/LOA/day anchored</t>
  </si>
  <si>
    <t>Canal Costs</t>
  </si>
  <si>
    <t>Unloading rate Panamax</t>
  </si>
  <si>
    <t>Unloading rate Capesize</t>
  </si>
  <si>
    <t>Unloading rate VLOC</t>
  </si>
  <si>
    <t>Extra time tie up + untie at each port</t>
  </si>
  <si>
    <t>Next</t>
  </si>
  <si>
    <t>Time Charter Rate</t>
  </si>
  <si>
    <t>Time Charter Cost</t>
  </si>
  <si>
    <t>Weipa</t>
  </si>
  <si>
    <t>West Kalimantan Generic</t>
  </si>
  <si>
    <t>Specific Index</t>
  </si>
  <si>
    <t>General Index</t>
  </si>
  <si>
    <t>CBIX LT, CBIX HT</t>
  </si>
  <si>
    <t>Mono-hydrate / HT Extble Alumina</t>
  </si>
  <si>
    <t>US$/dmt</t>
  </si>
  <si>
    <t>Port</t>
  </si>
  <si>
    <t>index</t>
  </si>
  <si>
    <t>Intentionally blank - insert new rows above this line</t>
  </si>
  <si>
    <t>Weipa/Amrun Generic</t>
  </si>
  <si>
    <t>Mine / Index</t>
  </si>
  <si>
    <t>Longkou</t>
  </si>
  <si>
    <t>Liaocheng</t>
  </si>
  <si>
    <t>Binzhou</t>
  </si>
  <si>
    <t>Lianyungang</t>
  </si>
  <si>
    <t>Zibo</t>
  </si>
  <si>
    <t>Jingjiang</t>
  </si>
  <si>
    <t>Zhoushan</t>
  </si>
  <si>
    <t>Caofeidian</t>
  </si>
  <si>
    <t>Rizhao</t>
  </si>
  <si>
    <t>Fangchenggang</t>
  </si>
  <si>
    <t>Shijiazhuang</t>
  </si>
  <si>
    <t>Weipa_Amrun_Wharf</t>
  </si>
  <si>
    <t>Canals used</t>
  </si>
  <si>
    <t>Panamar</t>
  </si>
  <si>
    <t>tonnes (on same basis as price (wmt/dmt))</t>
  </si>
  <si>
    <t>Nominal Mines Data (do not alter any information in this section - do this in the "Final Specifications" section)</t>
  </si>
  <si>
    <t>Cargo Tonnage</t>
  </si>
  <si>
    <t>Importing Port</t>
  </si>
  <si>
    <t>CFR</t>
  </si>
  <si>
    <t>Comment</t>
  </si>
  <si>
    <t>Price FOB</t>
  </si>
  <si>
    <t>Final Specification used for trade (hard code any values changed from suggested and green fill these cells)</t>
  </si>
  <si>
    <t>Global Factors</t>
  </si>
  <si>
    <t>none</t>
  </si>
  <si>
    <t>SMB-WAP_Nunez_Offshore</t>
  </si>
  <si>
    <t>West_Kal_Generic_Offshore</t>
  </si>
  <si>
    <t>Alufer_Cape_Verga_Offshore</t>
  </si>
  <si>
    <r>
      <t xml:space="preserve">Tonnage
</t>
    </r>
    <r>
      <rPr>
        <sz val="12"/>
        <color theme="1"/>
        <rFont val="Calibri"/>
        <family val="2"/>
        <scheme val="minor"/>
      </rPr>
      <t>(leave blank to invoke default)</t>
    </r>
  </si>
  <si>
    <r>
      <t>Trade Details Reported to CM (don't change any of the reported details here … make changes in the "Final Specification" section) …</t>
    </r>
    <r>
      <rPr>
        <b/>
        <sz val="12"/>
        <color rgb="FFFFFF00"/>
        <rFont val="Calibri (Body)"/>
      </rPr>
      <t>* Data is essential - other fields can be left blank</t>
    </r>
  </si>
  <si>
    <t>CBG_Wharf</t>
  </si>
  <si>
    <t>GAC_Offshore</t>
  </si>
  <si>
    <t>tonnes</t>
  </si>
  <si>
    <t>knots
1-way</t>
  </si>
  <si>
    <r>
      <t xml:space="preserve">Typical Mine
</t>
    </r>
    <r>
      <rPr>
        <sz val="12"/>
        <color theme="1" tint="0.34998626667073579"/>
        <rFont val="Calibri"/>
        <family val="2"/>
        <scheme val="minor"/>
      </rPr>
      <t>(for Refence only - don’t use this as an input or change etc)</t>
    </r>
  </si>
  <si>
    <t>Port Linakges</t>
  </si>
  <si>
    <r>
      <t>Date</t>
    </r>
    <r>
      <rPr>
        <b/>
        <sz val="12"/>
        <color rgb="FFFFFF00"/>
        <rFont val="Calibri (Body)"/>
      </rPr>
      <t>*</t>
    </r>
  </si>
  <si>
    <r>
      <t>Price</t>
    </r>
    <r>
      <rPr>
        <b/>
        <sz val="12"/>
        <color rgb="FFFFFF00"/>
        <rFont val="Calibri (Body)"/>
      </rPr>
      <t>*</t>
    </r>
  </si>
  <si>
    <r>
      <t>Price Type</t>
    </r>
    <r>
      <rPr>
        <b/>
        <sz val="12"/>
        <color rgb="FFFFFF00"/>
        <rFont val="Calibri (Body)"/>
      </rPr>
      <t>*</t>
    </r>
  </si>
  <si>
    <r>
      <t>Price Basis</t>
    </r>
    <r>
      <rPr>
        <b/>
        <sz val="12"/>
        <color rgb="FFFFFF00"/>
        <rFont val="Calibri (Body)"/>
      </rPr>
      <t>*</t>
    </r>
  </si>
  <si>
    <t>VLOC loading rates</t>
  </si>
  <si>
    <t>Importing Port Details</t>
  </si>
  <si>
    <t>Unloading rate Handysize</t>
  </si>
  <si>
    <t>SDR</t>
  </si>
  <si>
    <t>Suezmax</t>
  </si>
  <si>
    <t>NeoPanamar</t>
  </si>
  <si>
    <t>Unloading rate Suezmax</t>
  </si>
  <si>
    <t>Unloading rate NeoPanamax</t>
  </si>
  <si>
    <t>NeoPanamax</t>
  </si>
  <si>
    <t>Suezmax loading rate</t>
  </si>
  <si>
    <t>NeoPanamax loading rate</t>
  </si>
  <si>
    <t>Canals details</t>
  </si>
  <si>
    <t>Tonnage Reference</t>
  </si>
  <si>
    <t>1st</t>
  </si>
  <si>
    <t>DWT</t>
  </si>
  <si>
    <t>rem</t>
  </si>
  <si>
    <t>Currency</t>
  </si>
  <si>
    <t>NRT</t>
  </si>
  <si>
    <t>AUD</t>
  </si>
  <si>
    <t>USD</t>
  </si>
  <si>
    <t>IMF Special Drawing Rights to US Dollar
(SDR or XDR) per US$</t>
  </si>
  <si>
    <t>Insert new rows above this line</t>
  </si>
  <si>
    <t>Capacity Tarrif Graduations (avg of laden and ballast) (tonnes per Tonnage Reference) (1,000,000 used at end as catch all)</t>
  </si>
  <si>
    <t>Cargo Tarrif Graduations (tonnes per Tonnage Reference) (1,000,000 used at end as catch all)</t>
  </si>
  <si>
    <t>Capacity Tarrifs (avg of laden and ballast)   ("Currency"/"Tonnage Reference")</t>
  </si>
  <si>
    <t>Cargo Tarrifs  ("Currency"/"Tonnage Reference")</t>
  </si>
  <si>
    <t>Capacity Tarrif Graduations (avg of laden and ballast) (tonnes per Tonnage Reference) (1,000,000 + used at end as catch all)</t>
  </si>
  <si>
    <t>Cargo Tarrif Graduations (tonnes per Tonnage Reference) (1,000,000 + used at end as catch all)</t>
  </si>
  <si>
    <t>Days delay</t>
  </si>
  <si>
    <t>days each way</t>
  </si>
  <si>
    <t>code</t>
  </si>
  <si>
    <t>Exporting Port Details - Loading rate</t>
  </si>
  <si>
    <t>| Exporting Ports --&gt;</t>
  </si>
  <si>
    <t>| Mines / Indicies --&gt;</t>
  </si>
  <si>
    <t>Extra Days due to Canal use</t>
  </si>
  <si>
    <t>P3A_03</t>
  </si>
  <si>
    <t>C10_14</t>
  </si>
  <si>
    <t>S2_58</t>
  </si>
  <si>
    <t>Applicable Time Charter Index</t>
  </si>
  <si>
    <t>Applicable Fuel Region</t>
  </si>
  <si>
    <r>
      <rPr>
        <sz val="12"/>
        <color theme="1"/>
        <rFont val="Calibri (Body)"/>
      </rPr>
      <t xml:space="preserve">data </t>
    </r>
    <r>
      <rPr>
        <sz val="12"/>
        <color rgb="FFFF0000"/>
        <rFont val="Calibri (Body)"/>
      </rPr>
      <t>must</t>
    </r>
    <r>
      <rPr>
        <sz val="12"/>
        <color theme="1"/>
        <rFont val="Calibri"/>
        <family val="2"/>
        <scheme val="minor"/>
      </rPr>
      <t xml:space="preserve"> be sorted: the earlier the date, the lower the row number</t>
    </r>
  </si>
  <si>
    <t>Fuel Zones / Regions</t>
  </si>
  <si>
    <t>Singapore</t>
  </si>
  <si>
    <t>Rotterdam</t>
  </si>
  <si>
    <t>Zone/Region</t>
  </si>
  <si>
    <t>Vesssel class</t>
  </si>
  <si>
    <t>VLOC_General</t>
  </si>
  <si>
    <t>Capesize_General</t>
  </si>
  <si>
    <t>Panamax_General</t>
  </si>
  <si>
    <t>Supramax</t>
  </si>
  <si>
    <t>Supramax loading rates</t>
  </si>
  <si>
    <t>Unloading rate Supramax</t>
  </si>
  <si>
    <t>Supramax_General</t>
  </si>
  <si>
    <t>Handysize_General</t>
  </si>
  <si>
    <t>Error message</t>
  </si>
  <si>
    <t>Vessel Cruising speed</t>
  </si>
  <si>
    <t>Update once a month</t>
  </si>
  <si>
    <t>Main Fuel</t>
  </si>
  <si>
    <t>VLSFO</t>
  </si>
  <si>
    <t>MGO_Low_Sulph</t>
  </si>
  <si>
    <t>MGO_Regular</t>
  </si>
  <si>
    <t>Allowable Time Charter Indicies</t>
  </si>
  <si>
    <t>(update only when needed)</t>
  </si>
  <si>
    <t>update every quarter</t>
  </si>
  <si>
    <t>update as required</t>
  </si>
  <si>
    <t>Vessel Time Charter Rates</t>
  </si>
  <si>
    <t>Insert new rows above the last blank line in each category and insert new index</t>
  </si>
  <si>
    <r>
      <t xml:space="preserve">This vessel classification is for Canals Passage </t>
    </r>
    <r>
      <rPr>
        <b/>
        <u/>
        <sz val="12"/>
        <color rgb="FFFF0000"/>
        <rFont val="Calibri (Body)"/>
      </rPr>
      <t>only</t>
    </r>
    <r>
      <rPr>
        <b/>
        <sz val="12"/>
        <color rgb="FFFF0000"/>
        <rFont val="Calibri"/>
        <family val="2"/>
        <scheme val="minor"/>
      </rPr>
      <t xml:space="preserve"> … they are not the standard definitions!</t>
    </r>
  </si>
  <si>
    <t>Vessel Classes: Generally accepted (data validation list)</t>
  </si>
  <si>
    <t>Update Time Charter Rates, below, once a week</t>
  </si>
  <si>
    <t>don't change these 5 classes</t>
  </si>
  <si>
    <t>update main table, below, as required</t>
  </si>
  <si>
    <t>Main Engine Fuel</t>
  </si>
  <si>
    <t>Auxiliary Fuel</t>
  </si>
  <si>
    <t>HSFO</t>
  </si>
  <si>
    <t>Fuel Types</t>
  </si>
  <si>
    <t>Distance using Main Engine Fuel</t>
  </si>
  <si>
    <t>Distance using Auxiliary Fuel</t>
  </si>
  <si>
    <t>Fuel Region</t>
  </si>
  <si>
    <t>MDO/MGO Regular</t>
  </si>
  <si>
    <t>MDO/MGO Low Sulphur</t>
  </si>
  <si>
    <t>HSFO
(180 / 380)</t>
  </si>
  <si>
    <t>LNG</t>
  </si>
  <si>
    <t>New Tables</t>
  </si>
  <si>
    <t>EXPLANITORY NOTES RECORD
(on changes made to final spec etc)</t>
  </si>
  <si>
    <t>Price CIF
(Port adjustyed to Qingdao)</t>
  </si>
  <si>
    <t>Vessel Speed</t>
  </si>
  <si>
    <t>update/check data below once a quarter</t>
  </si>
  <si>
    <t>First Leg</t>
  </si>
  <si>
    <t>Yes / No</t>
  </si>
  <si>
    <t>MRN</t>
  </si>
  <si>
    <t>Juruti</t>
  </si>
  <si>
    <t>MRN_wharf</t>
  </si>
  <si>
    <t>Juruti_wharf</t>
  </si>
  <si>
    <t>Double Leg Shipping?
(South America special transload leg)</t>
  </si>
  <si>
    <t>Special 2 Leg Shipping Table</t>
  </si>
  <si>
    <t>Pt_Lisas</t>
  </si>
  <si>
    <t>second port (transloading)</t>
  </si>
  <si>
    <t>MRN/Juruti max cargo single leg shipping</t>
  </si>
  <si>
    <r>
      <t xml:space="preserve">Exporting Port
</t>
    </r>
    <r>
      <rPr>
        <sz val="12"/>
        <rFont val="Calibri"/>
        <family val="2"/>
        <scheme val="minor"/>
      </rPr>
      <t>(must be the physical port where first loaded)
(leave blank to invoke default)</t>
    </r>
  </si>
  <si>
    <r>
      <t xml:space="preserve">Importing Port
</t>
    </r>
    <r>
      <rPr>
        <sz val="12"/>
        <color theme="1"/>
        <rFont val="Calibri"/>
        <family val="2"/>
        <scheme val="minor"/>
      </rPr>
      <t>(must be the physical port where unloaded)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(leave blank to invoke default)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(don't worry if port appears twice - just pick correct name)</t>
    </r>
  </si>
  <si>
    <r>
      <t>Mine</t>
    </r>
    <r>
      <rPr>
        <b/>
        <sz val="12"/>
        <color rgb="FFFFFF00"/>
        <rFont val="Calibri (Body)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(don't worry if mine appears twice - just pick correct name)</t>
    </r>
  </si>
  <si>
    <t>Freight calcualtions - Actual port - first leg</t>
  </si>
  <si>
    <t>South america special transloading cargo tonnage</t>
  </si>
  <si>
    <t>Note - if going to Europe for instance ther eis substancial distance to travekl on Auxiliary fuel (&lt;0.1% sulphur)</t>
  </si>
  <si>
    <t>MDO/MGO burn vessel DWT denominator</t>
  </si>
  <si>
    <t>MDO/MGO burn vessel DWT slope</t>
  </si>
  <si>
    <t>MDO/MGO burn vessel DWT constant</t>
  </si>
  <si>
    <t>| - Freight fators --&gt;</t>
  </si>
  <si>
    <t>Main Engine Fuel burn rate</t>
  </si>
  <si>
    <t>Round trip distance Main fuel</t>
  </si>
  <si>
    <t>Main engine burn vessel DWT denominator</t>
  </si>
  <si>
    <t>Main engine burn vessel DWT exponent</t>
  </si>
  <si>
    <t>Main engine burn speed linear coefficient</t>
  </si>
  <si>
    <t>Main engine burn speed ^2 coefficient</t>
  </si>
  <si>
    <t>Main engine burn speed ^3 coefficient</t>
  </si>
  <si>
    <t>Main engine burn overall correction factor</t>
  </si>
  <si>
    <t>Round Trip Distance on Auxiliary fuel</t>
  </si>
  <si>
    <t>Days at Avg Speed Main Fuel</t>
  </si>
  <si>
    <t>Days at Avg Speed Auxiliary Fuel</t>
  </si>
  <si>
    <t>Main Fuel HFO / VLSFO Fuel Price</t>
  </si>
  <si>
    <t>Auxiliary Fuel (MDO / MGO / LNG) Price</t>
  </si>
  <si>
    <t>Fuel Prices</t>
  </si>
  <si>
    <r>
      <t xml:space="preserve">Vessel Class
</t>
    </r>
    <r>
      <rPr>
        <i/>
        <sz val="12"/>
        <color rgb="FFFFFF00"/>
        <rFont val="Calibri (Body)"/>
      </rPr>
      <t>for timecharter &amp; fuel</t>
    </r>
    <r>
      <rPr>
        <i/>
        <sz val="12"/>
        <color rgb="FFFFFF00"/>
        <rFont val="Calibri"/>
        <family val="2"/>
        <scheme val="minor"/>
      </rPr>
      <t xml:space="preserve"> burn rates</t>
    </r>
  </si>
  <si>
    <r>
      <t xml:space="preserve">Vessel Class
</t>
    </r>
    <r>
      <rPr>
        <i/>
        <sz val="12"/>
        <color rgb="FFFFFF00"/>
        <rFont val="Calibri (Body)"/>
      </rPr>
      <t>for distance, canals, loading and unloading rates</t>
    </r>
    <r>
      <rPr>
        <i/>
        <sz val="12"/>
        <color rgb="FFFFFF00"/>
        <rFont val="Calibri"/>
        <family val="2"/>
        <scheme val="minor"/>
      </rPr>
      <t>, fuel prices</t>
    </r>
  </si>
  <si>
    <t>used n lookup =&gt;</t>
  </si>
  <si>
    <t>Auxiliary Fuel Cost</t>
  </si>
  <si>
    <t>Main Fuel Cost</t>
  </si>
  <si>
    <t>Fixed fee</t>
  </si>
  <si>
    <t>FX rate per USD</t>
  </si>
  <si>
    <t>FX rates</t>
  </si>
  <si>
    <t>Berthing Charge</t>
  </si>
  <si>
    <t>Anchorage Charge</t>
  </si>
  <si>
    <t>Per T_Cargo (wet) Charge</t>
  </si>
  <si>
    <t>Canals costs workings</t>
  </si>
  <si>
    <t>Amount per Capacity Tarrif Graduations</t>
  </si>
  <si>
    <t>Amounts per Cargo Tarrif Graduations</t>
  </si>
  <si>
    <t>Final costing up for Leg</t>
  </si>
  <si>
    <t>Leg 2</t>
  </si>
  <si>
    <t>Freight calcualtions - Actual port - second leg</t>
  </si>
  <si>
    <t>Qingdao Freight</t>
  </si>
  <si>
    <t>Freight (adjusted to Qingdao)</t>
  </si>
  <si>
    <t>Reference Port</t>
  </si>
  <si>
    <t>Freight calcualtions - Qingdao - first leg</t>
  </si>
  <si>
    <t>Freight calcualtions - Qingdao - second leg</t>
  </si>
  <si>
    <t>Actual Port Freight</t>
  </si>
  <si>
    <t>Freight Insurance Rate</t>
  </si>
  <si>
    <t>Freight Differential</t>
  </si>
  <si>
    <t>US$/dmt CIF</t>
  </si>
  <si>
    <t>US$/dmt incl. Insurance</t>
  </si>
  <si>
    <t>dmt
(should be total cargo / whole number to ~50,000t increments)</t>
  </si>
  <si>
    <t>Typical River Capable Cargo (dmt)</t>
  </si>
  <si>
    <t>Processing Factor Table</t>
  </si>
  <si>
    <t>spare 1</t>
  </si>
  <si>
    <t>Bauxite at hand cost to alumina</t>
  </si>
  <si>
    <t>Specific Index ViU calculation</t>
  </si>
  <si>
    <t>General Index ViU calculation</t>
  </si>
  <si>
    <t>Energy Price</t>
  </si>
  <si>
    <t>Caustic Price</t>
  </si>
  <si>
    <t>Lime Price</t>
  </si>
  <si>
    <t>Mud Disposal Cost</t>
  </si>
  <si>
    <t>US$/GJ</t>
  </si>
  <si>
    <t>US$/t pure NaOH</t>
  </si>
  <si>
    <t>US$/dmt mud</t>
  </si>
  <si>
    <t>US$/t Lime</t>
  </si>
  <si>
    <t>China input prices</t>
  </si>
  <si>
    <t>Price</t>
  </si>
  <si>
    <t>China processing factors</t>
  </si>
  <si>
    <t>Processing Regime</t>
  </si>
  <si>
    <t>Lime rate (wt/wt_AA)</t>
  </si>
  <si>
    <t>Extraction Efficiency %</t>
  </si>
  <si>
    <t>Caustic wash loss (t.NaOH/t.aa)</t>
  </si>
  <si>
    <t>GJ/t</t>
  </si>
  <si>
    <t>HT Alumina Dissolution</t>
  </si>
  <si>
    <t>Available Alumina</t>
  </si>
  <si>
    <t>Tonnes per Tonne</t>
  </si>
  <si>
    <t>dmt Bx / dmt AA</t>
  </si>
  <si>
    <t>US$/t AA</t>
  </si>
  <si>
    <t>Bauxite Details - input</t>
  </si>
  <si>
    <t>Caustic Use t.NAOH / t.AA</t>
  </si>
  <si>
    <t>t.NAOH / t.AA</t>
  </si>
  <si>
    <t>Caustic cost</t>
  </si>
  <si>
    <t>Thermal Energy Cost</t>
  </si>
  <si>
    <t>Lime Cost</t>
  </si>
  <si>
    <t>Alumina production cost calculations - excluding common elements</t>
  </si>
  <si>
    <t>Total Cost</t>
  </si>
  <si>
    <t>Mud make</t>
  </si>
  <si>
    <t>dmt_mud / t.AA</t>
  </si>
  <si>
    <t>Index Bauxite Details</t>
  </si>
  <si>
    <t>Calculated Index Price Equivalent</t>
  </si>
  <si>
    <t>US$/dmt_Bx CIF</t>
  </si>
  <si>
    <t>Processing Penalties</t>
  </si>
  <si>
    <t>US$/dmt_Bx landed China</t>
  </si>
  <si>
    <r>
      <t xml:space="preserve">Processing Penalties to be applied
</t>
    </r>
    <r>
      <rPr>
        <sz val="12"/>
        <color theme="1"/>
        <rFont val="Calibri"/>
        <family val="2"/>
        <scheme val="minor"/>
      </rPr>
      <t>(for organics, goehtite, impurities, crushing etc)</t>
    </r>
  </si>
  <si>
    <t>Bauxite Cost Incl. Processing Penalties</t>
  </si>
  <si>
    <t>Processing Penalties to be applied</t>
  </si>
  <si>
    <t>CM Data Source</t>
  </si>
  <si>
    <t>CBIX</t>
  </si>
  <si>
    <t>Old CBIX calculation</t>
  </si>
  <si>
    <t>Old CBIX type Calc</t>
  </si>
  <si>
    <t>for Old CBIX - Bauxite at hand cost to alumina</t>
  </si>
  <si>
    <t>INDEX VALUE
Guinea 45/3 LT</t>
  </si>
  <si>
    <t>INDEX VALUE
Indonesian LT</t>
  </si>
  <si>
    <t>INDEX VALUE
Australia HT</t>
  </si>
  <si>
    <t>Old CBIX</t>
  </si>
  <si>
    <t>CBIX OLD</t>
  </si>
  <si>
    <t>South America special transloading Port</t>
  </si>
  <si>
    <t>TRADE DETAILS</t>
  </si>
  <si>
    <t>FINAL SPECIFICATIONS TO ViU ADJUSTMENT</t>
  </si>
  <si>
    <t>RESULT OF ViU ADJUSTMENT</t>
  </si>
  <si>
    <t>WORKINGS FOR ViU ADJUSTMNET OF TRADE BAUXITE</t>
  </si>
  <si>
    <t>WORKINGS FOR ViU ADJUSTMNET OF SPECIFIC INDEX</t>
  </si>
  <si>
    <t>WORKINGS FOR ViU ADJUSTMNET OF GENERAL INDEX</t>
  </si>
  <si>
    <t>WORKINGS FOR ViU ADJUSTMNET OF OLD CBIX INDEX</t>
  </si>
  <si>
    <t>NOMINAL MINE / INDEX SPECIFATIONS</t>
  </si>
  <si>
    <t>COMMON DATA INPUTS</t>
  </si>
  <si>
    <t>FREIGHT CALCULATIONS TO ACTUAL NOMINATED PORT</t>
  </si>
  <si>
    <t>FREIGHT CALCULATIONS TO QINGDAO (THE REFERENCE PORT USED FOR ALL THE INDEX CALCULATIONS)</t>
  </si>
  <si>
    <t>FINAL FREIGHT VALUES</t>
  </si>
  <si>
    <t>THE END</t>
  </si>
  <si>
    <t>Template Line - do not corrupt</t>
  </si>
  <si>
    <t>MDO/MGO burn vessel DWT ^2 coefficient</t>
  </si>
  <si>
    <t>Main engine burn vessel DWT base slope</t>
  </si>
  <si>
    <t>Main engine burn vessel DWT base constant</t>
  </si>
  <si>
    <t>SMB</t>
  </si>
  <si>
    <t>W-Kalimantan</t>
  </si>
  <si>
    <t>Gove</t>
  </si>
  <si>
    <t>Bel Air</t>
  </si>
  <si>
    <t>C-Kalimantan</t>
  </si>
  <si>
    <t>CBG</t>
  </si>
  <si>
    <t>Kwinana</t>
  </si>
  <si>
    <t>Turkey</t>
  </si>
  <si>
    <t>Bauxite Hills</t>
  </si>
  <si>
    <t>Chalco Boffa</t>
  </si>
  <si>
    <t>Rennell Island</t>
  </si>
  <si>
    <t>Discovery Bay</t>
  </si>
  <si>
    <t>Feb Tonnage</t>
  </si>
  <si>
    <t>Central Kalimantan Generic</t>
  </si>
  <si>
    <t>Huntly</t>
  </si>
  <si>
    <t>Gove_wharf</t>
  </si>
  <si>
    <t>Kwinana_wharf</t>
  </si>
  <si>
    <t>Bauxite_Hills_offshore</t>
  </si>
  <si>
    <t>Rennell_Is._offshore</t>
  </si>
  <si>
    <t>Discovery_Bay_wharf</t>
  </si>
  <si>
    <t>Central_Kal_Generic_Offshore</t>
  </si>
  <si>
    <t>Chalco_Boffa_offshore</t>
  </si>
  <si>
    <t>suggested values of indices =&gt;</t>
  </si>
  <si>
    <t>Parag - don't know if you would want to code this section yet …. Yet to be decided</t>
  </si>
  <si>
    <t>Changed</t>
  </si>
  <si>
    <t>India Gujarat</t>
  </si>
  <si>
    <t>Malaysia Kuantan washed</t>
  </si>
  <si>
    <t>Gujarat_wharf</t>
  </si>
  <si>
    <t>Kuantan_wharf</t>
  </si>
  <si>
    <t>Freights US$/wmt</t>
  </si>
  <si>
    <t>Freight Commission</t>
  </si>
  <si>
    <t>Total Cost for Leg - with Insurance &amp; Commission</t>
  </si>
  <si>
    <t>Total Cost for Leg - before Insurance &amp; Commission</t>
  </si>
  <si>
    <t>Per tonne cargo incl. Insurance &amp; Commission</t>
  </si>
  <si>
    <t>CBIX Co-Efficients Determination</t>
  </si>
  <si>
    <t>centre of effect</t>
  </si>
  <si>
    <t>+ &amp; - around centre</t>
  </si>
  <si>
    <t>Target CBIX Price (CBIX LT)</t>
  </si>
  <si>
    <t>Coefficient</t>
  </si>
  <si>
    <t>Value</t>
  </si>
  <si>
    <t>C0</t>
  </si>
  <si>
    <t>C1</t>
  </si>
  <si>
    <t>C2</t>
  </si>
  <si>
    <t>C3</t>
  </si>
  <si>
    <t>1) insert target CBIX price A69, 2) copy B71:B78 3) paste as values in F71:F78</t>
  </si>
  <si>
    <t>C3 actual</t>
  </si>
  <si>
    <t>IF(NOT(ISBLANK(I10)),I10,IF10)</t>
  </si>
  <si>
    <t>IF(NOT(ISBLANK(J10)),J10,IG10)</t>
  </si>
  <si>
    <t>IF(NOT(ISBLANK(K10)),K10,IH10)</t>
  </si>
  <si>
    <t>IF(NOT(ISBLANK(L10)),L10,II10)</t>
  </si>
  <si>
    <t>IF(NOT(ISBLANK(M10)),M10,IJ10)</t>
  </si>
  <si>
    <t>IF(NOT(ISBLANK(N10)),N10,IK10)</t>
  </si>
  <si>
    <t>IF(NOT(ISBLANK(O10)),O10,IL10)</t>
  </si>
  <si>
    <t>IM10</t>
  </si>
  <si>
    <t>IF(NOT(ISBLANK(P10)),P10*IF(H10="dmt",1,1-AL10),IO10*JN10*(1-AL10))</t>
  </si>
  <si>
    <t>=IFERROR(IF(AND(AN10&gt;'Indices Mines Exporting Ports'!$D$11,MATCH(2,1/(('Indices Mines Exporting Ports'!$B$3:$B$10&lt;=C10)*('Indices Mines Exporting Ports'!$C$3:$C$10=E10)))),"Yes","No"),"No")}</t>
  </si>
  <si>
    <t>=IF(AO10="Yes",INDEX('Indices Mines Exporting Ports'!$D$3:$D$10,MATCH(2,1/(('Indices Mines Exporting Ports'!$B$3:$B$10&lt;=Main!C10)*('Indices Mines Exporting Ports'!$C$3:$C$10=Main!AE10)))),IF(NOT(ISBLANK(Q10)),Q10,IP10))}</t>
  </si>
  <si>
    <t>=IF(AO10="no",0,INDEX('Indices Mines Exporting Ports'!$E$3:$E$10,MATCH(2,1/(('Indices Mines Exporting Ports'!$B$3:$B$10&lt;=Main!$C10)*('Indices Mines Exporting Ports'!$D$3:$D$10=Main!$AP10)))))}</t>
  </si>
  <si>
    <t>=IF(AO10="No",0,AN10/ROUND(AN10/INDEX('Indices Mines Exporting Ports'!$F$3:$F$10,MATCH(2,1/(('Indices Mines Exporting Ports'!$B$3:$B$10&lt;=Main!C10)*('Indices Mines Exporting Ports'!$C$3:$C$10=Main!AE10)))),0))}</t>
  </si>
  <si>
    <t>IF(NOT(ISBLANK(R10)),R10,"Qingdao")</t>
  </si>
  <si>
    <t>IQ10</t>
  </si>
  <si>
    <t>IR10</t>
  </si>
  <si>
    <t>IF(AND(G10="FOB",H10="dmt"),F10,IF(AND(G10="FOB",H10="wmt"),F10/(1-AL10),AZ10-AY10))</t>
  </si>
  <si>
    <t>APK10</t>
  </si>
  <si>
    <t>IF(AND(G10&lt;&gt;"FOB",H10="dmt"),F10*IF(G10="CIF",1,(1+KL10))+APM10,IF(AND(G10&lt;&gt;"FOB",H10="wmt"),(F10*IF(G10="CIF",1,(1+KL10)))/(1-AL10),AX10+AY10))</t>
  </si>
  <si>
    <t>IN10</t>
  </si>
  <si>
    <t>IF($AT10=BD$7,$CV10,0)</t>
  </si>
  <si>
    <t>IF($AT10=BE$7,$CV10,0)</t>
  </si>
  <si>
    <t>IF($AT10=BF$7,$CV10,0)</t>
  </si>
  <si>
    <t>IF($AU10=BG$7,$EE10,0)</t>
  </si>
  <si>
    <t>IF($AU10=BH$7,$EE10,)</t>
  </si>
  <si>
    <t>GU10</t>
  </si>
  <si>
    <t>$AZ10</t>
  </si>
  <si>
    <t>$AF10</t>
  </si>
  <si>
    <t>$AG10</t>
  </si>
  <si>
    <t>$AH10</t>
  </si>
  <si>
    <t>$AI10</t>
  </si>
  <si>
    <t>$AJ10</t>
  </si>
  <si>
    <t>$AK10</t>
  </si>
  <si>
    <t>$AL10</t>
  </si>
  <si>
    <t>$AM10</t>
  </si>
  <si>
    <t>$BA10</t>
  </si>
  <si>
    <t>=INDEX('Processing Factors'!$D$8:$D$29,MATCH(2,1/(('Processing Factors'!$B$8:$B$29&lt;=Main!$C10)*('Processing Factors'!$C$8:$C$29=Main!BU10))))}</t>
  </si>
  <si>
    <t>=INDEX('Processing Factors'!$E$8:$E$29,MATCH(2,1/(('Processing Factors'!$B$8:$B$29&lt;=Main!$C10)*('Processing Factors'!$C$8:$C$29=Main!BU10))))}</t>
  </si>
  <si>
    <t>=INDEX('Processing Factors'!$F$8:$F$29,MATCH(2,1/(('Processing Factors'!$B$8:$B$29&lt;=Main!$C10)*('Processing Factors'!$C$8:$C$29=Main!BU10))))}</t>
  </si>
  <si>
    <t>=INDEX('Processing Factors'!$G$8:$G$29,MATCH(2,1/(('Processing Factors'!$B$8:$B$29&lt;=Main!$C10)*('Processing Factors'!$C$8:$C$29=Main!BU10))))}</t>
  </si>
  <si>
    <t>=INDEX('Processing Factors'!$H$8:$H$29,MATCH(2,1/(('Processing Factors'!$B$8:$B$29&lt;=Main!$C10)*('Processing Factors'!$C$8:$C$29=Main!BU10))))}</t>
  </si>
  <si>
    <t>=INDEX('Processing Factors'!$I$8:$I$29,MATCH(2,1/(('Processing Factors'!$B$8:$B$29&lt;=Main!$C10)*('Processing Factors'!$C$8:$C$29=Main!BU10))))}</t>
  </si>
  <si>
    <t>=INDEX('Processing Factors'!$J$8:$J$29,MATCH(2,1/(('Processing Factors'!$B$8:$B$29&lt;=Main!$C10)*('Processing Factors'!$C$8:$C$29=Main!BU10))))}</t>
  </si>
  <si>
    <t>=INDEX('Processing Factors'!$K$8:$K$29,MATCH(2,1/(('Processing Factors'!$B$8:$B$29&lt;=Main!$C10)*('Processing Factors'!$C$8:$C$29=Main!BU10))))}</t>
  </si>
  <si>
    <t>(BN10-BO10-BQ10)*BX10+BO10+BQ10</t>
  </si>
  <si>
    <t>BQ10+CC10*(BP10-BQ10)</t>
  </si>
  <si>
    <t>CG10-BY10*CH10</t>
  </si>
  <si>
    <t>1/CI10/CD10</t>
  </si>
  <si>
    <t>(BM10+BV10)*CJ10</t>
  </si>
  <si>
    <t>CH10*BZ10*CJ10+CE10</t>
  </si>
  <si>
    <t>CL10*$IW10</t>
  </si>
  <si>
    <t>CB10*$IV10</t>
  </si>
  <si>
    <t>CA10*$IX10</t>
  </si>
  <si>
    <t>(CJ10-1+CL10+$CA10)</t>
  </si>
  <si>
    <t>CP10*$IY10</t>
  </si>
  <si>
    <t>CK10+CM10+CN10+CO10+CQ10</t>
  </si>
  <si>
    <t>($CR10-EA10)/DS10-DE10</t>
  </si>
  <si>
    <t>=INDEX('Indices Mines Exporting Ports'!E$20:E$51, MATCH(2,1/(('Indices Mines Exporting Ports'!$C$20:$C$51=$AT10)*('Indices Mines Exporting Ports'!$D$20:$D$51&lt;=$C10))))}</t>
  </si>
  <si>
    <t>=INDEX('Indices Mines Exporting Ports'!F$20:F$51, MATCH(2,1/(('Indices Mines Exporting Ports'!$C$20:$C$51=$AT10)*('Indices Mines Exporting Ports'!$D$20:$D$51&lt;=$C10))))}</t>
  </si>
  <si>
    <t>=INDEX('Indices Mines Exporting Ports'!G$20:G$51, MATCH(2,1/(('Indices Mines Exporting Ports'!$C$20:$C$51=$AT10)*('Indices Mines Exporting Ports'!$D$20:$D$51&lt;=$C10))))}</t>
  </si>
  <si>
    <t>=INDEX('Indices Mines Exporting Ports'!H$20:H$51, MATCH(2,1/(('Indices Mines Exporting Ports'!$C$20:$C$51=$AT10)*('Indices Mines Exporting Ports'!$D$20:$D$51&lt;=$C10))))}</t>
  </si>
  <si>
    <t>=INDEX('Indices Mines Exporting Ports'!I$20:I$51, MATCH(2,1/(('Indices Mines Exporting Ports'!$C$20:$C$51=$AT10)*('Indices Mines Exporting Ports'!$D$20:$D$51&lt;=$C10))))}</t>
  </si>
  <si>
    <t>=INDEX('Indices Mines Exporting Ports'!J$20:J$51, MATCH(2,1/(('Indices Mines Exporting Ports'!$C$20:$C$51=$AT10)*('Indices Mines Exporting Ports'!$D$20:$D$51&lt;=$C10))))}</t>
  </si>
  <si>
    <t>=INDEX('Indices Mines Exporting Ports'!K$20:K$51, MATCH(2,1/(('Indices Mines Exporting Ports'!$C$20:$C$51=$AT10)*('Indices Mines Exporting Ports'!$D$20:$D$51&lt;=$C10))))}</t>
  </si>
  <si>
    <t>=INDEX('Indices Mines Exporting Ports'!L$20:L$51, MATCH(2,1/(('Indices Mines Exporting Ports'!$C$20:$C$51=$AT10)*('Indices Mines Exporting Ports'!$D$20:$D$51&lt;=$C10))))}</t>
  </si>
  <si>
    <t>=INDEX('Indices Mines Exporting Ports'!M$20:M$51, MATCH(2,1/(('Indices Mines Exporting Ports'!$C$20:$C$51=$AT10)*('Indices Mines Exporting Ports'!$D$20:$D$51&lt;=$C10))))}</t>
  </si>
  <si>
    <t>=INDEX('Processing Factors'!$D$8:$D$29,MATCH(2,1/(('Processing Factors'!$B$8:$B$29&lt;=Main!$C10)*('Processing Factors'!$C$8:$C$29=Main!DD10))))}</t>
  </si>
  <si>
    <t>=INDEX('Processing Factors'!$E$8:$E$29,MATCH(2,1/(('Processing Factors'!$B$8:$B$29&lt;=Main!$C10)*('Processing Factors'!$C$8:$C$29=Main!DD10))))}</t>
  </si>
  <si>
    <t>=INDEX('Processing Factors'!$F$8:$F$29,MATCH(2,1/(('Processing Factors'!$B$8:$B$29&lt;=Main!$C10)*('Processing Factors'!$C$8:$C$29=Main!DD10))))}</t>
  </si>
  <si>
    <t>=INDEX('Processing Factors'!$G$8:$G$29,MATCH(2,1/(('Processing Factors'!$B$8:$B$29&lt;=Main!$C10)*('Processing Factors'!$C$8:$C$29=Main!DD10))))}</t>
  </si>
  <si>
    <t>=INDEX('Processing Factors'!$H$8:$H$29,MATCH(2,1/(('Processing Factors'!$B$8:$B$29&lt;=Main!$C10)*('Processing Factors'!$C$8:$C$29=Main!DD10))))}</t>
  </si>
  <si>
    <t>=INDEX('Processing Factors'!$I$8:$I$29,MATCH(2,1/(('Processing Factors'!$B$8:$B$29&lt;=Main!$C10)*('Processing Factors'!$C$8:$C$29=Main!DD10))))}</t>
  </si>
  <si>
    <t>=INDEX('Processing Factors'!$J$8:$J$29,MATCH(2,1/(('Processing Factors'!$B$8:$B$29&lt;=Main!$C10)*('Processing Factors'!$C$8:$C$29=Main!DD10))))}</t>
  </si>
  <si>
    <t>=INDEX('Processing Factors'!$K$8:$K$29,MATCH(2,1/(('Processing Factors'!$B$8:$B$29&lt;=Main!$C10)*('Processing Factors'!$C$8:$C$29=Main!DD10))))}</t>
  </si>
  <si>
    <t>(CW10-CX10-CZ10)*DG10+CX10+CZ10</t>
  </si>
  <si>
    <t>CZ10+DL10*(CY10-CZ10)</t>
  </si>
  <si>
    <t>DP10-DH10*DQ10</t>
  </si>
  <si>
    <t>1/DR10/DM10</t>
  </si>
  <si>
    <t>DQ10*DI10*DS10+DN10</t>
  </si>
  <si>
    <t>DU10*$IW10</t>
  </si>
  <si>
    <t>DK10*$IV10</t>
  </si>
  <si>
    <t>DJ10*$IX10</t>
  </si>
  <si>
    <t>(DS10-1+DU10+$CA10)</t>
  </si>
  <si>
    <t>DY10*$IY10</t>
  </si>
  <si>
    <t>DT10+DV10+DW10+DX10+DZ10</t>
  </si>
  <si>
    <t>($CR10-FJ10)/FB10-EN10</t>
  </si>
  <si>
    <t>=INDEX('Indices Mines Exporting Ports'!E$20:E$51, MATCH(2,1/(('Indices Mines Exporting Ports'!$C$20:$C$51=$AU10)*('Indices Mines Exporting Ports'!$D$20:$D$51&lt;=$C10))))}</t>
  </si>
  <si>
    <t>=INDEX('Indices Mines Exporting Ports'!F$20:F$51, MATCH(2,1/(('Indices Mines Exporting Ports'!$C$20:$C$51=$AU10)*('Indices Mines Exporting Ports'!$D$20:$D$51&lt;=$C10))))}</t>
  </si>
  <si>
    <t>=INDEX('Indices Mines Exporting Ports'!G$20:G$51, MATCH(2,1/(('Indices Mines Exporting Ports'!$C$20:$C$51=$AU10)*('Indices Mines Exporting Ports'!$D$20:$D$51&lt;=$C10))))}</t>
  </si>
  <si>
    <t>=INDEX('Indices Mines Exporting Ports'!H$20:H$51, MATCH(2,1/(('Indices Mines Exporting Ports'!$C$20:$C$51=$AU10)*('Indices Mines Exporting Ports'!$D$20:$D$51&lt;=$C10))))}</t>
  </si>
  <si>
    <t>=INDEX('Indices Mines Exporting Ports'!I$20:I$51, MATCH(2,1/(('Indices Mines Exporting Ports'!$C$20:$C$51=$AU10)*('Indices Mines Exporting Ports'!$D$20:$D$51&lt;=$C10))))}</t>
  </si>
  <si>
    <t>=INDEX('Indices Mines Exporting Ports'!J$20:J$51, MATCH(2,1/(('Indices Mines Exporting Ports'!$C$20:$C$51=$AU10)*('Indices Mines Exporting Ports'!$D$20:$D$51&lt;=$C10))))}</t>
  </si>
  <si>
    <t>=INDEX('Indices Mines Exporting Ports'!K$20:K$51, MATCH(2,1/(('Indices Mines Exporting Ports'!$C$20:$C$51=$AU10)*('Indices Mines Exporting Ports'!$D$20:$D$51&lt;=$C10))))}</t>
  </si>
  <si>
    <t>=INDEX('Indices Mines Exporting Ports'!L$20:L$51, MATCH(2,1/(('Indices Mines Exporting Ports'!$C$20:$C$51=$AU10)*('Indices Mines Exporting Ports'!$D$20:$D$51&lt;=$C10))))}</t>
  </si>
  <si>
    <t>=INDEX('Indices Mines Exporting Ports'!M$20:M$51, MATCH(2,1/(('Indices Mines Exporting Ports'!$C$20:$C$51=$AU10)*('Indices Mines Exporting Ports'!$D$20:$D$51&lt;=$C10))))}</t>
  </si>
  <si>
    <t>=INDEX('Processing Factors'!$D$8:$D$29,MATCH(2,1/(('Processing Factors'!$B$8:$B$29&lt;=Main!$C10)*('Processing Factors'!$C$8:$C$29=Main!EM10))))}</t>
  </si>
  <si>
    <t>=INDEX('Processing Factors'!$E$8:$E$29,MATCH(2,1/(('Processing Factors'!$B$8:$B$29&lt;=Main!$C10)*('Processing Factors'!$C$8:$C$29=Main!EM10))))}</t>
  </si>
  <si>
    <t>=INDEX('Processing Factors'!$F$8:$F$29,MATCH(2,1/(('Processing Factors'!$B$8:$B$29&lt;=Main!$C10)*('Processing Factors'!$C$8:$C$29=Main!EM10))))}</t>
  </si>
  <si>
    <t>=INDEX('Processing Factors'!$G$8:$G$29,MATCH(2,1/(('Processing Factors'!$B$8:$B$29&lt;=Main!$C10)*('Processing Factors'!$C$8:$C$29=Main!EM10))))}</t>
  </si>
  <si>
    <t>=INDEX('Processing Factors'!$H$8:$H$29,MATCH(2,1/(('Processing Factors'!$B$8:$B$29&lt;=Main!$C10)*('Processing Factors'!$C$8:$C$29=Main!EM10))))}</t>
  </si>
  <si>
    <t>=INDEX('Processing Factors'!$I$8:$I$29,MATCH(2,1/(('Processing Factors'!$B$8:$B$29&lt;=Main!$C10)*('Processing Factors'!$C$8:$C$29=Main!EM10))))}</t>
  </si>
  <si>
    <t>=INDEX('Processing Factors'!$J$8:$J$29,MATCH(2,1/(('Processing Factors'!$B$8:$B$29&lt;=Main!$C10)*('Processing Factors'!$C$8:$C$29=Main!EM10))))}</t>
  </si>
  <si>
    <t>=INDEX('Processing Factors'!$K$8:$K$29,MATCH(2,1/(('Processing Factors'!$B$8:$B$29&lt;=Main!$C10)*('Processing Factors'!$C$8:$C$29=Main!EM10))))}</t>
  </si>
  <si>
    <t>(EF10-EG10-EI10)*EP10+EG10+EI10</t>
  </si>
  <si>
    <t>EI10+EU10*(EH10-EI10)</t>
  </si>
  <si>
    <t>EY10-EQ10*EZ10</t>
  </si>
  <si>
    <t>1/FA10/EV10</t>
  </si>
  <si>
    <t>EZ10*ER10*FB10+EW10</t>
  </si>
  <si>
    <t>FD10*$IW10</t>
  </si>
  <si>
    <t>ET10*$IV10</t>
  </si>
  <si>
    <t>ES10*$IX10</t>
  </si>
  <si>
    <t>(FB10-1+FD10+$CA10)</t>
  </si>
  <si>
    <t>FH10*$IY10</t>
  </si>
  <si>
    <t>FC10+FE10+FF10+FG10+FI10</t>
  </si>
  <si>
    <t>=INDEX('Processing Factors'!$D$8:$D$29,MATCH(2,1/(('Processing Factors'!$B$8:$B$29&lt;=Main!$C10)*('Processing Factors'!$C$8:$C$29=Main!FV10))))}</t>
  </si>
  <si>
    <t>=INDEX('Processing Factors'!$E$8:$E$29,MATCH(2,1/(('Processing Factors'!$B$8:$B$29&lt;=Main!$C10)*('Processing Factors'!$C$8:$C$29=Main!FV10))))}</t>
  </si>
  <si>
    <t>=INDEX('Processing Factors'!$F$8:$F$29,MATCH(2,1/(('Processing Factors'!$B$8:$B$29&lt;=Main!$C10)*('Processing Factors'!$C$8:$C$29=Main!FV10))))}</t>
  </si>
  <si>
    <t>=INDEX('Processing Factors'!$G$8:$G$29,MATCH(2,1/(('Processing Factors'!$B$8:$B$29&lt;=Main!$C10)*('Processing Factors'!$C$8:$C$29=Main!FV10))))}</t>
  </si>
  <si>
    <t>=INDEX('Processing Factors'!$H$8:$H$29,MATCH(2,1/(('Processing Factors'!$B$8:$B$29&lt;=Main!$C10)*('Processing Factors'!$C$8:$C$29=Main!FV10))))}</t>
  </si>
  <si>
    <t>=INDEX('Processing Factors'!$I$8:$I$29,MATCH(2,1/(('Processing Factors'!$B$8:$B$29&lt;=Main!$C10)*('Processing Factors'!$C$8:$C$29=Main!FV10))))}</t>
  </si>
  <si>
    <t>=INDEX('Processing Factors'!$K$8:$K$29,MATCH(2,1/(('Processing Factors'!$B$8:$B$29&lt;=Main!$C10)*('Processing Factors'!$C$8:$C$29=Main!FV10))))}</t>
  </si>
  <si>
    <t>(FO10-FP10-FR10)*FY10+FP10+FR10</t>
  </si>
  <si>
    <t>FR10+GD10*(FQ10-FR10)</t>
  </si>
  <si>
    <t>GH10-FZ10*GI10</t>
  </si>
  <si>
    <t>1/GJ10/GE10</t>
  </si>
  <si>
    <t>(FN10+FW10)*GK10</t>
  </si>
  <si>
    <t>GI10*GA10*GK10+GF10</t>
  </si>
  <si>
    <t>GM10*$IW10</t>
  </si>
  <si>
    <t>GC10*$IV10</t>
  </si>
  <si>
    <t>GB10*$IX10</t>
  </si>
  <si>
    <t>(GK10-1+GM10+$CA10)</t>
  </si>
  <si>
    <t>GQ10*$IY10</t>
  </si>
  <si>
    <t>GL10+GN10+GO10+GP10+GR10</t>
  </si>
  <si>
    <t>($GS10-HZ10)/HR10-HD10</t>
  </si>
  <si>
    <t>=INDEX('Indices Mines Exporting Ports'!E$20:E$51, MATCH(2,1/(('Indices Mines Exporting Ports'!$C$20:$C$51=$BC10)*('Indices Mines Exporting Ports'!$D$20:$D$51&lt;=$C10))))}</t>
  </si>
  <si>
    <t>=INDEX('Indices Mines Exporting Ports'!F$20:F$51, MATCH(2,1/(('Indices Mines Exporting Ports'!$C$20:$C$51=$BC10)*('Indices Mines Exporting Ports'!$D$20:$D$51&lt;=$C10))))}</t>
  </si>
  <si>
    <t>=INDEX('Indices Mines Exporting Ports'!G$20:G$51, MATCH(2,1/(('Indices Mines Exporting Ports'!$C$20:$C$51=$BC10)*('Indices Mines Exporting Ports'!$D$20:$D$51&lt;=$C10))))}</t>
  </si>
  <si>
    <t>=INDEX('Indices Mines Exporting Ports'!H$20:H$51, MATCH(2,1/(('Indices Mines Exporting Ports'!$C$20:$C$51=$BC10)*('Indices Mines Exporting Ports'!$D$20:$D$51&lt;=$C10))))}</t>
  </si>
  <si>
    <t>=INDEX('Indices Mines Exporting Ports'!I$20:I$51, MATCH(2,1/(('Indices Mines Exporting Ports'!$C$20:$C$51=$BC10)*('Indices Mines Exporting Ports'!$D$20:$D$51&lt;=$C10))))}</t>
  </si>
  <si>
    <t>=INDEX('Indices Mines Exporting Ports'!J$20:J$51, MATCH(2,1/(('Indices Mines Exporting Ports'!$C$20:$C$51=$BC10)*('Indices Mines Exporting Ports'!$D$20:$D$51&lt;=$C10))))}</t>
  </si>
  <si>
    <t>=INDEX('Indices Mines Exporting Ports'!K$20:K$51, MATCH(2,1/(('Indices Mines Exporting Ports'!$C$20:$C$51=$BC10)*('Indices Mines Exporting Ports'!$D$20:$D$51&lt;=$C10))))}</t>
  </si>
  <si>
    <t>=INDEX('Indices Mines Exporting Ports'!L$20:L$51, MATCH(2,1/(('Indices Mines Exporting Ports'!$C$20:$C$51=$BC10)*('Indices Mines Exporting Ports'!$D$20:$D$51&lt;=$C10))))}</t>
  </si>
  <si>
    <t>=INDEX('Indices Mines Exporting Ports'!M$20:M$51, MATCH(2,1/(('Indices Mines Exporting Ports'!$C$20:$C$51=$BC10)*('Indices Mines Exporting Ports'!$D$20:$D$51&lt;=$C10))))}</t>
  </si>
  <si>
    <t>=INDEX('Processing Factors'!$D$8:$D$29,MATCH(2,1/(('Processing Factors'!$B$8:$B$29&lt;=Main!$C10)*('Processing Factors'!$C$8:$C$29=Main!HC10))))}</t>
  </si>
  <si>
    <t>=INDEX('Processing Factors'!$E$8:$E$29,MATCH(2,1/(('Processing Factors'!$B$8:$B$29&lt;=Main!$C10)*('Processing Factors'!$C$8:$C$29=Main!HC10))))}</t>
  </si>
  <si>
    <t>=INDEX('Processing Factors'!$F$8:$F$29,MATCH(2,1/(('Processing Factors'!$B$8:$B$29&lt;=Main!$C10)*('Processing Factors'!$C$8:$C$29=Main!HC10))))}</t>
  </si>
  <si>
    <t>=INDEX('Processing Factors'!$G$8:$G$29,MATCH(2,1/(('Processing Factors'!$B$8:$B$29&lt;=Main!$C10)*('Processing Factors'!$C$8:$C$29=Main!HC10))))}</t>
  </si>
  <si>
    <t>=INDEX('Processing Factors'!$H$8:$H$29,MATCH(2,1/(('Processing Factors'!$B$8:$B$29&lt;=Main!$C10)*('Processing Factors'!$C$8:$C$29=Main!HC10))))}</t>
  </si>
  <si>
    <t>=INDEX('Processing Factors'!$I$8:$I$29,MATCH(2,1/(('Processing Factors'!$B$8:$B$29&lt;=Main!$C10)*('Processing Factors'!$C$8:$C$29=Main!HC10))))}</t>
  </si>
  <si>
    <t>=INDEX('Processing Factors'!$K$8:$K$29,MATCH(2,1/(('Processing Factors'!$B$8:$B$29&lt;=Main!$C10)*('Processing Factors'!$C$8:$C$29=Main!HC10))))}</t>
  </si>
  <si>
    <t>(GV10-GW10-GY10)*HF10+GW10+GY10</t>
  </si>
  <si>
    <t>GY10+HK10*(GX10-GY10)</t>
  </si>
  <si>
    <t>HO10-HG10*HP10</t>
  </si>
  <si>
    <t>1/HQ10/HL10</t>
  </si>
  <si>
    <t>HP10*HH10*HR10+HM10</t>
  </si>
  <si>
    <t>HT10*$IW10</t>
  </si>
  <si>
    <t>HJ10*$IV10</t>
  </si>
  <si>
    <t>HI10*$IX10</t>
  </si>
  <si>
    <t>(HR10-1+HT10+$CA10)</t>
  </si>
  <si>
    <t>HX10*$IY10</t>
  </si>
  <si>
    <t>HS10+HU10+HV10+HW10+HY10</t>
  </si>
  <si>
    <t>AE10</t>
  </si>
  <si>
    <t>$C10</t>
  </si>
  <si>
    <t>=INDEX('Indices Mines Exporting Ports'!E$20:E$51, MATCH(2,1/(('Indices Mines Exporting Ports'!$C$20:$C$51=$ID10)*('Indices Mines Exporting Ports'!$D$20:$D$51&lt;=$IE10))))}</t>
  </si>
  <si>
    <t>=INDEX('Indices Mines Exporting Ports'!F$20:F$51, MATCH(2,1/(('Indices Mines Exporting Ports'!$C$20:$C$51=$ID10)*('Indices Mines Exporting Ports'!$D$20:$D$51&lt;=$IE10))))}</t>
  </si>
  <si>
    <t>=INDEX('Indices Mines Exporting Ports'!G$20:G$51, MATCH(2,1/(('Indices Mines Exporting Ports'!$C$20:$C$51=$ID10)*('Indices Mines Exporting Ports'!$D$20:$D$51&lt;=$IE10))))}</t>
  </si>
  <si>
    <t>=INDEX('Indices Mines Exporting Ports'!H$20:H$51, MATCH(2,1/(('Indices Mines Exporting Ports'!$C$20:$C$51=$ID10)*('Indices Mines Exporting Ports'!$D$20:$D$51&lt;=$IE10))))}</t>
  </si>
  <si>
    <t>=INDEX('Indices Mines Exporting Ports'!I$20:I$51, MATCH(2,1/(('Indices Mines Exporting Ports'!$C$20:$C$51=$ID10)*('Indices Mines Exporting Ports'!$D$20:$D$51&lt;=$IE10))))}</t>
  </si>
  <si>
    <t>=INDEX('Indices Mines Exporting Ports'!J$20:J$51, MATCH(2,1/(('Indices Mines Exporting Ports'!$C$20:$C$51=$ID10)*('Indices Mines Exporting Ports'!$D$20:$D$51&lt;=$IE10))))}</t>
  </si>
  <si>
    <t>=INDEX('Indices Mines Exporting Ports'!K$20:K$51, MATCH(2,1/(('Indices Mines Exporting Ports'!$C$20:$C$51=$ID10)*('Indices Mines Exporting Ports'!$D$20:$D$51&lt;=$IE10))))}</t>
  </si>
  <si>
    <t>=INDEX('Indices Mines Exporting Ports'!L$20:L$51, MATCH(2,1/(('Indices Mines Exporting Ports'!$C$20:$C$51=$ID10)*('Indices Mines Exporting Ports'!$D$20:$D$51&lt;=$IE10))))}</t>
  </si>
  <si>
    <t>=INDEX('Indices Mines Exporting Ports'!M$20:M$51, MATCH(2,1/(('Indices Mines Exporting Ports'!$C$20:$C$51=$ID10)*('Indices Mines Exporting Ports'!$D$20:$D$51&lt;=$IE10))))}</t>
  </si>
  <si>
    <t>=INDEX('Indices Mines Exporting Ports'!N$20:N$51, MATCH(2,1/(('Indices Mines Exporting Ports'!$C$20:$C$51=$ID10)*('Indices Mines Exporting Ports'!$D$20:$D$51&lt;=$IE10))))}</t>
  </si>
  <si>
    <t>=INDEX('Indices Mines Exporting Ports'!Q$20:Q$51, MATCH(2,1/(('Indices Mines Exporting Ports'!$C$20:$C$51=$ID10)*('Indices Mines Exporting Ports'!$D$20:$D$51&lt;=$IE10))))}</t>
  </si>
  <si>
    <t>=INDEX('Indices Mines Exporting Ports'!O$20:O$51, MATCH(2,1/(('Indices Mines Exporting Ports'!$C$20:$C$51=$ID10)*('Indices Mines Exporting Ports'!$D$20:$D$51&lt;=$IE10))))}</t>
  </si>
  <si>
    <t>=INDEX('Indices Mines Exporting Ports'!P$20:P$51, MATCH(2,1/(('Indices Mines Exporting Ports'!$C$20:$C$51=$ID10)*('Indices Mines Exporting Ports'!$D$20:$D$51&lt;=$IE10))))}</t>
  </si>
  <si>
    <t>VLOOKUP($C10,'China Price Series'!$C$10:$D$1009,2,TRUE)/$JA10/(VLOOKUP($C10,'China Price Series'!$C$10:$E$1009,3,TRUE)*$JG10/$JF10)</t>
  </si>
  <si>
    <t>VLOOKUP($C10,'China Price Series'!$G$10:$H$1009,2,TRUE)/$JA10/(VLOOKUP($C10,'China Price Series'!$G$10:$I$1009,3,TRUE))</t>
  </si>
  <si>
    <t>VLOOKUP($C10,'China Price Series'!$K$10:$L$1009,2,TRUE)/$JA10</t>
  </si>
  <si>
    <t>VLOOKUP($C10,'China Price Series'!$N$10:$O$1009,2,TRUE)/$JA10</t>
  </si>
  <si>
    <t>=INDEX('FX rates'!E$10:E$1009,MATCH(2,1/(('FX rates'!$D$10:$D$1009&lt;=Main!$C10)*(NOT(ISBLANK('FX rates'!E$10:E$1009))))))}</t>
  </si>
  <si>
    <t>=INDEX('FX rates'!F$10:F$1009,MATCH(2,1/(('FX rates'!$D$10:$D$1009&lt;=Main!$C10)*(NOT(ISBLANK('FX rates'!F$10:F$1009))))))}</t>
  </si>
  <si>
    <t>=INDEX('FX rates'!G$10:G$1009,MATCH(2,1/(('FX rates'!$D$10:$D$1009&lt;=Main!$C10)*(NOT(ISBLANK('FX rates'!G$10:G$1009))))))}</t>
  </si>
  <si>
    <t>=INDEX('FX rates'!H$10:H$1009,MATCH(2,1/(('FX rates'!$D$10:$D$1009&lt;=Main!$C10)*(NOT(ISBLANK('FX rates'!H$10:H$1009))))))}</t>
  </si>
  <si>
    <t>=INDEX('Global factors'!C$5:C$23,MATCH(2,1/(('Global factors'!$B$5:$B$23&lt;=Main!$C10)*(NOT(ISBLANK('Global factors'!C$5:C$23))))))}</t>
  </si>
  <si>
    <t>=INDEX('Global factors'!D$5:D$23,MATCH(2,1/(('Global factors'!$B$5:$B$23&lt;=Main!$C10)*(NOT(ISBLANK('Global factors'!D$5:D$23))))))}</t>
  </si>
  <si>
    <t>=INDEX('Global factors'!E$5:E$23,MATCH(2,1/(('Global factors'!$B$5:$B$23&lt;=Main!$C10)*(NOT(ISBLANK('Global factors'!E$5:E$23))))))}</t>
  </si>
  <si>
    <t>=INDEX('Global factors'!F$5:F$23,MATCH(2,1/(('Global factors'!$B$5:$B$23&lt;=Main!$C10)*(NOT(ISBLANK('Global factors'!F$5:F$23))))))}</t>
  </si>
  <si>
    <t>=INDEX('Global factors'!G$5:G$23,MATCH(2,1/(('Global factors'!$B$5:$B$23&lt;=Main!$C10)*(NOT(ISBLANK('Global factors'!G$5:G$23))))))}</t>
  </si>
  <si>
    <t>=INDEX('Global factors'!H$5:H$23,MATCH(2,1/(('Global factors'!$B$5:$B$23&lt;=Main!$C10)*(NOT(ISBLANK('Global factors'!H$5:H$23))))))}</t>
  </si>
  <si>
    <t>=INDEX('Global factors'!I$5:I$23,MATCH(2,1/(('Global factors'!$B$5:$B$23&lt;=Main!$C10)*(NOT(ISBLANK('Global factors'!I$5:I$23))))))}</t>
  </si>
  <si>
    <t>=INDEX('Global factors'!J$5:J$23,MATCH(2,1/(('Global factors'!$B$5:$B$23&lt;=Main!$C10)*(NOT(ISBLANK('Global factors'!J$5:J$23))))))}</t>
  </si>
  <si>
    <t>=INDEX('Global factors'!K$5:K$23,MATCH(2,1/(('Global factors'!$B$5:$B$23&lt;=Main!$C10)*(NOT(ISBLANK('Global factors'!K$5:K$23))))))}</t>
  </si>
  <si>
    <t>=INDEX('Global factors'!L$5:L$23,MATCH(2,1/(('Global factors'!$B$5:$B$23&lt;=Main!$C10)*(NOT(ISBLANK('Global factors'!L$5:L$23))))))}</t>
  </si>
  <si>
    <t>=INDEX('Global factors'!M$5:M$23,MATCH(2,1/(('Global factors'!$B$5:$B$23&lt;=Main!$C10)*(NOT(ISBLANK('Global factors'!M$5:M$23))))))}</t>
  </si>
  <si>
    <t>=INDEX('Global factors'!N$5:N$23,MATCH(2,1/(('Global factors'!$B$5:$B$23&lt;=Main!$C10)*(NOT(ISBLANK('Global factors'!N$5:N$23))))))}</t>
  </si>
  <si>
    <t>=INDEX('Global factors'!O$5:O$23,MATCH(2,1/(('Global factors'!$B$5:$B$23&lt;=Main!$C10)*(NOT(ISBLANK('Global factors'!O$5:O$23))))))}</t>
  </si>
  <si>
    <t>=INDEX('Global factors'!P$5:P$23,MATCH(2,1/(('Global factors'!$B$5:$B$23&lt;=Main!$C10)*(NOT(ISBLANK('Global factors'!P$5:P$23))))))}</t>
  </si>
  <si>
    <t>=INDEX('Global factors'!Q$5:Q$23,MATCH(2,1/(('Global factors'!$B$5:$B$23&lt;=Main!$C10)*(NOT(ISBLANK('Global factors'!Q$5:Q$23))))))}</t>
  </si>
  <si>
    <t>=INDEX('Global factors'!R$5:R$23,MATCH(2,1/(('Global factors'!$B$5:$B$23&lt;=Main!$C10)*(NOT(ISBLANK('Global factors'!R$5:R$23))))))}</t>
  </si>
  <si>
    <t>=INDEX('Global factors'!S$5:S$23,MATCH(2,1/(('Global factors'!$B$5:$B$23&lt;=Main!$C10)*(NOT(ISBLANK('Global factors'!S$5:S$23))))))}</t>
  </si>
  <si>
    <t>=INDEX('Global factors'!T$5:T$23,MATCH(2,1/(('Global factors'!$B$5:$B$23&lt;=Main!$C10)*(NOT(ISBLANK('Global factors'!T$5:T$23))))))}</t>
  </si>
  <si>
    <t>=INDEX('Global factors'!U$5:U$23,MATCH(2,1/(('Global factors'!$B$5:$B$23&lt;=Main!$C10)*(NOT(ISBLANK('Global factors'!U$5:U$23))))))}</t>
  </si>
  <si>
    <t>=INDEX('Global factors'!V$5:V$23,MATCH(2,1/(('Global factors'!$B$5:$B$23&lt;=Main!$C10)*(NOT(ISBLANK('Global factors'!V$5:V$23))))))}</t>
  </si>
  <si>
    <t>=INDEX('Global factors'!W$5:W$23,MATCH(2,1/(('Global factors'!$B$5:$B$23&lt;=Main!$C10)*(NOT(ISBLANK('Global factors'!W$5:W$23))))))}</t>
  </si>
  <si>
    <t>=INDEX('Global factors'!X$5:X$23,MATCH(2,1/(('Global factors'!$B$5:$B$23&lt;=Main!$C10)*(NOT(ISBLANK('Global factors'!X$5:X$23))))))}</t>
  </si>
  <si>
    <t>=INDEX('Global factors'!Y$5:Y$23,MATCH(2,1/(('Global factors'!$B$5:$B$23&lt;=Main!$C10)*(NOT(ISBLANK('Global factors'!Y$5:Y$23))))))}</t>
  </si>
  <si>
    <t>=INDEX('Global factors'!Z$5:Z$23,MATCH(2,1/(('Global factors'!$B$5:$B$23&lt;=Main!$C10)*(NOT(ISBLANK('Global factors'!Z$5:Z$23))))))}</t>
  </si>
  <si>
    <t>=INDEX('Global factors'!AB$5:AB$23,MATCH(2,1/(('Global factors'!$B$5:$B$23&lt;=Main!$C10)*(NOT(ISBLANK('Global factors'!AB$5:AB$23))))))}</t>
  </si>
  <si>
    <t>=INDEX('Global factors'!AC$5:AC$23,MATCH(2,1/(('Global factors'!$B$5:$B$23&lt;=Main!$C10)*(NOT(ISBLANK('Global factors'!AC$5:AC$23))))))}</t>
  </si>
  <si>
    <t>=INDEX('Global factors'!AD$5:AD$23,MATCH(2,1/(('Global factors'!$B$5:$B$23&lt;=Main!$C10)*(NOT(ISBLANK('Global factors'!AD$5:AD$23))))))}</t>
  </si>
  <si>
    <t>=INDEX('Global factors'!AE$5:AE$23,MATCH(2,1/(('Global factors'!$B$5:$B$23&lt;=Main!$C10)*(NOT(ISBLANK('Global factors'!AE$5:AE$23))))))}</t>
  </si>
  <si>
    <t>=INDEX('Global factors'!AF$5:AF$23,MATCH(2,1/(('Global factors'!$B$5:$B$23&lt;=Main!$C10)*(NOT(ISBLANK('Global factors'!AF$5:AF$23))))))}</t>
  </si>
  <si>
    <t>=INDEX('Global factors'!AG$5:AG$23,MATCH(2,1/(('Global factors'!$B$5:$B$23&lt;=Main!$C10)*(NOT(ISBLANK('Global factors'!AG$5:AG$23))))))}</t>
  </si>
  <si>
    <t>IF($AO10="no",$AN10,$AR10)/(1-$AL10)/$JN10</t>
  </si>
  <si>
    <t>VLOOKUP(KQ10,'Ship Time Charter Rates'!$F$10:$G$17,2,TRUE)</t>
  </si>
  <si>
    <t>VLOOKUP(KQ10,Canals!$E$5:$F$12,2,TRUE)</t>
  </si>
  <si>
    <t>(KQ10*$JO10 + $JP10)</t>
  </si>
  <si>
    <t>(KQ10*$JQ10+$JR10)</t>
  </si>
  <si>
    <t>(KQ10*$JS10+$JT10)</t>
  </si>
  <si>
    <t>=INDEX('Indices Mines Exporting Ports'!$R$20:$R$51,MATCH(2,1/(('Indices Mines Exporting Ports'!$D$20:$D$51&lt;=Main!$C10)*('Indices Mines Exporting Ports'!$Q$20:$Q$51=$AP10))))}</t>
  </si>
  <si>
    <t>=INDEX('Indices Mines Exporting Ports'!$S$20:$S$51,MATCH(2,1/(('Indices Mines Exporting Ports'!$D$20:$D$51&lt;=Main!$C10)*('Indices Mines Exporting Ports'!$Q$20:$Q$51=$AP10))))}</t>
  </si>
  <si>
    <t>=INDEX('Indices Mines Exporting Ports'!$T$20:$T$51,MATCH(2,1/(('Indices Mines Exporting Ports'!$D$20:$D$51&lt;=Main!$C10)*('Indices Mines Exporting Ports'!$Q$20:$Q$51=$AP10))))}</t>
  </si>
  <si>
    <t>=INDEX('Indices Mines Exporting Ports'!$U$20:$U$51,MATCH(2,1/(('Indices Mines Exporting Ports'!$D$20:$D$51&lt;=Main!$C10)*('Indices Mines Exporting Ports'!$Q$20:$Q$51=$AP10))))}</t>
  </si>
  <si>
    <t>=INDEX('Indices Mines Exporting Ports'!$V$20:$V$51,MATCH(2,1/(('Indices Mines Exporting Ports'!$D$20:$D$51&lt;=Main!$C10)*('Indices Mines Exporting Ports'!$Q$20:$Q$51=$AP10))))}</t>
  </si>
  <si>
    <t>=INDEX('Indices Mines Exporting Ports'!$W$20:$W$51,MATCH(2,1/(('Indices Mines Exporting Ports'!$D$20:$D$51&lt;=Main!$C10)*('Indices Mines Exporting Ports'!$Q$20:$Q$51=$AP10))))}</t>
  </si>
  <si>
    <t>=INDEX('Indices Mines Exporting Ports'!$X$20:$X$51,MATCH(2,1/(('Indices Mines Exporting Ports'!$D$20:$D$51&lt;=Main!$C10)*('Indices Mines Exporting Ports'!$Q$20:$Q$51=$AP10))))}</t>
  </si>
  <si>
    <t>=INDEX('Port Linkages'!$E$18:$E$157,MATCH(2,1/(('Port Linkages'!$C$18:$C$157=$AP10)*('Port Linkages'!$D$18:$D$157=IF($AO10="Yes",$AQ10,$AS10))*('Port Linkages'!$A$18:$A$157&lt;=$C10))))}</t>
  </si>
  <si>
    <t>=INDEX('Port Linkages'!$F$18:$F$157,MATCH(2,1/(('Port Linkages'!$C$18:$C$157=$AP10)*('Port Linkages'!$D$18:$D$157=IF($AO10="Yes",$AQ10,$AS10))*('Port Linkages'!$A$18:$A$157&lt;=$C10))))}</t>
  </si>
  <si>
    <t>=INDEX('Port Linkages'!$G$18:$G$157,MATCH(2,1/(('Port Linkages'!$C$18:$C$157=$AP10)*('Port Linkages'!$D$18:$D$157=IF($AO10="Yes",$AQ10,$AS10))*('Port Linkages'!$A$18:$A$157&lt;=$C10))))}</t>
  </si>
  <si>
    <t>=INDEX('Port Linkages'!$H$18:$H$157,MATCH(2,1/(('Port Linkages'!$C$18:$C$157=$AP10)*('Port Linkages'!$D$18:$D$157=IF($AO10="Yes",$AQ10,$AS10))*('Port Linkages'!$A$18:$A$157&lt;=$C10))))}</t>
  </si>
  <si>
    <t>=INDEX('Port Linkages'!$I$18:$I$157,MATCH(2,1/(('Port Linkages'!$C$18:$C$157=$AP10)*('Port Linkages'!$D$18:$D$157=IF($AO10="Yes",$AQ10,$AS10))*('Port Linkages'!$A$18:$A$157&lt;=$C10))))}</t>
  </si>
  <si>
    <t>=INDEX('Port Linkages'!$J$18:$J$157,MATCH(2,1/(('Port Linkages'!$C$18:$C$157=$AP10)*('Port Linkages'!$D$18:$D$157=IF($AO10="Yes",$AQ10,$AS10))*('Port Linkages'!$A$18:$A$157&lt;=$C10))))}</t>
  </si>
  <si>
    <t>=INDEX('Port Linkages'!$K$18:$K$157,MATCH(2,1/(('Port Linkages'!$C$18:$C$157=$AP10)*('Port Linkages'!$D$18:$D$157=IF($AO10="Yes",$AQ10,$AS10))*('Port Linkages'!$A$18:$A$157&lt;=$C10))))}</t>
  </si>
  <si>
    <t>=INDEX('Port Linkages'!$L$18:$L$157,MATCH(2,1/(('Port Linkages'!$C$18:$C$157=$AP10)*('Port Linkages'!$D$18:$D$157=IF($AO10="Yes",$AQ10,$AS10))*('Port Linkages'!$A$18:$A$157&lt;=$C10))))}</t>
  </si>
  <si>
    <t>=INDEX('Port Linkages'!$M$18:$M$157,MATCH(2,1/(('Port Linkages'!$C$18:$C$157=$AP10)*('Port Linkages'!$D$18:$D$157=IF($AO10="Yes",$AQ10,$AS10))*('Port Linkages'!$A$18:$A$157&lt;=$C10))))}</t>
  </si>
  <si>
    <t>=INDEX('Port Linkages'!$N$18:$N$157,MATCH(2,1/(('Port Linkages'!$C$18:$C$157=$AP10)*('Port Linkages'!$D$18:$D$157=IF($AO10="Yes",$AQ10,$AS10))*('Port Linkages'!$A$18:$A$157&lt;=$C10))))}</t>
  </si>
  <si>
    <t>=INDEX('Port Linkages'!$O$18:$O$157,MATCH(2,1/(('Port Linkages'!$C$18:$C$157=$AP10)*('Port Linkages'!$D$18:$D$157=IF($AO10="Yes",$AQ10,$AS10))*('Port Linkages'!$A$18:$A$157&lt;=$C10))))}</t>
  </si>
  <si>
    <t>=INDEX('Port Linkages'!$P$18:$P$157,MATCH(2,1/(('Port Linkages'!$C$18:$C$157=$AP10)*('Port Linkages'!$D$18:$D$157=IF($AO10="Yes",$AQ10,$AS10))*('Port Linkages'!$A$18:$A$157&lt;=$C10))))}</t>
  </si>
  <si>
    <t>=INDEX('Port Linkages'!$Q$18:$Q$157,MATCH(2,1/(('Port Linkages'!$C$18:$C$157=$AP10)*('Port Linkages'!$D$18:$D$157=IF($AO10="Yes",$AQ10,$AS10))*('Port Linkages'!$A$18:$A$157&lt;=$C10))))}</t>
  </si>
  <si>
    <t>=INDEX('Port Linkages'!$R$18:$R$157,MATCH(2,1/(('Port Linkages'!$C$18:$C$157=$AP10)*('Port Linkages'!$D$18:$D$157=IF($AO10="Yes",$AQ10,$AS10))*('Port Linkages'!$A$18:$A$157&lt;=$C10))))}</t>
  </si>
  <si>
    <t>=INDEX('Port Linkages'!$S$18:$S$157,MATCH(2,1/(('Port Linkages'!$C$18:$C$157=$AP10)*('Port Linkages'!$D$18:$D$157=IF($AO10="Yes",$AQ10,$AS10))*('Port Linkages'!$A$18:$A$157&lt;=$C10))))}</t>
  </si>
  <si>
    <t>=INDEX('Port Linkages'!$T$18:$T$157,MATCH(2,1/(('Port Linkages'!$C$18:$C$157=$AP10)*('Port Linkages'!$D$18:$D$157=IF($AO10="Yes",$AQ10,$AS10))*('Port Linkages'!$A$18:$A$157&lt;=$C10))))}</t>
  </si>
  <si>
    <t>=INDEX('Port Linkages'!$U$18:$U$157,MATCH(2,1/(('Port Linkages'!$C$18:$C$157=$AP10)*('Port Linkages'!$D$18:$D$157=IF($AO10="Yes",$AQ10,$AS10))*('Port Linkages'!$A$18:$A$157&lt;=$C10))))}</t>
  </si>
  <si>
    <t>=INDEX('Port Linkages'!$V$18:$V$157,MATCH(2,1/(('Port Linkages'!$C$18:$C$157=$AP10)*('Port Linkages'!$D$18:$D$157=IF($AO10="Yes",$AQ10,$AS10))*('Port Linkages'!$A$18:$A$157&lt;=$C10))))}</t>
  </si>
  <si>
    <t>=INDEX('Port Linkages'!$W$18:$W$157,MATCH(2,1/(('Port Linkages'!$C$18:$C$157=$AP10)*('Port Linkages'!$D$18:$D$157=IF($AO10="Yes",$AQ10,$AS10))*('Port Linkages'!$A$18:$A$157&lt;=$C10))))}</t>
  </si>
  <si>
    <t>=INDEX('Port Linkages'!$X$18:$X$157,MATCH(2,1/(('Port Linkages'!$C$18:$C$157=$AP10)*('Port Linkages'!$D$18:$D$157=IF($AO10="Yes",$AQ10,$AS10))*('Port Linkages'!$A$18:$A$157&lt;=$C10))))}</t>
  </si>
  <si>
    <t>=INDEX('Port Linkages'!$Y$18:$Y$157,MATCH(2,1/(('Port Linkages'!$C$18:$C$157=$AP10)*('Port Linkages'!$D$18:$D$157=IF($AO10="Yes",$AQ10,$AS10))*('Port Linkages'!$A$18:$A$157&lt;=$C10))))}</t>
  </si>
  <si>
    <t>=INDEX('Port Linkages'!$Z$18:$Z$157,MATCH(2,1/(('Port Linkages'!$C$18:$C$157=$AP10)*('Port Linkages'!$D$18:$D$157=IF($AO10="Yes",$AQ10,$AS10))*('Port Linkages'!$A$18:$A$157&lt;=$C10))))}</t>
  </si>
  <si>
    <t>=INDEX('Port Linkages'!$AA$18:$AA$157,MATCH(2,1/(('Port Linkages'!$C$18:$C$157=$AP10)*('Port Linkages'!$D$18:$D$157=IF($AO10="Yes",$AQ10,$AS10))*('Port Linkages'!$A$18:$A$157&lt;=$C10))))}</t>
  </si>
  <si>
    <t>=INDEX('Port Linkages'!$AB$18:$AB$157,MATCH(2,1/(('Port Linkages'!$C$18:$C$157=$AP10)*('Port Linkages'!$D$18:$D$157=IF($AO10="Yes",$AQ10,$AS10))*('Port Linkages'!$A$18:$A$157&lt;=$C10))))}</t>
  </si>
  <si>
    <t>=INDEX('Port Linkages'!$AC$18:$AC$157,MATCH(2,1/(('Port Linkages'!$C$18:$C$157=$AP10)*('Port Linkages'!$D$18:$D$157=IF($AO10="Yes",$AQ10,$AS10))*('Port Linkages'!$A$18:$A$157&lt;=$C10))))}</t>
  </si>
  <si>
    <t>=INDEX('Port Linkages'!$AD$18:$AD$157,MATCH(2,1/(('Port Linkages'!$C$18:$C$157=$AP10)*('Port Linkages'!$D$18:$D$157=IF($AO10="Yes",$AQ10,$AS10))*('Port Linkages'!$A$18:$A$157&lt;=$C10))))}</t>
  </si>
  <si>
    <t>=INDEX('Port Linkages'!$AE$18:$AE$157,MATCH(2,1/(('Port Linkages'!$C$18:$C$157=$AP10)*('Port Linkages'!$D$18:$D$157=IF($AO10="Yes",$AQ10,$AS10))*('Port Linkages'!$A$18:$A$157&lt;=$C10))))}</t>
  </si>
  <si>
    <t>=INDEX('Port Linkages'!$AF$18:$AF$157,MATCH(2,1/(('Port Linkages'!$C$18:$C$157=$AP10)*('Port Linkages'!$D$18:$D$157=IF($AO10="Yes",$AQ10,$AS10))*('Port Linkages'!$A$18:$A$157&lt;=$C10))))}</t>
  </si>
  <si>
    <t>=INDEX('Port Linkages'!$AG$18:$AG$157,MATCH(2,1/(('Port Linkages'!$C$18:$C$157=$AP10)*('Port Linkages'!$D$18:$D$157=IF($AO10="Yes",$AQ10,$AS10))*('Port Linkages'!$A$18:$A$157&lt;=$C10))))}</t>
  </si>
  <si>
    <t>=INDEX('Port Linkages'!$AH$18:$AH$157,MATCH(2,1/(('Port Linkages'!$C$18:$C$157=$AP10)*('Port Linkages'!$D$18:$D$157=IF($AO10="Yes",$AQ10,$AS10))*('Port Linkages'!$A$18:$A$157&lt;=$C10))))}</t>
  </si>
  <si>
    <t>=INDEX('Port Linkages'!$AI$18:$AI$157,MATCH(2,1/(('Port Linkages'!$C$18:$C$157=$AP10)*('Port Linkages'!$D$18:$D$157=IF($AO10="Yes",$AQ10,$AS10))*('Port Linkages'!$A$18:$A$157&lt;=$C10))))}</t>
  </si>
  <si>
    <t>=INDEX('Port Linkages'!$AJ$18:$AJ$157,MATCH(2,1/(('Port Linkages'!$C$18:$C$157=$AP10)*('Port Linkages'!$D$18:$D$157=IF($AO10="Yes",$AQ10,$AS10))*('Port Linkages'!$A$18:$A$157&lt;=$C10))))}</t>
  </si>
  <si>
    <t>=INDEX('Port Linkages'!$AK$18:$AK$157,MATCH(2,1/(('Port Linkages'!$C$18:$C$157=$AP10)*('Port Linkages'!$D$18:$D$157=IF($AO10="Yes",$AQ10,$AS10))*('Port Linkages'!$A$18:$A$157&lt;=$C10))))}</t>
  </si>
  <si>
    <t>=INDEX('Port Linkages'!$AL$18:$AL$157,MATCH(2,1/(('Port Linkages'!$C$18:$C$157=$AP10)*('Port Linkages'!$D$18:$D$157=IF($AO10="Yes",$AQ10,$AS10))*('Port Linkages'!$A$18:$A$157&lt;=$C10))))}</t>
  </si>
  <si>
    <t>=INDEX('Port Linkages'!$AM$18:$AM$157,MATCH(2,1/(('Port Linkages'!$C$18:$C$157=$AP10)*('Port Linkages'!$D$18:$D$157=IF($AO10="Yes",$AQ10,$AS10))*('Port Linkages'!$A$18:$A$157&lt;=$C10))))}</t>
  </si>
  <si>
    <t>=INDEX('Port Linkages'!$AN$18:$AN$157,MATCH(2,1/(('Port Linkages'!$C$18:$C$157=$AP10)*('Port Linkages'!$D$18:$D$157=IF($AO10="Yes",$AQ10,$AS10))*('Port Linkages'!$A$18:$A$157&lt;=$C10))))}</t>
  </si>
  <si>
    <t>=INDEX('Port Linkages'!$AO$18:$AO$157,MATCH(2,1/(('Port Linkages'!$C$18:$C$157=$AP10)*('Port Linkages'!$D$18:$D$157=IF($AO10="Yes",$AQ10,$AS10))*('Port Linkages'!$A$18:$A$157&lt;=$C10))))}</t>
  </si>
  <si>
    <t>=INDEX('Port Linkages'!$AP$18:$AP$157,MATCH(2,1/(('Port Linkages'!$C$18:$C$157=$AP10)*('Port Linkages'!$D$18:$D$157=IF($AO10="Yes",$AQ10,$AS10))*('Port Linkages'!$A$18:$A$157&lt;=$C10))))}</t>
  </si>
  <si>
    <t>=INDEX('Port Linkages'!$AQ$18:$AQ$157,MATCH(2,1/(('Port Linkages'!$C$18:$C$157=$AP10)*('Port Linkages'!$D$18:$D$157=IF($AO10="Yes",$AQ10,$AS10))*('Port Linkages'!$A$18:$A$157&lt;=$C10))))}</t>
  </si>
  <si>
    <t>=INDEX('Port Linkages'!$AR$18:$AR$157,MATCH(2,1/(('Port Linkages'!$C$18:$C$157=$AP10)*('Port Linkages'!$D$18:$D$157=IF($AO10="Yes",$AQ10,$AS10))*('Port Linkages'!$A$18:$A$157&lt;=$C10))))}</t>
  </si>
  <si>
    <t>=INDEX('Port Linkages'!$AS$18:$AS$157,MATCH(2,1/(('Port Linkages'!$C$18:$C$157=$AP10)*('Port Linkages'!$D$18:$D$157=IF($AO10="Yes",$AQ10,$AS10))*('Port Linkages'!$A$18:$A$157&lt;=$C10))))}</t>
  </si>
  <si>
    <t>=INDEX('Port Linkages'!$AT$18:$AT$157,MATCH(2,1/(('Port Linkages'!$C$18:$C$157=$AP10)*('Port Linkages'!$D$18:$D$157=IF($AO10="Yes",$AQ10,$AS10))*('Port Linkages'!$A$18:$A$157&lt;=$C10))))}</t>
  </si>
  <si>
    <t>=INDEX('Port Linkages'!$AU$18:$AU$157,MATCH(2,1/(('Port Linkages'!$C$18:$C$157=$AP10)*('Port Linkages'!$D$18:$D$157=IF($AO10="Yes",$AQ10,$AS10))*('Port Linkages'!$A$18:$A$157&lt;=$C10))))}</t>
  </si>
  <si>
    <t>=INDEX('Port Linkages'!$AV$18:$AV$157,MATCH(2,1/(('Port Linkages'!$C$18:$C$157=$AP10)*('Port Linkages'!$D$18:$D$157=IF($AO10="Yes",$AQ10,$AS10))*('Port Linkages'!$A$18:$A$157&lt;=$C10))))}</t>
  </si>
  <si>
    <t>=INDEX('Port Linkages'!$AW$18:$AW$157,MATCH(2,1/(('Port Linkages'!$C$18:$C$157=$AP10)*('Port Linkages'!$D$18:$D$157=IF($AO10="Yes",$AQ10,$AS10))*('Port Linkages'!$A$18:$A$157&lt;=$C10))))}</t>
  </si>
  <si>
    <t>=INDEX('Port Linkages'!$AX$18:$AX$157,MATCH(2,1/(('Port Linkages'!$C$18:$C$157=$AP10)*('Port Linkages'!$D$18:$D$157=IF($AO10="Yes",$AQ10,$AS10))*('Port Linkages'!$A$18:$A$157&lt;=$C10))))}</t>
  </si>
  <si>
    <t>=INDEX('Port Linkages'!$AY$18:$AY$157,MATCH(2,1/(('Port Linkages'!$C$18:$C$157=$AP10)*('Port Linkages'!$D$18:$D$157=IF($AO10="Yes",$AQ10,$AS10))*('Port Linkages'!$A$18:$A$157&lt;=$C10))))}</t>
  </si>
  <si>
    <t>=INDEX('Port Linkages'!$AZ$18:$AZ$157,MATCH(2,1/(('Port Linkages'!$C$18:$C$157=$AP10)*('Port Linkages'!$D$18:$D$157=IF($AO10="Yes",$AQ10,$AS10))*('Port Linkages'!$A$18:$A$157&lt;=$C10))))}</t>
  </si>
  <si>
    <t>=INDEX('Port Linkages'!$BA$18:$BA$157,MATCH(2,1/(('Port Linkages'!$C$18:$C$157=$AP10)*('Port Linkages'!$D$18:$D$157=IF($AO10="Yes",$AQ10,$AS10))*('Port Linkages'!$A$18:$A$157&lt;=$C10))))}</t>
  </si>
  <si>
    <t>=INDEX('Ship Fuel Prices'!$F$5:$F$1004,MATCH(2,1/(('Ship Fuel Prices'!$E$5:$E$1004=_xlfn.IFS(KS10="Handysize",Main!MY10,KS10="Supramax",MR10,KS10="Panamax",MK10,KS10="NeoPanamax",MD10,KS10="Suezmax",LW10,KS10="Capesize",LP10,KS10="VLOC",LI10))*('Ship Fuel Prices'!$D$5:$D$1004&lt;=Main!$C10))))}</t>
  </si>
  <si>
    <t>=INDEX('Ship Fuel Prices'!$G$5:$G$1004,MATCH(2,1/(('Ship Fuel Prices'!$E$5:$E$1004=_xlfn.IFS(KS10="Handysize",Main!MY10,KS10="Supramax",MR10,KS10="Panamax",MK10,KS10="NeoPanamax",MD10,KS10="Suezmax",LW10,KS10="Capesize",LP10,KS10="VLOC",LI10))*('Ship Fuel Prices'!$D$5:$D$1004&lt;=Main!$C10))))}</t>
  </si>
  <si>
    <t>=INDEX('Ship Fuel Prices'!$H$5:$H$1004,MATCH(2,1/(('Ship Fuel Prices'!$E$5:$E$1004=_xlfn.IFS(KS10="Handysize",Main!MY10,KS10="Supramax",MR10,KS10="Panamax",MK10,KS10="NeoPanamax",MD10,KS10="Suezmax",LW10,KS10="Capesize",LP10,KS10="VLOC",LI10))*('Ship Fuel Prices'!$D$5:$D$1004&lt;=Main!$C10))))}</t>
  </si>
  <si>
    <t>=INDEX('Ship Fuel Prices'!$I$5:$I$1004,MATCH(2,1/(('Ship Fuel Prices'!$E$5:$E$1004=_xlfn.IFS(KS10="Handysize",Main!MY10,KS10="Supramax",MR10,KS10="Panamax",MK10,KS10="NeoPanamax",MD10,KS10="Suezmax",LW10,KS10="Capesize",LP10,KS10="VLOC",LI10))*('Ship Fuel Prices'!$D$5:$D$1004&lt;=Main!$C10))))}</t>
  </si>
  <si>
    <t>=INDEX('Ship Fuel Prices'!$J$5:$J$1004,MATCH(2,1/(('Ship Fuel Prices'!$E$5:$E$1004=_xlfn.IFS(KS10="Handysize",Main!MY10,KS10="Supramax",MR10,KS10="Panamax",MK10,KS10="NeoPanamax",MD10,KS10="Suezmax",LW10,KS10="Capesize",LP10,KS10="VLOC",LI10))*('Ship Fuel Prices'!$D$5:$D$1004&lt;=Main!$C10))))}</t>
  </si>
  <si>
    <t>=INDEX('China n Importing Ports'!$E$20:$E$41,MATCH(2,1/(('China n Importing Ports'!$D$20:$D$41&lt;=$C10)*('China n Importing Ports'!$C$20:$C$41=IF($AO10="Yes",$AQ10,$AS10)))))}</t>
  </si>
  <si>
    <t>=INDEX('China n Importing Ports'!$F$20:$F$41,MATCH(2,1/(('China n Importing Ports'!$D$20:$D$41&lt;=$C10)*('China n Importing Ports'!$C$20:$C$41=IF($AO10="Yes",$AQ10,$AS10)))))}</t>
  </si>
  <si>
    <t>=INDEX('China n Importing Ports'!$G$20:$G$41,MATCH(2,1/(('China n Importing Ports'!$D$20:$D$41&lt;=$C10)*('China n Importing Ports'!$C$20:$C$41=IF($AO10="Yes",$AQ10,$AS10)))))}</t>
  </si>
  <si>
    <t>=INDEX('China n Importing Ports'!$H$20:$H$41,MATCH(2,1/(('China n Importing Ports'!$D$20:$D$41&lt;=$C10)*('China n Importing Ports'!$C$20:$C$41=IF($AO10="Yes",$AQ10,$AS10)))))}</t>
  </si>
  <si>
    <t>=INDEX('China n Importing Ports'!$I$20:$I$41,MATCH(2,1/(('China n Importing Ports'!$D$20:$D$41&lt;=$C10)*('China n Importing Ports'!$C$20:$C$41=IF($AO10="Yes",$AQ10,$AS10)))))}</t>
  </si>
  <si>
    <t>=INDEX('China n Importing Ports'!$J$20:$J$41,MATCH(2,1/(('China n Importing Ports'!$D$20:$D$41&lt;=$C10)*('China n Importing Ports'!$C$20:$C$41=IF($AO10="Yes",$AQ10,$AS10)))))}</t>
  </si>
  <si>
    <t>=INDEX('China n Importing Ports'!$K$20:$K$41,MATCH(2,1/(('China n Importing Ports'!$D$20:$D$41&lt;=$C10)*('China n Importing Ports'!$C$20:$C$41=IF($AO10="Yes",$AQ10,$AS10)))))}</t>
  </si>
  <si>
    <t>=INDEX('China n Importing Ports'!$L$20:$L$41,MATCH(2,1/(('China n Importing Ports'!$D$20:$D$41&lt;=$C10)*('China n Importing Ports'!$C$20:$C$41=IF($AO10="Yes",$AQ10,$AS10)))))}</t>
  </si>
  <si>
    <t>=INDEX('China n Importing Ports'!$M$20:$M$41,MATCH(2,1/(('China n Importing Ports'!$D$20:$D$41&lt;=$C10)*('China n Importing Ports'!$C$20:$C$41=IF($AO10="Yes",$AQ10,$AS10)))))}</t>
  </si>
  <si>
    <t>=INDEX('China n Importing Ports'!$N$20:$N$41,MATCH(2,1/(('China n Importing Ports'!$D$20:$D$41&lt;=$C10)*('China n Importing Ports'!$C$20:$C$41=IF($AO10="Yes",$AQ10,$AS10)))))}</t>
  </si>
  <si>
    <t>=INDEX('China n Importing Ports'!$O$20:$O$41,MATCH(2,1/(('China n Importing Ports'!$D$20:$D$41&lt;=$C10)*('China n Importing Ports'!$C$20:$C$41=IF($AO10="Yes",$AQ10,$AS10)))))}</t>
  </si>
  <si>
    <t>=INDEX('China n Importing Ports'!$P$20:$P$41,MATCH(2,1/(('China n Importing Ports'!$D$20:$D$41&lt;=$C10)*('China n Importing Ports'!$C$20:$C$41=IF($AO10="Yes",$AQ10,$AS10)))))}</t>
  </si>
  <si>
    <t>=INDEX('China n Importing Ports'!$Q$20:$Q$41,MATCH(2,1/(('China n Importing Ports'!$D$20:$D$41&lt;=$C10)*('China n Importing Ports'!$C$20:$C$41=IF($AO10="Yes",$AQ10,$AS10)))))}</t>
  </si>
  <si>
    <t>=INDEX('China n Importing Ports'!$R$20:$R$41,MATCH(2,1/(('China n Importing Ports'!$D$20:$D$41&lt;=$C10)*('China n Importing Ports'!$C$20:$C$41=IF($AO10="Yes",$AQ10,$AS10)))))}</t>
  </si>
  <si>
    <t>=INDEX('China n Importing Ports'!$S$20:$S$41,MATCH(2,1/(('China n Importing Ports'!$D$20:$D$41&lt;=$C10)*('China n Importing Ports'!$C$20:$C$41=IF($AO10="Yes",$AQ10,$AS10)))))}</t>
  </si>
  <si>
    <t>=INDEX('China n Importing Ports'!$T$20:$T$41,MATCH(2,1/(('China n Importing Ports'!$D$20:$D$41&lt;=$C10)*('China n Importing Ports'!$C$20:$C$41=IF($AO10="Yes",$AQ10,$AS10)))))}</t>
  </si>
  <si>
    <t>=INDEX('China n Importing Ports'!$U$20:$U$41,MATCH(2,1/(('China n Importing Ports'!$D$20:$D$41&lt;=$C10)*('China n Importing Ports'!$C$20:$C$41=IF($AO10="Yes",$AQ10,$AS10)))))}</t>
  </si>
  <si>
    <t>=INDEX('China n Importing Ports'!$V$20:$V$41,MATCH(2,1/(('China n Importing Ports'!$D$20:$D$41&lt;=$C10)*('China n Importing Ports'!$C$20:$C$41=IF($AO10="Yes",$AQ10,$AS10)))))}</t>
  </si>
  <si>
    <t>=INDEX('China n Importing Ports'!$W$20:$W$41,MATCH(2,1/(('China n Importing Ports'!$D$20:$D$41&lt;=$C10)*('China n Importing Ports'!$C$20:$C$41=IF($AO10="Yes",$AQ10,$AS10)))))}</t>
  </si>
  <si>
    <t>=INDEX('China n Importing Ports'!$X$20:$X$41,MATCH(2,1/(('China n Importing Ports'!$D$20:$D$41&lt;=$C10)*('China n Importing Ports'!$C$20:$C$41=IF($AO10="Yes",$AQ10,$AS10)))))}</t>
  </si>
  <si>
    <t>=INDEX('China n Importing Ports'!$Y$20:$Y$41,MATCH(2,1/(('China n Importing Ports'!$D$20:$D$41&lt;=$C10)*('China n Importing Ports'!$C$20:$C$41=IF($AO10="Yes",$AQ10,$AS10)))))}</t>
  </si>
  <si>
    <t>=INDEX('China n Importing Ports'!$Z$20:$Z$41,MATCH(2,1/(('China n Importing Ports'!$D$20:$D$41&lt;=$C10)*('China n Importing Ports'!$C$20:$C$41=IF($AO10="Yes",$AQ10,$AS10)))))}</t>
  </si>
  <si>
    <t>=INDEX('China n Importing Ports'!$AA$20:$AA$41,MATCH(2,1/(('China n Importing Ports'!$D$20:$D$41&lt;=$C10)*('China n Importing Ports'!$C$20:$C$41=IF($AO10="Yes",$AQ10,$AS10)))))}</t>
  </si>
  <si>
    <t>=INDEX(Canals!$G$24:$G$29,MATCH(2,1/((Canals!$F$24:$F$29&lt;=$C10)*(Canals!$G$24:$G$29=_xlfn.IFS(KS10="Handysize",Main!NB10,KS10="Supramax",MU10,KS10="Panamax",MN10,KS10="NeoPanamax",MG10,KS10="Suezmax",LZ10,KS10="Capesize",LS10,KS10="VLOC",LL10)))))}</t>
  </si>
  <si>
    <t>=INDEX(Canals!$H$24:$H$29,MATCH(2,1/((Canals!$F$24:$F$29&lt;=$C10)*(Canals!$G$24:$G$29=_xlfn.IFS(KS10="Handysize",Main!NB10,KS10="Supramax",MU10,KS10="Panamax",MN10,KS10="NeoPanamax",MG10,KS10="Suezmax",LZ10,KS10="Capesize",LS10,KS10="VLOC",LL10)))))}</t>
  </si>
  <si>
    <t>=INDEX(Canals!$I$24:$I$29,MATCH(2,1/((Canals!$F$24:$F$29&lt;=$C10)*(Canals!$G$24:$G$29=_xlfn.IFS(KS10="Handysize",Main!NB10,KS10="Supramax",MU10,KS10="Panamax",MN10,KS10="NeoPanamax",MG10,KS10="Suezmax",LZ10,KS10="Capesize",LS10,KS10="VLOC",LL10)))))}</t>
  </si>
  <si>
    <t>=INDEX(Canals!$J$24:$J$29,MATCH(2,1/((Canals!$F$24:$F$29&lt;=$C10)*(Canals!$G$24:$G$29=_xlfn.IFS(KS10="Handysize",Main!NB10,KS10="Supramax",MU10,KS10="Panamax",MN10,KS10="NeoPanamax",MG10,KS10="Suezmax",LZ10,KS10="Capesize",LS10,KS10="VLOC",LL10)))))}</t>
  </si>
  <si>
    <t>=INDEX(Canals!$K$24:$K$29,MATCH(2,1/((Canals!$F$24:$F$29&lt;=$C10)*(Canals!$G$24:$G$29=_xlfn.IFS(KS10="Handysize",Main!NB10,KS10="Supramax",MU10,KS10="Panamax",MN10,KS10="NeoPanamax",MG10,KS10="Suezmax",LZ10,KS10="Capesize",LS10,KS10="VLOC",LL10)))))}</t>
  </si>
  <si>
    <t>=INDEX(Canals!$L$24:$L$29,MATCH(2,1/((Canals!$F$24:$F$29&lt;=$C10)*(Canals!$G$24:$G$29=_xlfn.IFS(KS10="Handysize",Main!NB10,KS10="Supramax",MU10,KS10="Panamax",MN10,KS10="NeoPanamax",MG10,KS10="Suezmax",LZ10,KS10="Capesize",LS10,KS10="VLOC",LL10)))))}</t>
  </si>
  <si>
    <t>=INDEX(Canals!$M$24:$M$29,MATCH(2,1/((Canals!$F$24:$F$29&lt;=$C10)*(Canals!$G$24:$G$29=_xlfn.IFS(KS10="Handysize",Main!NB10,KS10="Supramax",MU10,KS10="Panamax",MN10,KS10="NeoPanamax",MG10,KS10="Suezmax",LZ10,KS10="Capesize",LS10,KS10="VLOC",LL10)))))}</t>
  </si>
  <si>
    <t>=INDEX(Canals!$N$24:$N$29,MATCH(2,1/((Canals!$F$24:$F$29&lt;=$C10)*(Canals!$G$24:$G$29=_xlfn.IFS(KS10="Handysize",Main!NB10,KS10="Supramax",MU10,KS10="Panamax",MN10,KS10="NeoPanamax",MG10,KS10="Suezmax",LZ10,KS10="Capesize",LS10,KS10="VLOC",LL10)))))}</t>
  </si>
  <si>
    <t>=INDEX(Canals!$O$24:$O$29,MATCH(2,1/((Canals!$F$24:$F$29&lt;=$C10)*(Canals!$G$24:$G$29=_xlfn.IFS(KS10="Handysize",Main!NB10,KS10="Supramax",MU10,KS10="Panamax",MN10,KS10="NeoPanamax",MG10,KS10="Suezmax",LZ10,KS10="Capesize",LS10,KS10="VLOC",LL10)))))}</t>
  </si>
  <si>
    <t>=INDEX(Canals!$P$24:$P$29,MATCH(2,1/((Canals!$F$24:$F$29&lt;=$C10)*(Canals!$G$24:$G$29=_xlfn.IFS(KS10="Handysize",Main!NB10,KS10="Supramax",MU10,KS10="Panamax",MN10,KS10="NeoPanamax",MG10,KS10="Suezmax",LZ10,KS10="Capesize",LS10,KS10="VLOC",LL10)))))}</t>
  </si>
  <si>
    <t>=INDEX(Canals!$Q$24:$Q$29,MATCH(2,1/((Canals!$F$24:$F$29&lt;=$C10)*(Canals!$G$24:$G$29=_xlfn.IFS(KS10="Handysize",Main!NB10,KS10="Supramax",MU10,KS10="Panamax",MN10,KS10="NeoPanamax",MG10,KS10="Suezmax",LZ10,KS10="Capesize",LS10,KS10="VLOC",LL10)))))}</t>
  </si>
  <si>
    <t>=INDEX(Canals!$R$24:$R$29,MATCH(2,1/((Canals!$F$24:$F$29&lt;=$C10)*(Canals!$G$24:$G$29=_xlfn.IFS(KS10="Handysize",Main!NB10,KS10="Supramax",MU10,KS10="Panamax",MN10,KS10="NeoPanamax",MG10,KS10="Suezmax",LZ10,KS10="Capesize",LS10,KS10="VLOC",LL10)))))}</t>
  </si>
  <si>
    <t>=INDEX(Canals!$S$24:$S$29,MATCH(2,1/((Canals!$F$24:$F$29&lt;=$C10)*(Canals!$G$24:$G$29=_xlfn.IFS(KS10="Handysize",Main!NB10,KS10="Supramax",MU10,KS10="Panamax",MN10,KS10="NeoPanamax",MG10,KS10="Suezmax",LZ10,KS10="Capesize",LS10,KS10="VLOC",LL10)))))}</t>
  </si>
  <si>
    <t>=INDEX(Canals!$T$24:$T$29,MATCH(2,1/((Canals!$F$24:$F$29&lt;=$C10)*(Canals!$G$24:$G$29=_xlfn.IFS(KS10="Handysize",Main!NB10,KS10="Supramax",MU10,KS10="Panamax",MN10,KS10="NeoPanamax",MG10,KS10="Suezmax",LZ10,KS10="Capesize",LS10,KS10="VLOC",LL10)))))}</t>
  </si>
  <si>
    <t>=INDEX(Canals!$U$24:$U$29,MATCH(2,1/((Canals!$F$24:$F$29&lt;=$C10)*(Canals!$G$24:$G$29=_xlfn.IFS(KS10="Handysize",Main!NB10,KS10="Supramax",MU10,KS10="Panamax",MN10,KS10="NeoPanamax",MG10,KS10="Suezmax",LZ10,KS10="Capesize",LS10,KS10="VLOC",LL10)))))}</t>
  </si>
  <si>
    <t>=INDEX(Canals!$V$24:$V$29,MATCH(2,1/((Canals!$F$24:$F$29&lt;=$C10)*(Canals!$G$24:$G$29=_xlfn.IFS(KS10="Handysize",Main!NB10,KS10="Supramax",MU10,KS10="Panamax",MN10,KS10="NeoPanamax",MG10,KS10="Suezmax",LZ10,KS10="Capesize",LS10,KS10="VLOC",LL10)))))}</t>
  </si>
  <si>
    <t>=INDEX(Canals!$W$24:$W$29,MATCH(2,1/((Canals!$F$24:$F$29&lt;=$C10)*(Canals!$G$24:$G$29=_xlfn.IFS(KS10="Handysize",Main!NB10,KS10="Supramax",MU10,KS10="Panamax",MN10,KS10="NeoPanamax",MG10,KS10="Suezmax",LZ10,KS10="Capesize",LS10,KS10="VLOC",LL10)))))}</t>
  </si>
  <si>
    <t>=INDEX(Canals!$X$24:$X$29,MATCH(2,1/((Canals!$F$24:$F$29&lt;=$C10)*(Canals!$G$24:$G$29=_xlfn.IFS(KS10="Handysize",Main!NB10,KS10="Supramax",MU10,KS10="Panamax",MN10,KS10="NeoPanamax",MG10,KS10="Suezmax",LZ10,KS10="Capesize",LS10,KS10="VLOC",LL10)))))}</t>
  </si>
  <si>
    <t>=INDEX(Canals!$Y$24:$Y$29,MATCH(2,1/((Canals!$F$24:$F$29&lt;=$C10)*(Canals!$G$24:$G$29=_xlfn.IFS(KS10="Handysize",Main!NB10,KS10="Supramax",MU10,KS10="Panamax",MN10,KS10="NeoPanamax",MG10,KS10="Suezmax",LZ10,KS10="Capesize",LS10,KS10="VLOC",LL10)))))}</t>
  </si>
  <si>
    <t>=INDEX(Canals!$Z$24:$Z$29,MATCH(2,1/((Canals!$F$24:$F$29&lt;=$C10)*(Canals!$G$24:$G$29=_xlfn.IFS(KS10="Handysize",Main!NB10,KS10="Supramax",MU10,KS10="Panamax",MN10,KS10="NeoPanamax",MG10,KS10="Suezmax",LZ10,KS10="Capesize",LS10,KS10="VLOC",LL10)))))}</t>
  </si>
  <si>
    <t>=INDEX(Canals!$AA$24:$AA$29,MATCH(2,1/((Canals!$F$24:$F$29&lt;=$C10)*(Canals!$G$24:$G$29=_xlfn.IFS(KS10="Handysize",Main!NB10,KS10="Supramax",MU10,KS10="Panamax",MN10,KS10="NeoPanamax",MG10,KS10="Suezmax",LZ10,KS10="Capesize",LS10,KS10="VLOC",LL10)))))}</t>
  </si>
  <si>
    <t>=INDEX(Canals!$AB$24:$AB$29,MATCH(2,1/((Canals!$F$24:$F$29&lt;=$C10)*(Canals!$G$24:$G$29=_xlfn.IFS(KS10="Handysize",Main!NB10,KS10="Supramax",MU10,KS10="Panamax",MN10,KS10="NeoPanamax",MG10,KS10="Suezmax",LZ10,KS10="Capesize",LS10,KS10="VLOC",LL10)))))}</t>
  </si>
  <si>
    <t>=INDEX(Canals!$AC$24:$AC$29,MATCH(2,1/((Canals!$F$24:$F$29&lt;=$C10)*(Canals!$G$24:$G$29=_xlfn.IFS(KS10="Handysize",Main!NB10,KS10="Supramax",MU10,KS10="Panamax",MN10,KS10="NeoPanamax",MG10,KS10="Suezmax",LZ10,KS10="Capesize",LS10,KS10="VLOC",LL10)))))}</t>
  </si>
  <si>
    <t>=INDEX(Canals!$AD$24:$AD$29,MATCH(2,1/((Canals!$F$24:$F$29&lt;=$C10)*(Canals!$G$24:$G$29=_xlfn.IFS(KS10="Handysize",Main!NB10,KS10="Supramax",MU10,KS10="Panamax",MN10,KS10="NeoPanamax",MG10,KS10="Suezmax",LZ10,KS10="Capesize",LS10,KS10="VLOC",LL10)))))}</t>
  </si>
  <si>
    <t>=INDEX(Canals!$AE$24:$AE$29,MATCH(2,1/((Canals!$F$24:$F$29&lt;=$C10)*(Canals!$G$24:$G$29=_xlfn.IFS(KS10="Handysize",Main!NB10,KS10="Supramax",MU10,KS10="Panamax",MN10,KS10="NeoPanamax",MG10,KS10="Suezmax",LZ10,KS10="Capesize",LS10,KS10="VLOC",LL10)))))}</t>
  </si>
  <si>
    <t>=INDEX(Canals!$AF$24:$AF$29,MATCH(2,1/((Canals!$F$24:$F$29&lt;=$C10)*(Canals!$G$24:$G$29=_xlfn.IFS(KS10="Handysize",Main!NB10,KS10="Supramax",MU10,KS10="Panamax",MN10,KS10="NeoPanamax",MG10,KS10="Suezmax",LZ10,KS10="Capesize",LS10,KS10="VLOC",LL10)))))}</t>
  </si>
  <si>
    <t>=INDEX(Canals!$AG$24:$AG$29,MATCH(2,1/((Canals!$F$24:$F$29&lt;=$C10)*(Canals!$G$24:$G$29=_xlfn.IFS(KS10="Handysize",Main!NB10,KS10="Supramax",MU10,KS10="Panamax",MN10,KS10="NeoPanamax",MG10,KS10="Suezmax",LZ10,KS10="Capesize",LS10,KS10="VLOC",LL10)))))}</t>
  </si>
  <si>
    <t>=INDEX(Canals!$AH$24:$AH$29,MATCH(2,1/((Canals!$F$24:$F$29&lt;=$C10)*(Canals!$G$24:$G$29=_xlfn.IFS(KS10="Handysize",Main!NB10,KS10="Supramax",MU10,KS10="Panamax",MN10,KS10="NeoPanamax",MG10,KS10="Suezmax",LZ10,KS10="Capesize",LS10,KS10="VLOC",LL10)))))}</t>
  </si>
  <si>
    <t>=INDEX(Canals!$AI$24:$AI$29,MATCH(2,1/((Canals!$F$24:$F$29&lt;=$C10)*(Canals!$G$24:$G$29=_xlfn.IFS(KS10="Handysize",Main!NB10,KS10="Supramax",MU10,KS10="Panamax",MN10,KS10="NeoPanamax",MG10,KS10="Suezmax",LZ10,KS10="Capesize",LS10,KS10="VLOC",LL10)))))}</t>
  </si>
  <si>
    <t>=INDEX(Canals!$AJ$24:$AJ$29,MATCH(2,1/((Canals!$F$24:$F$29&lt;=$C10)*(Canals!$G$24:$G$29=_xlfn.IFS(KS10="Handysize",Main!NB10,KS10="Supramax",MU10,KS10="Panamax",MN10,KS10="NeoPanamax",MG10,KS10="Suezmax",LZ10,KS10="Capesize",LS10,KS10="VLOC",LL10)))))}</t>
  </si>
  <si>
    <t>=INDEX(Canals!$AK$24:$AK$29,MATCH(2,1/((Canals!$F$24:$F$29&lt;=$C10)*(Canals!$G$24:$G$29=_xlfn.IFS(KS10="Handysize",Main!NB10,KS10="Supramax",MU10,KS10="Panamax",MN10,KS10="NeoPanamax",MG10,KS10="Suezmax",LZ10,KS10="Capesize",LS10,KS10="VLOC",LL10)))))}</t>
  </si>
  <si>
    <t>=INDEX(Canals!$AL$24:$AL$29,MATCH(2,1/((Canals!$F$24:$F$29&lt;=$C10)*(Canals!$G$24:$G$29=_xlfn.IFS(KS10="Handysize",Main!NB10,KS10="Supramax",MU10,KS10="Panamax",MN10,KS10="NeoPanamax",MG10,KS10="Suezmax",LZ10,KS10="Capesize",LS10,KS10="VLOC",LL10)))))}</t>
  </si>
  <si>
    <t>=INDEX(Canals!$AM$24:$AM$29,MATCH(2,1/((Canals!$F$24:$F$29&lt;=$C10)*(Canals!$G$24:$G$29=_xlfn.IFS(KS10="Handysize",Main!NB10,KS10="Supramax",MU10,KS10="Panamax",MN10,KS10="NeoPanamax",MG10,KS10="Suezmax",LZ10,KS10="Capesize",LS10,KS10="VLOC",LL10)))))}</t>
  </si>
  <si>
    <t>=INDEX(Canals!$AN$24:$AN$29,MATCH(2,1/((Canals!$F$24:$F$29&lt;=$C10)*(Canals!$G$24:$G$29=_xlfn.IFS(KS10="Handysize",Main!NB10,KS10="Supramax",MU10,KS10="Panamax",MN10,KS10="NeoPanamax",MG10,KS10="Suezmax",LZ10,KS10="Capesize",LS10,KS10="VLOC",LL10)))))}</t>
  </si>
  <si>
    <t>=INDEX(Canals!$AO$24:$AO$29,MATCH(2,1/((Canals!$F$24:$F$29&lt;=$C10)*(Canals!$G$24:$G$29=_xlfn.IFS(KS10="Handysize",Main!NB10,KS10="Supramax",MU10,KS10="Panamax",MN10,KS10="NeoPanamax",MG10,KS10="Suezmax",LZ10,KS10="Capesize",LS10,KS10="VLOC",LL10)))))}</t>
  </si>
  <si>
    <t>=INDEX(Canals!$AP$24:$AP$29,MATCH(2,1/((Canals!$F$24:$F$29&lt;=$C10)*(Canals!$G$24:$G$29=_xlfn.IFS(KS10="Handysize",Main!NB10,KS10="Supramax",MU10,KS10="Panamax",MN10,KS10="NeoPanamax",MG10,KS10="Suezmax",LZ10,KS10="Capesize",LS10,KS10="VLOC",LL10)))))}</t>
  </si>
  <si>
    <t>=INDEX(Canals!$AQ$24:$AQ$29,MATCH(2,1/((Canals!$F$24:$F$29&lt;=$C10)*(Canals!$G$24:$G$29=_xlfn.IFS(KS10="Handysize",Main!NB10,KS10="Supramax",MU10,KS10="Panamax",MN10,KS10="NeoPanamax",MG10,KS10="Suezmax",LZ10,KS10="Capesize",LS10,KS10="VLOC",LL10)))))}</t>
  </si>
  <si>
    <t>=INDEX(Canals!$AR$24:$AR$29,MATCH(2,1/((Canals!$F$24:$F$29&lt;=$C10)*(Canals!$G$24:$G$29=_xlfn.IFS(KS10="Handysize",Main!NB10,KS10="Supramax",MU10,KS10="Panamax",MN10,KS10="NeoPanamax",MG10,KS10="Suezmax",LZ10,KS10="Capesize",LS10,KS10="VLOC",LL10)))))}</t>
  </si>
  <si>
    <t>=INDEX(Canals!$AS$24:$AS$29,MATCH(2,1/((Canals!$F$24:$F$29&lt;=$C10)*(Canals!$G$24:$G$29=_xlfn.IFS(KS10="Handysize",Main!NB10,KS10="Supramax",MU10,KS10="Panamax",MN10,KS10="NeoPanamax",MG10,KS10="Suezmax",LZ10,KS10="Capesize",LS10,KS10="VLOC",LL10)))))}</t>
  </si>
  <si>
    <t>=INDEX(Canals!$AT$24:$AT$29,MATCH(2,1/((Canals!$F$24:$F$29&lt;=$C10)*(Canals!$G$24:$G$29=_xlfn.IFS(KS10="Handysize",Main!NB10,KS10="Supramax",MU10,KS10="Panamax",MN10,KS10="NeoPanamax",MG10,KS10="Suezmax",LZ10,KS10="Capesize",LS10,KS10="VLOC",LL10)))))}</t>
  </si>
  <si>
    <t>=INDEX(Canals!$AU$24:$AU$29,MATCH(2,1/((Canals!$F$24:$F$29&lt;=$C10)*(Canals!$G$24:$G$29=_xlfn.IFS(KS10="Handysize",Main!NB10,KS10="Supramax",MU10,KS10="Panamax",MN10,KS10="NeoPanamax",MG10,KS10="Suezmax",LZ10,KS10="Capesize",LS10,KS10="VLOC",LL10)))))}</t>
  </si>
  <si>
    <t>=INDEX(Canals!$AV$24:$AV$29,MATCH(2,1/((Canals!$F$24:$F$29&lt;=$C10)*(Canals!$G$24:$G$29=_xlfn.IFS(KS10="Handysize",Main!NB10,KS10="Supramax",MU10,KS10="Panamax",MN10,KS10="NeoPanamax",MG10,KS10="Suezmax",LZ10,KS10="Capesize",LS10,KS10="VLOC",LL10)))))}</t>
  </si>
  <si>
    <t>=_xlfn.IFS(OJ10="DWT",KQ10,OJ10="NRT",KU10,OJ10="GRT",KV10)}</t>
  </si>
  <si>
    <t>IF(PY10&gt;OK10,OK10,PY10)</t>
  </si>
  <si>
    <t>IF(PY10&gt;SUM(OK10:OL10),OL10,PY10-SUM(PZ10:PZ10))</t>
  </si>
  <si>
    <t>IF(PY10&gt;SUM(OK10:OM10),OM10,PY10-SUM(PZ10:QA10))</t>
  </si>
  <si>
    <t>IF(PY10&gt;SUM(OK10:ON10),ON10,PY10-SUM(PZ10:QB10))</t>
  </si>
  <si>
    <t>IF(PY10&gt;SUM(OK10:OO10),OO10,PY10-SUM(PZ10:QC10))</t>
  </si>
  <si>
    <t>IF(PY10&gt;SUM(OK10:OP10),OP10,PY10-SUM(PZ10:QD10))</t>
  </si>
  <si>
    <t>IF(PY10&gt;SUM(OK10:OQ10),OQ10,PY10-SUM(PZ10:QE10))</t>
  </si>
  <si>
    <t>IF(PY10&gt;SUM(OK10:OR10),OR10,PY10-SUM(PZ10:QF10))</t>
  </si>
  <si>
    <t>IF(PY10&gt;SUM(OK10:OS10),OS10,PY10-SUM(PZ10:QG10))</t>
  </si>
  <si>
    <t>KQ10*$JN10</t>
  </si>
  <si>
    <t>IF(QI10&gt;PD10,PD10,QI10)</t>
  </si>
  <si>
    <t>IF(QI10&gt;SUM(PD10:PE10),PE10,QI10-SUM(QJ10:QJ10))</t>
  </si>
  <si>
    <t>IF(QI10&gt;SUM(PD10:PF10),PF10,QI10-SUM(QJ10:QK10))</t>
  </si>
  <si>
    <t>IF(QI10&gt;SUM(PD10:PG10),PG10,QI10-SUM(QJ10:QL10))</t>
  </si>
  <si>
    <t>IF(QI10&gt;SUM(PD10:PH10),PH10,QI10-SUM(QJ10:QM10))</t>
  </si>
  <si>
    <t>IF(QI10&gt;SUM(PD10:PI10),PI10,QI10-SUM(QJ10:QN10))</t>
  </si>
  <si>
    <t>IF(QI10&gt;SUM(PD10:PJ10),PJ10,QI10-SUM(QJ10:QO10))</t>
  </si>
  <si>
    <t>IF(QI10&gt;SUM(PD10:PK10),PK10,QI10-SUM(QJ10:QP10))</t>
  </si>
  <si>
    <t>IF(QI10&gt;SUM(PD10:PL10),PL10,QI10-SUM(QJ10:QQ10))</t>
  </si>
  <si>
    <t>=_xlfn.IFS(KS10="Handysize",Main!MV10,KS10="Supramax",MO10,KS10="Panamax",MH10,KS10="NeoPanamax",MA10,KS10="Suezmax",LT10,KS10="Capesize",LM10,KS10="VLOC",LF10)*$JI10}</t>
  </si>
  <si>
    <t>=_xlfn.IFS(KS10="Handysize",Main!MW10,KS10="Supramax",MP10,KS10="Panamax",MI10,KS10="NeoPanamax",MB10,KS10="Suezmax",LU10,KS10="Capesize",LN10,KS10="VLOC",LG10)*$JI10}</t>
  </si>
  <si>
    <t>=_xlfn.IFS(KS10="Handysize",Main!KX10,KS10="Supramax",KY10,KS10="Panamax",KZ10,KS10="NeoPanamax",LA10,KS10="Suezmax",LB10,KS10="Capesize",LC10,KS10="VLOC",LD10)}</t>
  </si>
  <si>
    <t>=_xlfn.IFS(KS10="Handysize",Main!NJ10,KS10="Supramax",NK10,KS10="Panamax",NL10,KS10="NeoPanamax",NM10,KS10="Suezmax",NN10,KS10="Capesize",NO10,KS10="VLOC",NP10)}</t>
  </si>
  <si>
    <t>=INDEX('Ship Speeds'!$G$11:$G$1011,MATCH(2,1/(('Ship Speeds'!$E$11:$E$1011&lt;=Main!$C10)*('Ship Speeds'!$F$11:$F$1011=Main!KR10))))}</t>
  </si>
  <si>
    <t>(($KH10*QX10^2+$KI10*QX10^3+$KG10*QX10)*((KQ10/$KC10)^$KD10)*$KJ10+(KQ10/$KC10)*$KF10+$KE10)</t>
  </si>
  <si>
    <t>(KQ10/$JY10)*$JZ10+$KA10+$KB10*(KQ10/$JY10)^2</t>
  </si>
  <si>
    <t>QT10/QX10/$JH10</t>
  </si>
  <si>
    <t>QU10/QX10/$JH10</t>
  </si>
  <si>
    <t>IF($AO10="no",$AN10,$AR10)/(1-$AL10)/QV10</t>
  </si>
  <si>
    <t>IF($AO10="no",$AN10,$AR10)/(1-$AL10)/QW10</t>
  </si>
  <si>
    <t>PW10*$JI10</t>
  </si>
  <si>
    <t>MAX(SUM(RA10:RE10)*$JV10,$JU10)</t>
  </si>
  <si>
    <t>=INDEX(ND10:NH10,MATCH(_xlfn.IFS(KS10="Handysize",Main!MZ10,KS10="Supramax",MS10,KS10="Panamax",ML10,KS10="NeoPanamax",ME10,KS10="Suezmax",LX10,KS10="Capesize",LQ10,KS10="VLOC",LJ10),$ND$7:$NH$7,0))}</t>
  </si>
  <si>
    <t>=INDEX(ND10:NH10,MATCH(_xlfn.IFS(KS10="Handysize",Main!NA10,KS10="Supramax",MT10,KS10="Panamax",MM10,KS10="NeoPanamax",MF10,KS10="Suezmax",LY10,KS10="Capesize",LR10,KS10="VLOC",LK10),$ND$7:$NH$7,0))}</t>
  </si>
  <si>
    <t>RA10*QY10*RG10</t>
  </si>
  <si>
    <t>SUM(RC10:RF10)*QZ10*RH10+RB10*QY10*RH10</t>
  </si>
  <si>
    <t>INDEX($JA10:$JD10,MATCH(NQ10,$JA$7:$JD$7,0))</t>
  </si>
  <si>
    <t>NR10/RK10</t>
  </si>
  <si>
    <t>NS10*SUM(RD10,$JX10)/RK10</t>
  </si>
  <si>
    <t>NT10*(RF10*(1-$JW10))/RK10</t>
  </si>
  <si>
    <t>NU10*(KQ10*$JN10)/RK10</t>
  </si>
  <si>
    <t>NV10*(KQ10*$JN10)*SUM(RD10,$JX10)/RK10</t>
  </si>
  <si>
    <t>NW10*(KQ10*$JN10)*(RF10*(1-$JW10))/RK10</t>
  </si>
  <si>
    <t>NX10*KU10/RK10</t>
  </si>
  <si>
    <t>NY10*KU10*SUM(RD10,$JX10)/RK10</t>
  </si>
  <si>
    <t>NZ10*KU10*(RF10*(1-$JW10))/RK10</t>
  </si>
  <si>
    <t>OA10*KV10/RK10</t>
  </si>
  <si>
    <t>OB10*KV10*SUM(RD10,$JX10)/RK10</t>
  </si>
  <si>
    <t>OC10*KV10*(RF10*(1-$JW10))/RK10</t>
  </si>
  <si>
    <t>OD10*KT10/RK10</t>
  </si>
  <si>
    <t>OE10*KT10*SUM(RD10,$JX10)/RK10</t>
  </si>
  <si>
    <t>OF10*KT10*(RF10*(1-$JW10))/RK10</t>
  </si>
  <si>
    <t>=INDEX('Ship Time Charter Rates'!$H$22:$H$1021,MATCH(2,1/(('Ship Time Charter Rates'!$G$22:$G$1021=_xlfn.IFS(KS10="Handysize",Main!MX10,KS10="Supramax",MQ10,KS10="Panamax",MJ10,KS10="NeoPanamax",MC10,KS10="Suezmax",LV10,KS10="Capesize",LO10,KS10="VLOC",LH10))*('Ship Time Charter Rates'!$E$22:$E$1021&lt;=Main!$C10)*(NOT(ISBLANK('Ship Time Charter Rates'!$H$22:$H$1021))))))}</t>
  </si>
  <si>
    <t>SUM(RA10:RF10,$JI10*$JX10)*SA10</t>
  </si>
  <si>
    <t>SUMPRODUCT(OT10:PB10,PZ10:QH10)+SUMPRODUCT(PM10:PU10,QJ10:QR10)</t>
  </si>
  <si>
    <t>SUM(RI10,RJ10)+SB10+SC10+SUM(RL10:RZ10)</t>
  </si>
  <si>
    <t>SD10*(1+$KL10)*(1+$KM10)</t>
  </si>
  <si>
    <t>IF(SE10=0,0,SE10/(KQ10*(1-$AL10)*$JN10))</t>
  </si>
  <si>
    <t>IF($AO10="yes",$AN10,$AR10)/(1-$AL10)/$JN10</t>
  </si>
  <si>
    <t>VLOOKUP(SH10,'Ship Time Charter Rates'!$F$10:$G$17,2,TRUE)</t>
  </si>
  <si>
    <t>VLOOKUP(SH10,Canals!$E$5:$F$12,2,TRUE)</t>
  </si>
  <si>
    <t>(SH10*$JO10 + $JP10)</t>
  </si>
  <si>
    <t>(SH10*$JQ10+$JR10)</t>
  </si>
  <si>
    <t>(SH10*$JS10+$JT10)</t>
  </si>
  <si>
    <t>=INDEX('Indices Mines Exporting Ports'!$R$20:$R$51,MATCH(2,1/(('Indices Mines Exporting Ports'!$D$20:$D$51&lt;=Main!$C10)*('Indices Mines Exporting Ports'!$Q$20:$Q$51=$AQ10))))}</t>
  </si>
  <si>
    <t>=INDEX('Indices Mines Exporting Ports'!$S$20:$S$51,MATCH(2,1/(('Indices Mines Exporting Ports'!$D$20:$D$51&lt;=Main!$C10)*('Indices Mines Exporting Ports'!$Q$20:$Q$51=$AQ10))))}</t>
  </si>
  <si>
    <t>=INDEX('Indices Mines Exporting Ports'!$T$20:$T$51,MATCH(2,1/(('Indices Mines Exporting Ports'!$D$20:$D$51&lt;=Main!$C10)*('Indices Mines Exporting Ports'!$Q$20:$Q$51=$AQ10))))}</t>
  </si>
  <si>
    <t>=INDEX('Indices Mines Exporting Ports'!$U$20:$U$51,MATCH(2,1/(('Indices Mines Exporting Ports'!$D$20:$D$51&lt;=Main!$C10)*('Indices Mines Exporting Ports'!$Q$20:$Q$51=$AQ10))))}</t>
  </si>
  <si>
    <t>=INDEX('Indices Mines Exporting Ports'!$V$20:$V$51,MATCH(2,1/(('Indices Mines Exporting Ports'!$D$20:$D$51&lt;=Main!$C10)*('Indices Mines Exporting Ports'!$Q$20:$Q$51=$AQ10))))}</t>
  </si>
  <si>
    <t>=INDEX('Indices Mines Exporting Ports'!$W$20:$W$51,MATCH(2,1/(('Indices Mines Exporting Ports'!$D$20:$D$51&lt;=Main!$C10)*('Indices Mines Exporting Ports'!$Q$20:$Q$51=$AQ10))))}</t>
  </si>
  <si>
    <t>=INDEX('Indices Mines Exporting Ports'!$X$20:$X$51,MATCH(2,1/(('Indices Mines Exporting Ports'!$D$20:$D$51&lt;=Main!$C10)*('Indices Mines Exporting Ports'!$Q$20:$Q$51=$AQ10))))}</t>
  </si>
  <si>
    <t>=INDEX('Port Linkages'!$E$18:$E$157,MATCH(2,1/(('Port Linkages'!$C$18:$C$157=$AQ10)*('Port Linkages'!$D$18:$D$157=IF($AO10="no",$AQ10,$AS10))*('Port Linkages'!$A$18:$A$157&lt;=$C10))))}</t>
  </si>
  <si>
    <t>=INDEX('Port Linkages'!$F$18:$F$157,MATCH(2,1/(('Port Linkages'!$C$18:$C$157=$AQ10)*('Port Linkages'!$D$18:$D$157=IF($AO10="no",$AQ10,$AS10))*('Port Linkages'!$A$18:$A$157&lt;=$C10))))}</t>
  </si>
  <si>
    <t>=INDEX('Port Linkages'!$G$18:$G$157,MATCH(2,1/(('Port Linkages'!$C$18:$C$157=$AQ10)*('Port Linkages'!$D$18:$D$157=IF($AO10="no",$AQ10,$AS10))*('Port Linkages'!$A$18:$A$157&lt;=$C10))))}</t>
  </si>
  <si>
    <t>=INDEX('Port Linkages'!$H$18:$H$157,MATCH(2,1/(('Port Linkages'!$C$18:$C$157=$AQ10)*('Port Linkages'!$D$18:$D$157=IF($AO10="no",$AQ10,$AS10))*('Port Linkages'!$A$18:$A$157&lt;=$C10))))}</t>
  </si>
  <si>
    <t>=INDEX('Port Linkages'!$I$18:$I$157,MATCH(2,1/(('Port Linkages'!$C$18:$C$157=$AQ10)*('Port Linkages'!$D$18:$D$157=IF($AO10="no",$AQ10,$AS10))*('Port Linkages'!$A$18:$A$157&lt;=$C10))))}</t>
  </si>
  <si>
    <t>=INDEX('Port Linkages'!$J$18:$J$157,MATCH(2,1/(('Port Linkages'!$C$18:$C$157=$AQ10)*('Port Linkages'!$D$18:$D$157=IF($AO10="no",$AQ10,$AS10))*('Port Linkages'!$A$18:$A$157&lt;=$C10))))}</t>
  </si>
  <si>
    <t>=INDEX('Port Linkages'!$K$18:$K$157,MATCH(2,1/(('Port Linkages'!$C$18:$C$157=$AQ10)*('Port Linkages'!$D$18:$D$157=IF($AO10="no",$AQ10,$AS10))*('Port Linkages'!$A$18:$A$157&lt;=$C10))))}</t>
  </si>
  <si>
    <t>=INDEX('Port Linkages'!$L$18:$L$157,MATCH(2,1/(('Port Linkages'!$C$18:$C$157=$AQ10)*('Port Linkages'!$D$18:$D$157=IF($AO10="no",$AQ10,$AS10))*('Port Linkages'!$A$18:$A$157&lt;=$C10))))}</t>
  </si>
  <si>
    <t>=INDEX('Port Linkages'!$M$18:$M$157,MATCH(2,1/(('Port Linkages'!$C$18:$C$157=$AQ10)*('Port Linkages'!$D$18:$D$157=IF($AO10="no",$AQ10,$AS10))*('Port Linkages'!$A$18:$A$157&lt;=$C10))))}</t>
  </si>
  <si>
    <t>=INDEX('Port Linkages'!$N$18:$N$157,MATCH(2,1/(('Port Linkages'!$C$18:$C$157=$AQ10)*('Port Linkages'!$D$18:$D$157=IF($AO10="no",$AQ10,$AS10))*('Port Linkages'!$A$18:$A$157&lt;=$C10))))}</t>
  </si>
  <si>
    <t>=INDEX('Port Linkages'!$O$18:$O$157,MATCH(2,1/(('Port Linkages'!$C$18:$C$157=$AQ10)*('Port Linkages'!$D$18:$D$157=IF($AO10="no",$AQ10,$AS10))*('Port Linkages'!$A$18:$A$157&lt;=$C10))))}</t>
  </si>
  <si>
    <t>=INDEX('Port Linkages'!$P$18:$P$157,MATCH(2,1/(('Port Linkages'!$C$18:$C$157=$AQ10)*('Port Linkages'!$D$18:$D$157=IF($AO10="no",$AQ10,$AS10))*('Port Linkages'!$A$18:$A$157&lt;=$C10))))}</t>
  </si>
  <si>
    <t>=INDEX('Port Linkages'!$Q$18:$Q$157,MATCH(2,1/(('Port Linkages'!$C$18:$C$157=$AQ10)*('Port Linkages'!$D$18:$D$157=IF($AO10="no",$AQ10,$AS10))*('Port Linkages'!$A$18:$A$157&lt;=$C10))))}</t>
  </si>
  <si>
    <t>=INDEX('Port Linkages'!$R$18:$R$157,MATCH(2,1/(('Port Linkages'!$C$18:$C$157=$AQ10)*('Port Linkages'!$D$18:$D$157=IF($AO10="no",$AQ10,$AS10))*('Port Linkages'!$A$18:$A$157&lt;=$C10))))}</t>
  </si>
  <si>
    <t>=INDEX('Port Linkages'!$S$18:$S$157,MATCH(2,1/(('Port Linkages'!$C$18:$C$157=$AQ10)*('Port Linkages'!$D$18:$D$157=IF($AO10="no",$AQ10,$AS10))*('Port Linkages'!$A$18:$A$157&lt;=$C10))))}</t>
  </si>
  <si>
    <t>=INDEX('Port Linkages'!$T$18:$T$157,MATCH(2,1/(('Port Linkages'!$C$18:$C$157=$AQ10)*('Port Linkages'!$D$18:$D$157=IF($AO10="no",$AQ10,$AS10))*('Port Linkages'!$A$18:$A$157&lt;=$C10))))}</t>
  </si>
  <si>
    <t>=INDEX('Port Linkages'!$U$18:$U$157,MATCH(2,1/(('Port Linkages'!$C$18:$C$157=$AQ10)*('Port Linkages'!$D$18:$D$157=IF($AO10="no",$AQ10,$AS10))*('Port Linkages'!$A$18:$A$157&lt;=$C10))))}</t>
  </si>
  <si>
    <t>=INDEX('Port Linkages'!$V$18:$V$157,MATCH(2,1/(('Port Linkages'!$C$18:$C$157=$AQ10)*('Port Linkages'!$D$18:$D$157=IF($AO10="no",$AQ10,$AS10))*('Port Linkages'!$A$18:$A$157&lt;=$C10))))}</t>
  </si>
  <si>
    <t>=INDEX('Port Linkages'!$W$18:$W$157,MATCH(2,1/(('Port Linkages'!$C$18:$C$157=$AQ10)*('Port Linkages'!$D$18:$D$157=IF($AO10="no",$AQ10,$AS10))*('Port Linkages'!$A$18:$A$157&lt;=$C10))))}</t>
  </si>
  <si>
    <t>=INDEX('Port Linkages'!$X$18:$X$157,MATCH(2,1/(('Port Linkages'!$C$18:$C$157=$AQ10)*('Port Linkages'!$D$18:$D$157=IF($AO10="no",$AQ10,$AS10))*('Port Linkages'!$A$18:$A$157&lt;=$C10))))}</t>
  </si>
  <si>
    <t>=INDEX('Port Linkages'!$Y$18:$Y$157,MATCH(2,1/(('Port Linkages'!$C$18:$C$157=$AQ10)*('Port Linkages'!$D$18:$D$157=IF($AO10="no",$AQ10,$AS10))*('Port Linkages'!$A$18:$A$157&lt;=$C10))))}</t>
  </si>
  <si>
    <t>=INDEX('Port Linkages'!$Z$18:$Z$157,MATCH(2,1/(('Port Linkages'!$C$18:$C$157=$AQ10)*('Port Linkages'!$D$18:$D$157=IF($AO10="no",$AQ10,$AS10))*('Port Linkages'!$A$18:$A$157&lt;=$C10))))}</t>
  </si>
  <si>
    <t>=INDEX('Port Linkages'!$AA$18:$AA$157,MATCH(2,1/(('Port Linkages'!$C$18:$C$157=$AQ10)*('Port Linkages'!$D$18:$D$157=IF($AO10="no",$AQ10,$AS10))*('Port Linkages'!$A$18:$A$157&lt;=$C10))))}</t>
  </si>
  <si>
    <t>=INDEX('Port Linkages'!$AB$18:$AB$157,MATCH(2,1/(('Port Linkages'!$C$18:$C$157=$AQ10)*('Port Linkages'!$D$18:$D$157=IF($AO10="no",$AQ10,$AS10))*('Port Linkages'!$A$18:$A$157&lt;=$C10))))}</t>
  </si>
  <si>
    <t>=INDEX('Port Linkages'!$AC$18:$AC$157,MATCH(2,1/(('Port Linkages'!$C$18:$C$157=$AQ10)*('Port Linkages'!$D$18:$D$157=IF($AO10="no",$AQ10,$AS10))*('Port Linkages'!$A$18:$A$157&lt;=$C10))))}</t>
  </si>
  <si>
    <t>=INDEX('Port Linkages'!$AD$18:$AD$157,MATCH(2,1/(('Port Linkages'!$C$18:$C$157=$AQ10)*('Port Linkages'!$D$18:$D$157=IF($AO10="no",$AQ10,$AS10))*('Port Linkages'!$A$18:$A$157&lt;=$C10))))}</t>
  </si>
  <si>
    <t>=INDEX('Port Linkages'!$AE$18:$AE$157,MATCH(2,1/(('Port Linkages'!$C$18:$C$157=$AQ10)*('Port Linkages'!$D$18:$D$157=IF($AO10="no",$AQ10,$AS10))*('Port Linkages'!$A$18:$A$157&lt;=$C10))))}</t>
  </si>
  <si>
    <t>=INDEX('Port Linkages'!$AF$18:$AF$157,MATCH(2,1/(('Port Linkages'!$C$18:$C$157=$AQ10)*('Port Linkages'!$D$18:$D$157=IF($AO10="no",$AQ10,$AS10))*('Port Linkages'!$A$18:$A$157&lt;=$C10))))}</t>
  </si>
  <si>
    <t>=INDEX('Port Linkages'!$AG$18:$AG$157,MATCH(2,1/(('Port Linkages'!$C$18:$C$157=$AQ10)*('Port Linkages'!$D$18:$D$157=IF($AO10="no",$AQ10,$AS10))*('Port Linkages'!$A$18:$A$157&lt;=$C10))))}</t>
  </si>
  <si>
    <t>=INDEX('Port Linkages'!$AH$18:$AH$157,MATCH(2,1/(('Port Linkages'!$C$18:$C$157=$AQ10)*('Port Linkages'!$D$18:$D$157=IF($AO10="no",$AQ10,$AS10))*('Port Linkages'!$A$18:$A$157&lt;=$C10))))}</t>
  </si>
  <si>
    <t>=INDEX('Port Linkages'!$AI$18:$AI$157,MATCH(2,1/(('Port Linkages'!$C$18:$C$157=$AQ10)*('Port Linkages'!$D$18:$D$157=IF($AO10="no",$AQ10,$AS10))*('Port Linkages'!$A$18:$A$157&lt;=$C10))))}</t>
  </si>
  <si>
    <t>=INDEX('Port Linkages'!$AJ$18:$AJ$157,MATCH(2,1/(('Port Linkages'!$C$18:$C$157=$AQ10)*('Port Linkages'!$D$18:$D$157=IF($AO10="no",$AQ10,$AS10))*('Port Linkages'!$A$18:$A$157&lt;=$C10))))}</t>
  </si>
  <si>
    <t>=INDEX('Port Linkages'!$AK$18:$AK$157,MATCH(2,1/(('Port Linkages'!$C$18:$C$157=$AQ10)*('Port Linkages'!$D$18:$D$157=IF($AO10="no",$AQ10,$AS10))*('Port Linkages'!$A$18:$A$157&lt;=$C10))))}</t>
  </si>
  <si>
    <t>=INDEX('Port Linkages'!$AL$18:$AL$157,MATCH(2,1/(('Port Linkages'!$C$18:$C$157=$AQ10)*('Port Linkages'!$D$18:$D$157=IF($AO10="no",$AQ10,$AS10))*('Port Linkages'!$A$18:$A$157&lt;=$C10))))}</t>
  </si>
  <si>
    <t>=INDEX('Port Linkages'!$AM$18:$AM$157,MATCH(2,1/(('Port Linkages'!$C$18:$C$157=$AQ10)*('Port Linkages'!$D$18:$D$157=IF($AO10="no",$AQ10,$AS10))*('Port Linkages'!$A$18:$A$157&lt;=$C10))))}</t>
  </si>
  <si>
    <t>=INDEX('Port Linkages'!$AN$18:$AN$157,MATCH(2,1/(('Port Linkages'!$C$18:$C$157=$AQ10)*('Port Linkages'!$D$18:$D$157=IF($AO10="no",$AQ10,$AS10))*('Port Linkages'!$A$18:$A$157&lt;=$C10))))}</t>
  </si>
  <si>
    <t>=INDEX('Port Linkages'!$AO$18:$AO$157,MATCH(2,1/(('Port Linkages'!$C$18:$C$157=$AQ10)*('Port Linkages'!$D$18:$D$157=IF($AO10="no",$AQ10,$AS10))*('Port Linkages'!$A$18:$A$157&lt;=$C10))))}</t>
  </si>
  <si>
    <t>=INDEX('Port Linkages'!$AP$18:$AP$157,MATCH(2,1/(('Port Linkages'!$C$18:$C$157=$AQ10)*('Port Linkages'!$D$18:$D$157=IF($AO10="no",$AQ10,$AS10))*('Port Linkages'!$A$18:$A$157&lt;=$C10))))}</t>
  </si>
  <si>
    <t>=INDEX('Port Linkages'!$AQ$18:$AQ$157,MATCH(2,1/(('Port Linkages'!$C$18:$C$157=$AQ10)*('Port Linkages'!$D$18:$D$157=IF($AO10="no",$AQ10,$AS10))*('Port Linkages'!$A$18:$A$157&lt;=$C10))))}</t>
  </si>
  <si>
    <t>=INDEX('Port Linkages'!$AR$18:$AR$157,MATCH(2,1/(('Port Linkages'!$C$18:$C$157=$AQ10)*('Port Linkages'!$D$18:$D$157=IF($AO10="no",$AQ10,$AS10))*('Port Linkages'!$A$18:$A$157&lt;=$C10))))}</t>
  </si>
  <si>
    <t>=INDEX('Port Linkages'!$AS$18:$AS$157,MATCH(2,1/(('Port Linkages'!$C$18:$C$157=$AQ10)*('Port Linkages'!$D$18:$D$157=IF($AO10="no",$AQ10,$AS10))*('Port Linkages'!$A$18:$A$157&lt;=$C10))))}</t>
  </si>
  <si>
    <t>=INDEX('Port Linkages'!$AT$18:$AT$157,MATCH(2,1/(('Port Linkages'!$C$18:$C$157=$AQ10)*('Port Linkages'!$D$18:$D$157=IF($AO10="no",$AQ10,$AS10))*('Port Linkages'!$A$18:$A$157&lt;=$C10))))}</t>
  </si>
  <si>
    <t>=INDEX('Port Linkages'!$AU$18:$AU$157,MATCH(2,1/(('Port Linkages'!$C$18:$C$157=$AQ10)*('Port Linkages'!$D$18:$D$157=IF($AO10="no",$AQ10,$AS10))*('Port Linkages'!$A$18:$A$157&lt;=$C10))))}</t>
  </si>
  <si>
    <t>=INDEX('Port Linkages'!$AV$18:$AV$157,MATCH(2,1/(('Port Linkages'!$C$18:$C$157=$AQ10)*('Port Linkages'!$D$18:$D$157=IF($AO10="no",$AQ10,$AS10))*('Port Linkages'!$A$18:$A$157&lt;=$C10))))}</t>
  </si>
  <si>
    <t>=INDEX('Port Linkages'!$AW$18:$AW$157,MATCH(2,1/(('Port Linkages'!$C$18:$C$157=$AQ10)*('Port Linkages'!$D$18:$D$157=IF($AO10="no",$AQ10,$AS10))*('Port Linkages'!$A$18:$A$157&lt;=$C10))))}</t>
  </si>
  <si>
    <t>=INDEX('Port Linkages'!$AX$18:$AX$157,MATCH(2,1/(('Port Linkages'!$C$18:$C$157=$AQ10)*('Port Linkages'!$D$18:$D$157=IF($AO10="no",$AQ10,$AS10))*('Port Linkages'!$A$18:$A$157&lt;=$C10))))}</t>
  </si>
  <si>
    <t>=INDEX('Port Linkages'!$AY$18:$AY$157,MATCH(2,1/(('Port Linkages'!$C$18:$C$157=$AQ10)*('Port Linkages'!$D$18:$D$157=IF($AO10="no",$AQ10,$AS10))*('Port Linkages'!$A$18:$A$157&lt;=$C10))))}</t>
  </si>
  <si>
    <t>=INDEX('Port Linkages'!$AZ$18:$AZ$157,MATCH(2,1/(('Port Linkages'!$C$18:$C$157=$AQ10)*('Port Linkages'!$D$18:$D$157=IF($AO10="no",$AQ10,$AS10))*('Port Linkages'!$A$18:$A$157&lt;=$C10))))}</t>
  </si>
  <si>
    <t>=INDEX('Port Linkages'!$BA$18:$BA$157,MATCH(2,1/(('Port Linkages'!$C$18:$C$157=$AQ10)*('Port Linkages'!$D$18:$D$157=IF($AO10="no",$AQ10,$AS10))*('Port Linkages'!$A$18:$A$157&lt;=$C10))))}</t>
  </si>
  <si>
    <t>=INDEX('Ship Fuel Prices'!$F$5:$F$1004,MATCH(2,1/(('Ship Fuel Prices'!$E$5:$E$1004=_xlfn.IFS(SJ10="Handysize",Main!UP10,SJ10="Supramax",UI10,SJ10="Panamax",UB10,SJ10="NeoPanamax",TU10,SJ10="Suezmax",TN10,SJ10="Capesize",TG10,SJ10="VLOC",SZ10))*('Ship Fuel Prices'!$D$5:$D$1004&lt;=Main!$C10))))}</t>
  </si>
  <si>
    <t>=INDEX('Ship Fuel Prices'!$G$5:$G$1004,MATCH(2,1/(('Ship Fuel Prices'!$E$5:$E$1004=_xlfn.IFS(SJ10="Handysize",Main!UP10,SJ10="Supramax",UI10,SJ10="Panamax",UB10,SJ10="NeoPanamax",TU10,SJ10="Suezmax",TN10,SJ10="Capesize",TG10,SJ10="VLOC",SZ10))*('Ship Fuel Prices'!$D$5:$D$1004&lt;=Main!$C10))))}</t>
  </si>
  <si>
    <t>=INDEX('Ship Fuel Prices'!$H$5:$H$1004,MATCH(2,1/(('Ship Fuel Prices'!$E$5:$E$1004=_xlfn.IFS(SJ10="Handysize",Main!UP10,SJ10="Supramax",UI10,SJ10="Panamax",UB10,SJ10="NeoPanamax",TU10,SJ10="Suezmax",TN10,SJ10="Capesize",TG10,SJ10="VLOC",SZ10))*('Ship Fuel Prices'!$D$5:$D$1004&lt;=Main!$C10))))}</t>
  </si>
  <si>
    <t>=INDEX('Ship Fuel Prices'!$I$5:$I$1004,MATCH(2,1/(('Ship Fuel Prices'!$E$5:$E$1004=_xlfn.IFS(SJ10="Handysize",Main!UP10,SJ10="Supramax",UI10,SJ10="Panamax",UB10,SJ10="NeoPanamax",TU10,SJ10="Suezmax",TN10,SJ10="Capesize",TG10,SJ10="VLOC",SZ10))*('Ship Fuel Prices'!$D$5:$D$1004&lt;=Main!$C10))))}</t>
  </si>
  <si>
    <t>=INDEX('Ship Fuel Prices'!$J$5:$J$1004,MATCH(2,1/(('Ship Fuel Prices'!$E$5:$E$1004=_xlfn.IFS(SJ10="Handysize",Main!UP10,SJ10="Supramax",UI10,SJ10="Panamax",UB10,SJ10="NeoPanamax",TU10,SJ10="Suezmax",TN10,SJ10="Capesize",TG10,SJ10="VLOC",SZ10))*('Ship Fuel Prices'!$D$5:$D$1004&lt;=Main!$C10))))}</t>
  </si>
  <si>
    <t>=INDEX('China n Importing Ports'!$E$20:$E$41,MATCH(2,1/(('China n Importing Ports'!$D$20:$D$41&lt;=$C10)*('China n Importing Ports'!$C$20:$C$41=IF($AO10="No",$AQ10,$AS10)))))}</t>
  </si>
  <si>
    <t>=INDEX('China n Importing Ports'!$F$20:$F$41,MATCH(2,1/(('China n Importing Ports'!$D$20:$D$41&lt;=$C10)*('China n Importing Ports'!$C$20:$C$41=IF($AO10="No",$AQ10,$AS10)))))}</t>
  </si>
  <si>
    <t>=INDEX('China n Importing Ports'!$G$20:$G$41,MATCH(2,1/(('China n Importing Ports'!$D$20:$D$41&lt;=$C10)*('China n Importing Ports'!$C$20:$C$41=IF($AO10="No",$AQ10,$AS10)))))}</t>
  </si>
  <si>
    <t>=INDEX('China n Importing Ports'!$H$20:$H$41,MATCH(2,1/(('China n Importing Ports'!$D$20:$D$41&lt;=$C10)*('China n Importing Ports'!$C$20:$C$41=IF($AO10="No",$AQ10,$AS10)))))}</t>
  </si>
  <si>
    <t>=INDEX('China n Importing Ports'!$I$20:$I$41,MATCH(2,1/(('China n Importing Ports'!$D$20:$D$41&lt;=$C10)*('China n Importing Ports'!$C$20:$C$41=IF($AO10="No",$AQ10,$AS10)))))}</t>
  </si>
  <si>
    <t>=INDEX('China n Importing Ports'!$J$20:$J$41,MATCH(2,1/(('China n Importing Ports'!$D$20:$D$41&lt;=$C10)*('China n Importing Ports'!$C$20:$C$41=IF($AO10="No",$AQ10,$AS10)))))}</t>
  </si>
  <si>
    <t>=INDEX('China n Importing Ports'!$K$20:$K$41,MATCH(2,1/(('China n Importing Ports'!$D$20:$D$41&lt;=$C10)*('China n Importing Ports'!$C$20:$C$41=IF($AO10="No",$AQ10,$AS10)))))}</t>
  </si>
  <si>
    <t>=INDEX('China n Importing Ports'!$L$20:$L$41,MATCH(2,1/(('China n Importing Ports'!$D$20:$D$41&lt;=$C10)*('China n Importing Ports'!$C$20:$C$41=IF($AO10="No",$AQ10,$AS10)))))}</t>
  </si>
  <si>
    <t>=INDEX('China n Importing Ports'!$M$20:$M$41,MATCH(2,1/(('China n Importing Ports'!$D$20:$D$41&lt;=$C10)*('China n Importing Ports'!$C$20:$C$41=IF($AO10="No",$AQ10,$AS10)))))}</t>
  </si>
  <si>
    <t>=INDEX('China n Importing Ports'!$N$20:$N$41,MATCH(2,1/(('China n Importing Ports'!$D$20:$D$41&lt;=$C10)*('China n Importing Ports'!$C$20:$C$41=IF($AO10="No",$AQ10,$AS10)))))}</t>
  </si>
  <si>
    <t>=INDEX('China n Importing Ports'!$O$20:$O$41,MATCH(2,1/(('China n Importing Ports'!$D$20:$D$41&lt;=$C10)*('China n Importing Ports'!$C$20:$C$41=IF($AO10="No",$AQ10,$AS10)))))}</t>
  </si>
  <si>
    <t>=INDEX('China n Importing Ports'!$P$20:$P$41,MATCH(2,1/(('China n Importing Ports'!$D$20:$D$41&lt;=$C10)*('China n Importing Ports'!$C$20:$C$41=IF($AO10="No",$AQ10,$AS10)))))}</t>
  </si>
  <si>
    <t>=INDEX('China n Importing Ports'!$Q$20:$Q$41,MATCH(2,1/(('China n Importing Ports'!$D$20:$D$41&lt;=$C10)*('China n Importing Ports'!$C$20:$C$41=IF($AO10="No",$AQ10,$AS10)))))}</t>
  </si>
  <si>
    <t>=INDEX('China n Importing Ports'!$R$20:$R$41,MATCH(2,1/(('China n Importing Ports'!$D$20:$D$41&lt;=$C10)*('China n Importing Ports'!$C$20:$C$41=IF($AO10="No",$AQ10,$AS10)))))}</t>
  </si>
  <si>
    <t>=INDEX('China n Importing Ports'!$S$20:$S$41,MATCH(2,1/(('China n Importing Ports'!$D$20:$D$41&lt;=$C10)*('China n Importing Ports'!$C$20:$C$41=IF($AO10="No",$AQ10,$AS10)))))}</t>
  </si>
  <si>
    <t>=INDEX('China n Importing Ports'!$T$20:$T$41,MATCH(2,1/(('China n Importing Ports'!$D$20:$D$41&lt;=$C10)*('China n Importing Ports'!$C$20:$C$41=IF($AO10="No",$AQ10,$AS10)))))}</t>
  </si>
  <si>
    <t>=INDEX('China n Importing Ports'!$U$20:$U$41,MATCH(2,1/(('China n Importing Ports'!$D$20:$D$41&lt;=$C10)*('China n Importing Ports'!$C$20:$C$41=IF($AO10="No",$AQ10,$AS10)))))}</t>
  </si>
  <si>
    <t>=INDEX('China n Importing Ports'!$V$20:$V$41,MATCH(2,1/(('China n Importing Ports'!$D$20:$D$41&lt;=$C10)*('China n Importing Ports'!$C$20:$C$41=IF($AO10="No",$AQ10,$AS10)))))}</t>
  </si>
  <si>
    <t>=INDEX('China n Importing Ports'!$W$20:$W$41,MATCH(2,1/(('China n Importing Ports'!$D$20:$D$41&lt;=$C10)*('China n Importing Ports'!$C$20:$C$41=IF($AO10="No",$AQ10,$AS10)))))}</t>
  </si>
  <si>
    <t>=INDEX('China n Importing Ports'!$X$20:$X$41,MATCH(2,1/(('China n Importing Ports'!$D$20:$D$41&lt;=$C10)*('China n Importing Ports'!$C$20:$C$41=IF($AO10="No",$AQ10,$AS10)))))}</t>
  </si>
  <si>
    <t>=INDEX('China n Importing Ports'!$Y$20:$Y$41,MATCH(2,1/(('China n Importing Ports'!$D$20:$D$41&lt;=$C10)*('China n Importing Ports'!$C$20:$C$41=IF($AO10="No",$AQ10,$AS10)))))}</t>
  </si>
  <si>
    <t>=INDEX('China n Importing Ports'!$Z$20:$Z$41,MATCH(2,1/(('China n Importing Ports'!$D$20:$D$41&lt;=$C10)*('China n Importing Ports'!$C$20:$C$41=IF($AO10="No",$AQ10,$AS10)))))}</t>
  </si>
  <si>
    <t>=INDEX('China n Importing Ports'!$AA$20:$AA$41,MATCH(2,1/(('China n Importing Ports'!$D$20:$D$41&lt;=$C10)*('China n Importing Ports'!$C$20:$C$41=IF($AO10="No",$AQ10,$AS10)))))}</t>
  </si>
  <si>
    <t>=INDEX(Canals!$G$24:$G$29,MATCH(2,1/((Canals!$F$24:$F$29&lt;=$C10)*(Canals!$G$24:$G$29=_xlfn.IFS(SJ10="Handysize",US10,SJ10="Supramax",UL10,SJ10="Panamax",UE10,SJ10="NeoPanamax",TX10,SJ10="Suezmax",TQ10,SJ10="Capesize",TJ10,SJ10="VLOC",TC10)))))}</t>
  </si>
  <si>
    <t>=INDEX(Canals!$H$24:$H$29,MATCH(2,1/((Canals!$F$24:$F$29&lt;=$C10)*(Canals!$G$24:$G$29=_xlfn.IFS(SJ10="Handysize",US10,SJ10="Supramax",UL10,SJ10="Panamax",UE10,SJ10="NeoPanamax",TX10,SJ10="Suezmax",TQ10,SJ10="Capesize",TJ10,SJ10="VLOC",TC10)))))}</t>
  </si>
  <si>
    <t>=INDEX(Canals!$I$24:$I$29,MATCH(2,1/((Canals!$F$24:$F$29&lt;=$C10)*(Canals!$G$24:$G$29=_xlfn.IFS(SJ10="Handysize",US10,SJ10="Supramax",UL10,SJ10="Panamax",UE10,SJ10="NeoPanamax",TX10,SJ10="Suezmax",TQ10,SJ10="Capesize",TJ10,SJ10="VLOC",TC10)))))}</t>
  </si>
  <si>
    <t>=INDEX(Canals!$J$24:$J$29,MATCH(2,1/((Canals!$F$24:$F$29&lt;=$C10)*(Canals!$G$24:$G$29=_xlfn.IFS(SJ10="Handysize",Main!US10,SJ10="Supramax",UL10,SJ10="Panamax",UE10,SJ10="NeoPanamax",TX10,SJ10="Suezmax",TQ10,SJ10="Capesize",TJ10,SJ10="VLOC",TC10)))))}</t>
  </si>
  <si>
    <t>=INDEX(Canals!$K$24:$K$29,MATCH(2,1/((Canals!$F$24:$F$29&lt;=$C10)*(Canals!$G$24:$G$29=_xlfn.IFS(SJ10="Handysize",Main!US10,SJ10="Supramax",UL10,SJ10="Panamax",UE10,SJ10="NeoPanamax",TX10,SJ10="Suezmax",TQ10,SJ10="Capesize",TJ10,SJ10="VLOC",TC10)))))}</t>
  </si>
  <si>
    <t>=INDEX(Canals!$L$24:$L$29,MATCH(2,1/((Canals!$F$24:$F$29&lt;=$C10)*(Canals!$G$24:$G$29=_xlfn.IFS(SJ10="Handysize",Main!US10,SJ10="Supramax",UL10,SJ10="Panamax",UE10,SJ10="NeoPanamax",TX10,SJ10="Suezmax",TQ10,SJ10="Capesize",TJ10,SJ10="VLOC",TC10)))))}</t>
  </si>
  <si>
    <t>=INDEX(Canals!$M$24:$M$29,MATCH(2,1/((Canals!$F$24:$F$29&lt;=$C10)*(Canals!$G$24:$G$29=_xlfn.IFS(SJ10="Handysize",Main!US10,SJ10="Supramax",UL10,SJ10="Panamax",UE10,SJ10="NeoPanamax",TX10,SJ10="Suezmax",TQ10,SJ10="Capesize",TJ10,SJ10="VLOC",TC10)))))}</t>
  </si>
  <si>
    <t>=INDEX(Canals!$N$24:$N$29,MATCH(2,1/((Canals!$F$24:$F$29&lt;=$C10)*(Canals!$G$24:$G$29=_xlfn.IFS(SJ10="Handysize",Main!US10,SJ10="Supramax",UL10,SJ10="Panamax",UE10,SJ10="NeoPanamax",TX10,SJ10="Suezmax",TQ10,SJ10="Capesize",TJ10,SJ10="VLOC",TC10)))))}</t>
  </si>
  <si>
    <t>=INDEX(Canals!$O$24:$O$29,MATCH(2,1/((Canals!$F$24:$F$29&lt;=$C10)*(Canals!$G$24:$G$29=_xlfn.IFS(SJ10="Handysize",Main!US10,SJ10="Supramax",UL10,SJ10="Panamax",UE10,SJ10="NeoPanamax",TX10,SJ10="Suezmax",TQ10,SJ10="Capesize",TJ10,SJ10="VLOC",TC10)))))}</t>
  </si>
  <si>
    <t>=INDEX(Canals!$P$24:$P$29,MATCH(2,1/((Canals!$F$24:$F$29&lt;=$C10)*(Canals!$G$24:$G$29=_xlfn.IFS(SJ10="Handysize",Main!US10,SJ10="Supramax",UL10,SJ10="Panamax",UE10,SJ10="NeoPanamax",TX10,SJ10="Suezmax",TQ10,SJ10="Capesize",TJ10,SJ10="VLOC",TC10)))))}</t>
  </si>
  <si>
    <t>=INDEX(Canals!$Q$24:$Q$29,MATCH(2,1/((Canals!$F$24:$F$29&lt;=$C10)*(Canals!$G$24:$G$29=_xlfn.IFS(SJ10="Handysize",Main!US10,SJ10="Supramax",UL10,SJ10="Panamax",UE10,SJ10="NeoPanamax",TX10,SJ10="Suezmax",TQ10,SJ10="Capesize",TJ10,SJ10="VLOC",TC10)))))}</t>
  </si>
  <si>
    <t>=INDEX(Canals!$R$24:$R$29,MATCH(2,1/((Canals!$F$24:$F$29&lt;=$C10)*(Canals!$G$24:$G$29=_xlfn.IFS(SJ10="Handysize",Main!US10,SJ10="Supramax",UL10,SJ10="Panamax",UE10,SJ10="NeoPanamax",TX10,SJ10="Suezmax",TQ10,SJ10="Capesize",TJ10,SJ10="VLOC",TC10)))))}</t>
  </si>
  <si>
    <t>=INDEX(Canals!$S$24:$S$29,MATCH(2,1/((Canals!$F$24:$F$29&lt;=$C10)*(Canals!$G$24:$G$29=_xlfn.IFS(SJ10="Handysize",Main!US10,SJ10="Supramax",UL10,SJ10="Panamax",UE10,SJ10="NeoPanamax",TX10,SJ10="Suezmax",TQ10,SJ10="Capesize",TJ10,SJ10="VLOC",TC10)))))}</t>
  </si>
  <si>
    <t>=INDEX(Canals!$T$24:$T$29,MATCH(2,1/((Canals!$F$24:$F$29&lt;=$C10)*(Canals!$G$24:$G$29=_xlfn.IFS(SJ10="Handysize",Main!US10,SJ10="Supramax",UL10,SJ10="Panamax",UE10,SJ10="NeoPanamax",TX10,SJ10="Suezmax",TQ10,SJ10="Capesize",TJ10,SJ10="VLOC",TC10)))))}</t>
  </si>
  <si>
    <t>=INDEX(Canals!$U$24:$U$29,MATCH(2,1/((Canals!$F$24:$F$29&lt;=$C10)*(Canals!$G$24:$G$29=_xlfn.IFS(SJ10="Handysize",Main!US10,SJ10="Supramax",UL10,SJ10="Panamax",UE10,SJ10="NeoPanamax",TX10,SJ10="Suezmax",TQ10,SJ10="Capesize",TJ10,SJ10="VLOC",TC10)))))}</t>
  </si>
  <si>
    <t>=INDEX(Canals!$V$24:$V$29,MATCH(2,1/((Canals!$F$24:$F$29&lt;=$C10)*(Canals!$G$24:$G$29=_xlfn.IFS(SJ10="Handysize",Main!US10,SJ10="Supramax",UL10,SJ10="Panamax",UE10,SJ10="NeoPanamax",TX10,SJ10="Suezmax",TQ10,SJ10="Capesize",TJ10,SJ10="VLOC",TC10)))))}</t>
  </si>
  <si>
    <t>=INDEX(Canals!$W$24:$W$29,MATCH(2,1/((Canals!$F$24:$F$29&lt;=$C10)*(Canals!$G$24:$G$29=_xlfn.IFS(SJ10="Handysize",Main!US10,SJ10="Supramax",UL10,SJ10="Panamax",UE10,SJ10="NeoPanamax",TX10,SJ10="Suezmax",TQ10,SJ10="Capesize",TJ10,SJ10="VLOC",TC10)))))}</t>
  </si>
  <si>
    <t>=INDEX(Canals!$X$24:$X$29,MATCH(2,1/((Canals!$F$24:$F$29&lt;=$C10)*(Canals!$G$24:$G$29=_xlfn.IFS(SJ10="Handysize",Main!US10,SJ10="Supramax",UL10,SJ10="Panamax",UE10,SJ10="NeoPanamax",TX10,SJ10="Suezmax",TQ10,SJ10="Capesize",TJ10,SJ10="VLOC",TC10)))))}</t>
  </si>
  <si>
    <t>=INDEX(Canals!$Y$24:$Y$29,MATCH(2,1/((Canals!$F$24:$F$29&lt;=$C10)*(Canals!$G$24:$G$29=_xlfn.IFS(SJ10="Handysize",Main!US10,SJ10="Supramax",UL10,SJ10="Panamax",UE10,SJ10="NeoPanamax",TX10,SJ10="Suezmax",TQ10,SJ10="Capesize",TJ10,SJ10="VLOC",TC10)))))}</t>
  </si>
  <si>
    <t>=INDEX(Canals!$Z$24:$Z$29,MATCH(2,1/((Canals!$F$24:$F$29&lt;=$C10)*(Canals!$G$24:$G$29=_xlfn.IFS(SJ10="Handysize",Main!US10,SJ10="Supramax",UL10,SJ10="Panamax",UE10,SJ10="NeoPanamax",TX10,SJ10="Suezmax",TQ10,SJ10="Capesize",TJ10,SJ10="VLOC",TC10)))))}</t>
  </si>
  <si>
    <t>=INDEX(Canals!$AA$24:$AA$29,MATCH(2,1/((Canals!$F$24:$F$29&lt;=$C10)*(Canals!$G$24:$G$29=_xlfn.IFS(SJ10="Handysize",Main!US10,SJ10="Supramax",UL10,SJ10="Panamax",UE10,SJ10="NeoPanamax",TX10,SJ10="Suezmax",TQ10,SJ10="Capesize",TJ10,SJ10="VLOC",TC10)))))}</t>
  </si>
  <si>
    <t>=INDEX(Canals!$AB$24:$AB$29,MATCH(2,1/((Canals!$F$24:$F$29&lt;=$C10)*(Canals!$G$24:$G$29=_xlfn.IFS(SJ10="Handysize",Main!US10,SJ10="Supramax",UL10,SJ10="Panamax",UE10,SJ10="NeoPanamax",TX10,SJ10="Suezmax",TQ10,SJ10="Capesize",TJ10,SJ10="VLOC",TC10)))))}</t>
  </si>
  <si>
    <t>=INDEX(Canals!$AC$24:$AC$29,MATCH(2,1/((Canals!$F$24:$F$29&lt;=$C10)*(Canals!$G$24:$G$29=_xlfn.IFS(SJ10="Handysize",Main!US10,SJ10="Supramax",UL10,SJ10="Panamax",UE10,SJ10="NeoPanamax",TX10,SJ10="Suezmax",TQ10,SJ10="Capesize",TJ10,SJ10="VLOC",TC10)))))}</t>
  </si>
  <si>
    <t>=INDEX(Canals!$AD$24:$AD$29,MATCH(2,1/((Canals!$F$24:$F$29&lt;=$C10)*(Canals!$G$24:$G$29=_xlfn.IFS(SJ10="Handysize",Main!US10,SJ10="Supramax",UL10,SJ10="Panamax",UE10,SJ10="NeoPanamax",TX10,SJ10="Suezmax",TQ10,SJ10="Capesize",TJ10,SJ10="VLOC",TC10)))))}</t>
  </si>
  <si>
    <t>=INDEX(Canals!$AE$24:$AE$29,MATCH(2,1/((Canals!$F$24:$F$29&lt;=$C10)*(Canals!$G$24:$G$29=_xlfn.IFS(SJ10="Handysize",Main!US10,SJ10="Supramax",UL10,SJ10="Panamax",UE10,SJ10="NeoPanamax",TX10,SJ10="Suezmax",TQ10,SJ10="Capesize",TJ10,SJ10="VLOC",TC10)))))}</t>
  </si>
  <si>
    <t>=INDEX(Canals!$AF$24:$AF$29,MATCH(2,1/((Canals!$F$24:$F$29&lt;=$C10)*(Canals!$G$24:$G$29=_xlfn.IFS(SJ10="Handysize",Main!US10,SJ10="Supramax",UL10,SJ10="Panamax",UE10,SJ10="NeoPanamax",TX10,SJ10="Suezmax",TQ10,SJ10="Capesize",TJ10,SJ10="VLOC",TC10)))))}</t>
  </si>
  <si>
    <t>=INDEX(Canals!$AG$24:$AG$29,MATCH(2,1/((Canals!$F$24:$F$29&lt;=$C10)*(Canals!$G$24:$G$29=_xlfn.IFS(SJ10="Handysize",Main!US10,SJ10="Supramax",UL10,SJ10="Panamax",UE10,SJ10="NeoPanamax",TX10,SJ10="Suezmax",TQ10,SJ10="Capesize",TJ10,SJ10="VLOC",TC10)))))}</t>
  </si>
  <si>
    <t>=INDEX(Canals!$AH$24:$AH$29,MATCH(2,1/((Canals!$F$24:$F$29&lt;=$C10)*(Canals!$G$24:$G$29=_xlfn.IFS(SJ10="Handysize",Main!US10,SJ10="Supramax",UL10,SJ10="Panamax",UE10,SJ10="NeoPanamax",TX10,SJ10="Suezmax",TQ10,SJ10="Capesize",TJ10,SJ10="VLOC",TC10)))))}</t>
  </si>
  <si>
    <t>=INDEX(Canals!$AI$24:$AI$29,MATCH(2,1/((Canals!$F$24:$F$29&lt;=$C10)*(Canals!$G$24:$G$29=_xlfn.IFS(SJ10="Handysize",Main!US10,SJ10="Supramax",UL10,SJ10="Panamax",UE10,SJ10="NeoPanamax",TX10,SJ10="Suezmax",TQ10,SJ10="Capesize",TJ10,SJ10="VLOC",TC10)))))}</t>
  </si>
  <si>
    <t>=INDEX(Canals!$AJ$24:$AJ$29,MATCH(2,1/((Canals!$F$24:$F$29&lt;=$C10)*(Canals!$G$24:$G$29=_xlfn.IFS(SJ10="Handysize",Main!US10,SJ10="Supramax",UL10,SJ10="Panamax",UE10,SJ10="NeoPanamax",TX10,SJ10="Suezmax",TQ10,SJ10="Capesize",TJ10,SJ10="VLOC",TC10)))))}</t>
  </si>
  <si>
    <t>=INDEX(Canals!$AK$24:$AK$29,MATCH(2,1/((Canals!$F$24:$F$29&lt;=$C10)*(Canals!$G$24:$G$29=_xlfn.IFS(SJ10="Handysize",Main!US10,SJ10="Supramax",UL10,SJ10="Panamax",UE10,SJ10="NeoPanamax",TX10,SJ10="Suezmax",TQ10,SJ10="Capesize",TJ10,SJ10="VLOC",TC10)))))}</t>
  </si>
  <si>
    <t>=INDEX(Canals!$AL$24:$AL$29,MATCH(2,1/((Canals!$F$24:$F$29&lt;=$C10)*(Canals!$G$24:$G$29=_xlfn.IFS(SJ10="Handysize",Main!US10,SJ10="Supramax",UL10,SJ10="Panamax",UE10,SJ10="NeoPanamax",TX10,SJ10="Suezmax",TQ10,SJ10="Capesize",TJ10,SJ10="VLOC",TC10)))))}</t>
  </si>
  <si>
    <t>=INDEX(Canals!$AM$24:$AM$29,MATCH(2,1/((Canals!$F$24:$F$29&lt;=$C10)*(Canals!$G$24:$G$29=_xlfn.IFS(SJ10="Handysize",Main!US10,SJ10="Supramax",UL10,SJ10="Panamax",UE10,SJ10="NeoPanamax",TX10,SJ10="Suezmax",TQ10,SJ10="Capesize",TJ10,SJ10="VLOC",TC10)))))}</t>
  </si>
  <si>
    <t>=INDEX(Canals!$AN$24:$AN$29,MATCH(2,1/((Canals!$F$24:$F$29&lt;=$C10)*(Canals!$G$24:$G$29=_xlfn.IFS(SJ10="Handysize",Main!US10,SJ10="Supramax",UL10,SJ10="Panamax",UE10,SJ10="NeoPanamax",TX10,SJ10="Suezmax",TQ10,SJ10="Capesize",TJ10,SJ10="VLOC",TC10)))))}</t>
  </si>
  <si>
    <t>=INDEX(Canals!$AO$24:$AO$29,MATCH(2,1/((Canals!$F$24:$F$29&lt;=$C10)*(Canals!$G$24:$G$29=_xlfn.IFS(SJ10="Handysize",Main!US10,SJ10="Supramax",UL10,SJ10="Panamax",UE10,SJ10="NeoPanamax",TX10,SJ10="Suezmax",TQ10,SJ10="Capesize",TJ10,SJ10="VLOC",TC10)))))}</t>
  </si>
  <si>
    <t>=INDEX(Canals!$AP$24:$AP$29,MATCH(2,1/((Canals!$F$24:$F$29&lt;=$C10)*(Canals!$G$24:$G$29=_xlfn.IFS(SJ10="Handysize",Main!US10,SJ10="Supramax",UL10,SJ10="Panamax",UE10,SJ10="NeoPanamax",TX10,SJ10="Suezmax",TQ10,SJ10="Capesize",TJ10,SJ10="VLOC",TC10)))))}</t>
  </si>
  <si>
    <t>=INDEX(Canals!$AQ$24:$AQ$29,MATCH(2,1/((Canals!$F$24:$F$29&lt;=$C10)*(Canals!$G$24:$G$29=_xlfn.IFS(SJ10="Handysize",Main!US10,SJ10="Supramax",UL10,SJ10="Panamax",UE10,SJ10="NeoPanamax",TX10,SJ10="Suezmax",TQ10,SJ10="Capesize",TJ10,SJ10="VLOC",TC10)))))}</t>
  </si>
  <si>
    <t>=INDEX(Canals!$AR$24:$AR$29,MATCH(2,1/((Canals!$F$24:$F$29&lt;=$C10)*(Canals!$G$24:$G$29=_xlfn.IFS(SJ10="Handysize",Main!US10,SJ10="Supramax",UL10,SJ10="Panamax",UE10,SJ10="NeoPanamax",TX10,SJ10="Suezmax",TQ10,SJ10="Capesize",TJ10,SJ10="VLOC",TC10)))))}</t>
  </si>
  <si>
    <t>=INDEX(Canals!$AS$24:$AS$29,MATCH(2,1/((Canals!$F$24:$F$29&lt;=$C10)*(Canals!$G$24:$G$29=_xlfn.IFS(SJ10="Handysize",Main!US10,SJ10="Supramax",UL10,SJ10="Panamax",UE10,SJ10="NeoPanamax",TX10,SJ10="Suezmax",TQ10,SJ10="Capesize",TJ10,SJ10="VLOC",TC10)))))}</t>
  </si>
  <si>
    <t>=INDEX(Canals!$AT$24:$AT$29,MATCH(2,1/((Canals!$F$24:$F$29&lt;=$C10)*(Canals!$G$24:$G$29=_xlfn.IFS(SJ10="Handysize",Main!US10,SJ10="Supramax",UL10,SJ10="Panamax",UE10,SJ10="NeoPanamax",TX10,SJ10="Suezmax",TQ10,SJ10="Capesize",TJ10,SJ10="VLOC",TC10)))))}</t>
  </si>
  <si>
    <t>=INDEX(Canals!$AU$24:$AU$29,MATCH(2,1/((Canals!$F$24:$F$29&lt;=$C10)*(Canals!$G$24:$G$29=_xlfn.IFS(SJ10="Handysize",Main!US10,SJ10="Supramax",UL10,SJ10="Panamax",UE10,SJ10="NeoPanamax",TX10,SJ10="Suezmax",TQ10,SJ10="Capesize",TJ10,SJ10="VLOC",TC10)))))}</t>
  </si>
  <si>
    <t>=INDEX(Canals!$AV$24:$AV$29,MATCH(2,1/((Canals!$F$24:$F$29&lt;=$C10)*(Canals!$G$24:$G$29=_xlfn.IFS(SJ10="Handysize",Main!US10,SJ10="Supramax",UL10,SJ10="Panamax",UE10,SJ10="NeoPanamax",TX10,SJ10="Suezmax",TQ10,SJ10="Capesize",TJ10,SJ10="VLOC",TC10)))))}</t>
  </si>
  <si>
    <t>=_xlfn.IFS(WA10="DWT",SH10,WA10="NRT",SL10,WA10="GRT",SM10,WA10=0,0)}</t>
  </si>
  <si>
    <t>IF(XP10&gt;WB10,WB10,XP10)</t>
  </si>
  <si>
    <t>IF(XP10&gt;SUM(WB10:WC10),WC10,XP10-SUM(XQ10:XQ10))</t>
  </si>
  <si>
    <t>IF(XP10&gt;SUM(WB10:WD10),WD10,XP10-SUM(XQ10:XR10))</t>
  </si>
  <si>
    <t>IF(XP10&gt;SUM(WB10:WE10),WE10,XP10-SUM(XQ10:XS10))</t>
  </si>
  <si>
    <t>IF(XP10&gt;SUM(WB10:WF10),WF10,XP10-SUM(XQ10:XT10))</t>
  </si>
  <si>
    <t>IF(XP10&gt;SUM(WB10:WG10),WG10,XP10-SUM(XQ10:XU10))</t>
  </si>
  <si>
    <t>IF(XP10&gt;SUM(WB10:WH10),WH10,XP10-SUM(XQ10:XV10))</t>
  </si>
  <si>
    <t>IF(XP10&gt;SUM(WB10:WI10),WI10,XP10-SUM(XQ10:XW10))</t>
  </si>
  <si>
    <t>IF(XP10&gt;SUM(WB10:WJ10),WJ10,XP10-SUM(XQ10:XX10))</t>
  </si>
  <si>
    <t>SH10*$JN10</t>
  </si>
  <si>
    <t>IF(XZ10&gt;WU10,WU10,XZ10)</t>
  </si>
  <si>
    <t>IF(XZ10&gt;SUM(WU10:WV10),WV10,XZ10-SUM(YA10:YA10))</t>
  </si>
  <si>
    <t>IF(XZ10&gt;SUM(WU10:WW10),WW10,XZ10-SUM(YA10:YB10))</t>
  </si>
  <si>
    <t>IF(XZ10&gt;SUM(WU10:WX10),WX10,XZ10-SUM(YA10:YC10))</t>
  </si>
  <si>
    <t>IF(XZ10&gt;SUM(WU10:WY10),WY10,XZ10-SUM(YA10:YD10))</t>
  </si>
  <si>
    <t>IF(XZ10&gt;SUM(WU10:WZ10),WZ10,XZ10-SUM(YA10:YE10))</t>
  </si>
  <si>
    <t>IF(XZ10&gt;SUM(WU10:XA10),XA10,XZ10-SUM(YA10:YF10))</t>
  </si>
  <si>
    <t>IF(XZ10&gt;SUM(WU10:XB10),XB10,XZ10-SUM(YA10:YG10))</t>
  </si>
  <si>
    <t>IF(XZ10&gt;SUM(WU10:XC10),XC10,XZ10-SUM(YA10:YH10))</t>
  </si>
  <si>
    <t>=_xlfn.IFS(SJ10="Handysize",Main!UM10,SJ10="Supramax",UF10,SJ10="Panamax",TY10,SJ10="NeoPanamax",TR10,SJ10="Suezmax",TK10,SJ10="Capesize",TD10,SJ10="VLOC",SW10)*$JI10}</t>
  </si>
  <si>
    <t>=_xlfn.IFS(SJ10="Handysize",Main!UN10,SJ10="Supramax",UG10,SJ10="Panamax",TZ10,SJ10="NeoPanamax",TS10,SJ10="Suezmax",TL10,SJ10="Capesize",TE10,SJ10="VLOC",SX10)*$JI10}</t>
  </si>
  <si>
    <t>=_xlfn.IFS(SJ10="Handysize",Main!SO10,SJ10="Supramax",SP10,SJ10="Panamax",SQ10,SJ10="NeoPanamax",SR10,SJ10="Suezmax",SS10,SJ10="Capesize",ST10,SJ10="VLOC",SU10)}</t>
  </si>
  <si>
    <t>=_xlfn.IFS(SJ10="Handysize",Main!VA10,SJ10="Supramax",VB10,SJ10="Panamax",VC10,SJ10="NeoPanamax",VD10,SJ10="Suezmax",VE10,SJ10="Capesize",VF10,SJ10="VLOC",VG10)}</t>
  </si>
  <si>
    <t>=INDEX('Ship Speeds'!$G$11:$G$1011,MATCH(2,1/(('Ship Speeds'!$E$11:$E$1011&lt;=Main!$C10)*('Ship Speeds'!$F$11:$F$1011=Main!SI10))))}</t>
  </si>
  <si>
    <t>(($KH10*YO10^2+$KI10*YO10^3+$KG10*YO10)*((SH10/$KC10)^$KD10)*$KJ10+(SH10/$KC10)*$KF10+$KE10)</t>
  </si>
  <si>
    <t>(SH10/$JY10)*$JZ10+$KA10+$KB10*(SH10/$JY10)^2</t>
  </si>
  <si>
    <t>YK10/YO10/$JH10</t>
  </si>
  <si>
    <t>YL10/YO10/$JH10</t>
  </si>
  <si>
    <t>IF(YM10=0,0,IF($AO10="yes",$AN10,$AR10)/(1-$AL10)/YM10)</t>
  </si>
  <si>
    <t>IF(YN10=0,0,IF($AO10="yes",$AN10,$AR10)/(1-$AL10)/YN10)</t>
  </si>
  <si>
    <t>XN10*$JI10</t>
  </si>
  <si>
    <t>IF(YK10=0,0,MAX(SUM(YR10:YV10)*$JV10,$JU10))</t>
  </si>
  <si>
    <t>=IF(YK10=0,0,INDEX(UU10:UY10,MATCH(_xlfn.IFS(SJ10="Handysize",Main!UQ10,SJ10="Supramax",UJ10,SJ10="Panamax",UC10,SJ10="NeoPanamax",TV10,SJ10="Suezmax",TO10,SJ10="Capesize",TH10,SJ10="VLOC",TA10),$UU$7:$UY$7,0)))}</t>
  </si>
  <si>
    <t>=IF(YK10=0,0,INDEX(UU10:UY10,MATCH(_xlfn.IFS(SJ10="Handysize",Main!UR10,SJ10="Supramax",UK10,SJ10="Panamax",UD10,SJ10="NeoPanamax",TW10,SJ10="Suezmax",TP10,SJ10="Capesize",TI10,SJ10="VLOC",TB10),$UU$7:$UY$7,0)))}</t>
  </si>
  <si>
    <t>YR10*YP10*YX10</t>
  </si>
  <si>
    <t>SUM(YT10:YW10)*YQ10*YY10+YS10*YP10*YY10</t>
  </si>
  <si>
    <t>IF(YK10=0,0,INDEX($JA10:$JD10,MATCH(VH10,$JA$7:$JD$7,0)))</t>
  </si>
  <si>
    <t>IF(YK10=0,0,VI10/ZB10)</t>
  </si>
  <si>
    <t>IF(YK10=0,0,VJ10*SUM(YU10,$JX10)/ZB10)</t>
  </si>
  <si>
    <t>IF(YK10=0,0,VK10*(YW10*(1-$JW10))/ZB10)</t>
  </si>
  <si>
    <t>IF(YK10=0,0,VL10*(SH10*$JN10)/ZB10)</t>
  </si>
  <si>
    <t>IF(YK10=0,0,VM10*(SH10*$JN10)*SUM(YU10,$JX10)/ZB10)</t>
  </si>
  <si>
    <t>IF(YK10=0,0,VN10*(SH10*$JN10)*(YW10*(1-$JW10))/ZB10)</t>
  </si>
  <si>
    <t>IF(YK10=0,0,VO10*SL10/ZB10)</t>
  </si>
  <si>
    <t>IF(YK10=0,0,VP10*SL10*SUM(YU10,$JX10)/ZB10)</t>
  </si>
  <si>
    <t>IF(YK10=0,0,VQ10*SL10*(YW10*(1-$JW10))/ZB10)</t>
  </si>
  <si>
    <t>IF(YK10=0,0,VR10*SM10/ZB10)</t>
  </si>
  <si>
    <t>IF(YK10=0,0,VS10*SM10*SUM(YU10,$JX10)/ZB10)</t>
  </si>
  <si>
    <t>IF(YK10=0,0,VT10*SM10*(YW10*(1-$JW10))/ZB10)</t>
  </si>
  <si>
    <t>IF(YK10=0,0,VU10*SK10/ZB10)</t>
  </si>
  <si>
    <t>IF(YK10=0,0,VV10*SK10*SUM(YU10,$JX10)/ZB10)</t>
  </si>
  <si>
    <t>IF(YK10=0,0,VW10*SK10*(YW10*(1-$JW10))/ZB10)</t>
  </si>
  <si>
    <t>=IF(YK10=0,0,INDEX('Ship Time Charter Rates'!$H$22:$H$1021,MATCH(2,1/(('Ship Time Charter Rates'!$G$22:$G$1021=_xlfn.IFS(SJ10="Handysize",Main!UO10,SJ10="Supramax",UH10,SJ10="Panamax",UA10,SJ10="NeoPanamax",TT10,SJ10="Suezmax",TM10,SJ10="Capesize",TF10,SJ10="VLOC",SY10))*('Ship Time Charter Rates'!$E$22:$E$1021&lt;=Main!$C10)*(NOT(ISBLANK('Ship Time Charter Rates'!$H$22:$H$1021)))))))}</t>
  </si>
  <si>
    <t>IF(YK10=0,0,SUM(YR10:YW10,$JI10*$JX10)*ZR10)</t>
  </si>
  <si>
    <t>IF(YK10=0,0,SUMPRODUCT(WK10:WS10,XQ10:XY10)+SUMPRODUCT(XD10:XL10,YA10:YI10))</t>
  </si>
  <si>
    <t>IF(YK10=0,0,SUM(YZ10,ZA10)+ZS10+ZT10+SUM(ZC10:ZQ10))</t>
  </si>
  <si>
    <t>ZU10*(1+$KL10)*(1+$KM10)</t>
  </si>
  <si>
    <t>IF(ZV10=0,0,ZV10/(SH10*(1-$AL10)*$JN10))</t>
  </si>
  <si>
    <t>VLOOKUP(AAA10,'Ship Time Charter Rates'!$F$10:$G$17,2,TRUE)</t>
  </si>
  <si>
    <t>VLOOKUP(AAA10,Canals!$E$5:$F$12,2,TRUE)</t>
  </si>
  <si>
    <t>(AAA10*$JO10 + $JP10)</t>
  </si>
  <si>
    <t>(AAA10*$JQ10+$JR10)</t>
  </si>
  <si>
    <t>(AAA10*$JS10+$JT10)</t>
  </si>
  <si>
    <t>=INDEX('Port Linkages'!$E$18:$E$157,MATCH(2,1/(('Port Linkages'!$C$18:$C$157=$AP10)*('Port Linkages'!$D$18:$D$157=IF($AO10="Yes",$AQ10,$KK10))*('Port Linkages'!$A$18:$A$157&lt;=$C10))))}</t>
  </si>
  <si>
    <t>=INDEX('Port Linkages'!$F$18:$F$157,MATCH(2,1/(('Port Linkages'!$C$18:$C$157=$AP10)*('Port Linkages'!$D$18:$D$157=IF($AO10="Yes",$AQ10,$KK10))*('Port Linkages'!$A$18:$A$157&lt;=$C10))))}</t>
  </si>
  <si>
    <t>=INDEX('Port Linkages'!$G$18:$G$157,MATCH(2,1/(('Port Linkages'!$C$18:$C$157=$AP10)*('Port Linkages'!$D$18:$D$157=IF($AO10="Yes",$AQ10,$KK10))*('Port Linkages'!$A$18:$A$157&lt;=$C10))))}</t>
  </si>
  <si>
    <t>=INDEX('Port Linkages'!$H$18:$H$157,MATCH(2,1/(('Port Linkages'!$C$18:$C$157=$AP10)*('Port Linkages'!$D$18:$D$157=IF($AO10="Yes",$AQ10,$KK10))*('Port Linkages'!$A$18:$A$157&lt;=$C10))))}</t>
  </si>
  <si>
    <t>=INDEX('Port Linkages'!$I$18:$I$157,MATCH(2,1/(('Port Linkages'!$C$18:$C$157=$AP10)*('Port Linkages'!$D$18:$D$157=IF($AO10="Yes",$AQ10,$KK10))*('Port Linkages'!$A$18:$A$157&lt;=$C10))))}</t>
  </si>
  <si>
    <t>=INDEX('Port Linkages'!$J$18:$J$157,MATCH(2,1/(('Port Linkages'!$C$18:$C$157=$AP10)*('Port Linkages'!$D$18:$D$157=IF($AO10="Yes",$AQ10,$KK10))*('Port Linkages'!$A$18:$A$157&lt;=$C10))))}</t>
  </si>
  <si>
    <t>=INDEX('Port Linkages'!$K$18:$K$157,MATCH(2,1/(('Port Linkages'!$C$18:$C$157=$AP10)*('Port Linkages'!$D$18:$D$157=IF($AO10="Yes",$AQ10,$KK10))*('Port Linkages'!$A$18:$A$157&lt;=$C10))))}</t>
  </si>
  <si>
    <t>=INDEX('Port Linkages'!$L$18:$L$157,MATCH(2,1/(('Port Linkages'!$C$18:$C$157=$AP10)*('Port Linkages'!$D$18:$D$157=IF($AO10="Yes",$AQ10,$KK10))*('Port Linkages'!$A$18:$A$157&lt;=$C10))))}</t>
  </si>
  <si>
    <t>=INDEX('Port Linkages'!$M$18:$M$157,MATCH(2,1/(('Port Linkages'!$C$18:$C$157=$AP10)*('Port Linkages'!$D$18:$D$157=IF($AO10="Yes",$AQ10,$KK10))*('Port Linkages'!$A$18:$A$157&lt;=$C10))))}</t>
  </si>
  <si>
    <t>=INDEX('Port Linkages'!$N$18:$N$157,MATCH(2,1/(('Port Linkages'!$C$18:$C$157=$AP10)*('Port Linkages'!$D$18:$D$157=IF($AO10="Yes",$AQ10,$KK10))*('Port Linkages'!$A$18:$A$157&lt;=$C10))))}</t>
  </si>
  <si>
    <t>=INDEX('Port Linkages'!$O$18:$O$157,MATCH(2,1/(('Port Linkages'!$C$18:$C$157=$AP10)*('Port Linkages'!$D$18:$D$157=IF($AO10="Yes",$AQ10,$KK10))*('Port Linkages'!$A$18:$A$157&lt;=$C10))))}</t>
  </si>
  <si>
    <t>=INDEX('Port Linkages'!$P$18:$P$157,MATCH(2,1/(('Port Linkages'!$C$18:$C$157=$AP10)*('Port Linkages'!$D$18:$D$157=IF($AO10="Yes",$AQ10,$KK10))*('Port Linkages'!$A$18:$A$157&lt;=$C10))))}</t>
  </si>
  <si>
    <t>=INDEX('Port Linkages'!$Q$18:$Q$157,MATCH(2,1/(('Port Linkages'!$C$18:$C$157=$AP10)*('Port Linkages'!$D$18:$D$157=IF($AO10="Yes",$AQ10,$KK10))*('Port Linkages'!$A$18:$A$157&lt;=$C10))))}</t>
  </si>
  <si>
    <t>=INDEX('Port Linkages'!$R$18:$R$157,MATCH(2,1/(('Port Linkages'!$C$18:$C$157=$AP10)*('Port Linkages'!$D$18:$D$157=IF($AO10="Yes",$AQ10,$KK10))*('Port Linkages'!$A$18:$A$157&lt;=$C10))))}</t>
  </si>
  <si>
    <t>=INDEX('Port Linkages'!$S$18:$S$157,MATCH(2,1/(('Port Linkages'!$C$18:$C$157=$AP10)*('Port Linkages'!$D$18:$D$157=IF($AO10="Yes",$AQ10,$KK10))*('Port Linkages'!$A$18:$A$157&lt;=$C10))))}</t>
  </si>
  <si>
    <t>=INDEX('Port Linkages'!$T$18:$T$157,MATCH(2,1/(('Port Linkages'!$C$18:$C$157=$AP10)*('Port Linkages'!$D$18:$D$157=IF($AO10="Yes",$AQ10,$KK10))*('Port Linkages'!$A$18:$A$157&lt;=$C10))))}</t>
  </si>
  <si>
    <t>=INDEX('Port Linkages'!$U$18:$U$157,MATCH(2,1/(('Port Linkages'!$C$18:$C$157=$AP10)*('Port Linkages'!$D$18:$D$157=IF($AO10="Yes",$AQ10,$KK10))*('Port Linkages'!$A$18:$A$157&lt;=$C10))))}</t>
  </si>
  <si>
    <t>=INDEX('Port Linkages'!$V$18:$V$157,MATCH(2,1/(('Port Linkages'!$C$18:$C$157=$AP10)*('Port Linkages'!$D$18:$D$157=IF($AO10="Yes",$AQ10,$KK10))*('Port Linkages'!$A$18:$A$157&lt;=$C10))))}</t>
  </si>
  <si>
    <t>=INDEX('Port Linkages'!$W$18:$W$157,MATCH(2,1/(('Port Linkages'!$C$18:$C$157=$AP10)*('Port Linkages'!$D$18:$D$157=IF($AO10="Yes",$AQ10,$KK10))*('Port Linkages'!$A$18:$A$157&lt;=$C10))))}</t>
  </si>
  <si>
    <t>=INDEX('Port Linkages'!$X$18:$X$157,MATCH(2,1/(('Port Linkages'!$C$18:$C$157=$AP10)*('Port Linkages'!$D$18:$D$157=IF($AO10="Yes",$AQ10,$KK10))*('Port Linkages'!$A$18:$A$157&lt;=$C10))))}</t>
  </si>
  <si>
    <t>=INDEX('Port Linkages'!$Y$18:$Y$157,MATCH(2,1/(('Port Linkages'!$C$18:$C$157=$AP10)*('Port Linkages'!$D$18:$D$157=IF($AO10="Yes",$AQ10,$KK10))*('Port Linkages'!$A$18:$A$157&lt;=$C10))))}</t>
  </si>
  <si>
    <t>=INDEX('Port Linkages'!$Z$18:$Z$157,MATCH(2,1/(('Port Linkages'!$C$18:$C$157=$AP10)*('Port Linkages'!$D$18:$D$157=IF($AO10="Yes",$AQ10,$KK10))*('Port Linkages'!$A$18:$A$157&lt;=$C10))))}</t>
  </si>
  <si>
    <t>=INDEX('Port Linkages'!$AA$18:$AA$157,MATCH(2,1/(('Port Linkages'!$C$18:$C$157=$AP10)*('Port Linkages'!$D$18:$D$157=IF($AO10="Yes",$AQ10,$KK10))*('Port Linkages'!$A$18:$A$157&lt;=$C10))))}</t>
  </si>
  <si>
    <t>=INDEX('Port Linkages'!$AB$18:$AB$157,MATCH(2,1/(('Port Linkages'!$C$18:$C$157=$AP10)*('Port Linkages'!$D$18:$D$157=IF($AO10="Yes",$AQ10,$KK10))*('Port Linkages'!$A$18:$A$157&lt;=$C10))))}</t>
  </si>
  <si>
    <t>=INDEX('Port Linkages'!$AC$18:$AC$157,MATCH(2,1/(('Port Linkages'!$C$18:$C$157=$AP10)*('Port Linkages'!$D$18:$D$157=IF($AO10="Yes",$AQ10,$KK10))*('Port Linkages'!$A$18:$A$157&lt;=$C10))))}</t>
  </si>
  <si>
    <t>=INDEX('Port Linkages'!$AD$18:$AD$157,MATCH(2,1/(('Port Linkages'!$C$18:$C$157=$AP10)*('Port Linkages'!$D$18:$D$157=IF($AO10="Yes",$AQ10,$KK10))*('Port Linkages'!$A$18:$A$157&lt;=$C10))))}</t>
  </si>
  <si>
    <t>=INDEX('Port Linkages'!$AE$18:$AE$157,MATCH(2,1/(('Port Linkages'!$C$18:$C$157=$AP10)*('Port Linkages'!$D$18:$D$157=IF($AO10="Yes",$AQ10,$KK10))*('Port Linkages'!$A$18:$A$157&lt;=$C10))))}</t>
  </si>
  <si>
    <t>=INDEX('Port Linkages'!$AF$18:$AF$157,MATCH(2,1/(('Port Linkages'!$C$18:$C$157=$AP10)*('Port Linkages'!$D$18:$D$157=IF($AO10="Yes",$AQ10,$KK10))*('Port Linkages'!$A$18:$A$157&lt;=$C10))))}</t>
  </si>
  <si>
    <t>=INDEX('Port Linkages'!$AG$18:$AG$157,MATCH(2,1/(('Port Linkages'!$C$18:$C$157=$AP10)*('Port Linkages'!$D$18:$D$157=IF($AO10="Yes",$AQ10,$KK10))*('Port Linkages'!$A$18:$A$157&lt;=$C10))))}</t>
  </si>
  <si>
    <t>=INDEX('Port Linkages'!$AH$18:$AH$157,MATCH(2,1/(('Port Linkages'!$C$18:$C$157=$AP10)*('Port Linkages'!$D$18:$D$157=IF($AO10="Yes",$AQ10,$KK10))*('Port Linkages'!$A$18:$A$157&lt;=$C10))))}</t>
  </si>
  <si>
    <t>=INDEX('Port Linkages'!$AI$18:$AI$157,MATCH(2,1/(('Port Linkages'!$C$18:$C$157=$AP10)*('Port Linkages'!$D$18:$D$157=IF($AO10="Yes",$AQ10,$KK10))*('Port Linkages'!$A$18:$A$157&lt;=$C10))))}</t>
  </si>
  <si>
    <t>=INDEX('Port Linkages'!$AJ$18:$AJ$157,MATCH(2,1/(('Port Linkages'!$C$18:$C$157=$AP10)*('Port Linkages'!$D$18:$D$157=IF($AO10="Yes",$AQ10,$KK10))*('Port Linkages'!$A$18:$A$157&lt;=$C10))))}</t>
  </si>
  <si>
    <t>=INDEX('Port Linkages'!$AK$18:$AK$157,MATCH(2,1/(('Port Linkages'!$C$18:$C$157=$AP10)*('Port Linkages'!$D$18:$D$157=IF($AO10="Yes",$AQ10,$KK10))*('Port Linkages'!$A$18:$A$157&lt;=$C10))))}</t>
  </si>
  <si>
    <t>=INDEX('Port Linkages'!$AL$18:$AL$157,MATCH(2,1/(('Port Linkages'!$C$18:$C$157=$AP10)*('Port Linkages'!$D$18:$D$157=IF($AO10="Yes",$AQ10,$KK10))*('Port Linkages'!$A$18:$A$157&lt;=$C10))))}</t>
  </si>
  <si>
    <t>=INDEX('Port Linkages'!$AM$18:$AM$157,MATCH(2,1/(('Port Linkages'!$C$18:$C$157=$AP10)*('Port Linkages'!$D$18:$D$157=IF($AO10="Yes",$AQ10,$KK10))*('Port Linkages'!$A$18:$A$157&lt;=$C10))))}</t>
  </si>
  <si>
    <t>=INDEX('Port Linkages'!$AN$18:$AN$157,MATCH(2,1/(('Port Linkages'!$C$18:$C$157=$AP10)*('Port Linkages'!$D$18:$D$157=IF($AO10="Yes",$AQ10,$KK10))*('Port Linkages'!$A$18:$A$157&lt;=$C10))))}</t>
  </si>
  <si>
    <t>=INDEX('Port Linkages'!$AO$18:$AO$157,MATCH(2,1/(('Port Linkages'!$C$18:$C$157=$AP10)*('Port Linkages'!$D$18:$D$157=IF($AO10="Yes",$AQ10,$KK10))*('Port Linkages'!$A$18:$A$157&lt;=$C10))))}</t>
  </si>
  <si>
    <t>=INDEX('Port Linkages'!$AP$18:$AP$157,MATCH(2,1/(('Port Linkages'!$C$18:$C$157=$AP10)*('Port Linkages'!$D$18:$D$157=IF($AO10="Yes",$AQ10,$KK10))*('Port Linkages'!$A$18:$A$157&lt;=$C10))))}</t>
  </si>
  <si>
    <t>=INDEX('Port Linkages'!$AQ$18:$AQ$157,MATCH(2,1/(('Port Linkages'!$C$18:$C$157=$AP10)*('Port Linkages'!$D$18:$D$157=IF($AO10="Yes",$AQ10,$KK10))*('Port Linkages'!$A$18:$A$157&lt;=$C10))))}</t>
  </si>
  <si>
    <t>=INDEX('Port Linkages'!$AR$18:$AR$157,MATCH(2,1/(('Port Linkages'!$C$18:$C$157=$AP10)*('Port Linkages'!$D$18:$D$157=IF($AO10="Yes",$AQ10,$KK10))*('Port Linkages'!$A$18:$A$157&lt;=$C10))))}</t>
  </si>
  <si>
    <t>=INDEX('Port Linkages'!$AS$18:$AS$157,MATCH(2,1/(('Port Linkages'!$C$18:$C$157=$AP10)*('Port Linkages'!$D$18:$D$157=IF($AO10="Yes",$AQ10,$KK10))*('Port Linkages'!$A$18:$A$157&lt;=$C10))))}</t>
  </si>
  <si>
    <t>=INDEX('Port Linkages'!$AT$18:$AT$157,MATCH(2,1/(('Port Linkages'!$C$18:$C$157=$AP10)*('Port Linkages'!$D$18:$D$157=IF($AO10="Yes",$AQ10,$KK10))*('Port Linkages'!$A$18:$A$157&lt;=$C10))))}</t>
  </si>
  <si>
    <t>=INDEX('Port Linkages'!$AU$18:$AU$157,MATCH(2,1/(('Port Linkages'!$C$18:$C$157=$AP10)*('Port Linkages'!$D$18:$D$157=IF($AO10="Yes",$AQ10,$KK10))*('Port Linkages'!$A$18:$A$157&lt;=$C10))))}</t>
  </si>
  <si>
    <t>=INDEX('Port Linkages'!$AV$18:$AV$157,MATCH(2,1/(('Port Linkages'!$C$18:$C$157=$AP10)*('Port Linkages'!$D$18:$D$157=IF($AO10="Yes",$AQ10,$KK10))*('Port Linkages'!$A$18:$A$157&lt;=$C10))))}</t>
  </si>
  <si>
    <t>=INDEX('Port Linkages'!$AW$18:$AW$157,MATCH(2,1/(('Port Linkages'!$C$18:$C$157=$AP10)*('Port Linkages'!$D$18:$D$157=IF($AO10="Yes",$AQ10,$KK10))*('Port Linkages'!$A$18:$A$157&lt;=$C10))))}</t>
  </si>
  <si>
    <t>=INDEX('Port Linkages'!$AX$18:$AX$157,MATCH(2,1/(('Port Linkages'!$C$18:$C$157=$AP10)*('Port Linkages'!$D$18:$D$157=IF($AO10="Yes",$AQ10,$KK10))*('Port Linkages'!$A$18:$A$157&lt;=$C10))))}</t>
  </si>
  <si>
    <t>=INDEX('Port Linkages'!$AY$18:$AY$157,MATCH(2,1/(('Port Linkages'!$C$18:$C$157=$AP10)*('Port Linkages'!$D$18:$D$157=IF($AO10="Yes",$AQ10,$KK10))*('Port Linkages'!$A$18:$A$157&lt;=$C10))))}</t>
  </si>
  <si>
    <t>=INDEX('Port Linkages'!$AZ$18:$AZ$157,MATCH(2,1/(('Port Linkages'!$C$18:$C$157=$AP10)*('Port Linkages'!$D$18:$D$157=IF($AO10="Yes",$AQ10,$KK10))*('Port Linkages'!$A$18:$A$157&lt;=$C10))))}</t>
  </si>
  <si>
    <t>=INDEX('Port Linkages'!$BA$18:$BA$157,MATCH(2,1/(('Port Linkages'!$C$18:$C$157=$AP10)*('Port Linkages'!$D$18:$D$157=IF($AO10="Yes",$AQ10,$KK10))*('Port Linkages'!$A$18:$A$157&lt;=$C10))))}</t>
  </si>
  <si>
    <t>=INDEX('Ship Fuel Prices'!$F$5:$F$1004,MATCH(2,1/(('Ship Fuel Prices'!$E$5:$E$1004=_xlfn.IFS(AAC10="Handysize",Main!ACI10,AAC10="Supramax",ACB10,AAC10="Panamax",ABU10,AAC10="NeoPanamax",ABN10,AAC10="Suezmax",ABG10,AAC10="Capesize",AAZ10,AAC10="VLOC",AAS10))*('Ship Fuel Prices'!$D$5:$D$1004&lt;=Main!$C10))))}</t>
  </si>
  <si>
    <t>=INDEX('Ship Fuel Prices'!$G$5:$G$1004,MATCH(2,1/(('Ship Fuel Prices'!$E$5:$E$1004=_xlfn.IFS(AAC10="Handysize",Main!ACI10,AAC10="Supramax",ACB10,AAC10="Panamax",ABU10,AAC10="NeoPanamax",ABN10,AAC10="Suezmax",ABG10,AAC10="Capesize",AAZ10,AAC10="VLOC",AAS10))*('Ship Fuel Prices'!$D$5:$D$1004&lt;=Main!$C10))))}</t>
  </si>
  <si>
    <t>=INDEX('Ship Fuel Prices'!$H$5:$H$1004,MATCH(2,1/(('Ship Fuel Prices'!$E$5:$E$1004=_xlfn.IFS(AAC10="Handysize",Main!ACI10,AAC10="Supramax",ACB10,AAC10="Panamax",ABU10,AAC10="NeoPanamax",ABN10,AAC10="Suezmax",ABG10,AAC10="Capesize",AAZ10,AAC10="VLOC",AAS10))*('Ship Fuel Prices'!$D$5:$D$1004&lt;=Main!$C10))))}</t>
  </si>
  <si>
    <t>=INDEX('Ship Fuel Prices'!$I$5:$I$1004,MATCH(2,1/(('Ship Fuel Prices'!$E$5:$E$1004=_xlfn.IFS(AAC10="Handysize",Main!ACI10,AAC10="Supramax",ACB10,AAC10="Panamax",ABU10,AAC10="NeoPanamax",ABN10,AAC10="Suezmax",ABG10,AAC10="Capesize",AAZ10,AAC10="VLOC",AAS10))*('Ship Fuel Prices'!$D$5:$D$1004&lt;=Main!$C10))))}</t>
  </si>
  <si>
    <t>=INDEX('Ship Fuel Prices'!$J$5:$J$1004,MATCH(2,1/(('Ship Fuel Prices'!$E$5:$E$1004=_xlfn.IFS(AAC10="Handysize",Main!ACI10,AAC10="Supramax",ACB10,AAC10="Panamax",ABU10,AAC10="NeoPanamax",ABN10,AAC10="Suezmax",ABG10,AAC10="Capesize",AAZ10,AAC10="VLOC",AAS10))*('Ship Fuel Prices'!$D$5:$D$1004&lt;=Main!$C10))))}</t>
  </si>
  <si>
    <t>=INDEX('China n Importing Ports'!$E$20:$E$41,MATCH(2,1/(('China n Importing Ports'!$D$20:$D$41&lt;=$C10)*('China n Importing Ports'!$C$20:$C$41=IF($AO10="Yes",$AQ10,$KK10)))))}</t>
  </si>
  <si>
    <t>=INDEX('China n Importing Ports'!$F$20:$F$41,MATCH(2,1/(('China n Importing Ports'!$D$20:$D$41&lt;=$C10)*('China n Importing Ports'!$C$20:$C$41=IF($AO10="Yes",$AQ10,$KK10)))))}</t>
  </si>
  <si>
    <t>=INDEX('China n Importing Ports'!$G$20:$G$41,MATCH(2,1/(('China n Importing Ports'!$D$20:$D$41&lt;=$C10)*('China n Importing Ports'!$C$20:$C$41=IF($AO10="Yes",$AQ10,$KK10)))))}</t>
  </si>
  <si>
    <t>=INDEX('China n Importing Ports'!$H$20:$H$41,MATCH(2,1/(('China n Importing Ports'!$D$20:$D$41&lt;=$C10)*('China n Importing Ports'!$C$20:$C$41=IF($AO10="Yes",$AQ10,$KK10)))))}</t>
  </si>
  <si>
    <t>=INDEX('China n Importing Ports'!$I$20:$I$41,MATCH(2,1/(('China n Importing Ports'!$D$20:$D$41&lt;=$C10)*('China n Importing Ports'!$C$20:$C$41=IF($AO10="Yes",$AQ10,$KK10)))))}</t>
  </si>
  <si>
    <t>=INDEX('China n Importing Ports'!$J$20:$J$41,MATCH(2,1/(('China n Importing Ports'!$D$20:$D$41&lt;=$C10)*('China n Importing Ports'!$C$20:$C$41=IF($AO10="Yes",$AQ10,$KK10)))))}</t>
  </si>
  <si>
    <t>=INDEX('China n Importing Ports'!$K$20:$K$41,MATCH(2,1/(('China n Importing Ports'!$D$20:$D$41&lt;=$C10)*('China n Importing Ports'!$C$20:$C$41=IF($AO10="Yes",$AQ10,$KK10)))))}</t>
  </si>
  <si>
    <t>=INDEX('China n Importing Ports'!$L$20:$L$41,MATCH(2,1/(('China n Importing Ports'!$D$20:$D$41&lt;=$C10)*('China n Importing Ports'!$C$20:$C$41=IF($AO10="Yes",$AQ10,$KK10)))))}</t>
  </si>
  <si>
    <t>=INDEX('China n Importing Ports'!$M$20:$M$41,MATCH(2,1/(('China n Importing Ports'!$D$20:$D$41&lt;=$C10)*('China n Importing Ports'!$C$20:$C$41=IF($AO10="Yes",$AQ10,$KK10)))))}</t>
  </si>
  <si>
    <t>=INDEX('China n Importing Ports'!$N$20:$N$41,MATCH(2,1/(('China n Importing Ports'!$D$20:$D$41&lt;=$C10)*('China n Importing Ports'!$C$20:$C$41=IF($AO10="Yes",$AQ10,$KK10)))))}</t>
  </si>
  <si>
    <t>=INDEX('China n Importing Ports'!$O$20:$O$41,MATCH(2,1/(('China n Importing Ports'!$D$20:$D$41&lt;=$C10)*('China n Importing Ports'!$C$20:$C$41=IF($AO10="Yes",$AQ10,$KK10)))))}</t>
  </si>
  <si>
    <t>=INDEX('China n Importing Ports'!$P$20:$P$41,MATCH(2,1/(('China n Importing Ports'!$D$20:$D$41&lt;=$C10)*('China n Importing Ports'!$C$20:$C$41=IF($AO10="Yes",$AQ10,$KK10)))))}</t>
  </si>
  <si>
    <t>=INDEX('China n Importing Ports'!$Q$20:$Q$41,MATCH(2,1/(('China n Importing Ports'!$D$20:$D$41&lt;=$C10)*('China n Importing Ports'!$C$20:$C$41=IF($AO10="Yes",$AQ10,$KK10)))))}</t>
  </si>
  <si>
    <t>=INDEX('China n Importing Ports'!$R$20:$R$41,MATCH(2,1/(('China n Importing Ports'!$D$20:$D$41&lt;=$C10)*('China n Importing Ports'!$C$20:$C$41=IF($AO10="Yes",$AQ10,$KK10)))))}</t>
  </si>
  <si>
    <t>=INDEX('China n Importing Ports'!$S$20:$S$41,MATCH(2,1/(('China n Importing Ports'!$D$20:$D$41&lt;=$C10)*('China n Importing Ports'!$C$20:$C$41=IF($AO10="Yes",$AQ10,$KK10)))))}</t>
  </si>
  <si>
    <t>=INDEX('China n Importing Ports'!$T$20:$T$41,MATCH(2,1/(('China n Importing Ports'!$D$20:$D$41&lt;=$C10)*('China n Importing Ports'!$C$20:$C$41=IF($AO10="Yes",$AQ10,$KK10)))))}</t>
  </si>
  <si>
    <t>=INDEX('China n Importing Ports'!$U$20:$U$41,MATCH(2,1/(('China n Importing Ports'!$D$20:$D$41&lt;=$C10)*('China n Importing Ports'!$C$20:$C$41=IF($AO10="Yes",$AQ10,$KK10)))))}</t>
  </si>
  <si>
    <t>=INDEX('China n Importing Ports'!$V$20:$V$41,MATCH(2,1/(('China n Importing Ports'!$D$20:$D$41&lt;=$C10)*('China n Importing Ports'!$C$20:$C$41=IF($AO10="Yes",$AQ10,$KK10)))))}</t>
  </si>
  <si>
    <t>=INDEX('China n Importing Ports'!$W$20:$W$41,MATCH(2,1/(('China n Importing Ports'!$D$20:$D$41&lt;=$C10)*('China n Importing Ports'!$C$20:$C$41=IF($AO10="Yes",$AQ10,$KK10)))))}</t>
  </si>
  <si>
    <t>=INDEX('China n Importing Ports'!$X$20:$X$41,MATCH(2,1/(('China n Importing Ports'!$D$20:$D$41&lt;=$C10)*('China n Importing Ports'!$C$20:$C$41=IF($AO10="Yes",$AQ10,$KK10)))))}</t>
  </si>
  <si>
    <t>=INDEX('China n Importing Ports'!$Y$20:$Y$41,MATCH(2,1/(('China n Importing Ports'!$D$20:$D$41&lt;=$C10)*('China n Importing Ports'!$C$20:$C$41=IF($AO10="Yes",$AQ10,$KK10)))))}</t>
  </si>
  <si>
    <t>=INDEX('China n Importing Ports'!$Z$20:$Z$41,MATCH(2,1/(('China n Importing Ports'!$D$20:$D$41&lt;=$C10)*('China n Importing Ports'!$C$20:$C$41=IF($AO10="Yes",$AQ10,$KK10)))))}</t>
  </si>
  <si>
    <t>=INDEX('China n Importing Ports'!$AA$20:$AA$41,MATCH(2,1/(('China n Importing Ports'!$D$20:$D$41&lt;=$C10)*('China n Importing Ports'!$C$20:$C$41=IF($AO10="Yes",$AQ10,$KK10)))))}</t>
  </si>
  <si>
    <t>=INDEX(Canals!$G$24:$G$29,MATCH(2,1/((Canals!$F$24:$F$29&lt;=$C10)*(Canals!$G$24:$G$29=_xlfn.IFS(AAC10="Handysize",Main!ACL10,AAC10="Supramax",ACE10,AAC10="Panamax",ABX10,AAC10="NeoPanamax",ABQ10,AAC10="Suezmax",ABJ10,AAC10="Capesize",ABC10,AAC10="VLOC",AAV10)))))}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</si>
  <si>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=INDEX(Canals!$H$24:$H$29,MATCH(2,1/((Canals!$F$24:$F$29&lt;=$C10)*(Canals!$G$24:$G$29=_xlfn.IFS(AAC10="Handysize",Main!ACL10,AAC10="Supramax",ACE10,AAC10="Panamax",ABX10,AAC10="NeoPanamax",ABQ10,AAC10="Suezmax",ABJ10,AAC10="Capesize",ABC10,AAC10="VLOC",AAV10)))))}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</si>
  <si>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=INDEX(Canals!$I$24:$I$29,MATCH(2,1/((Canals!$F$24:$F$29&lt;=$C10)*(Canals!$G$24:$G$29=_xlfn.IFS(AAC10="Handysize",Main!ACL10,AAC10="Supramax",ACE10,AAC10="Panamax",ABX10,AAC10="NeoPanamax",ABQ10,AAC10="Suezmax",ABJ10,AAC10="Capesize",ABC10,AAC10="VLOC",AAV10)))))}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</si>
  <si>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=INDEX(Canals!$J$24:$J$29,MATCH(2,1/((Canals!$F$24:$F$29&lt;=$C10)*(Canals!$G$24:$G$29=_xlfn.IFS(AAC10="Handysize",Main!ACL10,AAC10="Supramax",ACE10,AAC10="Panamax",ABX10,AAC10="NeoPanamax",ABQ10,AAC10="Suezmax",ABJ10,AAC10="Capesize",ABC10,AAC10="VLOC",AAV10)))))}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</si>
  <si>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=INDEX(Canals!$K$24:$K$29,MATCH(2,1/((Canals!$F$24:$F$29&lt;=$C10)*(Canals!$G$24:$G$29=_xlfn.IFS(AAC10="Handysize",Main!ACL10,AAC10="Supramax",ACE10,AAC10="Panamax",ABX10,AAC10="NeoPanamax",ABQ10,AAC10="Suezmax",ABJ10,AAC10="Capesize",ABC10,AAC10="VLOC",AAV10)))))}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</si>
  <si>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=INDEX(Canals!$L$24:$L$29,MATCH(2,1/((Canals!$F$24:$F$29&lt;=$C10)*(Canals!$G$24:$G$29=_xlfn.IFS(AAC10="Handysize",Main!ACL10,AAC10="Supramax",ACE10,AAC10="Panamax",ABX10,AAC10="NeoPanamax",ABQ10,AAC10="Suezmax",ABJ10,AAC10="Capesize",ABC10,AAC10="VLOC",AAV10)))))}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</si>
  <si>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=INDEX(Canals!$M$24:$M$29,MATCH(2,1/((Canals!$F$24:$F$29&lt;=$C10)*(Canals!$G$24:$G$29=_xlfn.IFS(AAC10="Handysize",Main!ACL10,AAC10="Supramax",ACE10,AAC10="Panamax",ABX10,AAC10="NeoPanamax",ABQ10,AAC10="Suezmax",ABJ10,AAC10="Capesize",ABC10,AAC10="VLOC",AAV10)))))}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</si>
  <si>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=INDEX(Canals!$N$24:$N$29,MATCH(2,1/((Canals!$F$24:$F$29&lt;=$C10)*(Canals!$G$24:$G$29=_xlfn.IFS(AAC10="Handysize",Main!ACL10,AAC10="Supramax",ACE10,AAC10="Panamax",ABX10,AAC10="NeoPanamax",ABQ10,AAC10="Suezmax",ABJ10,AAC10="Capesize",ABC10,AAC10="VLOC",AAV10)))))}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</si>
  <si>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=INDEX(Canals!$O$24:$O$29,MATCH(2,1/((Canals!$F$24:$F$29&lt;=$C10)*(Canals!$G$24:$G$29=_xlfn.IFS(AAC10="Handysize",Main!ACL10,AAC10="Supramax",ACE10,AAC10="Panamax",ABX10,AAC10="NeoPanamax",ABQ10,AAC10="Suezmax",ABJ10,AAC10="Capesize",ABC10,AAC10="VLOC",AAV10)))))}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</si>
  <si>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=INDEX(Canals!$P$24:$P$29,MATCH(2,1/((Canals!$F$24:$F$29&lt;=$C10)*(Canals!$G$24:$G$29=_xlfn.IFS(AAC10="Handysize",Main!ACL10,AAC10="Supramax",ACE10,AAC10="Panamax",ABX10,AAC10="NeoPanamax",ABQ10,AAC10="Suezmax",ABJ10,AAC10="Capesize",ABC10,AAC10="VLOC",AAV10)))))}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</si>
  <si>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=INDEX(Canals!$Q$24:$Q$29,MATCH(2,1/((Canals!$F$24:$F$29&lt;=$C10)*(Canals!$G$24:$G$29=_xlfn.IFS(AAC10="Handysize",Main!ACL10,AAC10="Supramax",ACE10,AAC10="Panamax",ABX10,AAC10="NeoPanamax",ABQ10,AAC10="Suezmax",ABJ10,AAC10="Capesize",ABC10,AAC10="VLOC",AAV10)))))}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</si>
  <si>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=INDEX(Canals!$R$24:$R$29,MATCH(2,1/((Canals!$F$24:$F$29&lt;=$C10)*(Canals!$G$24:$G$29=_xlfn.IFS(AAC10="Handysize",Main!ACL10,AAC10="Supramax",ACE10,AAC10="Panamax",ABX10,AAC10="NeoPanamax",ABQ10,AAC10="Suezmax",ABJ10,AAC10="Capesize",ABC10,AAC10="VLOC",AAV10)))))}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</si>
  <si>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=INDEX(Canals!$S$24:$S$29,MATCH(2,1/((Canals!$F$24:$F$29&lt;=$C10)*(Canals!$G$24:$G$29=_xlfn.IFS(AAC10="Handysize",Main!ACL10,AAC10="Supramax",ACE10,AAC10="Panamax",ABX10,AAC10="NeoPanamax",ABQ10,AAC10="Suezmax",ABJ10,AAC10="Capesize",ABC10,AAC10="VLOC",AAV10)))))}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</si>
  <si>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=INDEX(Canals!$T$24:$T$29,MATCH(2,1/((Canals!$F$24:$F$29&lt;=$C10)*(Canals!$G$24:$G$29=_xlfn.IFS(AAC10="Handysize",Main!ACL10,AAC10="Supramax",ACE10,AAC10="Panamax",ABX10,AAC10="NeoPanamax",ABQ10,AAC10="Suezmax",ABJ10,AAC10="Capesize",ABC10,AAC10="VLOC",AAV10)))))}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</si>
  <si>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=INDEX(Canals!$U$24:$U$29,MATCH(2,1/((Canals!$F$24:$F$29&lt;=$C10)*(Canals!$G$24:$G$29=_xlfn.IFS(AAC10="Handysize",Main!ACL10,AAC10="Supramax",ACE10,AAC10="Panamax",ABX10,AAC10="NeoPanamax",ABQ10,AAC10="Suezmax",ABJ10,AAC10="Capesize",ABC10,AAC10="VLOC",AAV10)))))}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</si>
  <si>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=INDEX(Canals!$V$24:$V$29,MATCH(2,1/((Canals!$F$24:$F$29&lt;=$C10)*(Canals!$G$24:$G$29=_xlfn.IFS(AAC10="Handysize",Main!ACL10,AAC10="Supramax",ACE10,AAC10="Panamax",ABX10,AAC10="NeoPanamax",ABQ10,AAC10="Suezmax",ABJ10,AAC10="Capesize",ABC10,AAC10="VLOC",AAV10)))))}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</si>
  <si>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=INDEX(Canals!$W$24:$W$29,MATCH(2,1/((Canals!$F$24:$F$29&lt;=$C10)*(Canals!$G$24:$G$29=_xlfn.IFS(AAC10="Handysize",Main!ACL10,AAC10="Supramax",ACE10,AAC10="Panamax",ABX10,AAC10="NeoPanamax",ABQ10,AAC10="Suezmax",ABJ10,AAC10="Capesize",ABC10,AAC10="VLOC",AAV10)))))}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</si>
  <si>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=INDEX(Canals!$X$24:$X$29,MATCH(2,1/((Canals!$F$24:$F$29&lt;=$C10)*(Canals!$G$24:$G$29=_xlfn.IFS(AAC10="Handysize",Main!ACL10,AAC10="Supramax",ACE10,AAC10="Panamax",ABX10,AAC10="NeoPanamax",ABQ10,AAC10="Suezmax",ABJ10,AAC10="Capesize",ABC10,AAC10="VLOC",AAV10)))))}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</si>
  <si>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=INDEX(Canals!$Y$24:$Y$29,MATCH(2,1/((Canals!$F$24:$F$29&lt;=$C10)*(Canals!$G$24:$G$29=_xlfn.IFS(AAC10="Handysize",Main!ACL10,AAC10="Supramax",ACE10,AAC10="Panamax",ABX10,AAC10="NeoPanamax",ABQ10,AAC10="Suezmax",ABJ10,AAC10="Capesize",ABC10,AAC10="VLOC",AAV10)))))}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</si>
  <si>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=INDEX(Canals!$Z$24:$Z$29,MATCH(2,1/((Canals!$F$24:$F$29&lt;=$C10)*(Canals!$G$24:$G$29=_xlfn.IFS(AAC10="Handysize",Main!ACL10,AAC10="Supramax",ACE10,AAC10="Panamax",ABX10,AAC10="NeoPanamax",ABQ10,AAC10="Suezmax",ABJ10,AAC10="Capesize",ABC10,AAC10="VLOC",AAV10)))))}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</si>
  <si>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=INDEX(Canals!$AA$24:$AA$29,MATCH(2,1/((Canals!$F$24:$F$29&lt;=$C10)*(Canals!$G$24:$G$29=_xlfn.IFS(AAC10="Handysize",Main!ACL10,AAC10="Supramax",ACE10,AAC10="Panamax",ABX10,AAC10="NeoPanamax",ABQ10,AAC10="Suezmax",ABJ10,AAC10="Capesize",ABC10,AAC10="VLOC",AAV10)))))}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</si>
  <si>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=INDEX(Canals!$AB$24:$AB$29,MATCH(2,1/((Canals!$F$24:$F$29&lt;=$C10)*(Canals!$G$24:$G$29=_xlfn.IFS(AAC10="Handysize",Main!ACL10,AAC10="Supramax",ACE10,AAC10="Panamax",ABX10,AAC10="NeoPanamax",ABQ10,AAC10="Suezmax",ABJ10,AAC10="Capesize",ABC10,AAC10="VLOC",AAV10)))))}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</si>
  <si>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=INDEX(Canals!$AC$24:$AC$29,MATCH(2,1/((Canals!$F$24:$F$29&lt;=$C10)*(Canals!$G$24:$G$29=_xlfn.IFS(AAC10="Handysize",Main!ACL10,AAC10="Supramax",ACE10,AAC10="Panamax",ABX10,AAC10="NeoPanamax",ABQ10,AAC10="Suezmax",ABJ10,AAC10="Capesize",ABC10,AAC10="VLOC",AAV10)))))}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</si>
  <si>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=INDEX(Canals!$AD$24:$AD$29,MATCH(2,1/((Canals!$F$24:$F$29&lt;=$C10)*(Canals!$G$24:$G$29=_xlfn.IFS(AAC10="Handysize",Main!ACL10,AAC10="Supramax",ACE10,AAC10="Panamax",ABX10,AAC10="NeoPanamax",ABQ10,AAC10="Suezmax",ABJ10,AAC10="Capesize",ABC10,AAC10="VLOC",AAV10)))))}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</si>
  <si>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=INDEX(Canals!$AE$24:$AE$29,MATCH(2,1/((Canals!$F$24:$F$29&lt;=$C10)*(Canals!$G$24:$G$29=_xlfn.IFS(AAC10="Handysize",Main!ACL10,AAC10="Supramax",ACE10,AAC10="Panamax",ABX10,AAC10="NeoPanamax",ABQ10,AAC10="Suezmax",ABJ10,AAC10="Capesize",ABC10,AAC10="VLOC",AAV10)))))}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</si>
  <si>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=INDEX(Canals!$AF$24:$AF$29,MATCH(2,1/((Canals!$F$24:$F$29&lt;=$C10)*(Canals!$G$24:$G$29=_xlfn.IFS(AAC10="Handysize",Main!ACL10,AAC10="Supramax",ACE10,AAC10="Panamax",ABX10,AAC10="NeoPanamax",ABQ10,AAC10="Suezmax",ABJ10,AAC10="Capesize",ABC10,AAC10="VLOC",AAV10)))))}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</si>
  <si>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=INDEX(Canals!$AG$24:$AG$29,MATCH(2,1/((Canals!$F$24:$F$29&lt;=$C10)*(Canals!$G$24:$G$29=_xlfn.IFS(AAC10="Handysize",Main!ACL10,AAC10="Supramax",ACE10,AAC10="Panamax",ABX10,AAC10="NeoPanamax",ABQ10,AAC10="Suezmax",ABJ10,AAC10="Capesize",ABC10,AAC10="VLOC",AAV10)))))}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</si>
  <si>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=INDEX(Canals!$AH$24:$AH$29,MATCH(2,1/((Canals!$F$24:$F$29&lt;=$C10)*(Canals!$G$24:$G$29=_xlfn.IFS(AAC10="Handysize",Main!ACL10,AAC10="Supramax",ACE10,AAC10="Panamax",ABX10,AAC10="NeoPanamax",ABQ10,AAC10="Suezmax",ABJ10,AAC10="Capesize",ABC10,AAC10="VLOC",AAV10)))))}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</si>
  <si>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=INDEX(Canals!$AI$24:$AI$29,MATCH(2,1/((Canals!$F$24:$F$29&lt;=$C10)*(Canals!$G$24:$G$29=_xlfn.IFS(AAC10="Handysize",Main!ACL10,AAC10="Supramax",ACE10,AAC10="Panamax",ABX10,AAC10="NeoPanamax",ABQ10,AAC10="Suezmax",ABJ10,AAC10="Capesize",ABC10,AAC10="VLOC",AAV10)))))}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</si>
  <si>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=INDEX(Canals!$AJ$24:$AJ$29,MATCH(2,1/((Canals!$F$24:$F$29&lt;=$C10)*(Canals!$G$24:$G$29=_xlfn.IFS(AAC10="Handysize",Main!ACL10,AAC10="Supramax",ACE10,AAC10="Panamax",ABX10,AAC10="NeoPanamax",ABQ10,AAC10="Suezmax",ABJ10,AAC10="Capesize",ABC10,AAC10="VLOC",AAV10)))))}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</si>
  <si>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=INDEX(Canals!$AK$24:$AK$29,MATCH(2,1/((Canals!$F$24:$F$29&lt;=$C10)*(Canals!$G$24:$G$29=_xlfn.IFS(AAC10="Handysize",Main!ACL10,AAC10="Supramax",ACE10,AAC10="Panamax",ABX10,AAC10="NeoPanamax",ABQ10,AAC10="Suezmax",ABJ10,AAC10="Capesize",ABC10,AAC10="VLOC",AAV10)))))}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</si>
  <si>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=INDEX(Canals!$AL$24:$AL$29,MATCH(2,1/((Canals!$F$24:$F$29&lt;=$C10)*(Canals!$G$24:$G$29=_xlfn.IFS(AAC10="Handysize",Main!ACL10,AAC10="Supramax",ACE10,AAC10="Panamax",ABX10,AAC10="NeoPanamax",ABQ10,AAC10="Suezmax",ABJ10,AAC10="Capesize",ABC10,AAC10="VLOC",AAV10)))))}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</si>
  <si>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=INDEX(Canals!$AM$24:$AM$29,MATCH(2,1/((Canals!$F$24:$F$29&lt;=$C10)*(Canals!$G$24:$G$29=_xlfn.IFS(AAC10="Handysize",Main!ACL10,AAC10="Supramax",ACE10,AAC10="Panamax",ABX10,AAC10="NeoPanamax",ABQ10,AAC10="Suezmax",ABJ10,AAC10="Capesize",ABC10,AAC10="VLOC",AAV10)))))}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</si>
  <si>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=INDEX(Canals!$AN$24:$AN$29,MATCH(2,1/((Canals!$F$24:$F$29&lt;=$C10)*(Canals!$G$24:$G$29=_xlfn.IFS(AAC10="Handysize",Main!ACL10,AAC10="Supramax",ACE10,AAC10="Panamax",ABX10,AAC10="NeoPanamax",ABQ10,AAC10="Suezmax",ABJ10,AAC10="Capesize",ABC10,AAC10="VLOC",AAV10)))))}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</si>
  <si>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=INDEX(Canals!$AO$24:$AO$29,MATCH(2,1/((Canals!$F$24:$F$29&lt;=$C10)*(Canals!$G$24:$G$29=_xlfn.IFS(AAC10="Handysize",Main!ACL10,AAC10="Supramax",ACE10,AAC10="Panamax",ABX10,AAC10="NeoPanamax",ABQ10,AAC10="Suezmax",ABJ10,AAC10="Capesize",ABC10,AAC10="VLOC",AAV10)))))}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</si>
  <si>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=INDEX(Canals!$AP$24:$AP$29,MATCH(2,1/((Canals!$F$24:$F$29&lt;=$C10)*(Canals!$G$24:$G$29=_xlfn.IFS(AAC10="Handysize",Main!ACL10,AAC10="Supramax",ACE10,AAC10="Panamax",ABX10,AAC10="NeoPanamax",ABQ10,AAC10="Suezmax",ABJ10,AAC10="Capesize",ABC10,AAC10="VLOC",AAV10)))))}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</si>
  <si>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=INDEX(Canals!$AQ$24:$AQ$29,MATCH(2,1/((Canals!$F$24:$F$29&lt;=$C10)*(Canals!$G$24:$G$29=_xlfn.IFS(AAC10="Handysize",Main!ACL10,AAC10="Supramax",ACE10,AAC10="Panamax",ABX10,AAC10="NeoPanamax",ABQ10,AAC10="Suezmax",ABJ10,AAC10="Capesize",ABC10,AAC10="VLOC",AAV10)))))}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</si>
  <si>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=INDEX(Canals!$AR$24:$AR$29,MATCH(2,1/((Canals!$F$24:$F$29&lt;=$C10)*(Canals!$G$24:$G$29=_xlfn.IFS(AAC10="Handysize",Main!ACL10,AAC10="Supramax",ACE10,AAC10="Panamax",ABX10,AAC10="NeoPanamax",ABQ10,AAC10="Suezmax",ABJ10,AAC10="Capesize",ABC10,AAC10="VLOC",AAV10)))))}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</si>
  <si>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=INDEX(Canals!$AS$24:$AS$29,MATCH(2,1/((Canals!$F$24:$F$29&lt;=$C10)*(Canals!$G$24:$G$29=_xlfn.IFS(AAC10="Handysize",Main!ACL10,AAC10="Supramax",ACE10,AAC10="Panamax",ABX10,AAC10="NeoPanamax",ABQ10,AAC10="Suezmax",ABJ10,AAC10="Capesize",ABC10,AAC10="VLOC",AAV10)))))}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</si>
  <si>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=INDEX(Canals!$AT$24:$AT$29,MATCH(2,1/((Canals!$F$24:$F$29&lt;=$C10)*(Canals!$G$24:$G$29=_xlfn.IFS(AAC10="Handysize",Main!ACL10,AAC10="Supramax",ACE10,AAC10="Panamax",ABX10,AAC10="NeoPanamax",ABQ10,AAC10="Suezmax",ABJ10,AAC10="Capesize",ABC10,AAC10="VLOC",AAV10)))))}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</si>
  <si>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=INDEX(Canals!$AU$24:$AU$29,MATCH(2,1/((Canals!$F$24:$F$29&lt;=$C10)*(Canals!$G$24:$G$29=_xlfn.IFS(AAC10="Handysize",Main!ACL10,AAC10="Supramax",ACE10,AAC10="Panamax",ABX10,AAC10="NeoPanamax",ABQ10,AAC10="Suezmax",ABJ10,AAC10="Capesize",ABC10,AAC10="VLOC",AAV10)))))}</t>
  </si>
  <si>
    <t>=INDEX(Canals!$AV$24:$AV$29,MATCH(2,1/((Canals!$F$24:$F$29&lt;=$C10)*(Canals!$G$24:$G$29=_xlfn.IFS(AAC10="Handysize",Main!ACL10,AAC10="Supramax",ACE10,AAC10="Panamax",ABX10,AAC10="NeoPanamax",ABQ10,AAC10="Suezmax",ABJ10,AAC10="Capesize",ABC10,AAC10="VLOC",AAV10)))))}</t>
  </si>
  <si>
    <t>=_xlfn.IFS(ADT10="DWT",AAA10,ADT10="NRT",AAE10,ADT10="GRT",AAF10)}</t>
  </si>
  <si>
    <t>IF(AFI10&gt;ADU10,ADU10,AFI10)</t>
  </si>
  <si>
    <t>IF(AFI10&gt;SUM(ADU10:ADV10),ADV10,AFI10-SUM(AFJ10:AFJ10))</t>
  </si>
  <si>
    <t>IF(AFI10&gt;SUM(ADU10:ADW10),ADW10,AFI10-SUM(AFJ10:AFK10))</t>
  </si>
  <si>
    <t>IF(AFI10&gt;SUM(ADU10:ADX10),ADX10,AFI10-SUM(AFJ10:AFL10))</t>
  </si>
  <si>
    <t>IF(AFI10&gt;SUM(ADU10:ADY10),ADY10,AFI10-SUM(AFJ10:AFM10))</t>
  </si>
  <si>
    <t>IF(AFI10&gt;SUM(ADU10:ADZ10),ADZ10,AFI10-SUM(AFJ10:AFN10))</t>
  </si>
  <si>
    <t>IF(AFI10&gt;SUM(ADU10:AEA10),AEA10,AFI10-SUM(AFJ10:AFO10))</t>
  </si>
  <si>
    <t>IF(AFI10&gt;SUM(ADU10:AEB10),AEB10,AFI10-SUM(AFJ10:AFP10))</t>
  </si>
  <si>
    <t>IF(AFI10&gt;SUM(ADU10:AEC10),AEC10,AFI10-SUM(AFJ10:AFQ10))</t>
  </si>
  <si>
    <t>AAA10*$JN10</t>
  </si>
  <si>
    <t>IF(AFS10&gt;AEN10,AEN10,AFS10)</t>
  </si>
  <si>
    <t>IF(AFS10&gt;SUM(AEN10:AEO10),AEO10,AFS10-SUM(AFT10:AFT10))</t>
  </si>
  <si>
    <t>IF(AFS10&gt;SUM(AEN10:AEP10),AEP10,AFS10-SUM(AFT10:AFU10))</t>
  </si>
  <si>
    <t>IF(AFS10&gt;SUM(AEN10:AEQ10),AEQ10,AFS10-SUM(AFT10:AFV10))</t>
  </si>
  <si>
    <t>IF(AFS10&gt;SUM(AEN10:AER10),AER10,AFS10-SUM(AFT10:AFW10))</t>
  </si>
  <si>
    <t>IF(AFS10&gt;SUM(AEN10:AES10),AES10,AFS10-SUM(AFT10:AFX10))</t>
  </si>
  <si>
    <t>IF(AFS10&gt;SUM(AEN10:AET10),AET10,AFS10-SUM(AFT10:AFY10))</t>
  </si>
  <si>
    <t>IF(AFS10&gt;SUM(AEN10:AEU10),AEU10,AFS10-SUM(AFT10:AFZ10))</t>
  </si>
  <si>
    <t>IF(AFS10&gt;SUM(AEN10:AEV10),AEV10,AFS10-SUM(AFT10:AGA10))</t>
  </si>
  <si>
    <t>=_xlfn.IFS(AAC10="Handysize",Main!ACF10,AAC10="Supramax",ABY10,AAC10="Panamax",ABR10,AAC10="NeoPanamax",ABK10,AAC10="Suezmax",ABD10,AAC10="Capesize",AAW10,AAC10="VLOC",AAP10)*$JI10}</t>
  </si>
  <si>
    <t>=_xlfn.IFS(AAC10="Handysize",Main!ACG10,AAC10="Supramax",ABZ10,AAC10="Panamax",ABS10,AAC10="NeoPanamax",ABL10,AAC10="Suezmax",ABE10,AAC10="Capesize",AAX10,AAC10="VLOC",AAQ10)*$JI10}</t>
  </si>
  <si>
    <t>=_xlfn.IFS(AAC10="Handysize",Main!AAH10,AAC10="Supramax",AAI10,AAC10="Panamax",AAJ10,AAC10="NeoPanamax",AAK10,AAC10="Suezmax",AAL10,AAC10="Capesize",AAM10,AAC10="VLOC",AAN10)}</t>
  </si>
  <si>
    <t>=_xlfn.IFS(AAC10="Handysize",Main!ACT10,AAC10="Supramax",ACU10,AAC10="Panamax",ACV10,AAC10="NeoPanamax",ACW10,AAC10="Suezmax",ACX10,AAC10="Capesize",ACY10,AAC10="VLOC",ACZ10)}</t>
  </si>
  <si>
    <t>=INDEX('Ship Speeds'!$G$11:$G$1011,MATCH(2,1/(('Ship Speeds'!$E$11:$E$1011&lt;=Main!$C10)*('Ship Speeds'!$F$11:$F$1011=Main!AAB10))))}</t>
  </si>
  <si>
    <t>(($KH10*AGH10^2+$KI10*AGH10^3+$KG10*AGH10)*((AAA10/$KC10)^$KD10)*$KJ10+(AAA10/$KC10)*$KF10+$KE10)</t>
  </si>
  <si>
    <t>(AAA10/$JY10)*$JZ10+$KA10+$KB10*(AAA10/$JY10)^2</t>
  </si>
  <si>
    <t>AGD10/AGH10/$JH10</t>
  </si>
  <si>
    <t>AGE10/AGH10/$JH10</t>
  </si>
  <si>
    <t>IF($AO10="no",$AN10,$AR10)/(1-$AL10)/AGF10</t>
  </si>
  <si>
    <t>IF($AO10="no",$AN10,$AR10)/(1-$AL10)/AGG10</t>
  </si>
  <si>
    <t>AFG10*$JI10</t>
  </si>
  <si>
    <t>MAX(SUM(AGK10:AGO10)*$JV10,$JU10)</t>
  </si>
  <si>
    <t>=INDEX(ACN10:ACR10,MATCH(_xlfn.IFS(AAC10="Handysize",Main!ACJ10,AAC10="Supramax",ACC10,AAC10="Panamax",ABV10,AAC10="NeoPanamax",ABO10,AAC10="Suezmax",ABH10,AAC10="Capesize",ABA10,AAC10="VLOC",AAT10),$ACN$7:$ACR$7,0))}</t>
  </si>
  <si>
    <t>=INDEX(ACN10:ACR10,MATCH(_xlfn.IFS(AAC10="Handysize",Main!ACK10,AAC10="Supramax",ACD10,AAC10="Panamax",ABW10,AAC10="NeoPanamax",ABP10,AAC10="Suezmax",ABI10,AAC10="Capesize",ABB10,AAC10="VLOC",AAU10),$ACN$7:$ACR$7,0))}</t>
  </si>
  <si>
    <t>AGK10*AGI10*AGQ10</t>
  </si>
  <si>
    <t>SUM(AGM10:AGP10)*AGJ10*AGR10+AGL10*AGI10*AGR10</t>
  </si>
  <si>
    <t>INDEX($JA10:$JD10,MATCH(ADA10,$JA$7:$JD$7,0))</t>
  </si>
  <si>
    <t>ADB10/AGU10</t>
  </si>
  <si>
    <t>ADC10*SUM(AGN10,$JX10)/AGU10</t>
  </si>
  <si>
    <t>ADD10*(AGP10*(1-$JW10))/AGU10</t>
  </si>
  <si>
    <t>ADE10*(AAA10*$JN10)/AGU10</t>
  </si>
  <si>
    <t>ADF10*(AAA10*$JN10)*SUM(AGN10,$JX10)/AGU10</t>
  </si>
  <si>
    <t>ADG10*(AAA10*$JN10)*(AGP10*(1-$JW10))/AGU10</t>
  </si>
  <si>
    <t>ADH10*AAE10/AGU10</t>
  </si>
  <si>
    <t>ADI10*AAE10*SUM(AGN10,$JX10)/AGU10</t>
  </si>
  <si>
    <t>ADJ10*AAE10*(AGP10*(1-$JW10))/AGU10</t>
  </si>
  <si>
    <t>ADK10*AAF10/AGU10</t>
  </si>
  <si>
    <t>ADL10*AAF10*SUM(AGN10,$JX10)/AGU10</t>
  </si>
  <si>
    <t>ADM10*AAF10*(AGP10*(1-$JW10))/AGU10</t>
  </si>
  <si>
    <t>ADN10*AAD10/AGU10</t>
  </si>
  <si>
    <t>ADO10*AAD10*SUM(AGN10,$JX10)/AGU10</t>
  </si>
  <si>
    <t>ADP10*AAD10*(AGP10*(1-$JW10))/AGU10</t>
  </si>
  <si>
    <t>=INDEX('Ship Time Charter Rates'!$H$22:$H$1021,MATCH(2,1/(('Ship Time Charter Rates'!$G$22:$G$1021=_xlfn.IFS(AAC10="Handysize",Main!ACH10,AAC10="Supramax",ACA10,AAC10="Panamax",ABT10,AAC10="NeoPanamax",ABM10,AAC10="Suezmax",ABF10,AAC10="Capesize",AAY10,AAC10="VLOC",AAR10))*('Ship Time Charter Rates'!$E$22:$E$1021&lt;=Main!$C10)*(NOT(ISBLANK('Ship Time Charter Rates'!$H$22:$H$1021))))))}</t>
  </si>
  <si>
    <t>SUM(AGK10:AGP10,$JI10*$JX10)*AHK10</t>
  </si>
  <si>
    <t>SUMPRODUCT(AED10:AEL10,AFJ10:AFR10)+SUMPRODUCT(AEW10:AFE10,AFT10:AGB10)</t>
  </si>
  <si>
    <t>SUM(AGS10,AGT10)+AHL10+AHM10+SUM(AGV10:AHJ10)</t>
  </si>
  <si>
    <t>AHN10*(1+$KL10)*(1+$KM10)</t>
  </si>
  <si>
    <t>IF(AHO10=0,0,AHO10/(AAA10*(1-$AL10)*$JN10))</t>
  </si>
  <si>
    <t>VLOOKUP(AHR10,'Ship Time Charter Rates'!$F$10:$G$17,2,TRUE)</t>
  </si>
  <si>
    <t>VLOOKUP(AHR10,Canals!$E$5:$F$12,2,TRUE)</t>
  </si>
  <si>
    <t>(AHR10*$JO10 + $JP10)</t>
  </si>
  <si>
    <t>(AHR10*$JQ10+$JR10)</t>
  </si>
  <si>
    <t>(AHR10*$JS10+$JT10)</t>
  </si>
  <si>
    <t>=INDEX('Port Linkages'!$E$18:$E$157,MATCH(2,1/(('Port Linkages'!$C$18:$C$157=$AQ10)*('Port Linkages'!$D$18:$D$157=IF($AO10="no",$AQ10,$KK10))*('Port Linkages'!$A$18:$A$157&lt;=$C10))))}</t>
  </si>
  <si>
    <t>=INDEX('Port Linkages'!$F$18:$F$157,MATCH(2,1/(('Port Linkages'!$C$18:$C$157=$AQ10)*('Port Linkages'!$D$18:$D$157=IF($AO10="no",$AQ10,$KK10))*('Port Linkages'!$A$18:$A$157&lt;=$C10))))}</t>
  </si>
  <si>
    <t>=INDEX('Port Linkages'!$G$18:$G$157,MATCH(2,1/(('Port Linkages'!$C$18:$C$157=$AQ10)*('Port Linkages'!$D$18:$D$157=IF($AO10="no",$AQ10,$KK10))*('Port Linkages'!$A$18:$A$157&lt;=$C10))))}</t>
  </si>
  <si>
    <t>=INDEX('Port Linkages'!$H$18:$H$157,MATCH(2,1/(('Port Linkages'!$C$18:$C$157=$AQ10)*('Port Linkages'!$D$18:$D$157=IF($AO10="no",$AQ10,$KK10))*('Port Linkages'!$A$18:$A$157&lt;=$C10))))}</t>
  </si>
  <si>
    <t>=INDEX('Port Linkages'!$I$18:$I$157,MATCH(2,1/(('Port Linkages'!$C$18:$C$157=$AQ10)*('Port Linkages'!$D$18:$D$157=IF($AO10="no",$AQ10,$KK10))*('Port Linkages'!$A$18:$A$157&lt;=$C10))))}</t>
  </si>
  <si>
    <t>=INDEX('Port Linkages'!$J$18:$J$157,MATCH(2,1/(('Port Linkages'!$C$18:$C$157=$AQ10)*('Port Linkages'!$D$18:$D$157=IF($AO10="no",$AQ10,$KK10))*('Port Linkages'!$A$18:$A$157&lt;=$C10))))}</t>
  </si>
  <si>
    <t>=INDEX('Port Linkages'!$K$18:$K$157,MATCH(2,1/(('Port Linkages'!$C$18:$C$157=$AQ10)*('Port Linkages'!$D$18:$D$157=IF($AO10="no",$AQ10,$KK10))*('Port Linkages'!$A$18:$A$157&lt;=$C10))))}</t>
  </si>
  <si>
    <t>=INDEX('Port Linkages'!$L$18:$L$157,MATCH(2,1/(('Port Linkages'!$C$18:$C$157=$AQ10)*('Port Linkages'!$D$18:$D$157=IF($AO10="no",$AQ10,$KK10))*('Port Linkages'!$A$18:$A$157&lt;=$C10))))}</t>
  </si>
  <si>
    <t>=INDEX('Port Linkages'!$M$18:$M$157,MATCH(2,1/(('Port Linkages'!$C$18:$C$157=$AQ10)*('Port Linkages'!$D$18:$D$157=IF($AO10="no",$AQ10,$KK10))*('Port Linkages'!$A$18:$A$157&lt;=$C10))))}</t>
  </si>
  <si>
    <t>=INDEX('Port Linkages'!$N$18:$N$157,MATCH(2,1/(('Port Linkages'!$C$18:$C$157=$AQ10)*('Port Linkages'!$D$18:$D$157=IF($AO10="no",$AQ10,$KK10))*('Port Linkages'!$A$18:$A$157&lt;=$C10))))}</t>
  </si>
  <si>
    <t>=INDEX('Port Linkages'!$O$18:$O$157,MATCH(2,1/(('Port Linkages'!$C$18:$C$157=$AQ10)*('Port Linkages'!$D$18:$D$157=IF($AO10="no",$AQ10,$KK10))*('Port Linkages'!$A$18:$A$157&lt;=$C10))))}</t>
  </si>
  <si>
    <t>=INDEX('Port Linkages'!$P$18:$P$157,MATCH(2,1/(('Port Linkages'!$C$18:$C$157=$AQ10)*('Port Linkages'!$D$18:$D$157=IF($AO10="no",$AQ10,$KK10))*('Port Linkages'!$A$18:$A$157&lt;=$C10))))}</t>
  </si>
  <si>
    <t>=INDEX('Port Linkages'!$Q$18:$Q$157,MATCH(2,1/(('Port Linkages'!$C$18:$C$157=$AQ10)*('Port Linkages'!$D$18:$D$157=IF($AO10="no",$AQ10,$KK10))*('Port Linkages'!$A$18:$A$157&lt;=$C10))))}</t>
  </si>
  <si>
    <t>=INDEX('Port Linkages'!$R$18:$R$157,MATCH(2,1/(('Port Linkages'!$C$18:$C$157=$AQ10)*('Port Linkages'!$D$18:$D$157=IF($AO10="no",$AQ10,$KK10))*('Port Linkages'!$A$18:$A$157&lt;=$C10))))}</t>
  </si>
  <si>
    <t>=INDEX('Port Linkages'!$S$18:$S$157,MATCH(2,1/(('Port Linkages'!$C$18:$C$157=$AQ10)*('Port Linkages'!$D$18:$D$157=IF($AO10="no",$AQ10,$KK10))*('Port Linkages'!$A$18:$A$157&lt;=$C10))))}</t>
  </si>
  <si>
    <t>=INDEX('Port Linkages'!$T$18:$T$157,MATCH(2,1/(('Port Linkages'!$C$18:$C$157=$AQ10)*('Port Linkages'!$D$18:$D$157=IF($AO10="no",$AQ10,$KK10))*('Port Linkages'!$A$18:$A$157&lt;=$C10))))}</t>
  </si>
  <si>
    <t>=INDEX('Port Linkages'!$U$18:$U$157,MATCH(2,1/(('Port Linkages'!$C$18:$C$157=$AQ10)*('Port Linkages'!$D$18:$D$157=IF($AO10="no",$AQ10,$KK10))*('Port Linkages'!$A$18:$A$157&lt;=$C10))))}</t>
  </si>
  <si>
    <t>=INDEX('Port Linkages'!$V$18:$V$157,MATCH(2,1/(('Port Linkages'!$C$18:$C$157=$AQ10)*('Port Linkages'!$D$18:$D$157=IF($AO10="no",$AQ10,$KK10))*('Port Linkages'!$A$18:$A$157&lt;=$C10))))}</t>
  </si>
  <si>
    <t>=INDEX('Port Linkages'!$W$18:$W$157,MATCH(2,1/(('Port Linkages'!$C$18:$C$157=$AQ10)*('Port Linkages'!$D$18:$D$157=IF($AO10="no",$AQ10,$KK10))*('Port Linkages'!$A$18:$A$157&lt;=$C10))))}</t>
  </si>
  <si>
    <t>=INDEX('Port Linkages'!$X$18:$X$157,MATCH(2,1/(('Port Linkages'!$C$18:$C$157=$AQ10)*('Port Linkages'!$D$18:$D$157=IF($AO10="no",$AQ10,$KK10))*('Port Linkages'!$A$18:$A$157&lt;=$C10))))}</t>
  </si>
  <si>
    <t>=INDEX('Port Linkages'!$Y$18:$Y$157,MATCH(2,1/(('Port Linkages'!$C$18:$C$157=$AQ10)*('Port Linkages'!$D$18:$D$157=IF($AO10="no",$AQ10,$KK10))*('Port Linkages'!$A$18:$A$157&lt;=$C10))))}</t>
  </si>
  <si>
    <t>=INDEX('Port Linkages'!$Z$18:$Z$157,MATCH(2,1/(('Port Linkages'!$C$18:$C$157=$AQ10)*('Port Linkages'!$D$18:$D$157=IF($AO10="no",$AQ10,$KK10))*('Port Linkages'!$A$18:$A$157&lt;=$C10))))}</t>
  </si>
  <si>
    <t>=INDEX('Port Linkages'!$AA$18:$AA$157,MATCH(2,1/(('Port Linkages'!$C$18:$C$157=$AQ10)*('Port Linkages'!$D$18:$D$157=IF($AO10="no",$AQ10,$KK10))*('Port Linkages'!$A$18:$A$157&lt;=$C10))))}</t>
  </si>
  <si>
    <t>=INDEX('Port Linkages'!$AB$18:$AB$157,MATCH(2,1/(('Port Linkages'!$C$18:$C$157=$AQ10)*('Port Linkages'!$D$18:$D$157=IF($AO10="no",$AQ10,$KK10))*('Port Linkages'!$A$18:$A$157&lt;=$C10))))}</t>
  </si>
  <si>
    <t>=INDEX('Port Linkages'!$AC$18:$AC$157,MATCH(2,1/(('Port Linkages'!$C$18:$C$157=$AQ10)*('Port Linkages'!$D$18:$D$157=IF($AO10="no",$AQ10,$KK10))*('Port Linkages'!$A$18:$A$157&lt;=$C10))))}</t>
  </si>
  <si>
    <t>=INDEX('Port Linkages'!$AD$18:$AD$157,MATCH(2,1/(('Port Linkages'!$C$18:$C$157=$AQ10)*('Port Linkages'!$D$18:$D$157=IF($AO10="no",$AQ10,$KK10))*('Port Linkages'!$A$18:$A$157&lt;=$C10))))}</t>
  </si>
  <si>
    <t>=INDEX('Port Linkages'!$AE$18:$AE$157,MATCH(2,1/(('Port Linkages'!$C$18:$C$157=$AQ10)*('Port Linkages'!$D$18:$D$157=IF($AO10="no",$AQ10,$KK10))*('Port Linkages'!$A$18:$A$157&lt;=$C10))))}</t>
  </si>
  <si>
    <t>=INDEX('Port Linkages'!$AF$18:$AF$157,MATCH(2,1/(('Port Linkages'!$C$18:$C$157=$AQ10)*('Port Linkages'!$D$18:$D$157=IF($AO10="no",$AQ10,$KK10))*('Port Linkages'!$A$18:$A$157&lt;=$C10))))}</t>
  </si>
  <si>
    <t>=INDEX('Port Linkages'!$AG$18:$AG$157,MATCH(2,1/(('Port Linkages'!$C$18:$C$157=$AQ10)*('Port Linkages'!$D$18:$D$157=IF($AO10="no",$AQ10,$KK10))*('Port Linkages'!$A$18:$A$157&lt;=$C10))))}</t>
  </si>
  <si>
    <t>=INDEX('Port Linkages'!$AH$18:$AH$157,MATCH(2,1/(('Port Linkages'!$C$18:$C$157=$AQ10)*('Port Linkages'!$D$18:$D$157=IF($AO10="no",$AQ10,$KK10))*('Port Linkages'!$A$18:$A$157&lt;=$C10))))}</t>
  </si>
  <si>
    <t>=INDEX('Port Linkages'!$AI$18:$AI$157,MATCH(2,1/(('Port Linkages'!$C$18:$C$157=$AQ10)*('Port Linkages'!$D$18:$D$157=IF($AO10="no",$AQ10,$KK10))*('Port Linkages'!$A$18:$A$157&lt;=$C10))))}</t>
  </si>
  <si>
    <t>=INDEX('Port Linkages'!$AJ$18:$AJ$157,MATCH(2,1/(('Port Linkages'!$C$18:$C$157=$AQ10)*('Port Linkages'!$D$18:$D$157=IF($AO10="no",$AQ10,$KK10))*('Port Linkages'!$A$18:$A$157&lt;=$C10))))}</t>
  </si>
  <si>
    <t>=INDEX('Port Linkages'!$AK$18:$AK$157,MATCH(2,1/(('Port Linkages'!$C$18:$C$157=$AQ10)*('Port Linkages'!$D$18:$D$157=IF($AO10="no",$AQ10,$KK10))*('Port Linkages'!$A$18:$A$157&lt;=$C10))))}</t>
  </si>
  <si>
    <t>=INDEX('Port Linkages'!$AL$18:$AL$157,MATCH(2,1/(('Port Linkages'!$C$18:$C$157=$AQ10)*('Port Linkages'!$D$18:$D$157=IF($AO10="no",$AQ10,$KK10))*('Port Linkages'!$A$18:$A$157&lt;=$C10))))}</t>
  </si>
  <si>
    <t>=INDEX('Port Linkages'!$AM$18:$AM$157,MATCH(2,1/(('Port Linkages'!$C$18:$C$157=$AQ10)*('Port Linkages'!$D$18:$D$157=IF($AO10="no",$AQ10,$KK10))*('Port Linkages'!$A$18:$A$157&lt;=$C10))))}</t>
  </si>
  <si>
    <t>=INDEX('Port Linkages'!$AN$18:$AN$157,MATCH(2,1/(('Port Linkages'!$C$18:$C$157=$AQ10)*('Port Linkages'!$D$18:$D$157=IF($AO10="no",$AQ10,$KK10))*('Port Linkages'!$A$18:$A$157&lt;=$C10))))}</t>
  </si>
  <si>
    <t>=INDEX('Port Linkages'!$AO$18:$AO$157,MATCH(2,1/(('Port Linkages'!$C$18:$C$157=$AQ10)*('Port Linkages'!$D$18:$D$157=IF($AO10="no",$AQ10,$KK10))*('Port Linkages'!$A$18:$A$157&lt;=$C10))))}</t>
  </si>
  <si>
    <t>=INDEX('Port Linkages'!$AP$18:$AP$157,MATCH(2,1/(('Port Linkages'!$C$18:$C$157=$AQ10)*('Port Linkages'!$D$18:$D$157=IF($AO10="no",$AQ10,$KK10))*('Port Linkages'!$A$18:$A$157&lt;=$C10))))}</t>
  </si>
  <si>
    <t>=INDEX('Port Linkages'!$AQ$18:$AQ$157,MATCH(2,1/(('Port Linkages'!$C$18:$C$157=$AQ10)*('Port Linkages'!$D$18:$D$157=IF($AO10="no",$AQ10,$KK10))*('Port Linkages'!$A$18:$A$157&lt;=$C10))))}</t>
  </si>
  <si>
    <t>=INDEX('Port Linkages'!$AR$18:$AR$157,MATCH(2,1/(('Port Linkages'!$C$18:$C$157=$AQ10)*('Port Linkages'!$D$18:$D$157=IF($AO10="no",$AQ10,$KK10))*('Port Linkages'!$A$18:$A$157&lt;=$C10))))}</t>
  </si>
  <si>
    <t>=INDEX('Port Linkages'!$AS$18:$AS$157,MATCH(2,1/(('Port Linkages'!$C$18:$C$157=$AQ10)*('Port Linkages'!$D$18:$D$157=IF($AO10="no",$AQ10,$KK10))*('Port Linkages'!$A$18:$A$157&lt;=$C10))))}</t>
  </si>
  <si>
    <t>=INDEX('Port Linkages'!$AT$18:$AT$157,MATCH(2,1/(('Port Linkages'!$C$18:$C$157=$AQ10)*('Port Linkages'!$D$18:$D$157=IF($AO10="no",$AQ10,$KK10))*('Port Linkages'!$A$18:$A$157&lt;=$C10))))}</t>
  </si>
  <si>
    <t>=INDEX('Port Linkages'!$AU$18:$AU$157,MATCH(2,1/(('Port Linkages'!$C$18:$C$157=$AQ10)*('Port Linkages'!$D$18:$D$157=IF($AO10="no",$AQ10,$KK10))*('Port Linkages'!$A$18:$A$157&lt;=$C10))))}</t>
  </si>
  <si>
    <t>=INDEX('Port Linkages'!$AV$18:$AV$157,MATCH(2,1/(('Port Linkages'!$C$18:$C$157=$AQ10)*('Port Linkages'!$D$18:$D$157=IF($AO10="no",$AQ10,$KK10))*('Port Linkages'!$A$18:$A$157&lt;=$C10))))}</t>
  </si>
  <si>
    <t>=INDEX('Port Linkages'!$AW$18:$AW$157,MATCH(2,1/(('Port Linkages'!$C$18:$C$157=$AQ10)*('Port Linkages'!$D$18:$D$157=IF($AO10="no",$AQ10,$KK10))*('Port Linkages'!$A$18:$A$157&lt;=$C10))))}</t>
  </si>
  <si>
    <t>=INDEX('Port Linkages'!$AX$18:$AX$157,MATCH(2,1/(('Port Linkages'!$C$18:$C$157=$AQ10)*('Port Linkages'!$D$18:$D$157=IF($AO10="no",$AQ10,$KK10))*('Port Linkages'!$A$18:$A$157&lt;=$C10))))}</t>
  </si>
  <si>
    <t>=INDEX('Port Linkages'!$AY$18:$AY$157,MATCH(2,1/(('Port Linkages'!$C$18:$C$157=$AQ10)*('Port Linkages'!$D$18:$D$157=IF($AO10="no",$AQ10,$KK10))*('Port Linkages'!$A$18:$A$157&lt;=$C10))))}</t>
  </si>
  <si>
    <t>=INDEX('Port Linkages'!$AZ$18:$AZ$157,MATCH(2,1/(('Port Linkages'!$C$18:$C$157=$AQ10)*('Port Linkages'!$D$18:$D$157=IF($AO10="no",$AQ10,$KK10))*('Port Linkages'!$A$18:$A$157&lt;=$C10))))}</t>
  </si>
  <si>
    <t>=INDEX('Port Linkages'!$BA$18:$BA$157,MATCH(2,1/(('Port Linkages'!$C$18:$C$157=$AQ10)*('Port Linkages'!$D$18:$D$157=IF($AO10="no",$AQ10,$KK10))*('Port Linkages'!$A$18:$A$157&lt;=$C10))))}</t>
  </si>
  <si>
    <t>=INDEX('Ship Fuel Prices'!$F$5:$F$1004,MATCH(2,1/(('Ship Fuel Prices'!$E$5:$E$1004=_xlfn.IFS(AHT10="Handysize",Main!AJZ10,AHT10="Supramax",AJS10,AHT10="Panamax",AJL10,AHT10="NeoPanamax",AJE10,AHT10="Suezmax",AIX10,AHT10="Capesize",AIQ10,AHT10="VLOC",AIJ10))*('Ship Fuel Prices'!$D$5:$D$1004&lt;=Main!$C10))))}</t>
  </si>
  <si>
    <t>=INDEX('Ship Fuel Prices'!$G$5:$G$1004,MATCH(2,1/(('Ship Fuel Prices'!$E$5:$E$1004=_xlfn.IFS(AHT10="Handysize",Main!AJZ10,AHT10="Supramax",AJS10,AHT10="Panamax",AJL10,AHT10="NeoPanamax",AJE10,AHT10="Suezmax",AIX10,AHT10="Capesize",AIQ10,AHT10="VLOC",AIJ10))*('Ship Fuel Prices'!$D$5:$D$1004&lt;=Main!$C10))))}</t>
  </si>
  <si>
    <t>=INDEX('Ship Fuel Prices'!$H$5:$H$1004,MATCH(2,1/(('Ship Fuel Prices'!$E$5:$E$1004=_xlfn.IFS(AHT10="Handysize",Main!AJZ10,AHT10="Supramax",AJS10,AHT10="Panamax",AJL10,AHT10="NeoPanamax",AJE10,AHT10="Suezmax",AIX10,AHT10="Capesize",AIQ10,AHT10="VLOC",AIJ10))*('Ship Fuel Prices'!$D$5:$D$1004&lt;=Main!$C10))))}</t>
  </si>
  <si>
    <t>=INDEX('Ship Fuel Prices'!$I$5:$I$1004,MATCH(2,1/(('Ship Fuel Prices'!$E$5:$E$1004=_xlfn.IFS(AHT10="Handysize",Main!AJZ10,AHT10="Supramax",AJS10,AHT10="Panamax",AJL10,AHT10="NeoPanamax",AJE10,AHT10="Suezmax",AIX10,AHT10="Capesize",AIQ10,AHT10="VLOC",AIJ10))*('Ship Fuel Prices'!$D$5:$D$1004&lt;=Main!$C10))))}</t>
  </si>
  <si>
    <t>=INDEX('Ship Fuel Prices'!$J$5:$J$1004,MATCH(2,1/(('Ship Fuel Prices'!$E$5:$E$1004=_xlfn.IFS(AHT10="Handysize",Main!AJZ10,AHT10="Supramax",AJS10,AHT10="Panamax",AJL10,AHT10="NeoPanamax",AJE10,AHT10="Suezmax",AIX10,AHT10="Capesize",AIQ10,AHT10="VLOC",AIJ10))*('Ship Fuel Prices'!$D$5:$D$1004&lt;=Main!$C10))))}</t>
  </si>
  <si>
    <t>=INDEX('China n Importing Ports'!$E$20:$E$41,MATCH(2,1/(('China n Importing Ports'!$D$20:$D$41&lt;=$C10)*('China n Importing Ports'!$C$20:$C$41=IF($AO10="No",$AQ10,$KK10)))))}</t>
  </si>
  <si>
    <t>=INDEX('China n Importing Ports'!$F$20:$F$41,MATCH(2,1/(('China n Importing Ports'!$D$20:$D$41&lt;=$C10)*('China n Importing Ports'!$C$20:$C$41=IF($AO10="No",$AQ10,$KK10)))))}</t>
  </si>
  <si>
    <t>=INDEX('China n Importing Ports'!$G$20:$G$41,MATCH(2,1/(('China n Importing Ports'!$D$20:$D$41&lt;=$C10)*('China n Importing Ports'!$C$20:$C$41=IF($AO10="No",$AQ10,$KK10)))))}</t>
  </si>
  <si>
    <t>=INDEX('China n Importing Ports'!$H$20:$H$41,MATCH(2,1/(('China n Importing Ports'!$D$20:$D$41&lt;=$C10)*('China n Importing Ports'!$C$20:$C$41=IF($AO10="No",$AQ10,$KK10)))))}</t>
  </si>
  <si>
    <t>=INDEX('China n Importing Ports'!$I$20:$I$41,MATCH(2,1/(('China n Importing Ports'!$D$20:$D$41&lt;=$C10)*('China n Importing Ports'!$C$20:$C$41=IF($AO10="No",$AQ10,$KK10)))))}</t>
  </si>
  <si>
    <t>=INDEX('China n Importing Ports'!$J$20:$J$41,MATCH(2,1/(('China n Importing Ports'!$D$20:$D$41&lt;=$C10)*('China n Importing Ports'!$C$20:$C$41=IF($AO10="No",$AQ10,$KK10)))))}</t>
  </si>
  <si>
    <t>=INDEX('China n Importing Ports'!$K$20:$K$41,MATCH(2,1/(('China n Importing Ports'!$D$20:$D$41&lt;=$C10)*('China n Importing Ports'!$C$20:$C$41=IF($AO10="No",$AQ10,$KK10)))))}</t>
  </si>
  <si>
    <t>=INDEX('China n Importing Ports'!$L$20:$L$41,MATCH(2,1/(('China n Importing Ports'!$D$20:$D$41&lt;=$C10)*('China n Importing Ports'!$C$20:$C$41=IF($AO10="No",$AQ10,$KK10)))))}</t>
  </si>
  <si>
    <t>=INDEX('China n Importing Ports'!$M$20:$M$41,MATCH(2,1/(('China n Importing Ports'!$D$20:$D$41&lt;=$C10)*('China n Importing Ports'!$C$20:$C$41=IF($AO10="No",$AQ10,$KK10)))))}</t>
  </si>
  <si>
    <t>=INDEX('China n Importing Ports'!$N$20:$N$41,MATCH(2,1/(('China n Importing Ports'!$D$20:$D$41&lt;=$C10)*('China n Importing Ports'!$C$20:$C$41=IF($AO10="No",$AQ10,$KK10)))))}</t>
  </si>
  <si>
    <t>=INDEX('China n Importing Ports'!$O$20:$O$41,MATCH(2,1/(('China n Importing Ports'!$D$20:$D$41&lt;=$C10)*('China n Importing Ports'!$C$20:$C$41=IF($AO10="No",$AQ10,$KK10)))))}</t>
  </si>
  <si>
    <t>=INDEX('China n Importing Ports'!$P$20:$P$41,MATCH(2,1/(('China n Importing Ports'!$D$20:$D$41&lt;=$C10)*('China n Importing Ports'!$C$20:$C$41=IF($AO10="No",$AQ10,$KK10)))))}</t>
  </si>
  <si>
    <t>=INDEX('China n Importing Ports'!$Q$20:$Q$41,MATCH(2,1/(('China n Importing Ports'!$D$20:$D$41&lt;=$C10)*('China n Importing Ports'!$C$20:$C$41=IF($AO10="No",$AQ10,$KK10)))))}</t>
  </si>
  <si>
    <t>=INDEX('China n Importing Ports'!$R$20:$R$41,MATCH(2,1/(('China n Importing Ports'!$D$20:$D$41&lt;=$C10)*('China n Importing Ports'!$C$20:$C$41=IF($AO10="No",$AQ10,$KK10)))))}</t>
  </si>
  <si>
    <t>=INDEX('China n Importing Ports'!$S$20:$S$41,MATCH(2,1/(('China n Importing Ports'!$D$20:$D$41&lt;=$C10)*('China n Importing Ports'!$C$20:$C$41=IF($AO10="No",$AQ10,$KK10)))))}</t>
  </si>
  <si>
    <t>=INDEX('China n Importing Ports'!$T$20:$T$41,MATCH(2,1/(('China n Importing Ports'!$D$20:$D$41&lt;=$C10)*('China n Importing Ports'!$C$20:$C$41=IF($AO10="No",$AQ10,$KK10)))))}</t>
  </si>
  <si>
    <t>=INDEX('China n Importing Ports'!$U$20:$U$41,MATCH(2,1/(('China n Importing Ports'!$D$20:$D$41&lt;=$C10)*('China n Importing Ports'!$C$20:$C$41=IF($AO10="No",$AQ10,$KK10)))))}</t>
  </si>
  <si>
    <t>=INDEX('China n Importing Ports'!$V$20:$V$41,MATCH(2,1/(('China n Importing Ports'!$D$20:$D$41&lt;=$C10)*('China n Importing Ports'!$C$20:$C$41=IF($AO10="No",$AQ10,$KK10)))))}</t>
  </si>
  <si>
    <t>=INDEX('China n Importing Ports'!$W$20:$W$41,MATCH(2,1/(('China n Importing Ports'!$D$20:$D$41&lt;=$C10)*('China n Importing Ports'!$C$20:$C$41=IF($AO10="No",$AQ10,$KK10)))))}</t>
  </si>
  <si>
    <t>=INDEX('China n Importing Ports'!$X$20:$X$41,MATCH(2,1/(('China n Importing Ports'!$D$20:$D$41&lt;=$C10)*('China n Importing Ports'!$C$20:$C$41=IF($AO10="No",$AQ10,$KK10)))))}</t>
  </si>
  <si>
    <t>=INDEX('China n Importing Ports'!$Y$20:$Y$41,MATCH(2,1/(('China n Importing Ports'!$D$20:$D$41&lt;=$C10)*('China n Importing Ports'!$C$20:$C$41=IF($AO10="No",$AQ10,$KK10)))))}</t>
  </si>
  <si>
    <t>=INDEX('China n Importing Ports'!$Z$20:$Z$41,MATCH(2,1/(('China n Importing Ports'!$D$20:$D$41&lt;=$C10)*('China n Importing Ports'!$C$20:$C$41=IF($AO10="No",$AQ10,$KK10)))))}</t>
  </si>
  <si>
    <t>=INDEX('China n Importing Ports'!$AA$20:$AA$41,MATCH(2,1/(('China n Importing Ports'!$D$20:$D$41&lt;=$C10)*('China n Importing Ports'!$C$20:$C$41=IF($AO10="No",$AQ10,$KK10)))))}</t>
  </si>
  <si>
    <t>=INDEX(Canals!$G$24:$G$29,MATCH(2,1/((Canals!$F$24:$F$29&lt;=$C10)*(Canals!$G$24:$G$29=_xlfn.IFS(AHT10="Handysize",AKC10,AHT10="Supramax",AJV10,AHT10="Panamax",AJO10,AHT10="NeoPanamax",AJH10,AHT10="Suezmax",AJA10,AHT10="Capesize",AIT10,AHT10="VLOC",AIM10)))))}</t>
  </si>
  <si>
    <t>=INDEX(Canals!$H$24:$H$29,MATCH(2,1/((Canals!$F$24:$F$29&lt;=$C10)*(Canals!$G$24:$G$29=_xlfn.IFS(AHT10="Handysize",AKC10,AHT10="Supramax",AJV10,AHT10="Panamax",AJO10,AHT10="NeoPanamax",AJH10,AHT10="Suezmax",AJA10,AHT10="Capesize",AIT10,AHT10="VLOC",AIM10)))))}</t>
  </si>
  <si>
    <t>=INDEX(Canals!$I$24:$I$29,MATCH(2,1/((Canals!$F$24:$F$29&lt;=$C10)*(Canals!$G$24:$G$29=_xlfn.IFS(AHT10="Handysize",AKC10,AHT10="Supramax",AJV10,AHT10="Panamax",AJO10,AHT10="NeoPanamax",AJH10,AHT10="Suezmax",AJA10,AHT10="Capesize",AIT10,AHT10="VLOC",AIM10)))))}</t>
  </si>
  <si>
    <t>=INDEX(Canals!$J$24:$J$29,MATCH(2,1/((Canals!$F$24:$F$29&lt;=$C10)*(Canals!$G$24:$G$29=_xlfn.IFS(AHT10="Handysize",Main!AKC10,AHT10="Supramax",AJV10,AHT10="Panamax",AJO10,AHT10="NeoPanamax",AJH10,AHT10="Suezmax",AJA10,AHT10="Capesize",AIT10,AHT10="VLOC",AIM10)))))}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</si>
  <si>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=INDEX(Canals!$K$24:$K$29,MATCH(2,1/((Canals!$F$24:$F$29&lt;=$C10)*(Canals!$G$24:$G$29=_xlfn.IFS(AHT10="Handysize",Main!AKC10,AHT10="Supramax",AJV10,AHT10="Panamax",AJO10,AHT10="NeoPanamax",AJH10,AHT10="Suezmax",AJA10,AHT10="Capesize",AIT10,AHT10="VLOC",AIM10)))))}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</si>
  <si>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=INDEX(Canals!$L$24:$L$29,MATCH(2,1/((Canals!$F$24:$F$29&lt;=$C10)*(Canals!$G$24:$G$29=_xlfn.IFS(AHT10="Handysize",Main!AKC10,AHT10="Supramax",AJV10,AHT10="Panamax",AJO10,AHT10="NeoPanamax",AJH10,AHT10="Suezmax",AJA10,AHT10="Capesize",AIT10,AHT10="VLOC",AIM10)))))}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</si>
  <si>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=INDEX(Canals!$M$24:$M$29,MATCH(2,1/((Canals!$F$24:$F$29&lt;=$C10)*(Canals!$G$24:$G$29=_xlfn.IFS(AHT10="Handysize",Main!AKC10,AHT10="Supramax",AJV10,AHT10="Panamax",AJO10,AHT10="NeoPanamax",AJH10,AHT10="Suezmax",AJA10,AHT10="Capesize",AIT10,AHT10="VLOC",AIM10)))))}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</si>
  <si>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=INDEX(Canals!$N$24:$N$29,MATCH(2,1/((Canals!$F$24:$F$29&lt;=$C10)*(Canals!$G$24:$G$29=_xlfn.IFS(AHT10="Handysize",Main!AKC10,AHT10="Supramax",AJV10,AHT10="Panamax",AJO10,AHT10="NeoPanamax",AJH10,AHT10="Suezmax",AJA10,AHT10="Capesize",AIT10,AHT10="VLOC",AIM10)))))}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</si>
  <si>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=INDEX(Canals!$O$24:$O$29,MATCH(2,1/((Canals!$F$24:$F$29&lt;=$C10)*(Canals!$G$24:$G$29=_xlfn.IFS(AHT10="Handysize",Main!AKC10,AHT10="Supramax",AJV10,AHT10="Panamax",AJO10,AHT10="NeoPanamax",AJH10,AHT10="Suezmax",AJA10,AHT10="Capesize",AIT10,AHT10="VLOC",AIM10)))))}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</si>
  <si>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=INDEX(Canals!$P$24:$P$29,MATCH(2,1/((Canals!$F$24:$F$29&lt;=$C10)*(Canals!$G$24:$G$29=_xlfn.IFS(AHT10="Handysize",Main!AKC10,AHT10="Supramax",AJV10,AHT10="Panamax",AJO10,AHT10="NeoPanamax",AJH10,AHT10="Suezmax",AJA10,AHT10="Capesize",AIT10,AHT10="VLOC",AIM10)))))}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</si>
  <si>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=INDEX(Canals!$Q$24:$Q$29,MATCH(2,1/((Canals!$F$24:$F$29&lt;=$C10)*(Canals!$G$24:$G$29=_xlfn.IFS(AHT10="Handysize",Main!AKC10,AHT10="Supramax",AJV10,AHT10="Panamax",AJO10,AHT10="NeoPanamax",AJH10,AHT10="Suezmax",AJA10,AHT10="Capesize",AIT10,AHT10="VLOC",AIM10)))))}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</si>
  <si>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=INDEX(Canals!$R$24:$R$29,MATCH(2,1/((Canals!$F$24:$F$29&lt;=$C10)*(Canals!$G$24:$G$29=_xlfn.IFS(AHT10="Handysize",Main!AKC10,AHT10="Supramax",AJV10,AHT10="Panamax",AJO10,AHT10="NeoPanamax",AJH10,AHT10="Suezmax",AJA10,AHT10="Capesize",AIT10,AHT10="VLOC",AIM10)))))}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</si>
  <si>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=INDEX(Canals!$S$24:$S$29,MATCH(2,1/((Canals!$F$24:$F$29&lt;=$C10)*(Canals!$G$24:$G$29=_xlfn.IFS(AHT10="Handysize",Main!AKC10,AHT10="Supramax",AJV10,AHT10="Panamax",AJO10,AHT10="NeoPanamax",AJH10,AHT10="Suezmax",AJA10,AHT10="Capesize",AIT10,AHT10="VLOC",AIM10)))))}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</si>
  <si>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=INDEX(Canals!$T$24:$T$29,MATCH(2,1/((Canals!$F$24:$F$29&lt;=$C10)*(Canals!$G$24:$G$29=_xlfn.IFS(AHT10="Handysize",Main!AKC10,AHT10="Supramax",AJV10,AHT10="Panamax",AJO10,AHT10="NeoPanamax",AJH10,AHT10="Suezmax",AJA10,AHT10="Capesize",AIT10,AHT10="VLOC",AIM10)))))}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</si>
  <si>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=INDEX(Canals!$U$24:$U$29,MATCH(2,1/((Canals!$F$24:$F$29&lt;=$C10)*(Canals!$G$24:$G$29=_xlfn.IFS(AHT10="Handysize",Main!AKC10,AHT10="Supramax",AJV10,AHT10="Panamax",AJO10,AHT10="NeoPanamax",AJH10,AHT10="Suezmax",AJA10,AHT10="Capesize",AIT10,AHT10="VLOC",AIM10)))))}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</si>
  <si>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=INDEX(Canals!$V$24:$V$29,MATCH(2,1/((Canals!$F$24:$F$29&lt;=$C10)*(Canals!$G$24:$G$29=_xlfn.IFS(AHT10="Handysize",Main!AKC10,AHT10="Supramax",AJV10,AHT10="Panamax",AJO10,AHT10="NeoPanamax",AJH10,AHT10="Suezmax",AJA10,AHT10="Capesize",AIT10,AHT10="VLOC",AIM10)))))}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</si>
  <si>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=INDEX(Canals!$W$24:$W$29,MATCH(2,1/((Canals!$F$24:$F$29&lt;=$C10)*(Canals!$G$24:$G$29=_xlfn.IFS(AHT10="Handysize",Main!AKC10,AHT10="Supramax",AJV10,AHT10="Panamax",AJO10,AHT10="NeoPanamax",AJH10,AHT10="Suezmax",AJA10,AHT10="Capesize",AIT10,AHT10="VLOC",AIM10)))))}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</si>
  <si>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=INDEX(Canals!$X$24:$X$29,MATCH(2,1/((Canals!$F$24:$F$29&lt;=$C10)*(Canals!$G$24:$G$29=_xlfn.IFS(AHT10="Handysize",Main!AKC10,AHT10="Supramax",AJV10,AHT10="Panamax",AJO10,AHT10="NeoPanamax",AJH10,AHT10="Suezmax",AJA10,AHT10="Capesize",AIT10,AHT10="VLOC",AIM10)))))}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</si>
  <si>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=INDEX(Canals!$Y$24:$Y$29,MATCH(2,1/((Canals!$F$24:$F$29&lt;=$C10)*(Canals!$G$24:$G$29=_xlfn.IFS(AHT10="Handysize",Main!AKC10,AHT10="Supramax",AJV10,AHT10="Panamax",AJO10,AHT10="NeoPanamax",AJH10,AHT10="Suezmax",AJA10,AHT10="Capesize",AIT10,AHT10="VLOC",AIM10)))))}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</si>
  <si>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=INDEX(Canals!$Z$24:$Z$29,MATCH(2,1/((Canals!$F$24:$F$29&lt;=$C10)*(Canals!$G$24:$G$29=_xlfn.IFS(AHT10="Handysize",Main!AKC10,AHT10="Supramax",AJV10,AHT10="Panamax",AJO10,AHT10="NeoPanamax",AJH10,AHT10="Suezmax",AJA10,AHT10="Capesize",AIT10,AHT10="VLOC",AIM10)))))}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</si>
  <si>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=INDEX(Canals!$AA$24:$AA$29,MATCH(2,1/((Canals!$F$24:$F$29&lt;=$C10)*(Canals!$G$24:$G$29=_xlfn.IFS(AHT10="Handysize",Main!AKC10,AHT10="Supramax",AJV10,AHT10="Panamax",AJO10,AHT10="NeoPanamax",AJH10,AHT10="Suezmax",AJA10,AHT10="Capesize",AIT10,AHT10="VLOC",AIM10)))))}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</si>
  <si>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=INDEX(Canals!$AB$24:$AB$29,MATCH(2,1/((Canals!$F$24:$F$29&lt;=$C10)*(Canals!$G$24:$G$29=_xlfn.IFS(AHT10="Handysize",Main!AKC10,AHT10="Supramax",AJV10,AHT10="Panamax",AJO10,AHT10="NeoPanamax",AJH10,AHT10="Suezmax",AJA10,AHT10="Capesize",AIT10,AHT10="VLOC",AIM10)))))}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</si>
  <si>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=INDEX(Canals!$AC$24:$AC$29,MATCH(2,1/((Canals!$F$24:$F$29&lt;=$C10)*(Canals!$G$24:$G$29=_xlfn.IFS(AHT10="Handysize",Main!AKC10,AHT10="Supramax",AJV10,AHT10="Panamax",AJO10,AHT10="NeoPanamax",AJH10,AHT10="Suezmax",AJA10,AHT10="Capesize",AIT10,AHT10="VLOC",AIM10)))))}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</si>
  <si>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=INDEX(Canals!$AD$24:$AD$29,MATCH(2,1/((Canals!$F$24:$F$29&lt;=$C10)*(Canals!$G$24:$G$29=_xlfn.IFS(AHT10="Handysize",Main!AKC10,AHT10="Supramax",AJV10,AHT10="Panamax",AJO10,AHT10="NeoPanamax",AJH10,AHT10="Suezmax",AJA10,AHT10="Capesize",AIT10,AHT10="VLOC",AIM10)))))}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</si>
  <si>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=INDEX(Canals!$AE$24:$AE$29,MATCH(2,1/((Canals!$F$24:$F$29&lt;=$C10)*(Canals!$G$24:$G$29=_xlfn.IFS(AHT10="Handysize",Main!AKC10,AHT10="Supramax",AJV10,AHT10="Panamax",AJO10,AHT10="NeoPanamax",AJH10,AHT10="Suezmax",AJA10,AHT10="Capesize",AIT10,AHT10="VLOC",AIM10)))))}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</si>
  <si>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=INDEX(Canals!$AF$24:$AF$29,MATCH(2,1/((Canals!$F$24:$F$29&lt;=$C10)*(Canals!$G$24:$G$29=_xlfn.IFS(AHT10="Handysize",Main!AKC10,AHT10="Supramax",AJV10,AHT10="Panamax",AJO10,AHT10="NeoPanamax",AJH10,AHT10="Suezmax",AJA10,AHT10="Capesize",AIT10,AHT10="VLOC",AIM10)))))}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</si>
  <si>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=INDEX(Canals!$AG$24:$AG$29,MATCH(2,1/((Canals!$F$24:$F$29&lt;=$C10)*(Canals!$G$24:$G$29=_xlfn.IFS(AHT10="Handysize",Main!AKC10,AHT10="Supramax",AJV10,AHT10="Panamax",AJO10,AHT10="NeoPanamax",AJH10,AHT10="Suezmax",AJA10,AHT10="Capesize",AIT10,AHT10="VLOC",AIM10)))))}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</si>
  <si>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=INDEX(Canals!$AH$24:$AH$29,MATCH(2,1/((Canals!$F$24:$F$29&lt;=$C10)*(Canals!$G$24:$G$29=_xlfn.IFS(AHT10="Handysize",Main!AKC10,AHT10="Supramax",AJV10,AHT10="Panamax",AJO10,AHT10="NeoPanamax",AJH10,AHT10="Suezmax",AJA10,AHT10="Capesize",AIT10,AHT10="VLOC",AIM10)))))}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</si>
  <si>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=INDEX(Canals!$AI$24:$AI$29,MATCH(2,1/((Canals!$F$24:$F$29&lt;=$C10)*(Canals!$G$24:$G$29=_xlfn.IFS(AHT10="Handysize",Main!AKC10,AHT10="Supramax",AJV10,AHT10="Panamax",AJO10,AHT10="NeoPanamax",AJH10,AHT10="Suezmax",AJA10,AHT10="Capesize",AIT10,AHT10="VLOC",AIM10)))))}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</si>
  <si>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=INDEX(Canals!$AJ$24:$AJ$29,MATCH(2,1/((Canals!$F$24:$F$29&lt;=$C10)*(Canals!$G$24:$G$29=_xlfn.IFS(AHT10="Handysize",Main!AKC10,AHT10="Supramax",AJV10,AHT10="Panamax",AJO10,AHT10="NeoPanamax",AJH10,AHT10="Suezmax",AJA10,AHT10="Capesize",AIT10,AHT10="VLOC",AIM10)))))}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</si>
  <si>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=INDEX(Canals!$AK$24:$AK$29,MATCH(2,1/((Canals!$F$24:$F$29&lt;=$C10)*(Canals!$G$24:$G$29=_xlfn.IFS(AHT10="Handysize",Main!AKC10,AHT10="Supramax",AJV10,AHT10="Panamax",AJO10,AHT10="NeoPanamax",AJH10,AHT10="Suezmax",AJA10,AHT10="Capesize",AIT10,AHT10="VLOC",AIM10)))))}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</si>
  <si>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=INDEX(Canals!$AL$24:$AL$29,MATCH(2,1/((Canals!$F$24:$F$29&lt;=$C10)*(Canals!$G$24:$G$29=_xlfn.IFS(AHT10="Handysize",Main!AKC10,AHT10="Supramax",AJV10,AHT10="Panamax",AJO10,AHT10="NeoPanamax",AJH10,AHT10="Suezmax",AJA10,AHT10="Capesize",AIT10,AHT10="VLOC",AIM10)))))}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</si>
  <si>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=INDEX(Canals!$AM$24:$AM$29,MATCH(2,1/((Canals!$F$24:$F$29&lt;=$C10)*(Canals!$G$24:$G$29=_xlfn.IFS(AHT10="Handysize",Main!AKC10,AHT10="Supramax",AJV10,AHT10="Panamax",AJO10,AHT10="NeoPanamax",AJH10,AHT10="Suezmax",AJA10,AHT10="Capesize",AIT10,AHT10="VLOC",AIM10)))))}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</si>
  <si>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=INDEX(Canals!$AN$24:$AN$29,MATCH(2,1/((Canals!$F$24:$F$29&lt;=$C10)*(Canals!$G$24:$G$29=_xlfn.IFS(AHT10="Handysize",Main!AKC10,AHT10="Supramax",AJV10,AHT10="Panamax",AJO10,AHT10="NeoPanamax",AJH10,AHT10="Suezmax",AJA10,AHT10="Capesize",AIT10,AHT10="VLOC",AIM10)))))}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</si>
  <si>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=INDEX(Canals!$AO$24:$AO$29,MATCH(2,1/((Canals!$F$24:$F$29&lt;=$C10)*(Canals!$G$24:$G$29=_xlfn.IFS(AHT10="Handysize",Main!AKC10,AHT10="Supramax",AJV10,AHT10="Panamax",AJO10,AHT10="NeoPanamax",AJH10,AHT10="Suezmax",AJA10,AHT10="Capesize",AIT10,AHT10="VLOC",AIM10)))))}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</si>
  <si>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=INDEX(Canals!$AP$24:$AP$29,MATCH(2,1/((Canals!$F$24:$F$29&lt;=$C10)*(Canals!$G$24:$G$29=_xlfn.IFS(AHT10="Handysize",Main!AKC10,AHT10="Supramax",AJV10,AHT10="Panamax",AJO10,AHT10="NeoPanamax",AJH10,AHT10="Suezmax",AJA10,AHT10="Capesize",AIT10,AHT10="VLOC",AIM10)))))}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</si>
  <si>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=INDEX(Canals!$AQ$24:$AQ$29,MATCH(2,1/((Canals!$F$24:$F$29&lt;=$C10)*(Canals!$G$24:$G$29=_xlfn.IFS(AHT10="Handysize",Main!AKC10,AHT10="Supramax",AJV10,AHT10="Panamax",AJO10,AHT10="NeoPanamax",AJH10,AHT10="Suezmax",AJA10,AHT10="Capesize",AIT10,AHT10="VLOC",AIM10)))))}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</si>
  <si>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=INDEX(Canals!$AR$24:$AR$29,MATCH(2,1/((Canals!$F$24:$F$29&lt;=$C10)*(Canals!$G$24:$G$29=_xlfn.IFS(AHT10="Handysize",Main!AKC10,AHT10="Supramax",AJV10,AHT10="Panamax",AJO10,AHT10="NeoPanamax",AJH10,AHT10="Suezmax",AJA10,AHT10="Capesize",AIT10,AHT10="VLOC",AIM10)))))}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</si>
  <si>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=INDEX(Canals!$AS$24:$AS$29,MATCH(2,1/((Canals!$F$24:$F$29&lt;=$C10)*(Canals!$G$24:$G$29=_xlfn.IFS(AHT10="Handysize",Main!AKC10,AHT10="Supramax",AJV10,AHT10="Panamax",AJO10,AHT10="NeoPanamax",AJH10,AHT10="Suezmax",AJA10,AHT10="Capesize",AIT10,AHT10="VLOC",AIM10)))))}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</si>
  <si>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=INDEX(Canals!$AT$24:$AT$29,MATCH(2,1/((Canals!$F$24:$F$29&lt;=$C10)*(Canals!$G$24:$G$29=_xlfn.IFS(AHT10="Handysize",Main!AKC10,AHT10="Supramax",AJV10,AHT10="Panamax",AJO10,AHT10="NeoPanamax",AJH10,AHT10="Suezmax",AJA10,AHT10="Capesize",AIT10,AHT10="VLOC",AIM10)))))}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</si>
  <si>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=INDEX(Canals!$AU$24:$AU$29,MATCH(2,1/((Canals!$F$24:$F$29&lt;=$C10)*(Canals!$G$24:$G$29=_xlfn.IFS(AHT10="Handysize",Main!AKC10,AHT10="Supramax",AJV10,AHT10="Panamax",AJO10,AHT10="NeoPanamax",AJH10,AHT10="Suezmax",AJA10,AHT10="Capesize",AIT10,AHT10="VLOC",AIM10)))))}</t>
  </si>
  <si>
    <t>=INDEX(Canals!$AV$24:$AV$29,MATCH(2,1/((Canals!$F$24:$F$29&lt;=$C10)*(Canals!$G$24:$G$29=_xlfn.IFS(AHT10="Handysize",Main!AKC10,AHT10="Supramax",AJV10,AHT10="Panamax",AJO10,AHT10="NeoPanamax",AJH10,AHT10="Suezmax",AJA10,AHT10="Capesize",AIT10,AHT10="VLOC",AIM10)))))}</t>
  </si>
  <si>
    <t>=_xlfn.IFS(ALK10="DWT",AHR10,ALK10="NRT",AHV10,ALK10="GRT",AHW10,ALK10=0,0)}</t>
  </si>
  <si>
    <t>IF(AMZ10&gt;ALL10,ALL10,AMZ10)</t>
  </si>
  <si>
    <t>IF(AMZ10&gt;SUM(ALL10:ALM10),ALM10,AMZ10-SUM(ANA10:ANA10))</t>
  </si>
  <si>
    <t>IF(AMZ10&gt;SUM(ALL10:ALN10),ALN10,AMZ10-SUM(ANA10:ANB10))</t>
  </si>
  <si>
    <t>IF(AMZ10&gt;SUM(ALL10:ALO10),ALO10,AMZ10-SUM(ANA10:ANC10))</t>
  </si>
  <si>
    <t>IF(AMZ10&gt;SUM(ALL10:ALP10),ALP10,AMZ10-SUM(ANA10:AND10))</t>
  </si>
  <si>
    <t>IF(AMZ10&gt;SUM(ALL10:ALQ10),ALQ10,AMZ10-SUM(ANA10:ANE10))</t>
  </si>
  <si>
    <t>IF(AMZ10&gt;SUM(ALL10:ALR10),ALR10,AMZ10-SUM(ANA10:ANF10))</t>
  </si>
  <si>
    <t>IF(AMZ10&gt;SUM(ALL10:ALS10),ALS10,AMZ10-SUM(ANA10:ANG10))</t>
  </si>
  <si>
    <t>IF(AMZ10&gt;SUM(ALL10:ALT10),ALT10,AMZ10-SUM(ANA10:ANH10))</t>
  </si>
  <si>
    <t>AHR10*$JN10</t>
  </si>
  <si>
    <t>IF(ANJ10&gt;AME10,AME10,ANJ10)</t>
  </si>
  <si>
    <t>IF(ANJ10&gt;SUM(AME10:AMF10),AMF10,ANJ10-SUM(ANK10:ANK10))</t>
  </si>
  <si>
    <t>IF(ANJ10&gt;SUM(AME10:AMG10),AMG10,ANJ10-SUM(ANK10:ANL10))</t>
  </si>
  <si>
    <t>IF(ANJ10&gt;SUM(AME10:AMH10),AMH10,ANJ10-SUM(ANK10:ANM10))</t>
  </si>
  <si>
    <t>IF(ANJ10&gt;SUM(AME10:AMI10),AMI10,ANJ10-SUM(ANK10:ANN10))</t>
  </si>
  <si>
    <t>IF(ANJ10&gt;SUM(AME10:AMJ10),AMJ10,ANJ10-SUM(ANK10:ANO10))</t>
  </si>
  <si>
    <t>IF(ANJ10&gt;SUM(AME10:AMK10),AMK10,ANJ10-SUM(ANK10:ANP10))</t>
  </si>
  <si>
    <t>IF(ANJ10&gt;SUM(AME10:AML10),AML10,ANJ10-SUM(ANK10:ANQ10))</t>
  </si>
  <si>
    <t>IF(ANJ10&gt;SUM(AME10:AMM10),AMM10,ANJ10-SUM(ANK10:ANR10))</t>
  </si>
  <si>
    <t>=_xlfn.IFS(AHT10="Handysize",Main!AJW10,AHT10="Supramax",AJP10,AHT10="Panamax",AJI10,AHT10="NeoPanamax",AJB10,AHT10="Suezmax",AIU10,AHT10="Capesize",AIN10,AHT10="VLOC",AIG10)*$JI10}</t>
  </si>
  <si>
    <t>=_xlfn.IFS(AHT10="Handysize",Main!AJX10,AHT10="Supramax",AJQ10,AHT10="Panamax",AJJ10,AHT10="NeoPanamax",AJC10,AHT10="Suezmax",AIV10,AHT10="Capesize",AIO10,AHT10="VLOC",AIH10)*$JI10}</t>
  </si>
  <si>
    <t>=_xlfn.IFS(AHT10="Handysize",Main!AHY10,AHT10="Supramax",AHZ10,AHT10="Panamax",AIA10,AHT10="NeoPanamax",AIB10,AHT10="Suezmax",AIC10,AHT10="Capesize",AID10,AHT10="VLOC",AIE10)}</t>
  </si>
  <si>
    <t>=_xlfn.IFS(AHT10="Handysize",Main!AKK10,AHT10="Supramax",AKL10,AHT10="Panamax",AKM10,AHT10="NeoPanamax",AKN10,AHT10="Suezmax",AKO10,AHT10="Capesize",AKP10,AHT10="VLOC",AKQ10)}</t>
  </si>
  <si>
    <t>=INDEX('Ship Speeds'!$G$11:$G$1011,MATCH(2,1/(('Ship Speeds'!$E$11:$E$1011&lt;=Main!$C10)*('Ship Speeds'!$F$11:$F$1011=Main!AHS10))))}</t>
  </si>
  <si>
    <t>(($KH10*ANY10^2+$KI10*ANY10^3+$KG10*ANY10)*((AHR10/$KC10)^$KD10)*$KJ10+(AHR10/$KC10)*$KF10+$KE10)</t>
  </si>
  <si>
    <t>(AHR10/$JY10)*$JZ10+$KA10+$KB10*(AHR10/$JY10)^2</t>
  </si>
  <si>
    <t>ANU10/ANY10/$JH10</t>
  </si>
  <si>
    <t>ANV10/ANY10/$JH10</t>
  </si>
  <si>
    <t>IF(ANW10=0,0,IF($AO10="yes",$AN10,$AR10)/(1-$AL10)/ANW10)</t>
  </si>
  <si>
    <t>IF(ANX10=0,0,IF($AO10="yes",$AN10,$AR10)/(1-$AL10)/ANX10)</t>
  </si>
  <si>
    <t>AMX10*$JI10</t>
  </si>
  <si>
    <t>IF(ANU10=0,0,MAX(SUM(AOB10:AOF10)*$JV10,$JU10))</t>
  </si>
  <si>
    <t>=IF(ANU10=0,0,INDEX(AKE10:AKI10,MATCH(_xlfn.IFS(AHT10="Handysize",Main!AKA10,AHT10="Supramax",AJT10,AHT10="Panamax",AJM10,AHT10="NeoPanamax",AJF10,AHT10="Suezmax",AIY10,AHT10="Capesize",AIR10,AHT10="VLOC",AIK10),$AKE$7:$AKI$7,0)))}</t>
  </si>
  <si>
    <t>=IF(ANU10=0,0,INDEX(AKE10:AKI10,MATCH(_xlfn.IFS(AHT10="Handysize",Main!AKB10,AHT10="Supramax",AJU10,AHT10="Panamax",AJN10,AHT10="NeoPanamax",AJG10,AHT10="Suezmax",AIZ10,AHT10="Capesize",AIS10,AHT10="VLOC",AIL10),$AKE$7:$AKI$7,0)))}</t>
  </si>
  <si>
    <t>AOB10*ANZ10*AOH10</t>
  </si>
  <si>
    <t>SUM(AOD10:AOG10)*AOA10*AOI10+AOC10*ANZ10*AOI10</t>
  </si>
  <si>
    <t>IF(ANU10=0,0,INDEX($JA10:$JD10,MATCH(AKR10,$JA$7:$JD$7,0)))</t>
  </si>
  <si>
    <t>IF(ANU10=0,0,AKS10/AOL10)</t>
  </si>
  <si>
    <t>IF(ANU10=0,0,AKT10*SUM(AOE10,$JX10)/AOL10)</t>
  </si>
  <si>
    <t>IF(ANU10=0,0,AKU10*(AOG10*(1-$JW10))/AOL10)</t>
  </si>
  <si>
    <t>IF(ANU10=0,0,AKV10*(AHR10*$JN10)/AOL10)</t>
  </si>
  <si>
    <t>IF(ANU10=0,0,AKW10*(AHR10*$JN10)*SUM(AOE10,$JX10)/AOL10)</t>
  </si>
  <si>
    <t>IF(ANU10=0,0,AKX10*(AHR10*$JN10)*(AOG10*(1-$JW10))/AOL10)</t>
  </si>
  <si>
    <t>IF(ANU10=0,0,AKY10*AHV10/AOL10)</t>
  </si>
  <si>
    <t>IF(ANU10=0,0,AKZ10*AHV10*SUM(AOE10,$JX10)/AOL10)</t>
  </si>
  <si>
    <t>IF(ANU10=0,0,ALA10*AHV10*(AOG10*(1-$JW10))/AOL10)</t>
  </si>
  <si>
    <t>IF(ANU10=0,0,ALB10*AHW10/AOL10)</t>
  </si>
  <si>
    <t>IF(ANU10=0,0,ALC10*AHW10*SUM(AOE10,$JX10)/AOL10)</t>
  </si>
  <si>
    <t>IF(ANU10=0,0,ALD10*AHW10*(AOG10*(1-$JW10))/AOL10)</t>
  </si>
  <si>
    <t>IF(ANU10=0,0,ALE10*AHU10/AOL10)</t>
  </si>
  <si>
    <t>IF(ANU10=0,0,ALF10*AHU10*SUM(AOE10,$JX10)/AOL10)</t>
  </si>
  <si>
    <t>IF(ANU10=0,0,ALG10*AHU10*(AOG10*(1-$JW10))/AOL10)</t>
  </si>
  <si>
    <t>=IF(ANU10=0,0,INDEX('Ship Time Charter Rates'!$H$22:$H$1021,MATCH(2,1/(('Ship Time Charter Rates'!$G$22:$G$1021=_xlfn.IFS(AHT10="Handysize",Main!AJY10,AHT10="Supramax",AJR10,AHT10="Panamax",AJK10,AHT10="NeoPanamax",AJD10,AHT10="Suezmax",AIW10,AHT10="Capesize",AIP10,AHT10="VLOC",AII10))*('Ship Time Charter Rates'!$E$22:$E$1021&lt;=Main!$C10)*(NOT(ISBLANK('Ship Time Charter Rates'!$H$22:$H$1021)))))))}</t>
  </si>
  <si>
    <t>IF(ANU10=0,0,SUM(AOB10:AOG10,$JI10*$JX10)*APB10)</t>
  </si>
  <si>
    <t>IF(ANU10=0,0,SUMPRODUCT(ALU10:AMC10,ANA10:ANI10)+SUMPRODUCT(AMN10:AMV10,ANK10:ANS10))</t>
  </si>
  <si>
    <t>IF(ANU10=0,0,SUM(AOJ10,AOK10)+APC10+APD10+SUM(AOM10:APA10))</t>
  </si>
  <si>
    <t>APE10*(1+$KL10)*(1+$KM10)</t>
  </si>
  <si>
    <t>IF(APF10=0,0,APF10/(AHR10*(1-$AL10)*$JN10))</t>
  </si>
  <si>
    <t>SUM(APG10,AHP10)</t>
  </si>
  <si>
    <t>SUM(ZW10,SF10)</t>
  </si>
  <si>
    <t>APK10-APL10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</si>
</sst>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_(* #,##0.00_);_(* \(#,##0.00\);_(* &quot;-&quot;??_);_(@_)"/>
    <numFmt numFmtId="165" formatCode="[$-409]d\-mmm\-yyyy;@"/>
    <numFmt numFmtId="166" formatCode="_([$$-409]* #,##0.00_);_([$$-409]* \(#,##0.00\);_([$$-409]* &quot;-&quot;??_);_(@_)"/>
    <numFmt numFmtId="167" formatCode="0.0%"/>
    <numFmt numFmtId="168" formatCode="_(* #,##0_);_(* \(#,##0\);_(* &quot;-&quot;??_);_(@_)"/>
    <numFmt numFmtId="169" formatCode="d\-mmm\-yyyy"/>
    <numFmt numFmtId="170" formatCode="_(* #,##0.000_);_(* \(#,##0.000\);_(* &quot;-&quot;??_);_(@_)"/>
    <numFmt numFmtId="171" formatCode="0.0000"/>
    <numFmt numFmtId="172" formatCode="0.00000"/>
    <numFmt numFmtId="173" formatCode="_-* #,##0.00_-;\-* #,##0.00_-;_-* &quot;-&quot;??_-;_-@_-"/>
    <numFmt numFmtId="174" formatCode="_-* #,##0_-;\-* #,##0_-;_-* &quot;-&quot;??_-;_-@_-"/>
    <numFmt numFmtId="175" formatCode="_(* #,##0.0_);_(* \(#,##0.0\);_(* &quot;-&quot;??_);_(@_)"/>
    <numFmt numFmtId="176" formatCode="_(* #,##0.000000_);_(* \(#,##0.000000\);_(* &quot;-&quot;??_);_(@_)"/>
    <numFmt numFmtId="177" formatCode="_(* #,##0.00000000_);_(* \(#,##0.00000000\);_(* &quot;-&quot;??_);_(@_)"/>
    <numFmt numFmtId="178" formatCode="0.000"/>
  </numFmts>
  <fonts count="5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9"/>
      <color indexed="81"/>
      <name val="Verdana"/>
      <family val="2"/>
    </font>
    <font>
      <sz val="9"/>
      <color indexed="81"/>
      <name val="Verdana"/>
      <family val="2"/>
    </font>
    <font>
      <b/>
      <sz val="10"/>
      <color rgb="FF000000"/>
      <name val="Tahoma"/>
      <family val="2"/>
    </font>
    <font>
      <sz val="11"/>
      <color indexed="22"/>
      <name val="Calibri"/>
      <family val="2"/>
    </font>
    <font>
      <b/>
      <sz val="11"/>
      <color indexed="8"/>
      <name val="Calibri"/>
      <family val="2"/>
    </font>
    <font>
      <sz val="10"/>
      <color rgb="FFFF0000"/>
      <name val="Verdana"/>
      <family val="2"/>
    </font>
    <font>
      <sz val="11"/>
      <color rgb="FFFF000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(Body)"/>
    </font>
    <font>
      <sz val="12"/>
      <color rgb="FF0432FF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rgb="FFFFFF00"/>
      <name val="Calibri (Body)"/>
    </font>
    <font>
      <i/>
      <sz val="12"/>
      <color rgb="FFFFFF00"/>
      <name val="Calibri (Body)"/>
    </font>
    <font>
      <i/>
      <sz val="12"/>
      <color rgb="FFFFFF00"/>
      <name val="Calibri"/>
      <family val="2"/>
      <scheme val="minor"/>
    </font>
    <font>
      <sz val="12"/>
      <color rgb="FFFF0000"/>
      <name val="Calibri (Body)"/>
    </font>
    <font>
      <sz val="12"/>
      <color theme="1" tint="0.49998474074526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Calibri (Body)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FF0000"/>
      <name val="Calibri (Body)"/>
    </font>
    <font>
      <b/>
      <sz val="12"/>
      <color indexed="8"/>
      <name val="Calibri (Body)"/>
    </font>
    <font>
      <b/>
      <sz val="12"/>
      <color theme="1"/>
      <name val="Calibri (Body)"/>
    </font>
    <font>
      <b/>
      <sz val="12"/>
      <color theme="1" tint="0.49998474074526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2"/>
      <color rgb="FF0432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8AD8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/>
    <xf numFmtId="173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  <xf numFmtId="0" fontId="10" fillId="0" borderId="0"/>
  </cellStyleXfs>
  <cellXfs count="461">
    <xf numFmtId="0" fontId="0" fillId="0" borderId="0" xfId="0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 applyAlignment="1">
      <alignment horizontal="center"/>
    </xf>
    <xf numFmtId="38" fontId="0" fillId="2" borderId="0" xfId="0" applyNumberFormat="1" applyFill="1"/>
    <xf numFmtId="0" fontId="0" fillId="0" borderId="1" xfId="0" applyBorder="1"/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/>
    <xf numFmtId="0" fontId="0" fillId="2" borderId="0" xfId="0" applyFill="1"/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67" fontId="0" fillId="2" borderId="0" xfId="1" applyNumberFormat="1" applyFont="1" applyFill="1"/>
    <xf numFmtId="167" fontId="0" fillId="4" borderId="0" xfId="1" applyNumberFormat="1" applyFont="1" applyFill="1"/>
    <xf numFmtId="0" fontId="0" fillId="0" borderId="1" xfId="0" applyBorder="1" applyAlignment="1">
      <alignment horizontal="center" vertical="center" wrapText="1"/>
    </xf>
    <xf numFmtId="165" fontId="0" fillId="6" borderId="0" xfId="0" applyNumberFormat="1" applyFill="1"/>
    <xf numFmtId="0" fontId="2" fillId="0" borderId="0" xfId="0" applyFont="1"/>
    <xf numFmtId="0" fontId="0" fillId="2" borderId="2" xfId="0" applyFill="1" applyBorder="1"/>
    <xf numFmtId="0" fontId="0" fillId="7" borderId="1" xfId="0" applyFill="1" applyBorder="1"/>
    <xf numFmtId="0" fontId="0" fillId="7" borderId="1" xfId="0" quotePrefix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7" fontId="0" fillId="6" borderId="0" xfId="1" applyNumberFormat="1" applyFont="1" applyFill="1" applyAlignment="1">
      <alignment horizontal="center"/>
    </xf>
    <xf numFmtId="168" fontId="0" fillId="4" borderId="0" xfId="2" applyNumberFormat="1" applyFont="1" applyFill="1"/>
    <xf numFmtId="0" fontId="0" fillId="7" borderId="1" xfId="0" applyFont="1" applyFill="1" applyBorder="1" applyAlignment="1">
      <alignment horizontal="center" vertical="center" wrapText="1"/>
    </xf>
    <xf numFmtId="0" fontId="0" fillId="7" borderId="1" xfId="0" quotePrefix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168" fontId="0" fillId="2" borderId="2" xfId="2" applyNumberFormat="1" applyFont="1" applyFill="1" applyBorder="1"/>
    <xf numFmtId="164" fontId="0" fillId="2" borderId="2" xfId="2" applyFont="1" applyFill="1" applyBorder="1"/>
    <xf numFmtId="170" fontId="0" fillId="2" borderId="2" xfId="2" applyNumberFormat="1" applyFont="1" applyFill="1" applyBorder="1"/>
    <xf numFmtId="170" fontId="0" fillId="2" borderId="2" xfId="4" applyNumberFormat="1" applyFont="1" applyFill="1" applyBorder="1"/>
    <xf numFmtId="164" fontId="0" fillId="2" borderId="2" xfId="4" applyFont="1" applyFill="1" applyBorder="1"/>
    <xf numFmtId="171" fontId="0" fillId="2" borderId="2" xfId="0" applyNumberFormat="1" applyFill="1" applyBorder="1"/>
    <xf numFmtId="172" fontId="0" fillId="2" borderId="2" xfId="0" applyNumberFormat="1" applyFill="1" applyBorder="1"/>
    <xf numFmtId="0" fontId="11" fillId="0" borderId="0" xfId="3"/>
    <xf numFmtId="0" fontId="15" fillId="0" borderId="0" xfId="3" applyFont="1"/>
    <xf numFmtId="174" fontId="0" fillId="2" borderId="2" xfId="5" applyNumberFormat="1" applyFont="1" applyFill="1" applyBorder="1"/>
    <xf numFmtId="165" fontId="0" fillId="2" borderId="2" xfId="0" applyNumberFormat="1" applyFill="1" applyBorder="1"/>
    <xf numFmtId="0" fontId="19" fillId="0" borderId="0" xfId="0" applyFont="1"/>
    <xf numFmtId="0" fontId="22" fillId="0" borderId="0" xfId="3" applyFont="1"/>
    <xf numFmtId="0" fontId="11" fillId="2" borderId="2" xfId="3" applyFill="1" applyBorder="1"/>
    <xf numFmtId="0" fontId="10" fillId="0" borderId="0" xfId="8"/>
    <xf numFmtId="169" fontId="10" fillId="2" borderId="2" xfId="8" applyNumberFormat="1" applyFill="1" applyBorder="1"/>
    <xf numFmtId="168" fontId="0" fillId="2" borderId="2" xfId="4" applyNumberFormat="1" applyFont="1" applyFill="1" applyBorder="1"/>
    <xf numFmtId="9" fontId="10" fillId="2" borderId="2" xfId="8" applyNumberFormat="1" applyFill="1" applyBorder="1"/>
    <xf numFmtId="0" fontId="9" fillId="2" borderId="3" xfId="8" applyFont="1" applyFill="1" applyBorder="1" applyAlignment="1">
      <alignment horizontal="centerContinuous"/>
    </xf>
    <xf numFmtId="0" fontId="10" fillId="2" borderId="5" xfId="8" applyFill="1" applyBorder="1" applyAlignment="1">
      <alignment horizontal="centerContinuous"/>
    </xf>
    <xf numFmtId="0" fontId="10" fillId="2" borderId="4" xfId="8" applyFill="1" applyBorder="1" applyAlignment="1">
      <alignment horizontal="centerContinuous"/>
    </xf>
    <xf numFmtId="0" fontId="10" fillId="2" borderId="2" xfId="8" applyFill="1" applyBorder="1"/>
    <xf numFmtId="0" fontId="10" fillId="2" borderId="2" xfId="8" applyFill="1" applyBorder="1" applyAlignment="1">
      <alignment wrapText="1"/>
    </xf>
    <xf numFmtId="168" fontId="10" fillId="9" borderId="2" xfId="8" applyNumberFormat="1" applyFill="1" applyBorder="1"/>
    <xf numFmtId="169" fontId="10" fillId="9" borderId="2" xfId="8" applyNumberFormat="1" applyFill="1" applyBorder="1"/>
    <xf numFmtId="0" fontId="17" fillId="2" borderId="2" xfId="8" applyFont="1" applyFill="1" applyBorder="1"/>
    <xf numFmtId="9" fontId="11" fillId="2" borderId="2" xfId="3" applyNumberFormat="1" applyFill="1" applyBorder="1"/>
    <xf numFmtId="0" fontId="10" fillId="2" borderId="2" xfId="8" applyFill="1" applyBorder="1" applyAlignment="1">
      <alignment horizontal="center" wrapText="1"/>
    </xf>
    <xf numFmtId="170" fontId="0" fillId="2" borderId="2" xfId="4" applyNumberFormat="1" applyFont="1" applyFill="1" applyBorder="1" applyAlignment="1">
      <alignment horizontal="center"/>
    </xf>
    <xf numFmtId="167" fontId="0" fillId="2" borderId="2" xfId="1" applyNumberFormat="1" applyFont="1" applyFill="1" applyBorder="1" applyAlignment="1">
      <alignment horizontal="center"/>
    </xf>
    <xf numFmtId="164" fontId="0" fillId="4" borderId="2" xfId="2" applyFont="1" applyFill="1" applyBorder="1"/>
    <xf numFmtId="9" fontId="0" fillId="2" borderId="2" xfId="1" applyFont="1" applyFill="1" applyBorder="1" applyAlignment="1">
      <alignment horizontal="center"/>
    </xf>
    <xf numFmtId="10" fontId="0" fillId="4" borderId="0" xfId="1" applyNumberFormat="1" applyFont="1" applyFill="1"/>
    <xf numFmtId="0" fontId="23" fillId="2" borderId="2" xfId="0" applyFont="1" applyFill="1" applyBorder="1"/>
    <xf numFmtId="0" fontId="23" fillId="0" borderId="0" xfId="0" applyFont="1"/>
    <xf numFmtId="0" fontId="2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3" fontId="0" fillId="2" borderId="2" xfId="0" applyNumberFormat="1" applyFill="1" applyBorder="1"/>
    <xf numFmtId="0" fontId="0" fillId="2" borderId="2" xfId="1" applyNumberFormat="1" applyFont="1" applyFill="1" applyBorder="1"/>
    <xf numFmtId="0" fontId="5" fillId="2" borderId="2" xfId="1" applyNumberFormat="1" applyFont="1" applyFill="1" applyBorder="1"/>
    <xf numFmtId="167" fontId="11" fillId="2" borderId="2" xfId="3" applyNumberFormat="1" applyFill="1" applyBorder="1"/>
    <xf numFmtId="175" fontId="8" fillId="4" borderId="0" xfId="2" applyNumberFormat="1" applyFont="1" applyFill="1"/>
    <xf numFmtId="168" fontId="8" fillId="4" borderId="0" xfId="2" applyNumberFormat="1" applyFont="1" applyFill="1"/>
    <xf numFmtId="164" fontId="8" fillId="4" borderId="0" xfId="2" applyFont="1" applyFill="1"/>
    <xf numFmtId="0" fontId="0" fillId="0" borderId="1" xfId="0" applyBorder="1" applyAlignment="1">
      <alignment wrapText="1"/>
    </xf>
    <xf numFmtId="168" fontId="4" fillId="2" borderId="2" xfId="2" applyNumberFormat="1" applyFont="1" applyFill="1" applyBorder="1"/>
    <xf numFmtId="168" fontId="0" fillId="4" borderId="0" xfId="2" quotePrefix="1" applyNumberFormat="1" applyFont="1" applyFill="1"/>
    <xf numFmtId="0" fontId="0" fillId="2" borderId="2" xfId="0" applyFill="1" applyBorder="1" applyAlignment="1">
      <alignment horizontal="center"/>
    </xf>
    <xf numFmtId="0" fontId="24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8" borderId="0" xfId="0" applyFont="1" applyFill="1"/>
    <xf numFmtId="165" fontId="23" fillId="2" borderId="2" xfId="0" applyNumberFormat="1" applyFont="1" applyFill="1" applyBorder="1"/>
    <xf numFmtId="0" fontId="0" fillId="0" borderId="0" xfId="0" applyFont="1" applyFill="1"/>
    <xf numFmtId="10" fontId="0" fillId="2" borderId="2" xfId="1" applyNumberFormat="1" applyFont="1" applyFill="1" applyBorder="1"/>
    <xf numFmtId="167" fontId="0" fillId="2" borderId="2" xfId="1" applyNumberFormat="1" applyFont="1" applyFill="1" applyBorder="1"/>
    <xf numFmtId="0" fontId="0" fillId="7" borderId="0" xfId="0" applyFill="1" applyAlignment="1">
      <alignment horizontal="center" vertical="center" wrapText="1"/>
    </xf>
    <xf numFmtId="0" fontId="25" fillId="9" borderId="0" xfId="0" applyFont="1" applyFill="1" applyAlignment="1">
      <alignment horizontal="center"/>
    </xf>
    <xf numFmtId="0" fontId="0" fillId="10" borderId="0" xfId="0" applyFont="1" applyFill="1"/>
    <xf numFmtId="0" fontId="25" fillId="11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10" fontId="23" fillId="2" borderId="2" xfId="1" applyNumberFormat="1" applyFont="1" applyFill="1" applyBorder="1"/>
    <xf numFmtId="0" fontId="23" fillId="2" borderId="2" xfId="0" applyFont="1" applyFill="1" applyBorder="1" applyAlignment="1">
      <alignment horizontal="center"/>
    </xf>
    <xf numFmtId="3" fontId="23" fillId="2" borderId="2" xfId="0" applyNumberFormat="1" applyFont="1" applyFill="1" applyBorder="1"/>
    <xf numFmtId="0" fontId="4" fillId="4" borderId="0" xfId="1" applyNumberFormat="1" applyFont="1" applyFill="1" applyAlignment="1">
      <alignment horizontal="center"/>
    </xf>
    <xf numFmtId="167" fontId="4" fillId="4" borderId="0" xfId="1" applyNumberFormat="1" applyFont="1" applyFill="1" applyAlignment="1">
      <alignment horizontal="center"/>
    </xf>
    <xf numFmtId="10" fontId="4" fillId="4" borderId="0" xfId="1" applyNumberFormat="1" applyFont="1" applyFill="1" applyAlignment="1">
      <alignment horizontal="center"/>
    </xf>
    <xf numFmtId="37" fontId="4" fillId="4" borderId="0" xfId="1" applyNumberFormat="1" applyFont="1" applyFill="1" applyAlignment="1">
      <alignment horizontal="center"/>
    </xf>
    <xf numFmtId="0" fontId="25" fillId="0" borderId="0" xfId="0" applyFont="1"/>
    <xf numFmtId="10" fontId="0" fillId="2" borderId="0" xfId="0" applyNumberFormat="1" applyFill="1" applyAlignment="1">
      <alignment horizontal="center"/>
    </xf>
    <xf numFmtId="0" fontId="0" fillId="13" borderId="0" xfId="0" applyFill="1"/>
    <xf numFmtId="0" fontId="0" fillId="6" borderId="0" xfId="2" applyNumberFormat="1" applyFont="1" applyFill="1" applyBorder="1" applyAlignment="1">
      <alignment horizontal="center"/>
    </xf>
    <xf numFmtId="164" fontId="4" fillId="4" borderId="0" xfId="2" applyFont="1" applyFill="1" applyAlignment="1">
      <alignment horizontal="center"/>
    </xf>
    <xf numFmtId="164" fontId="0" fillId="6" borderId="0" xfId="0" applyNumberFormat="1" applyFill="1"/>
    <xf numFmtId="0" fontId="0" fillId="4" borderId="0" xfId="1" applyNumberFormat="1" applyFont="1" applyFill="1" applyAlignment="1">
      <alignment horizontal="center"/>
    </xf>
    <xf numFmtId="0" fontId="9" fillId="7" borderId="6" xfId="0" applyFont="1" applyFill="1" applyBorder="1" applyAlignment="1">
      <alignment horizontal="center"/>
    </xf>
    <xf numFmtId="174" fontId="2" fillId="7" borderId="2" xfId="5" applyNumberFormat="1" applyFont="1" applyFill="1" applyBorder="1" applyAlignment="1">
      <alignment wrapText="1"/>
    </xf>
    <xf numFmtId="174" fontId="9" fillId="7" borderId="2" xfId="5" applyNumberFormat="1" applyFont="1" applyFill="1" applyBorder="1" applyAlignment="1">
      <alignment wrapText="1"/>
    </xf>
    <xf numFmtId="0" fontId="2" fillId="7" borderId="2" xfId="0" applyFont="1" applyFill="1" applyBorder="1"/>
    <xf numFmtId="174" fontId="2" fillId="7" borderId="2" xfId="5" applyNumberFormat="1" applyFont="1" applyFill="1" applyBorder="1" applyAlignment="1">
      <alignment horizontal="center"/>
    </xf>
    <xf numFmtId="174" fontId="2" fillId="7" borderId="7" xfId="5" applyNumberFormat="1" applyFont="1" applyFill="1" applyBorder="1" applyAlignment="1">
      <alignment horizontal="center"/>
    </xf>
    <xf numFmtId="0" fontId="0" fillId="7" borderId="0" xfId="0" applyFont="1" applyFill="1" applyBorder="1" applyAlignment="1">
      <alignment horizontal="center" vertical="center" wrapText="1"/>
    </xf>
    <xf numFmtId="168" fontId="0" fillId="4" borderId="0" xfId="4" applyNumberFormat="1" applyFont="1" applyFill="1" applyBorder="1"/>
    <xf numFmtId="174" fontId="0" fillId="4" borderId="0" xfId="5" applyNumberFormat="1" applyFont="1" applyFill="1" applyBorder="1"/>
    <xf numFmtId="164" fontId="0" fillId="4" borderId="0" xfId="2" applyFont="1" applyFill="1" applyBorder="1"/>
    <xf numFmtId="164" fontId="0" fillId="4" borderId="0" xfId="2" applyNumberFormat="1" applyFont="1" applyFill="1" applyBorder="1"/>
    <xf numFmtId="167" fontId="11" fillId="4" borderId="0" xfId="3" applyNumberFormat="1" applyFill="1" applyBorder="1"/>
    <xf numFmtId="0" fontId="0" fillId="4" borderId="0" xfId="0" applyFill="1" applyBorder="1"/>
    <xf numFmtId="9" fontId="11" fillId="4" borderId="0" xfId="3" applyNumberFormat="1" applyFill="1" applyBorder="1" applyAlignment="1">
      <alignment horizontal="center"/>
    </xf>
    <xf numFmtId="0" fontId="0" fillId="10" borderId="0" xfId="0" applyFill="1"/>
    <xf numFmtId="165" fontId="0" fillId="2" borderId="3" xfId="0" applyNumberFormat="1" applyFill="1" applyBorder="1"/>
    <xf numFmtId="0" fontId="0" fillId="2" borderId="2" xfId="0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/>
    </xf>
    <xf numFmtId="0" fontId="27" fillId="2" borderId="3" xfId="0" applyNumberFormat="1" applyFont="1" applyFill="1" applyBorder="1"/>
    <xf numFmtId="0" fontId="26" fillId="8" borderId="0" xfId="0" applyNumberFormat="1" applyFont="1" applyFill="1"/>
    <xf numFmtId="0" fontId="27" fillId="4" borderId="3" xfId="0" applyNumberFormat="1" applyFont="1" applyFill="1" applyBorder="1"/>
    <xf numFmtId="10" fontId="8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0" borderId="0" xfId="0" applyAlignment="1"/>
    <xf numFmtId="0" fontId="3" fillId="8" borderId="0" xfId="0" applyFont="1" applyFill="1"/>
    <xf numFmtId="0" fontId="2" fillId="7" borderId="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/>
    </xf>
    <xf numFmtId="0" fontId="0" fillId="2" borderId="14" xfId="0" applyFill="1" applyBorder="1"/>
    <xf numFmtId="0" fontId="0" fillId="0" borderId="0" xfId="0" applyFill="1"/>
    <xf numFmtId="164" fontId="0" fillId="4" borderId="0" xfId="2" quotePrefix="1" applyFont="1" applyFill="1"/>
    <xf numFmtId="0" fontId="9" fillId="2" borderId="2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0" xfId="0" applyFont="1" applyFill="1"/>
    <xf numFmtId="0" fontId="0" fillId="7" borderId="0" xfId="0" applyFill="1"/>
    <xf numFmtId="0" fontId="2" fillId="7" borderId="0" xfId="0" applyFont="1" applyFill="1" applyAlignment="1">
      <alignment wrapText="1"/>
    </xf>
    <xf numFmtId="0" fontId="2" fillId="7" borderId="0" xfId="0" applyFont="1" applyFill="1" applyAlignment="1">
      <alignment horizont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9" fillId="2" borderId="2" xfId="0" applyFont="1" applyFill="1" applyBorder="1" applyAlignment="1">
      <alignment horizontal="centerContinuous"/>
    </xf>
    <xf numFmtId="168" fontId="0" fillId="2" borderId="2" xfId="2" applyNumberFormat="1" applyFont="1" applyFill="1" applyBorder="1" applyAlignment="1">
      <alignment horizontal="center" vertical="center"/>
    </xf>
    <xf numFmtId="168" fontId="0" fillId="2" borderId="0" xfId="2" applyNumberFormat="1" applyFont="1" applyFill="1"/>
    <xf numFmtId="164" fontId="0" fillId="7" borderId="0" xfId="2" applyFont="1" applyFill="1"/>
    <xf numFmtId="0" fontId="0" fillId="0" borderId="0" xfId="0" applyBorder="1" applyAlignment="1">
      <alignment wrapText="1"/>
    </xf>
    <xf numFmtId="168" fontId="32" fillId="2" borderId="0" xfId="2" applyNumberFormat="1" applyFont="1" applyFill="1"/>
    <xf numFmtId="164" fontId="8" fillId="7" borderId="0" xfId="2" applyFont="1" applyFill="1"/>
    <xf numFmtId="165" fontId="33" fillId="2" borderId="17" xfId="0" applyNumberFormat="1" applyFont="1" applyFill="1" applyBorder="1"/>
    <xf numFmtId="0" fontId="33" fillId="2" borderId="17" xfId="0" applyFont="1" applyFill="1" applyBorder="1"/>
    <xf numFmtId="168" fontId="34" fillId="2" borderId="17" xfId="2" applyNumberFormat="1" applyFont="1" applyFill="1" applyBorder="1"/>
    <xf numFmtId="164" fontId="35" fillId="7" borderId="17" xfId="2" applyFont="1" applyFill="1" applyBorder="1"/>
    <xf numFmtId="164" fontId="33" fillId="7" borderId="17" xfId="2" applyFont="1" applyFill="1" applyBorder="1"/>
    <xf numFmtId="0" fontId="2" fillId="7" borderId="3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/>
    </xf>
    <xf numFmtId="168" fontId="34" fillId="2" borderId="0" xfId="2" applyNumberFormat="1" applyFont="1" applyFill="1" applyBorder="1"/>
    <xf numFmtId="168" fontId="0" fillId="2" borderId="0" xfId="2" applyNumberFormat="1" applyFont="1" applyFill="1" applyBorder="1"/>
    <xf numFmtId="0" fontId="2" fillId="7" borderId="8" xfId="0" applyFont="1" applyFill="1" applyBorder="1" applyAlignment="1">
      <alignment horizontal="center" vertical="center" wrapText="1"/>
    </xf>
    <xf numFmtId="0" fontId="36" fillId="3" borderId="0" xfId="0" applyFont="1" applyFill="1"/>
    <xf numFmtId="0" fontId="36" fillId="7" borderId="0" xfId="0" applyFont="1" applyFill="1" applyAlignment="1">
      <alignment horizontal="center" vertical="center" wrapText="1"/>
    </xf>
    <xf numFmtId="164" fontId="23" fillId="2" borderId="2" xfId="2" applyFont="1" applyFill="1" applyBorder="1" applyAlignment="1">
      <alignment horizontal="center"/>
    </xf>
    <xf numFmtId="164" fontId="0" fillId="2" borderId="2" xfId="2" applyFont="1" applyFill="1" applyBorder="1" applyAlignment="1">
      <alignment horizontal="center"/>
    </xf>
    <xf numFmtId="0" fontId="11" fillId="7" borderId="0" xfId="3" applyFill="1"/>
    <xf numFmtId="0" fontId="16" fillId="7" borderId="3" xfId="3" applyFont="1" applyFill="1" applyBorder="1"/>
    <xf numFmtId="0" fontId="0" fillId="7" borderId="2" xfId="0" applyFill="1" applyBorder="1" applyAlignment="1">
      <alignment horizontal="center" vertical="center" wrapText="1"/>
    </xf>
    <xf numFmtId="0" fontId="39" fillId="0" borderId="0" xfId="0" applyFont="1"/>
    <xf numFmtId="0" fontId="16" fillId="7" borderId="5" xfId="3" applyFont="1" applyFill="1" applyBorder="1"/>
    <xf numFmtId="0" fontId="16" fillId="7" borderId="2" xfId="3" applyFont="1" applyFill="1" applyBorder="1" applyAlignment="1">
      <alignment wrapText="1"/>
    </xf>
    <xf numFmtId="0" fontId="16" fillId="7" borderId="2" xfId="3" quotePrefix="1" applyFont="1" applyFill="1" applyBorder="1" applyAlignment="1">
      <alignment horizontal="center"/>
    </xf>
    <xf numFmtId="0" fontId="18" fillId="0" borderId="0" xfId="3" applyFont="1"/>
    <xf numFmtId="0" fontId="2" fillId="7" borderId="4" xfId="0" applyFont="1" applyFill="1" applyBorder="1"/>
    <xf numFmtId="0" fontId="0" fillId="2" borderId="4" xfId="0" applyFill="1" applyBorder="1"/>
    <xf numFmtId="0" fontId="1" fillId="8" borderId="2" xfId="0" applyFont="1" applyFill="1" applyBorder="1"/>
    <xf numFmtId="0" fontId="5" fillId="0" borderId="0" xfId="0" applyFont="1"/>
    <xf numFmtId="0" fontId="40" fillId="0" borderId="0" xfId="0" applyFont="1"/>
    <xf numFmtId="0" fontId="2" fillId="7" borderId="8" xfId="0" applyFont="1" applyFill="1" applyBorder="1"/>
    <xf numFmtId="165" fontId="0" fillId="2" borderId="12" xfId="0" applyNumberFormat="1" applyFill="1" applyBorder="1"/>
    <xf numFmtId="0" fontId="0" fillId="2" borderId="19" xfId="0" applyFill="1" applyBorder="1"/>
    <xf numFmtId="0" fontId="0" fillId="2" borderId="13" xfId="0" applyFill="1" applyBorder="1"/>
    <xf numFmtId="165" fontId="0" fillId="2" borderId="9" xfId="0" applyNumberFormat="1" applyFill="1" applyBorder="1"/>
    <xf numFmtId="165" fontId="0" fillId="2" borderId="10" xfId="0" applyNumberFormat="1" applyFill="1" applyBorder="1"/>
    <xf numFmtId="0" fontId="0" fillId="2" borderId="18" xfId="0" applyFill="1" applyBorder="1"/>
    <xf numFmtId="0" fontId="0" fillId="2" borderId="11" xfId="0" applyFill="1" applyBorder="1"/>
    <xf numFmtId="0" fontId="36" fillId="8" borderId="2" xfId="0" applyFont="1" applyFill="1" applyBorder="1"/>
    <xf numFmtId="168" fontId="40" fillId="4" borderId="2" xfId="2" applyNumberFormat="1" applyFont="1" applyFill="1" applyBorder="1"/>
    <xf numFmtId="0" fontId="42" fillId="0" borderId="0" xfId="3" applyFont="1"/>
    <xf numFmtId="0" fontId="42" fillId="2" borderId="12" xfId="3" applyFont="1" applyFill="1" applyBorder="1"/>
    <xf numFmtId="0" fontId="42" fillId="2" borderId="19" xfId="3" applyFont="1" applyFill="1" applyBorder="1"/>
    <xf numFmtId="168" fontId="18" fillId="2" borderId="9" xfId="2" applyNumberFormat="1" applyFont="1" applyFill="1" applyBorder="1"/>
    <xf numFmtId="0" fontId="18" fillId="2" borderId="2" xfId="3" applyFont="1" applyFill="1" applyBorder="1"/>
    <xf numFmtId="0" fontId="18" fillId="2" borderId="10" xfId="3" applyFont="1" applyFill="1" applyBorder="1"/>
    <xf numFmtId="0" fontId="18" fillId="2" borderId="18" xfId="3" applyFont="1" applyFill="1" applyBorder="1"/>
    <xf numFmtId="0" fontId="41" fillId="0" borderId="23" xfId="3" applyFont="1" applyBorder="1"/>
    <xf numFmtId="0" fontId="11" fillId="0" borderId="24" xfId="3" applyBorder="1"/>
    <xf numFmtId="0" fontId="11" fillId="0" borderId="25" xfId="3" applyBorder="1"/>
    <xf numFmtId="0" fontId="11" fillId="0" borderId="26" xfId="3" applyBorder="1"/>
    <xf numFmtId="0" fontId="11" fillId="0" borderId="27" xfId="3" applyBorder="1"/>
    <xf numFmtId="0" fontId="11" fillId="2" borderId="0" xfId="3" applyFill="1" applyBorder="1"/>
    <xf numFmtId="0" fontId="11" fillId="0" borderId="28" xfId="3" applyBorder="1"/>
    <xf numFmtId="0" fontId="11" fillId="2" borderId="1" xfId="3" applyFill="1" applyBorder="1"/>
    <xf numFmtId="0" fontId="11" fillId="0" borderId="29" xfId="3" applyBorder="1"/>
    <xf numFmtId="0" fontId="2" fillId="7" borderId="3" xfId="0" applyFont="1" applyFill="1" applyBorder="1" applyAlignment="1">
      <alignment horizontal="center" vertical="center" wrapText="1"/>
    </xf>
    <xf numFmtId="0" fontId="44" fillId="7" borderId="2" xfId="3" applyFont="1" applyFill="1" applyBorder="1" applyAlignment="1">
      <alignment horizontal="center" vertical="center" wrapText="1"/>
    </xf>
    <xf numFmtId="0" fontId="44" fillId="7" borderId="6" xfId="3" applyFont="1" applyFill="1" applyBorder="1" applyAlignment="1">
      <alignment horizontal="center" vertical="center" wrapText="1"/>
    </xf>
    <xf numFmtId="0" fontId="45" fillId="7" borderId="2" xfId="0" quotePrefix="1" applyFont="1" applyFill="1" applyBorder="1" applyAlignment="1">
      <alignment horizontal="center" vertical="center"/>
    </xf>
    <xf numFmtId="0" fontId="44" fillId="7" borderId="2" xfId="3" applyFont="1" applyFill="1" applyBorder="1" applyAlignment="1">
      <alignment horizontal="center" vertical="center"/>
    </xf>
    <xf numFmtId="0" fontId="45" fillId="7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168" fontId="8" fillId="8" borderId="10" xfId="2" applyNumberFormat="1" applyFont="1" applyFill="1" applyBorder="1" applyAlignment="1">
      <alignment horizontal="center" vertical="center"/>
    </xf>
    <xf numFmtId="168" fontId="8" fillId="8" borderId="30" xfId="2" applyNumberFormat="1" applyFont="1" applyFill="1" applyBorder="1" applyAlignment="1">
      <alignment horizontal="center" vertical="center"/>
    </xf>
    <xf numFmtId="168" fontId="8" fillId="8" borderId="18" xfId="2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168" fontId="8" fillId="8" borderId="16" xfId="2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168" fontId="8" fillId="2" borderId="9" xfId="2" applyNumberFormat="1" applyFont="1" applyFill="1" applyBorder="1" applyAlignment="1">
      <alignment horizontal="center" vertical="center"/>
    </xf>
    <xf numFmtId="168" fontId="8" fillId="2" borderId="4" xfId="2" applyNumberFormat="1" applyFont="1" applyFill="1" applyBorder="1" applyAlignment="1">
      <alignment horizontal="center" vertical="center"/>
    </xf>
    <xf numFmtId="168" fontId="8" fillId="2" borderId="2" xfId="2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8" borderId="3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2" fillId="0" borderId="0" xfId="0" applyFont="1"/>
    <xf numFmtId="0" fontId="46" fillId="3" borderId="0" xfId="0" applyFont="1" applyFill="1"/>
    <xf numFmtId="0" fontId="32" fillId="0" borderId="1" xfId="0" applyFont="1" applyBorder="1" applyAlignment="1">
      <alignment wrapText="1"/>
    </xf>
    <xf numFmtId="0" fontId="46" fillId="7" borderId="0" xfId="0" applyFont="1" applyFill="1" applyAlignment="1">
      <alignment horizontal="center" vertical="center" wrapText="1"/>
    </xf>
    <xf numFmtId="0" fontId="32" fillId="7" borderId="1" xfId="0" quotePrefix="1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164" fontId="0" fillId="4" borderId="0" xfId="2" applyFont="1" applyFill="1" applyAlignment="1">
      <alignment horizontal="center"/>
    </xf>
    <xf numFmtId="0" fontId="21" fillId="2" borderId="12" xfId="3" applyFont="1" applyFill="1" applyBorder="1"/>
    <xf numFmtId="0" fontId="21" fillId="2" borderId="13" xfId="3" applyFont="1" applyFill="1" applyBorder="1"/>
    <xf numFmtId="168" fontId="11" fillId="2" borderId="9" xfId="2" applyNumberFormat="1" applyFont="1" applyFill="1" applyBorder="1"/>
    <xf numFmtId="0" fontId="20" fillId="2" borderId="14" xfId="3" applyFont="1" applyFill="1" applyBorder="1"/>
    <xf numFmtId="0" fontId="11" fillId="2" borderId="9" xfId="3" applyFill="1" applyBorder="1"/>
    <xf numFmtId="0" fontId="11" fillId="2" borderId="10" xfId="3" applyFill="1" applyBorder="1"/>
    <xf numFmtId="0" fontId="20" fillId="2" borderId="11" xfId="3" applyFont="1" applyFill="1" applyBorder="1"/>
    <xf numFmtId="0" fontId="21" fillId="6" borderId="12" xfId="3" applyFont="1" applyFill="1" applyBorder="1"/>
    <xf numFmtId="0" fontId="11" fillId="6" borderId="12" xfId="3" applyFont="1" applyFill="1" applyBorder="1"/>
    <xf numFmtId="164" fontId="1" fillId="8" borderId="0" xfId="2" applyFont="1" applyFill="1"/>
    <xf numFmtId="0" fontId="47" fillId="2" borderId="2" xfId="0" applyFont="1" applyFill="1" applyBorder="1" applyAlignment="1">
      <alignment horizontal="center" vertical="center"/>
    </xf>
    <xf numFmtId="15" fontId="8" fillId="2" borderId="2" xfId="0" applyNumberFormat="1" applyFont="1" applyFill="1" applyBorder="1" applyAlignment="1">
      <alignment horizontal="center" vertical="center"/>
    </xf>
    <xf numFmtId="0" fontId="11" fillId="6" borderId="33" xfId="3" applyFont="1" applyFill="1" applyBorder="1"/>
    <xf numFmtId="0" fontId="47" fillId="2" borderId="32" xfId="0" applyFont="1" applyFill="1" applyBorder="1" applyAlignment="1">
      <alignment vertical="center"/>
    </xf>
    <xf numFmtId="0" fontId="47" fillId="2" borderId="17" xfId="0" applyFont="1" applyFill="1" applyBorder="1" applyAlignment="1">
      <alignment vertical="center"/>
    </xf>
    <xf numFmtId="0" fontId="47" fillId="7" borderId="0" xfId="0" applyFont="1" applyFill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center" vertical="center" wrapText="1"/>
    </xf>
    <xf numFmtId="164" fontId="32" fillId="4" borderId="0" xfId="2" applyFont="1" applyFill="1"/>
    <xf numFmtId="164" fontId="32" fillId="2" borderId="0" xfId="2" applyFont="1" applyFill="1"/>
    <xf numFmtId="0" fontId="8" fillId="0" borderId="0" xfId="0" applyFont="1"/>
    <xf numFmtId="0" fontId="47" fillId="3" borderId="0" xfId="0" applyFont="1" applyFill="1"/>
    <xf numFmtId="0" fontId="8" fillId="0" borderId="1" xfId="0" applyFont="1" applyBorder="1" applyAlignment="1">
      <alignment wrapText="1"/>
    </xf>
    <xf numFmtId="168" fontId="32" fillId="4" borderId="0" xfId="2" applyNumberFormat="1" applyFont="1" applyFill="1"/>
    <xf numFmtId="174" fontId="2" fillId="7" borderId="7" xfId="5" applyNumberFormat="1" applyFont="1" applyFill="1" applyBorder="1" applyAlignment="1">
      <alignment wrapText="1"/>
    </xf>
    <xf numFmtId="176" fontId="0" fillId="2" borderId="2" xfId="4" applyNumberFormat="1" applyFont="1" applyFill="1" applyBorder="1"/>
    <xf numFmtId="174" fontId="2" fillId="7" borderId="0" xfId="5" applyNumberFormat="1" applyFont="1" applyFill="1" applyBorder="1" applyAlignment="1">
      <alignment horizontal="center"/>
    </xf>
    <xf numFmtId="177" fontId="0" fillId="2" borderId="2" xfId="4" applyNumberFormat="1" applyFont="1" applyFill="1" applyBorder="1"/>
    <xf numFmtId="1" fontId="0" fillId="4" borderId="0" xfId="0" applyNumberFormat="1" applyFill="1" applyBorder="1"/>
    <xf numFmtId="172" fontId="0" fillId="4" borderId="0" xfId="0" applyNumberFormat="1" applyFill="1" applyBorder="1"/>
    <xf numFmtId="168" fontId="8" fillId="4" borderId="0" xfId="2" quotePrefix="1" applyNumberFormat="1" applyFont="1" applyFill="1"/>
    <xf numFmtId="0" fontId="48" fillId="7" borderId="1" xfId="0" applyFont="1" applyFill="1" applyBorder="1" applyAlignment="1">
      <alignment horizontal="center" vertical="center" wrapText="1"/>
    </xf>
    <xf numFmtId="0" fontId="49" fillId="7" borderId="18" xfId="0" applyFont="1" applyFill="1" applyBorder="1" applyAlignment="1">
      <alignment horizontal="center" vertical="center"/>
    </xf>
    <xf numFmtId="170" fontId="0" fillId="4" borderId="0" xfId="4" applyNumberFormat="1" applyFont="1" applyFill="1" applyBorder="1"/>
    <xf numFmtId="0" fontId="5" fillId="0" borderId="0" xfId="0" applyFont="1" applyAlignment="1">
      <alignment horizontal="right" wrapText="1"/>
    </xf>
    <xf numFmtId="168" fontId="5" fillId="4" borderId="0" xfId="2" quotePrefix="1" applyNumberFormat="1" applyFont="1" applyFill="1"/>
    <xf numFmtId="168" fontId="4" fillId="4" borderId="0" xfId="2" quotePrefix="1" applyNumberFormat="1" applyFont="1" applyFill="1"/>
    <xf numFmtId="164" fontId="0" fillId="4" borderId="0" xfId="2" applyNumberFormat="1" applyFont="1" applyFill="1"/>
    <xf numFmtId="0" fontId="0" fillId="0" borderId="0" xfId="0" applyFont="1"/>
    <xf numFmtId="0" fontId="2" fillId="3" borderId="0" xfId="0" applyFont="1" applyFill="1"/>
    <xf numFmtId="0" fontId="0" fillId="0" borderId="1" xfId="0" applyFont="1" applyBorder="1" applyAlignment="1">
      <alignment horizontal="center" vertical="center" wrapText="1"/>
    </xf>
    <xf numFmtId="0" fontId="1" fillId="14" borderId="0" xfId="0" applyFont="1" applyFill="1"/>
    <xf numFmtId="0" fontId="2" fillId="14" borderId="0" xfId="0" applyFont="1" applyFill="1"/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wrapText="1"/>
    </xf>
    <xf numFmtId="164" fontId="0" fillId="4" borderId="0" xfId="0" applyNumberFormat="1" applyFont="1" applyFill="1"/>
    <xf numFmtId="10" fontId="0" fillId="4" borderId="0" xfId="1" applyNumberFormat="1" applyFont="1" applyFill="1" applyBorder="1"/>
    <xf numFmtId="39" fontId="0" fillId="6" borderId="0" xfId="0" applyNumberFormat="1" applyFill="1"/>
    <xf numFmtId="39" fontId="0" fillId="4" borderId="0" xfId="0" applyNumberFormat="1" applyFill="1"/>
    <xf numFmtId="0" fontId="47" fillId="2" borderId="2" xfId="0" applyFont="1" applyFill="1" applyBorder="1" applyAlignment="1">
      <alignment horizontal="center" vertical="center" wrapText="1"/>
    </xf>
    <xf numFmtId="0" fontId="9" fillId="2" borderId="5" xfId="8" applyFont="1" applyFill="1" applyBorder="1" applyAlignment="1">
      <alignment horizontal="centerContinuous"/>
    </xf>
    <xf numFmtId="169" fontId="0" fillId="2" borderId="2" xfId="0" applyNumberFormat="1" applyFill="1" applyBorder="1" applyAlignment="1">
      <alignment horizontal="center" vertical="center"/>
    </xf>
    <xf numFmtId="169" fontId="10" fillId="2" borderId="2" xfId="8" applyNumberFormat="1" applyFill="1" applyBorder="1" applyAlignment="1">
      <alignment horizontal="center" vertical="center"/>
    </xf>
    <xf numFmtId="0" fontId="17" fillId="0" borderId="0" xfId="8" applyFont="1"/>
    <xf numFmtId="167" fontId="0" fillId="6" borderId="0" xfId="0" applyNumberFormat="1" applyFill="1"/>
    <xf numFmtId="170" fontId="0" fillId="4" borderId="0" xfId="2" applyNumberFormat="1" applyFont="1" applyFill="1"/>
    <xf numFmtId="9" fontId="0" fillId="4" borderId="0" xfId="1" applyNumberFormat="1" applyFont="1" applyFill="1"/>
    <xf numFmtId="0" fontId="10" fillId="0" borderId="0" xfId="8" applyAlignment="1">
      <alignment horizontal="center" vertical="center"/>
    </xf>
    <xf numFmtId="167" fontId="0" fillId="4" borderId="0" xfId="0" applyNumberFormat="1" applyFill="1"/>
    <xf numFmtId="0" fontId="50" fillId="7" borderId="0" xfId="0" applyFont="1" applyFill="1" applyAlignment="1">
      <alignment horizontal="center" vertical="center" wrapText="1"/>
    </xf>
    <xf numFmtId="164" fontId="0" fillId="2" borderId="0" xfId="2" applyFont="1" applyFill="1"/>
    <xf numFmtId="164" fontId="50" fillId="4" borderId="2" xfId="2" applyFont="1" applyFill="1" applyBorder="1"/>
    <xf numFmtId="0" fontId="32" fillId="2" borderId="0" xfId="0" applyFont="1" applyFill="1" applyAlignment="1">
      <alignment horizontal="center"/>
    </xf>
    <xf numFmtId="167" fontId="0" fillId="6" borderId="0" xfId="0" applyNumberFormat="1" applyFill="1" applyAlignment="1">
      <alignment horizontal="center"/>
    </xf>
    <xf numFmtId="0" fontId="0" fillId="2" borderId="2" xfId="0" applyFill="1" applyBorder="1" applyAlignment="1">
      <alignment wrapText="1"/>
    </xf>
    <xf numFmtId="0" fontId="32" fillId="2" borderId="2" xfId="0" applyFont="1" applyFill="1" applyBorder="1" applyAlignment="1">
      <alignment wrapText="1"/>
    </xf>
    <xf numFmtId="0" fontId="32" fillId="7" borderId="1" xfId="0" applyFont="1" applyFill="1" applyBorder="1" applyAlignment="1">
      <alignment horizontal="center" vertical="center" wrapText="1"/>
    </xf>
    <xf numFmtId="0" fontId="32" fillId="8" borderId="0" xfId="0" applyFont="1" applyFill="1"/>
    <xf numFmtId="0" fontId="32" fillId="0" borderId="1" xfId="0" applyFont="1" applyBorder="1"/>
    <xf numFmtId="0" fontId="32" fillId="0" borderId="0" xfId="0" applyFont="1" applyBorder="1"/>
    <xf numFmtId="0" fontId="32" fillId="7" borderId="0" xfId="0" applyFont="1" applyFill="1" applyBorder="1" applyAlignment="1">
      <alignment horizontal="center" vertical="center" wrapText="1"/>
    </xf>
    <xf numFmtId="164" fontId="32" fillId="6" borderId="0" xfId="2" applyFont="1" applyFill="1"/>
    <xf numFmtId="10" fontId="32" fillId="6" borderId="0" xfId="1" applyNumberFormat="1" applyFont="1" applyFill="1"/>
    <xf numFmtId="167" fontId="32" fillId="6" borderId="0" xfId="0" applyNumberFormat="1" applyFont="1" applyFill="1" applyAlignment="1">
      <alignment horizontal="center"/>
    </xf>
    <xf numFmtId="39" fontId="32" fillId="2" borderId="0" xfId="0" applyNumberFormat="1" applyFont="1" applyFill="1"/>
    <xf numFmtId="9" fontId="32" fillId="4" borderId="0" xfId="1" applyNumberFormat="1" applyFont="1" applyFill="1"/>
    <xf numFmtId="170" fontId="32" fillId="4" borderId="0" xfId="2" applyNumberFormat="1" applyFont="1" applyFill="1"/>
    <xf numFmtId="9" fontId="32" fillId="2" borderId="0" xfId="1" applyNumberFormat="1" applyFont="1" applyFill="1"/>
    <xf numFmtId="167" fontId="32" fillId="4" borderId="0" xfId="0" applyNumberFormat="1" applyFont="1" applyFill="1"/>
    <xf numFmtId="164" fontId="32" fillId="4" borderId="0" xfId="2" applyNumberFormat="1" applyFont="1" applyFill="1"/>
    <xf numFmtId="164" fontId="46" fillId="4" borderId="2" xfId="2" applyFont="1" applyFill="1" applyBorder="1"/>
    <xf numFmtId="167" fontId="32" fillId="4" borderId="0" xfId="1" applyNumberFormat="1" applyFont="1" applyFill="1"/>
    <xf numFmtId="167" fontId="32" fillId="4" borderId="0" xfId="1" applyNumberFormat="1" applyFont="1" applyFill="1" applyAlignment="1">
      <alignment horizontal="center"/>
    </xf>
    <xf numFmtId="0" fontId="40" fillId="0" borderId="0" xfId="0" applyFont="1" applyAlignment="1">
      <alignment vertical="center" wrapText="1"/>
    </xf>
    <xf numFmtId="165" fontId="0" fillId="2" borderId="0" xfId="0" applyNumberFormat="1" applyFill="1" applyAlignment="1">
      <alignment vertical="center"/>
    </xf>
    <xf numFmtId="0" fontId="25" fillId="9" borderId="0" xfId="0" applyFont="1" applyFill="1" applyAlignment="1">
      <alignment horizontal="center" vertical="center"/>
    </xf>
    <xf numFmtId="166" fontId="0" fillId="2" borderId="0" xfId="0" applyNumberFormat="1" applyFill="1" applyAlignment="1">
      <alignment vertical="center"/>
    </xf>
    <xf numFmtId="167" fontId="0" fillId="2" borderId="0" xfId="1" applyNumberFormat="1" applyFont="1" applyFill="1" applyAlignment="1">
      <alignment vertical="center"/>
    </xf>
    <xf numFmtId="38" fontId="0" fillId="2" borderId="0" xfId="0" applyNumberFormat="1" applyFill="1" applyAlignment="1">
      <alignment vertical="center"/>
    </xf>
    <xf numFmtId="10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7" fontId="0" fillId="4" borderId="0" xfId="1" applyNumberFormat="1" applyFont="1" applyFill="1" applyAlignment="1">
      <alignment vertical="center"/>
    </xf>
    <xf numFmtId="0" fontId="25" fillId="11" borderId="0" xfId="0" applyFont="1" applyFill="1" applyAlignment="1">
      <alignment horizontal="center" vertical="center"/>
    </xf>
    <xf numFmtId="10" fontId="0" fillId="4" borderId="0" xfId="1" applyNumberFormat="1" applyFont="1" applyFill="1" applyAlignment="1">
      <alignment vertical="center"/>
    </xf>
    <xf numFmtId="167" fontId="0" fillId="6" borderId="0" xfId="1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164" fontId="32" fillId="4" borderId="0" xfId="2" applyFont="1" applyFill="1" applyAlignment="1">
      <alignment vertical="center"/>
    </xf>
    <xf numFmtId="168" fontId="32" fillId="4" borderId="0" xfId="2" applyNumberFormat="1" applyFont="1" applyFill="1" applyAlignment="1">
      <alignment vertical="center"/>
    </xf>
    <xf numFmtId="0" fontId="0" fillId="6" borderId="0" xfId="2" applyNumberFormat="1" applyFont="1" applyFill="1" applyBorder="1" applyAlignment="1">
      <alignment horizontal="center" vertical="center"/>
    </xf>
    <xf numFmtId="39" fontId="0" fillId="4" borderId="0" xfId="0" applyNumberFormat="1" applyFill="1" applyAlignment="1">
      <alignment vertical="center"/>
    </xf>
    <xf numFmtId="39" fontId="0" fillId="6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67" fontId="0" fillId="6" borderId="0" xfId="0" applyNumberFormat="1" applyFill="1" applyAlignment="1">
      <alignment vertical="center"/>
    </xf>
    <xf numFmtId="167" fontId="0" fillId="6" borderId="0" xfId="0" applyNumberFormat="1" applyFill="1" applyAlignment="1">
      <alignment horizontal="center" vertical="center"/>
    </xf>
    <xf numFmtId="9" fontId="0" fillId="4" borderId="0" xfId="1" applyNumberFormat="1" applyFont="1" applyFill="1" applyAlignment="1">
      <alignment vertical="center"/>
    </xf>
    <xf numFmtId="170" fontId="0" fillId="4" borderId="0" xfId="2" applyNumberFormat="1" applyFont="1" applyFill="1" applyAlignment="1">
      <alignment vertical="center"/>
    </xf>
    <xf numFmtId="167" fontId="0" fillId="4" borderId="0" xfId="0" applyNumberFormat="1" applyFill="1" applyAlignment="1">
      <alignment vertical="center"/>
    </xf>
    <xf numFmtId="164" fontId="0" fillId="4" borderId="0" xfId="2" applyNumberFormat="1" applyFont="1" applyFill="1" applyAlignment="1">
      <alignment vertical="center"/>
    </xf>
    <xf numFmtId="164" fontId="50" fillId="4" borderId="2" xfId="2" applyFont="1" applyFill="1" applyBorder="1" applyAlignment="1">
      <alignment vertical="center"/>
    </xf>
    <xf numFmtId="0" fontId="0" fillId="4" borderId="0" xfId="1" applyNumberFormat="1" applyFont="1" applyFill="1" applyAlignment="1">
      <alignment horizontal="center" vertical="center"/>
    </xf>
    <xf numFmtId="164" fontId="0" fillId="4" borderId="0" xfId="2" applyFont="1" applyFill="1" applyAlignment="1">
      <alignment horizontal="center" vertical="center"/>
    </xf>
    <xf numFmtId="164" fontId="0" fillId="2" borderId="0" xfId="2" applyFont="1" applyFill="1" applyAlignment="1">
      <alignment vertical="center"/>
    </xf>
    <xf numFmtId="164" fontId="32" fillId="6" borderId="0" xfId="2" applyFont="1" applyFill="1" applyAlignment="1">
      <alignment vertical="center"/>
    </xf>
    <xf numFmtId="10" fontId="32" fillId="6" borderId="0" xfId="1" applyNumberFormat="1" applyFont="1" applyFill="1" applyAlignment="1">
      <alignment vertical="center"/>
    </xf>
    <xf numFmtId="167" fontId="32" fillId="6" borderId="0" xfId="0" applyNumberFormat="1" applyFont="1" applyFill="1" applyAlignment="1">
      <alignment horizontal="center" vertical="center"/>
    </xf>
    <xf numFmtId="39" fontId="32" fillId="2" borderId="0" xfId="0" applyNumberFormat="1" applyFont="1" applyFill="1" applyAlignment="1">
      <alignment vertical="center"/>
    </xf>
    <xf numFmtId="0" fontId="32" fillId="0" borderId="0" xfId="0" applyFont="1" applyAlignment="1">
      <alignment vertical="center"/>
    </xf>
    <xf numFmtId="9" fontId="32" fillId="4" borderId="0" xfId="1" applyNumberFormat="1" applyFont="1" applyFill="1" applyAlignment="1">
      <alignment vertical="center"/>
    </xf>
    <xf numFmtId="170" fontId="32" fillId="4" borderId="0" xfId="2" applyNumberFormat="1" applyFont="1" applyFill="1" applyAlignment="1">
      <alignment vertical="center"/>
    </xf>
    <xf numFmtId="9" fontId="32" fillId="2" borderId="0" xfId="1" applyNumberFormat="1" applyFont="1" applyFill="1" applyAlignment="1">
      <alignment vertical="center"/>
    </xf>
    <xf numFmtId="167" fontId="32" fillId="4" borderId="0" xfId="0" applyNumberFormat="1" applyFont="1" applyFill="1" applyAlignment="1">
      <alignment vertical="center"/>
    </xf>
    <xf numFmtId="164" fontId="32" fillId="4" borderId="0" xfId="2" applyNumberFormat="1" applyFont="1" applyFill="1" applyAlignment="1">
      <alignment vertical="center"/>
    </xf>
    <xf numFmtId="164" fontId="46" fillId="4" borderId="2" xfId="2" applyFont="1" applyFill="1" applyBorder="1" applyAlignment="1">
      <alignment vertical="center"/>
    </xf>
    <xf numFmtId="167" fontId="32" fillId="4" borderId="0" xfId="1" applyNumberFormat="1" applyFont="1" applyFill="1" applyAlignment="1">
      <alignment vertical="center"/>
    </xf>
    <xf numFmtId="167" fontId="32" fillId="4" borderId="0" xfId="1" applyNumberFormat="1" applyFont="1" applyFill="1" applyAlignment="1">
      <alignment horizontal="center" vertical="center"/>
    </xf>
    <xf numFmtId="164" fontId="32" fillId="2" borderId="0" xfId="2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165" fontId="0" fillId="6" borderId="0" xfId="0" applyNumberFormat="1" applyFill="1" applyAlignment="1">
      <alignment vertical="center"/>
    </xf>
    <xf numFmtId="167" fontId="4" fillId="4" borderId="0" xfId="1" applyNumberFormat="1" applyFont="1" applyFill="1" applyAlignment="1">
      <alignment horizontal="center" vertical="center"/>
    </xf>
    <xf numFmtId="10" fontId="4" fillId="4" borderId="0" xfId="1" applyNumberFormat="1" applyFont="1" applyFill="1" applyAlignment="1">
      <alignment horizontal="center" vertical="center"/>
    </xf>
    <xf numFmtId="0" fontId="4" fillId="4" borderId="0" xfId="1" applyNumberFormat="1" applyFont="1" applyFill="1" applyAlignment="1">
      <alignment horizontal="center" vertical="center"/>
    </xf>
    <xf numFmtId="164" fontId="4" fillId="4" borderId="0" xfId="2" applyFont="1" applyFill="1" applyAlignment="1">
      <alignment horizontal="center" vertical="center"/>
    </xf>
    <xf numFmtId="37" fontId="4" fillId="4" borderId="0" xfId="1" applyNumberFormat="1" applyFont="1" applyFill="1" applyAlignment="1">
      <alignment horizontal="center" vertical="center"/>
    </xf>
    <xf numFmtId="170" fontId="0" fillId="4" borderId="0" xfId="4" applyNumberFormat="1" applyFont="1" applyFill="1" applyBorder="1" applyAlignment="1">
      <alignment vertical="center"/>
    </xf>
    <xf numFmtId="168" fontId="0" fillId="4" borderId="0" xfId="4" applyNumberFormat="1" applyFont="1" applyFill="1" applyBorder="1" applyAlignment="1">
      <alignment vertical="center"/>
    </xf>
    <xf numFmtId="174" fontId="0" fillId="4" borderId="0" xfId="5" applyNumberFormat="1" applyFont="1" applyFill="1" applyBorder="1" applyAlignment="1">
      <alignment vertical="center"/>
    </xf>
    <xf numFmtId="9" fontId="11" fillId="4" borderId="0" xfId="3" applyNumberFormat="1" applyFill="1" applyBorder="1" applyAlignment="1">
      <alignment horizontal="center" vertical="center"/>
    </xf>
    <xf numFmtId="164" fontId="0" fillId="4" borderId="0" xfId="2" applyFont="1" applyFill="1" applyBorder="1" applyAlignment="1">
      <alignment vertical="center"/>
    </xf>
    <xf numFmtId="164" fontId="0" fillId="4" borderId="0" xfId="2" applyNumberFormat="1" applyFont="1" applyFill="1" applyBorder="1" applyAlignment="1">
      <alignment vertical="center"/>
    </xf>
    <xf numFmtId="167" fontId="11" fillId="4" borderId="0" xfId="3" applyNumberForma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1" fontId="0" fillId="4" borderId="0" xfId="0" applyNumberFormat="1" applyFill="1" applyBorder="1" applyAlignment="1">
      <alignment vertical="center"/>
    </xf>
    <xf numFmtId="172" fontId="0" fillId="4" borderId="0" xfId="0" applyNumberFormat="1" applyFill="1" applyBorder="1" applyAlignment="1">
      <alignment vertical="center"/>
    </xf>
    <xf numFmtId="10" fontId="0" fillId="4" borderId="0" xfId="1" applyNumberFormat="1" applyFont="1" applyFill="1" applyBorder="1" applyAlignment="1">
      <alignment vertical="center"/>
    </xf>
    <xf numFmtId="168" fontId="0" fillId="4" borderId="0" xfId="2" applyNumberFormat="1" applyFont="1" applyFill="1" applyAlignment="1">
      <alignment vertical="center"/>
    </xf>
    <xf numFmtId="168" fontId="0" fillId="4" borderId="0" xfId="2" quotePrefix="1" applyNumberFormat="1" applyFont="1" applyFill="1" applyAlignment="1">
      <alignment vertical="center"/>
    </xf>
    <xf numFmtId="164" fontId="0" fillId="4" borderId="0" xfId="2" quotePrefix="1" applyFont="1" applyFill="1" applyAlignment="1">
      <alignment vertical="center"/>
    </xf>
    <xf numFmtId="168" fontId="5" fillId="4" borderId="0" xfId="2" quotePrefix="1" applyNumberFormat="1" applyFont="1" applyFill="1" applyAlignment="1">
      <alignment vertical="center"/>
    </xf>
    <xf numFmtId="168" fontId="4" fillId="4" borderId="0" xfId="2" quotePrefix="1" applyNumberFormat="1" applyFont="1" applyFill="1" applyAlignment="1">
      <alignment vertical="center"/>
    </xf>
    <xf numFmtId="168" fontId="8" fillId="4" borderId="0" xfId="2" quotePrefix="1" applyNumberFormat="1" applyFont="1" applyFill="1" applyAlignment="1">
      <alignment vertical="center"/>
    </xf>
    <xf numFmtId="168" fontId="8" fillId="4" borderId="0" xfId="2" applyNumberFormat="1" applyFont="1" applyFill="1" applyAlignment="1">
      <alignment vertical="center"/>
    </xf>
    <xf numFmtId="175" fontId="8" fillId="4" borderId="0" xfId="2" applyNumberFormat="1" applyFont="1" applyFill="1" applyAlignment="1">
      <alignment vertical="center"/>
    </xf>
    <xf numFmtId="164" fontId="8" fillId="4" borderId="0" xfId="2" applyFont="1" applyFill="1" applyAlignment="1">
      <alignment vertical="center"/>
    </xf>
    <xf numFmtId="164" fontId="0" fillId="4" borderId="0" xfId="0" applyNumberFormat="1" applyFont="1" applyFill="1" applyAlignment="1">
      <alignment vertical="center"/>
    </xf>
    <xf numFmtId="164" fontId="23" fillId="4" borderId="0" xfId="2" applyFont="1" applyFill="1"/>
    <xf numFmtId="175" fontId="23" fillId="4" borderId="0" xfId="2" applyNumberFormat="1" applyFont="1" applyFill="1" applyAlignment="1">
      <alignment vertical="center"/>
    </xf>
    <xf numFmtId="175" fontId="23" fillId="4" borderId="0" xfId="2" applyNumberFormat="1" applyFont="1" applyFill="1"/>
    <xf numFmtId="9" fontId="0" fillId="2" borderId="2" xfId="0" applyNumberFormat="1" applyFill="1" applyBorder="1"/>
    <xf numFmtId="168" fontId="5" fillId="2" borderId="2" xfId="2" applyNumberFormat="1" applyFont="1" applyFill="1" applyBorder="1"/>
    <xf numFmtId="165" fontId="0" fillId="2" borderId="2" xfId="0" applyNumberFormat="1" applyFill="1" applyBorder="1" applyAlignment="1">
      <alignment horizontal="center" vertical="center"/>
    </xf>
    <xf numFmtId="164" fontId="0" fillId="2" borderId="0" xfId="2" applyFont="1" applyFill="1" applyAlignment="1">
      <alignment horizontal="center"/>
    </xf>
    <xf numFmtId="164" fontId="0" fillId="2" borderId="0" xfId="2" applyFont="1" applyFill="1" applyAlignment="1">
      <alignment horizontal="center" vertical="center"/>
    </xf>
    <xf numFmtId="164" fontId="8" fillId="4" borderId="0" xfId="2" applyFont="1" applyFill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2" fillId="7" borderId="0" xfId="0" applyFont="1" applyFill="1" applyBorder="1" applyAlignment="1">
      <alignment horizontal="center" vertical="center" wrapText="1"/>
    </xf>
    <xf numFmtId="0" fontId="46" fillId="7" borderId="0" xfId="0" applyFont="1" applyFill="1" applyBorder="1" applyAlignment="1">
      <alignment horizontal="center" vertical="center" wrapText="1"/>
    </xf>
    <xf numFmtId="0" fontId="0" fillId="0" borderId="27" xfId="0" applyBorder="1"/>
    <xf numFmtId="0" fontId="40" fillId="0" borderId="0" xfId="0" applyFont="1" applyBorder="1" applyAlignment="1">
      <alignment horizontal="right"/>
    </xf>
    <xf numFmtId="0" fontId="0" fillId="0" borderId="0" xfId="0" applyFont="1" applyBorder="1"/>
    <xf numFmtId="0" fontId="2" fillId="0" borderId="0" xfId="0" applyFont="1" applyBorder="1" applyAlignment="1">
      <alignment horizontal="center"/>
    </xf>
    <xf numFmtId="0" fontId="0" fillId="2" borderId="0" xfId="0" applyFill="1" applyBorder="1"/>
    <xf numFmtId="168" fontId="0" fillId="4" borderId="0" xfId="2" applyNumberFormat="1" applyFont="1" applyFill="1" applyBorder="1"/>
    <xf numFmtId="168" fontId="4" fillId="4" borderId="0" xfId="2" applyNumberFormat="1" applyFont="1" applyFill="1" applyBorder="1"/>
    <xf numFmtId="0" fontId="0" fillId="0" borderId="28" xfId="0" applyBorder="1"/>
    <xf numFmtId="0" fontId="0" fillId="0" borderId="29" xfId="0" applyBorder="1"/>
    <xf numFmtId="0" fontId="40" fillId="0" borderId="24" xfId="0" applyFont="1" applyBorder="1"/>
    <xf numFmtId="0" fontId="51" fillId="0" borderId="23" xfId="0" applyFont="1" applyBorder="1"/>
    <xf numFmtId="37" fontId="5" fillId="4" borderId="0" xfId="2" applyNumberFormat="1" applyFont="1" applyFill="1" applyBorder="1" applyAlignment="1">
      <alignment horizontal="center"/>
    </xf>
    <xf numFmtId="37" fontId="5" fillId="4" borderId="0" xfId="2" applyNumberFormat="1" applyFont="1" applyFill="1" applyBorder="1" applyAlignment="1">
      <alignment horizontal="center" vertical="center"/>
    </xf>
    <xf numFmtId="0" fontId="52" fillId="2" borderId="0" xfId="0" applyFont="1" applyFill="1"/>
    <xf numFmtId="165" fontId="52" fillId="2" borderId="2" xfId="0" applyNumberFormat="1" applyFont="1" applyFill="1" applyBorder="1"/>
    <xf numFmtId="164" fontId="2" fillId="4" borderId="0" xfId="0" applyNumberFormat="1" applyFont="1" applyFill="1" applyBorder="1"/>
    <xf numFmtId="0" fontId="0" fillId="10" borderId="1" xfId="0" applyFill="1" applyBorder="1" applyAlignment="1">
      <alignment wrapText="1"/>
    </xf>
    <xf numFmtId="38" fontId="0" fillId="7" borderId="0" xfId="0" applyNumberFormat="1" applyFill="1"/>
    <xf numFmtId="164" fontId="0" fillId="4" borderId="0" xfId="2" applyFont="1" applyFill="1"/>
    <xf numFmtId="15" fontId="0" fillId="2" borderId="0" xfId="0" applyNumberFormat="1" applyFill="1"/>
    <xf numFmtId="15" fontId="0" fillId="2" borderId="0" xfId="0" applyNumberFormat="1" applyFill="1" applyAlignment="1">
      <alignment horizontal="center"/>
    </xf>
    <xf numFmtId="15" fontId="0" fillId="2" borderId="0" xfId="0" quotePrefix="1" applyNumberFormat="1" applyFill="1"/>
    <xf numFmtId="167" fontId="0" fillId="2" borderId="0" xfId="1" applyNumberFormat="1" applyFont="1" applyFill="1" applyAlignment="1">
      <alignment horizontal="center"/>
    </xf>
    <xf numFmtId="0" fontId="9" fillId="0" borderId="0" xfId="0" applyFont="1"/>
    <xf numFmtId="15" fontId="0" fillId="0" borderId="0" xfId="0" applyNumberFormat="1"/>
    <xf numFmtId="15" fontId="9" fillId="0" borderId="0" xfId="0" applyNumberFormat="1" applyFont="1" applyAlignment="1">
      <alignment horizontal="center"/>
    </xf>
    <xf numFmtId="171" fontId="9" fillId="4" borderId="0" xfId="0" applyNumberFormat="1" applyFont="1" applyFill="1"/>
    <xf numFmtId="178" fontId="9" fillId="4" borderId="0" xfId="0" applyNumberFormat="1" applyFont="1" applyFill="1"/>
    <xf numFmtId="171" fontId="9" fillId="2" borderId="0" xfId="0" applyNumberFormat="1" applyFont="1" applyFill="1"/>
    <xf numFmtId="164" fontId="0" fillId="4" borderId="0" xfId="0" applyNumberFormat="1" applyFill="1"/>
    <xf numFmtId="0" fontId="2" fillId="2" borderId="23" xfId="0" applyFont="1" applyFill="1" applyBorder="1"/>
    <xf numFmtId="0" fontId="0" fillId="2" borderId="25" xfId="0" applyFill="1" applyBorder="1"/>
    <xf numFmtId="0" fontId="0" fillId="2" borderId="29" xfId="0" applyFill="1" applyBorder="1"/>
    <xf numFmtId="15" fontId="53" fillId="0" borderId="0" xfId="0" applyNumberFormat="1" applyFont="1"/>
    <xf numFmtId="164" fontId="2" fillId="2" borderId="28" xfId="2" applyFont="1" applyFill="1" applyBorder="1"/>
    <xf numFmtId="0" fontId="2" fillId="7" borderId="12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40" fillId="2" borderId="20" xfId="0" applyFont="1" applyFill="1" applyBorder="1" applyAlignment="1">
      <alignment horizontal="center" vertical="center" wrapText="1"/>
    </xf>
    <xf numFmtId="0" fontId="40" fillId="2" borderId="21" xfId="0" applyFont="1" applyFill="1" applyBorder="1" applyAlignment="1">
      <alignment horizontal="center" vertical="center" wrapText="1"/>
    </xf>
    <xf numFmtId="0" fontId="40" fillId="2" borderId="22" xfId="0" applyFont="1" applyFill="1" applyBorder="1" applyAlignment="1">
      <alignment horizontal="center" vertical="center" wrapText="1"/>
    </xf>
  </cellXfs>
  <cellStyles count="9">
    <cellStyle name="Comma" xfId="2" builtinId="3"/>
    <cellStyle name="Comma 2" xfId="5"/>
    <cellStyle name="Comma 3" xfId="4"/>
    <cellStyle name="Normal" xfId="0" builtinId="0"/>
    <cellStyle name="Normal 2" xfId="3"/>
    <cellStyle name="Normal 2 2" xfId="7"/>
    <cellStyle name="Normal 3" xfId="8"/>
    <cellStyle name="Per cent 2" xfId="6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432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</xdr:row>
      <xdr:rowOff>38100</xdr:rowOff>
    </xdr:from>
    <xdr:to>
      <xdr:col>14</xdr:col>
      <xdr:colOff>279400</xdr:colOff>
      <xdr:row>9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13DF80-BA18-EE43-A3E9-84469597F631}"/>
            </a:ext>
          </a:extLst>
        </xdr:cNvPr>
        <xdr:cNvSpPr txBox="1"/>
      </xdr:nvSpPr>
      <xdr:spPr>
        <a:xfrm>
          <a:off x="9144000" y="241300"/>
          <a:ext cx="5118100" cy="26543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Notes on Penalties:</a:t>
          </a:r>
        </a:p>
        <a:p>
          <a:r>
            <a:rPr lang="en-GB" sz="1100"/>
            <a:t>   Organics:</a:t>
          </a:r>
        </a:p>
        <a:p>
          <a:r>
            <a:rPr lang="en-GB" sz="1100"/>
            <a:t>      China domestic - very low - $0.00/dmt</a:t>
          </a:r>
        </a:p>
        <a:p>
          <a:r>
            <a:rPr lang="en-GB" sz="1100"/>
            <a:t>      Brazil - very low</a:t>
          </a:r>
          <a:r>
            <a:rPr lang="en-GB" sz="1100" baseline="0"/>
            <a:t> - $0.00</a:t>
          </a:r>
        </a:p>
        <a:p>
          <a:r>
            <a:rPr lang="en-GB" sz="1100" baseline="0"/>
            <a:t>      Guinea - moderate - $0.33/dmt</a:t>
          </a:r>
        </a:p>
        <a:p>
          <a:r>
            <a:rPr lang="en-GB" sz="1100" baseline="0"/>
            <a:t>      Indonesia - moderate - $0.33/dmt</a:t>
          </a:r>
        </a:p>
        <a:p>
          <a:r>
            <a:rPr lang="en-GB" sz="1100" baseline="0"/>
            <a:t>      Nth Australia - high - $0.67/dmt</a:t>
          </a:r>
        </a:p>
        <a:p>
          <a:r>
            <a:rPr lang="en-GB" sz="1100" baseline="0"/>
            <a:t>      Malaysia - high - $0.67/dmt</a:t>
          </a:r>
        </a:p>
        <a:p>
          <a:r>
            <a:rPr lang="en-GB" sz="1100" baseline="0"/>
            <a:t>      WA - very high - $1.00/dmt</a:t>
          </a:r>
        </a:p>
        <a:p>
          <a:r>
            <a:rPr lang="en-GB" sz="1100" baseline="0"/>
            <a:t>      Sol. Is. - very high - $1.00/dmt</a:t>
          </a:r>
        </a:p>
        <a:p>
          <a:endParaRPr lang="en-GB" sz="1100" baseline="0"/>
        </a:p>
        <a:p>
          <a:r>
            <a:rPr lang="en-GB" sz="1100" baseline="0"/>
            <a:t>   Other impurities</a:t>
          </a:r>
        </a:p>
        <a:p>
          <a:r>
            <a:rPr lang="en-GB" sz="1100" baseline="0"/>
            <a:t>      Sol Is. - phos - $1.00</a:t>
          </a:r>
        </a:p>
        <a:p>
          <a:r>
            <a:rPr lang="en-GB" sz="1100" baseline="0"/>
            <a:t>      Sol Is - goethite - $0.50</a:t>
          </a:r>
        </a:p>
        <a:p>
          <a:r>
            <a:rPr lang="en-GB" sz="1100" baseline="0"/>
            <a:t>      Malaysia - goethite - $0.50</a:t>
          </a:r>
        </a:p>
        <a:p>
          <a:endParaRPr lang="en-GB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49892</xdr:rowOff>
    </xdr:from>
    <xdr:to>
      <xdr:col>3</xdr:col>
      <xdr:colOff>77458</xdr:colOff>
      <xdr:row>15</xdr:row>
      <xdr:rowOff>54263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4002C-CC7D-F645-B243-0DF18236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9892"/>
          <a:ext cx="3074658" cy="2896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QP87"/>
  <sheetViews>
    <sheetView tabSelected="1" topLeftCell="FQ1" zoomScale="70" zoomScaleNormal="70" workbookViewId="0">
      <selection activeCell="GE57" sqref="GE57"/>
    </sheetView>
  </sheetViews>
  <sheetFormatPr defaultColWidth="11" defaultRowHeight="15.75"/>
  <cols>
    <col min="1" max="1" width="33.125" bestFit="1" customWidth="1"/>
    <col min="2" max="2" width="14.125" customWidth="1"/>
    <col min="3" max="3" width="11.875" customWidth="1"/>
    <col min="5" max="5" width="21.375" customWidth="1"/>
    <col min="6" max="6" width="13" bestFit="1" customWidth="1"/>
    <col min="7" max="7" width="15" bestFit="1" customWidth="1"/>
    <col min="9" max="9" width="11.5" bestFit="1" customWidth="1"/>
    <col min="10" max="10" width="12.5" bestFit="1" customWidth="1"/>
    <col min="11" max="11" width="11.5" bestFit="1" customWidth="1"/>
    <col min="12" max="12" width="12.5" bestFit="1" customWidth="1"/>
    <col min="13" max="15" width="10.125" customWidth="1"/>
    <col min="16" max="16" width="10.875" bestFit="1" customWidth="1"/>
    <col min="17" max="17" width="27.5" customWidth="1"/>
    <col min="18" max="18" width="29.625" customWidth="1"/>
    <col min="19" max="20" width="5.875" customWidth="1"/>
    <col min="21" max="29" width="0" hidden="1" customWidth="1"/>
    <col min="30" max="30" width="5.875" customWidth="1"/>
    <col min="31" max="31" width="25.375" customWidth="1"/>
    <col min="32" max="32" width="8.5" bestFit="1" customWidth="1"/>
    <col min="33" max="33" width="6.625" bestFit="1" customWidth="1"/>
    <col min="34" max="34" width="8" customWidth="1"/>
    <col min="35" max="35" width="8.5" bestFit="1" customWidth="1"/>
    <col min="37" max="37" width="9.125" bestFit="1" customWidth="1"/>
    <col min="38" max="38" width="10.375" bestFit="1" customWidth="1"/>
    <col min="39" max="39" width="8.625" bestFit="1" customWidth="1"/>
    <col min="40" max="40" width="14" style="264" customWidth="1"/>
    <col min="41" max="42" width="25.5" bestFit="1" customWidth="1"/>
    <col min="43" max="43" width="16.375" customWidth="1"/>
    <col min="44" max="44" width="14" bestFit="1" customWidth="1"/>
    <col min="45" max="45" width="14.375" bestFit="1" customWidth="1"/>
    <col min="46" max="46" width="13.625" bestFit="1" customWidth="1"/>
    <col min="47" max="47" width="7.5" style="237" bestFit="1" customWidth="1"/>
    <col min="48" max="48" width="5.875" style="237" bestFit="1" customWidth="1"/>
    <col min="49" max="49" width="8.625" customWidth="1"/>
    <col min="50" max="50" width="9.5" bestFit="1" customWidth="1"/>
    <col min="51" max="51" width="9.875" bestFit="1" customWidth="1"/>
    <col min="52" max="52" width="12" bestFit="1" customWidth="1"/>
    <col min="53" max="53" width="13.625" bestFit="1" customWidth="1"/>
    <col min="54" max="54" width="12.5" customWidth="1"/>
    <col min="55" max="55" width="14" customWidth="1"/>
    <col min="56" max="57" width="13.375" bestFit="1" customWidth="1"/>
    <col min="58" max="58" width="8.875" customWidth="1"/>
    <col min="59" max="59" width="9.625" customWidth="1"/>
    <col min="60" max="60" width="8.875" style="237" customWidth="1"/>
    <col min="62" max="64" width="5.875" customWidth="1"/>
    <col min="73" max="73" width="12.625" customWidth="1"/>
    <col min="97" max="99" width="5.875" customWidth="1"/>
    <col min="108" max="108" width="13.125" customWidth="1"/>
    <col min="132" max="134" width="5.875" customWidth="1"/>
    <col min="143" max="143" width="13.875" customWidth="1"/>
    <col min="157" max="157" width="13.625" customWidth="1"/>
    <col min="159" max="159" width="8.375" bestFit="1" customWidth="1"/>
    <col min="162" max="162" width="15.125" bestFit="1" customWidth="1"/>
    <col min="163" max="163" width="15.125" customWidth="1"/>
    <col min="167" max="169" width="5.875" customWidth="1"/>
    <col min="235" max="237" width="5.875" customWidth="1"/>
    <col min="238" max="238" width="31" customWidth="1"/>
    <col min="239" max="239" width="11.375" bestFit="1" customWidth="1"/>
    <col min="240" max="240" width="8" bestFit="1" customWidth="1"/>
    <col min="241" max="241" width="8.125" bestFit="1" customWidth="1"/>
    <col min="242" max="242" width="10.125" bestFit="1" customWidth="1"/>
    <col min="243" max="243" width="9.5" bestFit="1" customWidth="1"/>
    <col min="244" max="245" width="10.875" customWidth="1"/>
    <col min="246" max="246" width="8.5" bestFit="1" customWidth="1"/>
    <col min="247" max="247" width="13" bestFit="1" customWidth="1"/>
    <col min="248" max="248" width="10.875" customWidth="1"/>
    <col min="249" max="249" width="8.375" bestFit="1" customWidth="1"/>
    <col min="250" max="250" width="25.5" bestFit="1" customWidth="1"/>
    <col min="251" max="251" width="13.625" bestFit="1" customWidth="1"/>
    <col min="252" max="252" width="10.625" bestFit="1" customWidth="1"/>
    <col min="253" max="255" width="5.875" customWidth="1"/>
    <col min="300" max="302" width="5.875" customWidth="1"/>
    <col min="303" max="303" width="17.625" customWidth="1"/>
    <col min="304" max="304" width="19.625" customWidth="1"/>
    <col min="305" max="311" width="10.875" customWidth="1"/>
    <col min="312" max="312" width="12.375" customWidth="1"/>
    <col min="313" max="318" width="10.875" customWidth="1"/>
    <col min="319" max="319" width="14.375" bestFit="1" customWidth="1"/>
    <col min="320" max="321" width="10.875" customWidth="1"/>
    <col min="322" max="322" width="14.125" bestFit="1" customWidth="1"/>
    <col min="323" max="325" width="10.875" customWidth="1"/>
    <col min="326" max="326" width="17.375" bestFit="1" customWidth="1"/>
    <col min="327" max="327" width="10.875" customWidth="1"/>
    <col min="328" max="328" width="10.625" bestFit="1" customWidth="1"/>
    <col min="329" max="329" width="14.125" bestFit="1" customWidth="1"/>
    <col min="330" max="332" width="10.875" customWidth="1"/>
    <col min="333" max="333" width="17.375" bestFit="1" customWidth="1"/>
    <col min="334" max="335" width="10.875" customWidth="1"/>
    <col min="336" max="336" width="14.125" bestFit="1" customWidth="1"/>
    <col min="337" max="339" width="10.875" customWidth="1"/>
    <col min="340" max="340" width="17.375" bestFit="1" customWidth="1"/>
    <col min="341" max="342" width="10.875" customWidth="1"/>
    <col min="343" max="343" width="14.125" bestFit="1" customWidth="1"/>
    <col min="344" max="344" width="15.125" customWidth="1"/>
    <col min="345" max="346" width="10.875" customWidth="1"/>
    <col min="347" max="347" width="17.625" bestFit="1" customWidth="1"/>
    <col min="348" max="349" width="10.875" customWidth="1"/>
    <col min="350" max="350" width="14.125" bestFit="1" customWidth="1"/>
    <col min="351" max="353" width="10.875" customWidth="1"/>
    <col min="354" max="354" width="18.375" bestFit="1" customWidth="1"/>
    <col min="355" max="356" width="10.875" customWidth="1"/>
    <col min="357" max="357" width="14.125" bestFit="1" customWidth="1"/>
    <col min="358" max="360" width="10.875" customWidth="1"/>
    <col min="361" max="361" width="18.375" bestFit="1" customWidth="1"/>
    <col min="362" max="363" width="10.875" customWidth="1"/>
    <col min="364" max="364" width="14.125" bestFit="1" customWidth="1"/>
    <col min="365" max="375" width="10.875" customWidth="1"/>
    <col min="376" max="376" width="12" customWidth="1"/>
    <col min="377" max="383" width="10.875" customWidth="1"/>
    <col min="384" max="384" width="11.875" customWidth="1"/>
    <col min="385" max="475" width="10.875" customWidth="1"/>
    <col min="476" max="476" width="12" customWidth="1"/>
    <col min="477" max="477" width="12.125" customWidth="1"/>
    <col min="478" max="478" width="12.125" style="282" customWidth="1"/>
    <col min="479" max="481" width="10.875" customWidth="1"/>
    <col min="482" max="482" width="11.5" customWidth="1"/>
    <col min="483" max="483" width="10" customWidth="1"/>
    <col min="484" max="485" width="10.875" customWidth="1"/>
    <col min="486" max="486" width="11.125" customWidth="1"/>
    <col min="487" max="496" width="10.875" customWidth="1"/>
    <col min="497" max="497" width="13.5" bestFit="1" customWidth="1"/>
    <col min="498" max="499" width="13.5" customWidth="1"/>
    <col min="676" max="676" width="12.375" bestFit="1" customWidth="1"/>
    <col min="682" max="682" width="12.375" bestFit="1" customWidth="1"/>
    <col min="685" max="685" width="12.375" bestFit="1" customWidth="1"/>
    <col min="688" max="688" width="12.375" bestFit="1" customWidth="1"/>
    <col min="691" max="691" width="12.375" bestFit="1" customWidth="1"/>
    <col min="694" max="694" width="13.5" bestFit="1" customWidth="1"/>
    <col min="696" max="696" width="13.5" bestFit="1" customWidth="1"/>
    <col min="697" max="698" width="13.5" customWidth="1"/>
    <col min="700" max="702" width="5.875" customWidth="1"/>
    <col min="897" max="897" width="13.5" bestFit="1" customWidth="1"/>
    <col min="898" max="899" width="13.5" customWidth="1"/>
    <col min="1096" max="1096" width="13.5" bestFit="1" customWidth="1"/>
    <col min="1097" max="1098" width="13.5" customWidth="1"/>
    <col min="1099" max="1099" width="10.875" customWidth="1"/>
    <col min="1100" max="1102" width="5.875" customWidth="1"/>
    <col min="1106" max="1108" width="5.875" customWidth="1"/>
    <col min="1113" max="1113" width="28.125" customWidth="1"/>
    <col min="1114" max="1114" width="12" bestFit="1" customWidth="1"/>
    <col min="1115" max="1115" width="1.875" customWidth="1"/>
    <col min="1116" max="1122" width="10.875" customWidth="1"/>
    <col min="1123" max="1124" width="13" customWidth="1"/>
    <col min="1125" max="1125" width="12.125" bestFit="1" customWidth="1"/>
    <col min="1126" max="1126" width="25.5" bestFit="1" customWidth="1"/>
    <col min="1127" max="1127" width="16.125" customWidth="1"/>
    <col min="1128" max="1133" width="10.875" customWidth="1"/>
  </cols>
  <sheetData>
    <row r="1" spans="1:1134" ht="18.75">
      <c r="A1" s="429" t="s">
        <v>0</v>
      </c>
      <c r="T1" s="287" t="s">
        <v>39</v>
      </c>
      <c r="AN1"/>
      <c r="AO1" s="264"/>
      <c r="AU1"/>
      <c r="AW1" s="237"/>
      <c r="BH1"/>
      <c r="BI1" s="237"/>
      <c r="BK1" s="287" t="s">
        <v>39</v>
      </c>
      <c r="CT1" s="287" t="s">
        <v>39</v>
      </c>
      <c r="EC1" s="287" t="s">
        <v>39</v>
      </c>
      <c r="FL1" s="287" t="s">
        <v>39</v>
      </c>
      <c r="IB1" s="287" t="s">
        <v>39</v>
      </c>
      <c r="IT1" s="287" t="s">
        <v>39</v>
      </c>
      <c r="KO1" s="287" t="s">
        <v>39</v>
      </c>
      <c r="RJ1"/>
      <c r="ZY1" s="287" t="s">
        <v>39</v>
      </c>
      <c r="API1" s="287" t="s">
        <v>39</v>
      </c>
      <c r="APO1" s="287" t="s">
        <v>39</v>
      </c>
    </row>
    <row r="2" spans="1:1134" ht="18.75">
      <c r="A2" s="430">
        <v>43934</v>
      </c>
      <c r="C2" s="80" t="s">
        <v>413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T2" s="287" t="s">
        <v>39</v>
      </c>
      <c r="AE2" s="80" t="s">
        <v>414</v>
      </c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 t="s">
        <v>415</v>
      </c>
      <c r="BE2" s="80"/>
      <c r="BF2" s="80"/>
      <c r="BG2" s="80"/>
      <c r="BH2" s="80"/>
      <c r="BI2" s="80"/>
      <c r="BK2" s="287" t="s">
        <v>39</v>
      </c>
      <c r="BM2" s="80" t="s">
        <v>416</v>
      </c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T2" s="287" t="s">
        <v>39</v>
      </c>
      <c r="CV2" s="80" t="s">
        <v>417</v>
      </c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C2" s="287" t="s">
        <v>39</v>
      </c>
      <c r="EE2" s="80" t="s">
        <v>418</v>
      </c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L2" s="287" t="s">
        <v>39</v>
      </c>
      <c r="FN2" s="80" t="s">
        <v>419</v>
      </c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B2" s="287" t="s">
        <v>39</v>
      </c>
      <c r="ID2" s="80" t="s">
        <v>420</v>
      </c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T2" s="287" t="s">
        <v>39</v>
      </c>
      <c r="IV2" s="80" t="s">
        <v>421</v>
      </c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O2" s="287" t="s">
        <v>39</v>
      </c>
      <c r="KQ2" s="80" t="s">
        <v>422</v>
      </c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0"/>
      <c r="OU2" s="80"/>
      <c r="OV2" s="80"/>
      <c r="OW2" s="80"/>
      <c r="OX2" s="80"/>
      <c r="OY2" s="80"/>
      <c r="OZ2" s="80"/>
      <c r="PA2" s="80"/>
      <c r="PB2" s="80"/>
      <c r="PC2" s="80"/>
      <c r="PD2" s="80"/>
      <c r="PE2" s="80"/>
      <c r="PF2" s="80"/>
      <c r="PG2" s="80"/>
      <c r="PH2" s="80"/>
      <c r="PI2" s="80"/>
      <c r="PJ2" s="80"/>
      <c r="PK2" s="80"/>
      <c r="PL2" s="80"/>
      <c r="PM2" s="80"/>
      <c r="PN2" s="80"/>
      <c r="PO2" s="80"/>
      <c r="PP2" s="80"/>
      <c r="PQ2" s="80"/>
      <c r="PR2" s="80"/>
      <c r="PS2" s="80"/>
      <c r="PT2" s="80"/>
      <c r="PU2" s="80"/>
      <c r="PV2" s="80"/>
      <c r="PW2" s="80"/>
      <c r="PX2" s="80"/>
      <c r="PY2" s="80"/>
      <c r="PZ2" s="80"/>
      <c r="QA2" s="80"/>
      <c r="QB2" s="80"/>
      <c r="QC2" s="80"/>
      <c r="QD2" s="80"/>
      <c r="QE2" s="80"/>
      <c r="QF2" s="80"/>
      <c r="QG2" s="80"/>
      <c r="QH2" s="80"/>
      <c r="QI2" s="80"/>
      <c r="QJ2" s="80"/>
      <c r="QK2" s="80"/>
      <c r="QL2" s="80"/>
      <c r="QM2" s="80"/>
      <c r="QN2" s="80"/>
      <c r="QO2" s="80"/>
      <c r="QP2" s="80"/>
      <c r="QQ2" s="80"/>
      <c r="QR2" s="80"/>
      <c r="QS2" s="80"/>
      <c r="QT2" s="80"/>
      <c r="QU2" s="80"/>
      <c r="QV2" s="80"/>
      <c r="QW2" s="80"/>
      <c r="QX2" s="80"/>
      <c r="QY2" s="80"/>
      <c r="QZ2" s="80"/>
      <c r="RA2" s="80"/>
      <c r="RB2" s="80"/>
      <c r="RC2" s="80"/>
      <c r="RD2" s="80"/>
      <c r="RE2" s="80"/>
      <c r="RF2" s="80"/>
      <c r="RG2" s="80"/>
      <c r="RH2" s="80"/>
      <c r="RI2" s="80"/>
      <c r="RJ2" s="80"/>
      <c r="RK2" s="80"/>
      <c r="RL2" s="80"/>
      <c r="RM2" s="80"/>
      <c r="RN2" s="80"/>
      <c r="RO2" s="80"/>
      <c r="RP2" s="80"/>
      <c r="RQ2" s="80"/>
      <c r="RR2" s="80"/>
      <c r="RS2" s="80"/>
      <c r="RT2" s="80"/>
      <c r="RU2" s="80"/>
      <c r="RV2" s="80"/>
      <c r="RW2" s="80"/>
      <c r="RX2" s="80"/>
      <c r="RY2" s="80"/>
      <c r="RZ2" s="80"/>
      <c r="SA2" s="80"/>
      <c r="SB2" s="80"/>
      <c r="SC2" s="80"/>
      <c r="SD2" s="80"/>
      <c r="SE2" s="80"/>
      <c r="SF2" s="80"/>
      <c r="SG2" s="80"/>
      <c r="SH2" s="80"/>
      <c r="SI2" s="80"/>
      <c r="SJ2" s="80"/>
      <c r="SK2" s="80"/>
      <c r="SL2" s="80"/>
      <c r="SM2" s="80"/>
      <c r="SN2" s="80"/>
      <c r="SO2" s="80"/>
      <c r="SP2" s="80"/>
      <c r="SQ2" s="80"/>
      <c r="SR2" s="80"/>
      <c r="SS2" s="80"/>
      <c r="ST2" s="80"/>
      <c r="SU2" s="80"/>
      <c r="SV2" s="80"/>
      <c r="SW2" s="80"/>
      <c r="SX2" s="80"/>
      <c r="SY2" s="80"/>
      <c r="SZ2" s="80"/>
      <c r="TA2" s="80"/>
      <c r="TB2" s="80"/>
      <c r="TC2" s="80"/>
      <c r="TD2" s="80"/>
      <c r="TE2" s="80"/>
      <c r="TF2" s="80"/>
      <c r="TG2" s="80"/>
      <c r="TH2" s="80"/>
      <c r="TI2" s="80"/>
      <c r="TJ2" s="80"/>
      <c r="TK2" s="80"/>
      <c r="TL2" s="80"/>
      <c r="TM2" s="80"/>
      <c r="TN2" s="80"/>
      <c r="TO2" s="80"/>
      <c r="TP2" s="80"/>
      <c r="TQ2" s="80"/>
      <c r="TR2" s="80"/>
      <c r="TS2" s="80"/>
      <c r="TT2" s="80"/>
      <c r="TU2" s="80"/>
      <c r="TV2" s="80"/>
      <c r="TW2" s="80"/>
      <c r="TX2" s="80"/>
      <c r="TY2" s="80"/>
      <c r="TZ2" s="80"/>
      <c r="UA2" s="80"/>
      <c r="UB2" s="80"/>
      <c r="UC2" s="80"/>
      <c r="UD2" s="80"/>
      <c r="UE2" s="80"/>
      <c r="UF2" s="80"/>
      <c r="UG2" s="80"/>
      <c r="UH2" s="80"/>
      <c r="UI2" s="80"/>
      <c r="UJ2" s="80"/>
      <c r="UK2" s="80"/>
      <c r="UL2" s="80"/>
      <c r="UM2" s="80"/>
      <c r="UN2" s="80"/>
      <c r="UO2" s="80"/>
      <c r="UP2" s="80"/>
      <c r="UQ2" s="80"/>
      <c r="UR2" s="80"/>
      <c r="US2" s="80"/>
      <c r="UT2" s="80"/>
      <c r="UU2" s="80"/>
      <c r="UV2" s="80"/>
      <c r="UW2" s="80"/>
      <c r="UX2" s="80"/>
      <c r="UY2" s="80"/>
      <c r="UZ2" s="80"/>
      <c r="VA2" s="80"/>
      <c r="VB2" s="80"/>
      <c r="VC2" s="80"/>
      <c r="VD2" s="80"/>
      <c r="VE2" s="80"/>
      <c r="VF2" s="80"/>
      <c r="VG2" s="80"/>
      <c r="VH2" s="80"/>
      <c r="VI2" s="80"/>
      <c r="VJ2" s="80"/>
      <c r="VK2" s="80"/>
      <c r="VL2" s="80"/>
      <c r="VM2" s="80"/>
      <c r="VN2" s="80"/>
      <c r="VO2" s="80"/>
      <c r="VP2" s="80"/>
      <c r="VQ2" s="80"/>
      <c r="VR2" s="80"/>
      <c r="VS2" s="80"/>
      <c r="VT2" s="80"/>
      <c r="VU2" s="80"/>
      <c r="VV2" s="80"/>
      <c r="VW2" s="80"/>
      <c r="VX2" s="80"/>
      <c r="VY2" s="80"/>
      <c r="VZ2" s="80"/>
      <c r="WA2" s="80"/>
      <c r="WB2" s="80"/>
      <c r="WC2" s="80"/>
      <c r="WD2" s="80"/>
      <c r="WE2" s="80"/>
      <c r="WF2" s="80"/>
      <c r="WG2" s="80"/>
      <c r="WH2" s="80"/>
      <c r="WI2" s="80"/>
      <c r="WJ2" s="80"/>
      <c r="WK2" s="80"/>
      <c r="WL2" s="80"/>
      <c r="WM2" s="80"/>
      <c r="WN2" s="80"/>
      <c r="WO2" s="80"/>
      <c r="WP2" s="80"/>
      <c r="WQ2" s="80"/>
      <c r="WR2" s="80"/>
      <c r="WS2" s="80"/>
      <c r="WT2" s="80"/>
      <c r="WU2" s="80"/>
      <c r="WV2" s="80"/>
      <c r="WW2" s="80"/>
      <c r="WX2" s="80"/>
      <c r="WY2" s="80"/>
      <c r="WZ2" s="80"/>
      <c r="XA2" s="80"/>
      <c r="XB2" s="80"/>
      <c r="XC2" s="80"/>
      <c r="XD2" s="80"/>
      <c r="XE2" s="80"/>
      <c r="XF2" s="80"/>
      <c r="XG2" s="80"/>
      <c r="XH2" s="80"/>
      <c r="XI2" s="80"/>
      <c r="XJ2" s="80"/>
      <c r="XK2" s="80"/>
      <c r="XL2" s="80"/>
      <c r="XM2" s="80"/>
      <c r="XN2" s="80"/>
      <c r="XO2" s="80"/>
      <c r="XP2" s="80"/>
      <c r="XQ2" s="80"/>
      <c r="XR2" s="80"/>
      <c r="XS2" s="80"/>
      <c r="XT2" s="80"/>
      <c r="XU2" s="80"/>
      <c r="XV2" s="80"/>
      <c r="XW2" s="80"/>
      <c r="XX2" s="80"/>
      <c r="XY2" s="80"/>
      <c r="XZ2" s="80"/>
      <c r="YA2" s="80"/>
      <c r="YB2" s="80"/>
      <c r="YC2" s="80"/>
      <c r="YD2" s="80"/>
      <c r="YE2" s="80"/>
      <c r="YF2" s="80"/>
      <c r="YG2" s="80"/>
      <c r="YH2" s="80"/>
      <c r="YI2" s="80"/>
      <c r="YJ2" s="80"/>
      <c r="YK2" s="80"/>
      <c r="YL2" s="80"/>
      <c r="YM2" s="80"/>
      <c r="YN2" s="80"/>
      <c r="YO2" s="80"/>
      <c r="YP2" s="80"/>
      <c r="YQ2" s="80"/>
      <c r="YR2" s="80"/>
      <c r="YS2" s="80"/>
      <c r="YT2" s="80"/>
      <c r="YU2" s="80"/>
      <c r="YV2" s="80"/>
      <c r="YW2" s="80"/>
      <c r="YX2" s="80"/>
      <c r="YY2" s="80"/>
      <c r="YZ2" s="80"/>
      <c r="ZA2" s="80"/>
      <c r="ZB2" s="80"/>
      <c r="ZC2" s="80"/>
      <c r="ZD2" s="80"/>
      <c r="ZE2" s="80"/>
      <c r="ZF2" s="80"/>
      <c r="ZG2" s="80"/>
      <c r="ZH2" s="80"/>
      <c r="ZI2" s="80"/>
      <c r="ZJ2" s="80"/>
      <c r="ZK2" s="80"/>
      <c r="ZL2" s="80"/>
      <c r="ZM2" s="80"/>
      <c r="ZN2" s="80"/>
      <c r="ZO2" s="80"/>
      <c r="ZP2" s="80"/>
      <c r="ZQ2" s="80"/>
      <c r="ZR2" s="80"/>
      <c r="ZS2" s="80"/>
      <c r="ZT2" s="80"/>
      <c r="ZU2" s="80"/>
      <c r="ZV2" s="80"/>
      <c r="ZW2" s="80"/>
      <c r="ZY2" s="287" t="s">
        <v>39</v>
      </c>
      <c r="AAA2" s="80" t="s">
        <v>423</v>
      </c>
      <c r="AAB2" s="80"/>
      <c r="AAC2" s="80"/>
      <c r="AAD2" s="80"/>
      <c r="AAE2" s="80"/>
      <c r="AAF2" s="80"/>
      <c r="AAG2" s="80"/>
      <c r="AAH2" s="80"/>
      <c r="AAI2" s="80"/>
      <c r="AAJ2" s="80"/>
      <c r="AAK2" s="80"/>
      <c r="AAL2" s="80"/>
      <c r="AAM2" s="80"/>
      <c r="AAN2" s="80"/>
      <c r="AAO2" s="80"/>
      <c r="AAP2" s="80"/>
      <c r="AAQ2" s="80"/>
      <c r="AAR2" s="80"/>
      <c r="AAS2" s="80"/>
      <c r="AAT2" s="80"/>
      <c r="AAU2" s="80"/>
      <c r="AAV2" s="80"/>
      <c r="AAW2" s="80"/>
      <c r="AAX2" s="80"/>
      <c r="AAY2" s="80"/>
      <c r="AAZ2" s="80"/>
      <c r="ABA2" s="80"/>
      <c r="ABB2" s="80"/>
      <c r="ABC2" s="80"/>
      <c r="ABD2" s="80"/>
      <c r="ABE2" s="80"/>
      <c r="ABF2" s="80"/>
      <c r="ABG2" s="80"/>
      <c r="ABH2" s="80"/>
      <c r="ABI2" s="80"/>
      <c r="ABJ2" s="80"/>
      <c r="ABK2" s="80"/>
      <c r="ABL2" s="80"/>
      <c r="ABM2" s="80"/>
      <c r="ABN2" s="80"/>
      <c r="ABO2" s="80"/>
      <c r="ABP2" s="80"/>
      <c r="ABQ2" s="80"/>
      <c r="ABR2" s="80"/>
      <c r="ABS2" s="80"/>
      <c r="ABT2" s="80"/>
      <c r="ABU2" s="80"/>
      <c r="ABV2" s="80"/>
      <c r="ABW2" s="80"/>
      <c r="ABX2" s="80"/>
      <c r="ABY2" s="80"/>
      <c r="ABZ2" s="80"/>
      <c r="ACA2" s="80"/>
      <c r="ACB2" s="80"/>
      <c r="ACC2" s="80"/>
      <c r="ACD2" s="80"/>
      <c r="ACE2" s="80"/>
      <c r="ACF2" s="80"/>
      <c r="ACG2" s="80"/>
      <c r="ACH2" s="80"/>
      <c r="ACI2" s="80"/>
      <c r="ACJ2" s="80"/>
      <c r="ACK2" s="80"/>
      <c r="ACL2" s="80"/>
      <c r="ACM2" s="80"/>
      <c r="ACN2" s="80"/>
      <c r="ACO2" s="80"/>
      <c r="ACP2" s="80"/>
      <c r="ACQ2" s="80"/>
      <c r="ACR2" s="80"/>
      <c r="ACS2" s="80"/>
      <c r="ACT2" s="80"/>
      <c r="ACU2" s="80"/>
      <c r="ACV2" s="80"/>
      <c r="ACW2" s="80"/>
      <c r="ACX2" s="80"/>
      <c r="ACY2" s="80"/>
      <c r="ACZ2" s="80"/>
      <c r="ADA2" s="80"/>
      <c r="ADB2" s="80"/>
      <c r="ADC2" s="80"/>
      <c r="ADD2" s="80"/>
      <c r="ADE2" s="80"/>
      <c r="ADF2" s="80"/>
      <c r="ADG2" s="80"/>
      <c r="ADH2" s="80"/>
      <c r="ADI2" s="80"/>
      <c r="ADJ2" s="80"/>
      <c r="ADK2" s="80"/>
      <c r="ADL2" s="80"/>
      <c r="ADM2" s="80"/>
      <c r="ADN2" s="80"/>
      <c r="ADO2" s="80"/>
      <c r="ADP2" s="80"/>
      <c r="ADQ2" s="80"/>
      <c r="ADR2" s="80"/>
      <c r="ADS2" s="80"/>
      <c r="ADT2" s="80"/>
      <c r="ADU2" s="80"/>
      <c r="ADV2" s="80"/>
      <c r="ADW2" s="80"/>
      <c r="ADX2" s="80"/>
      <c r="ADY2" s="80"/>
      <c r="ADZ2" s="80"/>
      <c r="AEA2" s="80"/>
      <c r="AEB2" s="80"/>
      <c r="AEC2" s="80"/>
      <c r="AED2" s="80"/>
      <c r="AEE2" s="80"/>
      <c r="AEF2" s="80"/>
      <c r="AEG2" s="80"/>
      <c r="AEH2" s="80"/>
      <c r="AEI2" s="80"/>
      <c r="AEJ2" s="80"/>
      <c r="AEK2" s="80"/>
      <c r="AEL2" s="80"/>
      <c r="AEM2" s="80"/>
      <c r="AEN2" s="80"/>
      <c r="AEO2" s="80"/>
      <c r="AEP2" s="80"/>
      <c r="AEQ2" s="80"/>
      <c r="AER2" s="80"/>
      <c r="AES2" s="80"/>
      <c r="AET2" s="80"/>
      <c r="AEU2" s="80"/>
      <c r="AEV2" s="80"/>
      <c r="AEW2" s="80"/>
      <c r="AEX2" s="80"/>
      <c r="AEY2" s="80"/>
      <c r="AEZ2" s="80"/>
      <c r="AFA2" s="80"/>
      <c r="AFB2" s="80"/>
      <c r="AFC2" s="80"/>
      <c r="AFD2" s="80"/>
      <c r="AFE2" s="80"/>
      <c r="AFF2" s="80"/>
      <c r="AFG2" s="80"/>
      <c r="AFH2" s="80"/>
      <c r="AFI2" s="80"/>
      <c r="AFJ2" s="80"/>
      <c r="AFK2" s="80"/>
      <c r="AFL2" s="80"/>
      <c r="AFM2" s="80"/>
      <c r="AFN2" s="80"/>
      <c r="AFO2" s="80"/>
      <c r="AFP2" s="80"/>
      <c r="AFQ2" s="80"/>
      <c r="AFR2" s="80"/>
      <c r="AFS2" s="80"/>
      <c r="AFT2" s="80"/>
      <c r="AFU2" s="80"/>
      <c r="AFV2" s="80"/>
      <c r="AFW2" s="80"/>
      <c r="AFX2" s="80"/>
      <c r="AFY2" s="80"/>
      <c r="AFZ2" s="80"/>
      <c r="AGA2" s="80"/>
      <c r="AGB2" s="80"/>
      <c r="AGC2" s="80"/>
      <c r="AGD2" s="80"/>
      <c r="AGE2" s="80"/>
      <c r="AGF2" s="80"/>
      <c r="AGG2" s="80"/>
      <c r="AGH2" s="80"/>
      <c r="AGI2" s="80"/>
      <c r="AGJ2" s="80"/>
      <c r="AGK2" s="80"/>
      <c r="AGL2" s="80"/>
      <c r="AGM2" s="80"/>
      <c r="AGN2" s="80"/>
      <c r="AGO2" s="80"/>
      <c r="AGP2" s="80"/>
      <c r="AGQ2" s="80"/>
      <c r="AGR2" s="80"/>
      <c r="AGS2" s="80"/>
      <c r="AGT2" s="80"/>
      <c r="AGU2" s="80"/>
      <c r="AGV2" s="80"/>
      <c r="AGW2" s="80"/>
      <c r="AGX2" s="80"/>
      <c r="AGY2" s="80"/>
      <c r="AGZ2" s="80"/>
      <c r="AHA2" s="80"/>
      <c r="AHB2" s="80"/>
      <c r="AHC2" s="80"/>
      <c r="AHD2" s="80"/>
      <c r="AHE2" s="80"/>
      <c r="AHF2" s="80"/>
      <c r="AHG2" s="80"/>
      <c r="AHH2" s="80"/>
      <c r="AHI2" s="80"/>
      <c r="AHJ2" s="80"/>
      <c r="AHK2" s="80"/>
      <c r="AHL2" s="80"/>
      <c r="AHM2" s="80"/>
      <c r="AHN2" s="80"/>
      <c r="AHO2" s="80"/>
      <c r="AHP2" s="80"/>
      <c r="AHQ2" s="80"/>
      <c r="AHR2" s="80"/>
      <c r="AHS2" s="80"/>
      <c r="AHT2" s="80"/>
      <c r="AHU2" s="80"/>
      <c r="AHV2" s="80"/>
      <c r="AHW2" s="80"/>
      <c r="AHX2" s="80"/>
      <c r="AHY2" s="80"/>
      <c r="AHZ2" s="80"/>
      <c r="AIA2" s="80"/>
      <c r="AIB2" s="80"/>
      <c r="AIC2" s="80"/>
      <c r="AID2" s="80"/>
      <c r="AIE2" s="80"/>
      <c r="AIF2" s="80"/>
      <c r="AIG2" s="80"/>
      <c r="AIH2" s="80"/>
      <c r="AII2" s="80"/>
      <c r="AIJ2" s="80"/>
      <c r="AIK2" s="80"/>
      <c r="AIL2" s="80"/>
      <c r="AIM2" s="80"/>
      <c r="AIN2" s="80"/>
      <c r="AIO2" s="80"/>
      <c r="AIP2" s="80"/>
      <c r="AIQ2" s="80"/>
      <c r="AIR2" s="80"/>
      <c r="AIS2" s="80"/>
      <c r="AIT2" s="80"/>
      <c r="AIU2" s="80"/>
      <c r="AIV2" s="80"/>
      <c r="AIW2" s="80"/>
      <c r="AIX2" s="80"/>
      <c r="AIY2" s="80"/>
      <c r="AIZ2" s="80"/>
      <c r="AJA2" s="80"/>
      <c r="AJB2" s="80"/>
      <c r="AJC2" s="80"/>
      <c r="AJD2" s="80"/>
      <c r="AJE2" s="80"/>
      <c r="AJF2" s="80"/>
      <c r="AJG2" s="80"/>
      <c r="AJH2" s="80"/>
      <c r="AJI2" s="80"/>
      <c r="AJJ2" s="80"/>
      <c r="AJK2" s="80"/>
      <c r="AJL2" s="80"/>
      <c r="AJM2" s="80"/>
      <c r="AJN2" s="80"/>
      <c r="AJO2" s="80"/>
      <c r="AJP2" s="80"/>
      <c r="AJQ2" s="80"/>
      <c r="AJR2" s="80"/>
      <c r="AJS2" s="80"/>
      <c r="AJT2" s="80"/>
      <c r="AJU2" s="80"/>
      <c r="AJV2" s="80"/>
      <c r="AJW2" s="80"/>
      <c r="AJX2" s="80"/>
      <c r="AJY2" s="80"/>
      <c r="AJZ2" s="80"/>
      <c r="AKA2" s="80"/>
      <c r="AKB2" s="80"/>
      <c r="AKC2" s="80"/>
      <c r="AKD2" s="80"/>
      <c r="AKE2" s="80"/>
      <c r="AKF2" s="80"/>
      <c r="AKG2" s="80"/>
      <c r="AKH2" s="80"/>
      <c r="AKI2" s="80"/>
      <c r="AKJ2" s="80"/>
      <c r="AKK2" s="80"/>
      <c r="AKL2" s="80"/>
      <c r="AKM2" s="80"/>
      <c r="AKN2" s="80"/>
      <c r="AKO2" s="80"/>
      <c r="AKP2" s="80"/>
      <c r="AKQ2" s="80"/>
      <c r="AKR2" s="80"/>
      <c r="AKS2" s="80"/>
      <c r="AKT2" s="80"/>
      <c r="AKU2" s="80"/>
      <c r="AKV2" s="80"/>
      <c r="AKW2" s="80"/>
      <c r="AKX2" s="80"/>
      <c r="AKY2" s="80"/>
      <c r="AKZ2" s="80"/>
      <c r="ALA2" s="80"/>
      <c r="ALB2" s="80"/>
      <c r="ALC2" s="80"/>
      <c r="ALD2" s="80"/>
      <c r="ALE2" s="80"/>
      <c r="ALF2" s="80"/>
      <c r="ALG2" s="80"/>
      <c r="ALH2" s="80"/>
      <c r="ALI2" s="80"/>
      <c r="ALJ2" s="80"/>
      <c r="ALK2" s="80"/>
      <c r="ALL2" s="80"/>
      <c r="ALM2" s="80"/>
      <c r="ALN2" s="80"/>
      <c r="ALO2" s="80"/>
      <c r="ALP2" s="80"/>
      <c r="ALQ2" s="80"/>
      <c r="ALR2" s="80"/>
      <c r="ALS2" s="80"/>
      <c r="ALT2" s="80"/>
      <c r="ALU2" s="80"/>
      <c r="ALV2" s="80"/>
      <c r="ALW2" s="80"/>
      <c r="ALX2" s="80"/>
      <c r="ALY2" s="80"/>
      <c r="ALZ2" s="80"/>
      <c r="AMA2" s="80"/>
      <c r="AMB2" s="80"/>
      <c r="AMC2" s="80"/>
      <c r="AMD2" s="80"/>
      <c r="AME2" s="80"/>
      <c r="AMF2" s="80"/>
      <c r="AMG2" s="80"/>
      <c r="AMH2" s="80"/>
      <c r="AMI2" s="80"/>
      <c r="AMJ2" s="80"/>
      <c r="AMK2" s="80"/>
      <c r="AML2" s="80"/>
      <c r="AMM2" s="80"/>
      <c r="AMN2" s="80"/>
      <c r="AMO2" s="80"/>
      <c r="AMP2" s="80"/>
      <c r="AMQ2" s="80"/>
      <c r="AMR2" s="80"/>
      <c r="AMS2" s="80"/>
      <c r="AMT2" s="80"/>
      <c r="AMU2" s="80"/>
      <c r="AMV2" s="80"/>
      <c r="AMW2" s="80"/>
      <c r="AMX2" s="80"/>
      <c r="AMY2" s="80"/>
      <c r="AMZ2" s="80"/>
      <c r="ANA2" s="80"/>
      <c r="ANB2" s="80"/>
      <c r="ANC2" s="80"/>
      <c r="AND2" s="80"/>
      <c r="ANE2" s="80"/>
      <c r="ANF2" s="80"/>
      <c r="ANG2" s="80"/>
      <c r="ANH2" s="80"/>
      <c r="ANI2" s="80"/>
      <c r="ANJ2" s="80"/>
      <c r="ANK2" s="80"/>
      <c r="ANL2" s="80"/>
      <c r="ANM2" s="80"/>
      <c r="ANN2" s="80"/>
      <c r="ANO2" s="80"/>
      <c r="ANP2" s="80"/>
      <c r="ANQ2" s="80"/>
      <c r="ANR2" s="80"/>
      <c r="ANS2" s="80"/>
      <c r="ANT2" s="80"/>
      <c r="ANU2" s="80"/>
      <c r="ANV2" s="80"/>
      <c r="ANW2" s="80"/>
      <c r="ANX2" s="80"/>
      <c r="ANY2" s="80"/>
      <c r="ANZ2" s="80"/>
      <c r="AOA2" s="80"/>
      <c r="AOB2" s="80"/>
      <c r="AOC2" s="80"/>
      <c r="AOD2" s="80"/>
      <c r="AOE2" s="80"/>
      <c r="AOF2" s="80"/>
      <c r="AOG2" s="80"/>
      <c r="AOH2" s="80"/>
      <c r="AOI2" s="80"/>
      <c r="AOJ2" s="80"/>
      <c r="AOK2" s="80"/>
      <c r="AOL2" s="80"/>
      <c r="AOM2" s="80"/>
      <c r="AON2" s="80"/>
      <c r="AOO2" s="80"/>
      <c r="AOP2" s="80"/>
      <c r="AOQ2" s="80"/>
      <c r="AOR2" s="80"/>
      <c r="AOS2" s="80"/>
      <c r="AOT2" s="80"/>
      <c r="AOU2" s="80"/>
      <c r="AOV2" s="80"/>
      <c r="AOW2" s="80"/>
      <c r="AOX2" s="80"/>
      <c r="AOY2" s="80"/>
      <c r="AOZ2" s="80"/>
      <c r="APA2" s="80"/>
      <c r="APB2" s="80"/>
      <c r="APC2" s="80"/>
      <c r="APD2" s="80"/>
      <c r="APE2" s="80"/>
      <c r="APF2" s="80"/>
      <c r="APG2" s="80"/>
      <c r="API2" s="287" t="s">
        <v>39</v>
      </c>
      <c r="APK2" s="80" t="s">
        <v>424</v>
      </c>
      <c r="APL2" s="80"/>
      <c r="APM2" s="80"/>
      <c r="APO2" s="287" t="s">
        <v>39</v>
      </c>
      <c r="APQ2" s="80" t="s">
        <v>425</v>
      </c>
    </row>
    <row r="3" spans="1:1134">
      <c r="T3" s="287" t="s">
        <v>39</v>
      </c>
      <c r="AN3"/>
      <c r="AO3" s="264"/>
      <c r="AQ3">
        <f t="array" ref="AQ3">IF(AO10="no",0,INDEX('Indices Mines Exporting Ports'!$E$3:$E$10,MATCH(2,1/(('Indices Mines Exporting Ports'!$B$3:$B$10&lt;=Main!$C10)*('Indices Mines Exporting Ports'!$D$3:$D$10=Main!$AP10)))))</f>
        <v>0</v>
      </c>
      <c r="AU3"/>
      <c r="AW3" s="237"/>
      <c r="BH3"/>
      <c r="BI3" s="237"/>
      <c r="BK3" s="287" t="s">
        <v>39</v>
      </c>
      <c r="CT3" s="287" t="s">
        <v>39</v>
      </c>
      <c r="EC3" s="287" t="s">
        <v>39</v>
      </c>
      <c r="FL3" s="287" t="s">
        <v>39</v>
      </c>
      <c r="IB3" s="287" t="s">
        <v>39</v>
      </c>
      <c r="IT3" s="287" t="s">
        <v>39</v>
      </c>
      <c r="KO3" s="287" t="s">
        <v>39</v>
      </c>
      <c r="RJ3"/>
      <c r="RK3" s="282"/>
      <c r="SG3" s="99" t="s">
        <v>344</v>
      </c>
      <c r="ZY3" s="287" t="s">
        <v>39</v>
      </c>
      <c r="API3" s="287" t="s">
        <v>39</v>
      </c>
      <c r="APO3" s="287" t="s">
        <v>39</v>
      </c>
    </row>
    <row r="4" spans="1:1134">
      <c r="T4" s="287" t="s">
        <v>39</v>
      </c>
      <c r="AN4"/>
      <c r="AO4" s="264"/>
      <c r="AU4"/>
      <c r="AW4" s="237"/>
      <c r="BH4"/>
      <c r="BI4" s="237"/>
      <c r="BK4" s="287" t="s">
        <v>39</v>
      </c>
      <c r="CT4" s="287" t="s">
        <v>39</v>
      </c>
      <c r="EC4" s="287" t="s">
        <v>39</v>
      </c>
      <c r="FL4" s="287" t="s">
        <v>39</v>
      </c>
      <c r="IB4" s="287" t="s">
        <v>39</v>
      </c>
      <c r="ID4" s="135"/>
      <c r="IE4" s="135"/>
      <c r="IF4" s="135"/>
      <c r="IG4" s="135"/>
      <c r="IH4" s="135"/>
      <c r="II4" s="135"/>
      <c r="IJ4" s="135"/>
      <c r="IK4" s="135"/>
      <c r="IL4" s="135"/>
      <c r="IM4" s="135"/>
      <c r="IN4" s="135"/>
      <c r="IO4" s="135"/>
      <c r="IP4" s="135"/>
      <c r="IQ4" s="135"/>
      <c r="IR4" s="135"/>
      <c r="IT4" s="287" t="s">
        <v>39</v>
      </c>
      <c r="KO4" s="287" t="s">
        <v>39</v>
      </c>
      <c r="RJ4"/>
      <c r="RK4" s="282"/>
      <c r="ZY4" s="287" t="s">
        <v>39</v>
      </c>
      <c r="API4" s="287" t="s">
        <v>39</v>
      </c>
      <c r="APO4" s="287" t="s">
        <v>39</v>
      </c>
    </row>
    <row r="5" spans="1:1134" ht="32.25">
      <c r="C5" s="3" t="s">
        <v>195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87" t="s">
        <v>39</v>
      </c>
      <c r="V5" s="3" t="s">
        <v>40</v>
      </c>
      <c r="W5" s="3"/>
      <c r="X5" s="3"/>
      <c r="Y5" s="3"/>
      <c r="Z5" s="3"/>
      <c r="AA5" s="3"/>
      <c r="AB5" s="3"/>
      <c r="AC5" s="3"/>
      <c r="AE5" s="77" t="s">
        <v>188</v>
      </c>
      <c r="AF5" s="3"/>
      <c r="AG5" s="3"/>
      <c r="AH5" s="3"/>
      <c r="AI5" s="3"/>
      <c r="AJ5" s="3"/>
      <c r="AK5" s="3"/>
      <c r="AL5" s="3"/>
      <c r="AM5" s="3"/>
      <c r="AN5" s="3"/>
      <c r="AO5" s="265"/>
      <c r="AP5" s="3"/>
      <c r="AQ5" s="3"/>
      <c r="AR5" s="3"/>
      <c r="AS5" s="3"/>
      <c r="AT5" s="3"/>
      <c r="AU5" s="3"/>
      <c r="AV5" s="238"/>
      <c r="AW5" s="238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238"/>
      <c r="BK5" s="287" t="s">
        <v>39</v>
      </c>
      <c r="BM5" s="3" t="s">
        <v>360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T5" s="287" t="s">
        <v>39</v>
      </c>
      <c r="CV5" s="3" t="s">
        <v>361</v>
      </c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C5" s="287" t="s">
        <v>39</v>
      </c>
      <c r="EE5" s="3" t="s">
        <v>362</v>
      </c>
      <c r="EF5" s="3"/>
      <c r="EG5" s="3"/>
      <c r="EH5" s="3"/>
      <c r="EI5" s="3"/>
      <c r="EJ5" s="3"/>
      <c r="EK5" s="3"/>
      <c r="EL5" s="3"/>
      <c r="EM5" s="3"/>
      <c r="EN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L5" s="287" t="s">
        <v>39</v>
      </c>
      <c r="FN5" s="238" t="s">
        <v>406</v>
      </c>
      <c r="FO5" s="238"/>
      <c r="FP5" s="238"/>
      <c r="FQ5" s="238"/>
      <c r="FR5" s="238"/>
      <c r="FS5" s="238"/>
      <c r="FT5" s="238"/>
      <c r="FU5" s="238"/>
      <c r="FV5" s="238"/>
      <c r="FW5" s="238"/>
      <c r="FX5" s="238"/>
      <c r="FY5" s="238"/>
      <c r="FZ5" s="238"/>
      <c r="GA5" s="238"/>
      <c r="GB5" s="238"/>
      <c r="GC5" s="238"/>
      <c r="GD5" s="238"/>
      <c r="GE5" s="238"/>
      <c r="GF5" s="238"/>
      <c r="GG5" s="238"/>
      <c r="GH5" s="238"/>
      <c r="GI5" s="238"/>
      <c r="GJ5" s="238"/>
      <c r="GK5" s="238"/>
      <c r="GL5" s="238"/>
      <c r="GM5" s="238"/>
      <c r="GN5" s="238"/>
      <c r="GO5" s="238"/>
      <c r="GP5" s="238"/>
      <c r="GQ5" s="238"/>
      <c r="GR5" s="238"/>
      <c r="GS5" s="238"/>
      <c r="GT5" s="237"/>
      <c r="GU5" s="238" t="s">
        <v>404</v>
      </c>
      <c r="GV5" s="238"/>
      <c r="GW5" s="238"/>
      <c r="GX5" s="238"/>
      <c r="GY5" s="238"/>
      <c r="GZ5" s="238"/>
      <c r="HA5" s="238"/>
      <c r="HB5" s="238"/>
      <c r="HC5" s="238"/>
      <c r="HD5" s="238"/>
      <c r="HE5" s="237"/>
      <c r="HF5" s="238"/>
      <c r="HG5" s="238"/>
      <c r="HH5" s="238"/>
      <c r="HI5" s="238"/>
      <c r="HJ5" s="238"/>
      <c r="HK5" s="238"/>
      <c r="HL5" s="238"/>
      <c r="HM5" s="238"/>
      <c r="HN5" s="238"/>
      <c r="HO5" s="238"/>
      <c r="HP5" s="238"/>
      <c r="HQ5" s="238"/>
      <c r="HR5" s="238"/>
      <c r="HS5" s="238"/>
      <c r="HT5" s="238"/>
      <c r="HU5" s="238"/>
      <c r="HV5" s="238"/>
      <c r="HW5" s="238"/>
      <c r="HX5" s="238"/>
      <c r="HY5" s="238"/>
      <c r="HZ5" s="238"/>
      <c r="IB5" s="287" t="s">
        <v>39</v>
      </c>
      <c r="ID5" s="3" t="s">
        <v>182</v>
      </c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T5" s="287" t="s">
        <v>39</v>
      </c>
      <c r="IV5" s="3" t="s">
        <v>371</v>
      </c>
      <c r="IW5" s="3"/>
      <c r="IX5" s="3"/>
      <c r="IY5" s="3"/>
      <c r="JA5" s="3" t="s">
        <v>336</v>
      </c>
      <c r="JB5" s="3"/>
      <c r="JC5" s="3"/>
      <c r="JD5" s="3"/>
      <c r="JF5" s="3" t="s">
        <v>189</v>
      </c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O5" s="287" t="s">
        <v>39</v>
      </c>
      <c r="KQ5" s="3" t="s">
        <v>308</v>
      </c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 t="s">
        <v>328</v>
      </c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28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H5" s="285" t="s">
        <v>345</v>
      </c>
      <c r="SI5" s="285"/>
      <c r="SJ5" s="285"/>
      <c r="SK5" s="285"/>
      <c r="SL5" s="285"/>
      <c r="SM5" s="285"/>
      <c r="SN5" s="285"/>
      <c r="SO5" s="285"/>
      <c r="SP5" s="285"/>
      <c r="SQ5" s="285"/>
      <c r="SR5" s="285"/>
      <c r="SS5" s="285"/>
      <c r="ST5" s="285"/>
      <c r="SU5" s="285"/>
      <c r="SV5" s="285"/>
      <c r="SW5" s="285"/>
      <c r="SX5" s="285"/>
      <c r="SY5" s="285"/>
      <c r="SZ5" s="285"/>
      <c r="TA5" s="285"/>
      <c r="TB5" s="285"/>
      <c r="TC5" s="285"/>
      <c r="TD5" s="285"/>
      <c r="TE5" s="285"/>
      <c r="TF5" s="285"/>
      <c r="TG5" s="285"/>
      <c r="TH5" s="285"/>
      <c r="TI5" s="285"/>
      <c r="TJ5" s="285"/>
      <c r="TK5" s="285"/>
      <c r="TL5" s="285"/>
      <c r="TM5" s="285"/>
      <c r="TN5" s="285"/>
      <c r="TO5" s="285"/>
      <c r="TP5" s="285"/>
      <c r="TQ5" s="285"/>
      <c r="TR5" s="285"/>
      <c r="TS5" s="285"/>
      <c r="TT5" s="285"/>
      <c r="TU5" s="285"/>
      <c r="TV5" s="285"/>
      <c r="TW5" s="285"/>
      <c r="TX5" s="285"/>
      <c r="TY5" s="285"/>
      <c r="TZ5" s="285"/>
      <c r="UA5" s="285"/>
      <c r="UB5" s="285"/>
      <c r="UC5" s="285"/>
      <c r="UD5" s="285"/>
      <c r="UE5" s="285"/>
      <c r="UF5" s="285"/>
      <c r="UG5" s="285"/>
      <c r="UH5" s="285"/>
      <c r="UI5" s="285"/>
      <c r="UJ5" s="285"/>
      <c r="UK5" s="285"/>
      <c r="UL5" s="285"/>
      <c r="UM5" s="285"/>
      <c r="UN5" s="285"/>
      <c r="UO5" s="285"/>
      <c r="UP5" s="285"/>
      <c r="UQ5" s="285"/>
      <c r="UR5" s="285"/>
      <c r="US5" s="285"/>
      <c r="UT5" s="285"/>
      <c r="UU5" s="285" t="s">
        <v>328</v>
      </c>
      <c r="UV5" s="285"/>
      <c r="UW5" s="285"/>
      <c r="UX5" s="285"/>
      <c r="UY5" s="285"/>
      <c r="UZ5" s="285"/>
      <c r="VA5" s="285"/>
      <c r="VB5" s="285"/>
      <c r="VC5" s="285"/>
      <c r="VD5" s="285"/>
      <c r="VE5" s="285"/>
      <c r="VF5" s="285"/>
      <c r="VG5" s="285"/>
      <c r="VH5" s="285"/>
      <c r="VI5" s="285"/>
      <c r="VJ5" s="285"/>
      <c r="VK5" s="285"/>
      <c r="VL5" s="285"/>
      <c r="VM5" s="285"/>
      <c r="VN5" s="285"/>
      <c r="VO5" s="285"/>
      <c r="VP5" s="285"/>
      <c r="VQ5" s="285"/>
      <c r="VR5" s="285"/>
      <c r="VS5" s="285"/>
      <c r="VT5" s="285"/>
      <c r="VU5" s="285"/>
      <c r="VV5" s="285"/>
      <c r="VW5" s="285"/>
      <c r="VX5" s="285"/>
      <c r="VY5" s="285"/>
      <c r="VZ5" s="285"/>
      <c r="WA5" s="285"/>
      <c r="WB5" s="285"/>
      <c r="WC5" s="285"/>
      <c r="WD5" s="285"/>
      <c r="WE5" s="285"/>
      <c r="WF5" s="285"/>
      <c r="WG5" s="285"/>
      <c r="WH5" s="285"/>
      <c r="WI5" s="285"/>
      <c r="WJ5" s="285"/>
      <c r="WK5" s="285"/>
      <c r="WL5" s="285"/>
      <c r="WM5" s="285"/>
      <c r="WN5" s="285"/>
      <c r="WO5" s="285"/>
      <c r="WP5" s="285"/>
      <c r="WQ5" s="285"/>
      <c r="WR5" s="285"/>
      <c r="WS5" s="285"/>
      <c r="WT5" s="285"/>
      <c r="WU5" s="285"/>
      <c r="WV5" s="285"/>
      <c r="WW5" s="285"/>
      <c r="WX5" s="285"/>
      <c r="WY5" s="285"/>
      <c r="WZ5" s="285"/>
      <c r="XA5" s="285"/>
      <c r="XB5" s="285"/>
      <c r="XC5" s="285"/>
      <c r="XD5" s="285"/>
      <c r="XE5" s="285"/>
      <c r="XF5" s="285"/>
      <c r="XG5" s="285"/>
      <c r="XH5" s="285"/>
      <c r="XI5" s="285"/>
      <c r="XJ5" s="285"/>
      <c r="XK5" s="285"/>
      <c r="XL5" s="285"/>
      <c r="XM5" s="285"/>
      <c r="XN5" s="285"/>
      <c r="XO5" s="285"/>
      <c r="XP5" s="285"/>
      <c r="XQ5" s="285"/>
      <c r="XR5" s="285"/>
      <c r="XS5" s="285"/>
      <c r="XT5" s="285"/>
      <c r="XU5" s="285"/>
      <c r="XV5" s="285"/>
      <c r="XW5" s="285"/>
      <c r="XX5" s="285"/>
      <c r="XY5" s="285"/>
      <c r="XZ5" s="285"/>
      <c r="YA5" s="285"/>
      <c r="YB5" s="285"/>
      <c r="YC5" s="285"/>
      <c r="YD5" s="285"/>
      <c r="YE5" s="285"/>
      <c r="YF5" s="285"/>
      <c r="YG5" s="285"/>
      <c r="YH5" s="285"/>
      <c r="YI5" s="285"/>
      <c r="YJ5" s="285"/>
      <c r="YK5" s="285"/>
      <c r="YL5" s="285"/>
      <c r="YM5" s="285"/>
      <c r="YN5" s="285"/>
      <c r="YO5" s="285"/>
      <c r="YP5" s="285"/>
      <c r="YQ5" s="285"/>
      <c r="YR5" s="285"/>
      <c r="YS5" s="285"/>
      <c r="YT5" s="285"/>
      <c r="YU5" s="285"/>
      <c r="YV5" s="285"/>
      <c r="YW5" s="285"/>
      <c r="YX5" s="285"/>
      <c r="YY5" s="285"/>
      <c r="YZ5" s="285"/>
      <c r="ZA5" s="285"/>
      <c r="ZB5" s="286"/>
      <c r="ZC5" s="285"/>
      <c r="ZD5" s="285"/>
      <c r="ZE5" s="285"/>
      <c r="ZF5" s="285"/>
      <c r="ZG5" s="285"/>
      <c r="ZH5" s="285"/>
      <c r="ZI5" s="285"/>
      <c r="ZJ5" s="285"/>
      <c r="ZK5" s="285"/>
      <c r="ZL5" s="285"/>
      <c r="ZM5" s="285"/>
      <c r="ZN5" s="285"/>
      <c r="ZO5" s="285"/>
      <c r="ZP5" s="285"/>
      <c r="ZQ5" s="285"/>
      <c r="ZR5" s="285"/>
      <c r="ZS5" s="285"/>
      <c r="ZT5" s="285"/>
      <c r="ZU5" s="285"/>
      <c r="ZV5" s="285"/>
      <c r="ZW5" s="285"/>
      <c r="ZY5" s="287" t="s">
        <v>39</v>
      </c>
      <c r="AAA5" s="3" t="s">
        <v>349</v>
      </c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 t="s">
        <v>328</v>
      </c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28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R5" s="285" t="s">
        <v>350</v>
      </c>
      <c r="AHS5" s="285"/>
      <c r="AHT5" s="285"/>
      <c r="AHU5" s="285"/>
      <c r="AHV5" s="285"/>
      <c r="AHW5" s="285"/>
      <c r="AHX5" s="285"/>
      <c r="AHY5" s="285"/>
      <c r="AHZ5" s="285"/>
      <c r="AIA5" s="285"/>
      <c r="AIB5" s="285"/>
      <c r="AIC5" s="285"/>
      <c r="AID5" s="285"/>
      <c r="AIE5" s="285"/>
      <c r="AIF5" s="285"/>
      <c r="AIG5" s="285"/>
      <c r="AIH5" s="285"/>
      <c r="AII5" s="285"/>
      <c r="AIJ5" s="285"/>
      <c r="AIK5" s="285"/>
      <c r="AIL5" s="285"/>
      <c r="AIM5" s="285"/>
      <c r="AIN5" s="285"/>
      <c r="AIO5" s="285"/>
      <c r="AIP5" s="285"/>
      <c r="AIQ5" s="285"/>
      <c r="AIR5" s="285"/>
      <c r="AIS5" s="285"/>
      <c r="AIT5" s="285"/>
      <c r="AIU5" s="285"/>
      <c r="AIV5" s="285"/>
      <c r="AIW5" s="285"/>
      <c r="AIX5" s="285"/>
      <c r="AIY5" s="285"/>
      <c r="AIZ5" s="285"/>
      <c r="AJA5" s="285"/>
      <c r="AJB5" s="285"/>
      <c r="AJC5" s="285"/>
      <c r="AJD5" s="285"/>
      <c r="AJE5" s="285"/>
      <c r="AJF5" s="285"/>
      <c r="AJG5" s="285"/>
      <c r="AJH5" s="285"/>
      <c r="AJI5" s="285"/>
      <c r="AJJ5" s="285"/>
      <c r="AJK5" s="285"/>
      <c r="AJL5" s="285"/>
      <c r="AJM5" s="285"/>
      <c r="AJN5" s="285"/>
      <c r="AJO5" s="285"/>
      <c r="AJP5" s="285"/>
      <c r="AJQ5" s="285"/>
      <c r="AJR5" s="285"/>
      <c r="AJS5" s="285"/>
      <c r="AJT5" s="285"/>
      <c r="AJU5" s="285"/>
      <c r="AJV5" s="285"/>
      <c r="AJW5" s="285"/>
      <c r="AJX5" s="285"/>
      <c r="AJY5" s="285"/>
      <c r="AJZ5" s="285"/>
      <c r="AKA5" s="285"/>
      <c r="AKB5" s="285"/>
      <c r="AKC5" s="285"/>
      <c r="AKD5" s="285"/>
      <c r="AKE5" s="285" t="s">
        <v>328</v>
      </c>
      <c r="AKF5" s="285"/>
      <c r="AKG5" s="285"/>
      <c r="AKH5" s="285"/>
      <c r="AKI5" s="285"/>
      <c r="AKJ5" s="285"/>
      <c r="AKK5" s="285"/>
      <c r="AKL5" s="285"/>
      <c r="AKM5" s="285"/>
      <c r="AKN5" s="285"/>
      <c r="AKO5" s="285"/>
      <c r="AKP5" s="285"/>
      <c r="AKQ5" s="285"/>
      <c r="AKR5" s="285"/>
      <c r="AKS5" s="285"/>
      <c r="AKT5" s="285"/>
      <c r="AKU5" s="285"/>
      <c r="AKV5" s="285"/>
      <c r="AKW5" s="285"/>
      <c r="AKX5" s="285"/>
      <c r="AKY5" s="285"/>
      <c r="AKZ5" s="285"/>
      <c r="ALA5" s="285"/>
      <c r="ALB5" s="285"/>
      <c r="ALC5" s="285"/>
      <c r="ALD5" s="285"/>
      <c r="ALE5" s="285"/>
      <c r="ALF5" s="285"/>
      <c r="ALG5" s="285"/>
      <c r="ALH5" s="285"/>
      <c r="ALI5" s="285"/>
      <c r="ALJ5" s="285"/>
      <c r="ALK5" s="285"/>
      <c r="ALL5" s="285"/>
      <c r="ALM5" s="285"/>
      <c r="ALN5" s="285"/>
      <c r="ALO5" s="285"/>
      <c r="ALP5" s="285"/>
      <c r="ALQ5" s="285"/>
      <c r="ALR5" s="285"/>
      <c r="ALS5" s="285"/>
      <c r="ALT5" s="285"/>
      <c r="ALU5" s="285"/>
      <c r="ALV5" s="285"/>
      <c r="ALW5" s="285"/>
      <c r="ALX5" s="285"/>
      <c r="ALY5" s="285"/>
      <c r="ALZ5" s="285"/>
      <c r="AMA5" s="285"/>
      <c r="AMB5" s="285"/>
      <c r="AMC5" s="285"/>
      <c r="AMD5" s="285"/>
      <c r="AME5" s="285"/>
      <c r="AMF5" s="285"/>
      <c r="AMG5" s="285"/>
      <c r="AMH5" s="285"/>
      <c r="AMI5" s="285"/>
      <c r="AMJ5" s="285"/>
      <c r="AMK5" s="285"/>
      <c r="AML5" s="285"/>
      <c r="AMM5" s="285"/>
      <c r="AMN5" s="285"/>
      <c r="AMO5" s="285"/>
      <c r="AMP5" s="285"/>
      <c r="AMQ5" s="285"/>
      <c r="AMR5" s="285"/>
      <c r="AMS5" s="285"/>
      <c r="AMT5" s="285"/>
      <c r="AMU5" s="285"/>
      <c r="AMV5" s="285"/>
      <c r="AMW5" s="285"/>
      <c r="AMX5" s="285"/>
      <c r="AMY5" s="285"/>
      <c r="AMZ5" s="285"/>
      <c r="ANA5" s="285"/>
      <c r="ANB5" s="285"/>
      <c r="ANC5" s="285"/>
      <c r="AND5" s="285"/>
      <c r="ANE5" s="285"/>
      <c r="ANF5" s="285"/>
      <c r="ANG5" s="285"/>
      <c r="ANH5" s="285"/>
      <c r="ANI5" s="285"/>
      <c r="ANJ5" s="285"/>
      <c r="ANK5" s="285"/>
      <c r="ANL5" s="285"/>
      <c r="ANM5" s="285"/>
      <c r="ANN5" s="285"/>
      <c r="ANO5" s="285"/>
      <c r="ANP5" s="285"/>
      <c r="ANQ5" s="285"/>
      <c r="ANR5" s="285"/>
      <c r="ANS5" s="285"/>
      <c r="ANT5" s="285"/>
      <c r="ANU5" s="285"/>
      <c r="ANV5" s="285"/>
      <c r="ANW5" s="285"/>
      <c r="ANX5" s="285"/>
      <c r="ANY5" s="285"/>
      <c r="ANZ5" s="285"/>
      <c r="AOA5" s="285"/>
      <c r="AOB5" s="285"/>
      <c r="AOC5" s="285"/>
      <c r="AOD5" s="285"/>
      <c r="AOE5" s="285"/>
      <c r="AOF5" s="285"/>
      <c r="AOG5" s="285"/>
      <c r="AOH5" s="285"/>
      <c r="AOI5" s="285"/>
      <c r="AOJ5" s="285"/>
      <c r="AOK5" s="285"/>
      <c r="AOL5" s="286"/>
      <c r="AOM5" s="285"/>
      <c r="AON5" s="285"/>
      <c r="AOO5" s="285"/>
      <c r="AOP5" s="285"/>
      <c r="AOQ5" s="285"/>
      <c r="AOR5" s="285"/>
      <c r="AOS5" s="285"/>
      <c r="AOT5" s="285"/>
      <c r="AOU5" s="285"/>
      <c r="AOV5" s="285"/>
      <c r="AOW5" s="285"/>
      <c r="AOX5" s="285"/>
      <c r="AOY5" s="285"/>
      <c r="AOZ5" s="285"/>
      <c r="APA5" s="285"/>
      <c r="APB5" s="285"/>
      <c r="APC5" s="285"/>
      <c r="APD5" s="285"/>
      <c r="APE5" s="285"/>
      <c r="APF5" s="285"/>
      <c r="APG5" s="285"/>
      <c r="API5" s="287" t="s">
        <v>39</v>
      </c>
      <c r="APK5" s="288" t="s">
        <v>346</v>
      </c>
      <c r="APL5" s="288" t="s">
        <v>351</v>
      </c>
      <c r="APM5" s="288" t="s">
        <v>353</v>
      </c>
      <c r="APO5" s="287" t="s">
        <v>39</v>
      </c>
    </row>
    <row r="6" spans="1:1134" ht="16.5" thickBot="1">
      <c r="T6" s="287" t="s">
        <v>39</v>
      </c>
      <c r="AN6"/>
      <c r="AO6" s="264"/>
      <c r="AU6"/>
      <c r="AW6" s="237"/>
      <c r="BH6"/>
      <c r="BI6" s="237"/>
      <c r="BK6" s="287" t="s">
        <v>39</v>
      </c>
      <c r="BM6" s="129" t="s">
        <v>384</v>
      </c>
      <c r="BN6" s="129"/>
      <c r="BO6" s="129"/>
      <c r="BP6" s="129"/>
      <c r="BQ6" s="129"/>
      <c r="BR6" s="129"/>
      <c r="BS6" s="129"/>
      <c r="BT6" s="129"/>
      <c r="BU6" s="129"/>
      <c r="BV6" s="129"/>
      <c r="BX6" s="129" t="s">
        <v>373</v>
      </c>
      <c r="BY6" s="129"/>
      <c r="BZ6" s="129"/>
      <c r="CA6" s="129"/>
      <c r="CB6" s="129"/>
      <c r="CC6" s="129"/>
      <c r="CD6" s="129"/>
      <c r="CE6" s="129"/>
      <c r="CG6" s="129" t="s">
        <v>390</v>
      </c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T6" s="287" t="s">
        <v>39</v>
      </c>
      <c r="CV6" s="129" t="s">
        <v>394</v>
      </c>
      <c r="CW6" s="129"/>
      <c r="CX6" s="129"/>
      <c r="CY6" s="129"/>
      <c r="CZ6" s="129"/>
      <c r="DA6" s="129"/>
      <c r="DB6" s="129"/>
      <c r="DC6" s="129"/>
      <c r="DD6" s="129"/>
      <c r="DE6" s="129"/>
      <c r="DG6" s="129" t="s">
        <v>373</v>
      </c>
      <c r="DH6" s="129"/>
      <c r="DI6" s="129"/>
      <c r="DJ6" s="129"/>
      <c r="DK6" s="129"/>
      <c r="DL6" s="129"/>
      <c r="DM6" s="129"/>
      <c r="DN6" s="129"/>
      <c r="DP6" s="129" t="s">
        <v>390</v>
      </c>
      <c r="DQ6" s="129"/>
      <c r="DR6" s="129"/>
      <c r="DS6" s="129"/>
      <c r="DT6" s="129"/>
      <c r="DU6" s="129"/>
      <c r="DV6" s="129"/>
      <c r="DW6" s="129"/>
      <c r="DX6" s="129"/>
      <c r="DY6" s="129"/>
      <c r="DZ6" s="129"/>
      <c r="EA6" s="129"/>
      <c r="EC6" s="287" t="s">
        <v>39</v>
      </c>
      <c r="EE6" s="129" t="s">
        <v>394</v>
      </c>
      <c r="EF6" s="129"/>
      <c r="EG6" s="129"/>
      <c r="EH6" s="129"/>
      <c r="EI6" s="129"/>
      <c r="EJ6" s="129"/>
      <c r="EK6" s="129"/>
      <c r="EL6" s="129"/>
      <c r="EM6" s="129"/>
      <c r="EN6" s="129"/>
      <c r="EP6" s="129" t="s">
        <v>373</v>
      </c>
      <c r="EQ6" s="129"/>
      <c r="ER6" s="129"/>
      <c r="ES6" s="129"/>
      <c r="ET6" s="129"/>
      <c r="EU6" s="129"/>
      <c r="EV6" s="129"/>
      <c r="EW6" s="129"/>
      <c r="EY6" s="129" t="s">
        <v>390</v>
      </c>
      <c r="EZ6" s="129"/>
      <c r="FA6" s="129"/>
      <c r="FB6" s="129"/>
      <c r="FC6" s="129"/>
      <c r="FD6" s="129"/>
      <c r="FE6" s="129"/>
      <c r="FF6" s="129"/>
      <c r="FG6" s="129"/>
      <c r="FH6" s="129"/>
      <c r="FI6" s="129"/>
      <c r="FJ6" s="129"/>
      <c r="FL6" s="287" t="s">
        <v>39</v>
      </c>
      <c r="FN6" s="311" t="s">
        <v>384</v>
      </c>
      <c r="FO6" s="311"/>
      <c r="FP6" s="311"/>
      <c r="FQ6" s="311"/>
      <c r="FR6" s="311"/>
      <c r="FS6" s="311"/>
      <c r="FT6" s="311"/>
      <c r="FU6" s="311"/>
      <c r="FV6" s="311"/>
      <c r="FW6" s="311"/>
      <c r="FX6" s="237"/>
      <c r="FY6" s="311" t="s">
        <v>373</v>
      </c>
      <c r="FZ6" s="311"/>
      <c r="GA6" s="311"/>
      <c r="GB6" s="311"/>
      <c r="GC6" s="311"/>
      <c r="GD6" s="311"/>
      <c r="GE6" s="311"/>
      <c r="GF6" s="311"/>
      <c r="GG6" s="237"/>
      <c r="GH6" s="311" t="s">
        <v>390</v>
      </c>
      <c r="GI6" s="311"/>
      <c r="GJ6" s="311"/>
      <c r="GK6" s="311"/>
      <c r="GL6" s="311"/>
      <c r="GM6" s="311"/>
      <c r="GN6" s="311"/>
      <c r="GO6" s="311"/>
      <c r="GP6" s="311"/>
      <c r="GQ6" s="311"/>
      <c r="GR6" s="311"/>
      <c r="GS6" s="311"/>
      <c r="GT6" s="237"/>
      <c r="GU6" s="311" t="s">
        <v>394</v>
      </c>
      <c r="GV6" s="311"/>
      <c r="GW6" s="311"/>
      <c r="GX6" s="311"/>
      <c r="GY6" s="311"/>
      <c r="GZ6" s="311"/>
      <c r="HA6" s="311"/>
      <c r="HB6" s="311"/>
      <c r="HC6" s="311"/>
      <c r="HD6" s="311"/>
      <c r="HE6" s="237"/>
      <c r="HF6" s="311" t="s">
        <v>373</v>
      </c>
      <c r="HG6" s="311"/>
      <c r="HH6" s="311"/>
      <c r="HI6" s="311"/>
      <c r="HJ6" s="311"/>
      <c r="HK6" s="311"/>
      <c r="HL6" s="311"/>
      <c r="HM6" s="311"/>
      <c r="HN6" s="237"/>
      <c r="HO6" s="311" t="s">
        <v>390</v>
      </c>
      <c r="HP6" s="311"/>
      <c r="HQ6" s="311"/>
      <c r="HR6" s="311"/>
      <c r="HS6" s="311"/>
      <c r="HT6" s="311"/>
      <c r="HU6" s="311"/>
      <c r="HV6" s="311"/>
      <c r="HW6" s="311"/>
      <c r="HX6" s="311"/>
      <c r="HY6" s="311"/>
      <c r="HZ6" s="311"/>
      <c r="IB6" s="287" t="s">
        <v>39</v>
      </c>
      <c r="IT6" s="287" t="s">
        <v>39</v>
      </c>
      <c r="KO6" s="287" t="s">
        <v>39</v>
      </c>
      <c r="KX6" s="80" t="s">
        <v>237</v>
      </c>
      <c r="KY6" s="80"/>
      <c r="KZ6" s="80"/>
      <c r="LA6" s="80"/>
      <c r="LB6" s="80"/>
      <c r="LC6" s="80"/>
      <c r="LD6" s="80"/>
      <c r="LF6" s="80" t="s">
        <v>201</v>
      </c>
      <c r="LG6" s="80"/>
      <c r="LH6" s="80"/>
      <c r="LI6" s="80"/>
      <c r="LJ6" s="80"/>
      <c r="LK6" s="80"/>
      <c r="LL6" s="129"/>
      <c r="LM6" s="129"/>
      <c r="LN6" s="129"/>
      <c r="LO6" s="129"/>
      <c r="LP6" s="129"/>
      <c r="LQ6" s="129"/>
      <c r="LR6" s="129"/>
      <c r="LS6" s="129"/>
      <c r="LT6" s="129"/>
      <c r="LU6" s="129"/>
      <c r="LV6" s="129"/>
      <c r="LW6" s="129"/>
      <c r="LX6" s="129"/>
      <c r="LY6" s="129"/>
      <c r="LZ6" s="129"/>
      <c r="MA6" s="129"/>
      <c r="MB6" s="129"/>
      <c r="MC6" s="129"/>
      <c r="MD6" s="129"/>
      <c r="ME6" s="129"/>
      <c r="MF6" s="129"/>
      <c r="MG6" s="129"/>
      <c r="MH6" s="129"/>
      <c r="MI6" s="129"/>
      <c r="MJ6" s="129"/>
      <c r="MK6" s="129"/>
      <c r="ML6" s="129"/>
      <c r="MM6" s="129"/>
      <c r="MN6" s="129"/>
      <c r="MO6" s="129"/>
      <c r="MP6" s="129"/>
      <c r="MQ6" s="129"/>
      <c r="MR6" s="129"/>
      <c r="MS6" s="129"/>
      <c r="MT6" s="129"/>
      <c r="MU6" s="129"/>
      <c r="MV6" s="129"/>
      <c r="MW6" s="129"/>
      <c r="MX6" s="129"/>
      <c r="MY6" s="129"/>
      <c r="MZ6" s="129"/>
      <c r="NA6" s="129"/>
      <c r="NB6" s="129"/>
      <c r="ND6" s="129"/>
      <c r="NE6" s="129"/>
      <c r="NF6" s="129"/>
      <c r="NG6" s="129"/>
      <c r="NH6" s="129"/>
      <c r="NJ6" s="80" t="s">
        <v>207</v>
      </c>
      <c r="NK6" s="80"/>
      <c r="NL6" s="129"/>
      <c r="NM6" s="129"/>
      <c r="NN6" s="129"/>
      <c r="NO6" s="129"/>
      <c r="NP6" s="129"/>
      <c r="NQ6" s="129"/>
      <c r="NR6" s="129"/>
      <c r="NS6" s="129"/>
      <c r="NT6" s="129"/>
      <c r="NU6" s="129"/>
      <c r="NV6" s="129"/>
      <c r="NW6" s="129"/>
      <c r="NX6" s="129"/>
      <c r="NY6" s="129"/>
      <c r="NZ6" s="129"/>
      <c r="OA6" s="129"/>
      <c r="OB6" s="129"/>
      <c r="OC6" s="129"/>
      <c r="OD6" s="129"/>
      <c r="OE6" s="129"/>
      <c r="OF6" s="129"/>
      <c r="OH6" s="80" t="s">
        <v>217</v>
      </c>
      <c r="OI6" s="80"/>
      <c r="OJ6" s="80"/>
      <c r="OK6" s="80"/>
      <c r="OL6" s="80"/>
      <c r="OM6" s="80"/>
      <c r="ON6" s="80"/>
      <c r="OO6" s="80"/>
      <c r="OP6" s="80"/>
      <c r="OQ6" s="80"/>
      <c r="OR6" s="80"/>
      <c r="OS6" s="80"/>
      <c r="OT6" s="80"/>
      <c r="OU6" s="80"/>
      <c r="OV6" s="80"/>
      <c r="OW6" s="80"/>
      <c r="OX6" s="80"/>
      <c r="OY6" s="80"/>
      <c r="OZ6" s="80"/>
      <c r="PA6" s="80"/>
      <c r="PB6" s="80"/>
      <c r="PC6" s="80"/>
      <c r="PD6" s="80"/>
      <c r="PE6" s="80"/>
      <c r="PF6" s="80"/>
      <c r="PG6" s="80"/>
      <c r="PH6" s="80"/>
      <c r="PI6" s="80"/>
      <c r="PJ6" s="80"/>
      <c r="PK6" s="80"/>
      <c r="PL6" s="80"/>
      <c r="PM6" s="80"/>
      <c r="PN6" s="80"/>
      <c r="PO6" s="80"/>
      <c r="PP6" s="80"/>
      <c r="PQ6" s="80"/>
      <c r="PR6" s="80"/>
      <c r="PS6" s="80"/>
      <c r="PT6" s="80"/>
      <c r="PU6" s="80"/>
      <c r="PV6" s="80"/>
      <c r="PW6" s="80"/>
      <c r="PY6" s="80" t="s">
        <v>340</v>
      </c>
      <c r="PZ6" s="80"/>
      <c r="QA6" s="80"/>
      <c r="QB6" s="80"/>
      <c r="QC6" s="80"/>
      <c r="QD6" s="80"/>
      <c r="QE6" s="80"/>
      <c r="QF6" s="80"/>
      <c r="QG6" s="80"/>
      <c r="QH6" s="80"/>
      <c r="QI6" s="80"/>
      <c r="QJ6" s="80"/>
      <c r="QK6" s="80"/>
      <c r="QL6" s="80"/>
      <c r="QM6" s="80"/>
      <c r="QN6" s="80"/>
      <c r="QO6" s="80"/>
      <c r="QP6" s="80"/>
      <c r="QQ6" s="80"/>
      <c r="QR6" s="80"/>
      <c r="QT6" s="80" t="s">
        <v>343</v>
      </c>
      <c r="QU6" s="80"/>
      <c r="QV6" s="80"/>
      <c r="QW6" s="80"/>
      <c r="QX6" s="80"/>
      <c r="QY6" s="80"/>
      <c r="QZ6" s="80"/>
      <c r="RA6" s="80"/>
      <c r="RB6" s="80"/>
      <c r="RC6" s="80"/>
      <c r="RD6" s="80"/>
      <c r="RE6" s="80"/>
      <c r="RF6" s="80"/>
      <c r="RG6" s="80"/>
      <c r="RH6" s="80"/>
      <c r="RI6" s="80"/>
      <c r="RJ6" s="80"/>
      <c r="RK6" s="80"/>
      <c r="RL6" s="80"/>
      <c r="RM6" s="80"/>
      <c r="RN6" s="80"/>
      <c r="RO6" s="80"/>
      <c r="RP6" s="80"/>
      <c r="RQ6" s="80"/>
      <c r="RR6" s="80"/>
      <c r="RS6" s="80"/>
      <c r="RT6" s="80"/>
      <c r="RU6" s="80"/>
      <c r="RV6" s="80"/>
      <c r="RW6" s="80"/>
      <c r="RX6" s="80"/>
      <c r="RY6" s="80"/>
      <c r="RZ6" s="80"/>
      <c r="SA6" s="80"/>
      <c r="SB6" s="80"/>
      <c r="SC6" s="80"/>
      <c r="SD6" s="80"/>
      <c r="SE6" s="80"/>
      <c r="SF6" s="80"/>
      <c r="SO6" s="80" t="s">
        <v>237</v>
      </c>
      <c r="SP6" s="80"/>
      <c r="SQ6" s="80"/>
      <c r="SR6" s="80"/>
      <c r="SS6" s="80"/>
      <c r="ST6" s="80"/>
      <c r="SU6" s="80"/>
      <c r="SW6" s="80" t="s">
        <v>201</v>
      </c>
      <c r="SX6" s="80"/>
      <c r="SY6" s="80"/>
      <c r="SZ6" s="80"/>
      <c r="TA6" s="80"/>
      <c r="TB6" s="80"/>
      <c r="TC6" s="129"/>
      <c r="TD6" s="129"/>
      <c r="TE6" s="129"/>
      <c r="TF6" s="129"/>
      <c r="TG6" s="129"/>
      <c r="TH6" s="129"/>
      <c r="TI6" s="129"/>
      <c r="TJ6" s="129"/>
      <c r="TK6" s="129"/>
      <c r="TL6" s="129"/>
      <c r="TM6" s="129"/>
      <c r="TN6" s="129"/>
      <c r="TO6" s="129"/>
      <c r="TP6" s="129"/>
      <c r="TQ6" s="129"/>
      <c r="TR6" s="129"/>
      <c r="TS6" s="129"/>
      <c r="TT6" s="129"/>
      <c r="TU6" s="129"/>
      <c r="TV6" s="129"/>
      <c r="TW6" s="129"/>
      <c r="TX6" s="129"/>
      <c r="TY6" s="129"/>
      <c r="TZ6" s="129"/>
      <c r="UA6" s="129"/>
      <c r="UB6" s="129"/>
      <c r="UC6" s="129"/>
      <c r="UD6" s="129"/>
      <c r="UE6" s="129"/>
      <c r="UF6" s="129"/>
      <c r="UG6" s="129"/>
      <c r="UH6" s="129"/>
      <c r="UI6" s="129"/>
      <c r="UJ6" s="129"/>
      <c r="UK6" s="129"/>
      <c r="UL6" s="129"/>
      <c r="UM6" s="129"/>
      <c r="UN6" s="129"/>
      <c r="UO6" s="129"/>
      <c r="UP6" s="129"/>
      <c r="UQ6" s="129"/>
      <c r="UR6" s="129"/>
      <c r="US6" s="129"/>
      <c r="UU6" s="129"/>
      <c r="UV6" s="129"/>
      <c r="UW6" s="129"/>
      <c r="UX6" s="129"/>
      <c r="UY6" s="129"/>
      <c r="VA6" s="80" t="s">
        <v>207</v>
      </c>
      <c r="VB6" s="80"/>
      <c r="VC6" s="129"/>
      <c r="VD6" s="129"/>
      <c r="VE6" s="129"/>
      <c r="VF6" s="129"/>
      <c r="VG6" s="129"/>
      <c r="VH6" s="129"/>
      <c r="VI6" s="129"/>
      <c r="VJ6" s="129"/>
      <c r="VK6" s="129"/>
      <c r="VL6" s="129"/>
      <c r="VM6" s="129"/>
      <c r="VN6" s="129"/>
      <c r="VO6" s="129"/>
      <c r="VP6" s="129"/>
      <c r="VQ6" s="129"/>
      <c r="VR6" s="129"/>
      <c r="VS6" s="129"/>
      <c r="VT6" s="129"/>
      <c r="VU6" s="129"/>
      <c r="VV6" s="129"/>
      <c r="VW6" s="129"/>
      <c r="VY6" s="80" t="s">
        <v>217</v>
      </c>
      <c r="VZ6" s="80"/>
      <c r="WA6" s="80"/>
      <c r="WB6" s="80"/>
      <c r="WC6" s="80"/>
      <c r="WD6" s="80"/>
      <c r="WE6" s="80"/>
      <c r="WF6" s="80"/>
      <c r="WG6" s="80"/>
      <c r="WH6" s="80"/>
      <c r="WI6" s="80"/>
      <c r="WJ6" s="80"/>
      <c r="WK6" s="80"/>
      <c r="WL6" s="80"/>
      <c r="WM6" s="80"/>
      <c r="WN6" s="80"/>
      <c r="WO6" s="80"/>
      <c r="WP6" s="80"/>
      <c r="WQ6" s="80"/>
      <c r="WR6" s="80"/>
      <c r="WS6" s="80"/>
      <c r="WT6" s="80"/>
      <c r="WU6" s="80"/>
      <c r="WV6" s="80"/>
      <c r="WW6" s="80"/>
      <c r="WX6" s="80"/>
      <c r="WY6" s="80"/>
      <c r="WZ6" s="80"/>
      <c r="XA6" s="80"/>
      <c r="XB6" s="80"/>
      <c r="XC6" s="80"/>
      <c r="XD6" s="80"/>
      <c r="XE6" s="80"/>
      <c r="XF6" s="80"/>
      <c r="XG6" s="80"/>
      <c r="XH6" s="80"/>
      <c r="XI6" s="80"/>
      <c r="XJ6" s="80"/>
      <c r="XK6" s="80"/>
      <c r="XL6" s="80"/>
      <c r="XM6" s="80"/>
      <c r="XN6" s="80"/>
      <c r="XP6" s="80" t="s">
        <v>340</v>
      </c>
      <c r="XQ6" s="80"/>
      <c r="XR6" s="80"/>
      <c r="XS6" s="80"/>
      <c r="XT6" s="80"/>
      <c r="XU6" s="80"/>
      <c r="XV6" s="80"/>
      <c r="XW6" s="80"/>
      <c r="XX6" s="80"/>
      <c r="XY6" s="80"/>
      <c r="XZ6" s="80"/>
      <c r="YA6" s="80"/>
      <c r="YB6" s="80"/>
      <c r="YC6" s="80"/>
      <c r="YD6" s="80"/>
      <c r="YE6" s="80"/>
      <c r="YF6" s="80"/>
      <c r="YG6" s="80"/>
      <c r="YH6" s="80"/>
      <c r="YI6" s="80"/>
      <c r="YK6" s="80" t="s">
        <v>343</v>
      </c>
      <c r="YL6" s="80"/>
      <c r="YM6" s="80"/>
      <c r="YN6" s="80"/>
      <c r="YO6" s="80"/>
      <c r="YP6" s="80"/>
      <c r="YQ6" s="80"/>
      <c r="YR6" s="80"/>
      <c r="YS6" s="80"/>
      <c r="YT6" s="80"/>
      <c r="YU6" s="80"/>
      <c r="YV6" s="80"/>
      <c r="YW6" s="80"/>
      <c r="YX6" s="80"/>
      <c r="YY6" s="80"/>
      <c r="YZ6" s="80"/>
      <c r="ZA6" s="80"/>
      <c r="ZB6" s="80"/>
      <c r="ZC6" s="80"/>
      <c r="ZD6" s="80"/>
      <c r="ZE6" s="80"/>
      <c r="ZF6" s="80"/>
      <c r="ZG6" s="80"/>
      <c r="ZH6" s="80"/>
      <c r="ZI6" s="80"/>
      <c r="ZJ6" s="80"/>
      <c r="ZK6" s="80"/>
      <c r="ZL6" s="80"/>
      <c r="ZM6" s="80"/>
      <c r="ZN6" s="80"/>
      <c r="ZO6" s="80"/>
      <c r="ZP6" s="80"/>
      <c r="ZQ6" s="80"/>
      <c r="ZR6" s="80"/>
      <c r="ZS6" s="80"/>
      <c r="ZT6" s="80"/>
      <c r="ZU6" s="80"/>
      <c r="ZV6" s="80"/>
      <c r="ZW6" s="80"/>
      <c r="ZY6" s="287" t="s">
        <v>39</v>
      </c>
      <c r="AAH6" s="80" t="s">
        <v>237</v>
      </c>
      <c r="AAI6" s="80"/>
      <c r="AAJ6" s="80"/>
      <c r="AAK6" s="80"/>
      <c r="AAL6" s="80"/>
      <c r="AAM6" s="80"/>
      <c r="AAN6" s="80"/>
      <c r="AAP6" s="80" t="s">
        <v>201</v>
      </c>
      <c r="AAQ6" s="80"/>
      <c r="AAR6" s="80"/>
      <c r="AAS6" s="80"/>
      <c r="AAT6" s="80"/>
      <c r="AAU6" s="80"/>
      <c r="AAV6" s="129"/>
      <c r="AAW6" s="129"/>
      <c r="AAX6" s="129"/>
      <c r="AAY6" s="129"/>
      <c r="AAZ6" s="129"/>
      <c r="ABA6" s="129"/>
      <c r="ABB6" s="129"/>
      <c r="ABC6" s="129"/>
      <c r="ABD6" s="129"/>
      <c r="ABE6" s="129"/>
      <c r="ABF6" s="129"/>
      <c r="ABG6" s="129"/>
      <c r="ABH6" s="129"/>
      <c r="ABI6" s="129"/>
      <c r="ABJ6" s="129"/>
      <c r="ABK6" s="129"/>
      <c r="ABL6" s="129"/>
      <c r="ABM6" s="129"/>
      <c r="ABN6" s="129"/>
      <c r="ABO6" s="129"/>
      <c r="ABP6" s="129"/>
      <c r="ABQ6" s="129"/>
      <c r="ABR6" s="129"/>
      <c r="ABS6" s="129"/>
      <c r="ABT6" s="129"/>
      <c r="ABU6" s="129"/>
      <c r="ABV6" s="129"/>
      <c r="ABW6" s="129"/>
      <c r="ABX6" s="129"/>
      <c r="ABY6" s="129"/>
      <c r="ABZ6" s="129"/>
      <c r="ACA6" s="129"/>
      <c r="ACB6" s="129"/>
      <c r="ACC6" s="129"/>
      <c r="ACD6" s="129"/>
      <c r="ACE6" s="129"/>
      <c r="ACF6" s="129"/>
      <c r="ACG6" s="129"/>
      <c r="ACH6" s="129"/>
      <c r="ACI6" s="129"/>
      <c r="ACJ6" s="129"/>
      <c r="ACK6" s="129"/>
      <c r="ACL6" s="129"/>
      <c r="ACN6" s="129"/>
      <c r="ACO6" s="129"/>
      <c r="ACP6" s="129"/>
      <c r="ACQ6" s="129"/>
      <c r="ACR6" s="129"/>
      <c r="ACT6" s="80" t="s">
        <v>207</v>
      </c>
      <c r="ACU6" s="80"/>
      <c r="ACV6" s="129"/>
      <c r="ACW6" s="129"/>
      <c r="ACX6" s="129"/>
      <c r="ACY6" s="129"/>
      <c r="ACZ6" s="129"/>
      <c r="ADA6" s="129"/>
      <c r="ADB6" s="129"/>
      <c r="ADC6" s="129"/>
      <c r="ADD6" s="129"/>
      <c r="ADE6" s="129"/>
      <c r="ADF6" s="129"/>
      <c r="ADG6" s="129"/>
      <c r="ADH6" s="129"/>
      <c r="ADI6" s="129"/>
      <c r="ADJ6" s="129"/>
      <c r="ADK6" s="129"/>
      <c r="ADL6" s="129"/>
      <c r="ADM6" s="129"/>
      <c r="ADN6" s="129"/>
      <c r="ADO6" s="129"/>
      <c r="ADP6" s="129"/>
      <c r="ADR6" s="80" t="s">
        <v>217</v>
      </c>
      <c r="ADS6" s="80"/>
      <c r="ADT6" s="80"/>
      <c r="ADU6" s="80"/>
      <c r="ADV6" s="80"/>
      <c r="ADW6" s="80"/>
      <c r="ADX6" s="80"/>
      <c r="ADY6" s="80"/>
      <c r="ADZ6" s="80"/>
      <c r="AEA6" s="80"/>
      <c r="AEB6" s="80"/>
      <c r="AEC6" s="80"/>
      <c r="AED6" s="80"/>
      <c r="AEE6" s="80"/>
      <c r="AEF6" s="80"/>
      <c r="AEG6" s="80"/>
      <c r="AEH6" s="80"/>
      <c r="AEI6" s="80"/>
      <c r="AEJ6" s="80"/>
      <c r="AEK6" s="80"/>
      <c r="AEL6" s="80"/>
      <c r="AEM6" s="80"/>
      <c r="AEN6" s="80"/>
      <c r="AEO6" s="80"/>
      <c r="AEP6" s="80"/>
      <c r="AEQ6" s="80"/>
      <c r="AER6" s="80"/>
      <c r="AES6" s="80"/>
      <c r="AET6" s="80"/>
      <c r="AEU6" s="80"/>
      <c r="AEV6" s="80"/>
      <c r="AEW6" s="80"/>
      <c r="AEX6" s="80"/>
      <c r="AEY6" s="80"/>
      <c r="AEZ6" s="80"/>
      <c r="AFA6" s="80"/>
      <c r="AFB6" s="80"/>
      <c r="AFC6" s="80"/>
      <c r="AFD6" s="80"/>
      <c r="AFE6" s="80"/>
      <c r="AFF6" s="80"/>
      <c r="AFG6" s="80"/>
      <c r="AFI6" s="80" t="s">
        <v>340</v>
      </c>
      <c r="AFJ6" s="80"/>
      <c r="AFK6" s="80"/>
      <c r="AFL6" s="80"/>
      <c r="AFM6" s="80"/>
      <c r="AFN6" s="80"/>
      <c r="AFO6" s="80"/>
      <c r="AFP6" s="80"/>
      <c r="AFQ6" s="80"/>
      <c r="AFR6" s="80"/>
      <c r="AFS6" s="80"/>
      <c r="AFT6" s="80"/>
      <c r="AFU6" s="80"/>
      <c r="AFV6" s="80"/>
      <c r="AFW6" s="80"/>
      <c r="AFX6" s="80"/>
      <c r="AFY6" s="80"/>
      <c r="AFZ6" s="80"/>
      <c r="AGA6" s="80"/>
      <c r="AGB6" s="80"/>
      <c r="AGD6" s="80" t="s">
        <v>343</v>
      </c>
      <c r="AGE6" s="80"/>
      <c r="AGF6" s="80"/>
      <c r="AGG6" s="80"/>
      <c r="AGH6" s="80"/>
      <c r="AGI6" s="80"/>
      <c r="AGJ6" s="80"/>
      <c r="AGK6" s="80"/>
      <c r="AGL6" s="80"/>
      <c r="AGM6" s="80"/>
      <c r="AGN6" s="80"/>
      <c r="AGO6" s="80"/>
      <c r="AGP6" s="80"/>
      <c r="AGQ6" s="80"/>
      <c r="AGR6" s="80"/>
      <c r="AGS6" s="80"/>
      <c r="AGT6" s="80"/>
      <c r="AGU6" s="80"/>
      <c r="AGV6" s="80"/>
      <c r="AGW6" s="80"/>
      <c r="AGX6" s="80"/>
      <c r="AGY6" s="80"/>
      <c r="AGZ6" s="80"/>
      <c r="AHA6" s="80"/>
      <c r="AHB6" s="80"/>
      <c r="AHC6" s="80"/>
      <c r="AHD6" s="80"/>
      <c r="AHE6" s="80"/>
      <c r="AHF6" s="80"/>
      <c r="AHG6" s="80"/>
      <c r="AHH6" s="80"/>
      <c r="AHI6" s="80"/>
      <c r="AHJ6" s="80"/>
      <c r="AHK6" s="80"/>
      <c r="AHL6" s="80"/>
      <c r="AHM6" s="80"/>
      <c r="AHN6" s="80"/>
      <c r="AHO6" s="80"/>
      <c r="AHP6" s="80"/>
      <c r="AHY6" s="80" t="s">
        <v>237</v>
      </c>
      <c r="AHZ6" s="80"/>
      <c r="AIA6" s="80"/>
      <c r="AIB6" s="80"/>
      <c r="AIC6" s="80"/>
      <c r="AID6" s="80"/>
      <c r="AIE6" s="80"/>
      <c r="AIG6" s="80" t="s">
        <v>201</v>
      </c>
      <c r="AIH6" s="80"/>
      <c r="AII6" s="80"/>
      <c r="AIJ6" s="80"/>
      <c r="AIK6" s="80"/>
      <c r="AIL6" s="80"/>
      <c r="AIM6" s="129"/>
      <c r="AIN6" s="129"/>
      <c r="AIO6" s="129"/>
      <c r="AIP6" s="129"/>
      <c r="AIQ6" s="129"/>
      <c r="AIR6" s="129"/>
      <c r="AIS6" s="129"/>
      <c r="AIT6" s="129"/>
      <c r="AIU6" s="129"/>
      <c r="AIV6" s="129"/>
      <c r="AIW6" s="129"/>
      <c r="AIX6" s="129"/>
      <c r="AIY6" s="129"/>
      <c r="AIZ6" s="129"/>
      <c r="AJA6" s="129"/>
      <c r="AJB6" s="129"/>
      <c r="AJC6" s="129"/>
      <c r="AJD6" s="129"/>
      <c r="AJE6" s="129"/>
      <c r="AJF6" s="129"/>
      <c r="AJG6" s="129"/>
      <c r="AJH6" s="129"/>
      <c r="AJI6" s="129"/>
      <c r="AJJ6" s="129"/>
      <c r="AJK6" s="129"/>
      <c r="AJL6" s="129"/>
      <c r="AJM6" s="129"/>
      <c r="AJN6" s="129"/>
      <c r="AJO6" s="129"/>
      <c r="AJP6" s="129"/>
      <c r="AJQ6" s="129"/>
      <c r="AJR6" s="129"/>
      <c r="AJS6" s="129"/>
      <c r="AJT6" s="129"/>
      <c r="AJU6" s="129"/>
      <c r="AJV6" s="129"/>
      <c r="AJW6" s="129"/>
      <c r="AJX6" s="129"/>
      <c r="AJY6" s="129"/>
      <c r="AJZ6" s="129"/>
      <c r="AKA6" s="129"/>
      <c r="AKB6" s="129"/>
      <c r="AKC6" s="129"/>
      <c r="AKE6" s="129"/>
      <c r="AKF6" s="129"/>
      <c r="AKG6" s="129"/>
      <c r="AKH6" s="129"/>
      <c r="AKI6" s="129"/>
      <c r="AKK6" s="80" t="s">
        <v>207</v>
      </c>
      <c r="AKL6" s="80"/>
      <c r="AKM6" s="129"/>
      <c r="AKN6" s="129"/>
      <c r="AKO6" s="129"/>
      <c r="AKP6" s="129"/>
      <c r="AKQ6" s="129"/>
      <c r="AKR6" s="129"/>
      <c r="AKS6" s="129"/>
      <c r="AKT6" s="129"/>
      <c r="AKU6" s="129"/>
      <c r="AKV6" s="129"/>
      <c r="AKW6" s="129"/>
      <c r="AKX6" s="129"/>
      <c r="AKY6" s="129"/>
      <c r="AKZ6" s="129"/>
      <c r="ALA6" s="129"/>
      <c r="ALB6" s="129"/>
      <c r="ALC6" s="129"/>
      <c r="ALD6" s="129"/>
      <c r="ALE6" s="129"/>
      <c r="ALF6" s="129"/>
      <c r="ALG6" s="129"/>
      <c r="ALI6" s="80" t="s">
        <v>217</v>
      </c>
      <c r="ALJ6" s="80"/>
      <c r="ALK6" s="80"/>
      <c r="ALL6" s="80"/>
      <c r="ALM6" s="80"/>
      <c r="ALN6" s="80"/>
      <c r="ALO6" s="80"/>
      <c r="ALP6" s="80"/>
      <c r="ALQ6" s="80"/>
      <c r="ALR6" s="80"/>
      <c r="ALS6" s="80"/>
      <c r="ALT6" s="80"/>
      <c r="ALU6" s="80"/>
      <c r="ALV6" s="80"/>
      <c r="ALW6" s="80"/>
      <c r="ALX6" s="80"/>
      <c r="ALY6" s="80"/>
      <c r="ALZ6" s="80"/>
      <c r="AMA6" s="80"/>
      <c r="AMB6" s="80"/>
      <c r="AMC6" s="80"/>
      <c r="AMD6" s="80"/>
      <c r="AME6" s="80"/>
      <c r="AMF6" s="80"/>
      <c r="AMG6" s="80"/>
      <c r="AMH6" s="80"/>
      <c r="AMI6" s="80"/>
      <c r="AMJ6" s="80"/>
      <c r="AMK6" s="80"/>
      <c r="AML6" s="80"/>
      <c r="AMM6" s="80"/>
      <c r="AMN6" s="80"/>
      <c r="AMO6" s="80"/>
      <c r="AMP6" s="80"/>
      <c r="AMQ6" s="80"/>
      <c r="AMR6" s="80"/>
      <c r="AMS6" s="80"/>
      <c r="AMT6" s="80"/>
      <c r="AMU6" s="80"/>
      <c r="AMV6" s="80"/>
      <c r="AMW6" s="80"/>
      <c r="AMX6" s="80"/>
      <c r="AMZ6" s="80" t="s">
        <v>340</v>
      </c>
      <c r="ANA6" s="80"/>
      <c r="ANB6" s="80"/>
      <c r="ANC6" s="80"/>
      <c r="AND6" s="80"/>
      <c r="ANE6" s="80"/>
      <c r="ANF6" s="80"/>
      <c r="ANG6" s="80"/>
      <c r="ANH6" s="80"/>
      <c r="ANI6" s="80"/>
      <c r="ANJ6" s="80"/>
      <c r="ANK6" s="80"/>
      <c r="ANL6" s="80"/>
      <c r="ANM6" s="80"/>
      <c r="ANN6" s="80"/>
      <c r="ANO6" s="80"/>
      <c r="ANP6" s="80"/>
      <c r="ANQ6" s="80"/>
      <c r="ANR6" s="80"/>
      <c r="ANS6" s="80"/>
      <c r="ANU6" s="80" t="s">
        <v>343</v>
      </c>
      <c r="ANV6" s="80"/>
      <c r="ANW6" s="80"/>
      <c r="ANX6" s="80"/>
      <c r="ANY6" s="80"/>
      <c r="ANZ6" s="80"/>
      <c r="AOA6" s="80"/>
      <c r="AOB6" s="80"/>
      <c r="AOC6" s="80"/>
      <c r="AOD6" s="80"/>
      <c r="AOE6" s="80"/>
      <c r="AOF6" s="80"/>
      <c r="AOG6" s="80"/>
      <c r="AOH6" s="80"/>
      <c r="AOI6" s="80"/>
      <c r="AOJ6" s="80"/>
      <c r="AOK6" s="80"/>
      <c r="AOL6" s="80"/>
      <c r="AOM6" s="80"/>
      <c r="AON6" s="80"/>
      <c r="AOO6" s="80"/>
      <c r="AOP6" s="80"/>
      <c r="AOQ6" s="80"/>
      <c r="AOR6" s="80"/>
      <c r="AOS6" s="80"/>
      <c r="AOT6" s="80"/>
      <c r="AOU6" s="80"/>
      <c r="AOV6" s="80"/>
      <c r="AOW6" s="80"/>
      <c r="AOX6" s="80"/>
      <c r="AOY6" s="80"/>
      <c r="AOZ6" s="80"/>
      <c r="APA6" s="80"/>
      <c r="APB6" s="80"/>
      <c r="APC6" s="80"/>
      <c r="APD6" s="80"/>
      <c r="APE6" s="80"/>
      <c r="APF6" s="80"/>
      <c r="APG6" s="80"/>
      <c r="API6" s="287" t="s">
        <v>39</v>
      </c>
      <c r="APO6" s="287" t="s">
        <v>39</v>
      </c>
    </row>
    <row r="7" spans="1:1134" s="73" customFormat="1" ht="35.1" customHeight="1" thickBot="1">
      <c r="T7" s="287" t="s">
        <v>39</v>
      </c>
      <c r="AN7" s="432" t="s">
        <v>454</v>
      </c>
      <c r="AO7" s="266"/>
      <c r="AV7" s="239"/>
      <c r="AW7" s="239"/>
      <c r="BD7" s="308" t="s">
        <v>92</v>
      </c>
      <c r="BE7" s="308" t="s">
        <v>88</v>
      </c>
      <c r="BF7" s="308" t="s">
        <v>91</v>
      </c>
      <c r="BG7" s="308" t="s">
        <v>89</v>
      </c>
      <c r="BH7" s="308" t="s">
        <v>90</v>
      </c>
      <c r="BI7" s="309" t="s">
        <v>411</v>
      </c>
      <c r="BK7" s="287" t="s">
        <v>39</v>
      </c>
      <c r="CT7" s="287" t="s">
        <v>39</v>
      </c>
      <c r="EC7" s="287" t="s">
        <v>39</v>
      </c>
      <c r="FL7" s="287" t="s">
        <v>39</v>
      </c>
      <c r="FN7" s="239"/>
      <c r="FO7" s="239"/>
      <c r="FP7" s="239"/>
      <c r="FQ7" s="239"/>
      <c r="FR7" s="239"/>
      <c r="FS7" s="239"/>
      <c r="FT7" s="239"/>
      <c r="FU7" s="239"/>
      <c r="FV7" s="239"/>
      <c r="FW7" s="239"/>
      <c r="FX7" s="239"/>
      <c r="FY7" s="239"/>
      <c r="FZ7" s="239"/>
      <c r="GA7" s="239"/>
      <c r="GB7" s="239"/>
      <c r="GC7" s="239"/>
      <c r="GD7" s="239"/>
      <c r="GE7" s="239"/>
      <c r="GF7" s="239"/>
      <c r="GG7" s="239"/>
      <c r="GH7" s="239"/>
      <c r="GI7" s="239"/>
      <c r="GJ7" s="239"/>
      <c r="GK7" s="239"/>
      <c r="GL7" s="239"/>
      <c r="GM7" s="239"/>
      <c r="GN7" s="239"/>
      <c r="GO7" s="239"/>
      <c r="GP7" s="239"/>
      <c r="GQ7" s="239"/>
      <c r="GR7" s="239"/>
      <c r="GS7" s="239"/>
      <c r="GT7" s="239"/>
      <c r="GU7" s="239"/>
      <c r="GV7" s="239"/>
      <c r="GW7" s="239"/>
      <c r="GX7" s="239"/>
      <c r="GY7" s="239"/>
      <c r="GZ7" s="239"/>
      <c r="HA7" s="239"/>
      <c r="HB7" s="239"/>
      <c r="HC7" s="239"/>
      <c r="HD7" s="239"/>
      <c r="HE7" s="239"/>
      <c r="HF7" s="239"/>
      <c r="HG7" s="239"/>
      <c r="HH7" s="239"/>
      <c r="HI7" s="239"/>
      <c r="HJ7" s="239"/>
      <c r="HK7" s="239"/>
      <c r="HL7" s="239"/>
      <c r="HM7" s="239"/>
      <c r="HN7" s="239"/>
      <c r="HO7" s="239"/>
      <c r="HP7" s="239"/>
      <c r="HQ7" s="239"/>
      <c r="HR7" s="239"/>
      <c r="HS7" s="239"/>
      <c r="HT7" s="239"/>
      <c r="HU7" s="239"/>
      <c r="HV7" s="239"/>
      <c r="HW7" s="239"/>
      <c r="HX7" s="239"/>
      <c r="HY7" s="239"/>
      <c r="HZ7" s="239"/>
      <c r="IB7" s="287" t="s">
        <v>39</v>
      </c>
      <c r="IQ7"/>
      <c r="IR7"/>
      <c r="IT7" s="287" t="s">
        <v>39</v>
      </c>
      <c r="IZ7" s="278" t="s">
        <v>331</v>
      </c>
      <c r="JA7" s="276" t="s">
        <v>43</v>
      </c>
      <c r="JB7" s="276" t="s">
        <v>224</v>
      </c>
      <c r="JC7" s="276" t="s">
        <v>225</v>
      </c>
      <c r="JD7" s="276" t="s">
        <v>209</v>
      </c>
      <c r="JE7"/>
      <c r="KO7" s="287" t="s">
        <v>39</v>
      </c>
      <c r="KW7"/>
      <c r="LE7"/>
      <c r="LF7" s="451" t="s">
        <v>108</v>
      </c>
      <c r="LG7" s="452"/>
      <c r="LH7" s="452"/>
      <c r="LI7" s="452"/>
      <c r="LJ7" s="452"/>
      <c r="LK7" s="452"/>
      <c r="LL7" s="453"/>
      <c r="LM7" s="451" t="s">
        <v>59</v>
      </c>
      <c r="LN7" s="452"/>
      <c r="LO7" s="452"/>
      <c r="LP7" s="452"/>
      <c r="LQ7" s="452"/>
      <c r="LR7" s="452"/>
      <c r="LS7" s="453"/>
      <c r="LT7" s="451" t="s">
        <v>210</v>
      </c>
      <c r="LU7" s="452"/>
      <c r="LV7" s="452"/>
      <c r="LW7" s="452"/>
      <c r="LX7" s="452"/>
      <c r="LY7" s="452"/>
      <c r="LZ7" s="453"/>
      <c r="MA7" s="451" t="s">
        <v>214</v>
      </c>
      <c r="MB7" s="452"/>
      <c r="MC7" s="452"/>
      <c r="MD7" s="452"/>
      <c r="ME7" s="452"/>
      <c r="MF7" s="452"/>
      <c r="MG7" s="453"/>
      <c r="MH7" s="451" t="s">
        <v>58</v>
      </c>
      <c r="MI7" s="452"/>
      <c r="MJ7" s="452"/>
      <c r="MK7" s="452"/>
      <c r="ML7" s="452"/>
      <c r="MM7" s="452"/>
      <c r="MN7" s="453"/>
      <c r="MO7" s="451" t="s">
        <v>255</v>
      </c>
      <c r="MP7" s="452"/>
      <c r="MQ7" s="452"/>
      <c r="MR7" s="452"/>
      <c r="MS7" s="452"/>
      <c r="MT7" s="452"/>
      <c r="MU7" s="453"/>
      <c r="MV7" s="451" t="s">
        <v>57</v>
      </c>
      <c r="MW7" s="452"/>
      <c r="MX7" s="452"/>
      <c r="MY7" s="452"/>
      <c r="MZ7" s="452"/>
      <c r="NA7" s="452"/>
      <c r="NB7" s="453"/>
      <c r="NC7" s="278" t="s">
        <v>331</v>
      </c>
      <c r="ND7" s="275" t="s">
        <v>280</v>
      </c>
      <c r="NE7" s="275" t="s">
        <v>264</v>
      </c>
      <c r="NF7" s="275" t="s">
        <v>288</v>
      </c>
      <c r="NG7" s="275" t="s">
        <v>266</v>
      </c>
      <c r="NH7" s="275" t="s">
        <v>265</v>
      </c>
      <c r="NI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RI7" s="17"/>
      <c r="RJ7" s="17"/>
      <c r="RK7" s="284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N7"/>
      <c r="SV7"/>
      <c r="SW7" s="451" t="s">
        <v>108</v>
      </c>
      <c r="SX7" s="452"/>
      <c r="SY7" s="452"/>
      <c r="SZ7" s="452"/>
      <c r="TA7" s="452"/>
      <c r="TB7" s="452"/>
      <c r="TC7" s="453"/>
      <c r="TD7" s="451" t="s">
        <v>59</v>
      </c>
      <c r="TE7" s="452"/>
      <c r="TF7" s="452"/>
      <c r="TG7" s="452"/>
      <c r="TH7" s="452"/>
      <c r="TI7" s="452"/>
      <c r="TJ7" s="453"/>
      <c r="TK7" s="451" t="s">
        <v>210</v>
      </c>
      <c r="TL7" s="452"/>
      <c r="TM7" s="452"/>
      <c r="TN7" s="452"/>
      <c r="TO7" s="452"/>
      <c r="TP7" s="452"/>
      <c r="TQ7" s="453"/>
      <c r="TR7" s="451" t="s">
        <v>214</v>
      </c>
      <c r="TS7" s="452"/>
      <c r="TT7" s="452"/>
      <c r="TU7" s="452"/>
      <c r="TV7" s="452"/>
      <c r="TW7" s="452"/>
      <c r="TX7" s="453"/>
      <c r="TY7" s="451" t="s">
        <v>58</v>
      </c>
      <c r="TZ7" s="452"/>
      <c r="UA7" s="452"/>
      <c r="UB7" s="452"/>
      <c r="UC7" s="452"/>
      <c r="UD7" s="452"/>
      <c r="UE7" s="453"/>
      <c r="UF7" s="451" t="s">
        <v>255</v>
      </c>
      <c r="UG7" s="452"/>
      <c r="UH7" s="452"/>
      <c r="UI7" s="452"/>
      <c r="UJ7" s="452"/>
      <c r="UK7" s="452"/>
      <c r="UL7" s="453"/>
      <c r="UM7" s="451" t="s">
        <v>57</v>
      </c>
      <c r="UN7" s="452"/>
      <c r="UO7" s="452"/>
      <c r="UP7" s="452"/>
      <c r="UQ7" s="452"/>
      <c r="UR7" s="452"/>
      <c r="US7" s="453"/>
      <c r="UT7" s="278" t="s">
        <v>331</v>
      </c>
      <c r="UU7" s="275" t="s">
        <v>280</v>
      </c>
      <c r="UV7" s="275" t="s">
        <v>264</v>
      </c>
      <c r="UW7" s="275" t="s">
        <v>288</v>
      </c>
      <c r="UX7" s="275" t="s">
        <v>266</v>
      </c>
      <c r="UY7" s="275" t="s">
        <v>265</v>
      </c>
      <c r="UZ7"/>
      <c r="VX7"/>
      <c r="VY7">
        <v>2</v>
      </c>
      <c r="VZ7" s="149">
        <v>3</v>
      </c>
      <c r="WA7" s="149">
        <v>4</v>
      </c>
      <c r="WB7" s="149">
        <v>5</v>
      </c>
      <c r="WC7" s="149">
        <v>6</v>
      </c>
      <c r="WD7" s="149">
        <v>7</v>
      </c>
      <c r="WE7" s="149">
        <v>8</v>
      </c>
      <c r="WF7" s="149">
        <v>9</v>
      </c>
      <c r="WG7" s="149">
        <v>10</v>
      </c>
      <c r="WH7" s="149">
        <v>11</v>
      </c>
      <c r="WI7" s="149">
        <v>12</v>
      </c>
      <c r="WJ7" s="149">
        <v>13</v>
      </c>
      <c r="WK7" s="149">
        <v>14</v>
      </c>
      <c r="WL7" s="149">
        <v>15</v>
      </c>
      <c r="WM7" s="149">
        <v>16</v>
      </c>
      <c r="WN7" s="149">
        <v>17</v>
      </c>
      <c r="WO7" s="149">
        <v>18</v>
      </c>
      <c r="WP7" s="149">
        <v>19</v>
      </c>
      <c r="WQ7" s="149">
        <v>20</v>
      </c>
      <c r="WR7" s="149">
        <v>21</v>
      </c>
      <c r="WS7" s="149">
        <v>22</v>
      </c>
      <c r="WT7" s="149">
        <v>23</v>
      </c>
      <c r="WU7" s="149">
        <v>24</v>
      </c>
      <c r="WV7" s="149">
        <v>25</v>
      </c>
      <c r="WW7" s="149">
        <v>26</v>
      </c>
      <c r="WX7" s="149">
        <v>27</v>
      </c>
      <c r="WY7" s="149">
        <v>28</v>
      </c>
      <c r="WZ7" s="149">
        <v>29</v>
      </c>
      <c r="XA7" s="149">
        <v>30</v>
      </c>
      <c r="XB7" s="149">
        <v>31</v>
      </c>
      <c r="XC7" s="149">
        <v>32</v>
      </c>
      <c r="XD7" s="149">
        <v>33</v>
      </c>
      <c r="XE7" s="149">
        <v>34</v>
      </c>
      <c r="XF7" s="149">
        <v>35</v>
      </c>
      <c r="XG7" s="149">
        <v>36</v>
      </c>
      <c r="XH7" s="149">
        <v>37</v>
      </c>
      <c r="XI7" s="149">
        <v>38</v>
      </c>
      <c r="XJ7" s="149">
        <v>39</v>
      </c>
      <c r="XK7" s="149">
        <v>40</v>
      </c>
      <c r="XL7" s="149">
        <v>41</v>
      </c>
      <c r="XM7" s="149">
        <v>42</v>
      </c>
      <c r="XN7" s="149">
        <v>43</v>
      </c>
      <c r="XO7"/>
      <c r="XP7">
        <v>1</v>
      </c>
      <c r="XQ7" s="149">
        <v>2</v>
      </c>
      <c r="XR7">
        <v>3</v>
      </c>
      <c r="XS7" s="149">
        <v>4</v>
      </c>
      <c r="XT7">
        <v>5</v>
      </c>
      <c r="XU7" s="149">
        <v>6</v>
      </c>
      <c r="XV7">
        <v>7</v>
      </c>
      <c r="XW7" s="149">
        <v>8</v>
      </c>
      <c r="XX7">
        <v>9</v>
      </c>
      <c r="XY7" s="149">
        <v>10</v>
      </c>
      <c r="XZ7">
        <v>11</v>
      </c>
      <c r="YA7" s="149">
        <v>12</v>
      </c>
      <c r="YB7">
        <v>13</v>
      </c>
      <c r="YC7" s="149">
        <v>14</v>
      </c>
      <c r="YD7">
        <v>15</v>
      </c>
      <c r="YE7" s="149">
        <v>16</v>
      </c>
      <c r="YF7">
        <v>17</v>
      </c>
      <c r="YG7" s="149">
        <v>18</v>
      </c>
      <c r="YH7">
        <v>19</v>
      </c>
      <c r="YI7" s="149">
        <v>20</v>
      </c>
      <c r="YJ7"/>
      <c r="YZ7" s="17"/>
      <c r="ZA7" s="17"/>
      <c r="ZB7" s="284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Y7" s="287" t="s">
        <v>39</v>
      </c>
      <c r="AAG7"/>
      <c r="AAO7"/>
      <c r="AAP7" s="451" t="s">
        <v>108</v>
      </c>
      <c r="AAQ7" s="452"/>
      <c r="AAR7" s="452"/>
      <c r="AAS7" s="452"/>
      <c r="AAT7" s="452"/>
      <c r="AAU7" s="452"/>
      <c r="AAV7" s="453"/>
      <c r="AAW7" s="451" t="s">
        <v>59</v>
      </c>
      <c r="AAX7" s="452"/>
      <c r="AAY7" s="452"/>
      <c r="AAZ7" s="452"/>
      <c r="ABA7" s="452"/>
      <c r="ABB7" s="452"/>
      <c r="ABC7" s="453"/>
      <c r="ABD7" s="451" t="s">
        <v>210</v>
      </c>
      <c r="ABE7" s="452"/>
      <c r="ABF7" s="452"/>
      <c r="ABG7" s="452"/>
      <c r="ABH7" s="452"/>
      <c r="ABI7" s="452"/>
      <c r="ABJ7" s="453"/>
      <c r="ABK7" s="451" t="s">
        <v>214</v>
      </c>
      <c r="ABL7" s="452"/>
      <c r="ABM7" s="452"/>
      <c r="ABN7" s="452"/>
      <c r="ABO7" s="452"/>
      <c r="ABP7" s="452"/>
      <c r="ABQ7" s="453"/>
      <c r="ABR7" s="451" t="s">
        <v>58</v>
      </c>
      <c r="ABS7" s="452"/>
      <c r="ABT7" s="452"/>
      <c r="ABU7" s="452"/>
      <c r="ABV7" s="452"/>
      <c r="ABW7" s="452"/>
      <c r="ABX7" s="453"/>
      <c r="ABY7" s="451" t="s">
        <v>255</v>
      </c>
      <c r="ABZ7" s="452"/>
      <c r="ACA7" s="452"/>
      <c r="ACB7" s="452"/>
      <c r="ACC7" s="452"/>
      <c r="ACD7" s="452"/>
      <c r="ACE7" s="453"/>
      <c r="ACF7" s="451" t="s">
        <v>57</v>
      </c>
      <c r="ACG7" s="452"/>
      <c r="ACH7" s="452"/>
      <c r="ACI7" s="452"/>
      <c r="ACJ7" s="452"/>
      <c r="ACK7" s="452"/>
      <c r="ACL7" s="453"/>
      <c r="ACM7" s="278" t="s">
        <v>331</v>
      </c>
      <c r="ACN7" s="275" t="s">
        <v>280</v>
      </c>
      <c r="ACO7" s="275" t="s">
        <v>264</v>
      </c>
      <c r="ACP7" s="275" t="s">
        <v>288</v>
      </c>
      <c r="ACQ7" s="275" t="s">
        <v>266</v>
      </c>
      <c r="ACR7" s="275" t="s">
        <v>265</v>
      </c>
      <c r="ACS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 s="284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X7"/>
      <c r="AIF7"/>
      <c r="AIG7" s="451" t="s">
        <v>108</v>
      </c>
      <c r="AIH7" s="452"/>
      <c r="AII7" s="452"/>
      <c r="AIJ7" s="452"/>
      <c r="AIK7" s="452"/>
      <c r="AIL7" s="452"/>
      <c r="AIM7" s="453"/>
      <c r="AIN7" s="451" t="s">
        <v>59</v>
      </c>
      <c r="AIO7" s="452"/>
      <c r="AIP7" s="452"/>
      <c r="AIQ7" s="452"/>
      <c r="AIR7" s="452"/>
      <c r="AIS7" s="452"/>
      <c r="AIT7" s="453"/>
      <c r="AIU7" s="451" t="s">
        <v>210</v>
      </c>
      <c r="AIV7" s="452"/>
      <c r="AIW7" s="452"/>
      <c r="AIX7" s="452"/>
      <c r="AIY7" s="452"/>
      <c r="AIZ7" s="452"/>
      <c r="AJA7" s="453"/>
      <c r="AJB7" s="451" t="s">
        <v>214</v>
      </c>
      <c r="AJC7" s="452"/>
      <c r="AJD7" s="452"/>
      <c r="AJE7" s="452"/>
      <c r="AJF7" s="452"/>
      <c r="AJG7" s="452"/>
      <c r="AJH7" s="453"/>
      <c r="AJI7" s="451" t="s">
        <v>58</v>
      </c>
      <c r="AJJ7" s="452"/>
      <c r="AJK7" s="452"/>
      <c r="AJL7" s="452"/>
      <c r="AJM7" s="452"/>
      <c r="AJN7" s="452"/>
      <c r="AJO7" s="453"/>
      <c r="AJP7" s="451" t="s">
        <v>255</v>
      </c>
      <c r="AJQ7" s="452"/>
      <c r="AJR7" s="452"/>
      <c r="AJS7" s="452"/>
      <c r="AJT7" s="452"/>
      <c r="AJU7" s="452"/>
      <c r="AJV7" s="453"/>
      <c r="AJW7" s="451" t="s">
        <v>57</v>
      </c>
      <c r="AJX7" s="452"/>
      <c r="AJY7" s="452"/>
      <c r="AJZ7" s="452"/>
      <c r="AKA7" s="452"/>
      <c r="AKB7" s="452"/>
      <c r="AKC7" s="453"/>
      <c r="AKD7" s="278" t="s">
        <v>331</v>
      </c>
      <c r="AKE7" s="275" t="s">
        <v>280</v>
      </c>
      <c r="AKF7" s="275" t="s">
        <v>264</v>
      </c>
      <c r="AKG7" s="275" t="s">
        <v>288</v>
      </c>
      <c r="AKH7" s="275" t="s">
        <v>266</v>
      </c>
      <c r="AKI7" s="275" t="s">
        <v>265</v>
      </c>
      <c r="AKJ7"/>
      <c r="ALH7"/>
      <c r="ALI7">
        <v>2</v>
      </c>
      <c r="ALJ7" s="149">
        <v>3</v>
      </c>
      <c r="ALK7" s="149">
        <v>4</v>
      </c>
      <c r="ALL7" s="149">
        <v>5</v>
      </c>
      <c r="ALM7" s="149">
        <v>6</v>
      </c>
      <c r="ALN7" s="149">
        <v>7</v>
      </c>
      <c r="ALO7" s="149">
        <v>8</v>
      </c>
      <c r="ALP7" s="149">
        <v>9</v>
      </c>
      <c r="ALQ7" s="149">
        <v>10</v>
      </c>
      <c r="ALR7" s="149">
        <v>11</v>
      </c>
      <c r="ALS7" s="149">
        <v>12</v>
      </c>
      <c r="ALT7" s="149">
        <v>13</v>
      </c>
      <c r="ALU7" s="149">
        <v>14</v>
      </c>
      <c r="ALV7" s="149">
        <v>15</v>
      </c>
      <c r="ALW7" s="149">
        <v>16</v>
      </c>
      <c r="ALX7" s="149">
        <v>17</v>
      </c>
      <c r="ALY7" s="149">
        <v>18</v>
      </c>
      <c r="ALZ7" s="149">
        <v>19</v>
      </c>
      <c r="AMA7" s="149">
        <v>20</v>
      </c>
      <c r="AMB7" s="149">
        <v>21</v>
      </c>
      <c r="AMC7" s="149">
        <v>22</v>
      </c>
      <c r="AMD7" s="149">
        <v>23</v>
      </c>
      <c r="AME7" s="149">
        <v>24</v>
      </c>
      <c r="AMF7" s="149">
        <v>25</v>
      </c>
      <c r="AMG7" s="149">
        <v>26</v>
      </c>
      <c r="AMH7" s="149">
        <v>27</v>
      </c>
      <c r="AMI7" s="149">
        <v>28</v>
      </c>
      <c r="AMJ7" s="149">
        <v>29</v>
      </c>
      <c r="AMK7" s="149">
        <v>30</v>
      </c>
      <c r="AML7" s="149">
        <v>31</v>
      </c>
      <c r="AMM7" s="149">
        <v>32</v>
      </c>
      <c r="AMN7" s="149">
        <v>33</v>
      </c>
      <c r="AMO7" s="149">
        <v>34</v>
      </c>
      <c r="AMP7" s="149">
        <v>35</v>
      </c>
      <c r="AMQ7" s="149">
        <v>36</v>
      </c>
      <c r="AMR7" s="149">
        <v>37</v>
      </c>
      <c r="AMS7" s="149">
        <v>38</v>
      </c>
      <c r="AMT7" s="149">
        <v>39</v>
      </c>
      <c r="AMU7" s="149">
        <v>40</v>
      </c>
      <c r="AMV7" s="149">
        <v>41</v>
      </c>
      <c r="AMW7" s="149">
        <v>42</v>
      </c>
      <c r="AMX7" s="149">
        <v>43</v>
      </c>
      <c r="AMY7"/>
      <c r="AMZ7">
        <v>1</v>
      </c>
      <c r="ANA7" s="149">
        <v>2</v>
      </c>
      <c r="ANB7">
        <v>3</v>
      </c>
      <c r="ANC7" s="149">
        <v>4</v>
      </c>
      <c r="AND7">
        <v>5</v>
      </c>
      <c r="ANE7" s="149">
        <v>6</v>
      </c>
      <c r="ANF7">
        <v>7</v>
      </c>
      <c r="ANG7" s="149">
        <v>8</v>
      </c>
      <c r="ANH7">
        <v>9</v>
      </c>
      <c r="ANI7" s="149">
        <v>10</v>
      </c>
      <c r="ANJ7">
        <v>11</v>
      </c>
      <c r="ANK7" s="149">
        <v>12</v>
      </c>
      <c r="ANL7">
        <v>13</v>
      </c>
      <c r="ANM7" s="149">
        <v>14</v>
      </c>
      <c r="ANN7">
        <v>15</v>
      </c>
      <c r="ANO7" s="149">
        <v>16</v>
      </c>
      <c r="ANP7">
        <v>17</v>
      </c>
      <c r="ANQ7" s="149">
        <v>18</v>
      </c>
      <c r="ANR7">
        <v>19</v>
      </c>
      <c r="ANS7" s="149">
        <v>20</v>
      </c>
      <c r="ANT7"/>
      <c r="AOJ7" s="17"/>
      <c r="AOK7" s="17"/>
      <c r="AOL7" s="284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I7" s="287" t="s">
        <v>39</v>
      </c>
      <c r="APO7" s="287" t="s">
        <v>39</v>
      </c>
      <c r="AQN7"/>
      <c r="AQO7"/>
      <c r="AQP7"/>
    </row>
    <row r="8" spans="1:1134" ht="137.25">
      <c r="C8" s="13" t="s">
        <v>202</v>
      </c>
      <c r="D8" s="13" t="s">
        <v>402</v>
      </c>
      <c r="E8" s="13" t="s">
        <v>307</v>
      </c>
      <c r="F8" s="13" t="s">
        <v>203</v>
      </c>
      <c r="G8" s="13" t="s">
        <v>204</v>
      </c>
      <c r="H8" s="13" t="s">
        <v>205</v>
      </c>
      <c r="I8" s="13" t="s">
        <v>8</v>
      </c>
      <c r="J8" s="13" t="s">
        <v>9</v>
      </c>
      <c r="K8" s="13" t="s">
        <v>10</v>
      </c>
      <c r="L8" s="13" t="s">
        <v>11</v>
      </c>
      <c r="M8" s="13" t="s">
        <v>32</v>
      </c>
      <c r="N8" s="13" t="s">
        <v>160</v>
      </c>
      <c r="O8" s="13" t="s">
        <v>16</v>
      </c>
      <c r="P8" s="13" t="s">
        <v>194</v>
      </c>
      <c r="Q8" s="259" t="s">
        <v>305</v>
      </c>
      <c r="R8" s="13" t="s">
        <v>306</v>
      </c>
      <c r="T8" s="287" t="s">
        <v>39</v>
      </c>
      <c r="V8" s="13" t="s">
        <v>1</v>
      </c>
      <c r="W8" s="13" t="s">
        <v>8</v>
      </c>
      <c r="X8" s="13" t="s">
        <v>9</v>
      </c>
      <c r="Y8" s="13" t="s">
        <v>10</v>
      </c>
      <c r="Z8" s="13" t="s">
        <v>11</v>
      </c>
      <c r="AA8" s="13" t="s">
        <v>32</v>
      </c>
      <c r="AB8" s="13" t="s">
        <v>31</v>
      </c>
      <c r="AC8" s="13" t="s">
        <v>16</v>
      </c>
      <c r="AE8" s="13" t="s">
        <v>1</v>
      </c>
      <c r="AF8" s="13" t="s">
        <v>8</v>
      </c>
      <c r="AG8" s="13" t="s">
        <v>9</v>
      </c>
      <c r="AH8" s="13" t="s">
        <v>10</v>
      </c>
      <c r="AI8" s="13" t="s">
        <v>11</v>
      </c>
      <c r="AJ8" s="13" t="s">
        <v>32</v>
      </c>
      <c r="AK8" s="13" t="s">
        <v>160</v>
      </c>
      <c r="AL8" s="13" t="s">
        <v>16</v>
      </c>
      <c r="AM8" s="13" t="s">
        <v>17</v>
      </c>
      <c r="AN8" s="13" t="s">
        <v>183</v>
      </c>
      <c r="AO8" s="259" t="s">
        <v>300</v>
      </c>
      <c r="AP8" s="13" t="s">
        <v>28</v>
      </c>
      <c r="AQ8" s="240" t="s">
        <v>412</v>
      </c>
      <c r="AR8" s="240" t="s">
        <v>309</v>
      </c>
      <c r="AS8" s="13" t="s">
        <v>184</v>
      </c>
      <c r="AT8" s="13" t="s">
        <v>157</v>
      </c>
      <c r="AU8" s="13" t="s">
        <v>158</v>
      </c>
      <c r="AV8" s="240" t="s">
        <v>2</v>
      </c>
      <c r="AW8" s="240" t="s">
        <v>3</v>
      </c>
      <c r="AX8" s="13" t="s">
        <v>187</v>
      </c>
      <c r="AY8" s="13" t="s">
        <v>347</v>
      </c>
      <c r="AZ8" s="13" t="s">
        <v>291</v>
      </c>
      <c r="BA8" s="13" t="s">
        <v>399</v>
      </c>
      <c r="BB8" s="13" t="s">
        <v>290</v>
      </c>
      <c r="BC8" s="240" t="s">
        <v>405</v>
      </c>
      <c r="BD8" s="13" t="s">
        <v>407</v>
      </c>
      <c r="BE8" s="13" t="s">
        <v>408</v>
      </c>
      <c r="BF8" s="13" t="s">
        <v>409</v>
      </c>
      <c r="BG8" s="13" t="s">
        <v>89</v>
      </c>
      <c r="BH8" s="13" t="s">
        <v>90</v>
      </c>
      <c r="BI8" s="240" t="s">
        <v>410</v>
      </c>
      <c r="BK8" s="287" t="s">
        <v>39</v>
      </c>
      <c r="BM8" s="13" t="s">
        <v>372</v>
      </c>
      <c r="BN8" s="13" t="s">
        <v>8</v>
      </c>
      <c r="BO8" s="13" t="s">
        <v>9</v>
      </c>
      <c r="BP8" s="13" t="s">
        <v>10</v>
      </c>
      <c r="BQ8" s="13" t="s">
        <v>11</v>
      </c>
      <c r="BR8" s="13" t="s">
        <v>32</v>
      </c>
      <c r="BS8" s="13" t="s">
        <v>31</v>
      </c>
      <c r="BT8" s="13" t="s">
        <v>16</v>
      </c>
      <c r="BU8" s="13" t="s">
        <v>17</v>
      </c>
      <c r="BV8" s="168" t="s">
        <v>397</v>
      </c>
      <c r="BX8" s="13" t="s">
        <v>379</v>
      </c>
      <c r="BY8" s="13" t="s">
        <v>83</v>
      </c>
      <c r="BZ8" s="13" t="s">
        <v>84</v>
      </c>
      <c r="CA8" s="13" t="s">
        <v>375</v>
      </c>
      <c r="CB8" s="13" t="s">
        <v>85</v>
      </c>
      <c r="CC8" s="13" t="s">
        <v>87</v>
      </c>
      <c r="CD8" s="13" t="s">
        <v>376</v>
      </c>
      <c r="CE8" s="13" t="s">
        <v>377</v>
      </c>
      <c r="CG8" s="13" t="s">
        <v>82</v>
      </c>
      <c r="CH8" s="13" t="s">
        <v>86</v>
      </c>
      <c r="CI8" s="13" t="s">
        <v>380</v>
      </c>
      <c r="CJ8" s="13" t="s">
        <v>381</v>
      </c>
      <c r="CK8" s="303" t="s">
        <v>400</v>
      </c>
      <c r="CL8" s="13" t="s">
        <v>385</v>
      </c>
      <c r="CM8" s="303" t="s">
        <v>387</v>
      </c>
      <c r="CN8" s="303" t="s">
        <v>388</v>
      </c>
      <c r="CO8" s="303" t="s">
        <v>389</v>
      </c>
      <c r="CP8" s="13" t="s">
        <v>392</v>
      </c>
      <c r="CQ8" s="303" t="s">
        <v>366</v>
      </c>
      <c r="CR8" s="303" t="s">
        <v>391</v>
      </c>
      <c r="CT8" s="287" t="s">
        <v>39</v>
      </c>
      <c r="CV8" s="303" t="s">
        <v>395</v>
      </c>
      <c r="CW8" s="13" t="s">
        <v>8</v>
      </c>
      <c r="CX8" s="13" t="s">
        <v>9</v>
      </c>
      <c r="CY8" s="13" t="s">
        <v>10</v>
      </c>
      <c r="CZ8" s="13" t="s">
        <v>11</v>
      </c>
      <c r="DA8" s="13" t="s">
        <v>32</v>
      </c>
      <c r="DB8" s="13" t="s">
        <v>31</v>
      </c>
      <c r="DC8" s="13" t="s">
        <v>16</v>
      </c>
      <c r="DD8" s="13" t="s">
        <v>17</v>
      </c>
      <c r="DE8" s="168" t="s">
        <v>397</v>
      </c>
      <c r="DG8" s="13" t="s">
        <v>379</v>
      </c>
      <c r="DH8" s="13" t="s">
        <v>83</v>
      </c>
      <c r="DI8" s="13" t="s">
        <v>84</v>
      </c>
      <c r="DJ8" s="13" t="s">
        <v>375</v>
      </c>
      <c r="DK8" s="13" t="s">
        <v>85</v>
      </c>
      <c r="DL8" s="13" t="s">
        <v>87</v>
      </c>
      <c r="DM8" s="13" t="s">
        <v>376</v>
      </c>
      <c r="DN8" s="13" t="s">
        <v>377</v>
      </c>
      <c r="DP8" s="13" t="s">
        <v>82</v>
      </c>
      <c r="DQ8" s="13" t="s">
        <v>86</v>
      </c>
      <c r="DR8" s="13" t="s">
        <v>380</v>
      </c>
      <c r="DS8" s="13" t="s">
        <v>381</v>
      </c>
      <c r="DT8" s="303" t="s">
        <v>400</v>
      </c>
      <c r="DU8" s="13" t="s">
        <v>385</v>
      </c>
      <c r="DV8" s="303" t="s">
        <v>387</v>
      </c>
      <c r="DW8" s="303" t="s">
        <v>388</v>
      </c>
      <c r="DX8" s="303" t="s">
        <v>389</v>
      </c>
      <c r="DY8" s="13" t="s">
        <v>392</v>
      </c>
      <c r="DZ8" s="303" t="s">
        <v>366</v>
      </c>
      <c r="EA8" s="303" t="s">
        <v>391</v>
      </c>
      <c r="EC8" s="287" t="s">
        <v>39</v>
      </c>
      <c r="EE8" s="303" t="s">
        <v>395</v>
      </c>
      <c r="EF8" s="13" t="s">
        <v>8</v>
      </c>
      <c r="EG8" s="13" t="s">
        <v>9</v>
      </c>
      <c r="EH8" s="13" t="s">
        <v>10</v>
      </c>
      <c r="EI8" s="13" t="s">
        <v>11</v>
      </c>
      <c r="EJ8" s="13" t="s">
        <v>32</v>
      </c>
      <c r="EK8" s="13" t="s">
        <v>31</v>
      </c>
      <c r="EL8" s="13" t="s">
        <v>16</v>
      </c>
      <c r="EM8" s="13" t="s">
        <v>17</v>
      </c>
      <c r="EN8" s="168" t="s">
        <v>397</v>
      </c>
      <c r="EP8" s="13" t="s">
        <v>379</v>
      </c>
      <c r="EQ8" s="13" t="s">
        <v>83</v>
      </c>
      <c r="ER8" s="13" t="s">
        <v>84</v>
      </c>
      <c r="ES8" s="13" t="s">
        <v>375</v>
      </c>
      <c r="ET8" s="13" t="s">
        <v>85</v>
      </c>
      <c r="EU8" s="13" t="s">
        <v>87</v>
      </c>
      <c r="EV8" s="13" t="s">
        <v>376</v>
      </c>
      <c r="EW8" s="13" t="s">
        <v>377</v>
      </c>
      <c r="EY8" s="13" t="s">
        <v>82</v>
      </c>
      <c r="EZ8" s="13" t="s">
        <v>86</v>
      </c>
      <c r="FA8" s="13" t="s">
        <v>380</v>
      </c>
      <c r="FB8" s="13" t="s">
        <v>381</v>
      </c>
      <c r="FC8" s="303" t="s">
        <v>400</v>
      </c>
      <c r="FD8" s="13" t="s">
        <v>385</v>
      </c>
      <c r="FE8" s="303" t="s">
        <v>387</v>
      </c>
      <c r="FF8" s="303" t="s">
        <v>388</v>
      </c>
      <c r="FG8" s="303" t="s">
        <v>389</v>
      </c>
      <c r="FH8" s="13" t="s">
        <v>392</v>
      </c>
      <c r="FI8" s="303" t="s">
        <v>366</v>
      </c>
      <c r="FJ8" s="303" t="s">
        <v>391</v>
      </c>
      <c r="FL8" s="287" t="s">
        <v>39</v>
      </c>
      <c r="FN8" s="240" t="s">
        <v>372</v>
      </c>
      <c r="FO8" s="240" t="s">
        <v>8</v>
      </c>
      <c r="FP8" s="240" t="s">
        <v>9</v>
      </c>
      <c r="FQ8" s="240" t="s">
        <v>10</v>
      </c>
      <c r="FR8" s="240" t="s">
        <v>11</v>
      </c>
      <c r="FS8" s="240" t="s">
        <v>32</v>
      </c>
      <c r="FT8" s="240" t="s">
        <v>31</v>
      </c>
      <c r="FU8" s="240" t="s">
        <v>16</v>
      </c>
      <c r="FV8" s="240" t="s">
        <v>17</v>
      </c>
      <c r="FW8" s="240" t="s">
        <v>397</v>
      </c>
      <c r="FX8" s="237"/>
      <c r="FY8" s="240" t="s">
        <v>379</v>
      </c>
      <c r="FZ8" s="240" t="s">
        <v>83</v>
      </c>
      <c r="GA8" s="240" t="s">
        <v>84</v>
      </c>
      <c r="GB8" s="240" t="s">
        <v>375</v>
      </c>
      <c r="GC8" s="240" t="s">
        <v>85</v>
      </c>
      <c r="GD8" s="240" t="s">
        <v>87</v>
      </c>
      <c r="GE8" s="240" t="s">
        <v>376</v>
      </c>
      <c r="GF8" s="240" t="s">
        <v>377</v>
      </c>
      <c r="GG8" s="237"/>
      <c r="GH8" s="240" t="s">
        <v>82</v>
      </c>
      <c r="GI8" s="240" t="s">
        <v>86</v>
      </c>
      <c r="GJ8" s="240" t="s">
        <v>380</v>
      </c>
      <c r="GK8" s="240" t="s">
        <v>381</v>
      </c>
      <c r="GL8" s="240" t="s">
        <v>400</v>
      </c>
      <c r="GM8" s="240" t="s">
        <v>385</v>
      </c>
      <c r="GN8" s="240" t="s">
        <v>387</v>
      </c>
      <c r="GO8" s="240" t="s">
        <v>388</v>
      </c>
      <c r="GP8" s="240" t="s">
        <v>389</v>
      </c>
      <c r="GQ8" s="240" t="s">
        <v>392</v>
      </c>
      <c r="GR8" s="240" t="s">
        <v>366</v>
      </c>
      <c r="GS8" s="240" t="s">
        <v>391</v>
      </c>
      <c r="GT8" s="237"/>
      <c r="GU8" s="240" t="s">
        <v>395</v>
      </c>
      <c r="GV8" s="240" t="s">
        <v>8</v>
      </c>
      <c r="GW8" s="240" t="s">
        <v>9</v>
      </c>
      <c r="GX8" s="240" t="s">
        <v>10</v>
      </c>
      <c r="GY8" s="240" t="s">
        <v>11</v>
      </c>
      <c r="GZ8" s="240" t="s">
        <v>32</v>
      </c>
      <c r="HA8" s="240" t="s">
        <v>31</v>
      </c>
      <c r="HB8" s="240" t="s">
        <v>16</v>
      </c>
      <c r="HC8" s="240" t="s">
        <v>17</v>
      </c>
      <c r="HD8" s="240" t="s">
        <v>397</v>
      </c>
      <c r="HE8" s="237"/>
      <c r="HF8" s="240" t="s">
        <v>379</v>
      </c>
      <c r="HG8" s="240" t="s">
        <v>83</v>
      </c>
      <c r="HH8" s="240" t="s">
        <v>84</v>
      </c>
      <c r="HI8" s="240" t="s">
        <v>375</v>
      </c>
      <c r="HJ8" s="240" t="s">
        <v>85</v>
      </c>
      <c r="HK8" s="240" t="s">
        <v>87</v>
      </c>
      <c r="HL8" s="240" t="s">
        <v>376</v>
      </c>
      <c r="HM8" s="240" t="s">
        <v>377</v>
      </c>
      <c r="HN8" s="237"/>
      <c r="HO8" s="240" t="s">
        <v>82</v>
      </c>
      <c r="HP8" s="240" t="s">
        <v>86</v>
      </c>
      <c r="HQ8" s="240" t="s">
        <v>380</v>
      </c>
      <c r="HR8" s="240" t="s">
        <v>381</v>
      </c>
      <c r="HS8" s="240" t="s">
        <v>400</v>
      </c>
      <c r="HT8" s="240" t="s">
        <v>385</v>
      </c>
      <c r="HU8" s="240" t="s">
        <v>387</v>
      </c>
      <c r="HV8" s="240" t="s">
        <v>388</v>
      </c>
      <c r="HW8" s="240" t="s">
        <v>389</v>
      </c>
      <c r="HX8" s="240" t="s">
        <v>392</v>
      </c>
      <c r="HY8" s="240" t="s">
        <v>366</v>
      </c>
      <c r="HZ8" s="240" t="s">
        <v>391</v>
      </c>
      <c r="IB8" s="287" t="s">
        <v>39</v>
      </c>
      <c r="ID8" s="13" t="s">
        <v>1</v>
      </c>
      <c r="IE8" s="13" t="s">
        <v>0</v>
      </c>
      <c r="IF8" s="13" t="s">
        <v>8</v>
      </c>
      <c r="IG8" s="13" t="s">
        <v>9</v>
      </c>
      <c r="IH8" s="13" t="s">
        <v>10</v>
      </c>
      <c r="II8" s="13" t="s">
        <v>11</v>
      </c>
      <c r="IJ8" s="13" t="s">
        <v>32</v>
      </c>
      <c r="IK8" s="13" t="s">
        <v>31</v>
      </c>
      <c r="IL8" s="13" t="s">
        <v>16</v>
      </c>
      <c r="IM8" s="13" t="s">
        <v>17</v>
      </c>
      <c r="IN8" s="13" t="s">
        <v>401</v>
      </c>
      <c r="IO8" s="13" t="s">
        <v>23</v>
      </c>
      <c r="IP8" s="13" t="s">
        <v>28</v>
      </c>
      <c r="IQ8" s="13" t="s">
        <v>157</v>
      </c>
      <c r="IR8" s="13" t="s">
        <v>158</v>
      </c>
      <c r="IT8" s="287" t="s">
        <v>39</v>
      </c>
      <c r="IV8" s="13" t="s">
        <v>363</v>
      </c>
      <c r="IW8" s="13" t="s">
        <v>364</v>
      </c>
      <c r="IX8" s="13" t="s">
        <v>365</v>
      </c>
      <c r="IY8" s="13" t="s">
        <v>366</v>
      </c>
      <c r="JA8" s="13" t="s">
        <v>47</v>
      </c>
      <c r="JB8" s="13" t="s">
        <v>48</v>
      </c>
      <c r="JC8" s="13" t="s">
        <v>49</v>
      </c>
      <c r="JD8" s="13" t="s">
        <v>226</v>
      </c>
      <c r="JF8" s="13" t="s">
        <v>69</v>
      </c>
      <c r="JG8" s="13" t="s">
        <v>71</v>
      </c>
      <c r="JH8" s="13" t="s">
        <v>72</v>
      </c>
      <c r="JI8" s="13" t="s">
        <v>73</v>
      </c>
      <c r="JJ8" s="13" t="s">
        <v>74</v>
      </c>
      <c r="JK8" s="13" t="s">
        <v>80</v>
      </c>
      <c r="JL8" s="13" t="s">
        <v>81</v>
      </c>
      <c r="JM8" s="13" t="s">
        <v>79</v>
      </c>
      <c r="JN8" s="13" t="s">
        <v>100</v>
      </c>
      <c r="JO8" s="13" t="s">
        <v>115</v>
      </c>
      <c r="JP8" s="13" t="s">
        <v>116</v>
      </c>
      <c r="JQ8" s="13" t="s">
        <v>117</v>
      </c>
      <c r="JR8" s="13" t="s">
        <v>118</v>
      </c>
      <c r="JS8" s="13" t="s">
        <v>119</v>
      </c>
      <c r="JT8" s="13" t="s">
        <v>120</v>
      </c>
      <c r="JU8" s="13" t="s">
        <v>131</v>
      </c>
      <c r="JV8" s="13" t="s">
        <v>132</v>
      </c>
      <c r="JW8" s="13" t="s">
        <v>134</v>
      </c>
      <c r="JX8" s="13" t="s">
        <v>151</v>
      </c>
      <c r="JY8" s="13" t="s">
        <v>311</v>
      </c>
      <c r="JZ8" s="13" t="s">
        <v>312</v>
      </c>
      <c r="KA8" s="13" t="s">
        <v>313</v>
      </c>
      <c r="KB8" s="13" t="s">
        <v>427</v>
      </c>
      <c r="KC8" s="13" t="s">
        <v>317</v>
      </c>
      <c r="KD8" s="13" t="s">
        <v>318</v>
      </c>
      <c r="KE8" s="13" t="s">
        <v>429</v>
      </c>
      <c r="KF8" s="13" t="s">
        <v>428</v>
      </c>
      <c r="KG8" s="13" t="s">
        <v>319</v>
      </c>
      <c r="KH8" s="13" t="s">
        <v>320</v>
      </c>
      <c r="KI8" s="13" t="s">
        <v>321</v>
      </c>
      <c r="KJ8" s="13" t="s">
        <v>322</v>
      </c>
      <c r="KK8" s="13" t="s">
        <v>348</v>
      </c>
      <c r="KL8" s="13" t="s">
        <v>352</v>
      </c>
      <c r="KM8" s="13" t="s">
        <v>460</v>
      </c>
      <c r="KO8" s="287" t="s">
        <v>39</v>
      </c>
      <c r="KQ8" s="13" t="s">
        <v>94</v>
      </c>
      <c r="KR8" s="13" t="s">
        <v>329</v>
      </c>
      <c r="KS8" s="13" t="s">
        <v>330</v>
      </c>
      <c r="KT8" s="13" t="s">
        <v>109</v>
      </c>
      <c r="KU8" s="13" t="s">
        <v>110</v>
      </c>
      <c r="KV8" s="13" t="s">
        <v>111</v>
      </c>
      <c r="KX8" s="13" t="s">
        <v>57</v>
      </c>
      <c r="KY8" s="13" t="s">
        <v>256</v>
      </c>
      <c r="KZ8" s="13" t="s">
        <v>33</v>
      </c>
      <c r="LA8" s="13" t="s">
        <v>216</v>
      </c>
      <c r="LB8" s="13" t="s">
        <v>215</v>
      </c>
      <c r="LC8" s="13" t="s">
        <v>34</v>
      </c>
      <c r="LD8" s="13" t="s">
        <v>206</v>
      </c>
      <c r="LF8" s="130" t="s">
        <v>282</v>
      </c>
      <c r="LG8" s="64" t="s">
        <v>283</v>
      </c>
      <c r="LH8" s="64" t="s">
        <v>244</v>
      </c>
      <c r="LI8" s="64" t="s">
        <v>245</v>
      </c>
      <c r="LJ8" s="64" t="s">
        <v>278</v>
      </c>
      <c r="LK8" s="64" t="s">
        <v>279</v>
      </c>
      <c r="LL8" s="131" t="s">
        <v>179</v>
      </c>
      <c r="LM8" s="130" t="s">
        <v>282</v>
      </c>
      <c r="LN8" s="64" t="s">
        <v>283</v>
      </c>
      <c r="LO8" s="64" t="s">
        <v>244</v>
      </c>
      <c r="LP8" s="64" t="s">
        <v>245</v>
      </c>
      <c r="LQ8" s="64" t="s">
        <v>278</v>
      </c>
      <c r="LR8" s="64" t="s">
        <v>279</v>
      </c>
      <c r="LS8" s="131" t="s">
        <v>179</v>
      </c>
      <c r="LT8" s="130" t="s">
        <v>282</v>
      </c>
      <c r="LU8" s="64" t="s">
        <v>283</v>
      </c>
      <c r="LV8" s="64" t="s">
        <v>244</v>
      </c>
      <c r="LW8" s="64" t="s">
        <v>245</v>
      </c>
      <c r="LX8" s="64" t="s">
        <v>278</v>
      </c>
      <c r="LY8" s="64" t="s">
        <v>279</v>
      </c>
      <c r="LZ8" s="131" t="s">
        <v>179</v>
      </c>
      <c r="MA8" s="130" t="s">
        <v>282</v>
      </c>
      <c r="MB8" s="64" t="s">
        <v>283</v>
      </c>
      <c r="MC8" s="64" t="s">
        <v>244</v>
      </c>
      <c r="MD8" s="64" t="s">
        <v>245</v>
      </c>
      <c r="ME8" s="64" t="s">
        <v>278</v>
      </c>
      <c r="MF8" s="64" t="s">
        <v>279</v>
      </c>
      <c r="MG8" s="131" t="s">
        <v>179</v>
      </c>
      <c r="MH8" s="130" t="s">
        <v>282</v>
      </c>
      <c r="MI8" s="64" t="s">
        <v>283</v>
      </c>
      <c r="MJ8" s="64" t="s">
        <v>244</v>
      </c>
      <c r="MK8" s="64" t="s">
        <v>245</v>
      </c>
      <c r="ML8" s="64" t="s">
        <v>278</v>
      </c>
      <c r="MM8" s="64" t="s">
        <v>279</v>
      </c>
      <c r="MN8" s="131" t="s">
        <v>179</v>
      </c>
      <c r="MO8" s="130" t="s">
        <v>282</v>
      </c>
      <c r="MP8" s="64" t="s">
        <v>283</v>
      </c>
      <c r="MQ8" s="64" t="s">
        <v>244</v>
      </c>
      <c r="MR8" s="64" t="s">
        <v>245</v>
      </c>
      <c r="MS8" s="64" t="s">
        <v>278</v>
      </c>
      <c r="MT8" s="64" t="s">
        <v>279</v>
      </c>
      <c r="MU8" s="131" t="s">
        <v>179</v>
      </c>
      <c r="MV8" s="130" t="s">
        <v>282</v>
      </c>
      <c r="MW8" s="64" t="s">
        <v>283</v>
      </c>
      <c r="MX8" s="64" t="s">
        <v>244</v>
      </c>
      <c r="MY8" s="64" t="s">
        <v>245</v>
      </c>
      <c r="MZ8" s="64" t="s">
        <v>278</v>
      </c>
      <c r="NA8" s="64" t="s">
        <v>279</v>
      </c>
      <c r="NB8" s="131" t="s">
        <v>179</v>
      </c>
      <c r="ND8" s="13" t="s">
        <v>287</v>
      </c>
      <c r="NE8" s="13" t="s">
        <v>264</v>
      </c>
      <c r="NF8" s="13" t="s">
        <v>288</v>
      </c>
      <c r="NG8" s="13" t="s">
        <v>285</v>
      </c>
      <c r="NH8" s="13" t="s">
        <v>286</v>
      </c>
      <c r="NJ8" s="64" t="s">
        <v>208</v>
      </c>
      <c r="NK8" s="64" t="s">
        <v>257</v>
      </c>
      <c r="NL8" s="64" t="s">
        <v>148</v>
      </c>
      <c r="NM8" s="64" t="s">
        <v>213</v>
      </c>
      <c r="NN8" s="64" t="s">
        <v>212</v>
      </c>
      <c r="NO8" s="64" t="s">
        <v>149</v>
      </c>
      <c r="NP8" s="64" t="s">
        <v>150</v>
      </c>
      <c r="NQ8" s="64" t="s">
        <v>222</v>
      </c>
      <c r="NR8" s="64" t="s">
        <v>334</v>
      </c>
      <c r="NS8" s="64" t="s">
        <v>139</v>
      </c>
      <c r="NT8" s="64" t="s">
        <v>140</v>
      </c>
      <c r="NU8" s="64" t="s">
        <v>135</v>
      </c>
      <c r="NV8" s="64" t="s">
        <v>136</v>
      </c>
      <c r="NW8" s="64" t="s">
        <v>137</v>
      </c>
      <c r="NX8" s="64" t="s">
        <v>97</v>
      </c>
      <c r="NY8" s="64" t="s">
        <v>141</v>
      </c>
      <c r="NZ8" s="64" t="s">
        <v>142</v>
      </c>
      <c r="OA8" s="64" t="s">
        <v>98</v>
      </c>
      <c r="OB8" s="64" t="s">
        <v>143</v>
      </c>
      <c r="OC8" s="64" t="s">
        <v>144</v>
      </c>
      <c r="OD8" s="64" t="s">
        <v>99</v>
      </c>
      <c r="OE8" s="64" t="s">
        <v>145</v>
      </c>
      <c r="OF8" s="64" t="s">
        <v>146</v>
      </c>
      <c r="OH8" s="64" t="s">
        <v>121</v>
      </c>
      <c r="OI8" s="64" t="s">
        <v>222</v>
      </c>
      <c r="OJ8" s="160" t="s">
        <v>228</v>
      </c>
      <c r="OK8" s="158"/>
      <c r="OL8" s="158"/>
      <c r="OM8" s="158"/>
      <c r="ON8" s="158"/>
      <c r="OO8" s="158"/>
      <c r="OP8" s="158"/>
      <c r="OQ8" s="158"/>
      <c r="OR8" s="158"/>
      <c r="OS8" s="159"/>
      <c r="OT8" s="157" t="s">
        <v>230</v>
      </c>
      <c r="OU8" s="138"/>
      <c r="OV8" s="138"/>
      <c r="OW8" s="138"/>
      <c r="OX8" s="138"/>
      <c r="OY8" s="138"/>
      <c r="OZ8" s="138"/>
      <c r="PA8" s="138"/>
      <c r="PB8" s="138"/>
      <c r="PC8" s="162"/>
      <c r="PD8" s="157" t="s">
        <v>229</v>
      </c>
      <c r="PE8" s="138"/>
      <c r="PF8" s="138"/>
      <c r="PG8" s="138"/>
      <c r="PH8" s="138"/>
      <c r="PI8" s="138"/>
      <c r="PJ8" s="138"/>
      <c r="PK8" s="138"/>
      <c r="PL8" s="162"/>
      <c r="PM8" s="157" t="s">
        <v>231</v>
      </c>
      <c r="PN8" s="160"/>
      <c r="PO8" s="160"/>
      <c r="PP8" s="160"/>
      <c r="PQ8" s="160"/>
      <c r="PR8" s="160"/>
      <c r="PS8" s="160"/>
      <c r="PT8" s="160"/>
      <c r="PU8" s="160"/>
      <c r="PV8" s="163"/>
      <c r="PW8" s="166" t="s">
        <v>234</v>
      </c>
      <c r="PY8" s="160" t="s">
        <v>341</v>
      </c>
      <c r="PZ8" s="158"/>
      <c r="QA8" s="158"/>
      <c r="QB8" s="158"/>
      <c r="QC8" s="158"/>
      <c r="QD8" s="158"/>
      <c r="QE8" s="158"/>
      <c r="QF8" s="158"/>
      <c r="QG8" s="158"/>
      <c r="QH8" s="159"/>
      <c r="QI8" s="157" t="s">
        <v>342</v>
      </c>
      <c r="QJ8" s="138"/>
      <c r="QK8" s="138"/>
      <c r="QL8" s="138"/>
      <c r="QM8" s="138"/>
      <c r="QN8" s="138"/>
      <c r="QO8" s="138"/>
      <c r="QP8" s="138"/>
      <c r="QQ8" s="138"/>
      <c r="QR8" s="162"/>
      <c r="QT8" s="13" t="s">
        <v>316</v>
      </c>
      <c r="QU8" s="259" t="s">
        <v>323</v>
      </c>
      <c r="QV8" s="13" t="s">
        <v>130</v>
      </c>
      <c r="QW8" s="13" t="s">
        <v>129</v>
      </c>
      <c r="QX8" s="13" t="s">
        <v>292</v>
      </c>
      <c r="QY8" s="13" t="s">
        <v>315</v>
      </c>
      <c r="QZ8" s="13" t="s">
        <v>123</v>
      </c>
      <c r="RA8" s="13" t="s">
        <v>324</v>
      </c>
      <c r="RB8" s="13" t="s">
        <v>325</v>
      </c>
      <c r="RC8" s="13" t="s">
        <v>126</v>
      </c>
      <c r="RD8" s="13" t="s">
        <v>127</v>
      </c>
      <c r="RE8" s="13" t="s">
        <v>240</v>
      </c>
      <c r="RF8" s="13" t="s">
        <v>133</v>
      </c>
      <c r="RG8" s="13" t="s">
        <v>326</v>
      </c>
      <c r="RH8" s="13" t="s">
        <v>327</v>
      </c>
      <c r="RI8" s="13" t="s">
        <v>333</v>
      </c>
      <c r="RJ8" s="13" t="s">
        <v>332</v>
      </c>
      <c r="RK8" s="13" t="s">
        <v>335</v>
      </c>
      <c r="RL8" s="13" t="s">
        <v>334</v>
      </c>
      <c r="RM8" s="13" t="s">
        <v>337</v>
      </c>
      <c r="RN8" s="13" t="s">
        <v>338</v>
      </c>
      <c r="RO8" s="13" t="s">
        <v>339</v>
      </c>
      <c r="RP8" s="13" t="s">
        <v>136</v>
      </c>
      <c r="RQ8" s="13" t="s">
        <v>137</v>
      </c>
      <c r="RR8" s="13" t="s">
        <v>97</v>
      </c>
      <c r="RS8" s="13" t="s">
        <v>141</v>
      </c>
      <c r="RT8" s="13" t="s">
        <v>142</v>
      </c>
      <c r="RU8" s="13" t="s">
        <v>98</v>
      </c>
      <c r="RV8" s="13" t="s">
        <v>143</v>
      </c>
      <c r="RW8" s="13" t="s">
        <v>144</v>
      </c>
      <c r="RX8" s="13" t="s">
        <v>99</v>
      </c>
      <c r="RY8" s="13" t="s">
        <v>145</v>
      </c>
      <c r="RZ8" s="13" t="s">
        <v>146</v>
      </c>
      <c r="SA8" s="13" t="s">
        <v>153</v>
      </c>
      <c r="SB8" s="13" t="s">
        <v>154</v>
      </c>
      <c r="SC8" s="13" t="s">
        <v>147</v>
      </c>
      <c r="SD8" s="13" t="s">
        <v>462</v>
      </c>
      <c r="SE8" s="13" t="s">
        <v>461</v>
      </c>
      <c r="SF8" s="13" t="s">
        <v>463</v>
      </c>
      <c r="SH8" s="13" t="s">
        <v>94</v>
      </c>
      <c r="SI8" s="13" t="s">
        <v>329</v>
      </c>
      <c r="SJ8" s="13" t="s">
        <v>330</v>
      </c>
      <c r="SK8" s="13" t="s">
        <v>109</v>
      </c>
      <c r="SL8" s="13" t="s">
        <v>110</v>
      </c>
      <c r="SM8" s="13" t="s">
        <v>111</v>
      </c>
      <c r="SO8" s="13" t="s">
        <v>57</v>
      </c>
      <c r="SP8" s="13" t="s">
        <v>256</v>
      </c>
      <c r="SQ8" s="13" t="s">
        <v>33</v>
      </c>
      <c r="SR8" s="13" t="s">
        <v>216</v>
      </c>
      <c r="SS8" s="13" t="s">
        <v>215</v>
      </c>
      <c r="ST8" s="13" t="s">
        <v>34</v>
      </c>
      <c r="SU8" s="13" t="s">
        <v>206</v>
      </c>
      <c r="SW8" s="130" t="s">
        <v>282</v>
      </c>
      <c r="SX8" s="64" t="s">
        <v>283</v>
      </c>
      <c r="SY8" s="64" t="s">
        <v>244</v>
      </c>
      <c r="SZ8" s="64" t="s">
        <v>245</v>
      </c>
      <c r="TA8" s="64" t="s">
        <v>278</v>
      </c>
      <c r="TB8" s="64" t="s">
        <v>279</v>
      </c>
      <c r="TC8" s="131" t="s">
        <v>179</v>
      </c>
      <c r="TD8" s="130" t="s">
        <v>282</v>
      </c>
      <c r="TE8" s="64" t="s">
        <v>283</v>
      </c>
      <c r="TF8" s="64" t="s">
        <v>244</v>
      </c>
      <c r="TG8" s="64" t="s">
        <v>245</v>
      </c>
      <c r="TH8" s="64" t="s">
        <v>278</v>
      </c>
      <c r="TI8" s="64" t="s">
        <v>279</v>
      </c>
      <c r="TJ8" s="131" t="s">
        <v>179</v>
      </c>
      <c r="TK8" s="130" t="s">
        <v>282</v>
      </c>
      <c r="TL8" s="64" t="s">
        <v>283</v>
      </c>
      <c r="TM8" s="64" t="s">
        <v>244</v>
      </c>
      <c r="TN8" s="64" t="s">
        <v>245</v>
      </c>
      <c r="TO8" s="64" t="s">
        <v>278</v>
      </c>
      <c r="TP8" s="64" t="s">
        <v>279</v>
      </c>
      <c r="TQ8" s="131" t="s">
        <v>179</v>
      </c>
      <c r="TR8" s="130" t="s">
        <v>282</v>
      </c>
      <c r="TS8" s="64" t="s">
        <v>283</v>
      </c>
      <c r="TT8" s="64" t="s">
        <v>244</v>
      </c>
      <c r="TU8" s="64" t="s">
        <v>245</v>
      </c>
      <c r="TV8" s="64" t="s">
        <v>278</v>
      </c>
      <c r="TW8" s="64" t="s">
        <v>279</v>
      </c>
      <c r="TX8" s="131" t="s">
        <v>179</v>
      </c>
      <c r="TY8" s="130" t="s">
        <v>282</v>
      </c>
      <c r="TZ8" s="64" t="s">
        <v>283</v>
      </c>
      <c r="UA8" s="64" t="s">
        <v>244</v>
      </c>
      <c r="UB8" s="64" t="s">
        <v>245</v>
      </c>
      <c r="UC8" s="64" t="s">
        <v>278</v>
      </c>
      <c r="UD8" s="64" t="s">
        <v>279</v>
      </c>
      <c r="UE8" s="131" t="s">
        <v>179</v>
      </c>
      <c r="UF8" s="130" t="s">
        <v>282</v>
      </c>
      <c r="UG8" s="64" t="s">
        <v>283</v>
      </c>
      <c r="UH8" s="64" t="s">
        <v>244</v>
      </c>
      <c r="UI8" s="64" t="s">
        <v>245</v>
      </c>
      <c r="UJ8" s="64" t="s">
        <v>278</v>
      </c>
      <c r="UK8" s="64" t="s">
        <v>279</v>
      </c>
      <c r="UL8" s="131" t="s">
        <v>179</v>
      </c>
      <c r="UM8" s="130" t="s">
        <v>282</v>
      </c>
      <c r="UN8" s="64" t="s">
        <v>283</v>
      </c>
      <c r="UO8" s="64" t="s">
        <v>244</v>
      </c>
      <c r="UP8" s="64" t="s">
        <v>245</v>
      </c>
      <c r="UQ8" s="64" t="s">
        <v>278</v>
      </c>
      <c r="UR8" s="64" t="s">
        <v>279</v>
      </c>
      <c r="US8" s="131" t="s">
        <v>179</v>
      </c>
      <c r="UU8" s="13" t="s">
        <v>287</v>
      </c>
      <c r="UV8" s="13" t="s">
        <v>264</v>
      </c>
      <c r="UW8" s="13" t="s">
        <v>288</v>
      </c>
      <c r="UX8" s="13" t="s">
        <v>285</v>
      </c>
      <c r="UY8" s="13" t="s">
        <v>286</v>
      </c>
      <c r="VA8" s="64" t="s">
        <v>208</v>
      </c>
      <c r="VB8" s="64" t="s">
        <v>257</v>
      </c>
      <c r="VC8" s="64" t="s">
        <v>148</v>
      </c>
      <c r="VD8" s="64" t="s">
        <v>213</v>
      </c>
      <c r="VE8" s="64" t="s">
        <v>212</v>
      </c>
      <c r="VF8" s="64" t="s">
        <v>149</v>
      </c>
      <c r="VG8" s="64" t="s">
        <v>150</v>
      </c>
      <c r="VH8" s="64" t="s">
        <v>222</v>
      </c>
      <c r="VI8" s="64" t="s">
        <v>334</v>
      </c>
      <c r="VJ8" s="64" t="s">
        <v>139</v>
      </c>
      <c r="VK8" s="64" t="s">
        <v>140</v>
      </c>
      <c r="VL8" s="64" t="s">
        <v>135</v>
      </c>
      <c r="VM8" s="64" t="s">
        <v>136</v>
      </c>
      <c r="VN8" s="64" t="s">
        <v>137</v>
      </c>
      <c r="VO8" s="64" t="s">
        <v>97</v>
      </c>
      <c r="VP8" s="64" t="s">
        <v>141</v>
      </c>
      <c r="VQ8" s="64" t="s">
        <v>142</v>
      </c>
      <c r="VR8" s="64" t="s">
        <v>98</v>
      </c>
      <c r="VS8" s="64" t="s">
        <v>143</v>
      </c>
      <c r="VT8" s="64" t="s">
        <v>144</v>
      </c>
      <c r="VU8" s="64" t="s">
        <v>99</v>
      </c>
      <c r="VV8" s="64" t="s">
        <v>145</v>
      </c>
      <c r="VW8" s="64" t="s">
        <v>146</v>
      </c>
      <c r="VY8" s="64" t="s">
        <v>121</v>
      </c>
      <c r="VZ8" s="64" t="s">
        <v>222</v>
      </c>
      <c r="WA8" s="160" t="s">
        <v>228</v>
      </c>
      <c r="WB8" s="158"/>
      <c r="WC8" s="158"/>
      <c r="WD8" s="158"/>
      <c r="WE8" s="158"/>
      <c r="WF8" s="158"/>
      <c r="WG8" s="158"/>
      <c r="WH8" s="158"/>
      <c r="WI8" s="158"/>
      <c r="WJ8" s="159"/>
      <c r="WK8" s="157" t="s">
        <v>230</v>
      </c>
      <c r="WL8" s="138"/>
      <c r="WM8" s="138"/>
      <c r="WN8" s="138"/>
      <c r="WO8" s="138"/>
      <c r="WP8" s="138"/>
      <c r="WQ8" s="138"/>
      <c r="WR8" s="138"/>
      <c r="WS8" s="138"/>
      <c r="WT8" s="162"/>
      <c r="WU8" s="157" t="s">
        <v>229</v>
      </c>
      <c r="WV8" s="138"/>
      <c r="WW8" s="138"/>
      <c r="WX8" s="138"/>
      <c r="WY8" s="138"/>
      <c r="WZ8" s="138"/>
      <c r="XA8" s="138"/>
      <c r="XB8" s="138"/>
      <c r="XC8" s="162"/>
      <c r="XD8" s="157" t="s">
        <v>231</v>
      </c>
      <c r="XE8" s="160"/>
      <c r="XF8" s="160"/>
      <c r="XG8" s="160"/>
      <c r="XH8" s="160"/>
      <c r="XI8" s="160"/>
      <c r="XJ8" s="160"/>
      <c r="XK8" s="160"/>
      <c r="XL8" s="160"/>
      <c r="XM8" s="163"/>
      <c r="XN8" s="166" t="s">
        <v>234</v>
      </c>
      <c r="XP8" s="160" t="s">
        <v>341</v>
      </c>
      <c r="XQ8" s="158"/>
      <c r="XR8" s="158"/>
      <c r="XS8" s="158"/>
      <c r="XT8" s="158"/>
      <c r="XU8" s="158"/>
      <c r="XV8" s="158"/>
      <c r="XW8" s="158"/>
      <c r="XX8" s="158"/>
      <c r="XY8" s="159"/>
      <c r="XZ8" s="157" t="s">
        <v>342</v>
      </c>
      <c r="YA8" s="138"/>
      <c r="YB8" s="138"/>
      <c r="YC8" s="138"/>
      <c r="YD8" s="138"/>
      <c r="YE8" s="138"/>
      <c r="YF8" s="138"/>
      <c r="YG8" s="138"/>
      <c r="YH8" s="138"/>
      <c r="YI8" s="162"/>
      <c r="YK8" s="13" t="s">
        <v>316</v>
      </c>
      <c r="YL8" s="259" t="s">
        <v>323</v>
      </c>
      <c r="YM8" s="13" t="s">
        <v>130</v>
      </c>
      <c r="YN8" s="13" t="s">
        <v>129</v>
      </c>
      <c r="YO8" s="13" t="s">
        <v>292</v>
      </c>
      <c r="YP8" s="13" t="s">
        <v>315</v>
      </c>
      <c r="YQ8" s="13" t="s">
        <v>123</v>
      </c>
      <c r="YR8" s="13" t="s">
        <v>324</v>
      </c>
      <c r="YS8" s="13" t="s">
        <v>325</v>
      </c>
      <c r="YT8" s="13" t="s">
        <v>126</v>
      </c>
      <c r="YU8" s="13" t="s">
        <v>127</v>
      </c>
      <c r="YV8" s="13" t="s">
        <v>240</v>
      </c>
      <c r="YW8" s="13" t="s">
        <v>133</v>
      </c>
      <c r="YX8" s="13" t="s">
        <v>326</v>
      </c>
      <c r="YY8" s="13" t="s">
        <v>327</v>
      </c>
      <c r="YZ8" s="13" t="s">
        <v>333</v>
      </c>
      <c r="ZA8" s="13" t="s">
        <v>332</v>
      </c>
      <c r="ZB8" s="13" t="s">
        <v>335</v>
      </c>
      <c r="ZC8" s="13" t="s">
        <v>334</v>
      </c>
      <c r="ZD8" s="13" t="s">
        <v>337</v>
      </c>
      <c r="ZE8" s="13" t="s">
        <v>338</v>
      </c>
      <c r="ZF8" s="13" t="s">
        <v>339</v>
      </c>
      <c r="ZG8" s="13" t="s">
        <v>136</v>
      </c>
      <c r="ZH8" s="13" t="s">
        <v>137</v>
      </c>
      <c r="ZI8" s="13" t="s">
        <v>97</v>
      </c>
      <c r="ZJ8" s="13" t="s">
        <v>141</v>
      </c>
      <c r="ZK8" s="13" t="s">
        <v>142</v>
      </c>
      <c r="ZL8" s="13" t="s">
        <v>98</v>
      </c>
      <c r="ZM8" s="13" t="s">
        <v>143</v>
      </c>
      <c r="ZN8" s="13" t="s">
        <v>144</v>
      </c>
      <c r="ZO8" s="13" t="s">
        <v>99</v>
      </c>
      <c r="ZP8" s="13" t="s">
        <v>145</v>
      </c>
      <c r="ZQ8" s="13" t="s">
        <v>146</v>
      </c>
      <c r="ZR8" s="13" t="s">
        <v>153</v>
      </c>
      <c r="ZS8" s="13" t="s">
        <v>154</v>
      </c>
      <c r="ZT8" s="13" t="s">
        <v>147</v>
      </c>
      <c r="ZU8" s="13" t="s">
        <v>462</v>
      </c>
      <c r="ZV8" s="13" t="s">
        <v>461</v>
      </c>
      <c r="ZW8" s="13" t="s">
        <v>463</v>
      </c>
      <c r="ZY8" s="287" t="s">
        <v>39</v>
      </c>
      <c r="AAA8" s="13" t="s">
        <v>94</v>
      </c>
      <c r="AAB8" s="13" t="s">
        <v>329</v>
      </c>
      <c r="AAC8" s="13" t="s">
        <v>330</v>
      </c>
      <c r="AAD8" s="13" t="s">
        <v>109</v>
      </c>
      <c r="AAE8" s="13" t="s">
        <v>110</v>
      </c>
      <c r="AAF8" s="13" t="s">
        <v>111</v>
      </c>
      <c r="AAH8" s="13" t="s">
        <v>57</v>
      </c>
      <c r="AAI8" s="13" t="s">
        <v>256</v>
      </c>
      <c r="AAJ8" s="13" t="s">
        <v>33</v>
      </c>
      <c r="AAK8" s="13" t="s">
        <v>216</v>
      </c>
      <c r="AAL8" s="13" t="s">
        <v>215</v>
      </c>
      <c r="AAM8" s="13" t="s">
        <v>34</v>
      </c>
      <c r="AAN8" s="13" t="s">
        <v>206</v>
      </c>
      <c r="AAP8" s="130" t="s">
        <v>282</v>
      </c>
      <c r="AAQ8" s="64" t="s">
        <v>283</v>
      </c>
      <c r="AAR8" s="64" t="s">
        <v>244</v>
      </c>
      <c r="AAS8" s="64" t="s">
        <v>245</v>
      </c>
      <c r="AAT8" s="64" t="s">
        <v>278</v>
      </c>
      <c r="AAU8" s="64" t="s">
        <v>279</v>
      </c>
      <c r="AAV8" s="131" t="s">
        <v>179</v>
      </c>
      <c r="AAW8" s="130" t="s">
        <v>282</v>
      </c>
      <c r="AAX8" s="64" t="s">
        <v>283</v>
      </c>
      <c r="AAY8" s="64" t="s">
        <v>244</v>
      </c>
      <c r="AAZ8" s="64" t="s">
        <v>245</v>
      </c>
      <c r="ABA8" s="64" t="s">
        <v>278</v>
      </c>
      <c r="ABB8" s="64" t="s">
        <v>279</v>
      </c>
      <c r="ABC8" s="131" t="s">
        <v>179</v>
      </c>
      <c r="ABD8" s="130" t="s">
        <v>282</v>
      </c>
      <c r="ABE8" s="64" t="s">
        <v>283</v>
      </c>
      <c r="ABF8" s="64" t="s">
        <v>244</v>
      </c>
      <c r="ABG8" s="64" t="s">
        <v>245</v>
      </c>
      <c r="ABH8" s="64" t="s">
        <v>278</v>
      </c>
      <c r="ABI8" s="64" t="s">
        <v>279</v>
      </c>
      <c r="ABJ8" s="131" t="s">
        <v>179</v>
      </c>
      <c r="ABK8" s="130" t="s">
        <v>282</v>
      </c>
      <c r="ABL8" s="64" t="s">
        <v>283</v>
      </c>
      <c r="ABM8" s="64" t="s">
        <v>244</v>
      </c>
      <c r="ABN8" s="64" t="s">
        <v>245</v>
      </c>
      <c r="ABO8" s="64" t="s">
        <v>278</v>
      </c>
      <c r="ABP8" s="64" t="s">
        <v>279</v>
      </c>
      <c r="ABQ8" s="131" t="s">
        <v>179</v>
      </c>
      <c r="ABR8" s="130" t="s">
        <v>282</v>
      </c>
      <c r="ABS8" s="64" t="s">
        <v>283</v>
      </c>
      <c r="ABT8" s="64" t="s">
        <v>244</v>
      </c>
      <c r="ABU8" s="64" t="s">
        <v>245</v>
      </c>
      <c r="ABV8" s="64" t="s">
        <v>278</v>
      </c>
      <c r="ABW8" s="64" t="s">
        <v>279</v>
      </c>
      <c r="ABX8" s="131" t="s">
        <v>179</v>
      </c>
      <c r="ABY8" s="130" t="s">
        <v>282</v>
      </c>
      <c r="ABZ8" s="64" t="s">
        <v>283</v>
      </c>
      <c r="ACA8" s="64" t="s">
        <v>244</v>
      </c>
      <c r="ACB8" s="64" t="s">
        <v>245</v>
      </c>
      <c r="ACC8" s="64" t="s">
        <v>278</v>
      </c>
      <c r="ACD8" s="64" t="s">
        <v>279</v>
      </c>
      <c r="ACE8" s="131" t="s">
        <v>179</v>
      </c>
      <c r="ACF8" s="130" t="s">
        <v>282</v>
      </c>
      <c r="ACG8" s="64" t="s">
        <v>283</v>
      </c>
      <c r="ACH8" s="64" t="s">
        <v>244</v>
      </c>
      <c r="ACI8" s="64" t="s">
        <v>245</v>
      </c>
      <c r="ACJ8" s="64" t="s">
        <v>278</v>
      </c>
      <c r="ACK8" s="64" t="s">
        <v>279</v>
      </c>
      <c r="ACL8" s="131" t="s">
        <v>179</v>
      </c>
      <c r="ACN8" s="13" t="s">
        <v>287</v>
      </c>
      <c r="ACO8" s="13" t="s">
        <v>264</v>
      </c>
      <c r="ACP8" s="13" t="s">
        <v>288</v>
      </c>
      <c r="ACQ8" s="13" t="s">
        <v>285</v>
      </c>
      <c r="ACR8" s="13" t="s">
        <v>286</v>
      </c>
      <c r="ACT8" s="64" t="s">
        <v>208</v>
      </c>
      <c r="ACU8" s="64" t="s">
        <v>257</v>
      </c>
      <c r="ACV8" s="64" t="s">
        <v>148</v>
      </c>
      <c r="ACW8" s="64" t="s">
        <v>213</v>
      </c>
      <c r="ACX8" s="64" t="s">
        <v>212</v>
      </c>
      <c r="ACY8" s="64" t="s">
        <v>149</v>
      </c>
      <c r="ACZ8" s="64" t="s">
        <v>150</v>
      </c>
      <c r="ADA8" s="64" t="s">
        <v>222</v>
      </c>
      <c r="ADB8" s="64" t="s">
        <v>334</v>
      </c>
      <c r="ADC8" s="64" t="s">
        <v>139</v>
      </c>
      <c r="ADD8" s="64" t="s">
        <v>140</v>
      </c>
      <c r="ADE8" s="64" t="s">
        <v>135</v>
      </c>
      <c r="ADF8" s="64" t="s">
        <v>136</v>
      </c>
      <c r="ADG8" s="64" t="s">
        <v>137</v>
      </c>
      <c r="ADH8" s="64" t="s">
        <v>97</v>
      </c>
      <c r="ADI8" s="64" t="s">
        <v>141</v>
      </c>
      <c r="ADJ8" s="64" t="s">
        <v>142</v>
      </c>
      <c r="ADK8" s="64" t="s">
        <v>98</v>
      </c>
      <c r="ADL8" s="64" t="s">
        <v>143</v>
      </c>
      <c r="ADM8" s="64" t="s">
        <v>144</v>
      </c>
      <c r="ADN8" s="64" t="s">
        <v>99</v>
      </c>
      <c r="ADO8" s="64" t="s">
        <v>145</v>
      </c>
      <c r="ADP8" s="64" t="s">
        <v>146</v>
      </c>
      <c r="ADR8" s="64" t="s">
        <v>121</v>
      </c>
      <c r="ADS8" s="64" t="s">
        <v>222</v>
      </c>
      <c r="ADT8" s="160" t="s">
        <v>228</v>
      </c>
      <c r="ADU8" s="158"/>
      <c r="ADV8" s="158"/>
      <c r="ADW8" s="158"/>
      <c r="ADX8" s="158"/>
      <c r="ADY8" s="158"/>
      <c r="ADZ8" s="158"/>
      <c r="AEA8" s="158"/>
      <c r="AEB8" s="158"/>
      <c r="AEC8" s="159"/>
      <c r="AED8" s="157" t="s">
        <v>230</v>
      </c>
      <c r="AEE8" s="138"/>
      <c r="AEF8" s="138"/>
      <c r="AEG8" s="138"/>
      <c r="AEH8" s="138"/>
      <c r="AEI8" s="138"/>
      <c r="AEJ8" s="138"/>
      <c r="AEK8" s="138"/>
      <c r="AEL8" s="138"/>
      <c r="AEM8" s="162"/>
      <c r="AEN8" s="157" t="s">
        <v>229</v>
      </c>
      <c r="AEO8" s="138"/>
      <c r="AEP8" s="138"/>
      <c r="AEQ8" s="138"/>
      <c r="AER8" s="138"/>
      <c r="AES8" s="138"/>
      <c r="AET8" s="138"/>
      <c r="AEU8" s="138"/>
      <c r="AEV8" s="162"/>
      <c r="AEW8" s="157" t="s">
        <v>231</v>
      </c>
      <c r="AEX8" s="160"/>
      <c r="AEY8" s="160"/>
      <c r="AEZ8" s="160"/>
      <c r="AFA8" s="160"/>
      <c r="AFB8" s="160"/>
      <c r="AFC8" s="160"/>
      <c r="AFD8" s="160"/>
      <c r="AFE8" s="160"/>
      <c r="AFF8" s="163"/>
      <c r="AFG8" s="166" t="s">
        <v>234</v>
      </c>
      <c r="AFI8" s="160" t="s">
        <v>341</v>
      </c>
      <c r="AFJ8" s="158"/>
      <c r="AFK8" s="158"/>
      <c r="AFL8" s="158"/>
      <c r="AFM8" s="158"/>
      <c r="AFN8" s="158"/>
      <c r="AFO8" s="158"/>
      <c r="AFP8" s="158"/>
      <c r="AFQ8" s="158"/>
      <c r="AFR8" s="159"/>
      <c r="AFS8" s="157" t="s">
        <v>342</v>
      </c>
      <c r="AFT8" s="138"/>
      <c r="AFU8" s="138"/>
      <c r="AFV8" s="138"/>
      <c r="AFW8" s="138"/>
      <c r="AFX8" s="138"/>
      <c r="AFY8" s="138"/>
      <c r="AFZ8" s="138"/>
      <c r="AGA8" s="138"/>
      <c r="AGB8" s="162"/>
      <c r="AGD8" s="13" t="s">
        <v>316</v>
      </c>
      <c r="AGE8" s="259" t="s">
        <v>323</v>
      </c>
      <c r="AGF8" s="13" t="s">
        <v>130</v>
      </c>
      <c r="AGG8" s="13" t="s">
        <v>129</v>
      </c>
      <c r="AGH8" s="13" t="s">
        <v>292</v>
      </c>
      <c r="AGI8" s="13" t="s">
        <v>315</v>
      </c>
      <c r="AGJ8" s="13" t="s">
        <v>123</v>
      </c>
      <c r="AGK8" s="13" t="s">
        <v>324</v>
      </c>
      <c r="AGL8" s="13" t="s">
        <v>325</v>
      </c>
      <c r="AGM8" s="13" t="s">
        <v>126</v>
      </c>
      <c r="AGN8" s="13" t="s">
        <v>127</v>
      </c>
      <c r="AGO8" s="13" t="s">
        <v>240</v>
      </c>
      <c r="AGP8" s="13" t="s">
        <v>133</v>
      </c>
      <c r="AGQ8" s="13" t="s">
        <v>326</v>
      </c>
      <c r="AGR8" s="13" t="s">
        <v>327</v>
      </c>
      <c r="AGS8" s="13" t="s">
        <v>333</v>
      </c>
      <c r="AGT8" s="13" t="s">
        <v>332</v>
      </c>
      <c r="AGU8" s="13" t="s">
        <v>335</v>
      </c>
      <c r="AGV8" s="13" t="s">
        <v>334</v>
      </c>
      <c r="AGW8" s="13" t="s">
        <v>337</v>
      </c>
      <c r="AGX8" s="13" t="s">
        <v>338</v>
      </c>
      <c r="AGY8" s="13" t="s">
        <v>339</v>
      </c>
      <c r="AGZ8" s="13" t="s">
        <v>136</v>
      </c>
      <c r="AHA8" s="13" t="s">
        <v>137</v>
      </c>
      <c r="AHB8" s="13" t="s">
        <v>97</v>
      </c>
      <c r="AHC8" s="13" t="s">
        <v>141</v>
      </c>
      <c r="AHD8" s="13" t="s">
        <v>142</v>
      </c>
      <c r="AHE8" s="13" t="s">
        <v>98</v>
      </c>
      <c r="AHF8" s="13" t="s">
        <v>143</v>
      </c>
      <c r="AHG8" s="13" t="s">
        <v>144</v>
      </c>
      <c r="AHH8" s="13" t="s">
        <v>99</v>
      </c>
      <c r="AHI8" s="13" t="s">
        <v>145</v>
      </c>
      <c r="AHJ8" s="13" t="s">
        <v>146</v>
      </c>
      <c r="AHK8" s="13" t="s">
        <v>153</v>
      </c>
      <c r="AHL8" s="13" t="s">
        <v>154</v>
      </c>
      <c r="AHM8" s="13" t="s">
        <v>147</v>
      </c>
      <c r="AHN8" s="13" t="s">
        <v>462</v>
      </c>
      <c r="AHO8" s="13" t="s">
        <v>461</v>
      </c>
      <c r="AHP8" s="13" t="s">
        <v>463</v>
      </c>
      <c r="AHR8" s="13" t="s">
        <v>94</v>
      </c>
      <c r="AHS8" s="13" t="s">
        <v>329</v>
      </c>
      <c r="AHT8" s="13" t="s">
        <v>330</v>
      </c>
      <c r="AHU8" s="13" t="s">
        <v>109</v>
      </c>
      <c r="AHV8" s="13" t="s">
        <v>110</v>
      </c>
      <c r="AHW8" s="13" t="s">
        <v>111</v>
      </c>
      <c r="AHY8" s="13" t="s">
        <v>57</v>
      </c>
      <c r="AHZ8" s="13" t="s">
        <v>256</v>
      </c>
      <c r="AIA8" s="13" t="s">
        <v>33</v>
      </c>
      <c r="AIB8" s="13" t="s">
        <v>216</v>
      </c>
      <c r="AIC8" s="13" t="s">
        <v>215</v>
      </c>
      <c r="AID8" s="13" t="s">
        <v>34</v>
      </c>
      <c r="AIE8" s="13" t="s">
        <v>206</v>
      </c>
      <c r="AIG8" s="130" t="s">
        <v>282</v>
      </c>
      <c r="AIH8" s="64" t="s">
        <v>283</v>
      </c>
      <c r="AII8" s="64" t="s">
        <v>244</v>
      </c>
      <c r="AIJ8" s="64" t="s">
        <v>245</v>
      </c>
      <c r="AIK8" s="64" t="s">
        <v>278</v>
      </c>
      <c r="AIL8" s="64" t="s">
        <v>279</v>
      </c>
      <c r="AIM8" s="131" t="s">
        <v>179</v>
      </c>
      <c r="AIN8" s="130" t="s">
        <v>282</v>
      </c>
      <c r="AIO8" s="64" t="s">
        <v>283</v>
      </c>
      <c r="AIP8" s="64" t="s">
        <v>244</v>
      </c>
      <c r="AIQ8" s="64" t="s">
        <v>245</v>
      </c>
      <c r="AIR8" s="64" t="s">
        <v>278</v>
      </c>
      <c r="AIS8" s="64" t="s">
        <v>279</v>
      </c>
      <c r="AIT8" s="131" t="s">
        <v>179</v>
      </c>
      <c r="AIU8" s="130" t="s">
        <v>282</v>
      </c>
      <c r="AIV8" s="64" t="s">
        <v>283</v>
      </c>
      <c r="AIW8" s="64" t="s">
        <v>244</v>
      </c>
      <c r="AIX8" s="64" t="s">
        <v>245</v>
      </c>
      <c r="AIY8" s="64" t="s">
        <v>278</v>
      </c>
      <c r="AIZ8" s="64" t="s">
        <v>279</v>
      </c>
      <c r="AJA8" s="131" t="s">
        <v>179</v>
      </c>
      <c r="AJB8" s="130" t="s">
        <v>282</v>
      </c>
      <c r="AJC8" s="64" t="s">
        <v>283</v>
      </c>
      <c r="AJD8" s="64" t="s">
        <v>244</v>
      </c>
      <c r="AJE8" s="64" t="s">
        <v>245</v>
      </c>
      <c r="AJF8" s="64" t="s">
        <v>278</v>
      </c>
      <c r="AJG8" s="64" t="s">
        <v>279</v>
      </c>
      <c r="AJH8" s="131" t="s">
        <v>179</v>
      </c>
      <c r="AJI8" s="130" t="s">
        <v>282</v>
      </c>
      <c r="AJJ8" s="64" t="s">
        <v>283</v>
      </c>
      <c r="AJK8" s="64" t="s">
        <v>244</v>
      </c>
      <c r="AJL8" s="64" t="s">
        <v>245</v>
      </c>
      <c r="AJM8" s="64" t="s">
        <v>278</v>
      </c>
      <c r="AJN8" s="64" t="s">
        <v>279</v>
      </c>
      <c r="AJO8" s="131" t="s">
        <v>179</v>
      </c>
      <c r="AJP8" s="130" t="s">
        <v>282</v>
      </c>
      <c r="AJQ8" s="64" t="s">
        <v>283</v>
      </c>
      <c r="AJR8" s="64" t="s">
        <v>244</v>
      </c>
      <c r="AJS8" s="64" t="s">
        <v>245</v>
      </c>
      <c r="AJT8" s="64" t="s">
        <v>278</v>
      </c>
      <c r="AJU8" s="64" t="s">
        <v>279</v>
      </c>
      <c r="AJV8" s="131" t="s">
        <v>179</v>
      </c>
      <c r="AJW8" s="130" t="s">
        <v>282</v>
      </c>
      <c r="AJX8" s="64" t="s">
        <v>283</v>
      </c>
      <c r="AJY8" s="64" t="s">
        <v>244</v>
      </c>
      <c r="AJZ8" s="64" t="s">
        <v>245</v>
      </c>
      <c r="AKA8" s="64" t="s">
        <v>278</v>
      </c>
      <c r="AKB8" s="64" t="s">
        <v>279</v>
      </c>
      <c r="AKC8" s="131" t="s">
        <v>179</v>
      </c>
      <c r="AKE8" s="13" t="s">
        <v>287</v>
      </c>
      <c r="AKF8" s="13" t="s">
        <v>264</v>
      </c>
      <c r="AKG8" s="13" t="s">
        <v>288</v>
      </c>
      <c r="AKH8" s="13" t="s">
        <v>285</v>
      </c>
      <c r="AKI8" s="13" t="s">
        <v>286</v>
      </c>
      <c r="AKK8" s="64" t="s">
        <v>208</v>
      </c>
      <c r="AKL8" s="64" t="s">
        <v>257</v>
      </c>
      <c r="AKM8" s="64" t="s">
        <v>148</v>
      </c>
      <c r="AKN8" s="64" t="s">
        <v>213</v>
      </c>
      <c r="AKO8" s="64" t="s">
        <v>212</v>
      </c>
      <c r="AKP8" s="64" t="s">
        <v>149</v>
      </c>
      <c r="AKQ8" s="64" t="s">
        <v>150</v>
      </c>
      <c r="AKR8" s="64" t="s">
        <v>222</v>
      </c>
      <c r="AKS8" s="64" t="s">
        <v>334</v>
      </c>
      <c r="AKT8" s="64" t="s">
        <v>139</v>
      </c>
      <c r="AKU8" s="64" t="s">
        <v>140</v>
      </c>
      <c r="AKV8" s="64" t="s">
        <v>135</v>
      </c>
      <c r="AKW8" s="64" t="s">
        <v>136</v>
      </c>
      <c r="AKX8" s="64" t="s">
        <v>137</v>
      </c>
      <c r="AKY8" s="64" t="s">
        <v>97</v>
      </c>
      <c r="AKZ8" s="64" t="s">
        <v>141</v>
      </c>
      <c r="ALA8" s="64" t="s">
        <v>142</v>
      </c>
      <c r="ALB8" s="64" t="s">
        <v>98</v>
      </c>
      <c r="ALC8" s="64" t="s">
        <v>143</v>
      </c>
      <c r="ALD8" s="64" t="s">
        <v>144</v>
      </c>
      <c r="ALE8" s="64" t="s">
        <v>99</v>
      </c>
      <c r="ALF8" s="64" t="s">
        <v>145</v>
      </c>
      <c r="ALG8" s="64" t="s">
        <v>146</v>
      </c>
      <c r="ALI8" s="64" t="s">
        <v>121</v>
      </c>
      <c r="ALJ8" s="64" t="s">
        <v>222</v>
      </c>
      <c r="ALK8" s="160" t="s">
        <v>228</v>
      </c>
      <c r="ALL8" s="158"/>
      <c r="ALM8" s="158"/>
      <c r="ALN8" s="158"/>
      <c r="ALO8" s="158"/>
      <c r="ALP8" s="158"/>
      <c r="ALQ8" s="158"/>
      <c r="ALR8" s="158"/>
      <c r="ALS8" s="158"/>
      <c r="ALT8" s="159"/>
      <c r="ALU8" s="157" t="s">
        <v>230</v>
      </c>
      <c r="ALV8" s="138"/>
      <c r="ALW8" s="138"/>
      <c r="ALX8" s="138"/>
      <c r="ALY8" s="138"/>
      <c r="ALZ8" s="138"/>
      <c r="AMA8" s="138"/>
      <c r="AMB8" s="138"/>
      <c r="AMC8" s="138"/>
      <c r="AMD8" s="162"/>
      <c r="AME8" s="157" t="s">
        <v>229</v>
      </c>
      <c r="AMF8" s="138"/>
      <c r="AMG8" s="138"/>
      <c r="AMH8" s="138"/>
      <c r="AMI8" s="138"/>
      <c r="AMJ8" s="138"/>
      <c r="AMK8" s="138"/>
      <c r="AML8" s="138"/>
      <c r="AMM8" s="162"/>
      <c r="AMN8" s="157" t="s">
        <v>231</v>
      </c>
      <c r="AMO8" s="160"/>
      <c r="AMP8" s="160"/>
      <c r="AMQ8" s="160"/>
      <c r="AMR8" s="160"/>
      <c r="AMS8" s="160"/>
      <c r="AMT8" s="160"/>
      <c r="AMU8" s="160"/>
      <c r="AMV8" s="160"/>
      <c r="AMW8" s="163"/>
      <c r="AMX8" s="166" t="s">
        <v>234</v>
      </c>
      <c r="AMZ8" s="160" t="s">
        <v>341</v>
      </c>
      <c r="ANA8" s="158"/>
      <c r="ANB8" s="158"/>
      <c r="ANC8" s="158"/>
      <c r="AND8" s="158"/>
      <c r="ANE8" s="158"/>
      <c r="ANF8" s="158"/>
      <c r="ANG8" s="158"/>
      <c r="ANH8" s="158"/>
      <c r="ANI8" s="159"/>
      <c r="ANJ8" s="157" t="s">
        <v>342</v>
      </c>
      <c r="ANK8" s="138"/>
      <c r="ANL8" s="138"/>
      <c r="ANM8" s="138"/>
      <c r="ANN8" s="138"/>
      <c r="ANO8" s="138"/>
      <c r="ANP8" s="138"/>
      <c r="ANQ8" s="138"/>
      <c r="ANR8" s="138"/>
      <c r="ANS8" s="162"/>
      <c r="ANU8" s="13" t="s">
        <v>316</v>
      </c>
      <c r="ANV8" s="259" t="s">
        <v>323</v>
      </c>
      <c r="ANW8" s="13" t="s">
        <v>130</v>
      </c>
      <c r="ANX8" s="13" t="s">
        <v>129</v>
      </c>
      <c r="ANY8" s="13" t="s">
        <v>292</v>
      </c>
      <c r="ANZ8" s="13" t="s">
        <v>315</v>
      </c>
      <c r="AOA8" s="13" t="s">
        <v>123</v>
      </c>
      <c r="AOB8" s="13" t="s">
        <v>324</v>
      </c>
      <c r="AOC8" s="13" t="s">
        <v>325</v>
      </c>
      <c r="AOD8" s="13" t="s">
        <v>126</v>
      </c>
      <c r="AOE8" s="13" t="s">
        <v>127</v>
      </c>
      <c r="AOF8" s="13" t="s">
        <v>240</v>
      </c>
      <c r="AOG8" s="13" t="s">
        <v>133</v>
      </c>
      <c r="AOH8" s="13" t="s">
        <v>326</v>
      </c>
      <c r="AOI8" s="13" t="s">
        <v>327</v>
      </c>
      <c r="AOJ8" s="13" t="s">
        <v>333</v>
      </c>
      <c r="AOK8" s="13" t="s">
        <v>332</v>
      </c>
      <c r="AOL8" s="13" t="s">
        <v>335</v>
      </c>
      <c r="AOM8" s="13" t="s">
        <v>334</v>
      </c>
      <c r="AON8" s="13" t="s">
        <v>337</v>
      </c>
      <c r="AOO8" s="13" t="s">
        <v>338</v>
      </c>
      <c r="AOP8" s="13" t="s">
        <v>339</v>
      </c>
      <c r="AOQ8" s="13" t="s">
        <v>136</v>
      </c>
      <c r="AOR8" s="13" t="s">
        <v>137</v>
      </c>
      <c r="AOS8" s="13" t="s">
        <v>97</v>
      </c>
      <c r="AOT8" s="13" t="s">
        <v>141</v>
      </c>
      <c r="AOU8" s="13" t="s">
        <v>142</v>
      </c>
      <c r="AOV8" s="13" t="s">
        <v>98</v>
      </c>
      <c r="AOW8" s="13" t="s">
        <v>143</v>
      </c>
      <c r="AOX8" s="13" t="s">
        <v>144</v>
      </c>
      <c r="AOY8" s="13" t="s">
        <v>99</v>
      </c>
      <c r="AOZ8" s="13" t="s">
        <v>145</v>
      </c>
      <c r="APA8" s="13" t="s">
        <v>146</v>
      </c>
      <c r="APB8" s="13" t="s">
        <v>153</v>
      </c>
      <c r="APC8" s="13" t="s">
        <v>154</v>
      </c>
      <c r="APD8" s="13" t="s">
        <v>147</v>
      </c>
      <c r="APE8" s="13" t="s">
        <v>462</v>
      </c>
      <c r="APF8" s="13" t="s">
        <v>461</v>
      </c>
      <c r="APG8" s="13" t="s">
        <v>463</v>
      </c>
      <c r="API8" s="287" t="s">
        <v>39</v>
      </c>
      <c r="APK8" s="13" t="s">
        <v>346</v>
      </c>
      <c r="APL8" s="13" t="s">
        <v>351</v>
      </c>
      <c r="APM8" s="13" t="s">
        <v>353</v>
      </c>
      <c r="APO8" s="287" t="s">
        <v>39</v>
      </c>
    </row>
    <row r="9" spans="1:1134" s="9" customFormat="1" ht="95.25" thickBot="1">
      <c r="C9" s="26" t="s">
        <v>7</v>
      </c>
      <c r="D9" s="26" t="s">
        <v>15</v>
      </c>
      <c r="E9" s="26" t="s">
        <v>19</v>
      </c>
      <c r="F9" s="26" t="s">
        <v>13</v>
      </c>
      <c r="G9" s="27" t="s">
        <v>14</v>
      </c>
      <c r="H9" s="27" t="s">
        <v>14</v>
      </c>
      <c r="I9" s="26" t="s">
        <v>12</v>
      </c>
      <c r="J9" s="26" t="s">
        <v>12</v>
      </c>
      <c r="K9" s="26" t="s">
        <v>12</v>
      </c>
      <c r="L9" s="26" t="s">
        <v>12</v>
      </c>
      <c r="M9" s="26" t="s">
        <v>12</v>
      </c>
      <c r="N9" s="26" t="s">
        <v>12</v>
      </c>
      <c r="O9" s="26" t="s">
        <v>12</v>
      </c>
      <c r="P9" s="26" t="s">
        <v>181</v>
      </c>
      <c r="Q9" s="27" t="s">
        <v>14</v>
      </c>
      <c r="R9" s="27" t="s">
        <v>14</v>
      </c>
      <c r="T9" s="287" t="s">
        <v>39</v>
      </c>
      <c r="V9" s="21"/>
      <c r="W9" s="26" t="s">
        <v>12</v>
      </c>
      <c r="X9" s="26" t="s">
        <v>12</v>
      </c>
      <c r="Y9" s="26" t="s">
        <v>12</v>
      </c>
      <c r="Z9" s="26" t="s">
        <v>12</v>
      </c>
      <c r="AA9" s="26" t="s">
        <v>12</v>
      </c>
      <c r="AB9" s="26" t="s">
        <v>12</v>
      </c>
      <c r="AC9" s="26" t="s">
        <v>12</v>
      </c>
      <c r="AE9" s="26" t="s">
        <v>19</v>
      </c>
      <c r="AF9" s="26" t="s">
        <v>12</v>
      </c>
      <c r="AG9" s="26" t="s">
        <v>12</v>
      </c>
      <c r="AH9" s="26" t="s">
        <v>12</v>
      </c>
      <c r="AI9" s="26" t="s">
        <v>12</v>
      </c>
      <c r="AJ9" s="26" t="s">
        <v>12</v>
      </c>
      <c r="AK9" s="26" t="s">
        <v>12</v>
      </c>
      <c r="AL9" s="26" t="s">
        <v>12</v>
      </c>
      <c r="AM9" s="26" t="s">
        <v>18</v>
      </c>
      <c r="AN9" s="26" t="s">
        <v>5</v>
      </c>
      <c r="AO9" s="260" t="s">
        <v>295</v>
      </c>
      <c r="AP9" s="27" t="s">
        <v>14</v>
      </c>
      <c r="AQ9" s="261" t="s">
        <v>303</v>
      </c>
      <c r="AR9" s="261" t="s">
        <v>356</v>
      </c>
      <c r="AS9" s="27" t="s">
        <v>14</v>
      </c>
      <c r="AT9" s="26" t="s">
        <v>93</v>
      </c>
      <c r="AU9" s="26" t="s">
        <v>159</v>
      </c>
      <c r="AV9" s="241" t="s">
        <v>14</v>
      </c>
      <c r="AW9" s="241" t="s">
        <v>14</v>
      </c>
      <c r="AX9" s="26" t="s">
        <v>161</v>
      </c>
      <c r="AY9" s="26" t="s">
        <v>355</v>
      </c>
      <c r="AZ9" s="26" t="s">
        <v>354</v>
      </c>
      <c r="BA9" s="26" t="s">
        <v>396</v>
      </c>
      <c r="BB9" s="26"/>
      <c r="BC9" s="241" t="s">
        <v>14</v>
      </c>
      <c r="BD9" s="26" t="s">
        <v>354</v>
      </c>
      <c r="BE9" s="26" t="s">
        <v>354</v>
      </c>
      <c r="BF9" s="26" t="s">
        <v>354</v>
      </c>
      <c r="BG9" s="26" t="s">
        <v>354</v>
      </c>
      <c r="BH9" s="26" t="s">
        <v>354</v>
      </c>
      <c r="BI9" s="310" t="s">
        <v>354</v>
      </c>
      <c r="BK9" s="287" t="s">
        <v>39</v>
      </c>
      <c r="BM9" s="26" t="s">
        <v>354</v>
      </c>
      <c r="BN9" s="26" t="s">
        <v>12</v>
      </c>
      <c r="BO9" s="26" t="s">
        <v>12</v>
      </c>
      <c r="BP9" s="26" t="s">
        <v>12</v>
      </c>
      <c r="BQ9" s="26" t="s">
        <v>12</v>
      </c>
      <c r="BR9" s="26" t="s">
        <v>12</v>
      </c>
      <c r="BS9" s="26" t="s">
        <v>12</v>
      </c>
      <c r="BT9" s="26" t="s">
        <v>12</v>
      </c>
      <c r="BU9" s="26" t="s">
        <v>18</v>
      </c>
      <c r="BV9" s="26" t="s">
        <v>398</v>
      </c>
      <c r="BX9" s="27" t="s">
        <v>12</v>
      </c>
      <c r="BY9" s="27" t="s">
        <v>14</v>
      </c>
      <c r="BZ9" s="27" t="s">
        <v>14</v>
      </c>
      <c r="CA9" s="27" t="s">
        <v>14</v>
      </c>
      <c r="CB9" s="27" t="s">
        <v>378</v>
      </c>
      <c r="CC9" s="27" t="s">
        <v>12</v>
      </c>
      <c r="CD9" s="27" t="s">
        <v>12</v>
      </c>
      <c r="CE9" s="27" t="s">
        <v>14</v>
      </c>
      <c r="CG9" s="27" t="s">
        <v>12</v>
      </c>
      <c r="CH9" s="27" t="s">
        <v>12</v>
      </c>
      <c r="CI9" s="27" t="s">
        <v>12</v>
      </c>
      <c r="CJ9" s="27" t="s">
        <v>382</v>
      </c>
      <c r="CK9" s="27" t="s">
        <v>383</v>
      </c>
      <c r="CL9" s="27" t="s">
        <v>386</v>
      </c>
      <c r="CM9" s="27" t="s">
        <v>383</v>
      </c>
      <c r="CN9" s="27" t="s">
        <v>383</v>
      </c>
      <c r="CO9" s="27" t="s">
        <v>383</v>
      </c>
      <c r="CP9" s="27" t="s">
        <v>393</v>
      </c>
      <c r="CQ9" s="27" t="s">
        <v>383</v>
      </c>
      <c r="CR9" s="27" t="s">
        <v>383</v>
      </c>
      <c r="CT9" s="287" t="s">
        <v>39</v>
      </c>
      <c r="CV9" s="110" t="s">
        <v>354</v>
      </c>
      <c r="CW9" s="26" t="s">
        <v>12</v>
      </c>
      <c r="CX9" s="26" t="s">
        <v>12</v>
      </c>
      <c r="CY9" s="26" t="s">
        <v>12</v>
      </c>
      <c r="CZ9" s="26" t="s">
        <v>12</v>
      </c>
      <c r="DA9" s="26" t="s">
        <v>12</v>
      </c>
      <c r="DB9" s="26" t="s">
        <v>12</v>
      </c>
      <c r="DC9" s="26" t="s">
        <v>12</v>
      </c>
      <c r="DD9" s="26" t="s">
        <v>18</v>
      </c>
      <c r="DE9" s="26" t="s">
        <v>398</v>
      </c>
      <c r="DG9" s="27" t="s">
        <v>12</v>
      </c>
      <c r="DH9" s="27" t="s">
        <v>14</v>
      </c>
      <c r="DI9" s="27" t="s">
        <v>14</v>
      </c>
      <c r="DJ9" s="27" t="s">
        <v>14</v>
      </c>
      <c r="DK9" s="27" t="s">
        <v>378</v>
      </c>
      <c r="DL9" s="27" t="s">
        <v>12</v>
      </c>
      <c r="DM9" s="27" t="s">
        <v>12</v>
      </c>
      <c r="DN9" s="27" t="s">
        <v>14</v>
      </c>
      <c r="DP9" s="27" t="s">
        <v>12</v>
      </c>
      <c r="DQ9" s="27" t="s">
        <v>12</v>
      </c>
      <c r="DR9" s="27" t="s">
        <v>12</v>
      </c>
      <c r="DS9" s="27" t="s">
        <v>382</v>
      </c>
      <c r="DT9" s="27" t="s">
        <v>383</v>
      </c>
      <c r="DU9" s="27" t="s">
        <v>386</v>
      </c>
      <c r="DV9" s="27" t="s">
        <v>383</v>
      </c>
      <c r="DW9" s="27" t="s">
        <v>383</v>
      </c>
      <c r="DX9" s="27" t="s">
        <v>383</v>
      </c>
      <c r="DY9" s="27" t="s">
        <v>393</v>
      </c>
      <c r="DZ9" s="27" t="s">
        <v>383</v>
      </c>
      <c r="EA9" s="27" t="s">
        <v>383</v>
      </c>
      <c r="EC9" s="287" t="s">
        <v>39</v>
      </c>
      <c r="EE9" s="110" t="s">
        <v>354</v>
      </c>
      <c r="EF9" s="26" t="s">
        <v>12</v>
      </c>
      <c r="EG9" s="26" t="s">
        <v>12</v>
      </c>
      <c r="EH9" s="26" t="s">
        <v>12</v>
      </c>
      <c r="EI9" s="26" t="s">
        <v>12</v>
      </c>
      <c r="EJ9" s="26" t="s">
        <v>12</v>
      </c>
      <c r="EK9" s="26" t="s">
        <v>12</v>
      </c>
      <c r="EL9" s="26" t="s">
        <v>12</v>
      </c>
      <c r="EM9" s="26" t="s">
        <v>18</v>
      </c>
      <c r="EN9" s="26" t="s">
        <v>398</v>
      </c>
      <c r="EP9" s="27" t="s">
        <v>12</v>
      </c>
      <c r="EQ9" s="27" t="s">
        <v>14</v>
      </c>
      <c r="ER9" s="27" t="s">
        <v>14</v>
      </c>
      <c r="ES9" s="27" t="s">
        <v>14</v>
      </c>
      <c r="ET9" s="27" t="s">
        <v>378</v>
      </c>
      <c r="EU9" s="27" t="s">
        <v>12</v>
      </c>
      <c r="EV9" s="27" t="s">
        <v>12</v>
      </c>
      <c r="EW9" s="27" t="s">
        <v>14</v>
      </c>
      <c r="EY9" s="27" t="s">
        <v>12</v>
      </c>
      <c r="EZ9" s="27" t="s">
        <v>12</v>
      </c>
      <c r="FA9" s="27" t="s">
        <v>12</v>
      </c>
      <c r="FB9" s="27" t="s">
        <v>382</v>
      </c>
      <c r="FC9" s="27" t="s">
        <v>383</v>
      </c>
      <c r="FD9" s="27" t="s">
        <v>386</v>
      </c>
      <c r="FE9" s="27" t="s">
        <v>383</v>
      </c>
      <c r="FF9" s="27" t="s">
        <v>383</v>
      </c>
      <c r="FG9" s="27" t="s">
        <v>383</v>
      </c>
      <c r="FH9" s="27" t="s">
        <v>393</v>
      </c>
      <c r="FI9" s="27" t="s">
        <v>383</v>
      </c>
      <c r="FJ9" s="27" t="s">
        <v>383</v>
      </c>
      <c r="FL9" s="287" t="s">
        <v>39</v>
      </c>
      <c r="FN9" s="310" t="s">
        <v>354</v>
      </c>
      <c r="FO9" s="310" t="s">
        <v>12</v>
      </c>
      <c r="FP9" s="310" t="s">
        <v>12</v>
      </c>
      <c r="FQ9" s="310" t="s">
        <v>12</v>
      </c>
      <c r="FR9" s="310" t="s">
        <v>12</v>
      </c>
      <c r="FS9" s="310" t="s">
        <v>12</v>
      </c>
      <c r="FT9" s="310" t="s">
        <v>12</v>
      </c>
      <c r="FU9" s="310" t="s">
        <v>12</v>
      </c>
      <c r="FV9" s="310" t="s">
        <v>18</v>
      </c>
      <c r="FW9" s="310" t="s">
        <v>398</v>
      </c>
      <c r="FX9" s="312"/>
      <c r="FY9" s="241" t="s">
        <v>12</v>
      </c>
      <c r="FZ9" s="241" t="s">
        <v>14</v>
      </c>
      <c r="GA9" s="241" t="s">
        <v>14</v>
      </c>
      <c r="GB9" s="241" t="s">
        <v>14</v>
      </c>
      <c r="GC9" s="241" t="s">
        <v>378</v>
      </c>
      <c r="GD9" s="241" t="s">
        <v>12</v>
      </c>
      <c r="GE9" s="241" t="s">
        <v>12</v>
      </c>
      <c r="GF9" s="241" t="s">
        <v>14</v>
      </c>
      <c r="GG9" s="312"/>
      <c r="GH9" s="241" t="s">
        <v>12</v>
      </c>
      <c r="GI9" s="241" t="s">
        <v>12</v>
      </c>
      <c r="GJ9" s="241" t="s">
        <v>12</v>
      </c>
      <c r="GK9" s="241" t="s">
        <v>382</v>
      </c>
      <c r="GL9" s="241" t="s">
        <v>383</v>
      </c>
      <c r="GM9" s="241" t="s">
        <v>386</v>
      </c>
      <c r="GN9" s="241" t="s">
        <v>383</v>
      </c>
      <c r="GO9" s="241" t="s">
        <v>383</v>
      </c>
      <c r="GP9" s="241" t="s">
        <v>383</v>
      </c>
      <c r="GQ9" s="241" t="s">
        <v>393</v>
      </c>
      <c r="GR9" s="241" t="s">
        <v>383</v>
      </c>
      <c r="GS9" s="241" t="s">
        <v>383</v>
      </c>
      <c r="GT9" s="313"/>
      <c r="GU9" s="314" t="s">
        <v>354</v>
      </c>
      <c r="GV9" s="310" t="s">
        <v>12</v>
      </c>
      <c r="GW9" s="310" t="s">
        <v>12</v>
      </c>
      <c r="GX9" s="310" t="s">
        <v>12</v>
      </c>
      <c r="GY9" s="310" t="s">
        <v>12</v>
      </c>
      <c r="GZ9" s="310" t="s">
        <v>12</v>
      </c>
      <c r="HA9" s="310" t="s">
        <v>12</v>
      </c>
      <c r="HB9" s="310" t="s">
        <v>12</v>
      </c>
      <c r="HC9" s="310" t="s">
        <v>18</v>
      </c>
      <c r="HD9" s="310" t="s">
        <v>398</v>
      </c>
      <c r="HE9" s="312"/>
      <c r="HF9" s="241" t="s">
        <v>12</v>
      </c>
      <c r="HG9" s="241" t="s">
        <v>14</v>
      </c>
      <c r="HH9" s="241" t="s">
        <v>14</v>
      </c>
      <c r="HI9" s="241" t="s">
        <v>14</v>
      </c>
      <c r="HJ9" s="241" t="s">
        <v>378</v>
      </c>
      <c r="HK9" s="241" t="s">
        <v>12</v>
      </c>
      <c r="HL9" s="241" t="s">
        <v>12</v>
      </c>
      <c r="HM9" s="241" t="s">
        <v>14</v>
      </c>
      <c r="HN9" s="312"/>
      <c r="HO9" s="241" t="s">
        <v>12</v>
      </c>
      <c r="HP9" s="241" t="s">
        <v>12</v>
      </c>
      <c r="HQ9" s="241" t="s">
        <v>12</v>
      </c>
      <c r="HR9" s="241" t="s">
        <v>382</v>
      </c>
      <c r="HS9" s="241" t="s">
        <v>383</v>
      </c>
      <c r="HT9" s="241" t="s">
        <v>386</v>
      </c>
      <c r="HU9" s="241" t="s">
        <v>383</v>
      </c>
      <c r="HV9" s="241" t="s">
        <v>383</v>
      </c>
      <c r="HW9" s="241" t="s">
        <v>383</v>
      </c>
      <c r="HX9" s="241" t="s">
        <v>393</v>
      </c>
      <c r="HY9" s="241" t="s">
        <v>383</v>
      </c>
      <c r="HZ9" s="241" t="s">
        <v>383</v>
      </c>
      <c r="IB9" s="287" t="s">
        <v>39</v>
      </c>
      <c r="ID9" s="22" t="s">
        <v>14</v>
      </c>
      <c r="IE9" s="22"/>
      <c r="IF9" s="23" t="s">
        <v>12</v>
      </c>
      <c r="IG9" s="23" t="s">
        <v>12</v>
      </c>
      <c r="IH9" s="23" t="s">
        <v>12</v>
      </c>
      <c r="II9" s="23" t="s">
        <v>12</v>
      </c>
      <c r="IJ9" s="23" t="s">
        <v>12</v>
      </c>
      <c r="IK9" s="23" t="s">
        <v>12</v>
      </c>
      <c r="IL9" s="23" t="s">
        <v>12</v>
      </c>
      <c r="IM9" s="23" t="s">
        <v>22</v>
      </c>
      <c r="IN9" s="26" t="s">
        <v>398</v>
      </c>
      <c r="IO9" s="23" t="s">
        <v>24</v>
      </c>
      <c r="IP9" s="23" t="s">
        <v>29</v>
      </c>
      <c r="IQ9" s="23" t="s">
        <v>102</v>
      </c>
      <c r="IR9" s="23" t="s">
        <v>102</v>
      </c>
      <c r="IT9" s="287" t="s">
        <v>39</v>
      </c>
      <c r="IV9" s="26" t="s">
        <v>367</v>
      </c>
      <c r="IW9" s="26" t="s">
        <v>368</v>
      </c>
      <c r="IX9" s="26" t="s">
        <v>370</v>
      </c>
      <c r="IY9" s="26" t="s">
        <v>369</v>
      </c>
      <c r="JA9" s="26" t="s">
        <v>70</v>
      </c>
      <c r="JB9" s="26" t="s">
        <v>70</v>
      </c>
      <c r="JC9" s="26" t="s">
        <v>70</v>
      </c>
      <c r="JD9" s="26" t="s">
        <v>70</v>
      </c>
      <c r="JE9"/>
      <c r="JF9" s="110" t="s">
        <v>70</v>
      </c>
      <c r="JG9" s="110" t="s">
        <v>70</v>
      </c>
      <c r="JH9" s="110" t="s">
        <v>70</v>
      </c>
      <c r="JI9" s="110" t="s">
        <v>70</v>
      </c>
      <c r="JJ9" s="110" t="s">
        <v>12</v>
      </c>
      <c r="JK9" s="110" t="s">
        <v>70</v>
      </c>
      <c r="JL9" s="110" t="s">
        <v>70</v>
      </c>
      <c r="JM9" s="110" t="s">
        <v>70</v>
      </c>
      <c r="JN9" s="110" t="s">
        <v>12</v>
      </c>
      <c r="JO9" s="110" t="s">
        <v>70</v>
      </c>
      <c r="JP9" s="110" t="s">
        <v>70</v>
      </c>
      <c r="JQ9" s="110" t="s">
        <v>70</v>
      </c>
      <c r="JR9" s="110" t="s">
        <v>70</v>
      </c>
      <c r="JS9" s="110" t="s">
        <v>70</v>
      </c>
      <c r="JT9" s="110" t="s">
        <v>70</v>
      </c>
      <c r="JU9" s="110" t="s">
        <v>128</v>
      </c>
      <c r="JV9" s="110" t="s">
        <v>12</v>
      </c>
      <c r="JW9" s="110" t="s">
        <v>12</v>
      </c>
      <c r="JX9" s="110" t="s">
        <v>128</v>
      </c>
      <c r="JY9" s="270" t="s">
        <v>70</v>
      </c>
      <c r="JZ9" s="270" t="s">
        <v>70</v>
      </c>
      <c r="KA9" s="270" t="s">
        <v>70</v>
      </c>
      <c r="KB9" s="270" t="s">
        <v>70</v>
      </c>
      <c r="KC9" s="270" t="s">
        <v>14</v>
      </c>
      <c r="KD9" s="270" t="s">
        <v>14</v>
      </c>
      <c r="KE9" s="270" t="s">
        <v>14</v>
      </c>
      <c r="KF9" s="270" t="s">
        <v>14</v>
      </c>
      <c r="KG9" s="270" t="s">
        <v>14</v>
      </c>
      <c r="KH9" s="270" t="s">
        <v>14</v>
      </c>
      <c r="KI9" s="270" t="s">
        <v>14</v>
      </c>
      <c r="KJ9" s="270" t="s">
        <v>14</v>
      </c>
      <c r="KK9" s="270" t="s">
        <v>14</v>
      </c>
      <c r="KL9" s="270" t="s">
        <v>14</v>
      </c>
      <c r="KM9" s="110" t="s">
        <v>12</v>
      </c>
      <c r="KO9" s="287" t="s">
        <v>39</v>
      </c>
      <c r="KQ9" s="23" t="s">
        <v>198</v>
      </c>
      <c r="KR9" s="26" t="s">
        <v>106</v>
      </c>
      <c r="KS9" s="26" t="s">
        <v>106</v>
      </c>
      <c r="KT9" s="26" t="s">
        <v>112</v>
      </c>
      <c r="KU9" s="26" t="s">
        <v>113</v>
      </c>
      <c r="KV9" s="26" t="s">
        <v>114</v>
      </c>
      <c r="KW9"/>
      <c r="KX9" s="26" t="s">
        <v>26</v>
      </c>
      <c r="KY9" s="26" t="s">
        <v>26</v>
      </c>
      <c r="KZ9" s="26" t="s">
        <v>26</v>
      </c>
      <c r="LA9" s="26" t="s">
        <v>26</v>
      </c>
      <c r="LB9" s="26" t="s">
        <v>26</v>
      </c>
      <c r="LC9" s="26" t="s">
        <v>26</v>
      </c>
      <c r="LD9" s="26" t="s">
        <v>26</v>
      </c>
      <c r="LE9"/>
      <c r="LF9" s="132" t="s">
        <v>199</v>
      </c>
      <c r="LG9" s="173" t="s">
        <v>199</v>
      </c>
      <c r="LH9" s="173" t="s">
        <v>29</v>
      </c>
      <c r="LI9" s="173" t="s">
        <v>29</v>
      </c>
      <c r="LJ9" s="173" t="s">
        <v>29</v>
      </c>
      <c r="LK9" s="173" t="s">
        <v>29</v>
      </c>
      <c r="LL9" s="133" t="s">
        <v>29</v>
      </c>
      <c r="LM9" s="132" t="s">
        <v>199</v>
      </c>
      <c r="LN9" s="173" t="s">
        <v>199</v>
      </c>
      <c r="LO9" s="173" t="s">
        <v>29</v>
      </c>
      <c r="LP9" s="173" t="s">
        <v>29</v>
      </c>
      <c r="LQ9" s="173" t="s">
        <v>29</v>
      </c>
      <c r="LR9" s="173" t="s">
        <v>29</v>
      </c>
      <c r="LS9" s="133" t="s">
        <v>29</v>
      </c>
      <c r="LT9" s="132" t="s">
        <v>199</v>
      </c>
      <c r="LU9" s="173" t="s">
        <v>199</v>
      </c>
      <c r="LV9" s="173" t="s">
        <v>29</v>
      </c>
      <c r="LW9" s="173" t="s">
        <v>29</v>
      </c>
      <c r="LX9" s="173" t="s">
        <v>29</v>
      </c>
      <c r="LY9" s="173" t="s">
        <v>29</v>
      </c>
      <c r="LZ9" s="133" t="s">
        <v>29</v>
      </c>
      <c r="MA9" s="132" t="s">
        <v>199</v>
      </c>
      <c r="MB9" s="173" t="s">
        <v>199</v>
      </c>
      <c r="MC9" s="173" t="s">
        <v>29</v>
      </c>
      <c r="MD9" s="173" t="s">
        <v>29</v>
      </c>
      <c r="ME9" s="173" t="s">
        <v>29</v>
      </c>
      <c r="MF9" s="173" t="s">
        <v>29</v>
      </c>
      <c r="MG9" s="133" t="s">
        <v>29</v>
      </c>
      <c r="MH9" s="132" t="s">
        <v>199</v>
      </c>
      <c r="MI9" s="173" t="s">
        <v>199</v>
      </c>
      <c r="MJ9" s="173" t="s">
        <v>29</v>
      </c>
      <c r="MK9" s="173" t="s">
        <v>29</v>
      </c>
      <c r="ML9" s="173" t="s">
        <v>29</v>
      </c>
      <c r="MM9" s="173" t="s">
        <v>29</v>
      </c>
      <c r="MN9" s="133" t="s">
        <v>29</v>
      </c>
      <c r="MO9" s="132" t="s">
        <v>199</v>
      </c>
      <c r="MP9" s="173" t="s">
        <v>199</v>
      </c>
      <c r="MQ9" s="173" t="s">
        <v>29</v>
      </c>
      <c r="MR9" s="173" t="s">
        <v>29</v>
      </c>
      <c r="MS9" s="173" t="s">
        <v>29</v>
      </c>
      <c r="MT9" s="173" t="s">
        <v>29</v>
      </c>
      <c r="MU9" s="133" t="s">
        <v>29</v>
      </c>
      <c r="MV9" s="132" t="s">
        <v>199</v>
      </c>
      <c r="MW9" s="173" t="s">
        <v>199</v>
      </c>
      <c r="MX9" s="173" t="s">
        <v>29</v>
      </c>
      <c r="MY9" s="173" t="s">
        <v>29</v>
      </c>
      <c r="MZ9" s="173" t="s">
        <v>29</v>
      </c>
      <c r="NA9" s="173" t="s">
        <v>29</v>
      </c>
      <c r="NB9" s="133" t="s">
        <v>29</v>
      </c>
      <c r="NC9"/>
      <c r="ND9" s="23" t="s">
        <v>13</v>
      </c>
      <c r="NE9" s="23" t="s">
        <v>13</v>
      </c>
      <c r="NF9" s="23" t="s">
        <v>13</v>
      </c>
      <c r="NG9" s="23" t="s">
        <v>13</v>
      </c>
      <c r="NH9" s="23" t="s">
        <v>13</v>
      </c>
      <c r="NI9"/>
      <c r="NJ9" s="26" t="s">
        <v>124</v>
      </c>
      <c r="NK9" s="26" t="s">
        <v>124</v>
      </c>
      <c r="NL9" s="26" t="s">
        <v>124</v>
      </c>
      <c r="NM9" s="26" t="s">
        <v>124</v>
      </c>
      <c r="NN9" s="26" t="s">
        <v>124</v>
      </c>
      <c r="NO9" s="26" t="s">
        <v>124</v>
      </c>
      <c r="NP9" s="26" t="s">
        <v>124</v>
      </c>
      <c r="NQ9" s="26" t="s">
        <v>29</v>
      </c>
      <c r="NR9" s="26" t="s">
        <v>222</v>
      </c>
      <c r="NS9" s="26" t="s">
        <v>222</v>
      </c>
      <c r="NT9" s="26" t="s">
        <v>222</v>
      </c>
      <c r="NU9" s="26" t="s">
        <v>222</v>
      </c>
      <c r="NV9" s="26" t="s">
        <v>222</v>
      </c>
      <c r="NW9" s="26" t="s">
        <v>222</v>
      </c>
      <c r="NX9" s="26" t="s">
        <v>222</v>
      </c>
      <c r="NY9" s="26" t="s">
        <v>222</v>
      </c>
      <c r="NZ9" s="26" t="s">
        <v>222</v>
      </c>
      <c r="OA9" s="26" t="s">
        <v>222</v>
      </c>
      <c r="OB9" s="26" t="s">
        <v>222</v>
      </c>
      <c r="OC9" s="26" t="s">
        <v>222</v>
      </c>
      <c r="OD9" s="26" t="s">
        <v>222</v>
      </c>
      <c r="OE9" s="26" t="s">
        <v>222</v>
      </c>
      <c r="OF9" s="26" t="s">
        <v>222</v>
      </c>
      <c r="OG9"/>
      <c r="OH9" s="161" t="s">
        <v>29</v>
      </c>
      <c r="OI9" s="161" t="s">
        <v>236</v>
      </c>
      <c r="OJ9" s="161" t="s">
        <v>218</v>
      </c>
      <c r="OK9" s="161" t="s">
        <v>219</v>
      </c>
      <c r="OL9" s="161" t="s">
        <v>152</v>
      </c>
      <c r="OM9" s="161" t="s">
        <v>152</v>
      </c>
      <c r="ON9" s="161" t="s">
        <v>152</v>
      </c>
      <c r="OO9" s="161" t="s">
        <v>152</v>
      </c>
      <c r="OP9" s="161" t="s">
        <v>152</v>
      </c>
      <c r="OQ9" s="161" t="s">
        <v>152</v>
      </c>
      <c r="OR9" s="161" t="s">
        <v>152</v>
      </c>
      <c r="OS9" s="161" t="s">
        <v>152</v>
      </c>
      <c r="OT9" s="161" t="s">
        <v>219</v>
      </c>
      <c r="OU9" s="161" t="s">
        <v>152</v>
      </c>
      <c r="OV9" s="161" t="s">
        <v>152</v>
      </c>
      <c r="OW9" s="161" t="s">
        <v>152</v>
      </c>
      <c r="OX9" s="161" t="s">
        <v>152</v>
      </c>
      <c r="OY9" s="161" t="s">
        <v>152</v>
      </c>
      <c r="OZ9" s="161" t="s">
        <v>152</v>
      </c>
      <c r="PA9" s="161" t="s">
        <v>152</v>
      </c>
      <c r="PB9" s="161" t="s">
        <v>152</v>
      </c>
      <c r="PC9" s="161" t="s">
        <v>221</v>
      </c>
      <c r="PD9" s="161" t="s">
        <v>219</v>
      </c>
      <c r="PE9" s="161" t="s">
        <v>152</v>
      </c>
      <c r="PF9" s="161" t="s">
        <v>152</v>
      </c>
      <c r="PG9" s="161" t="s">
        <v>152</v>
      </c>
      <c r="PH9" s="161" t="s">
        <v>152</v>
      </c>
      <c r="PI9" s="161" t="s">
        <v>152</v>
      </c>
      <c r="PJ9" s="161" t="s">
        <v>152</v>
      </c>
      <c r="PK9" s="161" t="s">
        <v>152</v>
      </c>
      <c r="PL9" s="161" t="s">
        <v>152</v>
      </c>
      <c r="PM9" s="161" t="s">
        <v>219</v>
      </c>
      <c r="PN9" s="161" t="s">
        <v>152</v>
      </c>
      <c r="PO9" s="161" t="s">
        <v>152</v>
      </c>
      <c r="PP9" s="161" t="s">
        <v>152</v>
      </c>
      <c r="PQ9" s="161" t="s">
        <v>152</v>
      </c>
      <c r="PR9" s="161" t="s">
        <v>152</v>
      </c>
      <c r="PS9" s="161" t="s">
        <v>152</v>
      </c>
      <c r="PT9" s="161" t="s">
        <v>152</v>
      </c>
      <c r="PU9" s="161" t="s">
        <v>152</v>
      </c>
      <c r="PV9" s="161" t="s">
        <v>221</v>
      </c>
      <c r="PW9" s="161" t="s">
        <v>235</v>
      </c>
      <c r="PX9"/>
      <c r="PY9" s="161" t="s">
        <v>218</v>
      </c>
      <c r="PZ9" s="161" t="s">
        <v>219</v>
      </c>
      <c r="QA9" s="161" t="s">
        <v>152</v>
      </c>
      <c r="QB9" s="161" t="s">
        <v>152</v>
      </c>
      <c r="QC9" s="161" t="s">
        <v>152</v>
      </c>
      <c r="QD9" s="161" t="s">
        <v>152</v>
      </c>
      <c r="QE9" s="161" t="s">
        <v>152</v>
      </c>
      <c r="QF9" s="161" t="s">
        <v>152</v>
      </c>
      <c r="QG9" s="161" t="s">
        <v>152</v>
      </c>
      <c r="QH9" s="161" t="s">
        <v>152</v>
      </c>
      <c r="QI9" s="161" t="s">
        <v>218</v>
      </c>
      <c r="QJ9" s="161" t="s">
        <v>219</v>
      </c>
      <c r="QK9" s="161" t="s">
        <v>152</v>
      </c>
      <c r="QL9" s="161" t="s">
        <v>152</v>
      </c>
      <c r="QM9" s="161" t="s">
        <v>152</v>
      </c>
      <c r="QN9" s="161" t="s">
        <v>152</v>
      </c>
      <c r="QO9" s="161" t="s">
        <v>152</v>
      </c>
      <c r="QP9" s="161" t="s">
        <v>152</v>
      </c>
      <c r="QQ9" s="161" t="s">
        <v>152</v>
      </c>
      <c r="QR9" s="161" t="s">
        <v>152</v>
      </c>
      <c r="QS9"/>
      <c r="QT9" s="26" t="s">
        <v>125</v>
      </c>
      <c r="QU9" s="260" t="s">
        <v>125</v>
      </c>
      <c r="QV9" s="26" t="s">
        <v>124</v>
      </c>
      <c r="QW9" s="26" t="s">
        <v>124</v>
      </c>
      <c r="QX9" s="26" t="s">
        <v>125</v>
      </c>
      <c r="QY9" s="26" t="s">
        <v>124</v>
      </c>
      <c r="QZ9" s="26" t="s">
        <v>124</v>
      </c>
      <c r="RA9" s="26" t="s">
        <v>128</v>
      </c>
      <c r="RB9" s="26" t="s">
        <v>128</v>
      </c>
      <c r="RC9" s="26" t="s">
        <v>128</v>
      </c>
      <c r="RD9" s="26" t="s">
        <v>128</v>
      </c>
      <c r="RE9" s="26" t="s">
        <v>128</v>
      </c>
      <c r="RF9" s="26" t="s">
        <v>128</v>
      </c>
      <c r="RG9" s="26" t="s">
        <v>13</v>
      </c>
      <c r="RH9" s="26" t="s">
        <v>13</v>
      </c>
      <c r="RI9" s="26" t="s">
        <v>44</v>
      </c>
      <c r="RJ9" s="26" t="s">
        <v>44</v>
      </c>
      <c r="RK9" s="26"/>
      <c r="RL9" s="26" t="s">
        <v>44</v>
      </c>
      <c r="RM9" s="26" t="s">
        <v>44</v>
      </c>
      <c r="RN9" s="26" t="s">
        <v>44</v>
      </c>
      <c r="RO9" s="26" t="s">
        <v>44</v>
      </c>
      <c r="RP9" s="26" t="s">
        <v>44</v>
      </c>
      <c r="RQ9" s="26" t="s">
        <v>44</v>
      </c>
      <c r="RR9" s="26" t="s">
        <v>44</v>
      </c>
      <c r="RS9" s="26" t="s">
        <v>44</v>
      </c>
      <c r="RT9" s="26" t="s">
        <v>44</v>
      </c>
      <c r="RU9" s="26" t="s">
        <v>44</v>
      </c>
      <c r="RV9" s="26" t="s">
        <v>44</v>
      </c>
      <c r="RW9" s="26" t="s">
        <v>44</v>
      </c>
      <c r="RX9" s="26" t="s">
        <v>44</v>
      </c>
      <c r="RY9" s="26" t="s">
        <v>44</v>
      </c>
      <c r="RZ9" s="26" t="s">
        <v>44</v>
      </c>
      <c r="SA9" s="26" t="s">
        <v>56</v>
      </c>
      <c r="SB9" s="26" t="s">
        <v>44</v>
      </c>
      <c r="SC9" s="26" t="s">
        <v>44</v>
      </c>
      <c r="SD9" s="26" t="s">
        <v>44</v>
      </c>
      <c r="SE9" s="26" t="s">
        <v>44</v>
      </c>
      <c r="SF9" s="26" t="s">
        <v>161</v>
      </c>
      <c r="SH9" s="23" t="s">
        <v>198</v>
      </c>
      <c r="SI9" s="26" t="s">
        <v>106</v>
      </c>
      <c r="SJ9" s="26" t="s">
        <v>106</v>
      </c>
      <c r="SK9" s="26" t="s">
        <v>112</v>
      </c>
      <c r="SL9" s="26" t="s">
        <v>113</v>
      </c>
      <c r="SM9" s="26" t="s">
        <v>114</v>
      </c>
      <c r="SN9"/>
      <c r="SO9" s="26" t="s">
        <v>26</v>
      </c>
      <c r="SP9" s="26" t="s">
        <v>26</v>
      </c>
      <c r="SQ9" s="26" t="s">
        <v>26</v>
      </c>
      <c r="SR9" s="26" t="s">
        <v>26</v>
      </c>
      <c r="SS9" s="26" t="s">
        <v>26</v>
      </c>
      <c r="ST9" s="26" t="s">
        <v>26</v>
      </c>
      <c r="SU9" s="26" t="s">
        <v>26</v>
      </c>
      <c r="SV9"/>
      <c r="SW9" s="132" t="s">
        <v>199</v>
      </c>
      <c r="SX9" s="173" t="s">
        <v>199</v>
      </c>
      <c r="SY9" s="173" t="s">
        <v>29</v>
      </c>
      <c r="SZ9" s="173" t="s">
        <v>29</v>
      </c>
      <c r="TA9" s="173" t="s">
        <v>29</v>
      </c>
      <c r="TB9" s="173" t="s">
        <v>29</v>
      </c>
      <c r="TC9" s="133" t="s">
        <v>29</v>
      </c>
      <c r="TD9" s="132" t="s">
        <v>199</v>
      </c>
      <c r="TE9" s="173" t="s">
        <v>199</v>
      </c>
      <c r="TF9" s="173" t="s">
        <v>29</v>
      </c>
      <c r="TG9" s="173" t="s">
        <v>29</v>
      </c>
      <c r="TH9" s="173" t="s">
        <v>29</v>
      </c>
      <c r="TI9" s="173" t="s">
        <v>29</v>
      </c>
      <c r="TJ9" s="133" t="s">
        <v>29</v>
      </c>
      <c r="TK9" s="132" t="s">
        <v>199</v>
      </c>
      <c r="TL9" s="173" t="s">
        <v>199</v>
      </c>
      <c r="TM9" s="173" t="s">
        <v>29</v>
      </c>
      <c r="TN9" s="173" t="s">
        <v>29</v>
      </c>
      <c r="TO9" s="173" t="s">
        <v>29</v>
      </c>
      <c r="TP9" s="173" t="s">
        <v>29</v>
      </c>
      <c r="TQ9" s="133" t="s">
        <v>29</v>
      </c>
      <c r="TR9" s="132" t="s">
        <v>199</v>
      </c>
      <c r="TS9" s="173" t="s">
        <v>199</v>
      </c>
      <c r="TT9" s="173" t="s">
        <v>29</v>
      </c>
      <c r="TU9" s="173" t="s">
        <v>29</v>
      </c>
      <c r="TV9" s="173" t="s">
        <v>29</v>
      </c>
      <c r="TW9" s="173" t="s">
        <v>29</v>
      </c>
      <c r="TX9" s="133" t="s">
        <v>29</v>
      </c>
      <c r="TY9" s="132" t="s">
        <v>199</v>
      </c>
      <c r="TZ9" s="173" t="s">
        <v>199</v>
      </c>
      <c r="UA9" s="173" t="s">
        <v>29</v>
      </c>
      <c r="UB9" s="173" t="s">
        <v>29</v>
      </c>
      <c r="UC9" s="173" t="s">
        <v>29</v>
      </c>
      <c r="UD9" s="173" t="s">
        <v>29</v>
      </c>
      <c r="UE9" s="133" t="s">
        <v>29</v>
      </c>
      <c r="UF9" s="132" t="s">
        <v>199</v>
      </c>
      <c r="UG9" s="173" t="s">
        <v>199</v>
      </c>
      <c r="UH9" s="173" t="s">
        <v>29</v>
      </c>
      <c r="UI9" s="173" t="s">
        <v>29</v>
      </c>
      <c r="UJ9" s="173" t="s">
        <v>29</v>
      </c>
      <c r="UK9" s="173" t="s">
        <v>29</v>
      </c>
      <c r="UL9" s="133" t="s">
        <v>29</v>
      </c>
      <c r="UM9" s="132" t="s">
        <v>199</v>
      </c>
      <c r="UN9" s="173" t="s">
        <v>199</v>
      </c>
      <c r="UO9" s="173" t="s">
        <v>29</v>
      </c>
      <c r="UP9" s="173" t="s">
        <v>29</v>
      </c>
      <c r="UQ9" s="173" t="s">
        <v>29</v>
      </c>
      <c r="UR9" s="173" t="s">
        <v>29</v>
      </c>
      <c r="US9" s="133" t="s">
        <v>29</v>
      </c>
      <c r="UT9"/>
      <c r="UU9" s="23" t="s">
        <v>13</v>
      </c>
      <c r="UV9" s="23" t="s">
        <v>13</v>
      </c>
      <c r="UW9" s="23" t="s">
        <v>13</v>
      </c>
      <c r="UX9" s="23" t="s">
        <v>13</v>
      </c>
      <c r="UY9" s="23" t="s">
        <v>13</v>
      </c>
      <c r="UZ9"/>
      <c r="VA9" s="26" t="s">
        <v>124</v>
      </c>
      <c r="VB9" s="26" t="s">
        <v>124</v>
      </c>
      <c r="VC9" s="26" t="s">
        <v>124</v>
      </c>
      <c r="VD9" s="26" t="s">
        <v>124</v>
      </c>
      <c r="VE9" s="26" t="s">
        <v>124</v>
      </c>
      <c r="VF9" s="26" t="s">
        <v>124</v>
      </c>
      <c r="VG9" s="26" t="s">
        <v>124</v>
      </c>
      <c r="VH9" s="26" t="s">
        <v>29</v>
      </c>
      <c r="VI9" s="26" t="s">
        <v>222</v>
      </c>
      <c r="VJ9" s="26" t="s">
        <v>222</v>
      </c>
      <c r="VK9" s="26" t="s">
        <v>222</v>
      </c>
      <c r="VL9" s="26" t="s">
        <v>222</v>
      </c>
      <c r="VM9" s="26" t="s">
        <v>222</v>
      </c>
      <c r="VN9" s="26" t="s">
        <v>222</v>
      </c>
      <c r="VO9" s="26" t="s">
        <v>222</v>
      </c>
      <c r="VP9" s="26" t="s">
        <v>222</v>
      </c>
      <c r="VQ9" s="26" t="s">
        <v>222</v>
      </c>
      <c r="VR9" s="26" t="s">
        <v>222</v>
      </c>
      <c r="VS9" s="26" t="s">
        <v>222</v>
      </c>
      <c r="VT9" s="26" t="s">
        <v>222</v>
      </c>
      <c r="VU9" s="26" t="s">
        <v>222</v>
      </c>
      <c r="VV9" s="26" t="s">
        <v>222</v>
      </c>
      <c r="VW9" s="26" t="s">
        <v>222</v>
      </c>
      <c r="VX9"/>
      <c r="VY9" s="161" t="s">
        <v>29</v>
      </c>
      <c r="VZ9" s="161" t="s">
        <v>236</v>
      </c>
      <c r="WA9" s="161" t="s">
        <v>218</v>
      </c>
      <c r="WB9" s="161" t="s">
        <v>219</v>
      </c>
      <c r="WC9" s="161" t="s">
        <v>152</v>
      </c>
      <c r="WD9" s="161" t="s">
        <v>152</v>
      </c>
      <c r="WE9" s="161" t="s">
        <v>152</v>
      </c>
      <c r="WF9" s="161" t="s">
        <v>152</v>
      </c>
      <c r="WG9" s="161" t="s">
        <v>152</v>
      </c>
      <c r="WH9" s="161" t="s">
        <v>152</v>
      </c>
      <c r="WI9" s="161" t="s">
        <v>152</v>
      </c>
      <c r="WJ9" s="161" t="s">
        <v>152</v>
      </c>
      <c r="WK9" s="161" t="s">
        <v>219</v>
      </c>
      <c r="WL9" s="161" t="s">
        <v>152</v>
      </c>
      <c r="WM9" s="161" t="s">
        <v>152</v>
      </c>
      <c r="WN9" s="161" t="s">
        <v>152</v>
      </c>
      <c r="WO9" s="161" t="s">
        <v>152</v>
      </c>
      <c r="WP9" s="161" t="s">
        <v>152</v>
      </c>
      <c r="WQ9" s="161" t="s">
        <v>152</v>
      </c>
      <c r="WR9" s="161" t="s">
        <v>152</v>
      </c>
      <c r="WS9" s="161" t="s">
        <v>152</v>
      </c>
      <c r="WT9" s="161" t="s">
        <v>221</v>
      </c>
      <c r="WU9" s="161" t="s">
        <v>219</v>
      </c>
      <c r="WV9" s="161" t="s">
        <v>152</v>
      </c>
      <c r="WW9" s="161" t="s">
        <v>152</v>
      </c>
      <c r="WX9" s="161" t="s">
        <v>152</v>
      </c>
      <c r="WY9" s="161" t="s">
        <v>152</v>
      </c>
      <c r="WZ9" s="161" t="s">
        <v>152</v>
      </c>
      <c r="XA9" s="161" t="s">
        <v>152</v>
      </c>
      <c r="XB9" s="161" t="s">
        <v>152</v>
      </c>
      <c r="XC9" s="161" t="s">
        <v>152</v>
      </c>
      <c r="XD9" s="161" t="s">
        <v>219</v>
      </c>
      <c r="XE9" s="161" t="s">
        <v>152</v>
      </c>
      <c r="XF9" s="161" t="s">
        <v>152</v>
      </c>
      <c r="XG9" s="161" t="s">
        <v>152</v>
      </c>
      <c r="XH9" s="161" t="s">
        <v>152</v>
      </c>
      <c r="XI9" s="161" t="s">
        <v>152</v>
      </c>
      <c r="XJ9" s="161" t="s">
        <v>152</v>
      </c>
      <c r="XK9" s="161" t="s">
        <v>152</v>
      </c>
      <c r="XL9" s="161" t="s">
        <v>152</v>
      </c>
      <c r="XM9" s="161" t="s">
        <v>221</v>
      </c>
      <c r="XN9" s="161" t="s">
        <v>235</v>
      </c>
      <c r="XO9"/>
      <c r="XP9" s="161" t="s">
        <v>218</v>
      </c>
      <c r="XQ9" s="161" t="s">
        <v>219</v>
      </c>
      <c r="XR9" s="161" t="s">
        <v>152</v>
      </c>
      <c r="XS9" s="161" t="s">
        <v>152</v>
      </c>
      <c r="XT9" s="161" t="s">
        <v>152</v>
      </c>
      <c r="XU9" s="161" t="s">
        <v>152</v>
      </c>
      <c r="XV9" s="161" t="s">
        <v>152</v>
      </c>
      <c r="XW9" s="161" t="s">
        <v>152</v>
      </c>
      <c r="XX9" s="161" t="s">
        <v>152</v>
      </c>
      <c r="XY9" s="161" t="s">
        <v>152</v>
      </c>
      <c r="XZ9" s="161" t="s">
        <v>218</v>
      </c>
      <c r="YA9" s="161" t="s">
        <v>219</v>
      </c>
      <c r="YB9" s="161" t="s">
        <v>152</v>
      </c>
      <c r="YC9" s="161" t="s">
        <v>152</v>
      </c>
      <c r="YD9" s="161" t="s">
        <v>152</v>
      </c>
      <c r="YE9" s="161" t="s">
        <v>152</v>
      </c>
      <c r="YF9" s="161" t="s">
        <v>152</v>
      </c>
      <c r="YG9" s="161" t="s">
        <v>152</v>
      </c>
      <c r="YH9" s="161" t="s">
        <v>152</v>
      </c>
      <c r="YI9" s="161" t="s">
        <v>152</v>
      </c>
      <c r="YJ9"/>
      <c r="YK9" s="26" t="s">
        <v>125</v>
      </c>
      <c r="YL9" s="260" t="s">
        <v>125</v>
      </c>
      <c r="YM9" s="26" t="s">
        <v>124</v>
      </c>
      <c r="YN9" s="26" t="s">
        <v>124</v>
      </c>
      <c r="YO9" s="26" t="s">
        <v>125</v>
      </c>
      <c r="YP9" s="26" t="s">
        <v>124</v>
      </c>
      <c r="YQ9" s="26" t="s">
        <v>124</v>
      </c>
      <c r="YR9" s="26" t="s">
        <v>128</v>
      </c>
      <c r="YS9" s="26" t="s">
        <v>128</v>
      </c>
      <c r="YT9" s="26" t="s">
        <v>128</v>
      </c>
      <c r="YU9" s="26" t="s">
        <v>128</v>
      </c>
      <c r="YV9" s="26" t="s">
        <v>128</v>
      </c>
      <c r="YW9" s="26" t="s">
        <v>128</v>
      </c>
      <c r="YX9" s="26" t="s">
        <v>13</v>
      </c>
      <c r="YY9" s="26" t="s">
        <v>13</v>
      </c>
      <c r="YZ9" s="26" t="s">
        <v>44</v>
      </c>
      <c r="ZA9" s="26" t="s">
        <v>44</v>
      </c>
      <c r="ZB9" s="26"/>
      <c r="ZC9" s="26" t="s">
        <v>44</v>
      </c>
      <c r="ZD9" s="26" t="s">
        <v>44</v>
      </c>
      <c r="ZE9" s="26" t="s">
        <v>44</v>
      </c>
      <c r="ZF9" s="26" t="s">
        <v>44</v>
      </c>
      <c r="ZG9" s="26" t="s">
        <v>44</v>
      </c>
      <c r="ZH9" s="26" t="s">
        <v>44</v>
      </c>
      <c r="ZI9" s="26" t="s">
        <v>44</v>
      </c>
      <c r="ZJ9" s="26" t="s">
        <v>44</v>
      </c>
      <c r="ZK9" s="26" t="s">
        <v>44</v>
      </c>
      <c r="ZL9" s="26" t="s">
        <v>44</v>
      </c>
      <c r="ZM9" s="26" t="s">
        <v>44</v>
      </c>
      <c r="ZN9" s="26" t="s">
        <v>44</v>
      </c>
      <c r="ZO9" s="26" t="s">
        <v>44</v>
      </c>
      <c r="ZP9" s="26" t="s">
        <v>44</v>
      </c>
      <c r="ZQ9" s="26" t="s">
        <v>44</v>
      </c>
      <c r="ZR9" s="26" t="s">
        <v>56</v>
      </c>
      <c r="ZS9" s="26" t="s">
        <v>44</v>
      </c>
      <c r="ZT9" s="26" t="s">
        <v>44</v>
      </c>
      <c r="ZU9" s="26" t="s">
        <v>44</v>
      </c>
      <c r="ZV9" s="26" t="s">
        <v>44</v>
      </c>
      <c r="ZW9" s="26" t="s">
        <v>161</v>
      </c>
      <c r="ZY9" s="287" t="s">
        <v>39</v>
      </c>
      <c r="AAA9" s="23" t="s">
        <v>198</v>
      </c>
      <c r="AAB9" s="26" t="s">
        <v>106</v>
      </c>
      <c r="AAC9" s="26" t="s">
        <v>106</v>
      </c>
      <c r="AAD9" s="26" t="s">
        <v>112</v>
      </c>
      <c r="AAE9" s="26" t="s">
        <v>113</v>
      </c>
      <c r="AAF9" s="26" t="s">
        <v>114</v>
      </c>
      <c r="AAG9"/>
      <c r="AAH9" s="26" t="s">
        <v>26</v>
      </c>
      <c r="AAI9" s="26" t="s">
        <v>26</v>
      </c>
      <c r="AAJ9" s="26" t="s">
        <v>26</v>
      </c>
      <c r="AAK9" s="26" t="s">
        <v>26</v>
      </c>
      <c r="AAL9" s="26" t="s">
        <v>26</v>
      </c>
      <c r="AAM9" s="26" t="s">
        <v>26</v>
      </c>
      <c r="AAN9" s="26" t="s">
        <v>26</v>
      </c>
      <c r="AAO9"/>
      <c r="AAP9" s="132" t="s">
        <v>199</v>
      </c>
      <c r="AAQ9" s="173" t="s">
        <v>199</v>
      </c>
      <c r="AAR9" s="173" t="s">
        <v>29</v>
      </c>
      <c r="AAS9" s="173" t="s">
        <v>29</v>
      </c>
      <c r="AAT9" s="173" t="s">
        <v>29</v>
      </c>
      <c r="AAU9" s="173" t="s">
        <v>29</v>
      </c>
      <c r="AAV9" s="133" t="s">
        <v>29</v>
      </c>
      <c r="AAW9" s="132" t="s">
        <v>199</v>
      </c>
      <c r="AAX9" s="173" t="s">
        <v>199</v>
      </c>
      <c r="AAY9" s="173" t="s">
        <v>29</v>
      </c>
      <c r="AAZ9" s="173" t="s">
        <v>29</v>
      </c>
      <c r="ABA9" s="173" t="s">
        <v>29</v>
      </c>
      <c r="ABB9" s="173" t="s">
        <v>29</v>
      </c>
      <c r="ABC9" s="133" t="s">
        <v>29</v>
      </c>
      <c r="ABD9" s="132" t="s">
        <v>199</v>
      </c>
      <c r="ABE9" s="173" t="s">
        <v>199</v>
      </c>
      <c r="ABF9" s="173" t="s">
        <v>29</v>
      </c>
      <c r="ABG9" s="173" t="s">
        <v>29</v>
      </c>
      <c r="ABH9" s="173" t="s">
        <v>29</v>
      </c>
      <c r="ABI9" s="173" t="s">
        <v>29</v>
      </c>
      <c r="ABJ9" s="133" t="s">
        <v>29</v>
      </c>
      <c r="ABK9" s="132" t="s">
        <v>199</v>
      </c>
      <c r="ABL9" s="173" t="s">
        <v>199</v>
      </c>
      <c r="ABM9" s="173" t="s">
        <v>29</v>
      </c>
      <c r="ABN9" s="173" t="s">
        <v>29</v>
      </c>
      <c r="ABO9" s="173" t="s">
        <v>29</v>
      </c>
      <c r="ABP9" s="173" t="s">
        <v>29</v>
      </c>
      <c r="ABQ9" s="133" t="s">
        <v>29</v>
      </c>
      <c r="ABR9" s="132" t="s">
        <v>199</v>
      </c>
      <c r="ABS9" s="173" t="s">
        <v>199</v>
      </c>
      <c r="ABT9" s="173" t="s">
        <v>29</v>
      </c>
      <c r="ABU9" s="173" t="s">
        <v>29</v>
      </c>
      <c r="ABV9" s="173" t="s">
        <v>29</v>
      </c>
      <c r="ABW9" s="173" t="s">
        <v>29</v>
      </c>
      <c r="ABX9" s="133" t="s">
        <v>29</v>
      </c>
      <c r="ABY9" s="132" t="s">
        <v>199</v>
      </c>
      <c r="ABZ9" s="173" t="s">
        <v>199</v>
      </c>
      <c r="ACA9" s="173" t="s">
        <v>29</v>
      </c>
      <c r="ACB9" s="173" t="s">
        <v>29</v>
      </c>
      <c r="ACC9" s="173" t="s">
        <v>29</v>
      </c>
      <c r="ACD9" s="173" t="s">
        <v>29</v>
      </c>
      <c r="ACE9" s="133" t="s">
        <v>29</v>
      </c>
      <c r="ACF9" s="132" t="s">
        <v>199</v>
      </c>
      <c r="ACG9" s="173" t="s">
        <v>199</v>
      </c>
      <c r="ACH9" s="173" t="s">
        <v>29</v>
      </c>
      <c r="ACI9" s="173" t="s">
        <v>29</v>
      </c>
      <c r="ACJ9" s="173" t="s">
        <v>29</v>
      </c>
      <c r="ACK9" s="173" t="s">
        <v>29</v>
      </c>
      <c r="ACL9" s="133" t="s">
        <v>29</v>
      </c>
      <c r="ACM9"/>
      <c r="ACN9" s="23" t="s">
        <v>13</v>
      </c>
      <c r="ACO9" s="23" t="s">
        <v>13</v>
      </c>
      <c r="ACP9" s="23" t="s">
        <v>13</v>
      </c>
      <c r="ACQ9" s="23" t="s">
        <v>13</v>
      </c>
      <c r="ACR9" s="23" t="s">
        <v>13</v>
      </c>
      <c r="ACS9"/>
      <c r="ACT9" s="26" t="s">
        <v>124</v>
      </c>
      <c r="ACU9" s="26" t="s">
        <v>124</v>
      </c>
      <c r="ACV9" s="26" t="s">
        <v>124</v>
      </c>
      <c r="ACW9" s="26" t="s">
        <v>124</v>
      </c>
      <c r="ACX9" s="26" t="s">
        <v>124</v>
      </c>
      <c r="ACY9" s="26" t="s">
        <v>124</v>
      </c>
      <c r="ACZ9" s="26" t="s">
        <v>124</v>
      </c>
      <c r="ADA9" s="26" t="s">
        <v>29</v>
      </c>
      <c r="ADB9" s="26" t="s">
        <v>222</v>
      </c>
      <c r="ADC9" s="26" t="s">
        <v>222</v>
      </c>
      <c r="ADD9" s="26" t="s">
        <v>222</v>
      </c>
      <c r="ADE9" s="26" t="s">
        <v>222</v>
      </c>
      <c r="ADF9" s="26" t="s">
        <v>222</v>
      </c>
      <c r="ADG9" s="26" t="s">
        <v>222</v>
      </c>
      <c r="ADH9" s="26" t="s">
        <v>222</v>
      </c>
      <c r="ADI9" s="26" t="s">
        <v>222</v>
      </c>
      <c r="ADJ9" s="26" t="s">
        <v>222</v>
      </c>
      <c r="ADK9" s="26" t="s">
        <v>222</v>
      </c>
      <c r="ADL9" s="26" t="s">
        <v>222</v>
      </c>
      <c r="ADM9" s="26" t="s">
        <v>222</v>
      </c>
      <c r="ADN9" s="26" t="s">
        <v>222</v>
      </c>
      <c r="ADO9" s="26" t="s">
        <v>222</v>
      </c>
      <c r="ADP9" s="26" t="s">
        <v>222</v>
      </c>
      <c r="ADQ9"/>
      <c r="ADR9" s="161" t="s">
        <v>29</v>
      </c>
      <c r="ADS9" s="161" t="s">
        <v>236</v>
      </c>
      <c r="ADT9" s="161" t="s">
        <v>218</v>
      </c>
      <c r="ADU9" s="161" t="s">
        <v>219</v>
      </c>
      <c r="ADV9" s="161" t="s">
        <v>152</v>
      </c>
      <c r="ADW9" s="161" t="s">
        <v>152</v>
      </c>
      <c r="ADX9" s="161" t="s">
        <v>152</v>
      </c>
      <c r="ADY9" s="161" t="s">
        <v>152</v>
      </c>
      <c r="ADZ9" s="161" t="s">
        <v>152</v>
      </c>
      <c r="AEA9" s="161" t="s">
        <v>152</v>
      </c>
      <c r="AEB9" s="161" t="s">
        <v>152</v>
      </c>
      <c r="AEC9" s="161" t="s">
        <v>152</v>
      </c>
      <c r="AED9" s="161" t="s">
        <v>219</v>
      </c>
      <c r="AEE9" s="161" t="s">
        <v>152</v>
      </c>
      <c r="AEF9" s="161" t="s">
        <v>152</v>
      </c>
      <c r="AEG9" s="161" t="s">
        <v>152</v>
      </c>
      <c r="AEH9" s="161" t="s">
        <v>152</v>
      </c>
      <c r="AEI9" s="161" t="s">
        <v>152</v>
      </c>
      <c r="AEJ9" s="161" t="s">
        <v>152</v>
      </c>
      <c r="AEK9" s="161" t="s">
        <v>152</v>
      </c>
      <c r="AEL9" s="161" t="s">
        <v>152</v>
      </c>
      <c r="AEM9" s="161" t="s">
        <v>221</v>
      </c>
      <c r="AEN9" s="161" t="s">
        <v>219</v>
      </c>
      <c r="AEO9" s="161" t="s">
        <v>152</v>
      </c>
      <c r="AEP9" s="161" t="s">
        <v>152</v>
      </c>
      <c r="AEQ9" s="161" t="s">
        <v>152</v>
      </c>
      <c r="AER9" s="161" t="s">
        <v>152</v>
      </c>
      <c r="AES9" s="161" t="s">
        <v>152</v>
      </c>
      <c r="AET9" s="161" t="s">
        <v>152</v>
      </c>
      <c r="AEU9" s="161" t="s">
        <v>152</v>
      </c>
      <c r="AEV9" s="161" t="s">
        <v>152</v>
      </c>
      <c r="AEW9" s="161" t="s">
        <v>219</v>
      </c>
      <c r="AEX9" s="161" t="s">
        <v>152</v>
      </c>
      <c r="AEY9" s="161" t="s">
        <v>152</v>
      </c>
      <c r="AEZ9" s="161" t="s">
        <v>152</v>
      </c>
      <c r="AFA9" s="161" t="s">
        <v>152</v>
      </c>
      <c r="AFB9" s="161" t="s">
        <v>152</v>
      </c>
      <c r="AFC9" s="161" t="s">
        <v>152</v>
      </c>
      <c r="AFD9" s="161" t="s">
        <v>152</v>
      </c>
      <c r="AFE9" s="161" t="s">
        <v>152</v>
      </c>
      <c r="AFF9" s="161" t="s">
        <v>221</v>
      </c>
      <c r="AFG9" s="161" t="s">
        <v>235</v>
      </c>
      <c r="AFH9"/>
      <c r="AFI9" s="161" t="s">
        <v>218</v>
      </c>
      <c r="AFJ9" s="161" t="s">
        <v>219</v>
      </c>
      <c r="AFK9" s="161" t="s">
        <v>152</v>
      </c>
      <c r="AFL9" s="161" t="s">
        <v>152</v>
      </c>
      <c r="AFM9" s="161" t="s">
        <v>152</v>
      </c>
      <c r="AFN9" s="161" t="s">
        <v>152</v>
      </c>
      <c r="AFO9" s="161" t="s">
        <v>152</v>
      </c>
      <c r="AFP9" s="161" t="s">
        <v>152</v>
      </c>
      <c r="AFQ9" s="161" t="s">
        <v>152</v>
      </c>
      <c r="AFR9" s="161" t="s">
        <v>152</v>
      </c>
      <c r="AFS9" s="161" t="s">
        <v>218</v>
      </c>
      <c r="AFT9" s="161" t="s">
        <v>219</v>
      </c>
      <c r="AFU9" s="161" t="s">
        <v>152</v>
      </c>
      <c r="AFV9" s="161" t="s">
        <v>152</v>
      </c>
      <c r="AFW9" s="161" t="s">
        <v>152</v>
      </c>
      <c r="AFX9" s="161" t="s">
        <v>152</v>
      </c>
      <c r="AFY9" s="161" t="s">
        <v>152</v>
      </c>
      <c r="AFZ9" s="161" t="s">
        <v>152</v>
      </c>
      <c r="AGA9" s="161" t="s">
        <v>152</v>
      </c>
      <c r="AGB9" s="161" t="s">
        <v>152</v>
      </c>
      <c r="AGC9"/>
      <c r="AGD9" s="26" t="s">
        <v>125</v>
      </c>
      <c r="AGE9" s="260" t="s">
        <v>125</v>
      </c>
      <c r="AGF9" s="26" t="s">
        <v>124</v>
      </c>
      <c r="AGG9" s="26" t="s">
        <v>124</v>
      </c>
      <c r="AGH9" s="26" t="s">
        <v>125</v>
      </c>
      <c r="AGI9" s="26" t="s">
        <v>124</v>
      </c>
      <c r="AGJ9" s="26" t="s">
        <v>124</v>
      </c>
      <c r="AGK9" s="26" t="s">
        <v>128</v>
      </c>
      <c r="AGL9" s="26" t="s">
        <v>128</v>
      </c>
      <c r="AGM9" s="26" t="s">
        <v>128</v>
      </c>
      <c r="AGN9" s="26" t="s">
        <v>128</v>
      </c>
      <c r="AGO9" s="26" t="s">
        <v>128</v>
      </c>
      <c r="AGP9" s="26" t="s">
        <v>128</v>
      </c>
      <c r="AGQ9" s="26" t="s">
        <v>13</v>
      </c>
      <c r="AGR9" s="26" t="s">
        <v>13</v>
      </c>
      <c r="AGS9" s="26" t="s">
        <v>44</v>
      </c>
      <c r="AGT9" s="26" t="s">
        <v>44</v>
      </c>
      <c r="AGU9" s="26"/>
      <c r="AGV9" s="26" t="s">
        <v>44</v>
      </c>
      <c r="AGW9" s="26" t="s">
        <v>44</v>
      </c>
      <c r="AGX9" s="26" t="s">
        <v>44</v>
      </c>
      <c r="AGY9" s="26" t="s">
        <v>44</v>
      </c>
      <c r="AGZ9" s="26" t="s">
        <v>44</v>
      </c>
      <c r="AHA9" s="26" t="s">
        <v>44</v>
      </c>
      <c r="AHB9" s="26" t="s">
        <v>44</v>
      </c>
      <c r="AHC9" s="26" t="s">
        <v>44</v>
      </c>
      <c r="AHD9" s="26" t="s">
        <v>44</v>
      </c>
      <c r="AHE9" s="26" t="s">
        <v>44</v>
      </c>
      <c r="AHF9" s="26" t="s">
        <v>44</v>
      </c>
      <c r="AHG9" s="26" t="s">
        <v>44</v>
      </c>
      <c r="AHH9" s="26" t="s">
        <v>44</v>
      </c>
      <c r="AHI9" s="26" t="s">
        <v>44</v>
      </c>
      <c r="AHJ9" s="26" t="s">
        <v>44</v>
      </c>
      <c r="AHK9" s="26" t="s">
        <v>56</v>
      </c>
      <c r="AHL9" s="26" t="s">
        <v>44</v>
      </c>
      <c r="AHM9" s="26" t="s">
        <v>44</v>
      </c>
      <c r="AHN9" s="26" t="s">
        <v>44</v>
      </c>
      <c r="AHO9" s="26" t="s">
        <v>44</v>
      </c>
      <c r="AHP9" s="26" t="s">
        <v>161</v>
      </c>
      <c r="AHR9" s="23" t="s">
        <v>198</v>
      </c>
      <c r="AHS9" s="26" t="s">
        <v>106</v>
      </c>
      <c r="AHT9" s="26" t="s">
        <v>106</v>
      </c>
      <c r="AHU9" s="26" t="s">
        <v>112</v>
      </c>
      <c r="AHV9" s="26" t="s">
        <v>113</v>
      </c>
      <c r="AHW9" s="26" t="s">
        <v>114</v>
      </c>
      <c r="AHX9"/>
      <c r="AHY9" s="26" t="s">
        <v>26</v>
      </c>
      <c r="AHZ9" s="26" t="s">
        <v>26</v>
      </c>
      <c r="AIA9" s="26" t="s">
        <v>26</v>
      </c>
      <c r="AIB9" s="26" t="s">
        <v>26</v>
      </c>
      <c r="AIC9" s="26" t="s">
        <v>26</v>
      </c>
      <c r="AID9" s="26" t="s">
        <v>26</v>
      </c>
      <c r="AIE9" s="26" t="s">
        <v>26</v>
      </c>
      <c r="AIF9"/>
      <c r="AIG9" s="132" t="s">
        <v>199</v>
      </c>
      <c r="AIH9" s="173" t="s">
        <v>199</v>
      </c>
      <c r="AII9" s="173" t="s">
        <v>29</v>
      </c>
      <c r="AIJ9" s="173" t="s">
        <v>29</v>
      </c>
      <c r="AIK9" s="173" t="s">
        <v>29</v>
      </c>
      <c r="AIL9" s="173" t="s">
        <v>29</v>
      </c>
      <c r="AIM9" s="133" t="s">
        <v>29</v>
      </c>
      <c r="AIN9" s="132" t="s">
        <v>199</v>
      </c>
      <c r="AIO9" s="173" t="s">
        <v>199</v>
      </c>
      <c r="AIP9" s="173" t="s">
        <v>29</v>
      </c>
      <c r="AIQ9" s="173" t="s">
        <v>29</v>
      </c>
      <c r="AIR9" s="173" t="s">
        <v>29</v>
      </c>
      <c r="AIS9" s="173" t="s">
        <v>29</v>
      </c>
      <c r="AIT9" s="133" t="s">
        <v>29</v>
      </c>
      <c r="AIU9" s="132" t="s">
        <v>199</v>
      </c>
      <c r="AIV9" s="173" t="s">
        <v>199</v>
      </c>
      <c r="AIW9" s="173" t="s">
        <v>29</v>
      </c>
      <c r="AIX9" s="173" t="s">
        <v>29</v>
      </c>
      <c r="AIY9" s="173" t="s">
        <v>29</v>
      </c>
      <c r="AIZ9" s="173" t="s">
        <v>29</v>
      </c>
      <c r="AJA9" s="133" t="s">
        <v>29</v>
      </c>
      <c r="AJB9" s="132" t="s">
        <v>199</v>
      </c>
      <c r="AJC9" s="173" t="s">
        <v>199</v>
      </c>
      <c r="AJD9" s="173" t="s">
        <v>29</v>
      </c>
      <c r="AJE9" s="173" t="s">
        <v>29</v>
      </c>
      <c r="AJF9" s="173" t="s">
        <v>29</v>
      </c>
      <c r="AJG9" s="173" t="s">
        <v>29</v>
      </c>
      <c r="AJH9" s="133" t="s">
        <v>29</v>
      </c>
      <c r="AJI9" s="132" t="s">
        <v>199</v>
      </c>
      <c r="AJJ9" s="173" t="s">
        <v>199</v>
      </c>
      <c r="AJK9" s="173" t="s">
        <v>29</v>
      </c>
      <c r="AJL9" s="173" t="s">
        <v>29</v>
      </c>
      <c r="AJM9" s="173" t="s">
        <v>29</v>
      </c>
      <c r="AJN9" s="173" t="s">
        <v>29</v>
      </c>
      <c r="AJO9" s="133" t="s">
        <v>29</v>
      </c>
      <c r="AJP9" s="132" t="s">
        <v>199</v>
      </c>
      <c r="AJQ9" s="173" t="s">
        <v>199</v>
      </c>
      <c r="AJR9" s="173" t="s">
        <v>29</v>
      </c>
      <c r="AJS9" s="173" t="s">
        <v>29</v>
      </c>
      <c r="AJT9" s="173" t="s">
        <v>29</v>
      </c>
      <c r="AJU9" s="173" t="s">
        <v>29</v>
      </c>
      <c r="AJV9" s="133" t="s">
        <v>29</v>
      </c>
      <c r="AJW9" s="132" t="s">
        <v>199</v>
      </c>
      <c r="AJX9" s="173" t="s">
        <v>199</v>
      </c>
      <c r="AJY9" s="173" t="s">
        <v>29</v>
      </c>
      <c r="AJZ9" s="173" t="s">
        <v>29</v>
      </c>
      <c r="AKA9" s="173" t="s">
        <v>29</v>
      </c>
      <c r="AKB9" s="173" t="s">
        <v>29</v>
      </c>
      <c r="AKC9" s="133" t="s">
        <v>29</v>
      </c>
      <c r="AKD9"/>
      <c r="AKE9" s="23" t="s">
        <v>13</v>
      </c>
      <c r="AKF9" s="23" t="s">
        <v>13</v>
      </c>
      <c r="AKG9" s="23" t="s">
        <v>13</v>
      </c>
      <c r="AKH9" s="23" t="s">
        <v>13</v>
      </c>
      <c r="AKI9" s="23" t="s">
        <v>13</v>
      </c>
      <c r="AKJ9"/>
      <c r="AKK9" s="26" t="s">
        <v>124</v>
      </c>
      <c r="AKL9" s="26" t="s">
        <v>124</v>
      </c>
      <c r="AKM9" s="26" t="s">
        <v>124</v>
      </c>
      <c r="AKN9" s="26" t="s">
        <v>124</v>
      </c>
      <c r="AKO9" s="26" t="s">
        <v>124</v>
      </c>
      <c r="AKP9" s="26" t="s">
        <v>124</v>
      </c>
      <c r="AKQ9" s="26" t="s">
        <v>124</v>
      </c>
      <c r="AKR9" s="26" t="s">
        <v>29</v>
      </c>
      <c r="AKS9" s="26" t="s">
        <v>222</v>
      </c>
      <c r="AKT9" s="26" t="s">
        <v>222</v>
      </c>
      <c r="AKU9" s="26" t="s">
        <v>222</v>
      </c>
      <c r="AKV9" s="26" t="s">
        <v>222</v>
      </c>
      <c r="AKW9" s="26" t="s">
        <v>222</v>
      </c>
      <c r="AKX9" s="26" t="s">
        <v>222</v>
      </c>
      <c r="AKY9" s="26" t="s">
        <v>222</v>
      </c>
      <c r="AKZ9" s="26" t="s">
        <v>222</v>
      </c>
      <c r="ALA9" s="26" t="s">
        <v>222</v>
      </c>
      <c r="ALB9" s="26" t="s">
        <v>222</v>
      </c>
      <c r="ALC9" s="26" t="s">
        <v>222</v>
      </c>
      <c r="ALD9" s="26" t="s">
        <v>222</v>
      </c>
      <c r="ALE9" s="26" t="s">
        <v>222</v>
      </c>
      <c r="ALF9" s="26" t="s">
        <v>222</v>
      </c>
      <c r="ALG9" s="26" t="s">
        <v>222</v>
      </c>
      <c r="ALH9"/>
      <c r="ALI9" s="161" t="s">
        <v>29</v>
      </c>
      <c r="ALJ9" s="161" t="s">
        <v>236</v>
      </c>
      <c r="ALK9" s="161" t="s">
        <v>218</v>
      </c>
      <c r="ALL9" s="161" t="s">
        <v>219</v>
      </c>
      <c r="ALM9" s="161" t="s">
        <v>152</v>
      </c>
      <c r="ALN9" s="161" t="s">
        <v>152</v>
      </c>
      <c r="ALO9" s="161" t="s">
        <v>152</v>
      </c>
      <c r="ALP9" s="161" t="s">
        <v>152</v>
      </c>
      <c r="ALQ9" s="161" t="s">
        <v>152</v>
      </c>
      <c r="ALR9" s="161" t="s">
        <v>152</v>
      </c>
      <c r="ALS9" s="161" t="s">
        <v>152</v>
      </c>
      <c r="ALT9" s="161" t="s">
        <v>152</v>
      </c>
      <c r="ALU9" s="161" t="s">
        <v>219</v>
      </c>
      <c r="ALV9" s="161" t="s">
        <v>152</v>
      </c>
      <c r="ALW9" s="161" t="s">
        <v>152</v>
      </c>
      <c r="ALX9" s="161" t="s">
        <v>152</v>
      </c>
      <c r="ALY9" s="161" t="s">
        <v>152</v>
      </c>
      <c r="ALZ9" s="161" t="s">
        <v>152</v>
      </c>
      <c r="AMA9" s="161" t="s">
        <v>152</v>
      </c>
      <c r="AMB9" s="161" t="s">
        <v>152</v>
      </c>
      <c r="AMC9" s="161" t="s">
        <v>152</v>
      </c>
      <c r="AMD9" s="161" t="s">
        <v>221</v>
      </c>
      <c r="AME9" s="161" t="s">
        <v>219</v>
      </c>
      <c r="AMF9" s="161" t="s">
        <v>152</v>
      </c>
      <c r="AMG9" s="161" t="s">
        <v>152</v>
      </c>
      <c r="AMH9" s="161" t="s">
        <v>152</v>
      </c>
      <c r="AMI9" s="161" t="s">
        <v>152</v>
      </c>
      <c r="AMJ9" s="161" t="s">
        <v>152</v>
      </c>
      <c r="AMK9" s="161" t="s">
        <v>152</v>
      </c>
      <c r="AML9" s="161" t="s">
        <v>152</v>
      </c>
      <c r="AMM9" s="161" t="s">
        <v>152</v>
      </c>
      <c r="AMN9" s="161" t="s">
        <v>219</v>
      </c>
      <c r="AMO9" s="161" t="s">
        <v>152</v>
      </c>
      <c r="AMP9" s="161" t="s">
        <v>152</v>
      </c>
      <c r="AMQ9" s="161" t="s">
        <v>152</v>
      </c>
      <c r="AMR9" s="161" t="s">
        <v>152</v>
      </c>
      <c r="AMS9" s="161" t="s">
        <v>152</v>
      </c>
      <c r="AMT9" s="161" t="s">
        <v>152</v>
      </c>
      <c r="AMU9" s="161" t="s">
        <v>152</v>
      </c>
      <c r="AMV9" s="161" t="s">
        <v>152</v>
      </c>
      <c r="AMW9" s="161" t="s">
        <v>221</v>
      </c>
      <c r="AMX9" s="161" t="s">
        <v>235</v>
      </c>
      <c r="AMY9"/>
      <c r="AMZ9" s="161" t="s">
        <v>218</v>
      </c>
      <c r="ANA9" s="161" t="s">
        <v>219</v>
      </c>
      <c r="ANB9" s="161" t="s">
        <v>152</v>
      </c>
      <c r="ANC9" s="161" t="s">
        <v>152</v>
      </c>
      <c r="AND9" s="161" t="s">
        <v>152</v>
      </c>
      <c r="ANE9" s="161" t="s">
        <v>152</v>
      </c>
      <c r="ANF9" s="161" t="s">
        <v>152</v>
      </c>
      <c r="ANG9" s="161" t="s">
        <v>152</v>
      </c>
      <c r="ANH9" s="161" t="s">
        <v>152</v>
      </c>
      <c r="ANI9" s="161" t="s">
        <v>152</v>
      </c>
      <c r="ANJ9" s="161" t="s">
        <v>218</v>
      </c>
      <c r="ANK9" s="161" t="s">
        <v>219</v>
      </c>
      <c r="ANL9" s="161" t="s">
        <v>152</v>
      </c>
      <c r="ANM9" s="161" t="s">
        <v>152</v>
      </c>
      <c r="ANN9" s="161" t="s">
        <v>152</v>
      </c>
      <c r="ANO9" s="161" t="s">
        <v>152</v>
      </c>
      <c r="ANP9" s="161" t="s">
        <v>152</v>
      </c>
      <c r="ANQ9" s="161" t="s">
        <v>152</v>
      </c>
      <c r="ANR9" s="161" t="s">
        <v>152</v>
      </c>
      <c r="ANS9" s="161" t="s">
        <v>152</v>
      </c>
      <c r="ANT9"/>
      <c r="ANU9" s="26" t="s">
        <v>125</v>
      </c>
      <c r="ANV9" s="260" t="s">
        <v>125</v>
      </c>
      <c r="ANW9" s="26" t="s">
        <v>124</v>
      </c>
      <c r="ANX9" s="26" t="s">
        <v>124</v>
      </c>
      <c r="ANY9" s="26" t="s">
        <v>125</v>
      </c>
      <c r="ANZ9" s="26" t="s">
        <v>124</v>
      </c>
      <c r="AOA9" s="26" t="s">
        <v>124</v>
      </c>
      <c r="AOB9" s="26" t="s">
        <v>128</v>
      </c>
      <c r="AOC9" s="26" t="s">
        <v>128</v>
      </c>
      <c r="AOD9" s="26" t="s">
        <v>128</v>
      </c>
      <c r="AOE9" s="26" t="s">
        <v>128</v>
      </c>
      <c r="AOF9" s="26" t="s">
        <v>128</v>
      </c>
      <c r="AOG9" s="26" t="s">
        <v>128</v>
      </c>
      <c r="AOH9" s="26" t="s">
        <v>13</v>
      </c>
      <c r="AOI9" s="26" t="s">
        <v>13</v>
      </c>
      <c r="AOJ9" s="26" t="s">
        <v>44</v>
      </c>
      <c r="AOK9" s="26" t="s">
        <v>44</v>
      </c>
      <c r="AOL9" s="26"/>
      <c r="AOM9" s="26" t="s">
        <v>44</v>
      </c>
      <c r="AON9" s="26" t="s">
        <v>44</v>
      </c>
      <c r="AOO9" s="26" t="s">
        <v>44</v>
      </c>
      <c r="AOP9" s="26" t="s">
        <v>44</v>
      </c>
      <c r="AOQ9" s="26" t="s">
        <v>44</v>
      </c>
      <c r="AOR9" s="26" t="s">
        <v>44</v>
      </c>
      <c r="AOS9" s="26" t="s">
        <v>44</v>
      </c>
      <c r="AOT9" s="26" t="s">
        <v>44</v>
      </c>
      <c r="AOU9" s="26" t="s">
        <v>44</v>
      </c>
      <c r="AOV9" s="26" t="s">
        <v>44</v>
      </c>
      <c r="AOW9" s="26" t="s">
        <v>44</v>
      </c>
      <c r="AOX9" s="26" t="s">
        <v>44</v>
      </c>
      <c r="AOY9" s="26" t="s">
        <v>44</v>
      </c>
      <c r="AOZ9" s="26" t="s">
        <v>44</v>
      </c>
      <c r="APA9" s="26" t="s">
        <v>44</v>
      </c>
      <c r="APB9" s="26" t="s">
        <v>56</v>
      </c>
      <c r="APC9" s="26" t="s">
        <v>44</v>
      </c>
      <c r="APD9" s="26" t="s">
        <v>44</v>
      </c>
      <c r="APE9" s="26" t="s">
        <v>44</v>
      </c>
      <c r="APF9" s="26" t="s">
        <v>44</v>
      </c>
      <c r="APG9" s="26" t="s">
        <v>161</v>
      </c>
      <c r="API9" s="287" t="s">
        <v>39</v>
      </c>
      <c r="APK9" s="26" t="s">
        <v>355</v>
      </c>
      <c r="APL9" s="26" t="s">
        <v>355</v>
      </c>
      <c r="APM9" s="26" t="s">
        <v>355</v>
      </c>
      <c r="APO9" s="287" t="s">
        <v>39</v>
      </c>
      <c r="AQN9"/>
      <c r="AQO9"/>
      <c r="AQP9"/>
    </row>
    <row r="10" spans="1:1134">
      <c r="C10" s="5">
        <v>43875</v>
      </c>
      <c r="D10" s="7" t="s">
        <v>20</v>
      </c>
      <c r="E10" s="86" t="s">
        <v>35</v>
      </c>
      <c r="F10" s="6">
        <v>50</v>
      </c>
      <c r="G10" s="1" t="s">
        <v>185</v>
      </c>
      <c r="H10" s="1" t="s">
        <v>5</v>
      </c>
      <c r="I10" s="15"/>
      <c r="J10" s="15"/>
      <c r="K10" s="15"/>
      <c r="L10" s="15"/>
      <c r="M10" s="15"/>
      <c r="N10" s="15"/>
      <c r="O10" s="15"/>
      <c r="P10" s="8">
        <v>144787.49999999983</v>
      </c>
      <c r="Q10" s="98"/>
      <c r="R10" s="7" t="s">
        <v>95</v>
      </c>
      <c r="T10" s="287" t="s">
        <v>39</v>
      </c>
      <c r="V10" s="4"/>
      <c r="W10" s="16" t="str">
        <f t="shared" ref="W10:AC23" si="0">IF(ISBLANK($V10),"not used yet",IF($V10&lt;&gt;$E10,"error",0))</f>
        <v>not used yet</v>
      </c>
      <c r="X10" s="16" t="str">
        <f t="shared" si="0"/>
        <v>not used yet</v>
      </c>
      <c r="Y10" s="16" t="str">
        <f t="shared" si="0"/>
        <v>not used yet</v>
      </c>
      <c r="Z10" s="16" t="str">
        <f t="shared" si="0"/>
        <v>not used yet</v>
      </c>
      <c r="AA10" s="16" t="str">
        <f t="shared" si="0"/>
        <v>not used yet</v>
      </c>
      <c r="AB10" s="16" t="str">
        <f t="shared" si="0"/>
        <v>not used yet</v>
      </c>
      <c r="AC10" s="16" t="str">
        <f t="shared" si="0"/>
        <v>not used yet</v>
      </c>
      <c r="AE10" s="88" t="str">
        <f t="shared" ref="AE10:AE23" si="1">E10</f>
        <v>SMB Generic</v>
      </c>
      <c r="AF10" s="16">
        <f>IF(NOT(ISBLANK(I10)),I10,IF10)</f>
        <v>0.44800000000000001</v>
      </c>
      <c r="AG10" s="16">
        <f t="shared" ref="AF10:AL13" si="2">IF(NOT(ISBLANK(J10)),J10,IG10)</f>
        <v>0.4</v>
      </c>
      <c r="AH10" s="61">
        <f t="shared" si="2"/>
        <v>2.3E-2</v>
      </c>
      <c r="AI10" s="61">
        <f t="shared" si="2"/>
        <v>1.2999999999999999E-2</v>
      </c>
      <c r="AJ10" s="61">
        <f t="shared" si="2"/>
        <v>0.01</v>
      </c>
      <c r="AK10" s="16">
        <f t="shared" si="2"/>
        <v>3.5000000000000003E-2</v>
      </c>
      <c r="AL10" s="16">
        <f t="shared" si="2"/>
        <v>0.1</v>
      </c>
      <c r="AM10" s="24" t="str">
        <f t="shared" ref="AM10:AM23" si="3">IM10</f>
        <v>LT</v>
      </c>
      <c r="AN10" s="427">
        <f>IF(NOT(ISBLANK(P10)),P10*IF(H10="dmt",1,1-AL10),IO10*JN10*(1-AL10))</f>
        <v>144787.49999999983</v>
      </c>
      <c r="AO10" s="127" t="str">
        <f t="array" ref="AO10">IFERROR(IF(AND(AN10&gt;'Indices Mines Exporting Ports'!$D$11,MATCH(2,1/(('Indices Mines Exporting Ports'!$B$3:$B$10&lt;=C10)*('Indices Mines Exporting Ports'!$C$3:$C$10=E10)))),"Yes","No"),"No")</f>
        <v>No</v>
      </c>
      <c r="AP10" s="126" t="str">
        <f t="array" ref="AP10">IF(AO10="Yes",INDEX('Indices Mines Exporting Ports'!$D$3:$D$10,MATCH(2,1/(('Indices Mines Exporting Ports'!$B$3:$B$10&lt;=Main!C10)*('Indices Mines Exporting Ports'!$C$3:$C$10=Main!AE10)))),IF(NOT(ISBLANK(Q10)),Q10,IP10))</f>
        <v>SMB-WAP_Nunez_Offshore</v>
      </c>
      <c r="AQ10" s="262">
        <f t="array" ref="AQ10">IF(AO10="no",0,INDEX('Indices Mines Exporting Ports'!$E$3:$E$10,MATCH(2,1/(('Indices Mines Exporting Ports'!$B$3:$B$10&lt;=Main!$C10)*('Indices Mines Exporting Ports'!$D$3:$D$10=Main!$AP10)))))</f>
        <v>0</v>
      </c>
      <c r="AR10" s="267">
        <f t="array" ref="AR10">IF(AO10="No",0,AN10/ROUND(AN10/INDEX('Indices Mines Exporting Ports'!$F$3:$F$10,MATCH(2,1/(('Indices Mines Exporting Ports'!$B$3:$B$10&lt;=Main!C10)*('Indices Mines Exporting Ports'!$C$3:$C$10=Main!AE10)))),0))</f>
        <v>0</v>
      </c>
      <c r="AS10" s="127" t="str">
        <f t="shared" ref="AS10:AS23" si="4">IF(NOT(ISBLANK(R10)),R10,"Qingdao")</f>
        <v>Qingdao</v>
      </c>
      <c r="AT10" s="100" t="str">
        <f t="shared" ref="AT10:AU13" si="5">IQ10</f>
        <v>Guinea 45/3 LT</v>
      </c>
      <c r="AU10" s="100" t="str">
        <f t="shared" si="5"/>
        <v>CBIX LT</v>
      </c>
      <c r="AV10" s="242" t="s">
        <v>4</v>
      </c>
      <c r="AW10" s="242" t="s">
        <v>5</v>
      </c>
      <c r="AX10" s="292" t="e">
        <f t="shared" ref="AX10:AX23" ca="1" si="6">IF(AND(G10="FOB",H10="dmt"),F10,IF(AND(G10="FOB",H10="wmt"),F10/(1-AL10),AZ10-AY10))</f>
        <v>#NAME?</v>
      </c>
      <c r="AY10" s="291" t="e">
        <f t="shared" ref="AY10:AY23" ca="1" si="7">APK10</f>
        <v>#NAME?</v>
      </c>
      <c r="AZ10" s="292" t="e">
        <f t="shared" ref="AZ10:AZ23" ca="1" si="8">IF(AND(G10&lt;&gt;"FOB",H10="dmt"),F10*IF(G10="CIF",1,(1+KL10))+APM10,IF(AND(G10&lt;&gt;"FOB",H10="wmt"),(F10*IF(G10="CIF",1,(1+KL10)))/(1-AL10),AX10+AY10))</f>
        <v>#NAME?</v>
      </c>
      <c r="BA10" s="102">
        <f t="shared" ref="BA10:BA23" si="9">IN10</f>
        <v>0.33</v>
      </c>
      <c r="BB10" s="12"/>
      <c r="BC10" s="306" t="s">
        <v>403</v>
      </c>
      <c r="BD10" s="407" t="e">
        <f ca="1">IF($AT10=BD$7,$CV10,0)</f>
        <v>#NAME?</v>
      </c>
      <c r="BE10" s="407">
        <f>IF($AT10=BE$7,$CV10,0)</f>
        <v>0</v>
      </c>
      <c r="BF10" s="407">
        <f>IF($AT10=BF$7,$CV10,0)</f>
        <v>0</v>
      </c>
      <c r="BG10" s="407" t="e">
        <f ca="1">IF($AU10=BG$7,$EE10,0)</f>
        <v>#NAME?</v>
      </c>
      <c r="BH10" s="407">
        <f>IF($AU10=BH$7,$EE10,)</f>
        <v>0</v>
      </c>
      <c r="BI10" s="263" t="e">
        <f ca="1">GU10</f>
        <v>#NAME?</v>
      </c>
      <c r="BK10" s="287" t="s">
        <v>39</v>
      </c>
      <c r="BM10" s="291" t="e">
        <f ca="1">$AZ10</f>
        <v>#NAME?</v>
      </c>
      <c r="BN10" s="298">
        <f>$AF10</f>
        <v>0.44800000000000001</v>
      </c>
      <c r="BO10" s="298">
        <f>$AG10</f>
        <v>0.4</v>
      </c>
      <c r="BP10" s="298">
        <f>$AH10</f>
        <v>2.3E-2</v>
      </c>
      <c r="BQ10" s="298">
        <f>$AI10</f>
        <v>1.2999999999999999E-2</v>
      </c>
      <c r="BR10" s="298">
        <f>$AJ10</f>
        <v>0.01</v>
      </c>
      <c r="BS10" s="298">
        <f>$AK10</f>
        <v>3.5000000000000003E-2</v>
      </c>
      <c r="BT10" s="298">
        <f>$AL10</f>
        <v>0.1</v>
      </c>
      <c r="BU10" s="307" t="str">
        <f>$AM10</f>
        <v>LT</v>
      </c>
      <c r="BV10" s="291">
        <f>$BA10</f>
        <v>0.33</v>
      </c>
      <c r="BX10" s="300">
        <f t="array" ref="BX10">INDEX('Processing Factors'!$D$8:$D$29,MATCH(2,1/(('Processing Factors'!$B$8:$B$29&lt;=Main!$C10)*('Processing Factors'!$C$8:$C$29=Main!BU10))))</f>
        <v>0</v>
      </c>
      <c r="BY10" s="299">
        <f t="array" ref="BY10">INDEX('Processing Factors'!$E$8:$E$29,MATCH(2,1/(('Processing Factors'!$B$8:$B$29&lt;=Main!$C10)*('Processing Factors'!$C$8:$C$29=Main!BU10))))</f>
        <v>1</v>
      </c>
      <c r="BZ10" s="299">
        <f t="array" ref="BZ10">INDEX('Processing Factors'!$F$8:$F$29,MATCH(2,1/(('Processing Factors'!$B$8:$B$29&lt;=Main!$C10)*('Processing Factors'!$C$8:$C$29=Main!BU10))))</f>
        <v>0.9</v>
      </c>
      <c r="CA10" s="299">
        <f t="array" ref="CA10">INDEX('Processing Factors'!$G$8:$G$29,MATCH(2,1/(('Processing Factors'!$B$8:$B$29&lt;=Main!$C10)*('Processing Factors'!$C$8:$C$29=Main!BU10))))</f>
        <v>3.5999999999999997E-2</v>
      </c>
      <c r="CB10" s="299">
        <f t="array" ref="CB10">INDEX('Processing Factors'!$H$8:$H$29,MATCH(2,1/(('Processing Factors'!$B$8:$B$29&lt;=Main!$C10)*('Processing Factors'!$C$8:$C$29=Main!BU10))))</f>
        <v>12.15</v>
      </c>
      <c r="CC10" s="300">
        <f t="array" ref="CC10">INDEX('Processing Factors'!$I$8:$I$29,MATCH(2,1/(('Processing Factors'!$B$8:$B$29&lt;=Main!$C10)*('Processing Factors'!$C$8:$C$29=Main!BU10))))</f>
        <v>0</v>
      </c>
      <c r="CD10" s="300">
        <f t="array" ref="CD10">INDEX('Processing Factors'!$J$8:$J$29,MATCH(2,1/(('Processing Factors'!$B$8:$B$29&lt;=Main!$C10)*('Processing Factors'!$C$8:$C$29=Main!BU10))))</f>
        <v>0.9</v>
      </c>
      <c r="CE10" s="299">
        <f t="array" ref="CE10">INDEX('Processing Factors'!$K$8:$K$29,MATCH(2,1/(('Processing Factors'!$B$8:$B$29&lt;=Main!$C10)*('Processing Factors'!$C$8:$C$29=Main!BU10))))</f>
        <v>3.5000000000000003E-2</v>
      </c>
      <c r="CG10" s="302">
        <f t="shared" ref="CG10:CG23" si="10">(BN10-BO10-BQ10)*BX10+BO10+BQ10</f>
        <v>0.41300000000000003</v>
      </c>
      <c r="CH10" s="302">
        <f t="shared" ref="CH10:CH23" si="11">BQ10+CC10*(BP10-BQ10)</f>
        <v>1.2999999999999999E-2</v>
      </c>
      <c r="CI10" s="302">
        <f t="shared" ref="CI10:CI23" si="12">CG10-BY10*CH10</f>
        <v>0.4</v>
      </c>
      <c r="CJ10" s="299">
        <f t="shared" ref="CJ10:CJ23" si="13">1/CI10/CD10</f>
        <v>2.7777777777777777</v>
      </c>
      <c r="CK10" s="281" t="e">
        <f t="shared" ref="CK10:CK23" ca="1" si="14">(BM10+BV10)*CJ10</f>
        <v>#NAME?</v>
      </c>
      <c r="CL10" s="299">
        <f t="shared" ref="CL10:CL23" si="15">CH10*BZ10*CJ10+CE10</f>
        <v>6.7500000000000004E-2</v>
      </c>
      <c r="CM10" s="281">
        <f t="shared" ref="CM10:CM23" si="16">CL10*$IW10</f>
        <v>17.8852764250931</v>
      </c>
      <c r="CN10" s="281">
        <f t="shared" ref="CN10:CN23" si="17">CB10*$IV10</f>
        <v>51.052361429389862</v>
      </c>
      <c r="CO10" s="281">
        <f t="shared" ref="CO10:CO23" si="18">CA10*$IX10</f>
        <v>1.2374677742767115</v>
      </c>
      <c r="CP10" s="299">
        <f t="shared" ref="CP10:CP23" si="19">(CJ10-1+CL10+$CA10)</f>
        <v>1.8812777777777776</v>
      </c>
      <c r="CQ10" s="281">
        <f t="shared" ref="CQ10:CQ23" si="20">CP10*$IY10</f>
        <v>8.0834049460517505</v>
      </c>
      <c r="CR10" s="281" t="e">
        <f t="shared" ref="CR10:CR23" ca="1" si="21">CK10+CM10+CN10+CO10+CQ10</f>
        <v>#NAME?</v>
      </c>
      <c r="CT10" s="287" t="s">
        <v>39</v>
      </c>
      <c r="CV10" s="305" t="e">
        <f t="shared" ref="CV10:CV23" ca="1" si="22">($CR10-EA10)/DS10-DE10</f>
        <v>#NAME?</v>
      </c>
      <c r="CW10" s="61">
        <f t="array" ref="CW10">INDEX('Indices Mines Exporting Ports'!E$20:E$51, MATCH(2,1/(('Indices Mines Exporting Ports'!$C$20:$C$51=$AT10)*('Indices Mines Exporting Ports'!$D$20:$D$51&lt;=$C10))))</f>
        <v>0.45</v>
      </c>
      <c r="CX10" s="61">
        <f t="array" ref="CX10">INDEX('Indices Mines Exporting Ports'!F$20:F$51, MATCH(2,1/(('Indices Mines Exporting Ports'!$C$20:$C$51=$AT10)*('Indices Mines Exporting Ports'!$D$20:$D$51&lt;=$C10))))</f>
        <v>0.40250000000000002</v>
      </c>
      <c r="CY10" s="61">
        <f t="array" ref="CY10">INDEX('Indices Mines Exporting Ports'!G$20:G$51, MATCH(2,1/(('Indices Mines Exporting Ports'!$C$20:$C$51=$AT10)*('Indices Mines Exporting Ports'!$D$20:$D$51&lt;=$C10))))</f>
        <v>0.03</v>
      </c>
      <c r="CZ10" s="61">
        <f t="array" ref="CZ10">INDEX('Indices Mines Exporting Ports'!H$20:H$51, MATCH(2,1/(('Indices Mines Exporting Ports'!$C$20:$C$51=$AT10)*('Indices Mines Exporting Ports'!$D$20:$D$51&lt;=$C10))))</f>
        <v>1.2500000000000001E-2</v>
      </c>
      <c r="DA10" s="61">
        <f t="array" ref="DA10">INDEX('Indices Mines Exporting Ports'!I$20:I$51, MATCH(2,1/(('Indices Mines Exporting Ports'!$C$20:$C$51=$AT10)*('Indices Mines Exporting Ports'!$D$20:$D$51&lt;=$C10))))</f>
        <v>1.7499999999999998E-2</v>
      </c>
      <c r="DB10" s="61">
        <f t="array" ref="DB10">INDEX('Indices Mines Exporting Ports'!J$20:J$51, MATCH(2,1/(('Indices Mines Exporting Ports'!$C$20:$C$51=$AT10)*('Indices Mines Exporting Ports'!$D$20:$D$51&lt;=$C10))))</f>
        <v>3.5000000000000003E-2</v>
      </c>
      <c r="DC10" s="61">
        <f t="array" ref="DC10">INDEX('Indices Mines Exporting Ports'!K$20:K$51, MATCH(2,1/(('Indices Mines Exporting Ports'!$C$20:$C$51=$AT10)*('Indices Mines Exporting Ports'!$D$20:$D$51&lt;=$C10))))</f>
        <v>0.1</v>
      </c>
      <c r="DD10" s="103" t="str">
        <f t="array" ref="DD10">INDEX('Indices Mines Exporting Ports'!L$20:L$51, MATCH(2,1/(('Indices Mines Exporting Ports'!$C$20:$C$51=$AT10)*('Indices Mines Exporting Ports'!$D$20:$D$51&lt;=$C10))))</f>
        <v>LT</v>
      </c>
      <c r="DE10" s="243">
        <f t="array" ref="DE10">INDEX('Indices Mines Exporting Ports'!M$20:M$51, MATCH(2,1/(('Indices Mines Exporting Ports'!$C$20:$C$51=$AT10)*('Indices Mines Exporting Ports'!$D$20:$D$51&lt;=$C10))))</f>
        <v>0.33</v>
      </c>
      <c r="DG10" s="300">
        <f t="array" ref="DG10">INDEX('Processing Factors'!$D$8:$D$29,MATCH(2,1/(('Processing Factors'!$B$8:$B$29&lt;=Main!$C10)*('Processing Factors'!$C$8:$C$29=Main!DD10))))</f>
        <v>0</v>
      </c>
      <c r="DH10" s="299">
        <f t="array" ref="DH10">INDEX('Processing Factors'!$E$8:$E$29,MATCH(2,1/(('Processing Factors'!$B$8:$B$29&lt;=Main!$C10)*('Processing Factors'!$C$8:$C$29=Main!DD10))))</f>
        <v>1</v>
      </c>
      <c r="DI10" s="299">
        <f t="array" ref="DI10">INDEX('Processing Factors'!$F$8:$F$29,MATCH(2,1/(('Processing Factors'!$B$8:$B$29&lt;=Main!$C10)*('Processing Factors'!$C$8:$C$29=Main!DD10))))</f>
        <v>0.9</v>
      </c>
      <c r="DJ10" s="299">
        <f t="array" ref="DJ10">INDEX('Processing Factors'!$G$8:$G$29,MATCH(2,1/(('Processing Factors'!$B$8:$B$29&lt;=Main!$C10)*('Processing Factors'!$C$8:$C$29=Main!DD10))))</f>
        <v>3.5999999999999997E-2</v>
      </c>
      <c r="DK10" s="299">
        <f t="array" ref="DK10">INDEX('Processing Factors'!$H$8:$H$29,MATCH(2,1/(('Processing Factors'!$B$8:$B$29&lt;=Main!$C10)*('Processing Factors'!$C$8:$C$29=Main!DD10))))</f>
        <v>12.15</v>
      </c>
      <c r="DL10" s="300">
        <f t="array" ref="DL10">INDEX('Processing Factors'!$I$8:$I$29,MATCH(2,1/(('Processing Factors'!$B$8:$B$29&lt;=Main!$C10)*('Processing Factors'!$C$8:$C$29=Main!DD10))))</f>
        <v>0</v>
      </c>
      <c r="DM10" s="300">
        <f t="array" ref="DM10">INDEX('Processing Factors'!$J$8:$J$29,MATCH(2,1/(('Processing Factors'!$B$8:$B$29&lt;=Main!$C10)*('Processing Factors'!$C$8:$C$29=Main!DD10))))</f>
        <v>0.9</v>
      </c>
      <c r="DN10" s="299">
        <f t="array" ref="DN10">INDEX('Processing Factors'!$K$8:$K$29,MATCH(2,1/(('Processing Factors'!$B$8:$B$29&lt;=Main!$C10)*('Processing Factors'!$C$8:$C$29=Main!DD10))))</f>
        <v>3.5000000000000003E-2</v>
      </c>
      <c r="DP10" s="302">
        <f t="shared" ref="DP10:DP23" si="23">(CW10-CX10-CZ10)*DG10+CX10+CZ10</f>
        <v>0.41500000000000004</v>
      </c>
      <c r="DQ10" s="302">
        <f t="shared" ref="DQ10:DQ23" si="24">CZ10+DL10*(CY10-CZ10)</f>
        <v>1.2500000000000001E-2</v>
      </c>
      <c r="DR10" s="302">
        <f t="shared" ref="DR10:DR23" si="25">DP10-DH10*DQ10</f>
        <v>0.40250000000000002</v>
      </c>
      <c r="DS10" s="299">
        <f t="shared" ref="DS10:DS23" si="26">1/DR10/DM10</f>
        <v>2.7605244996549341</v>
      </c>
      <c r="DT10" s="304">
        <v>0</v>
      </c>
      <c r="DU10" s="299">
        <f t="shared" ref="DU10:DU23" si="27">DQ10*DI10*DS10+DN10</f>
        <v>6.6055900621118019E-2</v>
      </c>
      <c r="DV10" s="281">
        <f t="shared" ref="DV10:DV23" si="28">DU10*$IW10</f>
        <v>17.50263766099518</v>
      </c>
      <c r="DW10" s="281">
        <f t="shared" ref="DW10:DW23" si="29">DK10*$IV10</f>
        <v>51.052361429389862</v>
      </c>
      <c r="DX10" s="281">
        <f t="shared" ref="DX10:DX23" si="30">DJ10*$IX10</f>
        <v>1.2374677742767115</v>
      </c>
      <c r="DY10" s="299">
        <f t="shared" ref="DY10:DY23" si="31">(DS10-1+DU10+$CA10)</f>
        <v>1.8625804002760522</v>
      </c>
      <c r="DZ10" s="281">
        <f t="shared" ref="DZ10:DZ23" si="32">DY10*$IY10</f>
        <v>8.0030667442396979</v>
      </c>
      <c r="EA10" s="281">
        <f t="shared" ref="EA10:EA23" si="33">DT10+DV10+DW10+DX10+DZ10</f>
        <v>77.795533608901451</v>
      </c>
      <c r="EC10" s="287" t="s">
        <v>39</v>
      </c>
      <c r="EE10" s="305" t="e">
        <f t="shared" ref="EE10:EE23" ca="1" si="34">($CR10-FJ10)/FB10-EN10</f>
        <v>#NAME?</v>
      </c>
      <c r="EF10" s="16">
        <f t="array" ref="EF10">INDEX('Indices Mines Exporting Ports'!E$20:E$51, MATCH(2,1/(('Indices Mines Exporting Ports'!$C$20:$C$51=$AU10)*('Indices Mines Exporting Ports'!$D$20:$D$51&lt;=$C10))))</f>
        <v>0.5</v>
      </c>
      <c r="EG10" s="16">
        <f t="array" ref="EG10">INDEX('Indices Mines Exporting Ports'!F$20:F$51, MATCH(2,1/(('Indices Mines Exporting Ports'!$C$20:$C$51=$AU10)*('Indices Mines Exporting Ports'!$D$20:$D$51&lt;=$C10))))</f>
        <v>0.45</v>
      </c>
      <c r="EH10" s="16">
        <f t="array" ref="EH10">INDEX('Indices Mines Exporting Ports'!G$20:G$51, MATCH(2,1/(('Indices Mines Exporting Ports'!$C$20:$C$51=$AU10)*('Indices Mines Exporting Ports'!$D$20:$D$51&lt;=$C10))))</f>
        <v>0.05</v>
      </c>
      <c r="EI10" s="16">
        <f t="array" ref="EI10">INDEX('Indices Mines Exporting Ports'!H$20:H$51, MATCH(2,1/(('Indices Mines Exporting Ports'!$C$20:$C$51=$AU10)*('Indices Mines Exporting Ports'!$D$20:$D$51&lt;=$C10))))</f>
        <v>0.05</v>
      </c>
      <c r="EJ10" s="16">
        <f t="array" ref="EJ10">INDEX('Indices Mines Exporting Ports'!I$20:I$51, MATCH(2,1/(('Indices Mines Exporting Ports'!$C$20:$C$51=$AU10)*('Indices Mines Exporting Ports'!$D$20:$D$51&lt;=$C10))))</f>
        <v>0</v>
      </c>
      <c r="EK10" s="16">
        <f t="array" ref="EK10">INDEX('Indices Mines Exporting Ports'!J$20:J$51, MATCH(2,1/(('Indices Mines Exporting Ports'!$C$20:$C$51=$AU10)*('Indices Mines Exporting Ports'!$D$20:$D$51&lt;=$C10))))</f>
        <v>0</v>
      </c>
      <c r="EL10" s="16">
        <f t="array" ref="EL10">INDEX('Indices Mines Exporting Ports'!K$20:K$51, MATCH(2,1/(('Indices Mines Exporting Ports'!$C$20:$C$51=$AU10)*('Indices Mines Exporting Ports'!$D$20:$D$51&lt;=$C10))))</f>
        <v>0.1</v>
      </c>
      <c r="EM10" s="103" t="str">
        <f t="array" ref="EM10">INDEX('Indices Mines Exporting Ports'!L$20:L$51, MATCH(2,1/(('Indices Mines Exporting Ports'!$C$20:$C$51=$AU10)*('Indices Mines Exporting Ports'!$D$20:$D$51&lt;=$C10))))</f>
        <v>LT</v>
      </c>
      <c r="EN10" s="243">
        <f t="array" ref="EN10">INDEX('Indices Mines Exporting Ports'!M$20:M$51, MATCH(2,1/(('Indices Mines Exporting Ports'!$C$20:$C$51=$AU10)*('Indices Mines Exporting Ports'!$D$20:$D$51&lt;=$C10))))</f>
        <v>0</v>
      </c>
      <c r="EP10" s="300">
        <f t="array" ref="EP10">INDEX('Processing Factors'!$D$8:$D$29,MATCH(2,1/(('Processing Factors'!$B$8:$B$29&lt;=Main!$C10)*('Processing Factors'!$C$8:$C$29=Main!EM10))))</f>
        <v>0</v>
      </c>
      <c r="EQ10" s="299">
        <f t="array" ref="EQ10">INDEX('Processing Factors'!$E$8:$E$29,MATCH(2,1/(('Processing Factors'!$B$8:$B$29&lt;=Main!$C10)*('Processing Factors'!$C$8:$C$29=Main!EM10))))</f>
        <v>1</v>
      </c>
      <c r="ER10" s="299">
        <f t="array" ref="ER10">INDEX('Processing Factors'!$F$8:$F$29,MATCH(2,1/(('Processing Factors'!$B$8:$B$29&lt;=Main!$C10)*('Processing Factors'!$C$8:$C$29=Main!EM10))))</f>
        <v>0.9</v>
      </c>
      <c r="ES10" s="299">
        <f t="array" ref="ES10">INDEX('Processing Factors'!$G$8:$G$29,MATCH(2,1/(('Processing Factors'!$B$8:$B$29&lt;=Main!$C10)*('Processing Factors'!$C$8:$C$29=Main!EM10))))</f>
        <v>3.5999999999999997E-2</v>
      </c>
      <c r="ET10" s="299">
        <f t="array" ref="ET10">INDEX('Processing Factors'!$H$8:$H$29,MATCH(2,1/(('Processing Factors'!$B$8:$B$29&lt;=Main!$C10)*('Processing Factors'!$C$8:$C$29=Main!EM10))))</f>
        <v>12.15</v>
      </c>
      <c r="EU10" s="300">
        <f t="array" ref="EU10">INDEX('Processing Factors'!$I$8:$I$29,MATCH(2,1/(('Processing Factors'!$B$8:$B$29&lt;=Main!$C10)*('Processing Factors'!$C$8:$C$29=Main!EM10))))</f>
        <v>0</v>
      </c>
      <c r="EV10" s="300">
        <f t="array" ref="EV10">INDEX('Processing Factors'!$J$8:$J$29,MATCH(2,1/(('Processing Factors'!$B$8:$B$29&lt;=Main!$C10)*('Processing Factors'!$C$8:$C$29=Main!EM10))))</f>
        <v>0.9</v>
      </c>
      <c r="EW10" s="299">
        <f t="array" ref="EW10">INDEX('Processing Factors'!$K$8:$K$29,MATCH(2,1/(('Processing Factors'!$B$8:$B$29&lt;=Main!$C10)*('Processing Factors'!$C$8:$C$29=Main!EM10))))</f>
        <v>3.5000000000000003E-2</v>
      </c>
      <c r="EY10" s="302">
        <f t="shared" ref="EY10:EY23" si="35">(EF10-EG10-EI10)*EP10+EG10+EI10</f>
        <v>0.5</v>
      </c>
      <c r="EZ10" s="302">
        <f t="shared" ref="EZ10:EZ23" si="36">EI10+EU10*(EH10-EI10)</f>
        <v>0.05</v>
      </c>
      <c r="FA10" s="302">
        <f t="shared" ref="FA10:FA23" si="37">EY10-EQ10*EZ10</f>
        <v>0.45</v>
      </c>
      <c r="FB10" s="299">
        <f t="shared" ref="FB10:FB23" si="38">1/FA10/EV10</f>
        <v>2.4691358024691357</v>
      </c>
      <c r="FC10" s="304">
        <v>0</v>
      </c>
      <c r="FD10" s="299">
        <f t="shared" ref="FD10:FD23" si="39">EZ10*ER10*FB10+EW10</f>
        <v>0.14611111111111114</v>
      </c>
      <c r="FE10" s="281">
        <f t="shared" ref="FE10:FE23" si="40">FD10*$IW10</f>
        <v>38.714631274069838</v>
      </c>
      <c r="FF10" s="281">
        <f t="shared" ref="FF10:FF23" si="41">ET10*$IV10</f>
        <v>51.052361429389862</v>
      </c>
      <c r="FG10" s="281">
        <f t="shared" ref="FG10:FG23" si="42">ES10*$IX10</f>
        <v>1.2374677742767115</v>
      </c>
      <c r="FH10" s="299">
        <f t="shared" ref="FH10:FH23" si="43">(FB10-1+FD10+$CA10)</f>
        <v>1.6512469135802468</v>
      </c>
      <c r="FI10" s="281">
        <f t="shared" ref="FI10:FI23" si="44">FH10*$IY10</f>
        <v>7.0950168157272131</v>
      </c>
      <c r="FJ10" s="281">
        <f t="shared" ref="FJ10:FJ23" si="45">FC10+FE10+FF10+FG10+FI10</f>
        <v>98.099477293463622</v>
      </c>
      <c r="FL10" s="287" t="s">
        <v>39</v>
      </c>
      <c r="FN10" s="315" t="e">
        <f ca="1">$AZ10</f>
        <v>#NAME?</v>
      </c>
      <c r="FO10" s="316">
        <f>$AF10</f>
        <v>0.44800000000000001</v>
      </c>
      <c r="FP10" s="316">
        <f>$AG10</f>
        <v>0.4</v>
      </c>
      <c r="FQ10" s="316">
        <f>$AH10</f>
        <v>2.3E-2</v>
      </c>
      <c r="FR10" s="316">
        <f>$AI10</f>
        <v>1.2999999999999999E-2</v>
      </c>
      <c r="FS10" s="316">
        <f>$AJ10</f>
        <v>0.01</v>
      </c>
      <c r="FT10" s="316">
        <f>$AK10</f>
        <v>3.5000000000000003E-2</v>
      </c>
      <c r="FU10" s="316">
        <f>$AL10</f>
        <v>0.1</v>
      </c>
      <c r="FV10" s="317" t="str">
        <f>$AM10</f>
        <v>LT</v>
      </c>
      <c r="FW10" s="318">
        <v>0</v>
      </c>
      <c r="FX10" s="237"/>
      <c r="FY10" s="319">
        <f t="array" ref="FY10">INDEX('Processing Factors'!$D$8:$D$29,MATCH(2,1/(('Processing Factors'!$B$8:$B$29&lt;=Main!$C10)*('Processing Factors'!$C$8:$C$29=Main!FV10))))</f>
        <v>0</v>
      </c>
      <c r="FZ10" s="320">
        <f t="array" ref="FZ10">INDEX('Processing Factors'!$E$8:$E$29,MATCH(2,1/(('Processing Factors'!$B$8:$B$29&lt;=Main!$C10)*('Processing Factors'!$C$8:$C$29=Main!FV10))))</f>
        <v>1</v>
      </c>
      <c r="GA10" s="320">
        <f t="array" ref="GA10">INDEX('Processing Factors'!$F$8:$F$29,MATCH(2,1/(('Processing Factors'!$B$8:$B$29&lt;=Main!$C10)*('Processing Factors'!$C$8:$C$29=Main!FV10))))</f>
        <v>0.9</v>
      </c>
      <c r="GB10" s="320">
        <f t="array" ref="GB10">INDEX('Processing Factors'!$G$8:$G$29,MATCH(2,1/(('Processing Factors'!$B$8:$B$29&lt;=Main!$C10)*('Processing Factors'!$C$8:$C$29=Main!FV10))))</f>
        <v>3.5999999999999997E-2</v>
      </c>
      <c r="GC10" s="320">
        <f t="array" ref="GC10">INDEX('Processing Factors'!$H$8:$H$29,MATCH(2,1/(('Processing Factors'!$B$8:$B$29&lt;=Main!$C10)*('Processing Factors'!$C$8:$C$29=Main!FV10))))</f>
        <v>12.15</v>
      </c>
      <c r="GD10" s="319">
        <f t="array" ref="GD10">INDEX('Processing Factors'!$I$8:$I$29,MATCH(2,1/(('Processing Factors'!$B$8:$B$29&lt;=Main!$C10)*('Processing Factors'!$C$8:$C$29=Main!FV10))))</f>
        <v>0</v>
      </c>
      <c r="GE10" s="321">
        <v>0.92</v>
      </c>
      <c r="GF10" s="320">
        <f t="array" ref="GF10">INDEX('Processing Factors'!$K$8:$K$29,MATCH(2,1/(('Processing Factors'!$B$8:$B$29&lt;=Main!$C10)*('Processing Factors'!$C$8:$C$29=Main!FV10))))</f>
        <v>3.5000000000000003E-2</v>
      </c>
      <c r="GG10" s="237"/>
      <c r="GH10" s="322">
        <f t="shared" ref="GH10:GH23" si="46">(FO10-FP10-FR10)*FY10+FP10+FR10</f>
        <v>0.41300000000000003</v>
      </c>
      <c r="GI10" s="322">
        <f t="shared" ref="GI10:GI23" si="47">FR10+GD10*(FQ10-FR10)</f>
        <v>1.2999999999999999E-2</v>
      </c>
      <c r="GJ10" s="322">
        <f t="shared" ref="GJ10:GJ23" si="48">GH10-FZ10*GI10</f>
        <v>0.4</v>
      </c>
      <c r="GK10" s="320">
        <f t="shared" ref="GK10:GK23" si="49">1/GJ10/GE10</f>
        <v>2.7173913043478262</v>
      </c>
      <c r="GL10" s="323" t="e">
        <f t="shared" ref="GL10:GL23" ca="1" si="50">(FN10+FW10)*GK10</f>
        <v>#NAME?</v>
      </c>
      <c r="GM10" s="320">
        <f t="shared" ref="GM10:GM23" si="51">GI10*GA10*GK10+GF10</f>
        <v>6.6793478260869565E-2</v>
      </c>
      <c r="GN10" s="323">
        <f t="shared" ref="GN10:GN23" si="52">GM10*$IW10</f>
        <v>17.698071438357019</v>
      </c>
      <c r="GO10" s="323">
        <f t="shared" ref="GO10:GO23" si="53">GC10*$IV10</f>
        <v>51.052361429389862</v>
      </c>
      <c r="GP10" s="323">
        <f t="shared" ref="GP10:GP23" si="54">GB10*$IX10</f>
        <v>1.2374677742767115</v>
      </c>
      <c r="GQ10" s="320">
        <f t="shared" ref="GQ10:GQ23" si="55">(GK10-1+GM10+$CA10)</f>
        <v>1.8201847826086959</v>
      </c>
      <c r="GR10" s="323">
        <f t="shared" ref="GR10:GR23" si="56">GQ10*$IY10</f>
        <v>7.82090281842751</v>
      </c>
      <c r="GS10" s="323" t="e">
        <f t="shared" ref="GS10:GS23" ca="1" si="57">GL10+GN10+GO10+GP10+GR10</f>
        <v>#NAME?</v>
      </c>
      <c r="GT10" s="237"/>
      <c r="GU10" s="324" t="e">
        <f t="shared" ref="GU10:GU23" ca="1" si="58">($GS10-HZ10)/HR10-HD10</f>
        <v>#NAME?</v>
      </c>
      <c r="GV10" s="325">
        <f t="array" ref="GV10">INDEX('Indices Mines Exporting Ports'!E$20:E$51, MATCH(2,1/(('Indices Mines Exporting Ports'!$C$20:$C$51=$BC10)*('Indices Mines Exporting Ports'!$D$20:$D$51&lt;=$C10))))</f>
        <v>0.5</v>
      </c>
      <c r="GW10" s="325">
        <f t="array" ref="GW10">INDEX('Indices Mines Exporting Ports'!F$20:F$51, MATCH(2,1/(('Indices Mines Exporting Ports'!$C$20:$C$51=$BC10)*('Indices Mines Exporting Ports'!$D$20:$D$51&lt;=$C10))))</f>
        <v>0.45</v>
      </c>
      <c r="GX10" s="325">
        <f t="array" ref="GX10">INDEX('Indices Mines Exporting Ports'!G$20:G$51, MATCH(2,1/(('Indices Mines Exporting Ports'!$C$20:$C$51=$BC10)*('Indices Mines Exporting Ports'!$D$20:$D$51&lt;=$C10))))</f>
        <v>0.05</v>
      </c>
      <c r="GY10" s="325">
        <f t="array" ref="GY10">INDEX('Indices Mines Exporting Ports'!H$20:H$51, MATCH(2,1/(('Indices Mines Exporting Ports'!$C$20:$C$51=$BC10)*('Indices Mines Exporting Ports'!$D$20:$D$51&lt;=$C10))))</f>
        <v>0.05</v>
      </c>
      <c r="GZ10" s="325">
        <f t="array" ref="GZ10">INDEX('Indices Mines Exporting Ports'!I$20:I$51, MATCH(2,1/(('Indices Mines Exporting Ports'!$C$20:$C$51=$BC10)*('Indices Mines Exporting Ports'!$D$20:$D$51&lt;=$C10))))</f>
        <v>0</v>
      </c>
      <c r="HA10" s="325">
        <f t="array" ref="HA10">INDEX('Indices Mines Exporting Ports'!J$20:J$51, MATCH(2,1/(('Indices Mines Exporting Ports'!$C$20:$C$51=$BC10)*('Indices Mines Exporting Ports'!$D$20:$D$51&lt;=$C10))))</f>
        <v>0</v>
      </c>
      <c r="HB10" s="325">
        <f t="array" ref="HB10">INDEX('Indices Mines Exporting Ports'!K$20:K$51, MATCH(2,1/(('Indices Mines Exporting Ports'!$C$20:$C$51=$BC10)*('Indices Mines Exporting Ports'!$D$20:$D$51&lt;=$C10))))</f>
        <v>0.1</v>
      </c>
      <c r="HC10" s="326" t="str">
        <f t="array" ref="HC10">INDEX('Indices Mines Exporting Ports'!L$20:L$51, MATCH(2,1/(('Indices Mines Exporting Ports'!$C$20:$C$51=$BC10)*('Indices Mines Exporting Ports'!$D$20:$D$51&lt;=$C10))))</f>
        <v>LT</v>
      </c>
      <c r="HD10" s="262">
        <f t="array" ref="HD10">INDEX('Indices Mines Exporting Ports'!M$20:M$51, MATCH(2,1/(('Indices Mines Exporting Ports'!$C$20:$C$51=$BC10)*('Indices Mines Exporting Ports'!$D$20:$D$51&lt;=$C10))))</f>
        <v>0</v>
      </c>
      <c r="HE10" s="237"/>
      <c r="HF10" s="319">
        <f t="array" ref="HF10">INDEX('Processing Factors'!$D$8:$D$29,MATCH(2,1/(('Processing Factors'!$B$8:$B$29&lt;=Main!$C10)*('Processing Factors'!$C$8:$C$29=Main!HC10))))</f>
        <v>0</v>
      </c>
      <c r="HG10" s="320">
        <f t="array" ref="HG10">INDEX('Processing Factors'!$E$8:$E$29,MATCH(2,1/(('Processing Factors'!$B$8:$B$29&lt;=Main!$C10)*('Processing Factors'!$C$8:$C$29=Main!HC10))))</f>
        <v>1</v>
      </c>
      <c r="HH10" s="320">
        <f t="array" ref="HH10">INDEX('Processing Factors'!$F$8:$F$29,MATCH(2,1/(('Processing Factors'!$B$8:$B$29&lt;=Main!$C10)*('Processing Factors'!$C$8:$C$29=Main!HC10))))</f>
        <v>0.9</v>
      </c>
      <c r="HI10" s="320">
        <f t="array" ref="HI10">INDEX('Processing Factors'!$G$8:$G$29,MATCH(2,1/(('Processing Factors'!$B$8:$B$29&lt;=Main!$C10)*('Processing Factors'!$C$8:$C$29=Main!HC10))))</f>
        <v>3.5999999999999997E-2</v>
      </c>
      <c r="HJ10" s="320">
        <f t="array" ref="HJ10">INDEX('Processing Factors'!$H$8:$H$29,MATCH(2,1/(('Processing Factors'!$B$8:$B$29&lt;=Main!$C10)*('Processing Factors'!$C$8:$C$29=Main!HC10))))</f>
        <v>12.15</v>
      </c>
      <c r="HK10" s="319">
        <f t="array" ref="HK10">INDEX('Processing Factors'!$I$8:$I$29,MATCH(2,1/(('Processing Factors'!$B$8:$B$29&lt;=Main!$C10)*('Processing Factors'!$C$8:$C$29=Main!HC10))))</f>
        <v>0</v>
      </c>
      <c r="HL10" s="321">
        <v>0.92</v>
      </c>
      <c r="HM10" s="320">
        <f t="array" ref="HM10">INDEX('Processing Factors'!$K$8:$K$29,MATCH(2,1/(('Processing Factors'!$B$8:$B$29&lt;=Main!$C10)*('Processing Factors'!$C$8:$C$29=Main!HC10))))</f>
        <v>3.5000000000000003E-2</v>
      </c>
      <c r="HN10" s="237"/>
      <c r="HO10" s="322">
        <f t="shared" ref="HO10:HO23" si="59">(GV10-GW10-GY10)*HF10+GW10+GY10</f>
        <v>0.5</v>
      </c>
      <c r="HP10" s="322">
        <f t="shared" ref="HP10:HP23" si="60">GY10+HK10*(GX10-GY10)</f>
        <v>0.05</v>
      </c>
      <c r="HQ10" s="322">
        <f t="shared" ref="HQ10:HQ23" si="61">HO10-HG10*HP10</f>
        <v>0.45</v>
      </c>
      <c r="HR10" s="320">
        <f t="shared" ref="HR10:HR23" si="62">1/HQ10/HL10</f>
        <v>2.4154589371980677</v>
      </c>
      <c r="HS10" s="263">
        <v>0</v>
      </c>
      <c r="HT10" s="320">
        <f t="shared" ref="HT10:HT23" si="63">HP10*HH10*HR10+HM10</f>
        <v>0.14369565217391306</v>
      </c>
      <c r="HU10" s="323">
        <f t="shared" ref="HU10:HU23" si="64">HT10*$IW10</f>
        <v>38.074614225399479</v>
      </c>
      <c r="HV10" s="323">
        <f t="shared" ref="HV10:HV23" si="65">HJ10*$IV10</f>
        <v>51.052361429389862</v>
      </c>
      <c r="HW10" s="323">
        <f t="shared" ref="HW10:HW23" si="66">HI10*$IX10</f>
        <v>1.2374677742767115</v>
      </c>
      <c r="HX10" s="320">
        <f t="shared" ref="HX10:HX23" si="67">(HR10-1+HT10+$CA10)</f>
        <v>1.5951545893719807</v>
      </c>
      <c r="HY10" s="323">
        <f t="shared" ref="HY10:HY23" si="68">HX10*$IY10</f>
        <v>6.8540013865882869</v>
      </c>
      <c r="HZ10" s="323">
        <f t="shared" ref="HZ10:HZ23" si="69">HS10+HU10+HV10+HW10+HY10</f>
        <v>97.218444815654323</v>
      </c>
      <c r="IB10" s="287" t="s">
        <v>39</v>
      </c>
      <c r="ID10" s="89" t="str">
        <f t="shared" ref="ID10:ID23" si="70">AE10</f>
        <v>SMB Generic</v>
      </c>
      <c r="IE10" s="18">
        <f>$C10</f>
        <v>43875</v>
      </c>
      <c r="IF10" s="94">
        <f t="array" ref="IF10">INDEX('Indices Mines Exporting Ports'!E$20:E$51, MATCH(2,1/(('Indices Mines Exporting Ports'!$C$20:$C$51=$ID10)*('Indices Mines Exporting Ports'!$D$20:$D$51&lt;=$IE10))))</f>
        <v>0.44800000000000001</v>
      </c>
      <c r="IG10" s="94">
        <f t="array" ref="IG10">INDEX('Indices Mines Exporting Ports'!F$20:F$51, MATCH(2,1/(('Indices Mines Exporting Ports'!$C$20:$C$51=$ID10)*('Indices Mines Exporting Ports'!$D$20:$D$51&lt;=$IE10))))</f>
        <v>0.4</v>
      </c>
      <c r="IH10" s="95">
        <f t="array" ref="IH10">INDEX('Indices Mines Exporting Ports'!G$20:G$51, MATCH(2,1/(('Indices Mines Exporting Ports'!$C$20:$C$51=$ID10)*('Indices Mines Exporting Ports'!$D$20:$D$51&lt;=$IE10))))</f>
        <v>2.3E-2</v>
      </c>
      <c r="II10" s="95">
        <f t="array" ref="II10">INDEX('Indices Mines Exporting Ports'!H$20:H$51, MATCH(2,1/(('Indices Mines Exporting Ports'!$C$20:$C$51=$ID10)*('Indices Mines Exporting Ports'!$D$20:$D$51&lt;=$IE10))))</f>
        <v>1.2999999999999999E-2</v>
      </c>
      <c r="IJ10" s="95">
        <f t="array" ref="IJ10">INDEX('Indices Mines Exporting Ports'!I$20:I$51, MATCH(2,1/(('Indices Mines Exporting Ports'!$C$20:$C$51=$ID10)*('Indices Mines Exporting Ports'!$D$20:$D$51&lt;=$IE10))))</f>
        <v>0.01</v>
      </c>
      <c r="IK10" s="94">
        <f t="array" ref="IK10">INDEX('Indices Mines Exporting Ports'!J$20:J$51, MATCH(2,1/(('Indices Mines Exporting Ports'!$C$20:$C$51=$ID10)*('Indices Mines Exporting Ports'!$D$20:$D$51&lt;=$IE10))))</f>
        <v>3.5000000000000003E-2</v>
      </c>
      <c r="IL10" s="94">
        <f t="array" ref="IL10">INDEX('Indices Mines Exporting Ports'!K$20:K$51, MATCH(2,1/(('Indices Mines Exporting Ports'!$C$20:$C$51=$ID10)*('Indices Mines Exporting Ports'!$D$20:$D$51&lt;=$IE10))))</f>
        <v>0.1</v>
      </c>
      <c r="IM10" s="93" t="str">
        <f t="array" ref="IM10">INDEX('Indices Mines Exporting Ports'!L$20:L$51, MATCH(2,1/(('Indices Mines Exporting Ports'!$C$20:$C$51=$ID10)*('Indices Mines Exporting Ports'!$D$20:$D$51&lt;=$IE10))))</f>
        <v>LT</v>
      </c>
      <c r="IN10" s="101">
        <f t="array" ref="IN10">INDEX('Indices Mines Exporting Ports'!M$20:M$51, MATCH(2,1/(('Indices Mines Exporting Ports'!$C$20:$C$51=$ID10)*('Indices Mines Exporting Ports'!$D$20:$D$51&lt;=$IE10))))</f>
        <v>0.33</v>
      </c>
      <c r="IO10" s="96">
        <f t="array" ref="IO10">INDEX('Indices Mines Exporting Ports'!N$20:N$51, MATCH(2,1/(('Indices Mines Exporting Ports'!$C$20:$C$51=$ID10)*('Indices Mines Exporting Ports'!$D$20:$D$51&lt;=$IE10))))</f>
        <v>180000</v>
      </c>
      <c r="IP10" s="95" t="str">
        <f t="array" ref="IP10">INDEX('Indices Mines Exporting Ports'!Q$20:Q$51, MATCH(2,1/(('Indices Mines Exporting Ports'!$C$20:$C$51=$ID10)*('Indices Mines Exporting Ports'!$D$20:$D$51&lt;=$IE10))))</f>
        <v>SMB-WAP_Nunez_Offshore</v>
      </c>
      <c r="IQ10" s="95" t="str">
        <f t="array" ref="IQ10">INDEX('Indices Mines Exporting Ports'!O$20:O$51, MATCH(2,1/(('Indices Mines Exporting Ports'!$C$20:$C$51=$ID10)*('Indices Mines Exporting Ports'!$D$20:$D$51&lt;=$IE10))))</f>
        <v>Guinea 45/3 LT</v>
      </c>
      <c r="IR10" s="95" t="str">
        <f t="array" ref="IR10">INDEX('Indices Mines Exporting Ports'!P$20:P$51, MATCH(2,1/(('Indices Mines Exporting Ports'!$C$20:$C$51=$ID10)*('Indices Mines Exporting Ports'!$D$20:$D$51&lt;=$IE10))))</f>
        <v>CBIX LT</v>
      </c>
      <c r="IT10" s="287" t="s">
        <v>39</v>
      </c>
      <c r="IV10" s="292">
        <f>491/$JA10/(4000*$JG10/$JF10)</f>
        <v>4.201840446863363</v>
      </c>
      <c r="IW10" s="292">
        <f>1850/$JA10/(1)</f>
        <v>264.96705814952736</v>
      </c>
      <c r="IX10" s="292">
        <f>240/$JA10</f>
        <v>34.374104841019765</v>
      </c>
      <c r="IY10" s="292">
        <f>30/$JA10</f>
        <v>4.2967631051274706</v>
      </c>
      <c r="JA10" s="277">
        <f t="array" ref="JA10">INDEX('FX rates'!E$10:E$1009,MATCH(2,1/(('FX rates'!$D$10:$D$1009&lt;=Main!$C10)*(NOT(ISBLANK('FX rates'!E$10:E$1009))))))</f>
        <v>6.9820000000000002</v>
      </c>
      <c r="JB10" s="277">
        <f t="array" ref="JB10">INDEX('FX rates'!F$10:F$1009,MATCH(2,1/(('FX rates'!$D$10:$D$1009&lt;=Main!$C10)*(NOT(ISBLANK('FX rates'!F$10:F$1009))))))</f>
        <v>0.67</v>
      </c>
      <c r="JC10" s="277">
        <f t="array" ref="JC10">INDEX('FX rates'!G$10:G$1009,MATCH(2,1/(('FX rates'!$D$10:$D$1009&lt;=Main!$C10)*(NOT(ISBLANK('FX rates'!G$10:G$1009))))))</f>
        <v>1</v>
      </c>
      <c r="JD10" s="277" t="e">
        <f t="array" ref="JD10">INDEX('FX rates'!H$10:H$1009,MATCH(2,1/(('FX rates'!$D$10:$D$1009&lt;=Main!$C10)*(NOT(ISBLANK('FX rates'!H$10:H$1009))))))</f>
        <v>#N/A</v>
      </c>
      <c r="JF10" s="111">
        <f t="array" ref="JF10">INDEX('Global factors'!C$5:C$23,MATCH(2,1/(('Global factors'!$B$5:$B$23&lt;=Main!$C10)*(NOT(ISBLANK('Global factors'!C$5:C$23))))))</f>
        <v>239000</v>
      </c>
      <c r="JG10" s="112">
        <f t="array" ref="JG10">INDEX('Global factors'!D$5:D$23,MATCH(2,1/(('Global factors'!$B$5:$B$23&lt;=Main!$C10)*(NOT(ISBLANK('Global factors'!D$5:D$23))))))</f>
        <v>1000</v>
      </c>
      <c r="JH10" s="112">
        <f t="array" ref="JH10">INDEX('Global factors'!E$5:E$23,MATCH(2,1/(('Global factors'!$B$5:$B$23&lt;=Main!$C10)*(NOT(ISBLANK('Global factors'!E$5:E$23))))))</f>
        <v>24</v>
      </c>
      <c r="JI10" s="112">
        <f t="array" ref="JI10">INDEX('Global factors'!F$5:F$23,MATCH(2,1/(('Global factors'!$B$5:$B$23&lt;=Main!$C10)*(NOT(ISBLANK('Global factors'!F$5:F$23))))))</f>
        <v>2</v>
      </c>
      <c r="JJ10" s="117">
        <f t="array" ref="JJ10">INDEX('Global factors'!G$5:G$23,MATCH(2,1/(('Global factors'!$B$5:$B$23&lt;=Main!$C10)*(NOT(ISBLANK('Global factors'!G$5:G$23))))))</f>
        <v>0.08</v>
      </c>
      <c r="JK10" s="113">
        <f t="array" ref="JK10">INDEX('Global factors'!H$5:H$23,MATCH(2,1/(('Global factors'!$B$5:$B$23&lt;=Main!$C10)*(NOT(ISBLANK('Global factors'!H$5:H$23))))))</f>
        <v>101.96</v>
      </c>
      <c r="JL10" s="113">
        <f t="array" ref="JL10">INDEX('Global factors'!I$5:I$23,MATCH(2,1/(('Global factors'!$B$5:$B$23&lt;=Main!$C10)*(NOT(ISBLANK('Global factors'!I$5:I$23))))))</f>
        <v>60.08</v>
      </c>
      <c r="JM10" s="114">
        <f t="array" ref="JM10">INDEX('Global factors'!J$5:J$23,MATCH(2,1/(('Global factors'!$B$5:$B$23&lt;=Main!$C10)*(NOT(ISBLANK('Global factors'!J$5:J$23))))))</f>
        <v>0.84853528628495334</v>
      </c>
      <c r="JN10" s="115">
        <f t="array" ref="JN10">INDEX('Global factors'!K$5:K$23,MATCH(2,1/(('Global factors'!$B$5:$B$23&lt;=Main!$C10)*(NOT(ISBLANK('Global factors'!K$5:K$23))))))</f>
        <v>0.97499999999999998</v>
      </c>
      <c r="JO10" s="116">
        <f t="array" ref="JO10">INDEX('Global factors'!L$5:L$23,MATCH(2,1/(('Global factors'!$B$5:$B$23&lt;=Main!$C10)*(NOT(ISBLANK('Global factors'!L$5:L$23))))))</f>
        <v>8.7299999999999997E-4</v>
      </c>
      <c r="JP10" s="116">
        <f t="array" ref="JP10">INDEX('Global factors'!M$5:M$23,MATCH(2,1/(('Global factors'!$B$5:$B$23&lt;=Main!$C10)*(NOT(ISBLANK('Global factors'!M$5:M$23))))))</f>
        <v>145.88999999999999</v>
      </c>
      <c r="JQ10" s="116">
        <f t="array" ref="JQ10">INDEX('Global factors'!N$5:N$23,MATCH(2,1/(('Global factors'!$B$5:$B$23&lt;=Main!$C10)*(NOT(ISBLANK('Global factors'!N$5:N$23))))))</f>
        <v>0.40339999999999998</v>
      </c>
      <c r="JR10" s="116">
        <f t="array" ref="JR10">INDEX('Global factors'!O$5:O$23,MATCH(2,1/(('Global factors'!$B$5:$B$23&lt;=Main!$C10)*(NOT(ISBLANK('Global factors'!O$5:O$23))))))</f>
        <v>0</v>
      </c>
      <c r="JS10" s="116">
        <f t="array" ref="JS10">INDEX('Global factors'!P$5:P$23,MATCH(2,1/(('Global factors'!$B$5:$B$23&lt;=Main!$C10)*(NOT(ISBLANK('Global factors'!P$5:P$23))))))</f>
        <v>0.51890000000000003</v>
      </c>
      <c r="JT10" s="116">
        <f t="array" ref="JT10">INDEX('Global factors'!Q$5:Q$23,MATCH(2,1/(('Global factors'!$B$5:$B$23&lt;=Main!$C10)*(NOT(ISBLANK('Global factors'!Q$5:Q$23))))))</f>
        <v>4797</v>
      </c>
      <c r="JU10" s="116">
        <f t="array" ref="JU10">INDEX('Global factors'!R$5:R$23,MATCH(2,1/(('Global factors'!$B$5:$B$23&lt;=Main!$C10)*(NOT(ISBLANK('Global factors'!R$5:R$23))))))</f>
        <v>7</v>
      </c>
      <c r="JV10" s="115">
        <f t="array" ref="JV10">INDEX('Global factors'!S$5:S$23,MATCH(2,1/(('Global factors'!$B$5:$B$23&lt;=Main!$C10)*(NOT(ISBLANK('Global factors'!S$5:S$23))))))</f>
        <v>0.12</v>
      </c>
      <c r="JW10" s="115">
        <f t="array" ref="JW10">INDEX('Global factors'!T$5:T$23,MATCH(2,1/(('Global factors'!$B$5:$B$23&lt;=Main!$C10)*(NOT(ISBLANK('Global factors'!T$5:T$23))))))</f>
        <v>0.5</v>
      </c>
      <c r="JX10" s="116">
        <f t="array" ref="JX10">INDEX('Global factors'!U$5:U$23,MATCH(2,1/(('Global factors'!$B$5:$B$23&lt;=Main!$C10)*(NOT(ISBLANK('Global factors'!U$5:U$23))))))</f>
        <v>0.5</v>
      </c>
      <c r="JY10" s="116">
        <f t="array" ref="JY10">INDEX('Global factors'!V$5:V$23,MATCH(2,1/(('Global factors'!$B$5:$B$23&lt;=Main!$C10)*(NOT(ISBLANK('Global factors'!V$5:V$23))))))</f>
        <v>10000</v>
      </c>
      <c r="JZ10" s="116">
        <f t="array" ref="JZ10">INDEX('Global factors'!W$5:W$23,MATCH(2,1/(('Global factors'!$B$5:$B$23&lt;=Main!$C10)*(NOT(ISBLANK('Global factors'!W$5:W$23))))))</f>
        <v>0.10680000000000001</v>
      </c>
      <c r="KA10" s="116">
        <f t="array" ref="KA10">INDEX('Global factors'!X$5:X$23,MATCH(2,1/(('Global factors'!$B$5:$B$23&lt;=Main!$C10)*(NOT(ISBLANK('Global factors'!X$5:X$23))))))</f>
        <v>1.2</v>
      </c>
      <c r="KB10" s="116">
        <v>0</v>
      </c>
      <c r="KC10" s="272">
        <f t="array" ref="KC10">INDEX('Global factors'!Y$5:Y$23,MATCH(2,1/(('Global factors'!$B$5:$B$23&lt;=Main!$C10)*(NOT(ISBLANK('Global factors'!Y$5:Y$23))))))</f>
        <v>23643.7088248818</v>
      </c>
      <c r="KD10" s="273">
        <f t="array" ref="KD10">INDEX('Global factors'!Z$5:Z$23,MATCH(2,1/(('Global factors'!$B$5:$B$23&lt;=Main!$C10)*(NOT(ISBLANK('Global factors'!Z$5:Z$23))))))</f>
        <v>0.62802869915581405</v>
      </c>
      <c r="KE10" s="273">
        <v>0</v>
      </c>
      <c r="KF10" s="273">
        <v>0</v>
      </c>
      <c r="KG10" s="116">
        <v>0</v>
      </c>
      <c r="KH10" s="116">
        <f t="array" ref="KH10">INDEX('Global factors'!AB$5:AB$23,MATCH(2,1/(('Global factors'!$B$5:$B$23&lt;=Main!$C10)*(NOT(ISBLANK('Global factors'!AB$5:AB$23))))))</f>
        <v>6.2556361557795204E-2</v>
      </c>
      <c r="KI10" s="116">
        <f t="array" ref="KI10">INDEX('Global factors'!AC$5:AC$23,MATCH(2,1/(('Global factors'!$B$5:$B$23&lt;=Main!$C10)*(NOT(ISBLANK('Global factors'!AC$5:AC$23))))))</f>
        <v>8.6923129044225601E-4</v>
      </c>
      <c r="KJ10" s="116">
        <f t="array" ref="KJ10">INDEX('Global factors'!AD$5:AD$23,MATCH(2,1/(('Global factors'!$B$5:$B$23&lt;=Main!$C10)*(NOT(ISBLANK('Global factors'!AD$5:AD$23))))))</f>
        <v>1.1499999999999999</v>
      </c>
      <c r="KK10" s="116" t="str">
        <f t="array" ref="KK10">INDEX('Global factors'!AE$5:AE$23,MATCH(2,1/(('Global factors'!$B$5:$B$23&lt;=Main!$C10)*(NOT(ISBLANK('Global factors'!AE$5:AE$23))))))</f>
        <v>Qingdao</v>
      </c>
      <c r="KL10" s="290">
        <f t="array" ref="KL10">INDEX('Global factors'!AF$5:AF$23,MATCH(2,1/(('Global factors'!$B$5:$B$23&lt;=Main!$C10)*(NOT(ISBLANK('Global factors'!AF$5:AF$23))))))</f>
        <v>3.0000000000000001E-3</v>
      </c>
      <c r="KM10" s="290">
        <f t="array" ref="KM10">INDEX('Global factors'!AG$5:AG$23,MATCH(2,1/(('Global factors'!$B$5:$B$23&lt;=Main!$C10)*(NOT(ISBLANK('Global factors'!AG$5:AG$23))))))</f>
        <v>0.05</v>
      </c>
      <c r="KO10" s="287" t="s">
        <v>39</v>
      </c>
      <c r="KQ10" s="25">
        <f>IF($AO10="no",$AN10,$AR10)/(1-$AL10)/$JN10</f>
        <v>164999.9999999998</v>
      </c>
      <c r="KR10" s="4" t="str">
        <f>VLOOKUP(KQ10,'Ship Time Charter Rates'!$F$10:$G$17,2,TRUE)</f>
        <v>Capesize</v>
      </c>
      <c r="KS10" s="4" t="str">
        <f>VLOOKUP(KQ10,Canals!$E$5:$F$12,2,TRUE)</f>
        <v>Capesize</v>
      </c>
      <c r="KT10" s="25">
        <f t="shared" ref="KT10:KT23" si="71">(KQ10*$JO10 + $JP10)</f>
        <v>289.93499999999983</v>
      </c>
      <c r="KU10" s="25">
        <f t="shared" ref="KU10:KU23" si="72">(KQ10*$JQ10+$JR10)</f>
        <v>66560.999999999913</v>
      </c>
      <c r="KV10" s="25">
        <f t="shared" ref="KV10:KV23" si="73">(KQ10*$JS10+$JT10)</f>
        <v>90415.499999999898</v>
      </c>
      <c r="KX10" s="75">
        <f t="array" ref="KX10">INDEX('Indices Mines Exporting Ports'!$R$20:$R$51,MATCH(2,1/(('Indices Mines Exporting Ports'!$D$20:$D$51&lt;=Main!$C10)*('Indices Mines Exporting Ports'!$Q$20:$Q$51=$AP10))))</f>
        <v>30000</v>
      </c>
      <c r="KY10" s="75">
        <f t="array" ref="KY10">INDEX('Indices Mines Exporting Ports'!$S$20:$S$51,MATCH(2,1/(('Indices Mines Exporting Ports'!$D$20:$D$51&lt;=Main!$C10)*('Indices Mines Exporting Ports'!$Q$20:$Q$51=$AP10))))</f>
        <v>30000</v>
      </c>
      <c r="KZ10" s="75">
        <f t="array" ref="KZ10">INDEX('Indices Mines Exporting Ports'!$T$20:$T$51,MATCH(2,1/(('Indices Mines Exporting Ports'!$D$20:$D$51&lt;=Main!$C10)*('Indices Mines Exporting Ports'!$Q$20:$Q$51=$AP10))))</f>
        <v>30000</v>
      </c>
      <c r="LA10" s="75">
        <f t="array" ref="LA10">INDEX('Indices Mines Exporting Ports'!$U$20:$U$51,MATCH(2,1/(('Indices Mines Exporting Ports'!$D$20:$D$51&lt;=Main!$C10)*('Indices Mines Exporting Ports'!$Q$20:$Q$51=$AP10))))</f>
        <v>30000</v>
      </c>
      <c r="LB10" s="75">
        <f t="array" ref="LB10">INDEX('Indices Mines Exporting Ports'!$V$20:$V$51,MATCH(2,1/(('Indices Mines Exporting Ports'!$D$20:$D$51&lt;=Main!$C10)*('Indices Mines Exporting Ports'!$Q$20:$Q$51=$AP10))))</f>
        <v>30000</v>
      </c>
      <c r="LC10" s="75">
        <f t="array" ref="LC10">INDEX('Indices Mines Exporting Ports'!$W$20:$W$51,MATCH(2,1/(('Indices Mines Exporting Ports'!$D$20:$D$51&lt;=Main!$C10)*('Indices Mines Exporting Ports'!$Q$20:$Q$51=$AP10))))</f>
        <v>30000</v>
      </c>
      <c r="LD10" s="75">
        <f t="array" ref="LD10">INDEX('Indices Mines Exporting Ports'!$X$20:$X$51,MATCH(2,1/(('Indices Mines Exporting Ports'!$D$20:$D$51&lt;=Main!$C10)*('Indices Mines Exporting Ports'!$Q$20:$Q$51=$AP10))))</f>
        <v>30000</v>
      </c>
      <c r="LF10" s="75">
        <f t="array" ref="LF10">INDEX('Port Linkages'!$E$18:$E$157,MATCH(2,1/(('Port Linkages'!$C$18:$C$157=$AP10)*('Port Linkages'!$D$18:$D$157=IF($AO10="Yes",$AQ10,$AS10))*('Port Linkages'!$A$18:$A$157&lt;=$C10))))</f>
        <v>11150</v>
      </c>
      <c r="LG10" s="75">
        <f t="array" ref="LG10">INDEX('Port Linkages'!$F$18:$F$157,MATCH(2,1/(('Port Linkages'!$C$18:$C$157=$AP10)*('Port Linkages'!$D$18:$D$157=IF($AO10="Yes",$AQ10,$AS10))*('Port Linkages'!$A$18:$A$157&lt;=$C10))))</f>
        <v>0</v>
      </c>
      <c r="LH10" s="75" t="str">
        <f t="array" ref="LH10">INDEX('Port Linkages'!$G$18:$G$157,MATCH(2,1/(('Port Linkages'!$C$18:$C$157=$AP10)*('Port Linkages'!$D$18:$D$157=IF($AO10="Yes",$AQ10,$AS10))*('Port Linkages'!$A$18:$A$157&lt;=$C10))))</f>
        <v>VLOC_General</v>
      </c>
      <c r="LI10" s="75" t="str">
        <f t="array" ref="LI10">INDEX('Port Linkages'!$H$18:$H$157,MATCH(2,1/(('Port Linkages'!$C$18:$C$157=$AP10)*('Port Linkages'!$D$18:$D$157=IF($AO10="Yes",$AQ10,$AS10))*('Port Linkages'!$A$18:$A$157&lt;=$C10))))</f>
        <v>Singapore</v>
      </c>
      <c r="LJ10" s="75" t="str">
        <f t="array" ref="LJ10">INDEX('Port Linkages'!$I$18:$I$157,MATCH(2,1/(('Port Linkages'!$C$18:$C$157=$AP10)*('Port Linkages'!$D$18:$D$157=IF($AO10="Yes",$AQ10,$AS10))*('Port Linkages'!$A$18:$A$157&lt;=$C10))))</f>
        <v>VLSFO</v>
      </c>
      <c r="LK10" s="75" t="str">
        <f t="array" ref="LK10">INDEX('Port Linkages'!$J$18:$J$157,MATCH(2,1/(('Port Linkages'!$C$18:$C$157=$AP10)*('Port Linkages'!$D$18:$D$157=IF($AO10="Yes",$AQ10,$AS10))*('Port Linkages'!$A$18:$A$157&lt;=$C10))))</f>
        <v>MGO_Regular</v>
      </c>
      <c r="LL10" s="75" t="str">
        <f t="array" ref="LL10">INDEX('Port Linkages'!$K$18:$K$157,MATCH(2,1/(('Port Linkages'!$C$18:$C$157=$AP10)*('Port Linkages'!$D$18:$D$157=IF($AO10="Yes",$AQ10,$AS10))*('Port Linkages'!$A$18:$A$157&lt;=$C10))))</f>
        <v>none</v>
      </c>
      <c r="LM10" s="75">
        <f t="array" ref="LM10">INDEX('Port Linkages'!$L$18:$L$157,MATCH(2,1/(('Port Linkages'!$C$18:$C$157=$AP10)*('Port Linkages'!$D$18:$D$157=IF($AO10="Yes",$AQ10,$AS10))*('Port Linkages'!$A$18:$A$157&lt;=$C10))))</f>
        <v>11150</v>
      </c>
      <c r="LN10" s="75">
        <f t="array" ref="LN10">INDEX('Port Linkages'!$M$18:$M$157,MATCH(2,1/(('Port Linkages'!$C$18:$C$157=$AP10)*('Port Linkages'!$D$18:$D$157=IF($AO10="Yes",$AQ10,$AS10))*('Port Linkages'!$A$18:$A$157&lt;=$C10))))</f>
        <v>0</v>
      </c>
      <c r="LO10" s="75" t="str">
        <f t="array" ref="LO10">INDEX('Port Linkages'!$N$18:$N$157,MATCH(2,1/(('Port Linkages'!$C$18:$C$157=$AP10)*('Port Linkages'!$D$18:$D$157=IF($AO10="Yes",$AQ10,$AS10))*('Port Linkages'!$A$18:$A$157&lt;=$C10))))</f>
        <v>Capesize_General</v>
      </c>
      <c r="LP10" s="75" t="str">
        <f t="array" ref="LP10">INDEX('Port Linkages'!$O$18:$O$157,MATCH(2,1/(('Port Linkages'!$C$18:$C$157=$AP10)*('Port Linkages'!$D$18:$D$157=IF($AO10="Yes",$AQ10,$AS10))*('Port Linkages'!$A$18:$A$157&lt;=$C10))))</f>
        <v>Singapore</v>
      </c>
      <c r="LQ10" s="75" t="str">
        <f t="array" ref="LQ10">INDEX('Port Linkages'!$P$18:$P$157,MATCH(2,1/(('Port Linkages'!$C$18:$C$157=$AP10)*('Port Linkages'!$D$18:$D$157=IF($AO10="Yes",$AQ10,$AS10))*('Port Linkages'!$A$18:$A$157&lt;=$C10))))</f>
        <v>VLSFO</v>
      </c>
      <c r="LR10" s="75" t="str">
        <f t="array" ref="LR10">INDEX('Port Linkages'!$Q$18:$Q$157,MATCH(2,1/(('Port Linkages'!$C$18:$C$157=$AP10)*('Port Linkages'!$D$18:$D$157=IF($AO10="Yes",$AQ10,$AS10))*('Port Linkages'!$A$18:$A$157&lt;=$C10))))</f>
        <v>MGO_Regular</v>
      </c>
      <c r="LS10" s="75" t="str">
        <f t="array" ref="LS10">INDEX('Port Linkages'!$R$18:$R$157,MATCH(2,1/(('Port Linkages'!$C$18:$C$157=$AP10)*('Port Linkages'!$D$18:$D$157=IF($AO10="Yes",$AQ10,$AS10))*('Port Linkages'!$A$18:$A$157&lt;=$C10))))</f>
        <v>none</v>
      </c>
      <c r="LT10" s="75">
        <f t="array" ref="LT10">INDEX('Port Linkages'!$S$18:$S$157,MATCH(2,1/(('Port Linkages'!$C$18:$C$157=$AP10)*('Port Linkages'!$D$18:$D$157=IF($AO10="Yes",$AQ10,$AS10))*('Port Linkages'!$A$18:$A$157&lt;=$C10))))</f>
        <v>11150</v>
      </c>
      <c r="LU10" s="75">
        <f t="array" ref="LU10">INDEX('Port Linkages'!$T$18:$T$157,MATCH(2,1/(('Port Linkages'!$C$18:$C$157=$AP10)*('Port Linkages'!$D$18:$D$157=IF($AO10="Yes",$AQ10,$AS10))*('Port Linkages'!$A$18:$A$157&lt;=$C10))))</f>
        <v>0</v>
      </c>
      <c r="LV10" s="75" t="str">
        <f t="array" ref="LV10">INDEX('Port Linkages'!$U$18:$U$157,MATCH(2,1/(('Port Linkages'!$C$18:$C$157=$AP10)*('Port Linkages'!$D$18:$D$157=IF($AO10="Yes",$AQ10,$AS10))*('Port Linkages'!$A$18:$A$157&lt;=$C10))))</f>
        <v>Capesize_General</v>
      </c>
      <c r="LW10" s="75" t="str">
        <f t="array" ref="LW10">INDEX('Port Linkages'!$V$18:$V$157,MATCH(2,1/(('Port Linkages'!$C$18:$C$157=$AP10)*('Port Linkages'!$D$18:$D$157=IF($AO10="Yes",$AQ10,$AS10))*('Port Linkages'!$A$18:$A$157&lt;=$C10))))</f>
        <v>Singapore</v>
      </c>
      <c r="LX10" s="75" t="str">
        <f t="array" ref="LX10">INDEX('Port Linkages'!$W$18:$W$157,MATCH(2,1/(('Port Linkages'!$C$18:$C$157=$AP10)*('Port Linkages'!$D$18:$D$157=IF($AO10="Yes",$AQ10,$AS10))*('Port Linkages'!$A$18:$A$157&lt;=$C10))))</f>
        <v>VLSFO</v>
      </c>
      <c r="LY10" s="75" t="str">
        <f t="array" ref="LY10">INDEX('Port Linkages'!$X$18:$X$157,MATCH(2,1/(('Port Linkages'!$C$18:$C$157=$AP10)*('Port Linkages'!$D$18:$D$157=IF($AO10="Yes",$AQ10,$AS10))*('Port Linkages'!$A$18:$A$157&lt;=$C10))))</f>
        <v>MGO_Regular</v>
      </c>
      <c r="LZ10" s="75" t="str">
        <f t="array" ref="LZ10">INDEX('Port Linkages'!$Y$18:$Y$157,MATCH(2,1/(('Port Linkages'!$C$18:$C$157=$AP10)*('Port Linkages'!$D$18:$D$157=IF($AO10="Yes",$AQ10,$AS10))*('Port Linkages'!$A$18:$A$157&lt;=$C10))))</f>
        <v>none</v>
      </c>
      <c r="MA10" s="75">
        <f t="array" ref="MA10">INDEX('Port Linkages'!$Z$18:$Z$157,MATCH(2,1/(('Port Linkages'!$C$18:$C$157=$AP10)*('Port Linkages'!$D$18:$D$157=IF($AO10="Yes",$AQ10,$AS10))*('Port Linkages'!$A$18:$A$157&lt;=$C10))))</f>
        <v>11150</v>
      </c>
      <c r="MB10" s="75">
        <f t="array" ref="MB10">INDEX('Port Linkages'!$AA$18:$AA$157,MATCH(2,1/(('Port Linkages'!$C$18:$C$157=$AP10)*('Port Linkages'!$D$18:$D$157=IF($AO10="Yes",$AQ10,$AS10))*('Port Linkages'!$A$18:$A$157&lt;=$C10))))</f>
        <v>0</v>
      </c>
      <c r="MC10" s="75" t="str">
        <f t="array" ref="MC10">INDEX('Port Linkages'!$AB$18:$AB$157,MATCH(2,1/(('Port Linkages'!$C$18:$C$157=$AP10)*('Port Linkages'!$D$18:$D$157=IF($AO10="Yes",$AQ10,$AS10))*('Port Linkages'!$A$18:$A$157&lt;=$C10))))</f>
        <v>Capesize_General</v>
      </c>
      <c r="MD10" s="75" t="str">
        <f t="array" ref="MD10">INDEX('Port Linkages'!$AC$18:$AC$157,MATCH(2,1/(('Port Linkages'!$C$18:$C$157=$AP10)*('Port Linkages'!$D$18:$D$157=IF($AO10="Yes",$AQ10,$AS10))*('Port Linkages'!$A$18:$A$157&lt;=$C10))))</f>
        <v>Singapore</v>
      </c>
      <c r="ME10" s="75" t="str">
        <f t="array" ref="ME10">INDEX('Port Linkages'!$AD$18:$AD$157,MATCH(2,1/(('Port Linkages'!$C$18:$C$157=$AP10)*('Port Linkages'!$D$18:$D$157=IF($AO10="Yes",$AQ10,$AS10))*('Port Linkages'!$A$18:$A$157&lt;=$C10))))</f>
        <v>VLSFO</v>
      </c>
      <c r="MF10" s="75" t="str">
        <f t="array" ref="MF10">INDEX('Port Linkages'!$AE$18:$AE$157,MATCH(2,1/(('Port Linkages'!$C$18:$C$157=$AP10)*('Port Linkages'!$D$18:$D$157=IF($AO10="Yes",$AQ10,$AS10))*('Port Linkages'!$A$18:$A$157&lt;=$C10))))</f>
        <v>MGO_Regular</v>
      </c>
      <c r="MG10" s="75" t="str">
        <f t="array" ref="MG10">INDEX('Port Linkages'!$AF$18:$AF$157,MATCH(2,1/(('Port Linkages'!$C$18:$C$157=$AP10)*('Port Linkages'!$D$18:$D$157=IF($AO10="Yes",$AQ10,$AS10))*('Port Linkages'!$A$18:$A$157&lt;=$C10))))</f>
        <v>none</v>
      </c>
      <c r="MH10" s="75">
        <f t="array" ref="MH10">INDEX('Port Linkages'!$AG$18:$AG$157,MATCH(2,1/(('Port Linkages'!$C$18:$C$157=$AP10)*('Port Linkages'!$D$18:$D$157=IF($AO10="Yes",$AQ10,$AS10))*('Port Linkages'!$A$18:$A$157&lt;=$C10))))</f>
        <v>11150</v>
      </c>
      <c r="MI10" s="75">
        <f t="array" ref="MI10">INDEX('Port Linkages'!$AH$18:$AH$157,MATCH(2,1/(('Port Linkages'!$C$18:$C$157=$AP10)*('Port Linkages'!$D$18:$D$157=IF($AO10="Yes",$AQ10,$AS10))*('Port Linkages'!$A$18:$A$157&lt;=$C10))))</f>
        <v>0</v>
      </c>
      <c r="MJ10" s="75" t="str">
        <f t="array" ref="MJ10">INDEX('Port Linkages'!$AI$18:$AI$157,MATCH(2,1/(('Port Linkages'!$C$18:$C$157=$AP10)*('Port Linkages'!$D$18:$D$157=IF($AO10="Yes",$AQ10,$AS10))*('Port Linkages'!$A$18:$A$157&lt;=$C10))))</f>
        <v>Panamax_General</v>
      </c>
      <c r="MK10" s="75" t="str">
        <f t="array" ref="MK10">INDEX('Port Linkages'!$AJ$18:$AJ$157,MATCH(2,1/(('Port Linkages'!$C$18:$C$157=$AP10)*('Port Linkages'!$D$18:$D$157=IF($AO10="Yes",$AQ10,$AS10))*('Port Linkages'!$A$18:$A$157&lt;=$C10))))</f>
        <v>Singapore</v>
      </c>
      <c r="ML10" s="75" t="str">
        <f t="array" ref="ML10">INDEX('Port Linkages'!$AK$18:$AK$157,MATCH(2,1/(('Port Linkages'!$C$18:$C$157=$AP10)*('Port Linkages'!$D$18:$D$157=IF($AO10="Yes",$AQ10,$AS10))*('Port Linkages'!$A$18:$A$157&lt;=$C10))))</f>
        <v>VLSFO</v>
      </c>
      <c r="MM10" s="75" t="str">
        <f t="array" ref="MM10">INDEX('Port Linkages'!$AL$18:$AL$157,MATCH(2,1/(('Port Linkages'!$C$18:$C$157=$AP10)*('Port Linkages'!$D$18:$D$157=IF($AO10="Yes",$AQ10,$AS10))*('Port Linkages'!$A$18:$A$157&lt;=$C10))))</f>
        <v>MGO_Regular</v>
      </c>
      <c r="MN10" s="75" t="str">
        <f t="array" ref="MN10">INDEX('Port Linkages'!$AM$18:$AM$157,MATCH(2,1/(('Port Linkages'!$C$18:$C$157=$AP10)*('Port Linkages'!$D$18:$D$157=IF($AO10="Yes",$AQ10,$AS10))*('Port Linkages'!$A$18:$A$157&lt;=$C10))))</f>
        <v>none</v>
      </c>
      <c r="MO10" s="75">
        <f t="array" ref="MO10">INDEX('Port Linkages'!$AN$18:$AN$157,MATCH(2,1/(('Port Linkages'!$C$18:$C$157=$AP10)*('Port Linkages'!$D$18:$D$157=IF($AO10="Yes",$AQ10,$AS10))*('Port Linkages'!$A$18:$A$157&lt;=$C10))))</f>
        <v>11150</v>
      </c>
      <c r="MP10" s="75">
        <f t="array" ref="MP10">INDEX('Port Linkages'!$AO$18:$AO$157,MATCH(2,1/(('Port Linkages'!$C$18:$C$157=$AP10)*('Port Linkages'!$D$18:$D$157=IF($AO10="Yes",$AQ10,$AS10))*('Port Linkages'!$A$18:$A$157&lt;=$C10))))</f>
        <v>0</v>
      </c>
      <c r="MQ10" s="75" t="str">
        <f t="array" ref="MQ10">INDEX('Port Linkages'!$AP$18:$AP$157,MATCH(2,1/(('Port Linkages'!$C$18:$C$157=$AP10)*('Port Linkages'!$D$18:$D$157=IF($AO10="Yes",$AQ10,$AS10))*('Port Linkages'!$A$18:$A$157&lt;=$C10))))</f>
        <v>Supramax_General</v>
      </c>
      <c r="MR10" s="75" t="str">
        <f t="array" ref="MR10">INDEX('Port Linkages'!$AQ$18:$AQ$157,MATCH(2,1/(('Port Linkages'!$C$18:$C$157=$AP10)*('Port Linkages'!$D$18:$D$157=IF($AO10="Yes",$AQ10,$AS10))*('Port Linkages'!$A$18:$A$157&lt;=$C10))))</f>
        <v>Singapore</v>
      </c>
      <c r="MS10" s="75" t="str">
        <f t="array" ref="MS10">INDEX('Port Linkages'!$AR$18:$AR$157,MATCH(2,1/(('Port Linkages'!$C$18:$C$157=$AP10)*('Port Linkages'!$D$18:$D$157=IF($AO10="Yes",$AQ10,$AS10))*('Port Linkages'!$A$18:$A$157&lt;=$C10))))</f>
        <v>VLSFO</v>
      </c>
      <c r="MT10" s="75" t="str">
        <f t="array" ref="MT10">INDEX('Port Linkages'!$AS$18:$AS$157,MATCH(2,1/(('Port Linkages'!$C$18:$C$157=$AP10)*('Port Linkages'!$D$18:$D$157=IF($AO10="Yes",$AQ10,$AS10))*('Port Linkages'!$A$18:$A$157&lt;=$C10))))</f>
        <v>MGO_Regular</v>
      </c>
      <c r="MU10" s="75" t="str">
        <f t="array" ref="MU10">INDEX('Port Linkages'!$AT$18:$AT$157,MATCH(2,1/(('Port Linkages'!$C$18:$C$157=$AP10)*('Port Linkages'!$D$18:$D$157=IF($AO10="Yes",$AQ10,$AS10))*('Port Linkages'!$A$18:$A$157&lt;=$C10))))</f>
        <v>none</v>
      </c>
      <c r="MV10" s="75">
        <f t="array" ref="MV10">INDEX('Port Linkages'!$AU$18:$AU$157,MATCH(2,1/(('Port Linkages'!$C$18:$C$157=$AP10)*('Port Linkages'!$D$18:$D$157=IF($AO10="Yes",$AQ10,$AS10))*('Port Linkages'!$A$18:$A$157&lt;=$C10))))</f>
        <v>11150</v>
      </c>
      <c r="MW10" s="75">
        <f t="array" ref="MW10">INDEX('Port Linkages'!$AV$18:$AV$157,MATCH(2,1/(('Port Linkages'!$C$18:$C$157=$AP10)*('Port Linkages'!$D$18:$D$157=IF($AO10="Yes",$AQ10,$AS10))*('Port Linkages'!$A$18:$A$157&lt;=$C10))))</f>
        <v>0</v>
      </c>
      <c r="MX10" s="75" t="str">
        <f t="array" ref="MX10">INDEX('Port Linkages'!$AW$18:$AW$157,MATCH(2,1/(('Port Linkages'!$C$18:$C$157=$AP10)*('Port Linkages'!$D$18:$D$157=IF($AO10="Yes",$AQ10,$AS10))*('Port Linkages'!$A$18:$A$157&lt;=$C10))))</f>
        <v>Handysize_General</v>
      </c>
      <c r="MY10" s="75" t="str">
        <f t="array" ref="MY10">INDEX('Port Linkages'!$AX$18:$AX$157,MATCH(2,1/(('Port Linkages'!$C$18:$C$157=$AP10)*('Port Linkages'!$D$18:$D$157=IF($AO10="Yes",$AQ10,$AS10))*('Port Linkages'!$A$18:$A$157&lt;=$C10))))</f>
        <v>Singapore</v>
      </c>
      <c r="MZ10" s="75" t="str">
        <f t="array" ref="MZ10">INDEX('Port Linkages'!$AY$18:$AY$157,MATCH(2,1/(('Port Linkages'!$C$18:$C$157=$AP10)*('Port Linkages'!$D$18:$D$157=IF($AO10="Yes",$AQ10,$AS10))*('Port Linkages'!$A$18:$A$157&lt;=$C10))))</f>
        <v>VLSFO</v>
      </c>
      <c r="NA10" s="75" t="str">
        <f t="array" ref="NA10">INDEX('Port Linkages'!$AZ$18:$AZ$157,MATCH(2,1/(('Port Linkages'!$C$18:$C$157=$AP10)*('Port Linkages'!$D$18:$D$157=IF($AO10="Yes",$AQ10,$AS10))*('Port Linkages'!$A$18:$A$157&lt;=$C10))))</f>
        <v>MGO_Regular</v>
      </c>
      <c r="NB10" s="75" t="str">
        <f t="array" ref="NB10">INDEX('Port Linkages'!$BA$18:$BA$157,MATCH(2,1/(('Port Linkages'!$C$18:$C$157=$AP10)*('Port Linkages'!$D$18:$D$157=IF($AO10="Yes",$AQ10,$AS10))*('Port Linkages'!$A$18:$A$157&lt;=$C10))))</f>
        <v>none</v>
      </c>
      <c r="ND10" s="25" t="e">
        <f t="array" aca="1" ref="ND10" ca="1">INDEX('Ship Fuel Prices'!$F$5:$F$1004,MATCH(2,1/(('Ship Fuel Prices'!$E$5:$E$1004=_xlfn.IFS(KS10="Handysize",Main!MY10,KS10="Supramax",MR10,KS10="Panamax",MK10,KS10="NeoPanamax",MD10,KS10="Suezmax",LW10,KS10="Capesize",LP10,KS10="VLOC",LI10))*('Ship Fuel Prices'!$D$5:$D$1004&lt;=Main!$C10))))</f>
        <v>#N/A</v>
      </c>
      <c r="NE10" s="25" t="e">
        <f t="array" aca="1" ref="NE10" ca="1">INDEX('Ship Fuel Prices'!$G$5:$G$1004,MATCH(2,1/(('Ship Fuel Prices'!$E$5:$E$1004=_xlfn.IFS(KS10="Handysize",Main!MY10,KS10="Supramax",MR10,KS10="Panamax",MK10,KS10="NeoPanamax",MD10,KS10="Suezmax",LW10,KS10="Capesize",LP10,KS10="VLOC",LI10))*('Ship Fuel Prices'!$D$5:$D$1004&lt;=Main!$C10))))</f>
        <v>#N/A</v>
      </c>
      <c r="NF10" s="25" t="e">
        <f t="array" aca="1" ref="NF10" ca="1">INDEX('Ship Fuel Prices'!$H$5:$H$1004,MATCH(2,1/(('Ship Fuel Prices'!$E$5:$E$1004=_xlfn.IFS(KS10="Handysize",Main!MY10,KS10="Supramax",MR10,KS10="Panamax",MK10,KS10="NeoPanamax",MD10,KS10="Suezmax",LW10,KS10="Capesize",LP10,KS10="VLOC",LI10))*('Ship Fuel Prices'!$D$5:$D$1004&lt;=Main!$C10))))</f>
        <v>#N/A</v>
      </c>
      <c r="NG10" s="25" t="e">
        <f t="array" aca="1" ref="NG10" ca="1">INDEX('Ship Fuel Prices'!$I$5:$I$1004,MATCH(2,1/(('Ship Fuel Prices'!$E$5:$E$1004=_xlfn.IFS(KS10="Handysize",Main!MY10,KS10="Supramax",MR10,KS10="Panamax",MK10,KS10="NeoPanamax",MD10,KS10="Suezmax",LW10,KS10="Capesize",LP10,KS10="VLOC",LI10))*('Ship Fuel Prices'!$D$5:$D$1004&lt;=Main!$C10))))</f>
        <v>#N/A</v>
      </c>
      <c r="NH10" s="25" t="e">
        <f t="array" aca="1" ref="NH10" ca="1">INDEX('Ship Fuel Prices'!$J$5:$J$1004,MATCH(2,1/(('Ship Fuel Prices'!$E$5:$E$1004=_xlfn.IFS(KS10="Handysize",Main!MY10,KS10="Supramax",MR10,KS10="Panamax",MK10,KS10="NeoPanamax",MD10,KS10="Suezmax",LW10,KS10="Capesize",LP10,KS10="VLOC",LI10))*('Ship Fuel Prices'!$D$5:$D$1004&lt;=Main!$C10))))</f>
        <v>#N/A</v>
      </c>
      <c r="NJ10" s="75">
        <f t="array" ref="NJ10">INDEX('China n Importing Ports'!$E$20:$E$41,MATCH(2,1/(('China n Importing Ports'!$D$20:$D$41&lt;=$C10)*('China n Importing Ports'!$C$20:$C$41=IF($AO10="Yes",$AQ10,$AS10)))))</f>
        <v>42500</v>
      </c>
      <c r="NK10" s="75">
        <f t="array" ref="NK10">INDEX('China n Importing Ports'!$F$20:$F$41,MATCH(2,1/(('China n Importing Ports'!$D$20:$D$41&lt;=$C10)*('China n Importing Ports'!$C$20:$C$41=IF($AO10="Yes",$AQ10,$AS10)))))</f>
        <v>42500</v>
      </c>
      <c r="NL10" s="75">
        <f t="array" ref="NL10">INDEX('China n Importing Ports'!$G$20:$G$41,MATCH(2,1/(('China n Importing Ports'!$D$20:$D$41&lt;=$C10)*('China n Importing Ports'!$C$20:$C$41=IF($AO10="Yes",$AQ10,$AS10)))))</f>
        <v>42500</v>
      </c>
      <c r="NM10" s="75">
        <f t="array" ref="NM10">INDEX('China n Importing Ports'!$H$20:$H$41,MATCH(2,1/(('China n Importing Ports'!$D$20:$D$41&lt;=$C10)*('China n Importing Ports'!$C$20:$C$41=IF($AO10="Yes",$AQ10,$AS10)))))</f>
        <v>42500</v>
      </c>
      <c r="NN10" s="75">
        <f t="array" ref="NN10">INDEX('China n Importing Ports'!$I$20:$I$41,MATCH(2,1/(('China n Importing Ports'!$D$20:$D$41&lt;=$C10)*('China n Importing Ports'!$C$20:$C$41=IF($AO10="Yes",$AQ10,$AS10)))))</f>
        <v>42500</v>
      </c>
      <c r="NO10" s="75">
        <f t="array" ref="NO10">INDEX('China n Importing Ports'!$J$20:$J$41,MATCH(2,1/(('China n Importing Ports'!$D$20:$D$41&lt;=$C10)*('China n Importing Ports'!$C$20:$C$41=IF($AO10="Yes",$AQ10,$AS10)))))</f>
        <v>42500</v>
      </c>
      <c r="NP10" s="75">
        <f t="array" ref="NP10">INDEX('China n Importing Ports'!$K$20:$K$41,MATCH(2,1/(('China n Importing Ports'!$D$20:$D$41&lt;=$C10)*('China n Importing Ports'!$C$20:$C$41=IF($AO10="Yes",$AQ10,$AS10)))))</f>
        <v>42500</v>
      </c>
      <c r="NQ10" s="75" t="str">
        <f t="array" ref="NQ10">INDEX('China n Importing Ports'!$L$20:$L$41,MATCH(2,1/(('China n Importing Ports'!$D$20:$D$41&lt;=$C10)*('China n Importing Ports'!$C$20:$C$41=IF($AO10="Yes",$AQ10,$AS10)))))</f>
        <v>RMB</v>
      </c>
      <c r="NR10" s="75">
        <f t="array" ref="NR10">INDEX('China n Importing Ports'!$M$20:$M$41,MATCH(2,1/(('China n Importing Ports'!$D$20:$D$41&lt;=$C10)*('China n Importing Ports'!$C$20:$C$41=IF($AO10="Yes",$AQ10,$AS10)))))</f>
        <v>12342</v>
      </c>
      <c r="NS10" s="75">
        <f t="array" ref="NS10">INDEX('China n Importing Ports'!$N$20:$N$41,MATCH(2,1/(('China n Importing Ports'!$D$20:$D$41&lt;=$C10)*('China n Importing Ports'!$C$20:$C$41=IF($AO10="Yes",$AQ10,$AS10)))))</f>
        <v>0</v>
      </c>
      <c r="NT10" s="75">
        <f t="array" ref="NT10">INDEX('China n Importing Ports'!$O$20:$O$41,MATCH(2,1/(('China n Importing Ports'!$D$20:$D$41&lt;=$C10)*('China n Importing Ports'!$C$20:$C$41=IF($AO10="Yes",$AQ10,$AS10)))))</f>
        <v>0</v>
      </c>
      <c r="NU10" s="136">
        <f t="array" ref="NU10">INDEX('China n Importing Ports'!$P$20:$P$41,MATCH(2,1/(('China n Importing Ports'!$D$20:$D$41&lt;=$C10)*('China n Importing Ports'!$C$20:$C$41=IF($AO10="Yes",$AQ10,$AS10)))))</f>
        <v>2.64</v>
      </c>
      <c r="NV10" s="136">
        <f t="array" ref="NV10">INDEX('China n Importing Ports'!$Q$20:$Q$41,MATCH(2,1/(('China n Importing Ports'!$D$20:$D$41&lt;=$C10)*('China n Importing Ports'!$C$20:$C$41=IF($AO10="Yes",$AQ10,$AS10)))))</f>
        <v>0</v>
      </c>
      <c r="NW10" s="136">
        <f t="array" ref="NW10">INDEX('China n Importing Ports'!$R$20:$R$41,MATCH(2,1/(('China n Importing Ports'!$D$20:$D$41&lt;=$C10)*('China n Importing Ports'!$C$20:$C$41=IF($AO10="Yes",$AQ10,$AS10)))))</f>
        <v>0</v>
      </c>
      <c r="NX10" s="136">
        <f t="array" ref="NX10">INDEX('China n Importing Ports'!$S$20:$S$41,MATCH(2,1/(('China n Importing Ports'!$D$20:$D$41&lt;=$C10)*('China n Importing Ports'!$C$20:$C$41=IF($AO10="Yes",$AQ10,$AS10)))))</f>
        <v>4.53</v>
      </c>
      <c r="NY10" s="136">
        <f t="array" ref="NY10">INDEX('China n Importing Ports'!$T$20:$T$41,MATCH(2,1/(('China n Importing Ports'!$D$20:$D$41&lt;=$C10)*('China n Importing Ports'!$C$20:$C$41=IF($AO10="Yes",$AQ10,$AS10)))))</f>
        <v>0.36699999999999999</v>
      </c>
      <c r="NZ10" s="136">
        <f t="array" ref="NZ10">INDEX('China n Importing Ports'!$U$20:$U$41,MATCH(2,1/(('China n Importing Ports'!$D$20:$D$41&lt;=$C10)*('China n Importing Ports'!$C$20:$C$41=IF($AO10="Yes",$AQ10,$AS10)))))</f>
        <v>0.05</v>
      </c>
      <c r="OA10" s="136">
        <f t="array" ref="OA10">INDEX('China n Importing Ports'!$V$20:$V$41,MATCH(2,1/(('China n Importing Ports'!$D$20:$D$41&lt;=$C10)*('China n Importing Ports'!$C$20:$C$41=IF($AO10="Yes",$AQ10,$AS10)))))</f>
        <v>0</v>
      </c>
      <c r="OB10" s="136">
        <f t="array" ref="OB10">INDEX('China n Importing Ports'!$W$20:$W$41,MATCH(2,1/(('China n Importing Ports'!$D$20:$D$41&lt;=$C10)*('China n Importing Ports'!$C$20:$C$41=IF($AO10="Yes",$AQ10,$AS10)))))</f>
        <v>0</v>
      </c>
      <c r="OC10" s="136">
        <f t="array" ref="OC10">INDEX('China n Importing Ports'!$X$20:$X$41,MATCH(2,1/(('China n Importing Ports'!$D$20:$D$41&lt;=$C10)*('China n Importing Ports'!$C$20:$C$41=IF($AO10="Yes",$AQ10,$AS10)))))</f>
        <v>0</v>
      </c>
      <c r="OD10" s="136">
        <f t="array" ref="OD10">INDEX('China n Importing Ports'!$Y$20:$Y$41,MATCH(2,1/(('China n Importing Ports'!$D$20:$D$41&lt;=$C10)*('China n Importing Ports'!$C$20:$C$41=IF($AO10="Yes",$AQ10,$AS10)))))</f>
        <v>197</v>
      </c>
      <c r="OE10" s="136">
        <f t="array" ref="OE10">INDEX('China n Importing Ports'!$Z$20:$Z$41,MATCH(2,1/(('China n Importing Ports'!$D$20:$D$41&lt;=$C10)*('China n Importing Ports'!$C$20:$C$41=IF($AO10="Yes",$AQ10,$AS10)))))</f>
        <v>0</v>
      </c>
      <c r="OF10" s="136">
        <f t="array" ref="OF10">INDEX('China n Importing Ports'!$AA$20:$AA$41,MATCH(2,1/(('China n Importing Ports'!$D$20:$D$41&lt;=$C10)*('China n Importing Ports'!$C$20:$C$41=IF($AO10="Yes",$AQ10,$AS10)))))</f>
        <v>0</v>
      </c>
      <c r="OH10" s="75" t="e">
        <f t="array" aca="1" ref="OH10" ca="1">INDEX(Canals!$G$24:$G$29,MATCH(2,1/((Canals!$F$24:$F$29&lt;=$C10)*(Canals!$G$24:$G$29=_xlfn.IFS(KS10="Handysize",Main!NB10,KS10="Supramax",MU10,KS10="Panamax",MN10,KS10="NeoPanamax",MG10,KS10="Suezmax",LZ10,KS10="Capesize",LS10,KS10="VLOC",LL10)))))</f>
        <v>#N/A</v>
      </c>
      <c r="OI10" s="75" t="e">
        <f t="array" aca="1" ref="OI10" ca="1">INDEX(Canals!$H$24:$H$29,MATCH(2,1/((Canals!$F$24:$F$29&lt;=$C10)*(Canals!$G$24:$G$29=_xlfn.IFS(KS10="Handysize",Main!NB10,KS10="Supramax",MU10,KS10="Panamax",MN10,KS10="NeoPanamax",MG10,KS10="Suezmax",LZ10,KS10="Capesize",LS10,KS10="VLOC",LL10)))))</f>
        <v>#N/A</v>
      </c>
      <c r="OJ10" s="75" t="e">
        <f t="array" aca="1" ref="OJ10" ca="1">INDEX(Canals!$I$24:$I$29,MATCH(2,1/((Canals!$F$24:$F$29&lt;=$C10)*(Canals!$G$24:$G$29=_xlfn.IFS(KS10="Handysize",Main!NB10,KS10="Supramax",MU10,KS10="Panamax",MN10,KS10="NeoPanamax",MG10,KS10="Suezmax",LZ10,KS10="Capesize",LS10,KS10="VLOC",LL10)))))</f>
        <v>#N/A</v>
      </c>
      <c r="OK10" s="75" t="e">
        <f t="array" aca="1" ref="OK10" ca="1">INDEX(Canals!$J$24:$J$29,MATCH(2,1/((Canals!$F$24:$F$29&lt;=$C10)*(Canals!$G$24:$G$29=_xlfn.IFS(KS10="Handysize",Main!NB10,KS10="Supramax",MU10,KS10="Panamax",MN10,KS10="NeoPanamax",MG10,KS10="Suezmax",LZ10,KS10="Capesize",LS10,KS10="VLOC",LL10)))))</f>
        <v>#N/A</v>
      </c>
      <c r="OL10" s="75" t="e">
        <f t="array" aca="1" ref="OL10" ca="1">INDEX(Canals!$K$24:$K$29,MATCH(2,1/((Canals!$F$24:$F$29&lt;=$C10)*(Canals!$G$24:$G$29=_xlfn.IFS(KS10="Handysize",Main!NB10,KS10="Supramax",MU10,KS10="Panamax",MN10,KS10="NeoPanamax",MG10,KS10="Suezmax",LZ10,KS10="Capesize",LS10,KS10="VLOC",LL10)))))</f>
        <v>#N/A</v>
      </c>
      <c r="OM10" s="75" t="e">
        <f t="array" aca="1" ref="OM10" ca="1">INDEX(Canals!$L$24:$L$29,MATCH(2,1/((Canals!$F$24:$F$29&lt;=$C10)*(Canals!$G$24:$G$29=_xlfn.IFS(KS10="Handysize",Main!NB10,KS10="Supramax",MU10,KS10="Panamax",MN10,KS10="NeoPanamax",MG10,KS10="Suezmax",LZ10,KS10="Capesize",LS10,KS10="VLOC",LL10)))))</f>
        <v>#N/A</v>
      </c>
      <c r="ON10" s="75" t="e">
        <f t="array" aca="1" ref="ON10" ca="1">INDEX(Canals!$M$24:$M$29,MATCH(2,1/((Canals!$F$24:$F$29&lt;=$C10)*(Canals!$G$24:$G$29=_xlfn.IFS(KS10="Handysize",Main!NB10,KS10="Supramax",MU10,KS10="Panamax",MN10,KS10="NeoPanamax",MG10,KS10="Suezmax",LZ10,KS10="Capesize",LS10,KS10="VLOC",LL10)))))</f>
        <v>#N/A</v>
      </c>
      <c r="OO10" s="75" t="e">
        <f t="array" aca="1" ref="OO10" ca="1">INDEX(Canals!$N$24:$N$29,MATCH(2,1/((Canals!$F$24:$F$29&lt;=$C10)*(Canals!$G$24:$G$29=_xlfn.IFS(KS10="Handysize",Main!NB10,KS10="Supramax",MU10,KS10="Panamax",MN10,KS10="NeoPanamax",MG10,KS10="Suezmax",LZ10,KS10="Capesize",LS10,KS10="VLOC",LL10)))))</f>
        <v>#N/A</v>
      </c>
      <c r="OP10" s="75" t="e">
        <f t="array" aca="1" ref="OP10" ca="1">INDEX(Canals!$O$24:$O$29,MATCH(2,1/((Canals!$F$24:$F$29&lt;=$C10)*(Canals!$G$24:$G$29=_xlfn.IFS(KS10="Handysize",Main!NB10,KS10="Supramax",MU10,KS10="Panamax",MN10,KS10="NeoPanamax",MG10,KS10="Suezmax",LZ10,KS10="Capesize",LS10,KS10="VLOC",LL10)))))</f>
        <v>#N/A</v>
      </c>
      <c r="OQ10" s="75" t="e">
        <f t="array" aca="1" ref="OQ10" ca="1">INDEX(Canals!$P$24:$P$29,MATCH(2,1/((Canals!$F$24:$F$29&lt;=$C10)*(Canals!$G$24:$G$29=_xlfn.IFS(KS10="Handysize",Main!NB10,KS10="Supramax",MU10,KS10="Panamax",MN10,KS10="NeoPanamax",MG10,KS10="Suezmax",LZ10,KS10="Capesize",LS10,KS10="VLOC",LL10)))))</f>
        <v>#N/A</v>
      </c>
      <c r="OR10" s="75" t="e">
        <f t="array" aca="1" ref="OR10" ca="1">INDEX(Canals!$Q$24:$Q$29,MATCH(2,1/((Canals!$F$24:$F$29&lt;=$C10)*(Canals!$G$24:$G$29=_xlfn.IFS(KS10="Handysize",Main!NB10,KS10="Supramax",MU10,KS10="Panamax",MN10,KS10="NeoPanamax",MG10,KS10="Suezmax",LZ10,KS10="Capesize",LS10,KS10="VLOC",LL10)))))</f>
        <v>#N/A</v>
      </c>
      <c r="OS10" s="75" t="e">
        <f t="array" aca="1" ref="OS10" ca="1">INDEX(Canals!$R$24:$R$29,MATCH(2,1/((Canals!$F$24:$F$29&lt;=$C10)*(Canals!$G$24:$G$29=_xlfn.IFS(KS10="Handysize",Main!NB10,KS10="Supramax",MU10,KS10="Panamax",MN10,KS10="NeoPanamax",MG10,KS10="Suezmax",LZ10,KS10="Capesize",LS10,KS10="VLOC",LL10)))))</f>
        <v>#N/A</v>
      </c>
      <c r="OT10" s="136" t="e">
        <f t="array" aca="1" ref="OT10" ca="1">INDEX(Canals!$S$24:$S$29,MATCH(2,1/((Canals!$F$24:$F$29&lt;=$C10)*(Canals!$G$24:$G$29=_xlfn.IFS(KS10="Handysize",Main!NB10,KS10="Supramax",MU10,KS10="Panamax",MN10,KS10="NeoPanamax",MG10,KS10="Suezmax",LZ10,KS10="Capesize",LS10,KS10="VLOC",LL10)))))</f>
        <v>#N/A</v>
      </c>
      <c r="OU10" s="136" t="e">
        <f t="array" aca="1" ref="OU10" ca="1">INDEX(Canals!$T$24:$T$29,MATCH(2,1/((Canals!$F$24:$F$29&lt;=$C10)*(Canals!$G$24:$G$29=_xlfn.IFS(KS10="Handysize",Main!NB10,KS10="Supramax",MU10,KS10="Panamax",MN10,KS10="NeoPanamax",MG10,KS10="Suezmax",LZ10,KS10="Capesize",LS10,KS10="VLOC",LL10)))))</f>
        <v>#N/A</v>
      </c>
      <c r="OV10" s="136" t="e">
        <f t="array" aca="1" ref="OV10" ca="1">INDEX(Canals!$U$24:$U$29,MATCH(2,1/((Canals!$F$24:$F$29&lt;=$C10)*(Canals!$G$24:$G$29=_xlfn.IFS(KS10="Handysize",Main!NB10,KS10="Supramax",MU10,KS10="Panamax",MN10,KS10="NeoPanamax",MG10,KS10="Suezmax",LZ10,KS10="Capesize",LS10,KS10="VLOC",LL10)))))</f>
        <v>#N/A</v>
      </c>
      <c r="OW10" s="136" t="e">
        <f t="array" aca="1" ref="OW10" ca="1">INDEX(Canals!$V$24:$V$29,MATCH(2,1/((Canals!$F$24:$F$29&lt;=$C10)*(Canals!$G$24:$G$29=_xlfn.IFS(KS10="Handysize",Main!NB10,KS10="Supramax",MU10,KS10="Panamax",MN10,KS10="NeoPanamax",MG10,KS10="Suezmax",LZ10,KS10="Capesize",LS10,KS10="VLOC",LL10)))))</f>
        <v>#N/A</v>
      </c>
      <c r="OX10" s="136" t="e">
        <f t="array" aca="1" ref="OX10" ca="1">INDEX(Canals!$W$24:$W$29,MATCH(2,1/((Canals!$F$24:$F$29&lt;=$C10)*(Canals!$G$24:$G$29=_xlfn.IFS(KS10="Handysize",Main!NB10,KS10="Supramax",MU10,KS10="Panamax",MN10,KS10="NeoPanamax",MG10,KS10="Suezmax",LZ10,KS10="Capesize",LS10,KS10="VLOC",LL10)))))</f>
        <v>#N/A</v>
      </c>
      <c r="OY10" s="136" t="e">
        <f t="array" aca="1" ref="OY10" ca="1">INDEX(Canals!$X$24:$X$29,MATCH(2,1/((Canals!$F$24:$F$29&lt;=$C10)*(Canals!$G$24:$G$29=_xlfn.IFS(KS10="Handysize",Main!NB10,KS10="Supramax",MU10,KS10="Panamax",MN10,KS10="NeoPanamax",MG10,KS10="Suezmax",LZ10,KS10="Capesize",LS10,KS10="VLOC",LL10)))))</f>
        <v>#N/A</v>
      </c>
      <c r="OZ10" s="136" t="e">
        <f t="array" aca="1" ref="OZ10" ca="1">INDEX(Canals!$Y$24:$Y$29,MATCH(2,1/((Canals!$F$24:$F$29&lt;=$C10)*(Canals!$G$24:$G$29=_xlfn.IFS(KS10="Handysize",Main!NB10,KS10="Supramax",MU10,KS10="Panamax",MN10,KS10="NeoPanamax",MG10,KS10="Suezmax",LZ10,KS10="Capesize",LS10,KS10="VLOC",LL10)))))</f>
        <v>#N/A</v>
      </c>
      <c r="PA10" s="136" t="e">
        <f t="array" aca="1" ref="PA10" ca="1">INDEX(Canals!$Z$24:$Z$29,MATCH(2,1/((Canals!$F$24:$F$29&lt;=$C10)*(Canals!$G$24:$G$29=_xlfn.IFS(KS10="Handysize",Main!NB10,KS10="Supramax",MU10,KS10="Panamax",MN10,KS10="NeoPanamax",MG10,KS10="Suezmax",LZ10,KS10="Capesize",LS10,KS10="VLOC",LL10)))))</f>
        <v>#N/A</v>
      </c>
      <c r="PB10" s="136" t="e">
        <f t="array" aca="1" ref="PB10" ca="1">INDEX(Canals!$AA$24:$AA$29,MATCH(2,1/((Canals!$F$24:$F$29&lt;=$C10)*(Canals!$G$24:$G$29=_xlfn.IFS(KS10="Handysize",Main!NB10,KS10="Supramax",MU10,KS10="Panamax",MN10,KS10="NeoPanamax",MG10,KS10="Suezmax",LZ10,KS10="Capesize",LS10,KS10="VLOC",LL10)))))</f>
        <v>#N/A</v>
      </c>
      <c r="PC10" s="136" t="e">
        <f t="array" aca="1" ref="PC10" ca="1">INDEX(Canals!$AB$24:$AB$29,MATCH(2,1/((Canals!$F$24:$F$29&lt;=$C10)*(Canals!$G$24:$G$29=_xlfn.IFS(KS10="Handysize",Main!NB10,KS10="Supramax",MU10,KS10="Panamax",MN10,KS10="NeoPanamax",MG10,KS10="Suezmax",LZ10,KS10="Capesize",LS10,KS10="VLOC",LL10)))))</f>
        <v>#N/A</v>
      </c>
      <c r="PD10" s="75" t="e">
        <f t="array" aca="1" ref="PD10" ca="1">INDEX(Canals!$AC$24:$AC$29,MATCH(2,1/((Canals!$F$24:$F$29&lt;=$C10)*(Canals!$G$24:$G$29=_xlfn.IFS(KS10="Handysize",Main!NB10,KS10="Supramax",MU10,KS10="Panamax",MN10,KS10="NeoPanamax",MG10,KS10="Suezmax",LZ10,KS10="Capesize",LS10,KS10="VLOC",LL10)))))</f>
        <v>#N/A</v>
      </c>
      <c r="PE10" s="75" t="e">
        <f t="array" aca="1" ref="PE10" ca="1">INDEX(Canals!$AD$24:$AD$29,MATCH(2,1/((Canals!$F$24:$F$29&lt;=$C10)*(Canals!$G$24:$G$29=_xlfn.IFS(KS10="Handysize",Main!NB10,KS10="Supramax",MU10,KS10="Panamax",MN10,KS10="NeoPanamax",MG10,KS10="Suezmax",LZ10,KS10="Capesize",LS10,KS10="VLOC",LL10)))))</f>
        <v>#N/A</v>
      </c>
      <c r="PF10" s="75" t="e">
        <f t="array" aca="1" ref="PF10" ca="1">INDEX(Canals!$AE$24:$AE$29,MATCH(2,1/((Canals!$F$24:$F$29&lt;=$C10)*(Canals!$G$24:$G$29=_xlfn.IFS(KS10="Handysize",Main!NB10,KS10="Supramax",MU10,KS10="Panamax",MN10,KS10="NeoPanamax",MG10,KS10="Suezmax",LZ10,KS10="Capesize",LS10,KS10="VLOC",LL10)))))</f>
        <v>#N/A</v>
      </c>
      <c r="PG10" s="75" t="e">
        <f t="array" aca="1" ref="PG10" ca="1">INDEX(Canals!$AF$24:$AF$29,MATCH(2,1/((Canals!$F$24:$F$29&lt;=$C10)*(Canals!$G$24:$G$29=_xlfn.IFS(KS10="Handysize",Main!NB10,KS10="Supramax",MU10,KS10="Panamax",MN10,KS10="NeoPanamax",MG10,KS10="Suezmax",LZ10,KS10="Capesize",LS10,KS10="VLOC",LL10)))))</f>
        <v>#N/A</v>
      </c>
      <c r="PH10" s="75" t="e">
        <f t="array" aca="1" ref="PH10" ca="1">INDEX(Canals!$AG$24:$AG$29,MATCH(2,1/((Canals!$F$24:$F$29&lt;=$C10)*(Canals!$G$24:$G$29=_xlfn.IFS(KS10="Handysize",Main!NB10,KS10="Supramax",MU10,KS10="Panamax",MN10,KS10="NeoPanamax",MG10,KS10="Suezmax",LZ10,KS10="Capesize",LS10,KS10="VLOC",LL10)))))</f>
        <v>#N/A</v>
      </c>
      <c r="PI10" s="75" t="e">
        <f t="array" aca="1" ref="PI10" ca="1">INDEX(Canals!$AH$24:$AH$29,MATCH(2,1/((Canals!$F$24:$F$29&lt;=$C10)*(Canals!$G$24:$G$29=_xlfn.IFS(KS10="Handysize",Main!NB10,KS10="Supramax",MU10,KS10="Panamax",MN10,KS10="NeoPanamax",MG10,KS10="Suezmax",LZ10,KS10="Capesize",LS10,KS10="VLOC",LL10)))))</f>
        <v>#N/A</v>
      </c>
      <c r="PJ10" s="75" t="e">
        <f t="array" aca="1" ref="PJ10" ca="1">INDEX(Canals!$AI$24:$AI$29,MATCH(2,1/((Canals!$F$24:$F$29&lt;=$C10)*(Canals!$G$24:$G$29=_xlfn.IFS(KS10="Handysize",Main!NB10,KS10="Supramax",MU10,KS10="Panamax",MN10,KS10="NeoPanamax",MG10,KS10="Suezmax",LZ10,KS10="Capesize",LS10,KS10="VLOC",LL10)))))</f>
        <v>#N/A</v>
      </c>
      <c r="PK10" s="75" t="e">
        <f t="array" aca="1" ref="PK10" ca="1">INDEX(Canals!$AJ$24:$AJ$29,MATCH(2,1/((Canals!$F$24:$F$29&lt;=$C10)*(Canals!$G$24:$G$29=_xlfn.IFS(KS10="Handysize",Main!NB10,KS10="Supramax",MU10,KS10="Panamax",MN10,KS10="NeoPanamax",MG10,KS10="Suezmax",LZ10,KS10="Capesize",LS10,KS10="VLOC",LL10)))))</f>
        <v>#N/A</v>
      </c>
      <c r="PL10" s="75" t="e">
        <f t="array" aca="1" ref="PL10" ca="1">INDEX(Canals!$AK$24:$AK$29,MATCH(2,1/((Canals!$F$24:$F$29&lt;=$C10)*(Canals!$G$24:$G$29=_xlfn.IFS(KS10="Handysize",Main!NB10,KS10="Supramax",MU10,KS10="Panamax",MN10,KS10="NeoPanamax",MG10,KS10="Suezmax",LZ10,KS10="Capesize",LS10,KS10="VLOC",LL10)))))</f>
        <v>#N/A</v>
      </c>
      <c r="PM10" s="136" t="e">
        <f t="array" aca="1" ref="PM10" ca="1">INDEX(Canals!$AL$24:$AL$29,MATCH(2,1/((Canals!$F$24:$F$29&lt;=$C10)*(Canals!$G$24:$G$29=_xlfn.IFS(KS10="Handysize",Main!NB10,KS10="Supramax",MU10,KS10="Panamax",MN10,KS10="NeoPanamax",MG10,KS10="Suezmax",LZ10,KS10="Capesize",LS10,KS10="VLOC",LL10)))))</f>
        <v>#N/A</v>
      </c>
      <c r="PN10" s="136" t="e">
        <f t="array" aca="1" ref="PN10" ca="1">INDEX(Canals!$AM$24:$AM$29,MATCH(2,1/((Canals!$F$24:$F$29&lt;=$C10)*(Canals!$G$24:$G$29=_xlfn.IFS(KS10="Handysize",Main!NB10,KS10="Supramax",MU10,KS10="Panamax",MN10,KS10="NeoPanamax",MG10,KS10="Suezmax",LZ10,KS10="Capesize",LS10,KS10="VLOC",LL10)))))</f>
        <v>#N/A</v>
      </c>
      <c r="PO10" s="136" t="e">
        <f t="array" aca="1" ref="PO10" ca="1">INDEX(Canals!$AN$24:$AN$29,MATCH(2,1/((Canals!$F$24:$F$29&lt;=$C10)*(Canals!$G$24:$G$29=_xlfn.IFS(KS10="Handysize",Main!NB10,KS10="Supramax",MU10,KS10="Panamax",MN10,KS10="NeoPanamax",MG10,KS10="Suezmax",LZ10,KS10="Capesize",LS10,KS10="VLOC",LL10)))))</f>
        <v>#N/A</v>
      </c>
      <c r="PP10" s="136" t="e">
        <f t="array" aca="1" ref="PP10" ca="1">INDEX(Canals!$AO$24:$AO$29,MATCH(2,1/((Canals!$F$24:$F$29&lt;=$C10)*(Canals!$G$24:$G$29=_xlfn.IFS(KS10="Handysize",Main!NB10,KS10="Supramax",MU10,KS10="Panamax",MN10,KS10="NeoPanamax",MG10,KS10="Suezmax",LZ10,KS10="Capesize",LS10,KS10="VLOC",LL10)))))</f>
        <v>#N/A</v>
      </c>
      <c r="PQ10" s="136" t="e">
        <f t="array" aca="1" ref="PQ10" ca="1">INDEX(Canals!$AP$24:$AP$29,MATCH(2,1/((Canals!$F$24:$F$29&lt;=$C10)*(Canals!$G$24:$G$29=_xlfn.IFS(KS10="Handysize",Main!NB10,KS10="Supramax",MU10,KS10="Panamax",MN10,KS10="NeoPanamax",MG10,KS10="Suezmax",LZ10,KS10="Capesize",LS10,KS10="VLOC",LL10)))))</f>
        <v>#N/A</v>
      </c>
      <c r="PR10" s="136" t="e">
        <f t="array" aca="1" ref="PR10" ca="1">INDEX(Canals!$AQ$24:$AQ$29,MATCH(2,1/((Canals!$F$24:$F$29&lt;=$C10)*(Canals!$G$24:$G$29=_xlfn.IFS(KS10="Handysize",Main!NB10,KS10="Supramax",MU10,KS10="Panamax",MN10,KS10="NeoPanamax",MG10,KS10="Suezmax",LZ10,KS10="Capesize",LS10,KS10="VLOC",LL10)))))</f>
        <v>#N/A</v>
      </c>
      <c r="PS10" s="136" t="e">
        <f t="array" aca="1" ref="PS10" ca="1">INDEX(Canals!$AR$24:$AR$29,MATCH(2,1/((Canals!$F$24:$F$29&lt;=$C10)*(Canals!$G$24:$G$29=_xlfn.IFS(KS10="Handysize",Main!NB10,KS10="Supramax",MU10,KS10="Panamax",MN10,KS10="NeoPanamax",MG10,KS10="Suezmax",LZ10,KS10="Capesize",LS10,KS10="VLOC",LL10)))))</f>
        <v>#N/A</v>
      </c>
      <c r="PT10" s="136" t="e">
        <f t="array" aca="1" ref="PT10" ca="1">INDEX(Canals!$AS$24:$AS$29,MATCH(2,1/((Canals!$F$24:$F$29&lt;=$C10)*(Canals!$G$24:$G$29=_xlfn.IFS(KS10="Handysize",Main!NB10,KS10="Supramax",MU10,KS10="Panamax",MN10,KS10="NeoPanamax",MG10,KS10="Suezmax",LZ10,KS10="Capesize",LS10,KS10="VLOC",LL10)))))</f>
        <v>#N/A</v>
      </c>
      <c r="PU10" s="136" t="e">
        <f t="array" aca="1" ref="PU10" ca="1">INDEX(Canals!$AT$24:$AT$29,MATCH(2,1/((Canals!$F$24:$F$29&lt;=$C10)*(Canals!$G$24:$G$29=_xlfn.IFS(KS10="Handysize",Main!NB10,KS10="Supramax",MU10,KS10="Panamax",MN10,KS10="NeoPanamax",MG10,KS10="Suezmax",LZ10,KS10="Capesize",LS10,KS10="VLOC",LL10)))))</f>
        <v>#N/A</v>
      </c>
      <c r="PV10" s="136" t="e">
        <f t="array" aca="1" ref="PV10" ca="1">INDEX(Canals!$AU$24:$AU$29,MATCH(2,1/((Canals!$F$24:$F$29&lt;=$C10)*(Canals!$G$24:$G$29=_xlfn.IFS(KS10="Handysize",Main!NB10,KS10="Supramax",MU10,KS10="Panamax",MN10,KS10="NeoPanamax",MG10,KS10="Suezmax",LZ10,KS10="Capesize",LS10,KS10="VLOC",LL10)))))</f>
        <v>#N/A</v>
      </c>
      <c r="PW10" s="136" t="e">
        <f t="array" aca="1" ref="PW10" ca="1">INDEX(Canals!$AV$24:$AV$29,MATCH(2,1/((Canals!$F$24:$F$29&lt;=$C10)*(Canals!$G$24:$G$29=_xlfn.IFS(KS10="Handysize",Main!NB10,KS10="Supramax",MU10,KS10="Panamax",MN10,KS10="NeoPanamax",MG10,KS10="Suezmax",LZ10,KS10="Capesize",LS10,KS10="VLOC",LL10)))))</f>
        <v>#N/A</v>
      </c>
      <c r="PY10" s="75" t="e">
        <f t="array" aca="1" ref="PY10" ca="1">_xlfn.IFS(OJ10="DWT",KQ10,OJ10="NRT",KU10,OJ10="GRT",KV10)</f>
        <v>#NAME?</v>
      </c>
      <c r="PZ10" s="279" t="e">
        <f t="shared" ref="PZ10:PZ23" ca="1" si="74">IF(PY10&gt;OK10,OK10,PY10)</f>
        <v>#NAME?</v>
      </c>
      <c r="QA10" s="280" t="e">
        <f t="shared" ref="QA10:QA23" ca="1" si="75">IF(PY10&gt;SUM(OK10:OL10),OL10,PY10-SUM(PZ10:PZ10))</f>
        <v>#NAME?</v>
      </c>
      <c r="QB10" s="280" t="e">
        <f t="shared" ref="QB10:QB23" ca="1" si="76">IF(PY10&gt;SUM(OK10:OM10),OM10,PY10-SUM(PZ10:QA10))</f>
        <v>#NAME?</v>
      </c>
      <c r="QC10" s="280" t="e">
        <f t="shared" ref="QC10:QC23" ca="1" si="77">IF(PY10&gt;SUM(OK10:ON10),ON10,PY10-SUM(PZ10:QB10))</f>
        <v>#NAME?</v>
      </c>
      <c r="QD10" s="280" t="e">
        <f t="shared" ref="QD10:QD23" ca="1" si="78">IF(PY10&gt;SUM(OK10:OO10),OO10,PY10-SUM(PZ10:QC10))</f>
        <v>#NAME?</v>
      </c>
      <c r="QE10" s="280" t="e">
        <f t="shared" ref="QE10:QE23" ca="1" si="79">IF(PY10&gt;SUM(OK10:OP10),OP10,PY10-SUM(PZ10:QD10))</f>
        <v>#NAME?</v>
      </c>
      <c r="QF10" s="280" t="e">
        <f t="shared" ref="QF10:QF23" ca="1" si="80">IF(PY10&gt;SUM(OK10:OQ10),OQ10,PY10-SUM(PZ10:QE10))</f>
        <v>#NAME?</v>
      </c>
      <c r="QG10" s="280" t="e">
        <f t="shared" ref="QG10:QG23" ca="1" si="81">IF(PY10&gt;SUM(OK10:OR10),OR10,PY10-SUM(PZ10:QF10))</f>
        <v>#NAME?</v>
      </c>
      <c r="QH10" s="280" t="e">
        <f t="shared" ref="QH10:QH23" ca="1" si="82">IF(PY10&gt;SUM(OK10:OS10),OS10,PY10-SUM(PZ10:QG10))</f>
        <v>#NAME?</v>
      </c>
      <c r="QI10" s="75">
        <f t="shared" ref="QI10:QI23" si="83">KQ10*$JN10</f>
        <v>160874.9999999998</v>
      </c>
      <c r="QJ10" s="279" t="e">
        <f t="shared" ref="QJ10:QJ23" ca="1" si="84">IF(QI10&gt;PD10,PD10,QI10)</f>
        <v>#N/A</v>
      </c>
      <c r="QK10" s="280" t="e">
        <f t="shared" ref="QK10:QK23" ca="1" si="85">IF(QI10&gt;SUM(PD10:PE10),PE10,QI10-SUM(QJ10:QJ10))</f>
        <v>#N/A</v>
      </c>
      <c r="QL10" s="280" t="e">
        <f t="shared" ref="QL10:QL23" ca="1" si="86">IF(QI10&gt;SUM(PD10:PF10),PF10,QI10-SUM(QJ10:QK10))</f>
        <v>#N/A</v>
      </c>
      <c r="QM10" s="280" t="e">
        <f t="shared" ref="QM10:QM23" ca="1" si="87">IF(QI10&gt;SUM(PD10:PG10),PG10,QI10-SUM(QJ10:QL10))</f>
        <v>#N/A</v>
      </c>
      <c r="QN10" s="280" t="e">
        <f t="shared" ref="QN10:QN23" ca="1" si="88">IF(QI10&gt;SUM(PD10:PH10),PH10,QI10-SUM(QJ10:QM10))</f>
        <v>#N/A</v>
      </c>
      <c r="QO10" s="280" t="e">
        <f t="shared" ref="QO10:QO23" ca="1" si="89">IF(QI10&gt;SUM(PD10:PI10),PI10,QI10-SUM(QJ10:QN10))</f>
        <v>#N/A</v>
      </c>
      <c r="QP10" s="280" t="e">
        <f t="shared" ref="QP10:QP23" ca="1" si="90">IF(QI10&gt;SUM(PD10:PJ10),PJ10,QI10-SUM(QJ10:QO10))</f>
        <v>#N/A</v>
      </c>
      <c r="QQ10" s="280" t="e">
        <f t="shared" ref="QQ10:QQ23" ca="1" si="91">IF(QI10&gt;SUM(PD10:PK10),PK10,QI10-SUM(QJ10:QP10))</f>
        <v>#N/A</v>
      </c>
      <c r="QR10" s="280" t="e">
        <f t="shared" ref="QR10:QR23" ca="1" si="92">IF(QI10&gt;SUM(PD10:PL10),PL10,QI10-SUM(QJ10:QQ10))</f>
        <v>#N/A</v>
      </c>
      <c r="QT10" s="75" t="e">
        <f t="array" aca="1" ref="QT10" ca="1">_xlfn.IFS(KS10="Handysize",Main!MV10,KS10="Supramax",MO10,KS10="Panamax",MH10,KS10="NeoPanamax",MA10,KS10="Suezmax",LT10,KS10="Capesize",LM10,KS10="VLOC",LF10)*$JI10</f>
        <v>#NAME?</v>
      </c>
      <c r="QU10" s="274" t="e">
        <f t="array" aca="1" ref="QU10" ca="1">_xlfn.IFS(KS10="Handysize",Main!MW10,KS10="Supramax",MP10,KS10="Panamax",MI10,KS10="NeoPanamax",MB10,KS10="Suezmax",LU10,KS10="Capesize",LN10,KS10="VLOC",LG10)*$JI10</f>
        <v>#NAME?</v>
      </c>
      <c r="QV10" s="71" t="e">
        <f t="array" aca="1" ref="QV10" ca="1">_xlfn.IFS(KS10="Handysize",Main!KX10,KS10="Supramax",KY10,KS10="Panamax",KZ10,KS10="NeoPanamax",LA10,KS10="Suezmax",LB10,KS10="Capesize",LC10,KS10="VLOC",LD10)</f>
        <v>#NAME?</v>
      </c>
      <c r="QW10" s="71" t="e">
        <f t="array" aca="1" ref="QW10" ca="1">_xlfn.IFS(KS10="Handysize",Main!NJ10,KS10="Supramax",NK10,KS10="Panamax",NL10,KS10="NeoPanamax",NM10,KS10="Suezmax",NN10,KS10="Capesize",NO10,KS10="VLOC",NP10)</f>
        <v>#NAME?</v>
      </c>
      <c r="QX10" s="70">
        <f t="array" ref="QX10">INDEX('Ship Speeds'!$G$11:$G$1011,MATCH(2,1/(('Ship Speeds'!$E$11:$E$1011&lt;=Main!$C10)*('Ship Speeds'!$F$11:$F$1011=Main!KR10))))</f>
        <v>11</v>
      </c>
      <c r="QY10" s="403">
        <f t="shared" ref="QY10:QY23" si="93">(($KH10*QX10^2+$KI10*QX10^3+$KG10*QX10)*((KQ10/$KC10)^$KD10)*$KJ10+(KQ10/$KC10)*$KF10+$KE10)</f>
        <v>33.996722591365682</v>
      </c>
      <c r="QZ10" s="401">
        <f t="shared" ref="QZ10:QZ23" si="94">(KQ10/$JY10)*$JZ10+$KA10+$KB10*(KQ10/$JY10)^2</f>
        <v>2.9621999999999975</v>
      </c>
      <c r="RA10" s="70" t="e">
        <f t="shared" ref="RA10:RA23" ca="1" si="95">QT10/QX10/$JH10</f>
        <v>#NAME?</v>
      </c>
      <c r="RB10" s="70" t="e">
        <f t="shared" ref="RB10:RB23" ca="1" si="96">QU10/QX10/$JH10</f>
        <v>#NAME?</v>
      </c>
      <c r="RC10" s="70" t="e">
        <f t="shared" ref="RC10:RC23" ca="1" si="97">IF($AO10="no",$AN10,$AR10)/(1-$AL10)/QV10</f>
        <v>#NAME?</v>
      </c>
      <c r="RD10" s="70" t="e">
        <f t="shared" ref="RD10:RD23" ca="1" si="98">IF($AO10="no",$AN10,$AR10)/(1-$AL10)/QW10</f>
        <v>#NAME?</v>
      </c>
      <c r="RE10" s="72" t="e">
        <f t="shared" ref="RE10:RE23" ca="1" si="99">PW10*$JI10</f>
        <v>#N/A</v>
      </c>
      <c r="RF10" s="70" t="e">
        <f t="shared" ref="RF10:RF23" ca="1" si="100">MAX(SUM(RA10:RE10)*$JV10,$JU10)</f>
        <v>#NAME?</v>
      </c>
      <c r="RG10" s="70" t="e">
        <f t="array" aca="1" ref="RG10" ca="1">INDEX(ND10:NH10,MATCH(_xlfn.IFS(KS10="Handysize",Main!MZ10,KS10="Supramax",MS10,KS10="Panamax",ML10,KS10="NeoPanamax",ME10,KS10="Suezmax",LX10,KS10="Capesize",LQ10,KS10="VLOC",LJ10),$ND$7:$NH$7,0))</f>
        <v>#NAME?</v>
      </c>
      <c r="RH10" s="70" t="e">
        <f t="array" aca="1" ref="RH10" ca="1">INDEX(ND10:NH10,MATCH(_xlfn.IFS(KS10="Handysize",Main!NA10,KS10="Supramax",MT10,KS10="Panamax",MM10,KS10="NeoPanamax",MF10,KS10="Suezmax",LY10,KS10="Capesize",LR10,KS10="VLOC",LK10),$ND$7:$NH$7,0))</f>
        <v>#NAME?</v>
      </c>
      <c r="RI10" s="71" t="e">
        <f t="shared" ref="RI10:RI23" ca="1" si="101">RA10*QY10*RG10</f>
        <v>#NAME?</v>
      </c>
      <c r="RJ10" s="71" t="e">
        <f t="shared" ref="RJ10:RJ23" ca="1" si="102">SUM(RC10:RF10)*QZ10*RH10+RB10*QY10*RH10</f>
        <v>#NAME?</v>
      </c>
      <c r="RK10" s="281">
        <f t="shared" ref="RK10:RK23" si="103">INDEX($JA10:$JD10,MATCH(NQ10,$JA$7:$JD$7,0))</f>
        <v>6.9820000000000002</v>
      </c>
      <c r="RL10" s="71">
        <f t="shared" ref="RL10:RL23" si="104">NR10/RK10</f>
        <v>1767.6883414494414</v>
      </c>
      <c r="RM10" s="71" t="e">
        <f t="shared" ref="RM10:RM23" ca="1" si="105">NS10*SUM(RD10,$JX10)/RK10</f>
        <v>#NAME?</v>
      </c>
      <c r="RN10" s="71" t="e">
        <f t="shared" ref="RN10:RN23" ca="1" si="106">NT10*(RF10*(1-$JW10))/RK10</f>
        <v>#NAME?</v>
      </c>
      <c r="RO10" s="71">
        <f t="shared" ref="RO10:RO23" si="107">NU10*(KQ10*$JN10)/RK10</f>
        <v>60829.275279289526</v>
      </c>
      <c r="RP10" s="71" t="e">
        <f t="shared" ref="RP10:RP23" ca="1" si="108">NV10*(KQ10*$JN10)*SUM(RD10,$JX10)/RK10</f>
        <v>#NAME?</v>
      </c>
      <c r="RQ10" s="71" t="e">
        <f t="shared" ref="RQ10:RQ23" ca="1" si="109">NW10*(KQ10*$JN10)*(RF10*(1-$JW10))/RK10</f>
        <v>#NAME?</v>
      </c>
      <c r="RR10" s="71">
        <f t="shared" ref="RR10:RR23" si="110">NX10*KU10/RK10</f>
        <v>43185.524205098765</v>
      </c>
      <c r="RS10" s="71" t="e">
        <f t="shared" ref="RS10:RS23" ca="1" si="111">NY10*KU10*SUM(RD10,$JX10)/RK10</f>
        <v>#NAME?</v>
      </c>
      <c r="RT10" s="71" t="e">
        <f t="shared" ref="RT10:RT23" ca="1" si="112">NZ10*KU10*(RF10*(1-$JW10))/RK10</f>
        <v>#NAME?</v>
      </c>
      <c r="RU10" s="71">
        <f t="shared" ref="RU10:RU23" si="113">OA10*KV10/RK10</f>
        <v>0</v>
      </c>
      <c r="RV10" s="71" t="e">
        <f t="shared" ref="RV10:RV23" ca="1" si="114">OB10*KV10*SUM(RD10,$JX10)/RK10</f>
        <v>#NAME?</v>
      </c>
      <c r="RW10" s="71" t="e">
        <f t="shared" ref="RW10:RW23" ca="1" si="115">OC10*KV10*(RF10*(1-$JW10))/RK10</f>
        <v>#NAME?</v>
      </c>
      <c r="RX10" s="72">
        <f t="shared" ref="RX10:RX23" si="116">OD10*KT10/RK10</f>
        <v>8180.635204812369</v>
      </c>
      <c r="RY10" s="72" t="e">
        <f t="shared" ref="RY10:RY23" ca="1" si="117">OE10*KT10*SUM(RD10,$JX10)/RK10</f>
        <v>#NAME?</v>
      </c>
      <c r="RZ10" s="71" t="e">
        <f t="shared" ref="RZ10:RZ23" ca="1" si="118">OF10*KT10*(RF10*(1-$JW10))/RK10</f>
        <v>#NAME?</v>
      </c>
      <c r="SA10" s="71" t="e">
        <f t="array" aca="1" ref="SA10" ca="1">INDEX('Ship Time Charter Rates'!$H$22:$H$1021,MATCH(2,1/(('Ship Time Charter Rates'!$G$22:$G$1021=_xlfn.IFS(KS10="Handysize",Main!MX10,KS10="Supramax",MQ10,KS10="Panamax",MJ10,KS10="NeoPanamax",MC10,KS10="Suezmax",LV10,KS10="Capesize",LO10,KS10="VLOC",LH10))*('Ship Time Charter Rates'!$E$22:$E$1021&lt;=Main!$C10)*(NOT(ISBLANK('Ship Time Charter Rates'!$H$22:$H$1021))))))</f>
        <v>#N/A</v>
      </c>
      <c r="SB10" s="71" t="e">
        <f t="shared" ref="SB10:SB23" ca="1" si="119">SUM(RA10:RF10,$JI10*$JX10)*SA10</f>
        <v>#NAME?</v>
      </c>
      <c r="SC10" s="70" t="e">
        <f t="shared" ref="SC10:SC23" ca="1" si="120">SUMPRODUCT(OT10:PB10,PZ10:QH10)+SUMPRODUCT(PM10:PU10,QJ10:QR10)</f>
        <v>#N/A</v>
      </c>
      <c r="SD10" s="71" t="e">
        <f t="shared" ref="SD10:SD23" ca="1" si="121">SUM(RI10,RJ10)+SB10+SC10+SUM(RL10:RZ10)</f>
        <v>#NAME?</v>
      </c>
      <c r="SE10" s="71" t="e">
        <f ca="1">SD10*(1+$KL10)*(1+$KM10)</f>
        <v>#NAME?</v>
      </c>
      <c r="SF10" s="72" t="e">
        <f ca="1">IF(SE10=0,0,SE10/(KQ10*(1-$AL10)*$JN10))</f>
        <v>#NAME?</v>
      </c>
      <c r="SH10" s="25">
        <f>IF($AO10="yes",$AN10,$AR10)/(1-$AL10)/$JN10</f>
        <v>0</v>
      </c>
      <c r="SI10" s="4" t="str">
        <f>VLOOKUP(SH10,'Ship Time Charter Rates'!$F$10:$G$17,2,TRUE)</f>
        <v>Handysize</v>
      </c>
      <c r="SJ10" s="4" t="str">
        <f>VLOOKUP(SH10,Canals!$E$5:$F$12,2,TRUE)</f>
        <v>Handysize</v>
      </c>
      <c r="SK10" s="25">
        <f t="shared" ref="SK10:SK23" si="122">(SH10*$JO10 + $JP10)</f>
        <v>145.88999999999999</v>
      </c>
      <c r="SL10" s="25">
        <f t="shared" ref="SL10:SL23" si="123">(SH10*$JQ10+$JR10)</f>
        <v>0</v>
      </c>
      <c r="SM10" s="25">
        <f t="shared" ref="SM10:SM23" si="124">(SH10*$JS10+$JT10)</f>
        <v>4797</v>
      </c>
      <c r="SO10" s="75">
        <f t="array" ref="SO10">INDEX('Indices Mines Exporting Ports'!$R$20:$R$51,MATCH(2,1/(('Indices Mines Exporting Ports'!$D$20:$D$51&lt;=Main!$C10)*('Indices Mines Exporting Ports'!$Q$20:$Q$51=$AQ10))))</f>
        <v>0</v>
      </c>
      <c r="SP10" s="75">
        <f t="array" ref="SP10">INDEX('Indices Mines Exporting Ports'!$S$20:$S$51,MATCH(2,1/(('Indices Mines Exporting Ports'!$D$20:$D$51&lt;=Main!$C10)*('Indices Mines Exporting Ports'!$Q$20:$Q$51=$AQ10))))</f>
        <v>0</v>
      </c>
      <c r="SQ10" s="75">
        <f t="array" ref="SQ10">INDEX('Indices Mines Exporting Ports'!$T$20:$T$51,MATCH(2,1/(('Indices Mines Exporting Ports'!$D$20:$D$51&lt;=Main!$C10)*('Indices Mines Exporting Ports'!$Q$20:$Q$51=$AQ10))))</f>
        <v>0</v>
      </c>
      <c r="SR10" s="75">
        <f t="array" ref="SR10">INDEX('Indices Mines Exporting Ports'!$U$20:$U$51,MATCH(2,1/(('Indices Mines Exporting Ports'!$D$20:$D$51&lt;=Main!$C10)*('Indices Mines Exporting Ports'!$Q$20:$Q$51=$AQ10))))</f>
        <v>0</v>
      </c>
      <c r="SS10" s="75">
        <f t="array" ref="SS10">INDEX('Indices Mines Exporting Ports'!$V$20:$V$51,MATCH(2,1/(('Indices Mines Exporting Ports'!$D$20:$D$51&lt;=Main!$C10)*('Indices Mines Exporting Ports'!$Q$20:$Q$51=$AQ10))))</f>
        <v>0</v>
      </c>
      <c r="ST10" s="75">
        <f t="array" ref="ST10">INDEX('Indices Mines Exporting Ports'!$W$20:$W$51,MATCH(2,1/(('Indices Mines Exporting Ports'!$D$20:$D$51&lt;=Main!$C10)*('Indices Mines Exporting Ports'!$Q$20:$Q$51=$AQ10))))</f>
        <v>0</v>
      </c>
      <c r="SU10" s="75">
        <f t="array" ref="SU10">INDEX('Indices Mines Exporting Ports'!$X$20:$X$51,MATCH(2,1/(('Indices Mines Exporting Ports'!$D$20:$D$51&lt;=Main!$C10)*('Indices Mines Exporting Ports'!$Q$20:$Q$51=$AQ10))))</f>
        <v>0</v>
      </c>
      <c r="SW10" s="75">
        <f t="array" ref="SW10">INDEX('Port Linkages'!$E$18:$E$157,MATCH(2,1/(('Port Linkages'!$C$18:$C$157=$AQ10)*('Port Linkages'!$D$18:$D$157=IF($AO10="no",$AQ10,$AS10))*('Port Linkages'!$A$18:$A$157&lt;=$C10))))</f>
        <v>0</v>
      </c>
      <c r="SX10" s="75">
        <f t="array" ref="SX10">INDEX('Port Linkages'!$F$18:$F$157,MATCH(2,1/(('Port Linkages'!$C$18:$C$157=$AQ10)*('Port Linkages'!$D$18:$D$157=IF($AO10="no",$AQ10,$AS10))*('Port Linkages'!$A$18:$A$157&lt;=$C10))))</f>
        <v>0</v>
      </c>
      <c r="SY10" s="75">
        <f t="array" ref="SY10">INDEX('Port Linkages'!$G$18:$G$157,MATCH(2,1/(('Port Linkages'!$C$18:$C$157=$AQ10)*('Port Linkages'!$D$18:$D$157=IF($AO10="no",$AQ10,$AS10))*('Port Linkages'!$A$18:$A$157&lt;=$C10))))</f>
        <v>0</v>
      </c>
      <c r="SZ10" s="75">
        <f t="array" ref="SZ10">INDEX('Port Linkages'!$H$18:$H$157,MATCH(2,1/(('Port Linkages'!$C$18:$C$157=$AQ10)*('Port Linkages'!$D$18:$D$157=IF($AO10="no",$AQ10,$AS10))*('Port Linkages'!$A$18:$A$157&lt;=$C10))))</f>
        <v>0</v>
      </c>
      <c r="TA10" s="75">
        <f t="array" ref="TA10">INDEX('Port Linkages'!$I$18:$I$157,MATCH(2,1/(('Port Linkages'!$C$18:$C$157=$AQ10)*('Port Linkages'!$D$18:$D$157=IF($AO10="no",$AQ10,$AS10))*('Port Linkages'!$A$18:$A$157&lt;=$C10))))</f>
        <v>0</v>
      </c>
      <c r="TB10" s="75">
        <f t="array" ref="TB10">INDEX('Port Linkages'!$J$18:$J$157,MATCH(2,1/(('Port Linkages'!$C$18:$C$157=$AQ10)*('Port Linkages'!$D$18:$D$157=IF($AO10="no",$AQ10,$AS10))*('Port Linkages'!$A$18:$A$157&lt;=$C10))))</f>
        <v>0</v>
      </c>
      <c r="TC10" s="75">
        <f t="array" ref="TC10">INDEX('Port Linkages'!$K$18:$K$157,MATCH(2,1/(('Port Linkages'!$C$18:$C$157=$AQ10)*('Port Linkages'!$D$18:$D$157=IF($AO10="no",$AQ10,$AS10))*('Port Linkages'!$A$18:$A$157&lt;=$C10))))</f>
        <v>0</v>
      </c>
      <c r="TD10" s="75">
        <f t="array" ref="TD10">INDEX('Port Linkages'!$L$18:$L$157,MATCH(2,1/(('Port Linkages'!$C$18:$C$157=$AQ10)*('Port Linkages'!$D$18:$D$157=IF($AO10="no",$AQ10,$AS10))*('Port Linkages'!$A$18:$A$157&lt;=$C10))))</f>
        <v>0</v>
      </c>
      <c r="TE10" s="75">
        <f t="array" ref="TE10">INDEX('Port Linkages'!$M$18:$M$157,MATCH(2,1/(('Port Linkages'!$C$18:$C$157=$AQ10)*('Port Linkages'!$D$18:$D$157=IF($AO10="no",$AQ10,$AS10))*('Port Linkages'!$A$18:$A$157&lt;=$C10))))</f>
        <v>0</v>
      </c>
      <c r="TF10" s="75">
        <f t="array" ref="TF10">INDEX('Port Linkages'!$N$18:$N$157,MATCH(2,1/(('Port Linkages'!$C$18:$C$157=$AQ10)*('Port Linkages'!$D$18:$D$157=IF($AO10="no",$AQ10,$AS10))*('Port Linkages'!$A$18:$A$157&lt;=$C10))))</f>
        <v>0</v>
      </c>
      <c r="TG10" s="75">
        <f t="array" ref="TG10">INDEX('Port Linkages'!$O$18:$O$157,MATCH(2,1/(('Port Linkages'!$C$18:$C$157=$AQ10)*('Port Linkages'!$D$18:$D$157=IF($AO10="no",$AQ10,$AS10))*('Port Linkages'!$A$18:$A$157&lt;=$C10))))</f>
        <v>0</v>
      </c>
      <c r="TH10" s="75">
        <f t="array" ref="TH10">INDEX('Port Linkages'!$P$18:$P$157,MATCH(2,1/(('Port Linkages'!$C$18:$C$157=$AQ10)*('Port Linkages'!$D$18:$D$157=IF($AO10="no",$AQ10,$AS10))*('Port Linkages'!$A$18:$A$157&lt;=$C10))))</f>
        <v>0</v>
      </c>
      <c r="TI10" s="75">
        <f t="array" ref="TI10">INDEX('Port Linkages'!$Q$18:$Q$157,MATCH(2,1/(('Port Linkages'!$C$18:$C$157=$AQ10)*('Port Linkages'!$D$18:$D$157=IF($AO10="no",$AQ10,$AS10))*('Port Linkages'!$A$18:$A$157&lt;=$C10))))</f>
        <v>0</v>
      </c>
      <c r="TJ10" s="75">
        <f t="array" ref="TJ10">INDEX('Port Linkages'!$R$18:$R$157,MATCH(2,1/(('Port Linkages'!$C$18:$C$157=$AQ10)*('Port Linkages'!$D$18:$D$157=IF($AO10="no",$AQ10,$AS10))*('Port Linkages'!$A$18:$A$157&lt;=$C10))))</f>
        <v>0</v>
      </c>
      <c r="TK10" s="75">
        <f t="array" ref="TK10">INDEX('Port Linkages'!$S$18:$S$157,MATCH(2,1/(('Port Linkages'!$C$18:$C$157=$AQ10)*('Port Linkages'!$D$18:$D$157=IF($AO10="no",$AQ10,$AS10))*('Port Linkages'!$A$18:$A$157&lt;=$C10))))</f>
        <v>0</v>
      </c>
      <c r="TL10" s="75">
        <f t="array" ref="TL10">INDEX('Port Linkages'!$T$18:$T$157,MATCH(2,1/(('Port Linkages'!$C$18:$C$157=$AQ10)*('Port Linkages'!$D$18:$D$157=IF($AO10="no",$AQ10,$AS10))*('Port Linkages'!$A$18:$A$157&lt;=$C10))))</f>
        <v>0</v>
      </c>
      <c r="TM10" s="75">
        <f t="array" ref="TM10">INDEX('Port Linkages'!$U$18:$U$157,MATCH(2,1/(('Port Linkages'!$C$18:$C$157=$AQ10)*('Port Linkages'!$D$18:$D$157=IF($AO10="no",$AQ10,$AS10))*('Port Linkages'!$A$18:$A$157&lt;=$C10))))</f>
        <v>0</v>
      </c>
      <c r="TN10" s="75">
        <f t="array" ref="TN10">INDEX('Port Linkages'!$V$18:$V$157,MATCH(2,1/(('Port Linkages'!$C$18:$C$157=$AQ10)*('Port Linkages'!$D$18:$D$157=IF($AO10="no",$AQ10,$AS10))*('Port Linkages'!$A$18:$A$157&lt;=$C10))))</f>
        <v>0</v>
      </c>
      <c r="TO10" s="75">
        <f t="array" ref="TO10">INDEX('Port Linkages'!$W$18:$W$157,MATCH(2,1/(('Port Linkages'!$C$18:$C$157=$AQ10)*('Port Linkages'!$D$18:$D$157=IF($AO10="no",$AQ10,$AS10))*('Port Linkages'!$A$18:$A$157&lt;=$C10))))</f>
        <v>0</v>
      </c>
      <c r="TP10" s="75">
        <f t="array" ref="TP10">INDEX('Port Linkages'!$X$18:$X$157,MATCH(2,1/(('Port Linkages'!$C$18:$C$157=$AQ10)*('Port Linkages'!$D$18:$D$157=IF($AO10="no",$AQ10,$AS10))*('Port Linkages'!$A$18:$A$157&lt;=$C10))))</f>
        <v>0</v>
      </c>
      <c r="TQ10" s="75">
        <f t="array" ref="TQ10">INDEX('Port Linkages'!$Y$18:$Y$157,MATCH(2,1/(('Port Linkages'!$C$18:$C$157=$AQ10)*('Port Linkages'!$D$18:$D$157=IF($AO10="no",$AQ10,$AS10))*('Port Linkages'!$A$18:$A$157&lt;=$C10))))</f>
        <v>0</v>
      </c>
      <c r="TR10" s="75">
        <f t="array" ref="TR10">INDEX('Port Linkages'!$Z$18:$Z$157,MATCH(2,1/(('Port Linkages'!$C$18:$C$157=$AQ10)*('Port Linkages'!$D$18:$D$157=IF($AO10="no",$AQ10,$AS10))*('Port Linkages'!$A$18:$A$157&lt;=$C10))))</f>
        <v>0</v>
      </c>
      <c r="TS10" s="75">
        <f t="array" ref="TS10">INDEX('Port Linkages'!$AA$18:$AA$157,MATCH(2,1/(('Port Linkages'!$C$18:$C$157=$AQ10)*('Port Linkages'!$D$18:$D$157=IF($AO10="no",$AQ10,$AS10))*('Port Linkages'!$A$18:$A$157&lt;=$C10))))</f>
        <v>0</v>
      </c>
      <c r="TT10" s="75">
        <f t="array" ref="TT10">INDEX('Port Linkages'!$AB$18:$AB$157,MATCH(2,1/(('Port Linkages'!$C$18:$C$157=$AQ10)*('Port Linkages'!$D$18:$D$157=IF($AO10="no",$AQ10,$AS10))*('Port Linkages'!$A$18:$A$157&lt;=$C10))))</f>
        <v>0</v>
      </c>
      <c r="TU10" s="75">
        <f t="array" ref="TU10">INDEX('Port Linkages'!$AC$18:$AC$157,MATCH(2,1/(('Port Linkages'!$C$18:$C$157=$AQ10)*('Port Linkages'!$D$18:$D$157=IF($AO10="no",$AQ10,$AS10))*('Port Linkages'!$A$18:$A$157&lt;=$C10))))</f>
        <v>0</v>
      </c>
      <c r="TV10" s="75">
        <f t="array" ref="TV10">INDEX('Port Linkages'!$AD$18:$AD$157,MATCH(2,1/(('Port Linkages'!$C$18:$C$157=$AQ10)*('Port Linkages'!$D$18:$D$157=IF($AO10="no",$AQ10,$AS10))*('Port Linkages'!$A$18:$A$157&lt;=$C10))))</f>
        <v>0</v>
      </c>
      <c r="TW10" s="75">
        <f t="array" ref="TW10">INDEX('Port Linkages'!$AE$18:$AE$157,MATCH(2,1/(('Port Linkages'!$C$18:$C$157=$AQ10)*('Port Linkages'!$D$18:$D$157=IF($AO10="no",$AQ10,$AS10))*('Port Linkages'!$A$18:$A$157&lt;=$C10))))</f>
        <v>0</v>
      </c>
      <c r="TX10" s="75">
        <f t="array" ref="TX10">INDEX('Port Linkages'!$AF$18:$AF$157,MATCH(2,1/(('Port Linkages'!$C$18:$C$157=$AQ10)*('Port Linkages'!$D$18:$D$157=IF($AO10="no",$AQ10,$AS10))*('Port Linkages'!$A$18:$A$157&lt;=$C10))))</f>
        <v>0</v>
      </c>
      <c r="TY10" s="75">
        <f t="array" ref="TY10">INDEX('Port Linkages'!$AG$18:$AG$157,MATCH(2,1/(('Port Linkages'!$C$18:$C$157=$AQ10)*('Port Linkages'!$D$18:$D$157=IF($AO10="no",$AQ10,$AS10))*('Port Linkages'!$A$18:$A$157&lt;=$C10))))</f>
        <v>0</v>
      </c>
      <c r="TZ10" s="75">
        <f t="array" ref="TZ10">INDEX('Port Linkages'!$AH$18:$AH$157,MATCH(2,1/(('Port Linkages'!$C$18:$C$157=$AQ10)*('Port Linkages'!$D$18:$D$157=IF($AO10="no",$AQ10,$AS10))*('Port Linkages'!$A$18:$A$157&lt;=$C10))))</f>
        <v>0</v>
      </c>
      <c r="UA10" s="75">
        <f t="array" ref="UA10">INDEX('Port Linkages'!$AI$18:$AI$157,MATCH(2,1/(('Port Linkages'!$C$18:$C$157=$AQ10)*('Port Linkages'!$D$18:$D$157=IF($AO10="no",$AQ10,$AS10))*('Port Linkages'!$A$18:$A$157&lt;=$C10))))</f>
        <v>0</v>
      </c>
      <c r="UB10" s="75">
        <f t="array" ref="UB10">INDEX('Port Linkages'!$AJ$18:$AJ$157,MATCH(2,1/(('Port Linkages'!$C$18:$C$157=$AQ10)*('Port Linkages'!$D$18:$D$157=IF($AO10="no",$AQ10,$AS10))*('Port Linkages'!$A$18:$A$157&lt;=$C10))))</f>
        <v>0</v>
      </c>
      <c r="UC10" s="75">
        <f t="array" ref="UC10">INDEX('Port Linkages'!$AK$18:$AK$157,MATCH(2,1/(('Port Linkages'!$C$18:$C$157=$AQ10)*('Port Linkages'!$D$18:$D$157=IF($AO10="no",$AQ10,$AS10))*('Port Linkages'!$A$18:$A$157&lt;=$C10))))</f>
        <v>0</v>
      </c>
      <c r="UD10" s="75">
        <f t="array" ref="UD10">INDEX('Port Linkages'!$AL$18:$AL$157,MATCH(2,1/(('Port Linkages'!$C$18:$C$157=$AQ10)*('Port Linkages'!$D$18:$D$157=IF($AO10="no",$AQ10,$AS10))*('Port Linkages'!$A$18:$A$157&lt;=$C10))))</f>
        <v>0</v>
      </c>
      <c r="UE10" s="75">
        <f t="array" ref="UE10">INDEX('Port Linkages'!$AM$18:$AM$157,MATCH(2,1/(('Port Linkages'!$C$18:$C$157=$AQ10)*('Port Linkages'!$D$18:$D$157=IF($AO10="no",$AQ10,$AS10))*('Port Linkages'!$A$18:$A$157&lt;=$C10))))</f>
        <v>0</v>
      </c>
      <c r="UF10" s="75">
        <f t="array" ref="UF10">INDEX('Port Linkages'!$AN$18:$AN$157,MATCH(2,1/(('Port Linkages'!$C$18:$C$157=$AQ10)*('Port Linkages'!$D$18:$D$157=IF($AO10="no",$AQ10,$AS10))*('Port Linkages'!$A$18:$A$157&lt;=$C10))))</f>
        <v>0</v>
      </c>
      <c r="UG10" s="75">
        <f t="array" ref="UG10">INDEX('Port Linkages'!$AO$18:$AO$157,MATCH(2,1/(('Port Linkages'!$C$18:$C$157=$AQ10)*('Port Linkages'!$D$18:$D$157=IF($AO10="no",$AQ10,$AS10))*('Port Linkages'!$A$18:$A$157&lt;=$C10))))</f>
        <v>0</v>
      </c>
      <c r="UH10" s="75">
        <f t="array" ref="UH10">INDEX('Port Linkages'!$AP$18:$AP$157,MATCH(2,1/(('Port Linkages'!$C$18:$C$157=$AQ10)*('Port Linkages'!$D$18:$D$157=IF($AO10="no",$AQ10,$AS10))*('Port Linkages'!$A$18:$A$157&lt;=$C10))))</f>
        <v>0</v>
      </c>
      <c r="UI10" s="75">
        <f t="array" ref="UI10">INDEX('Port Linkages'!$AQ$18:$AQ$157,MATCH(2,1/(('Port Linkages'!$C$18:$C$157=$AQ10)*('Port Linkages'!$D$18:$D$157=IF($AO10="no",$AQ10,$AS10))*('Port Linkages'!$A$18:$A$157&lt;=$C10))))</f>
        <v>0</v>
      </c>
      <c r="UJ10" s="75">
        <f t="array" ref="UJ10">INDEX('Port Linkages'!$AR$18:$AR$157,MATCH(2,1/(('Port Linkages'!$C$18:$C$157=$AQ10)*('Port Linkages'!$D$18:$D$157=IF($AO10="no",$AQ10,$AS10))*('Port Linkages'!$A$18:$A$157&lt;=$C10))))</f>
        <v>0</v>
      </c>
      <c r="UK10" s="75">
        <f t="array" ref="UK10">INDEX('Port Linkages'!$AS$18:$AS$157,MATCH(2,1/(('Port Linkages'!$C$18:$C$157=$AQ10)*('Port Linkages'!$D$18:$D$157=IF($AO10="no",$AQ10,$AS10))*('Port Linkages'!$A$18:$A$157&lt;=$C10))))</f>
        <v>0</v>
      </c>
      <c r="UL10" s="75">
        <f t="array" ref="UL10">INDEX('Port Linkages'!$AT$18:$AT$157,MATCH(2,1/(('Port Linkages'!$C$18:$C$157=$AQ10)*('Port Linkages'!$D$18:$D$157=IF($AO10="no",$AQ10,$AS10))*('Port Linkages'!$A$18:$A$157&lt;=$C10))))</f>
        <v>0</v>
      </c>
      <c r="UM10" s="75">
        <f t="array" ref="UM10">INDEX('Port Linkages'!$AU$18:$AU$157,MATCH(2,1/(('Port Linkages'!$C$18:$C$157=$AQ10)*('Port Linkages'!$D$18:$D$157=IF($AO10="no",$AQ10,$AS10))*('Port Linkages'!$A$18:$A$157&lt;=$C10))))</f>
        <v>0</v>
      </c>
      <c r="UN10" s="75">
        <f t="array" ref="UN10">INDEX('Port Linkages'!$AV$18:$AV$157,MATCH(2,1/(('Port Linkages'!$C$18:$C$157=$AQ10)*('Port Linkages'!$D$18:$D$157=IF($AO10="no",$AQ10,$AS10))*('Port Linkages'!$A$18:$A$157&lt;=$C10))))</f>
        <v>0</v>
      </c>
      <c r="UO10" s="75">
        <f t="array" ref="UO10">INDEX('Port Linkages'!$AW$18:$AW$157,MATCH(2,1/(('Port Linkages'!$C$18:$C$157=$AQ10)*('Port Linkages'!$D$18:$D$157=IF($AO10="no",$AQ10,$AS10))*('Port Linkages'!$A$18:$A$157&lt;=$C10))))</f>
        <v>0</v>
      </c>
      <c r="UP10" s="75">
        <f t="array" ref="UP10">INDEX('Port Linkages'!$AX$18:$AX$157,MATCH(2,1/(('Port Linkages'!$C$18:$C$157=$AQ10)*('Port Linkages'!$D$18:$D$157=IF($AO10="no",$AQ10,$AS10))*('Port Linkages'!$A$18:$A$157&lt;=$C10))))</f>
        <v>0</v>
      </c>
      <c r="UQ10" s="75">
        <f t="array" ref="UQ10">INDEX('Port Linkages'!$AY$18:$AY$157,MATCH(2,1/(('Port Linkages'!$C$18:$C$157=$AQ10)*('Port Linkages'!$D$18:$D$157=IF($AO10="no",$AQ10,$AS10))*('Port Linkages'!$A$18:$A$157&lt;=$C10))))</f>
        <v>0</v>
      </c>
      <c r="UR10" s="75">
        <f t="array" ref="UR10">INDEX('Port Linkages'!$AZ$18:$AZ$157,MATCH(2,1/(('Port Linkages'!$C$18:$C$157=$AQ10)*('Port Linkages'!$D$18:$D$157=IF($AO10="no",$AQ10,$AS10))*('Port Linkages'!$A$18:$A$157&lt;=$C10))))</f>
        <v>0</v>
      </c>
      <c r="US10" s="75">
        <f t="array" ref="US10">INDEX('Port Linkages'!$BA$18:$BA$157,MATCH(2,1/(('Port Linkages'!$C$18:$C$157=$AQ10)*('Port Linkages'!$D$18:$D$157=IF($AO10="no",$AQ10,$AS10))*('Port Linkages'!$A$18:$A$157&lt;=$C10))))</f>
        <v>0</v>
      </c>
      <c r="UU10" s="25" t="e">
        <f t="array" aca="1" ref="UU10" ca="1">INDEX('Ship Fuel Prices'!$F$5:$F$1004,MATCH(2,1/(('Ship Fuel Prices'!$E$5:$E$1004=_xlfn.IFS(SJ10="Handysize",Main!UP10,SJ10="Supramax",UI10,SJ10="Panamax",UB10,SJ10="NeoPanamax",TU10,SJ10="Suezmax",TN10,SJ10="Capesize",TG10,SJ10="VLOC",SZ10))*('Ship Fuel Prices'!$D$5:$D$1004&lt;=Main!$C10))))</f>
        <v>#N/A</v>
      </c>
      <c r="UV10" s="25" t="e">
        <f t="array" aca="1" ref="UV10" ca="1">INDEX('Ship Fuel Prices'!$G$5:$G$1004,MATCH(2,1/(('Ship Fuel Prices'!$E$5:$E$1004=_xlfn.IFS(SJ10="Handysize",Main!UP10,SJ10="Supramax",UI10,SJ10="Panamax",UB10,SJ10="NeoPanamax",TU10,SJ10="Suezmax",TN10,SJ10="Capesize",TG10,SJ10="VLOC",SZ10))*('Ship Fuel Prices'!$D$5:$D$1004&lt;=Main!$C10))))</f>
        <v>#N/A</v>
      </c>
      <c r="UW10" s="25" t="e">
        <f t="array" aca="1" ref="UW10" ca="1">INDEX('Ship Fuel Prices'!$H$5:$H$1004,MATCH(2,1/(('Ship Fuel Prices'!$E$5:$E$1004=_xlfn.IFS(SJ10="Handysize",Main!UP10,SJ10="Supramax",UI10,SJ10="Panamax",UB10,SJ10="NeoPanamax",TU10,SJ10="Suezmax",TN10,SJ10="Capesize",TG10,SJ10="VLOC",SZ10))*('Ship Fuel Prices'!$D$5:$D$1004&lt;=Main!$C10))))</f>
        <v>#N/A</v>
      </c>
      <c r="UX10" s="25" t="e">
        <f t="array" aca="1" ref="UX10" ca="1">INDEX('Ship Fuel Prices'!$I$5:$I$1004,MATCH(2,1/(('Ship Fuel Prices'!$E$5:$E$1004=_xlfn.IFS(SJ10="Handysize",Main!UP10,SJ10="Supramax",UI10,SJ10="Panamax",UB10,SJ10="NeoPanamax",TU10,SJ10="Suezmax",TN10,SJ10="Capesize",TG10,SJ10="VLOC",SZ10))*('Ship Fuel Prices'!$D$5:$D$1004&lt;=Main!$C10))))</f>
        <v>#N/A</v>
      </c>
      <c r="UY10" s="25" t="e">
        <f t="array" aca="1" ref="UY10" ca="1">INDEX('Ship Fuel Prices'!$J$5:$J$1004,MATCH(2,1/(('Ship Fuel Prices'!$E$5:$E$1004=_xlfn.IFS(SJ10="Handysize",Main!UP10,SJ10="Supramax",UI10,SJ10="Panamax",UB10,SJ10="NeoPanamax",TU10,SJ10="Suezmax",TN10,SJ10="Capesize",TG10,SJ10="VLOC",SZ10))*('Ship Fuel Prices'!$D$5:$D$1004&lt;=Main!$C10))))</f>
        <v>#N/A</v>
      </c>
      <c r="VA10" s="75">
        <f t="array" ref="VA10">INDEX('China n Importing Ports'!$E$20:$E$41,MATCH(2,1/(('China n Importing Ports'!$D$20:$D$41&lt;=$C10)*('China n Importing Ports'!$C$20:$C$41=IF($AO10="No",$AQ10,$AS10)))))</f>
        <v>0</v>
      </c>
      <c r="VB10" s="75">
        <f t="array" ref="VB10">INDEX('China n Importing Ports'!$F$20:$F$41,MATCH(2,1/(('China n Importing Ports'!$D$20:$D$41&lt;=$C10)*('China n Importing Ports'!$C$20:$C$41=IF($AO10="No",$AQ10,$AS10)))))</f>
        <v>0</v>
      </c>
      <c r="VC10" s="75">
        <f t="array" ref="VC10">INDEX('China n Importing Ports'!$G$20:$G$41,MATCH(2,1/(('China n Importing Ports'!$D$20:$D$41&lt;=$C10)*('China n Importing Ports'!$C$20:$C$41=IF($AO10="No",$AQ10,$AS10)))))</f>
        <v>0</v>
      </c>
      <c r="VD10" s="75">
        <f t="array" ref="VD10">INDEX('China n Importing Ports'!$H$20:$H$41,MATCH(2,1/(('China n Importing Ports'!$D$20:$D$41&lt;=$C10)*('China n Importing Ports'!$C$20:$C$41=IF($AO10="No",$AQ10,$AS10)))))</f>
        <v>0</v>
      </c>
      <c r="VE10" s="75">
        <f t="array" ref="VE10">INDEX('China n Importing Ports'!$I$20:$I$41,MATCH(2,1/(('China n Importing Ports'!$D$20:$D$41&lt;=$C10)*('China n Importing Ports'!$C$20:$C$41=IF($AO10="No",$AQ10,$AS10)))))</f>
        <v>0</v>
      </c>
      <c r="VF10" s="75">
        <f t="array" ref="VF10">INDEX('China n Importing Ports'!$J$20:$J$41,MATCH(2,1/(('China n Importing Ports'!$D$20:$D$41&lt;=$C10)*('China n Importing Ports'!$C$20:$C$41=IF($AO10="No",$AQ10,$AS10)))))</f>
        <v>0</v>
      </c>
      <c r="VG10" s="75">
        <f t="array" ref="VG10">INDEX('China n Importing Ports'!$K$20:$K$41,MATCH(2,1/(('China n Importing Ports'!$D$20:$D$41&lt;=$C10)*('China n Importing Ports'!$C$20:$C$41=IF($AO10="No",$AQ10,$AS10)))))</f>
        <v>0</v>
      </c>
      <c r="VH10" s="75">
        <f t="array" ref="VH10">INDEX('China n Importing Ports'!$L$20:$L$41,MATCH(2,1/(('China n Importing Ports'!$D$20:$D$41&lt;=$C10)*('China n Importing Ports'!$C$20:$C$41=IF($AO10="No",$AQ10,$AS10)))))</f>
        <v>0</v>
      </c>
      <c r="VI10" s="75">
        <f t="array" ref="VI10">INDEX('China n Importing Ports'!$M$20:$M$41,MATCH(2,1/(('China n Importing Ports'!$D$20:$D$41&lt;=$C10)*('China n Importing Ports'!$C$20:$C$41=IF($AO10="No",$AQ10,$AS10)))))</f>
        <v>0</v>
      </c>
      <c r="VJ10" s="75">
        <f t="array" ref="VJ10">INDEX('China n Importing Ports'!$N$20:$N$41,MATCH(2,1/(('China n Importing Ports'!$D$20:$D$41&lt;=$C10)*('China n Importing Ports'!$C$20:$C$41=IF($AO10="No",$AQ10,$AS10)))))</f>
        <v>0</v>
      </c>
      <c r="VK10" s="75">
        <f t="array" ref="VK10">INDEX('China n Importing Ports'!$O$20:$O$41,MATCH(2,1/(('China n Importing Ports'!$D$20:$D$41&lt;=$C10)*('China n Importing Ports'!$C$20:$C$41=IF($AO10="No",$AQ10,$AS10)))))</f>
        <v>0</v>
      </c>
      <c r="VL10" s="136">
        <f t="array" ref="VL10">INDEX('China n Importing Ports'!$P$20:$P$41,MATCH(2,1/(('China n Importing Ports'!$D$20:$D$41&lt;=$C10)*('China n Importing Ports'!$C$20:$C$41=IF($AO10="No",$AQ10,$AS10)))))</f>
        <v>0</v>
      </c>
      <c r="VM10" s="136">
        <f t="array" ref="VM10">INDEX('China n Importing Ports'!$Q$20:$Q$41,MATCH(2,1/(('China n Importing Ports'!$D$20:$D$41&lt;=$C10)*('China n Importing Ports'!$C$20:$C$41=IF($AO10="No",$AQ10,$AS10)))))</f>
        <v>0</v>
      </c>
      <c r="VN10" s="136">
        <f t="array" ref="VN10">INDEX('China n Importing Ports'!$R$20:$R$41,MATCH(2,1/(('China n Importing Ports'!$D$20:$D$41&lt;=$C10)*('China n Importing Ports'!$C$20:$C$41=IF($AO10="No",$AQ10,$AS10)))))</f>
        <v>0</v>
      </c>
      <c r="VO10" s="136">
        <f t="array" ref="VO10">INDEX('China n Importing Ports'!$S$20:$S$41,MATCH(2,1/(('China n Importing Ports'!$D$20:$D$41&lt;=$C10)*('China n Importing Ports'!$C$20:$C$41=IF($AO10="No",$AQ10,$AS10)))))</f>
        <v>0</v>
      </c>
      <c r="VP10" s="136">
        <f t="array" ref="VP10">INDEX('China n Importing Ports'!$T$20:$T$41,MATCH(2,1/(('China n Importing Ports'!$D$20:$D$41&lt;=$C10)*('China n Importing Ports'!$C$20:$C$41=IF($AO10="No",$AQ10,$AS10)))))</f>
        <v>0</v>
      </c>
      <c r="VQ10" s="136">
        <f t="array" ref="VQ10">INDEX('China n Importing Ports'!$U$20:$U$41,MATCH(2,1/(('China n Importing Ports'!$D$20:$D$41&lt;=$C10)*('China n Importing Ports'!$C$20:$C$41=IF($AO10="No",$AQ10,$AS10)))))</f>
        <v>0</v>
      </c>
      <c r="VR10" s="136">
        <f t="array" ref="VR10">INDEX('China n Importing Ports'!$V$20:$V$41,MATCH(2,1/(('China n Importing Ports'!$D$20:$D$41&lt;=$C10)*('China n Importing Ports'!$C$20:$C$41=IF($AO10="No",$AQ10,$AS10)))))</f>
        <v>0</v>
      </c>
      <c r="VS10" s="136">
        <f t="array" ref="VS10">INDEX('China n Importing Ports'!$W$20:$W$41,MATCH(2,1/(('China n Importing Ports'!$D$20:$D$41&lt;=$C10)*('China n Importing Ports'!$C$20:$C$41=IF($AO10="No",$AQ10,$AS10)))))</f>
        <v>0</v>
      </c>
      <c r="VT10" s="136">
        <f t="array" ref="VT10">INDEX('China n Importing Ports'!$X$20:$X$41,MATCH(2,1/(('China n Importing Ports'!$D$20:$D$41&lt;=$C10)*('China n Importing Ports'!$C$20:$C$41=IF($AO10="No",$AQ10,$AS10)))))</f>
        <v>0</v>
      </c>
      <c r="VU10" s="136">
        <f t="array" ref="VU10">INDEX('China n Importing Ports'!$Y$20:$Y$41,MATCH(2,1/(('China n Importing Ports'!$D$20:$D$41&lt;=$C10)*('China n Importing Ports'!$C$20:$C$41=IF($AO10="No",$AQ10,$AS10)))))</f>
        <v>0</v>
      </c>
      <c r="VV10" s="136">
        <f t="array" ref="VV10">INDEX('China n Importing Ports'!$Z$20:$Z$41,MATCH(2,1/(('China n Importing Ports'!$D$20:$D$41&lt;=$C10)*('China n Importing Ports'!$C$20:$C$41=IF($AO10="No",$AQ10,$AS10)))))</f>
        <v>0</v>
      </c>
      <c r="VW10" s="136">
        <f t="array" ref="VW10">INDEX('China n Importing Ports'!$AA$20:$AA$41,MATCH(2,1/(('China n Importing Ports'!$D$20:$D$41&lt;=$C10)*('China n Importing Ports'!$C$20:$C$41=IF($AO10="No",$AQ10,$AS10)))))</f>
        <v>0</v>
      </c>
      <c r="VY10" s="75" t="e">
        <f t="array" aca="1" ref="VY10" ca="1">INDEX(Canals!$G$24:$G$29,MATCH(2,1/((Canals!$F$24:$F$29&lt;=$C10)*(Canals!$G$24:$G$29=_xlfn.IFS(SJ10="Handysize",US10,SJ10="Supramax",UL10,SJ10="Panamax",UE10,SJ10="NeoPanamax",TX10,SJ10="Suezmax",TQ10,SJ10="Capesize",TJ10,SJ10="VLOC",TC10)))))</f>
        <v>#N/A</v>
      </c>
      <c r="VZ10" s="75" t="e">
        <f t="array" aca="1" ref="VZ10" ca="1">INDEX(Canals!$H$24:$H$29,MATCH(2,1/((Canals!$F$24:$F$29&lt;=$C10)*(Canals!$G$24:$G$29=_xlfn.IFS(SJ10="Handysize",US10,SJ10="Supramax",UL10,SJ10="Panamax",UE10,SJ10="NeoPanamax",TX10,SJ10="Suezmax",TQ10,SJ10="Capesize",TJ10,SJ10="VLOC",TC10)))))</f>
        <v>#N/A</v>
      </c>
      <c r="WA10" s="75" t="e">
        <f t="array" aca="1" ref="WA10" ca="1">INDEX(Canals!$I$24:$I$29,MATCH(2,1/((Canals!$F$24:$F$29&lt;=$C10)*(Canals!$G$24:$G$29=_xlfn.IFS(SJ10="Handysize",US10,SJ10="Supramax",UL10,SJ10="Panamax",UE10,SJ10="NeoPanamax",TX10,SJ10="Suezmax",TQ10,SJ10="Capesize",TJ10,SJ10="VLOC",TC10)))))</f>
        <v>#N/A</v>
      </c>
      <c r="WB10" s="75" t="e">
        <f t="array" aca="1" ref="WB10" ca="1">INDEX(Canals!$J$24:$J$29,MATCH(2,1/((Canals!$F$24:$F$29&lt;=$C10)*(Canals!$G$24:$G$29=_xlfn.IFS(SJ10="Handysize",Main!US10,SJ10="Supramax",UL10,SJ10="Panamax",UE10,SJ10="NeoPanamax",TX10,SJ10="Suezmax",TQ10,SJ10="Capesize",TJ10,SJ10="VLOC",TC10)))))</f>
        <v>#N/A</v>
      </c>
      <c r="WC10" s="75" t="e">
        <f t="array" aca="1" ref="WC10" ca="1">INDEX(Canals!$K$24:$K$29,MATCH(2,1/((Canals!$F$24:$F$29&lt;=$C10)*(Canals!$G$24:$G$29=_xlfn.IFS(SJ10="Handysize",Main!US10,SJ10="Supramax",UL10,SJ10="Panamax",UE10,SJ10="NeoPanamax",TX10,SJ10="Suezmax",TQ10,SJ10="Capesize",TJ10,SJ10="VLOC",TC10)))))</f>
        <v>#N/A</v>
      </c>
      <c r="WD10" s="75" t="e">
        <f t="array" aca="1" ref="WD10" ca="1">INDEX(Canals!$L$24:$L$29,MATCH(2,1/((Canals!$F$24:$F$29&lt;=$C10)*(Canals!$G$24:$G$29=_xlfn.IFS(SJ10="Handysize",Main!US10,SJ10="Supramax",UL10,SJ10="Panamax",UE10,SJ10="NeoPanamax",TX10,SJ10="Suezmax",TQ10,SJ10="Capesize",TJ10,SJ10="VLOC",TC10)))))</f>
        <v>#N/A</v>
      </c>
      <c r="WE10" s="75" t="e">
        <f t="array" aca="1" ref="WE10" ca="1">INDEX(Canals!$M$24:$M$29,MATCH(2,1/((Canals!$F$24:$F$29&lt;=$C10)*(Canals!$G$24:$G$29=_xlfn.IFS(SJ10="Handysize",Main!US10,SJ10="Supramax",UL10,SJ10="Panamax",UE10,SJ10="NeoPanamax",TX10,SJ10="Suezmax",TQ10,SJ10="Capesize",TJ10,SJ10="VLOC",TC10)))))</f>
        <v>#N/A</v>
      </c>
      <c r="WF10" s="75" t="e">
        <f t="array" aca="1" ref="WF10" ca="1">INDEX(Canals!$N$24:$N$29,MATCH(2,1/((Canals!$F$24:$F$29&lt;=$C10)*(Canals!$G$24:$G$29=_xlfn.IFS(SJ10="Handysize",Main!US10,SJ10="Supramax",UL10,SJ10="Panamax",UE10,SJ10="NeoPanamax",TX10,SJ10="Suezmax",TQ10,SJ10="Capesize",TJ10,SJ10="VLOC",TC10)))))</f>
        <v>#N/A</v>
      </c>
      <c r="WG10" s="75" t="e">
        <f t="array" aca="1" ref="WG10" ca="1">INDEX(Canals!$O$24:$O$29,MATCH(2,1/((Canals!$F$24:$F$29&lt;=$C10)*(Canals!$G$24:$G$29=_xlfn.IFS(SJ10="Handysize",Main!US10,SJ10="Supramax",UL10,SJ10="Panamax",UE10,SJ10="NeoPanamax",TX10,SJ10="Suezmax",TQ10,SJ10="Capesize",TJ10,SJ10="VLOC",TC10)))))</f>
        <v>#N/A</v>
      </c>
      <c r="WH10" s="75" t="e">
        <f t="array" aca="1" ref="WH10" ca="1">INDEX(Canals!$P$24:$P$29,MATCH(2,1/((Canals!$F$24:$F$29&lt;=$C10)*(Canals!$G$24:$G$29=_xlfn.IFS(SJ10="Handysize",Main!US10,SJ10="Supramax",UL10,SJ10="Panamax",UE10,SJ10="NeoPanamax",TX10,SJ10="Suezmax",TQ10,SJ10="Capesize",TJ10,SJ10="VLOC",TC10)))))</f>
        <v>#N/A</v>
      </c>
      <c r="WI10" s="75" t="e">
        <f t="array" aca="1" ref="WI10" ca="1">INDEX(Canals!$Q$24:$Q$29,MATCH(2,1/((Canals!$F$24:$F$29&lt;=$C10)*(Canals!$G$24:$G$29=_xlfn.IFS(SJ10="Handysize",Main!US10,SJ10="Supramax",UL10,SJ10="Panamax",UE10,SJ10="NeoPanamax",TX10,SJ10="Suezmax",TQ10,SJ10="Capesize",TJ10,SJ10="VLOC",TC10)))))</f>
        <v>#N/A</v>
      </c>
      <c r="WJ10" s="75" t="e">
        <f t="array" aca="1" ref="WJ10" ca="1">INDEX(Canals!$R$24:$R$29,MATCH(2,1/((Canals!$F$24:$F$29&lt;=$C10)*(Canals!$G$24:$G$29=_xlfn.IFS(SJ10="Handysize",Main!US10,SJ10="Supramax",UL10,SJ10="Panamax",UE10,SJ10="NeoPanamax",TX10,SJ10="Suezmax",TQ10,SJ10="Capesize",TJ10,SJ10="VLOC",TC10)))))</f>
        <v>#N/A</v>
      </c>
      <c r="WK10" s="136" t="e">
        <f t="array" aca="1" ref="WK10" ca="1">INDEX(Canals!$S$24:$S$29,MATCH(2,1/((Canals!$F$24:$F$29&lt;=$C10)*(Canals!$G$24:$G$29=_xlfn.IFS(SJ10="Handysize",Main!US10,SJ10="Supramax",UL10,SJ10="Panamax",UE10,SJ10="NeoPanamax",TX10,SJ10="Suezmax",TQ10,SJ10="Capesize",TJ10,SJ10="VLOC",TC10)))))</f>
        <v>#N/A</v>
      </c>
      <c r="WL10" s="136" t="e">
        <f t="array" aca="1" ref="WL10" ca="1">INDEX(Canals!$T$24:$T$29,MATCH(2,1/((Canals!$F$24:$F$29&lt;=$C10)*(Canals!$G$24:$G$29=_xlfn.IFS(SJ10="Handysize",Main!US10,SJ10="Supramax",UL10,SJ10="Panamax",UE10,SJ10="NeoPanamax",TX10,SJ10="Suezmax",TQ10,SJ10="Capesize",TJ10,SJ10="VLOC",TC10)))))</f>
        <v>#N/A</v>
      </c>
      <c r="WM10" s="136" t="e">
        <f t="array" aca="1" ref="WM10" ca="1">INDEX(Canals!$U$24:$U$29,MATCH(2,1/((Canals!$F$24:$F$29&lt;=$C10)*(Canals!$G$24:$G$29=_xlfn.IFS(SJ10="Handysize",Main!US10,SJ10="Supramax",UL10,SJ10="Panamax",UE10,SJ10="NeoPanamax",TX10,SJ10="Suezmax",TQ10,SJ10="Capesize",TJ10,SJ10="VLOC",TC10)))))</f>
        <v>#N/A</v>
      </c>
      <c r="WN10" s="136" t="e">
        <f t="array" aca="1" ref="WN10" ca="1">INDEX(Canals!$V$24:$V$29,MATCH(2,1/((Canals!$F$24:$F$29&lt;=$C10)*(Canals!$G$24:$G$29=_xlfn.IFS(SJ10="Handysize",Main!US10,SJ10="Supramax",UL10,SJ10="Panamax",UE10,SJ10="NeoPanamax",TX10,SJ10="Suezmax",TQ10,SJ10="Capesize",TJ10,SJ10="VLOC",TC10)))))</f>
        <v>#N/A</v>
      </c>
      <c r="WO10" s="136" t="e">
        <f t="array" aca="1" ref="WO10" ca="1">INDEX(Canals!$W$24:$W$29,MATCH(2,1/((Canals!$F$24:$F$29&lt;=$C10)*(Canals!$G$24:$G$29=_xlfn.IFS(SJ10="Handysize",Main!US10,SJ10="Supramax",UL10,SJ10="Panamax",UE10,SJ10="NeoPanamax",TX10,SJ10="Suezmax",TQ10,SJ10="Capesize",TJ10,SJ10="VLOC",TC10)))))</f>
        <v>#N/A</v>
      </c>
      <c r="WP10" s="136" t="e">
        <f t="array" aca="1" ref="WP10" ca="1">INDEX(Canals!$X$24:$X$29,MATCH(2,1/((Canals!$F$24:$F$29&lt;=$C10)*(Canals!$G$24:$G$29=_xlfn.IFS(SJ10="Handysize",Main!US10,SJ10="Supramax",UL10,SJ10="Panamax",UE10,SJ10="NeoPanamax",TX10,SJ10="Suezmax",TQ10,SJ10="Capesize",TJ10,SJ10="VLOC",TC10)))))</f>
        <v>#N/A</v>
      </c>
      <c r="WQ10" s="136" t="e">
        <f t="array" aca="1" ref="WQ10" ca="1">INDEX(Canals!$Y$24:$Y$29,MATCH(2,1/((Canals!$F$24:$F$29&lt;=$C10)*(Canals!$G$24:$G$29=_xlfn.IFS(SJ10="Handysize",Main!US10,SJ10="Supramax",UL10,SJ10="Panamax",UE10,SJ10="NeoPanamax",TX10,SJ10="Suezmax",TQ10,SJ10="Capesize",TJ10,SJ10="VLOC",TC10)))))</f>
        <v>#N/A</v>
      </c>
      <c r="WR10" s="136" t="e">
        <f t="array" aca="1" ref="WR10" ca="1">INDEX(Canals!$Z$24:$Z$29,MATCH(2,1/((Canals!$F$24:$F$29&lt;=$C10)*(Canals!$G$24:$G$29=_xlfn.IFS(SJ10="Handysize",Main!US10,SJ10="Supramax",UL10,SJ10="Panamax",UE10,SJ10="NeoPanamax",TX10,SJ10="Suezmax",TQ10,SJ10="Capesize",TJ10,SJ10="VLOC",TC10)))))</f>
        <v>#N/A</v>
      </c>
      <c r="WS10" s="136" t="e">
        <f t="array" aca="1" ref="WS10" ca="1">INDEX(Canals!$AA$24:$AA$29,MATCH(2,1/((Canals!$F$24:$F$29&lt;=$C10)*(Canals!$G$24:$G$29=_xlfn.IFS(SJ10="Handysize",Main!US10,SJ10="Supramax",UL10,SJ10="Panamax",UE10,SJ10="NeoPanamax",TX10,SJ10="Suezmax",TQ10,SJ10="Capesize",TJ10,SJ10="VLOC",TC10)))))</f>
        <v>#N/A</v>
      </c>
      <c r="WT10" s="136" t="e">
        <f t="array" aca="1" ref="WT10" ca="1">INDEX(Canals!$AB$24:$AB$29,MATCH(2,1/((Canals!$F$24:$F$29&lt;=$C10)*(Canals!$G$24:$G$29=_xlfn.IFS(SJ10="Handysize",Main!US10,SJ10="Supramax",UL10,SJ10="Panamax",UE10,SJ10="NeoPanamax",TX10,SJ10="Suezmax",TQ10,SJ10="Capesize",TJ10,SJ10="VLOC",TC10)))))</f>
        <v>#N/A</v>
      </c>
      <c r="WU10" s="75" t="e">
        <f t="array" aca="1" ref="WU10" ca="1">INDEX(Canals!$AC$24:$AC$29,MATCH(2,1/((Canals!$F$24:$F$29&lt;=$C10)*(Canals!$G$24:$G$29=_xlfn.IFS(SJ10="Handysize",Main!US10,SJ10="Supramax",UL10,SJ10="Panamax",UE10,SJ10="NeoPanamax",TX10,SJ10="Suezmax",TQ10,SJ10="Capesize",TJ10,SJ10="VLOC",TC10)))))</f>
        <v>#N/A</v>
      </c>
      <c r="WV10" s="75" t="e">
        <f t="array" aca="1" ref="WV10" ca="1">INDEX(Canals!$AD$24:$AD$29,MATCH(2,1/((Canals!$F$24:$F$29&lt;=$C10)*(Canals!$G$24:$G$29=_xlfn.IFS(SJ10="Handysize",Main!US10,SJ10="Supramax",UL10,SJ10="Panamax",UE10,SJ10="NeoPanamax",TX10,SJ10="Suezmax",TQ10,SJ10="Capesize",TJ10,SJ10="VLOC",TC10)))))</f>
        <v>#N/A</v>
      </c>
      <c r="WW10" s="75" t="e">
        <f t="array" aca="1" ref="WW10" ca="1">INDEX(Canals!$AE$24:$AE$29,MATCH(2,1/((Canals!$F$24:$F$29&lt;=$C10)*(Canals!$G$24:$G$29=_xlfn.IFS(SJ10="Handysize",Main!US10,SJ10="Supramax",UL10,SJ10="Panamax",UE10,SJ10="NeoPanamax",TX10,SJ10="Suezmax",TQ10,SJ10="Capesize",TJ10,SJ10="VLOC",TC10)))))</f>
        <v>#N/A</v>
      </c>
      <c r="WX10" s="75" t="e">
        <f t="array" aca="1" ref="WX10" ca="1">INDEX(Canals!$AF$24:$AF$29,MATCH(2,1/((Canals!$F$24:$F$29&lt;=$C10)*(Canals!$G$24:$G$29=_xlfn.IFS(SJ10="Handysize",Main!US10,SJ10="Supramax",UL10,SJ10="Panamax",UE10,SJ10="NeoPanamax",TX10,SJ10="Suezmax",TQ10,SJ10="Capesize",TJ10,SJ10="VLOC",TC10)))))</f>
        <v>#N/A</v>
      </c>
      <c r="WY10" s="75" t="e">
        <f t="array" aca="1" ref="WY10" ca="1">INDEX(Canals!$AG$24:$AG$29,MATCH(2,1/((Canals!$F$24:$F$29&lt;=$C10)*(Canals!$G$24:$G$29=_xlfn.IFS(SJ10="Handysize",Main!US10,SJ10="Supramax",UL10,SJ10="Panamax",UE10,SJ10="NeoPanamax",TX10,SJ10="Suezmax",TQ10,SJ10="Capesize",TJ10,SJ10="VLOC",TC10)))))</f>
        <v>#N/A</v>
      </c>
      <c r="WZ10" s="75" t="e">
        <f t="array" aca="1" ref="WZ10" ca="1">INDEX(Canals!$AH$24:$AH$29,MATCH(2,1/((Canals!$F$24:$F$29&lt;=$C10)*(Canals!$G$24:$G$29=_xlfn.IFS(SJ10="Handysize",Main!US10,SJ10="Supramax",UL10,SJ10="Panamax",UE10,SJ10="NeoPanamax",TX10,SJ10="Suezmax",TQ10,SJ10="Capesize",TJ10,SJ10="VLOC",TC10)))))</f>
        <v>#N/A</v>
      </c>
      <c r="XA10" s="75" t="e">
        <f t="array" aca="1" ref="XA10" ca="1">INDEX(Canals!$AI$24:$AI$29,MATCH(2,1/((Canals!$F$24:$F$29&lt;=$C10)*(Canals!$G$24:$G$29=_xlfn.IFS(SJ10="Handysize",Main!US10,SJ10="Supramax",UL10,SJ10="Panamax",UE10,SJ10="NeoPanamax",TX10,SJ10="Suezmax",TQ10,SJ10="Capesize",TJ10,SJ10="VLOC",TC10)))))</f>
        <v>#N/A</v>
      </c>
      <c r="XB10" s="75" t="e">
        <f t="array" aca="1" ref="XB10" ca="1">INDEX(Canals!$AJ$24:$AJ$29,MATCH(2,1/((Canals!$F$24:$F$29&lt;=$C10)*(Canals!$G$24:$G$29=_xlfn.IFS(SJ10="Handysize",Main!US10,SJ10="Supramax",UL10,SJ10="Panamax",UE10,SJ10="NeoPanamax",TX10,SJ10="Suezmax",TQ10,SJ10="Capesize",TJ10,SJ10="VLOC",TC10)))))</f>
        <v>#N/A</v>
      </c>
      <c r="XC10" s="75" t="e">
        <f t="array" aca="1" ref="XC10" ca="1">INDEX(Canals!$AK$24:$AK$29,MATCH(2,1/((Canals!$F$24:$F$29&lt;=$C10)*(Canals!$G$24:$G$29=_xlfn.IFS(SJ10="Handysize",Main!US10,SJ10="Supramax",UL10,SJ10="Panamax",UE10,SJ10="NeoPanamax",TX10,SJ10="Suezmax",TQ10,SJ10="Capesize",TJ10,SJ10="VLOC",TC10)))))</f>
        <v>#N/A</v>
      </c>
      <c r="XD10" s="136" t="e">
        <f t="array" aca="1" ref="XD10" ca="1">INDEX(Canals!$AL$24:$AL$29,MATCH(2,1/((Canals!$F$24:$F$29&lt;=$C10)*(Canals!$G$24:$G$29=_xlfn.IFS(SJ10="Handysize",Main!US10,SJ10="Supramax",UL10,SJ10="Panamax",UE10,SJ10="NeoPanamax",TX10,SJ10="Suezmax",TQ10,SJ10="Capesize",TJ10,SJ10="VLOC",TC10)))))</f>
        <v>#N/A</v>
      </c>
      <c r="XE10" s="136" t="e">
        <f t="array" aca="1" ref="XE10" ca="1">INDEX(Canals!$AM$24:$AM$29,MATCH(2,1/((Canals!$F$24:$F$29&lt;=$C10)*(Canals!$G$24:$G$29=_xlfn.IFS(SJ10="Handysize",Main!US10,SJ10="Supramax",UL10,SJ10="Panamax",UE10,SJ10="NeoPanamax",TX10,SJ10="Suezmax",TQ10,SJ10="Capesize",TJ10,SJ10="VLOC",TC10)))))</f>
        <v>#N/A</v>
      </c>
      <c r="XF10" s="136" t="e">
        <f t="array" aca="1" ref="XF10" ca="1">INDEX(Canals!$AN$24:$AN$29,MATCH(2,1/((Canals!$F$24:$F$29&lt;=$C10)*(Canals!$G$24:$G$29=_xlfn.IFS(SJ10="Handysize",Main!US10,SJ10="Supramax",UL10,SJ10="Panamax",UE10,SJ10="NeoPanamax",TX10,SJ10="Suezmax",TQ10,SJ10="Capesize",TJ10,SJ10="VLOC",TC10)))))</f>
        <v>#N/A</v>
      </c>
      <c r="XG10" s="136" t="e">
        <f t="array" aca="1" ref="XG10" ca="1">INDEX(Canals!$AO$24:$AO$29,MATCH(2,1/((Canals!$F$24:$F$29&lt;=$C10)*(Canals!$G$24:$G$29=_xlfn.IFS(SJ10="Handysize",Main!US10,SJ10="Supramax",UL10,SJ10="Panamax",UE10,SJ10="NeoPanamax",TX10,SJ10="Suezmax",TQ10,SJ10="Capesize",TJ10,SJ10="VLOC",TC10)))))</f>
        <v>#N/A</v>
      </c>
      <c r="XH10" s="136" t="e">
        <f t="array" aca="1" ref="XH10" ca="1">INDEX(Canals!$AP$24:$AP$29,MATCH(2,1/((Canals!$F$24:$F$29&lt;=$C10)*(Canals!$G$24:$G$29=_xlfn.IFS(SJ10="Handysize",Main!US10,SJ10="Supramax",UL10,SJ10="Panamax",UE10,SJ10="NeoPanamax",TX10,SJ10="Suezmax",TQ10,SJ10="Capesize",TJ10,SJ10="VLOC",TC10)))))</f>
        <v>#N/A</v>
      </c>
      <c r="XI10" s="136" t="e">
        <f t="array" aca="1" ref="XI10" ca="1">INDEX(Canals!$AQ$24:$AQ$29,MATCH(2,1/((Canals!$F$24:$F$29&lt;=$C10)*(Canals!$G$24:$G$29=_xlfn.IFS(SJ10="Handysize",Main!US10,SJ10="Supramax",UL10,SJ10="Panamax",UE10,SJ10="NeoPanamax",TX10,SJ10="Suezmax",TQ10,SJ10="Capesize",TJ10,SJ10="VLOC",TC10)))))</f>
        <v>#N/A</v>
      </c>
      <c r="XJ10" s="136" t="e">
        <f t="array" aca="1" ref="XJ10" ca="1">INDEX(Canals!$AR$24:$AR$29,MATCH(2,1/((Canals!$F$24:$F$29&lt;=$C10)*(Canals!$G$24:$G$29=_xlfn.IFS(SJ10="Handysize",Main!US10,SJ10="Supramax",UL10,SJ10="Panamax",UE10,SJ10="NeoPanamax",TX10,SJ10="Suezmax",TQ10,SJ10="Capesize",TJ10,SJ10="VLOC",TC10)))))</f>
        <v>#N/A</v>
      </c>
      <c r="XK10" s="136" t="e">
        <f t="array" aca="1" ref="XK10" ca="1">INDEX(Canals!$AS$24:$AS$29,MATCH(2,1/((Canals!$F$24:$F$29&lt;=$C10)*(Canals!$G$24:$G$29=_xlfn.IFS(SJ10="Handysize",Main!US10,SJ10="Supramax",UL10,SJ10="Panamax",UE10,SJ10="NeoPanamax",TX10,SJ10="Suezmax",TQ10,SJ10="Capesize",TJ10,SJ10="VLOC",TC10)))))</f>
        <v>#N/A</v>
      </c>
      <c r="XL10" s="136" t="e">
        <f t="array" aca="1" ref="XL10" ca="1">INDEX(Canals!$AT$24:$AT$29,MATCH(2,1/((Canals!$F$24:$F$29&lt;=$C10)*(Canals!$G$24:$G$29=_xlfn.IFS(SJ10="Handysize",Main!US10,SJ10="Supramax",UL10,SJ10="Panamax",UE10,SJ10="NeoPanamax",TX10,SJ10="Suezmax",TQ10,SJ10="Capesize",TJ10,SJ10="VLOC",TC10)))))</f>
        <v>#N/A</v>
      </c>
      <c r="XM10" s="136" t="e">
        <f t="array" aca="1" ref="XM10" ca="1">INDEX(Canals!$AU$24:$AU$29,MATCH(2,1/((Canals!$F$24:$F$29&lt;=$C10)*(Canals!$G$24:$G$29=_xlfn.IFS(SJ10="Handysize",Main!US10,SJ10="Supramax",UL10,SJ10="Panamax",UE10,SJ10="NeoPanamax",TX10,SJ10="Suezmax",TQ10,SJ10="Capesize",TJ10,SJ10="VLOC",TC10)))))</f>
        <v>#N/A</v>
      </c>
      <c r="XN10" s="136" t="e">
        <f t="array" aca="1" ref="XN10" ca="1">INDEX(Canals!$AV$24:$AV$29,MATCH(2,1/((Canals!$F$24:$F$29&lt;=$C10)*(Canals!$G$24:$G$29=_xlfn.IFS(SJ10="Handysize",Main!US10,SJ10="Supramax",UL10,SJ10="Panamax",UE10,SJ10="NeoPanamax",TX10,SJ10="Suezmax",TQ10,SJ10="Capesize",TJ10,SJ10="VLOC",TC10)))))</f>
        <v>#N/A</v>
      </c>
      <c r="XP10" s="75" t="e">
        <f t="array" aca="1" ref="XP10" ca="1">_xlfn.IFS(WA10="DWT",SH10,WA10="NRT",SL10,WA10="GRT",SM10,WA10=0,0)</f>
        <v>#NAME?</v>
      </c>
      <c r="XQ10" s="279" t="e">
        <f t="shared" ref="XQ10:XQ23" ca="1" si="125">IF(XP10&gt;WB10,WB10,XP10)</f>
        <v>#NAME?</v>
      </c>
      <c r="XR10" s="280" t="e">
        <f t="shared" ref="XR10:XR23" ca="1" si="126">IF(XP10&gt;SUM(WB10:WC10),WC10,XP10-SUM(XQ10:XQ10))</f>
        <v>#NAME?</v>
      </c>
      <c r="XS10" s="280" t="e">
        <f t="shared" ref="XS10:XS23" ca="1" si="127">IF(XP10&gt;SUM(WB10:WD10),WD10,XP10-SUM(XQ10:XR10))</f>
        <v>#NAME?</v>
      </c>
      <c r="XT10" s="280" t="e">
        <f t="shared" ref="XT10:XT23" ca="1" si="128">IF(XP10&gt;SUM(WB10:WE10),WE10,XP10-SUM(XQ10:XS10))</f>
        <v>#NAME?</v>
      </c>
      <c r="XU10" s="280" t="e">
        <f t="shared" ref="XU10:XU23" ca="1" si="129">IF(XP10&gt;SUM(WB10:WF10),WF10,XP10-SUM(XQ10:XT10))</f>
        <v>#NAME?</v>
      </c>
      <c r="XV10" s="280" t="e">
        <f t="shared" ref="XV10:XV23" ca="1" si="130">IF(XP10&gt;SUM(WB10:WG10),WG10,XP10-SUM(XQ10:XU10))</f>
        <v>#NAME?</v>
      </c>
      <c r="XW10" s="280" t="e">
        <f t="shared" ref="XW10:XW23" ca="1" si="131">IF(XP10&gt;SUM(WB10:WH10),WH10,XP10-SUM(XQ10:XV10))</f>
        <v>#NAME?</v>
      </c>
      <c r="XX10" s="280" t="e">
        <f t="shared" ref="XX10:XX23" ca="1" si="132">IF(XP10&gt;SUM(WB10:WI10),WI10,XP10-SUM(XQ10:XW10))</f>
        <v>#NAME?</v>
      </c>
      <c r="XY10" s="280" t="e">
        <f t="shared" ref="XY10:XY23" ca="1" si="133">IF(XP10&gt;SUM(WB10:WJ10),WJ10,XP10-SUM(XQ10:XX10))</f>
        <v>#NAME?</v>
      </c>
      <c r="XZ10" s="75">
        <f t="shared" ref="XZ10:XZ23" si="134">SH10*$JN10</f>
        <v>0</v>
      </c>
      <c r="YA10" s="279" t="e">
        <f t="shared" ref="YA10:YA23" ca="1" si="135">IF(XZ10&gt;WU10,WU10,XZ10)</f>
        <v>#N/A</v>
      </c>
      <c r="YB10" s="280" t="e">
        <f t="shared" ref="YB10:YB23" ca="1" si="136">IF(XZ10&gt;SUM(WU10:WV10),WV10,XZ10-SUM(YA10:YA10))</f>
        <v>#N/A</v>
      </c>
      <c r="YC10" s="280" t="e">
        <f t="shared" ref="YC10:YC23" ca="1" si="137">IF(XZ10&gt;SUM(WU10:WW10),WW10,XZ10-SUM(YA10:YB10))</f>
        <v>#N/A</v>
      </c>
      <c r="YD10" s="280" t="e">
        <f t="shared" ref="YD10:YD23" ca="1" si="138">IF(XZ10&gt;SUM(WU10:WX10),WX10,XZ10-SUM(YA10:YC10))</f>
        <v>#N/A</v>
      </c>
      <c r="YE10" s="280" t="e">
        <f t="shared" ref="YE10:YE23" ca="1" si="139">IF(XZ10&gt;SUM(WU10:WY10),WY10,XZ10-SUM(YA10:YD10))</f>
        <v>#N/A</v>
      </c>
      <c r="YF10" s="280" t="e">
        <f t="shared" ref="YF10:YF23" ca="1" si="140">IF(XZ10&gt;SUM(WU10:WZ10),WZ10,XZ10-SUM(YA10:YE10))</f>
        <v>#N/A</v>
      </c>
      <c r="YG10" s="280" t="e">
        <f t="shared" ref="YG10:YG23" ca="1" si="141">IF(XZ10&gt;SUM(WU10:XA10),XA10,XZ10-SUM(YA10:YF10))</f>
        <v>#N/A</v>
      </c>
      <c r="YH10" s="280" t="e">
        <f t="shared" ref="YH10:YH23" ca="1" si="142">IF(XZ10&gt;SUM(WU10:XB10),XB10,XZ10-SUM(YA10:YG10))</f>
        <v>#N/A</v>
      </c>
      <c r="YI10" s="280" t="e">
        <f t="shared" ref="YI10:YI23" ca="1" si="143">IF(XZ10&gt;SUM(WU10:XC10),XC10,XZ10-SUM(YA10:YH10))</f>
        <v>#N/A</v>
      </c>
      <c r="YK10" s="75" t="e">
        <f t="array" aca="1" ref="YK10" ca="1">_xlfn.IFS(SJ10="Handysize",Main!UM10,SJ10="Supramax",UF10,SJ10="Panamax",TY10,SJ10="NeoPanamax",TR10,SJ10="Suezmax",TK10,SJ10="Capesize",TD10,SJ10="VLOC",SW10)*$JI10</f>
        <v>#NAME?</v>
      </c>
      <c r="YL10" s="274" t="e">
        <f t="array" aca="1" ref="YL10" ca="1">_xlfn.IFS(SJ10="Handysize",Main!UN10,SJ10="Supramax",UG10,SJ10="Panamax",TZ10,SJ10="NeoPanamax",TS10,SJ10="Suezmax",TL10,SJ10="Capesize",TE10,SJ10="VLOC",SX10)*$JI10</f>
        <v>#NAME?</v>
      </c>
      <c r="YM10" s="71" t="e">
        <f t="array" aca="1" ref="YM10" ca="1">_xlfn.IFS(SJ10="Handysize",Main!SO10,SJ10="Supramax",SP10,SJ10="Panamax",SQ10,SJ10="NeoPanamax",SR10,SJ10="Suezmax",SS10,SJ10="Capesize",ST10,SJ10="VLOC",SU10)</f>
        <v>#NAME?</v>
      </c>
      <c r="YN10" s="71" t="e">
        <f t="array" aca="1" ref="YN10" ca="1">_xlfn.IFS(SJ10="Handysize",Main!VA10,SJ10="Supramax",VB10,SJ10="Panamax",VC10,SJ10="NeoPanamax",VD10,SJ10="Suezmax",VE10,SJ10="Capesize",VF10,SJ10="VLOC",VG10)</f>
        <v>#NAME?</v>
      </c>
      <c r="YO10" s="70">
        <f t="array" ref="YO10">INDEX('Ship Speeds'!$G$11:$G$1011,MATCH(2,1/(('Ship Speeds'!$E$11:$E$1011&lt;=Main!$C10)*('Ship Speeds'!$F$11:$F$1011=Main!SI10))))</f>
        <v>11</v>
      </c>
      <c r="YP10" s="403">
        <f t="shared" ref="YP10:YP23" si="144">(($KH10*YO10^2+$KI10*YO10^3+$KG10*YO10)*((SH10/$KC10)^$KD10)*$KJ10+(SH10/$KC10)*$KF10+$KE10)</f>
        <v>0</v>
      </c>
      <c r="YQ10" s="401">
        <f t="shared" ref="YQ10:YQ23" si="145">(SH10/$JY10)*$JZ10+$KA10+$KB10*(SH10/$JY10)^2</f>
        <v>1.2</v>
      </c>
      <c r="YR10" s="70" t="e">
        <f t="shared" ref="YR10:YR23" ca="1" si="146">YK10/YO10/$JH10</f>
        <v>#NAME?</v>
      </c>
      <c r="YS10" s="70" t="e">
        <f t="shared" ref="YS10:YS23" ca="1" si="147">YL10/YO10/$JH10</f>
        <v>#NAME?</v>
      </c>
      <c r="YT10" s="70" t="e">
        <f t="shared" ref="YT10:YT23" ca="1" si="148">IF(YM10=0,0,IF($AO10="yes",$AN10,$AR10)/(1-$AL10)/YM10)</f>
        <v>#NAME?</v>
      </c>
      <c r="YU10" s="70" t="e">
        <f t="shared" ref="YU10:YU23" ca="1" si="149">IF(YN10=0,0,IF($AO10="yes",$AN10,$AR10)/(1-$AL10)/YN10)</f>
        <v>#NAME?</v>
      </c>
      <c r="YV10" s="72" t="e">
        <f t="shared" ref="YV10:YV23" ca="1" si="150">XN10*$JI10</f>
        <v>#N/A</v>
      </c>
      <c r="YW10" s="70" t="e">
        <f t="shared" ref="YW10:YW23" ca="1" si="151">IF(YK10=0,0,MAX(SUM(YR10:YV10)*$JV10,$JU10))</f>
        <v>#NAME?</v>
      </c>
      <c r="YX10" s="70" t="e">
        <f t="array" aca="1" ref="YX10" ca="1">IF(YK10=0,0,INDEX(UU10:UY10,MATCH(_xlfn.IFS(SJ10="Handysize",Main!UQ10,SJ10="Supramax",UJ10,SJ10="Panamax",UC10,SJ10="NeoPanamax",TV10,SJ10="Suezmax",TO10,SJ10="Capesize",TH10,SJ10="VLOC",TA10),$UU$7:$UY$7,0)))</f>
        <v>#NAME?</v>
      </c>
      <c r="YY10" s="70" t="e">
        <f t="array" aca="1" ref="YY10" ca="1">IF(YK10=0,0,INDEX(UU10:UY10,MATCH(_xlfn.IFS(SJ10="Handysize",Main!UR10,SJ10="Supramax",UK10,SJ10="Panamax",UD10,SJ10="NeoPanamax",TW10,SJ10="Suezmax",TP10,SJ10="Capesize",TI10,SJ10="VLOC",TB10),$UU$7:$UY$7,0)))</f>
        <v>#NAME?</v>
      </c>
      <c r="YZ10" s="71" t="e">
        <f t="shared" ref="YZ10:YZ23" ca="1" si="152">YR10*YP10*YX10</f>
        <v>#NAME?</v>
      </c>
      <c r="ZA10" s="71" t="e">
        <f t="shared" ref="ZA10:ZA23" ca="1" si="153">SUM(YT10:YW10)*YQ10*YY10+YS10*YP10*YY10</f>
        <v>#NAME?</v>
      </c>
      <c r="ZB10" s="281" t="e">
        <f t="shared" ref="ZB10:ZB23" ca="1" si="154">IF(YK10=0,0,INDEX($JA10:$JD10,MATCH(VH10,$JA$7:$JD$7,0)))</f>
        <v>#NAME?</v>
      </c>
      <c r="ZC10" s="71" t="e">
        <f t="shared" ref="ZC10:ZC23" ca="1" si="155">IF(YK10=0,0,VI10/ZB10)</f>
        <v>#NAME?</v>
      </c>
      <c r="ZD10" s="71" t="e">
        <f t="shared" ref="ZD10:ZD23" ca="1" si="156">IF(YK10=0,0,VJ10*SUM(YU10,$JX10)/ZB10)</f>
        <v>#NAME?</v>
      </c>
      <c r="ZE10" s="71" t="e">
        <f t="shared" ref="ZE10:ZE23" ca="1" si="157">IF(YK10=0,0,VK10*(YW10*(1-$JW10))/ZB10)</f>
        <v>#NAME?</v>
      </c>
      <c r="ZF10" s="71" t="e">
        <f t="shared" ref="ZF10:ZF23" ca="1" si="158">IF(YK10=0,0,VL10*(SH10*$JN10)/ZB10)</f>
        <v>#NAME?</v>
      </c>
      <c r="ZG10" s="71" t="e">
        <f t="shared" ref="ZG10:ZG23" ca="1" si="159">IF(YK10=0,0,VM10*(SH10*$JN10)*SUM(YU10,$JX10)/ZB10)</f>
        <v>#NAME?</v>
      </c>
      <c r="ZH10" s="71" t="e">
        <f t="shared" ref="ZH10:ZH23" ca="1" si="160">IF(YK10=0,0,VN10*(SH10*$JN10)*(YW10*(1-$JW10))/ZB10)</f>
        <v>#NAME?</v>
      </c>
      <c r="ZI10" s="71" t="e">
        <f t="shared" ref="ZI10:ZI23" ca="1" si="161">IF(YK10=0,0,VO10*SL10/ZB10)</f>
        <v>#NAME?</v>
      </c>
      <c r="ZJ10" s="71" t="e">
        <f t="shared" ref="ZJ10:ZJ23" ca="1" si="162">IF(YK10=0,0,VP10*SL10*SUM(YU10,$JX10)/ZB10)</f>
        <v>#NAME?</v>
      </c>
      <c r="ZK10" s="71" t="e">
        <f t="shared" ref="ZK10:ZK23" ca="1" si="163">IF(YK10=0,0,VQ10*SL10*(YW10*(1-$JW10))/ZB10)</f>
        <v>#NAME?</v>
      </c>
      <c r="ZL10" s="71" t="e">
        <f t="shared" ref="ZL10:ZL23" ca="1" si="164">IF(YK10=0,0,VR10*SM10/ZB10)</f>
        <v>#NAME?</v>
      </c>
      <c r="ZM10" s="71" t="e">
        <f t="shared" ref="ZM10:ZM23" ca="1" si="165">IF(YK10=0,0,VS10*SM10*SUM(YU10,$JX10)/ZB10)</f>
        <v>#NAME?</v>
      </c>
      <c r="ZN10" s="71" t="e">
        <f t="shared" ref="ZN10:ZN23" ca="1" si="166">IF(YK10=0,0,VT10*SM10*(YW10*(1-$JW10))/ZB10)</f>
        <v>#NAME?</v>
      </c>
      <c r="ZO10" s="72" t="e">
        <f t="shared" ref="ZO10:ZO23" ca="1" si="167">IF(YK10=0,0,VU10*SK10/ZB10)</f>
        <v>#NAME?</v>
      </c>
      <c r="ZP10" s="72" t="e">
        <f t="shared" ref="ZP10:ZP23" ca="1" si="168">IF(YK10=0,0,VV10*SK10*SUM(YU10,$JX10)/ZB10)</f>
        <v>#NAME?</v>
      </c>
      <c r="ZQ10" s="71" t="e">
        <f t="shared" ref="ZQ10:ZQ23" ca="1" si="169">IF(YK10=0,0,VW10*SK10*(YW10*(1-$JW10))/ZB10)</f>
        <v>#NAME?</v>
      </c>
      <c r="ZR10" s="71" t="e">
        <f t="array" aca="1" ref="ZR10" ca="1">IF(YK10=0,0,INDEX('Ship Time Charter Rates'!$H$22:$H$1021,MATCH(2,1/(('Ship Time Charter Rates'!$G$22:$G$1021=_xlfn.IFS(SJ10="Handysize",Main!UO10,SJ10="Supramax",UH10,SJ10="Panamax",UA10,SJ10="NeoPanamax",TT10,SJ10="Suezmax",TM10,SJ10="Capesize",TF10,SJ10="VLOC",SY10))*('Ship Time Charter Rates'!$E$22:$E$1021&lt;=Main!$C10)*(NOT(ISBLANK('Ship Time Charter Rates'!$H$22:$H$1021)))))))</f>
        <v>#NAME?</v>
      </c>
      <c r="ZS10" s="71" t="e">
        <f t="shared" ref="ZS10:ZS23" ca="1" si="170">IF(YK10=0,0,SUM(YR10:YW10,$JI10*$JX10)*ZR10)</f>
        <v>#NAME?</v>
      </c>
      <c r="ZT10" s="70" t="e">
        <f t="shared" ref="ZT10:ZT23" ca="1" si="171">IF(YK10=0,0,SUMPRODUCT(WK10:WS10,XQ10:XY10)+SUMPRODUCT(XD10:XL10,YA10:YI10))</f>
        <v>#NAME?</v>
      </c>
      <c r="ZU10" s="71" t="e">
        <f t="shared" ref="ZU10:ZU23" ca="1" si="172">IF(YK10=0,0,SUM(YZ10,ZA10)+ZS10+ZT10+SUM(ZC10:ZQ10))</f>
        <v>#NAME?</v>
      </c>
      <c r="ZV10" s="71" t="e">
        <f ca="1">ZU10*(1+$KL10)*(1+$KM10)</f>
        <v>#NAME?</v>
      </c>
      <c r="ZW10" s="72" t="e">
        <f ca="1">IF(ZV10=0,0,ZV10/(SH10*(1-$AL10)*$JN10))</f>
        <v>#NAME?</v>
      </c>
      <c r="ZY10" s="287" t="s">
        <v>39</v>
      </c>
      <c r="AAA10" s="25">
        <f>IF($AO10="no",$AN10,$AR10)/(1-$AL10)/$JN10</f>
        <v>164999.9999999998</v>
      </c>
      <c r="AAB10" s="4" t="str">
        <f>VLOOKUP(AAA10,'Ship Time Charter Rates'!$F$10:$G$17,2,TRUE)</f>
        <v>Capesize</v>
      </c>
      <c r="AAC10" s="4" t="str">
        <f>VLOOKUP(AAA10,Canals!$E$5:$F$12,2,TRUE)</f>
        <v>Capesize</v>
      </c>
      <c r="AAD10" s="25">
        <f t="shared" ref="AAD10:AAD23" si="173">(AAA10*$JO10 + $JP10)</f>
        <v>289.93499999999983</v>
      </c>
      <c r="AAE10" s="25">
        <f t="shared" ref="AAE10:AAE23" si="174">(AAA10*$JQ10+$JR10)</f>
        <v>66560.999999999913</v>
      </c>
      <c r="AAF10" s="25">
        <f t="shared" ref="AAF10:AAF23" si="175">(AAA10*$JS10+$JT10)</f>
        <v>90415.499999999898</v>
      </c>
      <c r="AAH10" s="75">
        <f t="array" ref="AAH10">INDEX('Indices Mines Exporting Ports'!$R$20:$R$51,MATCH(2,1/(('Indices Mines Exporting Ports'!$D$20:$D$51&lt;=Main!$C10)*('Indices Mines Exporting Ports'!$Q$20:$Q$51=$AP10))))</f>
        <v>30000</v>
      </c>
      <c r="AAI10" s="75">
        <f t="array" ref="AAI10">INDEX('Indices Mines Exporting Ports'!$S$20:$S$51,MATCH(2,1/(('Indices Mines Exporting Ports'!$D$20:$D$51&lt;=Main!$C10)*('Indices Mines Exporting Ports'!$Q$20:$Q$51=$AP10))))</f>
        <v>30000</v>
      </c>
      <c r="AAJ10" s="75">
        <f t="array" ref="AAJ10">INDEX('Indices Mines Exporting Ports'!$T$20:$T$51,MATCH(2,1/(('Indices Mines Exporting Ports'!$D$20:$D$51&lt;=Main!$C10)*('Indices Mines Exporting Ports'!$Q$20:$Q$51=$AP10))))</f>
        <v>30000</v>
      </c>
      <c r="AAK10" s="75">
        <f t="array" ref="AAK10">INDEX('Indices Mines Exporting Ports'!$U$20:$U$51,MATCH(2,1/(('Indices Mines Exporting Ports'!$D$20:$D$51&lt;=Main!$C10)*('Indices Mines Exporting Ports'!$Q$20:$Q$51=$AP10))))</f>
        <v>30000</v>
      </c>
      <c r="AAL10" s="75">
        <f t="array" ref="AAL10">INDEX('Indices Mines Exporting Ports'!$V$20:$V$51,MATCH(2,1/(('Indices Mines Exporting Ports'!$D$20:$D$51&lt;=Main!$C10)*('Indices Mines Exporting Ports'!$Q$20:$Q$51=$AP10))))</f>
        <v>30000</v>
      </c>
      <c r="AAM10" s="75">
        <f t="array" ref="AAM10">INDEX('Indices Mines Exporting Ports'!$W$20:$W$51,MATCH(2,1/(('Indices Mines Exporting Ports'!$D$20:$D$51&lt;=Main!$C10)*('Indices Mines Exporting Ports'!$Q$20:$Q$51=$AP10))))</f>
        <v>30000</v>
      </c>
      <c r="AAN10" s="75">
        <f t="array" ref="AAN10">INDEX('Indices Mines Exporting Ports'!$X$20:$X$51,MATCH(2,1/(('Indices Mines Exporting Ports'!$D$20:$D$51&lt;=Main!$C10)*('Indices Mines Exporting Ports'!$Q$20:$Q$51=$AP10))))</f>
        <v>30000</v>
      </c>
      <c r="AAP10" s="75">
        <f t="array" ref="AAP10">INDEX('Port Linkages'!$E$18:$E$157,MATCH(2,1/(('Port Linkages'!$C$18:$C$157=$AP10)*('Port Linkages'!$D$18:$D$157=IF($AO10="Yes",$AQ10,$KK10))*('Port Linkages'!$A$18:$A$157&lt;=$C10))))</f>
        <v>11150</v>
      </c>
      <c r="AAQ10" s="75">
        <f t="array" ref="AAQ10">INDEX('Port Linkages'!$F$18:$F$157,MATCH(2,1/(('Port Linkages'!$C$18:$C$157=$AP10)*('Port Linkages'!$D$18:$D$157=IF($AO10="Yes",$AQ10,$KK10))*('Port Linkages'!$A$18:$A$157&lt;=$C10))))</f>
        <v>0</v>
      </c>
      <c r="AAR10" s="75" t="str">
        <f t="array" ref="AAR10">INDEX('Port Linkages'!$G$18:$G$157,MATCH(2,1/(('Port Linkages'!$C$18:$C$157=$AP10)*('Port Linkages'!$D$18:$D$157=IF($AO10="Yes",$AQ10,$KK10))*('Port Linkages'!$A$18:$A$157&lt;=$C10))))</f>
        <v>VLOC_General</v>
      </c>
      <c r="AAS10" s="75" t="str">
        <f t="array" ref="AAS10">INDEX('Port Linkages'!$H$18:$H$157,MATCH(2,1/(('Port Linkages'!$C$18:$C$157=$AP10)*('Port Linkages'!$D$18:$D$157=IF($AO10="Yes",$AQ10,$KK10))*('Port Linkages'!$A$18:$A$157&lt;=$C10))))</f>
        <v>Singapore</v>
      </c>
      <c r="AAT10" s="75" t="str">
        <f t="array" ref="AAT10">INDEX('Port Linkages'!$I$18:$I$157,MATCH(2,1/(('Port Linkages'!$C$18:$C$157=$AP10)*('Port Linkages'!$D$18:$D$157=IF($AO10="Yes",$AQ10,$KK10))*('Port Linkages'!$A$18:$A$157&lt;=$C10))))</f>
        <v>VLSFO</v>
      </c>
      <c r="AAU10" s="75" t="str">
        <f t="array" ref="AAU10">INDEX('Port Linkages'!$J$18:$J$157,MATCH(2,1/(('Port Linkages'!$C$18:$C$157=$AP10)*('Port Linkages'!$D$18:$D$157=IF($AO10="Yes",$AQ10,$KK10))*('Port Linkages'!$A$18:$A$157&lt;=$C10))))</f>
        <v>MGO_Regular</v>
      </c>
      <c r="AAV10" s="75" t="str">
        <f t="array" ref="AAV10">INDEX('Port Linkages'!$K$18:$K$157,MATCH(2,1/(('Port Linkages'!$C$18:$C$157=$AP10)*('Port Linkages'!$D$18:$D$157=IF($AO10="Yes",$AQ10,$KK10))*('Port Linkages'!$A$18:$A$157&lt;=$C10))))</f>
        <v>none</v>
      </c>
      <c r="AAW10" s="75">
        <f t="array" ref="AAW10">INDEX('Port Linkages'!$L$18:$L$157,MATCH(2,1/(('Port Linkages'!$C$18:$C$157=$AP10)*('Port Linkages'!$D$18:$D$157=IF($AO10="Yes",$AQ10,$KK10))*('Port Linkages'!$A$18:$A$157&lt;=$C10))))</f>
        <v>11150</v>
      </c>
      <c r="AAX10" s="75">
        <f t="array" ref="AAX10">INDEX('Port Linkages'!$M$18:$M$157,MATCH(2,1/(('Port Linkages'!$C$18:$C$157=$AP10)*('Port Linkages'!$D$18:$D$157=IF($AO10="Yes",$AQ10,$KK10))*('Port Linkages'!$A$18:$A$157&lt;=$C10))))</f>
        <v>0</v>
      </c>
      <c r="AAY10" s="75" t="str">
        <f t="array" ref="AAY10">INDEX('Port Linkages'!$N$18:$N$157,MATCH(2,1/(('Port Linkages'!$C$18:$C$157=$AP10)*('Port Linkages'!$D$18:$D$157=IF($AO10="Yes",$AQ10,$KK10))*('Port Linkages'!$A$18:$A$157&lt;=$C10))))</f>
        <v>Capesize_General</v>
      </c>
      <c r="AAZ10" s="75" t="str">
        <f t="array" ref="AAZ10">INDEX('Port Linkages'!$O$18:$O$157,MATCH(2,1/(('Port Linkages'!$C$18:$C$157=$AP10)*('Port Linkages'!$D$18:$D$157=IF($AO10="Yes",$AQ10,$KK10))*('Port Linkages'!$A$18:$A$157&lt;=$C10))))</f>
        <v>Singapore</v>
      </c>
      <c r="ABA10" s="75" t="str">
        <f t="array" ref="ABA10">INDEX('Port Linkages'!$P$18:$P$157,MATCH(2,1/(('Port Linkages'!$C$18:$C$157=$AP10)*('Port Linkages'!$D$18:$D$157=IF($AO10="Yes",$AQ10,$KK10))*('Port Linkages'!$A$18:$A$157&lt;=$C10))))</f>
        <v>VLSFO</v>
      </c>
      <c r="ABB10" s="75" t="str">
        <f t="array" ref="ABB10">INDEX('Port Linkages'!$Q$18:$Q$157,MATCH(2,1/(('Port Linkages'!$C$18:$C$157=$AP10)*('Port Linkages'!$D$18:$D$157=IF($AO10="Yes",$AQ10,$KK10))*('Port Linkages'!$A$18:$A$157&lt;=$C10))))</f>
        <v>MGO_Regular</v>
      </c>
      <c r="ABC10" s="75" t="str">
        <f t="array" ref="ABC10">INDEX('Port Linkages'!$R$18:$R$157,MATCH(2,1/(('Port Linkages'!$C$18:$C$157=$AP10)*('Port Linkages'!$D$18:$D$157=IF($AO10="Yes",$AQ10,$KK10))*('Port Linkages'!$A$18:$A$157&lt;=$C10))))</f>
        <v>none</v>
      </c>
      <c r="ABD10" s="75">
        <f t="array" ref="ABD10">INDEX('Port Linkages'!$S$18:$S$157,MATCH(2,1/(('Port Linkages'!$C$18:$C$157=$AP10)*('Port Linkages'!$D$18:$D$157=IF($AO10="Yes",$AQ10,$KK10))*('Port Linkages'!$A$18:$A$157&lt;=$C10))))</f>
        <v>11150</v>
      </c>
      <c r="ABE10" s="75">
        <f t="array" ref="ABE10">INDEX('Port Linkages'!$T$18:$T$157,MATCH(2,1/(('Port Linkages'!$C$18:$C$157=$AP10)*('Port Linkages'!$D$18:$D$157=IF($AO10="Yes",$AQ10,$KK10))*('Port Linkages'!$A$18:$A$157&lt;=$C10))))</f>
        <v>0</v>
      </c>
      <c r="ABF10" s="75" t="str">
        <f t="array" ref="ABF10">INDEX('Port Linkages'!$U$18:$U$157,MATCH(2,1/(('Port Linkages'!$C$18:$C$157=$AP10)*('Port Linkages'!$D$18:$D$157=IF($AO10="Yes",$AQ10,$KK10))*('Port Linkages'!$A$18:$A$157&lt;=$C10))))</f>
        <v>Capesize_General</v>
      </c>
      <c r="ABG10" s="75" t="str">
        <f t="array" ref="ABG10">INDEX('Port Linkages'!$V$18:$V$157,MATCH(2,1/(('Port Linkages'!$C$18:$C$157=$AP10)*('Port Linkages'!$D$18:$D$157=IF($AO10="Yes",$AQ10,$KK10))*('Port Linkages'!$A$18:$A$157&lt;=$C10))))</f>
        <v>Singapore</v>
      </c>
      <c r="ABH10" s="75" t="str">
        <f t="array" ref="ABH10">INDEX('Port Linkages'!$W$18:$W$157,MATCH(2,1/(('Port Linkages'!$C$18:$C$157=$AP10)*('Port Linkages'!$D$18:$D$157=IF($AO10="Yes",$AQ10,$KK10))*('Port Linkages'!$A$18:$A$157&lt;=$C10))))</f>
        <v>VLSFO</v>
      </c>
      <c r="ABI10" s="75" t="str">
        <f t="array" ref="ABI10">INDEX('Port Linkages'!$X$18:$X$157,MATCH(2,1/(('Port Linkages'!$C$18:$C$157=$AP10)*('Port Linkages'!$D$18:$D$157=IF($AO10="Yes",$AQ10,$KK10))*('Port Linkages'!$A$18:$A$157&lt;=$C10))))</f>
        <v>MGO_Regular</v>
      </c>
      <c r="ABJ10" s="75" t="str">
        <f t="array" ref="ABJ10">INDEX('Port Linkages'!$Y$18:$Y$157,MATCH(2,1/(('Port Linkages'!$C$18:$C$157=$AP10)*('Port Linkages'!$D$18:$D$157=IF($AO10="Yes",$AQ10,$KK10))*('Port Linkages'!$A$18:$A$157&lt;=$C10))))</f>
        <v>none</v>
      </c>
      <c r="ABK10" s="75">
        <f t="array" ref="ABK10">INDEX('Port Linkages'!$Z$18:$Z$157,MATCH(2,1/(('Port Linkages'!$C$18:$C$157=$AP10)*('Port Linkages'!$D$18:$D$157=IF($AO10="Yes",$AQ10,$KK10))*('Port Linkages'!$A$18:$A$157&lt;=$C10))))</f>
        <v>11150</v>
      </c>
      <c r="ABL10" s="75">
        <f t="array" ref="ABL10">INDEX('Port Linkages'!$AA$18:$AA$157,MATCH(2,1/(('Port Linkages'!$C$18:$C$157=$AP10)*('Port Linkages'!$D$18:$D$157=IF($AO10="Yes",$AQ10,$KK10))*('Port Linkages'!$A$18:$A$157&lt;=$C10))))</f>
        <v>0</v>
      </c>
      <c r="ABM10" s="75" t="str">
        <f t="array" ref="ABM10">INDEX('Port Linkages'!$AB$18:$AB$157,MATCH(2,1/(('Port Linkages'!$C$18:$C$157=$AP10)*('Port Linkages'!$D$18:$D$157=IF($AO10="Yes",$AQ10,$KK10))*('Port Linkages'!$A$18:$A$157&lt;=$C10))))</f>
        <v>Capesize_General</v>
      </c>
      <c r="ABN10" s="75" t="str">
        <f t="array" ref="ABN10">INDEX('Port Linkages'!$AC$18:$AC$157,MATCH(2,1/(('Port Linkages'!$C$18:$C$157=$AP10)*('Port Linkages'!$D$18:$D$157=IF($AO10="Yes",$AQ10,$KK10))*('Port Linkages'!$A$18:$A$157&lt;=$C10))))</f>
        <v>Singapore</v>
      </c>
      <c r="ABO10" s="75" t="str">
        <f t="array" ref="ABO10">INDEX('Port Linkages'!$AD$18:$AD$157,MATCH(2,1/(('Port Linkages'!$C$18:$C$157=$AP10)*('Port Linkages'!$D$18:$D$157=IF($AO10="Yes",$AQ10,$KK10))*('Port Linkages'!$A$18:$A$157&lt;=$C10))))</f>
        <v>VLSFO</v>
      </c>
      <c r="ABP10" s="75" t="str">
        <f t="array" ref="ABP10">INDEX('Port Linkages'!$AE$18:$AE$157,MATCH(2,1/(('Port Linkages'!$C$18:$C$157=$AP10)*('Port Linkages'!$D$18:$D$157=IF($AO10="Yes",$AQ10,$KK10))*('Port Linkages'!$A$18:$A$157&lt;=$C10))))</f>
        <v>MGO_Regular</v>
      </c>
      <c r="ABQ10" s="75" t="str">
        <f t="array" ref="ABQ10">INDEX('Port Linkages'!$AF$18:$AF$157,MATCH(2,1/(('Port Linkages'!$C$18:$C$157=$AP10)*('Port Linkages'!$D$18:$D$157=IF($AO10="Yes",$AQ10,$KK10))*('Port Linkages'!$A$18:$A$157&lt;=$C10))))</f>
        <v>none</v>
      </c>
      <c r="ABR10" s="75">
        <f t="array" ref="ABR10">INDEX('Port Linkages'!$AG$18:$AG$157,MATCH(2,1/(('Port Linkages'!$C$18:$C$157=$AP10)*('Port Linkages'!$D$18:$D$157=IF($AO10="Yes",$AQ10,$KK10))*('Port Linkages'!$A$18:$A$157&lt;=$C10))))</f>
        <v>11150</v>
      </c>
      <c r="ABS10" s="75">
        <f t="array" ref="ABS10">INDEX('Port Linkages'!$AH$18:$AH$157,MATCH(2,1/(('Port Linkages'!$C$18:$C$157=$AP10)*('Port Linkages'!$D$18:$D$157=IF($AO10="Yes",$AQ10,$KK10))*('Port Linkages'!$A$18:$A$157&lt;=$C10))))</f>
        <v>0</v>
      </c>
      <c r="ABT10" s="75" t="str">
        <f t="array" ref="ABT10">INDEX('Port Linkages'!$AI$18:$AI$157,MATCH(2,1/(('Port Linkages'!$C$18:$C$157=$AP10)*('Port Linkages'!$D$18:$D$157=IF($AO10="Yes",$AQ10,$KK10))*('Port Linkages'!$A$18:$A$157&lt;=$C10))))</f>
        <v>Panamax_General</v>
      </c>
      <c r="ABU10" s="75" t="str">
        <f t="array" ref="ABU10">INDEX('Port Linkages'!$AJ$18:$AJ$157,MATCH(2,1/(('Port Linkages'!$C$18:$C$157=$AP10)*('Port Linkages'!$D$18:$D$157=IF($AO10="Yes",$AQ10,$KK10))*('Port Linkages'!$A$18:$A$157&lt;=$C10))))</f>
        <v>Singapore</v>
      </c>
      <c r="ABV10" s="75" t="str">
        <f t="array" ref="ABV10">INDEX('Port Linkages'!$AK$18:$AK$157,MATCH(2,1/(('Port Linkages'!$C$18:$C$157=$AP10)*('Port Linkages'!$D$18:$D$157=IF($AO10="Yes",$AQ10,$KK10))*('Port Linkages'!$A$18:$A$157&lt;=$C10))))</f>
        <v>VLSFO</v>
      </c>
      <c r="ABW10" s="75" t="str">
        <f t="array" ref="ABW10">INDEX('Port Linkages'!$AL$18:$AL$157,MATCH(2,1/(('Port Linkages'!$C$18:$C$157=$AP10)*('Port Linkages'!$D$18:$D$157=IF($AO10="Yes",$AQ10,$KK10))*('Port Linkages'!$A$18:$A$157&lt;=$C10))))</f>
        <v>MGO_Regular</v>
      </c>
      <c r="ABX10" s="75" t="str">
        <f t="array" ref="ABX10">INDEX('Port Linkages'!$AM$18:$AM$157,MATCH(2,1/(('Port Linkages'!$C$18:$C$157=$AP10)*('Port Linkages'!$D$18:$D$157=IF($AO10="Yes",$AQ10,$KK10))*('Port Linkages'!$A$18:$A$157&lt;=$C10))))</f>
        <v>none</v>
      </c>
      <c r="ABY10" s="75">
        <f t="array" ref="ABY10">INDEX('Port Linkages'!$AN$18:$AN$157,MATCH(2,1/(('Port Linkages'!$C$18:$C$157=$AP10)*('Port Linkages'!$D$18:$D$157=IF($AO10="Yes",$AQ10,$KK10))*('Port Linkages'!$A$18:$A$157&lt;=$C10))))</f>
        <v>11150</v>
      </c>
      <c r="ABZ10" s="75">
        <f t="array" ref="ABZ10">INDEX('Port Linkages'!$AO$18:$AO$157,MATCH(2,1/(('Port Linkages'!$C$18:$C$157=$AP10)*('Port Linkages'!$D$18:$D$157=IF($AO10="Yes",$AQ10,$KK10))*('Port Linkages'!$A$18:$A$157&lt;=$C10))))</f>
        <v>0</v>
      </c>
      <c r="ACA10" s="75" t="str">
        <f t="array" ref="ACA10">INDEX('Port Linkages'!$AP$18:$AP$157,MATCH(2,1/(('Port Linkages'!$C$18:$C$157=$AP10)*('Port Linkages'!$D$18:$D$157=IF($AO10="Yes",$AQ10,$KK10))*('Port Linkages'!$A$18:$A$157&lt;=$C10))))</f>
        <v>Supramax_General</v>
      </c>
      <c r="ACB10" s="75" t="str">
        <f t="array" ref="ACB10">INDEX('Port Linkages'!$AQ$18:$AQ$157,MATCH(2,1/(('Port Linkages'!$C$18:$C$157=$AP10)*('Port Linkages'!$D$18:$D$157=IF($AO10="Yes",$AQ10,$KK10))*('Port Linkages'!$A$18:$A$157&lt;=$C10))))</f>
        <v>Singapore</v>
      </c>
      <c r="ACC10" s="75" t="str">
        <f t="array" ref="ACC10">INDEX('Port Linkages'!$AR$18:$AR$157,MATCH(2,1/(('Port Linkages'!$C$18:$C$157=$AP10)*('Port Linkages'!$D$18:$D$157=IF($AO10="Yes",$AQ10,$KK10))*('Port Linkages'!$A$18:$A$157&lt;=$C10))))</f>
        <v>VLSFO</v>
      </c>
      <c r="ACD10" s="75" t="str">
        <f t="array" ref="ACD10">INDEX('Port Linkages'!$AS$18:$AS$157,MATCH(2,1/(('Port Linkages'!$C$18:$C$157=$AP10)*('Port Linkages'!$D$18:$D$157=IF($AO10="Yes",$AQ10,$KK10))*('Port Linkages'!$A$18:$A$157&lt;=$C10))))</f>
        <v>MGO_Regular</v>
      </c>
      <c r="ACE10" s="75" t="str">
        <f t="array" ref="ACE10">INDEX('Port Linkages'!$AT$18:$AT$157,MATCH(2,1/(('Port Linkages'!$C$18:$C$157=$AP10)*('Port Linkages'!$D$18:$D$157=IF($AO10="Yes",$AQ10,$KK10))*('Port Linkages'!$A$18:$A$157&lt;=$C10))))</f>
        <v>none</v>
      </c>
      <c r="ACF10" s="75">
        <f t="array" ref="ACF10">INDEX('Port Linkages'!$AU$18:$AU$157,MATCH(2,1/(('Port Linkages'!$C$18:$C$157=$AP10)*('Port Linkages'!$D$18:$D$157=IF($AO10="Yes",$AQ10,$KK10))*('Port Linkages'!$A$18:$A$157&lt;=$C10))))</f>
        <v>11150</v>
      </c>
      <c r="ACG10" s="75">
        <f t="array" ref="ACG10">INDEX('Port Linkages'!$AV$18:$AV$157,MATCH(2,1/(('Port Linkages'!$C$18:$C$157=$AP10)*('Port Linkages'!$D$18:$D$157=IF($AO10="Yes",$AQ10,$KK10))*('Port Linkages'!$A$18:$A$157&lt;=$C10))))</f>
        <v>0</v>
      </c>
      <c r="ACH10" s="75" t="str">
        <f t="array" ref="ACH10">INDEX('Port Linkages'!$AW$18:$AW$157,MATCH(2,1/(('Port Linkages'!$C$18:$C$157=$AP10)*('Port Linkages'!$D$18:$D$157=IF($AO10="Yes",$AQ10,$KK10))*('Port Linkages'!$A$18:$A$157&lt;=$C10))))</f>
        <v>Handysize_General</v>
      </c>
      <c r="ACI10" s="75" t="str">
        <f t="array" ref="ACI10">INDEX('Port Linkages'!$AX$18:$AX$157,MATCH(2,1/(('Port Linkages'!$C$18:$C$157=$AP10)*('Port Linkages'!$D$18:$D$157=IF($AO10="Yes",$AQ10,$KK10))*('Port Linkages'!$A$18:$A$157&lt;=$C10))))</f>
        <v>Singapore</v>
      </c>
      <c r="ACJ10" s="75" t="str">
        <f t="array" ref="ACJ10">INDEX('Port Linkages'!$AY$18:$AY$157,MATCH(2,1/(('Port Linkages'!$C$18:$C$157=$AP10)*('Port Linkages'!$D$18:$D$157=IF($AO10="Yes",$AQ10,$KK10))*('Port Linkages'!$A$18:$A$157&lt;=$C10))))</f>
        <v>VLSFO</v>
      </c>
      <c r="ACK10" s="75" t="str">
        <f t="array" ref="ACK10">INDEX('Port Linkages'!$AZ$18:$AZ$157,MATCH(2,1/(('Port Linkages'!$C$18:$C$157=$AP10)*('Port Linkages'!$D$18:$D$157=IF($AO10="Yes",$AQ10,$KK10))*('Port Linkages'!$A$18:$A$157&lt;=$C10))))</f>
        <v>MGO_Regular</v>
      </c>
      <c r="ACL10" s="75" t="str">
        <f t="array" ref="ACL10">INDEX('Port Linkages'!$BA$18:$BA$157,MATCH(2,1/(('Port Linkages'!$C$18:$C$157=$AP10)*('Port Linkages'!$D$18:$D$157=IF($AO10="Yes",$AQ10,$KK10))*('Port Linkages'!$A$18:$A$157&lt;=$C10))))</f>
        <v>none</v>
      </c>
      <c r="ACN10" s="25" t="e">
        <f t="array" aca="1" ref="ACN10" ca="1">INDEX('Ship Fuel Prices'!$F$5:$F$1004,MATCH(2,1/(('Ship Fuel Prices'!$E$5:$E$1004=_xlfn.IFS(AAC10="Handysize",Main!ACI10,AAC10="Supramax",ACB10,AAC10="Panamax",ABU10,AAC10="NeoPanamax",ABN10,AAC10="Suezmax",ABG10,AAC10="Capesize",AAZ10,AAC10="VLOC",AAS10))*('Ship Fuel Prices'!$D$5:$D$1004&lt;=Main!$C10))))</f>
        <v>#N/A</v>
      </c>
      <c r="ACO10" s="25" t="e">
        <f t="array" aca="1" ref="ACO10" ca="1">INDEX('Ship Fuel Prices'!$G$5:$G$1004,MATCH(2,1/(('Ship Fuel Prices'!$E$5:$E$1004=_xlfn.IFS(AAC10="Handysize",Main!ACI10,AAC10="Supramax",ACB10,AAC10="Panamax",ABU10,AAC10="NeoPanamax",ABN10,AAC10="Suezmax",ABG10,AAC10="Capesize",AAZ10,AAC10="VLOC",AAS10))*('Ship Fuel Prices'!$D$5:$D$1004&lt;=Main!$C10))))</f>
        <v>#N/A</v>
      </c>
      <c r="ACP10" s="25" t="e">
        <f t="array" aca="1" ref="ACP10" ca="1">INDEX('Ship Fuel Prices'!$H$5:$H$1004,MATCH(2,1/(('Ship Fuel Prices'!$E$5:$E$1004=_xlfn.IFS(AAC10="Handysize",Main!ACI10,AAC10="Supramax",ACB10,AAC10="Panamax",ABU10,AAC10="NeoPanamax",ABN10,AAC10="Suezmax",ABG10,AAC10="Capesize",AAZ10,AAC10="VLOC",AAS10))*('Ship Fuel Prices'!$D$5:$D$1004&lt;=Main!$C10))))</f>
        <v>#N/A</v>
      </c>
      <c r="ACQ10" s="25" t="e">
        <f t="array" aca="1" ref="ACQ10" ca="1">INDEX('Ship Fuel Prices'!$I$5:$I$1004,MATCH(2,1/(('Ship Fuel Prices'!$E$5:$E$1004=_xlfn.IFS(AAC10="Handysize",Main!ACI10,AAC10="Supramax",ACB10,AAC10="Panamax",ABU10,AAC10="NeoPanamax",ABN10,AAC10="Suezmax",ABG10,AAC10="Capesize",AAZ10,AAC10="VLOC",AAS10))*('Ship Fuel Prices'!$D$5:$D$1004&lt;=Main!$C10))))</f>
        <v>#N/A</v>
      </c>
      <c r="ACR10" s="25" t="e">
        <f t="array" aca="1" ref="ACR10" ca="1">INDEX('Ship Fuel Prices'!$J$5:$J$1004,MATCH(2,1/(('Ship Fuel Prices'!$E$5:$E$1004=_xlfn.IFS(AAC10="Handysize",Main!ACI10,AAC10="Supramax",ACB10,AAC10="Panamax",ABU10,AAC10="NeoPanamax",ABN10,AAC10="Suezmax",ABG10,AAC10="Capesize",AAZ10,AAC10="VLOC",AAS10))*('Ship Fuel Prices'!$D$5:$D$1004&lt;=Main!$C10))))</f>
        <v>#N/A</v>
      </c>
      <c r="ACT10" s="75">
        <f t="array" ref="ACT10">INDEX('China n Importing Ports'!$E$20:$E$41,MATCH(2,1/(('China n Importing Ports'!$D$20:$D$41&lt;=$C10)*('China n Importing Ports'!$C$20:$C$41=IF($AO10="Yes",$AQ10,$KK10)))))</f>
        <v>42500</v>
      </c>
      <c r="ACU10" s="75">
        <f t="array" ref="ACU10">INDEX('China n Importing Ports'!$F$20:$F$41,MATCH(2,1/(('China n Importing Ports'!$D$20:$D$41&lt;=$C10)*('China n Importing Ports'!$C$20:$C$41=IF($AO10="Yes",$AQ10,$KK10)))))</f>
        <v>42500</v>
      </c>
      <c r="ACV10" s="75">
        <f t="array" ref="ACV10">INDEX('China n Importing Ports'!$G$20:$G$41,MATCH(2,1/(('China n Importing Ports'!$D$20:$D$41&lt;=$C10)*('China n Importing Ports'!$C$20:$C$41=IF($AO10="Yes",$AQ10,$KK10)))))</f>
        <v>42500</v>
      </c>
      <c r="ACW10" s="75">
        <f t="array" ref="ACW10">INDEX('China n Importing Ports'!$H$20:$H$41,MATCH(2,1/(('China n Importing Ports'!$D$20:$D$41&lt;=$C10)*('China n Importing Ports'!$C$20:$C$41=IF($AO10="Yes",$AQ10,$KK10)))))</f>
        <v>42500</v>
      </c>
      <c r="ACX10" s="75">
        <f t="array" ref="ACX10">INDEX('China n Importing Ports'!$I$20:$I$41,MATCH(2,1/(('China n Importing Ports'!$D$20:$D$41&lt;=$C10)*('China n Importing Ports'!$C$20:$C$41=IF($AO10="Yes",$AQ10,$KK10)))))</f>
        <v>42500</v>
      </c>
      <c r="ACY10" s="75">
        <f t="array" ref="ACY10">INDEX('China n Importing Ports'!$J$20:$J$41,MATCH(2,1/(('China n Importing Ports'!$D$20:$D$41&lt;=$C10)*('China n Importing Ports'!$C$20:$C$41=IF($AO10="Yes",$AQ10,$KK10)))))</f>
        <v>42500</v>
      </c>
      <c r="ACZ10" s="75">
        <f t="array" ref="ACZ10">INDEX('China n Importing Ports'!$K$20:$K$41,MATCH(2,1/(('China n Importing Ports'!$D$20:$D$41&lt;=$C10)*('China n Importing Ports'!$C$20:$C$41=IF($AO10="Yes",$AQ10,$KK10)))))</f>
        <v>42500</v>
      </c>
      <c r="ADA10" s="75" t="str">
        <f t="array" ref="ADA10">INDEX('China n Importing Ports'!$L$20:$L$41,MATCH(2,1/(('China n Importing Ports'!$D$20:$D$41&lt;=$C10)*('China n Importing Ports'!$C$20:$C$41=IF($AO10="Yes",$AQ10,$KK10)))))</f>
        <v>RMB</v>
      </c>
      <c r="ADB10" s="75">
        <f t="array" ref="ADB10">INDEX('China n Importing Ports'!$M$20:$M$41,MATCH(2,1/(('China n Importing Ports'!$D$20:$D$41&lt;=$C10)*('China n Importing Ports'!$C$20:$C$41=IF($AO10="Yes",$AQ10,$KK10)))))</f>
        <v>12342</v>
      </c>
      <c r="ADC10" s="75">
        <f t="array" ref="ADC10">INDEX('China n Importing Ports'!$N$20:$N$41,MATCH(2,1/(('China n Importing Ports'!$D$20:$D$41&lt;=$C10)*('China n Importing Ports'!$C$20:$C$41=IF($AO10="Yes",$AQ10,$KK10)))))</f>
        <v>0</v>
      </c>
      <c r="ADD10" s="75">
        <f t="array" ref="ADD10">INDEX('China n Importing Ports'!$O$20:$O$41,MATCH(2,1/(('China n Importing Ports'!$D$20:$D$41&lt;=$C10)*('China n Importing Ports'!$C$20:$C$41=IF($AO10="Yes",$AQ10,$KK10)))))</f>
        <v>0</v>
      </c>
      <c r="ADE10" s="136">
        <f t="array" ref="ADE10">INDEX('China n Importing Ports'!$P$20:$P$41,MATCH(2,1/(('China n Importing Ports'!$D$20:$D$41&lt;=$C10)*('China n Importing Ports'!$C$20:$C$41=IF($AO10="Yes",$AQ10,$KK10)))))</f>
        <v>2.64</v>
      </c>
      <c r="ADF10" s="136">
        <f t="array" ref="ADF10">INDEX('China n Importing Ports'!$Q$20:$Q$41,MATCH(2,1/(('China n Importing Ports'!$D$20:$D$41&lt;=$C10)*('China n Importing Ports'!$C$20:$C$41=IF($AO10="Yes",$AQ10,$KK10)))))</f>
        <v>0</v>
      </c>
      <c r="ADG10" s="136">
        <f t="array" ref="ADG10">INDEX('China n Importing Ports'!$R$20:$R$41,MATCH(2,1/(('China n Importing Ports'!$D$20:$D$41&lt;=$C10)*('China n Importing Ports'!$C$20:$C$41=IF($AO10="Yes",$AQ10,$KK10)))))</f>
        <v>0</v>
      </c>
      <c r="ADH10" s="136">
        <f t="array" ref="ADH10">INDEX('China n Importing Ports'!$S$20:$S$41,MATCH(2,1/(('China n Importing Ports'!$D$20:$D$41&lt;=$C10)*('China n Importing Ports'!$C$20:$C$41=IF($AO10="Yes",$AQ10,$KK10)))))</f>
        <v>4.53</v>
      </c>
      <c r="ADI10" s="136">
        <f t="array" ref="ADI10">INDEX('China n Importing Ports'!$T$20:$T$41,MATCH(2,1/(('China n Importing Ports'!$D$20:$D$41&lt;=$C10)*('China n Importing Ports'!$C$20:$C$41=IF($AO10="Yes",$AQ10,$KK10)))))</f>
        <v>0.36699999999999999</v>
      </c>
      <c r="ADJ10" s="136">
        <f t="array" ref="ADJ10">INDEX('China n Importing Ports'!$U$20:$U$41,MATCH(2,1/(('China n Importing Ports'!$D$20:$D$41&lt;=$C10)*('China n Importing Ports'!$C$20:$C$41=IF($AO10="Yes",$AQ10,$KK10)))))</f>
        <v>0.05</v>
      </c>
      <c r="ADK10" s="136">
        <f t="array" ref="ADK10">INDEX('China n Importing Ports'!$V$20:$V$41,MATCH(2,1/(('China n Importing Ports'!$D$20:$D$41&lt;=$C10)*('China n Importing Ports'!$C$20:$C$41=IF($AO10="Yes",$AQ10,$KK10)))))</f>
        <v>0</v>
      </c>
      <c r="ADL10" s="136">
        <f t="array" ref="ADL10">INDEX('China n Importing Ports'!$W$20:$W$41,MATCH(2,1/(('China n Importing Ports'!$D$20:$D$41&lt;=$C10)*('China n Importing Ports'!$C$20:$C$41=IF($AO10="Yes",$AQ10,$KK10)))))</f>
        <v>0</v>
      </c>
      <c r="ADM10" s="136">
        <f t="array" ref="ADM10">INDEX('China n Importing Ports'!$X$20:$X$41,MATCH(2,1/(('China n Importing Ports'!$D$20:$D$41&lt;=$C10)*('China n Importing Ports'!$C$20:$C$41=IF($AO10="Yes",$AQ10,$KK10)))))</f>
        <v>0</v>
      </c>
      <c r="ADN10" s="136">
        <f t="array" ref="ADN10">INDEX('China n Importing Ports'!$Y$20:$Y$41,MATCH(2,1/(('China n Importing Ports'!$D$20:$D$41&lt;=$C10)*('China n Importing Ports'!$C$20:$C$41=IF($AO10="Yes",$AQ10,$KK10)))))</f>
        <v>197</v>
      </c>
      <c r="ADO10" s="136">
        <f t="array" ref="ADO10">INDEX('China n Importing Ports'!$Z$20:$Z$41,MATCH(2,1/(('China n Importing Ports'!$D$20:$D$41&lt;=$C10)*('China n Importing Ports'!$C$20:$C$41=IF($AO10="Yes",$AQ10,$KK10)))))</f>
        <v>0</v>
      </c>
      <c r="ADP10" s="136">
        <f t="array" ref="ADP10">INDEX('China n Importing Ports'!$AA$20:$AA$41,MATCH(2,1/(('China n Importing Ports'!$D$20:$D$41&lt;=$C10)*('China n Importing Ports'!$C$20:$C$41=IF($AO10="Yes",$AQ10,$KK10)))))</f>
        <v>0</v>
      </c>
      <c r="ADR10" s="75" t="e">
        <f t="array" aca="1" ref="ADR10" ca="1">INDEX(Canals!$G$24:$G$29,MATCH(2,1/((Canals!$F$24:$F$29&lt;=$C10)*(Canals!$G$24:$G$29=_xlfn.IFS(AAC10="Handysize",Main!ACL10,AAC10="Supramax",ACE10,AAC10="Panamax",ABX10,AAC10="NeoPanamax",ABQ10,AAC10="Suezmax",ABJ10,AAC10="Capesize",ABC10,AAC10="VLOC",AAV10)))))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S10" s="75" t="e">
        <f t="array" aca="1" ref="ADS10" ca="1">INDEX(Canals!$H$24:$H$29,MATCH(2,1/((Canals!$F$24:$F$29&lt;=$C10)*(Canals!$G$24:$G$29=_xlfn.IFS(AAC10="Handysize",Main!ACL10,AAC10="Supramax",ACE10,AAC10="Panamax",ABX10,AAC10="NeoPanamax",ABQ10,AAC10="Suezmax",ABJ10,AAC10="Capesize",ABC10,AAC10="VLOC",AAV10)))))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T10" s="75" t="e">
        <f t="array" aca="1" ref="ADT10" ca="1">INDEX(Canals!$I$24:$I$29,MATCH(2,1/((Canals!$F$24:$F$29&lt;=$C10)*(Canals!$G$24:$G$29=_xlfn.IFS(AAC10="Handysize",Main!ACL10,AAC10="Supramax",ACE10,AAC10="Panamax",ABX10,AAC10="NeoPanamax",ABQ10,AAC10="Suezmax",ABJ10,AAC10="Capesize",ABC10,AAC10="VLOC",AAV10)))))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U10" s="75" t="e">
        <f t="array" aca="1" ref="ADU10" ca="1">INDEX(Canals!$J$24:$J$29,MATCH(2,1/((Canals!$F$24:$F$29&lt;=$C10)*(Canals!$G$24:$G$29=_xlfn.IFS(AAC10="Handysize",Main!ACL10,AAC10="Supramax",ACE10,AAC10="Panamax",ABX10,AAC10="NeoPanamax",ABQ10,AAC10="Suezmax",ABJ10,AAC10="Capesize",ABC10,AAC10="VLOC",AAV10)))))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V10" s="75" t="e">
        <f t="array" aca="1" ref="ADV10" ca="1">INDEX(Canals!$K$24:$K$29,MATCH(2,1/((Canals!$F$24:$F$29&lt;=$C10)*(Canals!$G$24:$G$29=_xlfn.IFS(AAC10="Handysize",Main!ACL10,AAC10="Supramax",ACE10,AAC10="Panamax",ABX10,AAC10="NeoPanamax",ABQ10,AAC10="Suezmax",ABJ10,AAC10="Capesize",ABC10,AAC10="VLOC",AAV10)))))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W10" s="75" t="e">
        <f t="array" aca="1" ref="ADW10" ca="1">INDEX(Canals!$L$24:$L$29,MATCH(2,1/((Canals!$F$24:$F$29&lt;=$C10)*(Canals!$G$24:$G$29=_xlfn.IFS(AAC10="Handysize",Main!ACL10,AAC10="Supramax",ACE10,AAC10="Panamax",ABX10,AAC10="NeoPanamax",ABQ10,AAC10="Suezmax",ABJ10,AAC10="Capesize",ABC10,AAC10="VLOC",AAV10)))))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X10" s="75" t="e">
        <f t="array" aca="1" ref="ADX10" ca="1">INDEX(Canals!$M$24:$M$29,MATCH(2,1/((Canals!$F$24:$F$29&lt;=$C10)*(Canals!$G$24:$G$29=_xlfn.IFS(AAC10="Handysize",Main!ACL10,AAC10="Supramax",ACE10,AAC10="Panamax",ABX10,AAC10="NeoPanamax",ABQ10,AAC10="Suezmax",ABJ10,AAC10="Capesize",ABC10,AAC10="VLOC",AAV10)))))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Y10" s="75" t="e">
        <f t="array" aca="1" ref="ADY10" ca="1">INDEX(Canals!$N$24:$N$29,MATCH(2,1/((Canals!$F$24:$F$29&lt;=$C10)*(Canals!$G$24:$G$29=_xlfn.IFS(AAC10="Handysize",Main!ACL10,AAC10="Supramax",ACE10,AAC10="Panamax",ABX10,AAC10="NeoPanamax",ABQ10,AAC10="Suezmax",ABJ10,AAC10="Capesize",ABC10,AAC10="VLOC",AAV10)))))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DZ10" s="75" t="e">
        <f t="array" aca="1" ref="ADZ10" ca="1">INDEX(Canals!$O$24:$O$29,MATCH(2,1/((Canals!$F$24:$F$29&lt;=$C10)*(Canals!$G$24:$G$29=_xlfn.IFS(AAC10="Handysize",Main!ACL10,AAC10="Supramax",ACE10,AAC10="Panamax",ABX10,AAC10="NeoPanamax",ABQ10,AAC10="Suezmax",ABJ10,AAC10="Capesize",ABC10,AAC10="VLOC",AAV10)))))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A10" s="75" t="e">
        <f t="array" aca="1" ref="AEA10" ca="1">INDEX(Canals!$P$24:$P$29,MATCH(2,1/((Canals!$F$24:$F$29&lt;=$C10)*(Canals!$G$24:$G$29=_xlfn.IFS(AAC10="Handysize",Main!ACL10,AAC10="Supramax",ACE10,AAC10="Panamax",ABX10,AAC10="NeoPanamax",ABQ10,AAC10="Suezmax",ABJ10,AAC10="Capesize",ABC10,AAC10="VLOC",AAV10)))))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B10" s="75" t="e">
        <f t="array" aca="1" ref="AEB10" ca="1">INDEX(Canals!$Q$24:$Q$29,MATCH(2,1/((Canals!$F$24:$F$29&lt;=$C10)*(Canals!$G$24:$G$29=_xlfn.IFS(AAC10="Handysize",Main!ACL10,AAC10="Supramax",ACE10,AAC10="Panamax",ABX10,AAC10="NeoPanamax",ABQ10,AAC10="Suezmax",ABJ10,AAC10="Capesize",ABC10,AAC10="VLOC",AAV10)))))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C10" s="75" t="e">
        <f t="array" aca="1" ref="AEC10" ca="1">INDEX(Canals!$R$24:$R$29,MATCH(2,1/((Canals!$F$24:$F$29&lt;=$C10)*(Canals!$G$24:$G$29=_xlfn.IFS(AAC10="Handysize",Main!ACL10,AAC10="Supramax",ACE10,AAC10="Panamax",ABX10,AAC10="NeoPanamax",ABQ10,AAC10="Suezmax",ABJ10,AAC10="Capesize",ABC10,AAC10="VLOC",AAV10)))))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D10" s="136" t="e">
        <f t="array" aca="1" ref="AED10" ca="1">INDEX(Canals!$S$24:$S$29,MATCH(2,1/((Canals!$F$24:$F$29&lt;=$C10)*(Canals!$G$24:$G$29=_xlfn.IFS(AAC10="Handysize",Main!ACL10,AAC10="Supramax",ACE10,AAC10="Panamax",ABX10,AAC10="NeoPanamax",ABQ10,AAC10="Suezmax",ABJ10,AAC10="Capesize",ABC10,AAC10="VLOC",AAV10)))))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E10" s="136" t="e">
        <f t="array" aca="1" ref="AEE10" ca="1">INDEX(Canals!$T$24:$T$29,MATCH(2,1/((Canals!$F$24:$F$29&lt;=$C10)*(Canals!$G$24:$G$29=_xlfn.IFS(AAC10="Handysize",Main!ACL10,AAC10="Supramax",ACE10,AAC10="Panamax",ABX10,AAC10="NeoPanamax",ABQ10,AAC10="Suezmax",ABJ10,AAC10="Capesize",ABC10,AAC10="VLOC",AAV10)))))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F10" s="136" t="e">
        <f t="array" aca="1" ref="AEF10" ca="1">INDEX(Canals!$U$24:$U$29,MATCH(2,1/((Canals!$F$24:$F$29&lt;=$C10)*(Canals!$G$24:$G$29=_xlfn.IFS(AAC10="Handysize",Main!ACL10,AAC10="Supramax",ACE10,AAC10="Panamax",ABX10,AAC10="NeoPanamax",ABQ10,AAC10="Suezmax",ABJ10,AAC10="Capesize",ABC10,AAC10="VLOC",AAV10)))))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G10" s="136" t="e">
        <f t="array" aca="1" ref="AEG10" ca="1">INDEX(Canals!$V$24:$V$29,MATCH(2,1/((Canals!$F$24:$F$29&lt;=$C10)*(Canals!$G$24:$G$29=_xlfn.IFS(AAC10="Handysize",Main!ACL10,AAC10="Supramax",ACE10,AAC10="Panamax",ABX10,AAC10="NeoPanamax",ABQ10,AAC10="Suezmax",ABJ10,AAC10="Capesize",ABC10,AAC10="VLOC",AAV10)))))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H10" s="136" t="e">
        <f t="array" aca="1" ref="AEH10" ca="1">INDEX(Canals!$W$24:$W$29,MATCH(2,1/((Canals!$F$24:$F$29&lt;=$C10)*(Canals!$G$24:$G$29=_xlfn.IFS(AAC10="Handysize",Main!ACL10,AAC10="Supramax",ACE10,AAC10="Panamax",ABX10,AAC10="NeoPanamax",ABQ10,AAC10="Suezmax",ABJ10,AAC10="Capesize",ABC10,AAC10="VLOC",AAV10)))))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I10" s="136" t="e">
        <f t="array" aca="1" ref="AEI10" ca="1">INDEX(Canals!$X$24:$X$29,MATCH(2,1/((Canals!$F$24:$F$29&lt;=$C10)*(Canals!$G$24:$G$29=_xlfn.IFS(AAC10="Handysize",Main!ACL10,AAC10="Supramax",ACE10,AAC10="Panamax",ABX10,AAC10="NeoPanamax",ABQ10,AAC10="Suezmax",ABJ10,AAC10="Capesize",ABC10,AAC10="VLOC",AAV10)))))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J10" s="136" t="e">
        <f t="array" aca="1" ref="AEJ10" ca="1">INDEX(Canals!$Y$24:$Y$29,MATCH(2,1/((Canals!$F$24:$F$29&lt;=$C10)*(Canals!$G$24:$G$29=_xlfn.IFS(AAC10="Handysize",Main!ACL10,AAC10="Supramax",ACE10,AAC10="Panamax",ABX10,AAC10="NeoPanamax",ABQ10,AAC10="Suezmax",ABJ10,AAC10="Capesize",ABC10,AAC10="VLOC",AAV10)))))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K10" s="136" t="e">
        <f t="array" aca="1" ref="AEK10" ca="1">INDEX(Canals!$Z$24:$Z$29,MATCH(2,1/((Canals!$F$24:$F$29&lt;=$C10)*(Canals!$G$24:$G$29=_xlfn.IFS(AAC10="Handysize",Main!ACL10,AAC10="Supramax",ACE10,AAC10="Panamax",ABX10,AAC10="NeoPanamax",ABQ10,AAC10="Suezmax",ABJ10,AAC10="Capesize",ABC10,AAC10="VLOC",AAV10)))))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L10" s="136" t="e">
        <f t="array" aca="1" ref="AEL10" ca="1">INDEX(Canals!$AA$24:$AA$29,MATCH(2,1/((Canals!$F$24:$F$29&lt;=$C10)*(Canals!$G$24:$G$29=_xlfn.IFS(AAC10="Handysize",Main!ACL10,AAC10="Supramax",ACE10,AAC10="Panamax",ABX10,AAC10="NeoPanamax",ABQ10,AAC10="Suezmax",ABJ10,AAC10="Capesize",ABC10,AAC10="VLOC",AAV10)))))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M10" s="136" t="e">
        <f t="array" aca="1" ref="AEM10" ca="1">INDEX(Canals!$AB$24:$AB$29,MATCH(2,1/((Canals!$F$24:$F$29&lt;=$C10)*(Canals!$G$24:$G$29=_xlfn.IFS(AAC10="Handysize",Main!ACL10,AAC10="Supramax",ACE10,AAC10="Panamax",ABX10,AAC10="NeoPanamax",ABQ10,AAC10="Suezmax",ABJ10,AAC10="Capesize",ABC10,AAC10="VLOC",AAV10)))))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N10" s="75" t="e">
        <f t="array" aca="1" ref="AEN10" ca="1">INDEX(Canals!$AC$24:$AC$29,MATCH(2,1/((Canals!$F$24:$F$29&lt;=$C10)*(Canals!$G$24:$G$29=_xlfn.IFS(AAC10="Handysize",Main!ACL10,AAC10="Supramax",ACE10,AAC10="Panamax",ABX10,AAC10="NeoPanamax",ABQ10,AAC10="Suezmax",ABJ10,AAC10="Capesize",ABC10,AAC10="VLOC",AAV10)))))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O10" s="75" t="e">
        <f t="array" aca="1" ref="AEO10" ca="1">INDEX(Canals!$AD$24:$AD$29,MATCH(2,1/((Canals!$F$24:$F$29&lt;=$C10)*(Canals!$G$24:$G$29=_xlfn.IFS(AAC10="Handysize",Main!ACL10,AAC10="Supramax",ACE10,AAC10="Panamax",ABX10,AAC10="NeoPanamax",ABQ10,AAC10="Suezmax",ABJ10,AAC10="Capesize",ABC10,AAC10="VLOC",AAV10)))))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P10" s="75" t="e">
        <f t="array" aca="1" ref="AEP10" ca="1">INDEX(Canals!$AE$24:$AE$29,MATCH(2,1/((Canals!$F$24:$F$29&lt;=$C10)*(Canals!$G$24:$G$29=_xlfn.IFS(AAC10="Handysize",Main!ACL10,AAC10="Supramax",ACE10,AAC10="Panamax",ABX10,AAC10="NeoPanamax",ABQ10,AAC10="Suezmax",ABJ10,AAC10="Capesize",ABC10,AAC10="VLOC",AAV10)))))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Q10" s="75" t="e">
        <f t="array" aca="1" ref="AEQ10" ca="1">INDEX(Canals!$AF$24:$AF$29,MATCH(2,1/((Canals!$F$24:$F$29&lt;=$C10)*(Canals!$G$24:$G$29=_xlfn.IFS(AAC10="Handysize",Main!ACL10,AAC10="Supramax",ACE10,AAC10="Panamax",ABX10,AAC10="NeoPanamax",ABQ10,AAC10="Suezmax",ABJ10,AAC10="Capesize",ABC10,AAC10="VLOC",AAV10)))))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R10" s="75" t="e">
        <f t="array" aca="1" ref="AER10" ca="1">INDEX(Canals!$AG$24:$AG$29,MATCH(2,1/((Canals!$F$24:$F$29&lt;=$C10)*(Canals!$G$24:$G$29=_xlfn.IFS(AAC10="Handysize",Main!ACL10,AAC10="Supramax",ACE10,AAC10="Panamax",ABX10,AAC10="NeoPanamax",ABQ10,AAC10="Suezmax",ABJ10,AAC10="Capesize",ABC10,AAC10="VLOC",AAV10)))))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S10" s="75" t="e">
        <f t="array" aca="1" ref="AES10" ca="1">INDEX(Canals!$AH$24:$AH$29,MATCH(2,1/((Canals!$F$24:$F$29&lt;=$C10)*(Canals!$G$24:$G$29=_xlfn.IFS(AAC10="Handysize",Main!ACL10,AAC10="Supramax",ACE10,AAC10="Panamax",ABX10,AAC10="NeoPanamax",ABQ10,AAC10="Suezmax",ABJ10,AAC10="Capesize",ABC10,AAC10="VLOC",AAV10)))))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T10" s="75" t="e">
        <f t="array" aca="1" ref="AET10" ca="1">INDEX(Canals!$AI$24:$AI$29,MATCH(2,1/((Canals!$F$24:$F$29&lt;=$C10)*(Canals!$G$24:$G$29=_xlfn.IFS(AAC10="Handysize",Main!ACL10,AAC10="Supramax",ACE10,AAC10="Panamax",ABX10,AAC10="NeoPanamax",ABQ10,AAC10="Suezmax",ABJ10,AAC10="Capesize",ABC10,AAC10="VLOC",AAV10)))))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U10" s="75" t="e">
        <f t="array" aca="1" ref="AEU10" ca="1">INDEX(Canals!$AJ$24:$AJ$29,MATCH(2,1/((Canals!$F$24:$F$29&lt;=$C10)*(Canals!$G$24:$G$29=_xlfn.IFS(AAC10="Handysize",Main!ACL10,AAC10="Supramax",ACE10,AAC10="Panamax",ABX10,AAC10="NeoPanamax",ABQ10,AAC10="Suezmax",ABJ10,AAC10="Capesize",ABC10,AAC10="VLOC",AAV10)))))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V10" s="75" t="e">
        <f t="array" aca="1" ref="AEV10" ca="1">INDEX(Canals!$AK$24:$AK$29,MATCH(2,1/((Canals!$F$24:$F$29&lt;=$C10)*(Canals!$G$24:$G$29=_xlfn.IFS(AAC10="Handysize",Main!ACL10,AAC10="Supramax",ACE10,AAC10="Panamax",ABX10,AAC10="NeoPanamax",ABQ10,AAC10="Suezmax",ABJ10,AAC10="Capesize",ABC10,AAC10="VLOC",AAV10)))))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W10" s="136" t="e">
        <f t="array" aca="1" ref="AEW10" ca="1">INDEX(Canals!$AL$24:$AL$29,MATCH(2,1/((Canals!$F$24:$F$29&lt;=$C10)*(Canals!$G$24:$G$29=_xlfn.IFS(AAC10="Handysize",Main!ACL10,AAC10="Supramax",ACE10,AAC10="Panamax",ABX10,AAC10="NeoPanamax",ABQ10,AAC10="Suezmax",ABJ10,AAC10="Capesize",ABC10,AAC10="VLOC",AAV10)))))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X10" s="136" t="e">
        <f t="array" aca="1" ref="AEX10" ca="1">INDEX(Canals!$AM$24:$AM$29,MATCH(2,1/((Canals!$F$24:$F$29&lt;=$C10)*(Canals!$G$24:$G$29=_xlfn.IFS(AAC10="Handysize",Main!ACL10,AAC10="Supramax",ACE10,AAC10="Panamax",ABX10,AAC10="NeoPanamax",ABQ10,AAC10="Suezmax",ABJ10,AAC10="Capesize",ABC10,AAC10="VLOC",AAV10)))))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Y10" s="136" t="e">
        <f t="array" aca="1" ref="AEY10" ca="1">INDEX(Canals!$AN$24:$AN$29,MATCH(2,1/((Canals!$F$24:$F$29&lt;=$C10)*(Canals!$G$24:$G$29=_xlfn.IFS(AAC10="Handysize",Main!ACL10,AAC10="Supramax",ACE10,AAC10="Panamax",ABX10,AAC10="NeoPanamax",ABQ10,AAC10="Suezmax",ABJ10,AAC10="Capesize",ABC10,AAC10="VLOC",AAV10)))))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EZ10" s="136" t="e">
        <f t="array" aca="1" ref="AEZ10" ca="1">INDEX(Canals!$AO$24:$AO$29,MATCH(2,1/((Canals!$F$24:$F$29&lt;=$C10)*(Canals!$G$24:$G$29=_xlfn.IFS(AAC10="Handysize",Main!ACL10,AAC10="Supramax",ACE10,AAC10="Panamax",ABX10,AAC10="NeoPanamax",ABQ10,AAC10="Suezmax",ABJ10,AAC10="Capesize",ABC10,AAC10="VLOC",AAV10)))))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A10" s="136" t="e">
        <f t="array" aca="1" ref="AFA10" ca="1">INDEX(Canals!$AP$24:$AP$29,MATCH(2,1/((Canals!$F$24:$F$29&lt;=$C10)*(Canals!$G$24:$G$29=_xlfn.IFS(AAC10="Handysize",Main!ACL10,AAC10="Supramax",ACE10,AAC10="Panamax",ABX10,AAC10="NeoPanamax",ABQ10,AAC10="Suezmax",ABJ10,AAC10="Capesize",ABC10,AAC10="VLOC",AAV10)))))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B10" s="136" t="e">
        <f t="array" aca="1" ref="AFB10" ca="1">INDEX(Canals!$AQ$24:$AQ$29,MATCH(2,1/((Canals!$F$24:$F$29&lt;=$C10)*(Canals!$G$24:$G$29=_xlfn.IFS(AAC10="Handysize",Main!ACL10,AAC10="Supramax",ACE10,AAC10="Panamax",ABX10,AAC10="NeoPanamax",ABQ10,AAC10="Suezmax",ABJ10,AAC10="Capesize",ABC10,AAC10="VLOC",AAV10)))))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C10" s="136" t="e">
        <f t="array" aca="1" ref="AFC10" ca="1">INDEX(Canals!$AR$24:$AR$29,MATCH(2,1/((Canals!$F$24:$F$29&lt;=$C10)*(Canals!$G$24:$G$29=_xlfn.IFS(AAC10="Handysize",Main!ACL10,AAC10="Supramax",ACE10,AAC10="Panamax",ABX10,AAC10="NeoPanamax",ABQ10,AAC10="Suezmax",ABJ10,AAC10="Capesize",ABC10,AAC10="VLOC",AAV10)))))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D10" s="136" t="e">
        <f t="array" aca="1" ref="AFD10" ca="1">INDEX(Canals!$AS$24:$AS$29,MATCH(2,1/((Canals!$F$24:$F$29&lt;=$C10)*(Canals!$G$24:$G$29=_xlfn.IFS(AAC10="Handysize",Main!ACL10,AAC10="Supramax",ACE10,AAC10="Panamax",ABX10,AAC10="NeoPanamax",ABQ10,AAC10="Suezmax",ABJ10,AAC10="Capesize",ABC10,AAC10="VLOC",AAV10)))))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E10" s="136" t="e">
        <f t="array" aca="1" ref="AFE10" ca="1">INDEX(Canals!$AT$24:$AT$29,MATCH(2,1/((Canals!$F$24:$F$29&lt;=$C10)*(Canals!$G$24:$G$29=_xlfn.IFS(AAC10="Handysize",Main!ACL10,AAC10="Supramax",ACE10,AAC10="Panamax",ABX10,AAC10="NeoPanamax",ABQ10,AAC10="Suezmax",ABJ10,AAC10="Capesize",ABC10,AAC10="VLOC",AAV10)))))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F10" s="136" t="e">
        <f t="array" aca="1" ref="AFF10" ca="1">INDEX(Canals!$AU$24:$AU$29,MATCH(2,1/((Canals!$F$24:$F$29&lt;=$C10)*(Canals!$G$24:$G$29=_xlfn.IFS(AAC10="Handysize",Main!ACL10,AAC10="Supramax",ACE10,AAC10="Panamax",ABX10,AAC10="NeoPanamax",ABQ10,AAC10="Suezmax",ABJ10,AAC10="Capesize",ABC10,AAC10="VLOC",AAV10)))))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G10" s="136" t="e">
        <f t="array" aca="1" ref="AFG10" ca="1">INDEX(Canals!$AV$24:$AV$29,MATCH(2,1/((Canals!$F$24:$F$29&lt;=$C10)*(Canals!$G$24:$G$29=_xlfn.IFS(AAC10="Handysize",Main!ACL10,AAC10="Supramax",ACE10,AAC10="Panamax",ABX10,AAC10="NeoPanamax",ABQ10,AAC10="Suezmax",ABJ10,AAC10="Capesize",ABC10,AAC10="VLOC",AAV10)))))</f>
        <v>#N/A</v>
      </c>
      <c r="AFI10" s="75" t="e">
        <f t="array" aca="1" ref="AFI10" ca="1">_xlfn.IFS(ADT10="DWT",AAA10,ADT10="NRT",AAE10,ADT10="GRT",AAF10)</f>
        <v>#NAME?</v>
      </c>
      <c r="AFJ10" s="279" t="e">
        <f t="shared" ref="AFJ10:AFJ23" ca="1" si="176">IF(AFI10&gt;ADU10,ADU10,AFI10)</f>
        <v>#NAME?</v>
      </c>
      <c r="AFK10" s="280" t="e">
        <f t="shared" ref="AFK10:AFK23" ca="1" si="177">IF(AFI10&gt;SUM(ADU10:ADV10),ADV10,AFI10-SUM(AFJ10:AFJ10))</f>
        <v>#NAME?</v>
      </c>
      <c r="AFL10" s="280" t="e">
        <f t="shared" ref="AFL10:AFL23" ca="1" si="178">IF(AFI10&gt;SUM(ADU10:ADW10),ADW10,AFI10-SUM(AFJ10:AFK10))</f>
        <v>#NAME?</v>
      </c>
      <c r="AFM10" s="280" t="e">
        <f t="shared" ref="AFM10:AFM23" ca="1" si="179">IF(AFI10&gt;SUM(ADU10:ADX10),ADX10,AFI10-SUM(AFJ10:AFL10))</f>
        <v>#NAME?</v>
      </c>
      <c r="AFN10" s="280" t="e">
        <f t="shared" ref="AFN10:AFN23" ca="1" si="180">IF(AFI10&gt;SUM(ADU10:ADY10),ADY10,AFI10-SUM(AFJ10:AFM10))</f>
        <v>#NAME?</v>
      </c>
      <c r="AFO10" s="280" t="e">
        <f t="shared" ref="AFO10:AFO23" ca="1" si="181">IF(AFI10&gt;SUM(ADU10:ADZ10),ADZ10,AFI10-SUM(AFJ10:AFN10))</f>
        <v>#NAME?</v>
      </c>
      <c r="AFP10" s="280" t="e">
        <f t="shared" ref="AFP10:AFP23" ca="1" si="182">IF(AFI10&gt;SUM(ADU10:AEA10),AEA10,AFI10-SUM(AFJ10:AFO10))</f>
        <v>#NAME?</v>
      </c>
      <c r="AFQ10" s="280" t="e">
        <f t="shared" ref="AFQ10:AFQ23" ca="1" si="183">IF(AFI10&gt;SUM(ADU10:AEB10),AEB10,AFI10-SUM(AFJ10:AFP10))</f>
        <v>#NAME?</v>
      </c>
      <c r="AFR10" s="280" t="e">
        <f t="shared" ref="AFR10:AFR23" ca="1" si="184">IF(AFI10&gt;SUM(ADU10:AEC10),AEC10,AFI10-SUM(AFJ10:AFQ10))</f>
        <v>#NAME?</v>
      </c>
      <c r="AFS10" s="75">
        <f t="shared" ref="AFS10:AFS23" si="185">AAA10*$JN10</f>
        <v>160874.9999999998</v>
      </c>
      <c r="AFT10" s="279" t="e">
        <f t="shared" ref="AFT10:AFT23" ca="1" si="186">IF(AFS10&gt;AEN10,AEN10,AFS10)</f>
        <v>#N/A</v>
      </c>
      <c r="AFU10" s="280" t="e">
        <f t="shared" ref="AFU10:AFU23" ca="1" si="187">IF(AFS10&gt;SUM(AEN10:AEO10),AEO10,AFS10-SUM(AFT10:AFT10))</f>
        <v>#N/A</v>
      </c>
      <c r="AFV10" s="280" t="e">
        <f t="shared" ref="AFV10:AFV23" ca="1" si="188">IF(AFS10&gt;SUM(AEN10:AEP10),AEP10,AFS10-SUM(AFT10:AFU10))</f>
        <v>#N/A</v>
      </c>
      <c r="AFW10" s="280" t="e">
        <f t="shared" ref="AFW10:AFW23" ca="1" si="189">IF(AFS10&gt;SUM(AEN10:AEQ10),AEQ10,AFS10-SUM(AFT10:AFV10))</f>
        <v>#N/A</v>
      </c>
      <c r="AFX10" s="280" t="e">
        <f t="shared" ref="AFX10:AFX23" ca="1" si="190">IF(AFS10&gt;SUM(AEN10:AER10),AER10,AFS10-SUM(AFT10:AFW10))</f>
        <v>#N/A</v>
      </c>
      <c r="AFY10" s="280" t="e">
        <f t="shared" ref="AFY10:AFY23" ca="1" si="191">IF(AFS10&gt;SUM(AEN10:AES10),AES10,AFS10-SUM(AFT10:AFX10))</f>
        <v>#N/A</v>
      </c>
      <c r="AFZ10" s="280" t="e">
        <f t="shared" ref="AFZ10:AFZ23" ca="1" si="192">IF(AFS10&gt;SUM(AEN10:AET10),AET10,AFS10-SUM(AFT10:AFY10))</f>
        <v>#N/A</v>
      </c>
      <c r="AGA10" s="280" t="e">
        <f t="shared" ref="AGA10:AGA23" ca="1" si="193">IF(AFS10&gt;SUM(AEN10:AEU10),AEU10,AFS10-SUM(AFT10:AFZ10))</f>
        <v>#N/A</v>
      </c>
      <c r="AGB10" s="280" t="e">
        <f t="shared" ref="AGB10:AGB23" ca="1" si="194">IF(AFS10&gt;SUM(AEN10:AEV10),AEV10,AFS10-SUM(AFT10:AGA10))</f>
        <v>#N/A</v>
      </c>
      <c r="AGD10" s="75" t="e">
        <f t="array" aca="1" ref="AGD10" ca="1">_xlfn.IFS(AAC10="Handysize",Main!ACF10,AAC10="Supramax",ABY10,AAC10="Panamax",ABR10,AAC10="NeoPanamax",ABK10,AAC10="Suezmax",ABD10,AAC10="Capesize",AAW10,AAC10="VLOC",AAP10)*$JI10</f>
        <v>#NAME?</v>
      </c>
      <c r="AGE10" s="274" t="e">
        <f t="array" aca="1" ref="AGE10" ca="1">_xlfn.IFS(AAC10="Handysize",Main!ACG10,AAC10="Supramax",ABZ10,AAC10="Panamax",ABS10,AAC10="NeoPanamax",ABL10,AAC10="Suezmax",ABE10,AAC10="Capesize",AAX10,AAC10="VLOC",AAQ10)*$JI10</f>
        <v>#NAME?</v>
      </c>
      <c r="AGF10" s="71" t="e">
        <f t="array" aca="1" ref="AGF10" ca="1">_xlfn.IFS(AAC10="Handysize",Main!AAH10,AAC10="Supramax",AAI10,AAC10="Panamax",AAJ10,AAC10="NeoPanamax",AAK10,AAC10="Suezmax",AAL10,AAC10="Capesize",AAM10,AAC10="VLOC",AAN10)</f>
        <v>#NAME?</v>
      </c>
      <c r="AGG10" s="71" t="e">
        <f t="array" aca="1" ref="AGG10" ca="1">_xlfn.IFS(AAC10="Handysize",Main!ACT10,AAC10="Supramax",ACU10,AAC10="Panamax",ACV10,AAC10="NeoPanamax",ACW10,AAC10="Suezmax",ACX10,AAC10="Capesize",ACY10,AAC10="VLOC",ACZ10)</f>
        <v>#NAME?</v>
      </c>
      <c r="AGH10" s="70">
        <f t="array" ref="AGH10">INDEX('Ship Speeds'!$G$11:$G$1011,MATCH(2,1/(('Ship Speeds'!$E$11:$E$1011&lt;=Main!$C10)*('Ship Speeds'!$F$11:$F$1011=Main!AAB10))))</f>
        <v>11</v>
      </c>
      <c r="AGI10" s="403">
        <f t="shared" ref="AGI10:AGI23" si="195">(($KH10*AGH10^2+$KI10*AGH10^3+$KG10*AGH10)*((AAA10/$KC10)^$KD10)*$KJ10+(AAA10/$KC10)*$KF10+$KE10)</f>
        <v>33.996722591365682</v>
      </c>
      <c r="AGJ10" s="401">
        <f t="shared" ref="AGJ10:AGJ23" si="196">(AAA10/$JY10)*$JZ10+$KA10+$KB10*(AAA10/$JY10)^2</f>
        <v>2.9621999999999975</v>
      </c>
      <c r="AGK10" s="70" t="e">
        <f t="shared" ref="AGK10:AGK23" ca="1" si="197">AGD10/AGH10/$JH10</f>
        <v>#NAME?</v>
      </c>
      <c r="AGL10" s="70" t="e">
        <f t="shared" ref="AGL10:AGL23" ca="1" si="198">AGE10/AGH10/$JH10</f>
        <v>#NAME?</v>
      </c>
      <c r="AGM10" s="70" t="e">
        <f t="shared" ref="AGM10:AGM23" ca="1" si="199">IF($AO10="no",$AN10,$AR10)/(1-$AL10)/AGF10</f>
        <v>#NAME?</v>
      </c>
      <c r="AGN10" s="70" t="e">
        <f t="shared" ref="AGN10:AGN23" ca="1" si="200">IF($AO10="no",$AN10,$AR10)/(1-$AL10)/AGG10</f>
        <v>#NAME?</v>
      </c>
      <c r="AGO10" s="72" t="e">
        <f t="shared" ref="AGO10:AGO23" ca="1" si="201">AFG10*$JI10</f>
        <v>#N/A</v>
      </c>
      <c r="AGP10" s="70" t="e">
        <f t="shared" ref="AGP10:AGP23" ca="1" si="202">MAX(SUM(AGK10:AGO10)*$JV10,$JU10)</f>
        <v>#NAME?</v>
      </c>
      <c r="AGQ10" s="70" t="e">
        <f t="array" aca="1" ref="AGQ10" ca="1">INDEX(ACN10:ACR10,MATCH(_xlfn.IFS(AAC10="Handysize",Main!ACJ10,AAC10="Supramax",ACC10,AAC10="Panamax",ABV10,AAC10="NeoPanamax",ABO10,AAC10="Suezmax",ABH10,AAC10="Capesize",ABA10,AAC10="VLOC",AAT10),$ACN$7:$ACR$7,0))</f>
        <v>#NAME?</v>
      </c>
      <c r="AGR10" s="70" t="e">
        <f t="array" aca="1" ref="AGR10" ca="1">INDEX(ACN10:ACR10,MATCH(_xlfn.IFS(AAC10="Handysize",Main!ACK10,AAC10="Supramax",ACD10,AAC10="Panamax",ABW10,AAC10="NeoPanamax",ABP10,AAC10="Suezmax",ABI10,AAC10="Capesize",ABB10,AAC10="VLOC",AAU10),$ACN$7:$ACR$7,0))</f>
        <v>#NAME?</v>
      </c>
      <c r="AGS10" s="71" t="e">
        <f t="shared" ref="AGS10:AGS23" ca="1" si="203">AGK10*AGI10*AGQ10</f>
        <v>#NAME?</v>
      </c>
      <c r="AGT10" s="71" t="e">
        <f t="shared" ref="AGT10:AGT23" ca="1" si="204">SUM(AGM10:AGP10)*AGJ10*AGR10+AGL10*AGI10*AGR10</f>
        <v>#NAME?</v>
      </c>
      <c r="AGU10" s="281">
        <f t="shared" ref="AGU10:AGU23" si="205">INDEX($JA10:$JD10,MATCH(ADA10,$JA$7:$JD$7,0))</f>
        <v>6.9820000000000002</v>
      </c>
      <c r="AGV10" s="71">
        <f t="shared" ref="AGV10:AGV23" si="206">ADB10/AGU10</f>
        <v>1767.6883414494414</v>
      </c>
      <c r="AGW10" s="71" t="e">
        <f t="shared" ref="AGW10:AGW23" ca="1" si="207">ADC10*SUM(AGN10,$JX10)/AGU10</f>
        <v>#NAME?</v>
      </c>
      <c r="AGX10" s="71" t="e">
        <f t="shared" ref="AGX10:AGX23" ca="1" si="208">ADD10*(AGP10*(1-$JW10))/AGU10</f>
        <v>#NAME?</v>
      </c>
      <c r="AGY10" s="71">
        <f t="shared" ref="AGY10:AGY23" si="209">ADE10*(AAA10*$JN10)/AGU10</f>
        <v>60829.275279289526</v>
      </c>
      <c r="AGZ10" s="71" t="e">
        <f t="shared" ref="AGZ10:AGZ23" ca="1" si="210">ADF10*(AAA10*$JN10)*SUM(AGN10,$JX10)/AGU10</f>
        <v>#NAME?</v>
      </c>
      <c r="AHA10" s="71" t="e">
        <f t="shared" ref="AHA10:AHA23" ca="1" si="211">ADG10*(AAA10*$JN10)*(AGP10*(1-$JW10))/AGU10</f>
        <v>#NAME?</v>
      </c>
      <c r="AHB10" s="71">
        <f t="shared" ref="AHB10:AHB23" si="212">ADH10*AAE10/AGU10</f>
        <v>43185.524205098765</v>
      </c>
      <c r="AHC10" s="71" t="e">
        <f t="shared" ref="AHC10:AHC23" ca="1" si="213">ADI10*AAE10*SUM(AGN10,$JX10)/AGU10</f>
        <v>#NAME?</v>
      </c>
      <c r="AHD10" s="71" t="e">
        <f t="shared" ref="AHD10:AHD23" ca="1" si="214">ADJ10*AAE10*(AGP10*(1-$JW10))/AGU10</f>
        <v>#NAME?</v>
      </c>
      <c r="AHE10" s="71">
        <f t="shared" ref="AHE10:AHE23" si="215">ADK10*AAF10/AGU10</f>
        <v>0</v>
      </c>
      <c r="AHF10" s="71" t="e">
        <f t="shared" ref="AHF10:AHF23" ca="1" si="216">ADL10*AAF10*SUM(AGN10,$JX10)/AGU10</f>
        <v>#NAME?</v>
      </c>
      <c r="AHG10" s="71" t="e">
        <f t="shared" ref="AHG10:AHG23" ca="1" si="217">ADM10*AAF10*(AGP10*(1-$JW10))/AGU10</f>
        <v>#NAME?</v>
      </c>
      <c r="AHH10" s="72">
        <f t="shared" ref="AHH10:AHH23" si="218">ADN10*AAD10/AGU10</f>
        <v>8180.635204812369</v>
      </c>
      <c r="AHI10" s="72" t="e">
        <f t="shared" ref="AHI10:AHI23" ca="1" si="219">ADO10*AAD10*SUM(AGN10,$JX10)/AGU10</f>
        <v>#NAME?</v>
      </c>
      <c r="AHJ10" s="71" t="e">
        <f t="shared" ref="AHJ10:AHJ23" ca="1" si="220">ADP10*AAD10*(AGP10*(1-$JW10))/AGU10</f>
        <v>#NAME?</v>
      </c>
      <c r="AHK10" s="71" t="e">
        <f t="array" aca="1" ref="AHK10" ca="1">INDEX('Ship Time Charter Rates'!$H$22:$H$1021,MATCH(2,1/(('Ship Time Charter Rates'!$G$22:$G$1021=_xlfn.IFS(AAC10="Handysize",Main!ACH10,AAC10="Supramax",ACA10,AAC10="Panamax",ABT10,AAC10="NeoPanamax",ABM10,AAC10="Suezmax",ABF10,AAC10="Capesize",AAY10,AAC10="VLOC",AAR10))*('Ship Time Charter Rates'!$E$22:$E$1021&lt;=Main!$C10)*(NOT(ISBLANK('Ship Time Charter Rates'!$H$22:$H$1021))))))</f>
        <v>#N/A</v>
      </c>
      <c r="AHL10" s="71" t="e">
        <f t="shared" ref="AHL10:AHL23" ca="1" si="221">SUM(AGK10:AGP10,$JI10*$JX10)*AHK10</f>
        <v>#NAME?</v>
      </c>
      <c r="AHM10" s="70" t="e">
        <f t="shared" ref="AHM10:AHM23" ca="1" si="222">SUMPRODUCT(AED10:AEL10,AFJ10:AFR10)+SUMPRODUCT(AEW10:AFE10,AFT10:AGB10)</f>
        <v>#N/A</v>
      </c>
      <c r="AHN10" s="71" t="e">
        <f t="shared" ref="AHN10:AHN23" ca="1" si="223">SUM(AGS10,AGT10)+AHL10+AHM10+SUM(AGV10:AHJ10)</f>
        <v>#NAME?</v>
      </c>
      <c r="AHO10" s="71" t="e">
        <f ca="1">AHN10*(1+$KL10)*(1+$KM10)</f>
        <v>#NAME?</v>
      </c>
      <c r="AHP10" s="72" t="e">
        <f ca="1">IF(AHO10=0,0,AHO10/(AAA10*(1-$AL10)*$JN10))</f>
        <v>#NAME?</v>
      </c>
      <c r="AHR10" s="25">
        <f>IF($AO10="yes",$AN10,$AR10)/(1-$AL10)/$JN10</f>
        <v>0</v>
      </c>
      <c r="AHS10" s="4" t="str">
        <f>VLOOKUP(AHR10,'Ship Time Charter Rates'!$F$10:$G$17,2,TRUE)</f>
        <v>Handysize</v>
      </c>
      <c r="AHT10" s="4" t="str">
        <f>VLOOKUP(AHR10,Canals!$E$5:$F$12,2,TRUE)</f>
        <v>Handysize</v>
      </c>
      <c r="AHU10" s="25">
        <f t="shared" ref="AHU10:AHU23" si="224">(AHR10*$JO10 + $JP10)</f>
        <v>145.88999999999999</v>
      </c>
      <c r="AHV10" s="25">
        <f t="shared" ref="AHV10:AHV23" si="225">(AHR10*$JQ10+$JR10)</f>
        <v>0</v>
      </c>
      <c r="AHW10" s="25">
        <f t="shared" ref="AHW10:AHW23" si="226">(AHR10*$JS10+$JT10)</f>
        <v>4797</v>
      </c>
      <c r="AHY10" s="75">
        <f t="array" ref="AHY10">INDEX('Indices Mines Exporting Ports'!$R$20:$R$51,MATCH(2,1/(('Indices Mines Exporting Ports'!$D$20:$D$51&lt;=Main!$C10)*('Indices Mines Exporting Ports'!$Q$20:$Q$51=$AQ10))))</f>
        <v>0</v>
      </c>
      <c r="AHZ10" s="75">
        <f t="array" ref="AHZ10">INDEX('Indices Mines Exporting Ports'!$S$20:$S$51,MATCH(2,1/(('Indices Mines Exporting Ports'!$D$20:$D$51&lt;=Main!$C10)*('Indices Mines Exporting Ports'!$Q$20:$Q$51=$AQ10))))</f>
        <v>0</v>
      </c>
      <c r="AIA10" s="75">
        <f t="array" ref="AIA10">INDEX('Indices Mines Exporting Ports'!$T$20:$T$51,MATCH(2,1/(('Indices Mines Exporting Ports'!$D$20:$D$51&lt;=Main!$C10)*('Indices Mines Exporting Ports'!$Q$20:$Q$51=$AQ10))))</f>
        <v>0</v>
      </c>
      <c r="AIB10" s="75">
        <f t="array" ref="AIB10">INDEX('Indices Mines Exporting Ports'!$U$20:$U$51,MATCH(2,1/(('Indices Mines Exporting Ports'!$D$20:$D$51&lt;=Main!$C10)*('Indices Mines Exporting Ports'!$Q$20:$Q$51=$AQ10))))</f>
        <v>0</v>
      </c>
      <c r="AIC10" s="75">
        <f t="array" ref="AIC10">INDEX('Indices Mines Exporting Ports'!$V$20:$V$51,MATCH(2,1/(('Indices Mines Exporting Ports'!$D$20:$D$51&lt;=Main!$C10)*('Indices Mines Exporting Ports'!$Q$20:$Q$51=$AQ10))))</f>
        <v>0</v>
      </c>
      <c r="AID10" s="75">
        <f t="array" ref="AID10">INDEX('Indices Mines Exporting Ports'!$W$20:$W$51,MATCH(2,1/(('Indices Mines Exporting Ports'!$D$20:$D$51&lt;=Main!$C10)*('Indices Mines Exporting Ports'!$Q$20:$Q$51=$AQ10))))</f>
        <v>0</v>
      </c>
      <c r="AIE10" s="75">
        <f t="array" ref="AIE10">INDEX('Indices Mines Exporting Ports'!$X$20:$X$51,MATCH(2,1/(('Indices Mines Exporting Ports'!$D$20:$D$51&lt;=Main!$C10)*('Indices Mines Exporting Ports'!$Q$20:$Q$51=$AQ10))))</f>
        <v>0</v>
      </c>
      <c r="AIG10" s="75">
        <f t="array" ref="AIG10">INDEX('Port Linkages'!$E$18:$E$157,MATCH(2,1/(('Port Linkages'!$C$18:$C$157=$AQ10)*('Port Linkages'!$D$18:$D$157=IF($AO10="no",$AQ10,$KK10))*('Port Linkages'!$A$18:$A$157&lt;=$C10))))</f>
        <v>0</v>
      </c>
      <c r="AIH10" s="75">
        <f t="array" ref="AIH10">INDEX('Port Linkages'!$F$18:$F$157,MATCH(2,1/(('Port Linkages'!$C$18:$C$157=$AQ10)*('Port Linkages'!$D$18:$D$157=IF($AO10="no",$AQ10,$KK10))*('Port Linkages'!$A$18:$A$157&lt;=$C10))))</f>
        <v>0</v>
      </c>
      <c r="AII10" s="75">
        <f t="array" ref="AII10">INDEX('Port Linkages'!$G$18:$G$157,MATCH(2,1/(('Port Linkages'!$C$18:$C$157=$AQ10)*('Port Linkages'!$D$18:$D$157=IF($AO10="no",$AQ10,$KK10))*('Port Linkages'!$A$18:$A$157&lt;=$C10))))</f>
        <v>0</v>
      </c>
      <c r="AIJ10" s="75">
        <f t="array" ref="AIJ10">INDEX('Port Linkages'!$H$18:$H$157,MATCH(2,1/(('Port Linkages'!$C$18:$C$157=$AQ10)*('Port Linkages'!$D$18:$D$157=IF($AO10="no",$AQ10,$KK10))*('Port Linkages'!$A$18:$A$157&lt;=$C10))))</f>
        <v>0</v>
      </c>
      <c r="AIK10" s="75">
        <f t="array" ref="AIK10">INDEX('Port Linkages'!$I$18:$I$157,MATCH(2,1/(('Port Linkages'!$C$18:$C$157=$AQ10)*('Port Linkages'!$D$18:$D$157=IF($AO10="no",$AQ10,$KK10))*('Port Linkages'!$A$18:$A$157&lt;=$C10))))</f>
        <v>0</v>
      </c>
      <c r="AIL10" s="75">
        <f t="array" ref="AIL10">INDEX('Port Linkages'!$J$18:$J$157,MATCH(2,1/(('Port Linkages'!$C$18:$C$157=$AQ10)*('Port Linkages'!$D$18:$D$157=IF($AO10="no",$AQ10,$KK10))*('Port Linkages'!$A$18:$A$157&lt;=$C10))))</f>
        <v>0</v>
      </c>
      <c r="AIM10" s="75">
        <f t="array" ref="AIM10">INDEX('Port Linkages'!$K$18:$K$157,MATCH(2,1/(('Port Linkages'!$C$18:$C$157=$AQ10)*('Port Linkages'!$D$18:$D$157=IF($AO10="no",$AQ10,$KK10))*('Port Linkages'!$A$18:$A$157&lt;=$C10))))</f>
        <v>0</v>
      </c>
      <c r="AIN10" s="75">
        <f t="array" ref="AIN10">INDEX('Port Linkages'!$L$18:$L$157,MATCH(2,1/(('Port Linkages'!$C$18:$C$157=$AQ10)*('Port Linkages'!$D$18:$D$157=IF($AO10="no",$AQ10,$KK10))*('Port Linkages'!$A$18:$A$157&lt;=$C10))))</f>
        <v>0</v>
      </c>
      <c r="AIO10" s="75">
        <f t="array" ref="AIO10">INDEX('Port Linkages'!$M$18:$M$157,MATCH(2,1/(('Port Linkages'!$C$18:$C$157=$AQ10)*('Port Linkages'!$D$18:$D$157=IF($AO10="no",$AQ10,$KK10))*('Port Linkages'!$A$18:$A$157&lt;=$C10))))</f>
        <v>0</v>
      </c>
      <c r="AIP10" s="75">
        <f t="array" ref="AIP10">INDEX('Port Linkages'!$N$18:$N$157,MATCH(2,1/(('Port Linkages'!$C$18:$C$157=$AQ10)*('Port Linkages'!$D$18:$D$157=IF($AO10="no",$AQ10,$KK10))*('Port Linkages'!$A$18:$A$157&lt;=$C10))))</f>
        <v>0</v>
      </c>
      <c r="AIQ10" s="75">
        <f t="array" ref="AIQ10">INDEX('Port Linkages'!$O$18:$O$157,MATCH(2,1/(('Port Linkages'!$C$18:$C$157=$AQ10)*('Port Linkages'!$D$18:$D$157=IF($AO10="no",$AQ10,$KK10))*('Port Linkages'!$A$18:$A$157&lt;=$C10))))</f>
        <v>0</v>
      </c>
      <c r="AIR10" s="75">
        <f t="array" ref="AIR10">INDEX('Port Linkages'!$P$18:$P$157,MATCH(2,1/(('Port Linkages'!$C$18:$C$157=$AQ10)*('Port Linkages'!$D$18:$D$157=IF($AO10="no",$AQ10,$KK10))*('Port Linkages'!$A$18:$A$157&lt;=$C10))))</f>
        <v>0</v>
      </c>
      <c r="AIS10" s="75">
        <f t="array" ref="AIS10">INDEX('Port Linkages'!$Q$18:$Q$157,MATCH(2,1/(('Port Linkages'!$C$18:$C$157=$AQ10)*('Port Linkages'!$D$18:$D$157=IF($AO10="no",$AQ10,$KK10))*('Port Linkages'!$A$18:$A$157&lt;=$C10))))</f>
        <v>0</v>
      </c>
      <c r="AIT10" s="75">
        <f t="array" ref="AIT10">INDEX('Port Linkages'!$R$18:$R$157,MATCH(2,1/(('Port Linkages'!$C$18:$C$157=$AQ10)*('Port Linkages'!$D$18:$D$157=IF($AO10="no",$AQ10,$KK10))*('Port Linkages'!$A$18:$A$157&lt;=$C10))))</f>
        <v>0</v>
      </c>
      <c r="AIU10" s="75">
        <f t="array" ref="AIU10">INDEX('Port Linkages'!$S$18:$S$157,MATCH(2,1/(('Port Linkages'!$C$18:$C$157=$AQ10)*('Port Linkages'!$D$18:$D$157=IF($AO10="no",$AQ10,$KK10))*('Port Linkages'!$A$18:$A$157&lt;=$C10))))</f>
        <v>0</v>
      </c>
      <c r="AIV10" s="75">
        <f t="array" ref="AIV10">INDEX('Port Linkages'!$T$18:$T$157,MATCH(2,1/(('Port Linkages'!$C$18:$C$157=$AQ10)*('Port Linkages'!$D$18:$D$157=IF($AO10="no",$AQ10,$KK10))*('Port Linkages'!$A$18:$A$157&lt;=$C10))))</f>
        <v>0</v>
      </c>
      <c r="AIW10" s="75">
        <f t="array" ref="AIW10">INDEX('Port Linkages'!$U$18:$U$157,MATCH(2,1/(('Port Linkages'!$C$18:$C$157=$AQ10)*('Port Linkages'!$D$18:$D$157=IF($AO10="no",$AQ10,$KK10))*('Port Linkages'!$A$18:$A$157&lt;=$C10))))</f>
        <v>0</v>
      </c>
      <c r="AIX10" s="75">
        <f t="array" ref="AIX10">INDEX('Port Linkages'!$V$18:$V$157,MATCH(2,1/(('Port Linkages'!$C$18:$C$157=$AQ10)*('Port Linkages'!$D$18:$D$157=IF($AO10="no",$AQ10,$KK10))*('Port Linkages'!$A$18:$A$157&lt;=$C10))))</f>
        <v>0</v>
      </c>
      <c r="AIY10" s="75">
        <f t="array" ref="AIY10">INDEX('Port Linkages'!$W$18:$W$157,MATCH(2,1/(('Port Linkages'!$C$18:$C$157=$AQ10)*('Port Linkages'!$D$18:$D$157=IF($AO10="no",$AQ10,$KK10))*('Port Linkages'!$A$18:$A$157&lt;=$C10))))</f>
        <v>0</v>
      </c>
      <c r="AIZ10" s="75">
        <f t="array" ref="AIZ10">INDEX('Port Linkages'!$X$18:$X$157,MATCH(2,1/(('Port Linkages'!$C$18:$C$157=$AQ10)*('Port Linkages'!$D$18:$D$157=IF($AO10="no",$AQ10,$KK10))*('Port Linkages'!$A$18:$A$157&lt;=$C10))))</f>
        <v>0</v>
      </c>
      <c r="AJA10" s="75">
        <f t="array" ref="AJA10">INDEX('Port Linkages'!$Y$18:$Y$157,MATCH(2,1/(('Port Linkages'!$C$18:$C$157=$AQ10)*('Port Linkages'!$D$18:$D$157=IF($AO10="no",$AQ10,$KK10))*('Port Linkages'!$A$18:$A$157&lt;=$C10))))</f>
        <v>0</v>
      </c>
      <c r="AJB10" s="75">
        <f t="array" ref="AJB10">INDEX('Port Linkages'!$Z$18:$Z$157,MATCH(2,1/(('Port Linkages'!$C$18:$C$157=$AQ10)*('Port Linkages'!$D$18:$D$157=IF($AO10="no",$AQ10,$KK10))*('Port Linkages'!$A$18:$A$157&lt;=$C10))))</f>
        <v>0</v>
      </c>
      <c r="AJC10" s="75">
        <f t="array" ref="AJC10">INDEX('Port Linkages'!$AA$18:$AA$157,MATCH(2,1/(('Port Linkages'!$C$18:$C$157=$AQ10)*('Port Linkages'!$D$18:$D$157=IF($AO10="no",$AQ10,$KK10))*('Port Linkages'!$A$18:$A$157&lt;=$C10))))</f>
        <v>0</v>
      </c>
      <c r="AJD10" s="75">
        <f t="array" ref="AJD10">INDEX('Port Linkages'!$AB$18:$AB$157,MATCH(2,1/(('Port Linkages'!$C$18:$C$157=$AQ10)*('Port Linkages'!$D$18:$D$157=IF($AO10="no",$AQ10,$KK10))*('Port Linkages'!$A$18:$A$157&lt;=$C10))))</f>
        <v>0</v>
      </c>
      <c r="AJE10" s="75">
        <f t="array" ref="AJE10">INDEX('Port Linkages'!$AC$18:$AC$157,MATCH(2,1/(('Port Linkages'!$C$18:$C$157=$AQ10)*('Port Linkages'!$D$18:$D$157=IF($AO10="no",$AQ10,$KK10))*('Port Linkages'!$A$18:$A$157&lt;=$C10))))</f>
        <v>0</v>
      </c>
      <c r="AJF10" s="75">
        <f t="array" ref="AJF10">INDEX('Port Linkages'!$AD$18:$AD$157,MATCH(2,1/(('Port Linkages'!$C$18:$C$157=$AQ10)*('Port Linkages'!$D$18:$D$157=IF($AO10="no",$AQ10,$KK10))*('Port Linkages'!$A$18:$A$157&lt;=$C10))))</f>
        <v>0</v>
      </c>
      <c r="AJG10" s="75">
        <f t="array" ref="AJG10">INDEX('Port Linkages'!$AE$18:$AE$157,MATCH(2,1/(('Port Linkages'!$C$18:$C$157=$AQ10)*('Port Linkages'!$D$18:$D$157=IF($AO10="no",$AQ10,$KK10))*('Port Linkages'!$A$18:$A$157&lt;=$C10))))</f>
        <v>0</v>
      </c>
      <c r="AJH10" s="75">
        <f t="array" ref="AJH10">INDEX('Port Linkages'!$AF$18:$AF$157,MATCH(2,1/(('Port Linkages'!$C$18:$C$157=$AQ10)*('Port Linkages'!$D$18:$D$157=IF($AO10="no",$AQ10,$KK10))*('Port Linkages'!$A$18:$A$157&lt;=$C10))))</f>
        <v>0</v>
      </c>
      <c r="AJI10" s="75">
        <f t="array" ref="AJI10">INDEX('Port Linkages'!$AG$18:$AG$157,MATCH(2,1/(('Port Linkages'!$C$18:$C$157=$AQ10)*('Port Linkages'!$D$18:$D$157=IF($AO10="no",$AQ10,$KK10))*('Port Linkages'!$A$18:$A$157&lt;=$C10))))</f>
        <v>0</v>
      </c>
      <c r="AJJ10" s="75">
        <f t="array" ref="AJJ10">INDEX('Port Linkages'!$AH$18:$AH$157,MATCH(2,1/(('Port Linkages'!$C$18:$C$157=$AQ10)*('Port Linkages'!$D$18:$D$157=IF($AO10="no",$AQ10,$KK10))*('Port Linkages'!$A$18:$A$157&lt;=$C10))))</f>
        <v>0</v>
      </c>
      <c r="AJK10" s="75">
        <f t="array" ref="AJK10">INDEX('Port Linkages'!$AI$18:$AI$157,MATCH(2,1/(('Port Linkages'!$C$18:$C$157=$AQ10)*('Port Linkages'!$D$18:$D$157=IF($AO10="no",$AQ10,$KK10))*('Port Linkages'!$A$18:$A$157&lt;=$C10))))</f>
        <v>0</v>
      </c>
      <c r="AJL10" s="75">
        <f t="array" ref="AJL10">INDEX('Port Linkages'!$AJ$18:$AJ$157,MATCH(2,1/(('Port Linkages'!$C$18:$C$157=$AQ10)*('Port Linkages'!$D$18:$D$157=IF($AO10="no",$AQ10,$KK10))*('Port Linkages'!$A$18:$A$157&lt;=$C10))))</f>
        <v>0</v>
      </c>
      <c r="AJM10" s="75">
        <f t="array" ref="AJM10">INDEX('Port Linkages'!$AK$18:$AK$157,MATCH(2,1/(('Port Linkages'!$C$18:$C$157=$AQ10)*('Port Linkages'!$D$18:$D$157=IF($AO10="no",$AQ10,$KK10))*('Port Linkages'!$A$18:$A$157&lt;=$C10))))</f>
        <v>0</v>
      </c>
      <c r="AJN10" s="75">
        <f t="array" ref="AJN10">INDEX('Port Linkages'!$AL$18:$AL$157,MATCH(2,1/(('Port Linkages'!$C$18:$C$157=$AQ10)*('Port Linkages'!$D$18:$D$157=IF($AO10="no",$AQ10,$KK10))*('Port Linkages'!$A$18:$A$157&lt;=$C10))))</f>
        <v>0</v>
      </c>
      <c r="AJO10" s="75">
        <f t="array" ref="AJO10">INDEX('Port Linkages'!$AM$18:$AM$157,MATCH(2,1/(('Port Linkages'!$C$18:$C$157=$AQ10)*('Port Linkages'!$D$18:$D$157=IF($AO10="no",$AQ10,$KK10))*('Port Linkages'!$A$18:$A$157&lt;=$C10))))</f>
        <v>0</v>
      </c>
      <c r="AJP10" s="75">
        <f t="array" ref="AJP10">INDEX('Port Linkages'!$AN$18:$AN$157,MATCH(2,1/(('Port Linkages'!$C$18:$C$157=$AQ10)*('Port Linkages'!$D$18:$D$157=IF($AO10="no",$AQ10,$KK10))*('Port Linkages'!$A$18:$A$157&lt;=$C10))))</f>
        <v>0</v>
      </c>
      <c r="AJQ10" s="75">
        <f t="array" ref="AJQ10">INDEX('Port Linkages'!$AO$18:$AO$157,MATCH(2,1/(('Port Linkages'!$C$18:$C$157=$AQ10)*('Port Linkages'!$D$18:$D$157=IF($AO10="no",$AQ10,$KK10))*('Port Linkages'!$A$18:$A$157&lt;=$C10))))</f>
        <v>0</v>
      </c>
      <c r="AJR10" s="75">
        <f t="array" ref="AJR10">INDEX('Port Linkages'!$AP$18:$AP$157,MATCH(2,1/(('Port Linkages'!$C$18:$C$157=$AQ10)*('Port Linkages'!$D$18:$D$157=IF($AO10="no",$AQ10,$KK10))*('Port Linkages'!$A$18:$A$157&lt;=$C10))))</f>
        <v>0</v>
      </c>
      <c r="AJS10" s="75">
        <f t="array" ref="AJS10">INDEX('Port Linkages'!$AQ$18:$AQ$157,MATCH(2,1/(('Port Linkages'!$C$18:$C$157=$AQ10)*('Port Linkages'!$D$18:$D$157=IF($AO10="no",$AQ10,$KK10))*('Port Linkages'!$A$18:$A$157&lt;=$C10))))</f>
        <v>0</v>
      </c>
      <c r="AJT10" s="75">
        <f t="array" ref="AJT10">INDEX('Port Linkages'!$AR$18:$AR$157,MATCH(2,1/(('Port Linkages'!$C$18:$C$157=$AQ10)*('Port Linkages'!$D$18:$D$157=IF($AO10="no",$AQ10,$KK10))*('Port Linkages'!$A$18:$A$157&lt;=$C10))))</f>
        <v>0</v>
      </c>
      <c r="AJU10" s="75">
        <f t="array" ref="AJU10">INDEX('Port Linkages'!$AS$18:$AS$157,MATCH(2,1/(('Port Linkages'!$C$18:$C$157=$AQ10)*('Port Linkages'!$D$18:$D$157=IF($AO10="no",$AQ10,$KK10))*('Port Linkages'!$A$18:$A$157&lt;=$C10))))</f>
        <v>0</v>
      </c>
      <c r="AJV10" s="75">
        <f t="array" ref="AJV10">INDEX('Port Linkages'!$AT$18:$AT$157,MATCH(2,1/(('Port Linkages'!$C$18:$C$157=$AQ10)*('Port Linkages'!$D$18:$D$157=IF($AO10="no",$AQ10,$KK10))*('Port Linkages'!$A$18:$A$157&lt;=$C10))))</f>
        <v>0</v>
      </c>
      <c r="AJW10" s="75">
        <f t="array" ref="AJW10">INDEX('Port Linkages'!$AU$18:$AU$157,MATCH(2,1/(('Port Linkages'!$C$18:$C$157=$AQ10)*('Port Linkages'!$D$18:$D$157=IF($AO10="no",$AQ10,$KK10))*('Port Linkages'!$A$18:$A$157&lt;=$C10))))</f>
        <v>0</v>
      </c>
      <c r="AJX10" s="75">
        <f t="array" ref="AJX10">INDEX('Port Linkages'!$AV$18:$AV$157,MATCH(2,1/(('Port Linkages'!$C$18:$C$157=$AQ10)*('Port Linkages'!$D$18:$D$157=IF($AO10="no",$AQ10,$KK10))*('Port Linkages'!$A$18:$A$157&lt;=$C10))))</f>
        <v>0</v>
      </c>
      <c r="AJY10" s="75">
        <f t="array" ref="AJY10">INDEX('Port Linkages'!$AW$18:$AW$157,MATCH(2,1/(('Port Linkages'!$C$18:$C$157=$AQ10)*('Port Linkages'!$D$18:$D$157=IF($AO10="no",$AQ10,$KK10))*('Port Linkages'!$A$18:$A$157&lt;=$C10))))</f>
        <v>0</v>
      </c>
      <c r="AJZ10" s="75">
        <f t="array" ref="AJZ10">INDEX('Port Linkages'!$AX$18:$AX$157,MATCH(2,1/(('Port Linkages'!$C$18:$C$157=$AQ10)*('Port Linkages'!$D$18:$D$157=IF($AO10="no",$AQ10,$KK10))*('Port Linkages'!$A$18:$A$157&lt;=$C10))))</f>
        <v>0</v>
      </c>
      <c r="AKA10" s="75">
        <f t="array" ref="AKA10">INDEX('Port Linkages'!$AY$18:$AY$157,MATCH(2,1/(('Port Linkages'!$C$18:$C$157=$AQ10)*('Port Linkages'!$D$18:$D$157=IF($AO10="no",$AQ10,$KK10))*('Port Linkages'!$A$18:$A$157&lt;=$C10))))</f>
        <v>0</v>
      </c>
      <c r="AKB10" s="75">
        <f t="array" ref="AKB10">INDEX('Port Linkages'!$AZ$18:$AZ$157,MATCH(2,1/(('Port Linkages'!$C$18:$C$157=$AQ10)*('Port Linkages'!$D$18:$D$157=IF($AO10="no",$AQ10,$KK10))*('Port Linkages'!$A$18:$A$157&lt;=$C10))))</f>
        <v>0</v>
      </c>
      <c r="AKC10" s="75">
        <f t="array" ref="AKC10">INDEX('Port Linkages'!$BA$18:$BA$157,MATCH(2,1/(('Port Linkages'!$C$18:$C$157=$AQ10)*('Port Linkages'!$D$18:$D$157=IF($AO10="no",$AQ10,$KK10))*('Port Linkages'!$A$18:$A$157&lt;=$C10))))</f>
        <v>0</v>
      </c>
      <c r="AKE10" s="25" t="e">
        <f t="array" aca="1" ref="AKE10" ca="1">INDEX('Ship Fuel Prices'!$F$5:$F$1004,MATCH(2,1/(('Ship Fuel Prices'!$E$5:$E$1004=_xlfn.IFS(AHT10="Handysize",Main!AJZ10,AHT10="Supramax",AJS10,AHT10="Panamax",AJL10,AHT10="NeoPanamax",AJE10,AHT10="Suezmax",AIX10,AHT10="Capesize",AIQ10,AHT10="VLOC",AIJ10))*('Ship Fuel Prices'!$D$5:$D$1004&lt;=Main!$C10))))</f>
        <v>#N/A</v>
      </c>
      <c r="AKF10" s="25" t="e">
        <f t="array" aca="1" ref="AKF10" ca="1">INDEX('Ship Fuel Prices'!$G$5:$G$1004,MATCH(2,1/(('Ship Fuel Prices'!$E$5:$E$1004=_xlfn.IFS(AHT10="Handysize",Main!AJZ10,AHT10="Supramax",AJS10,AHT10="Panamax",AJL10,AHT10="NeoPanamax",AJE10,AHT10="Suezmax",AIX10,AHT10="Capesize",AIQ10,AHT10="VLOC",AIJ10))*('Ship Fuel Prices'!$D$5:$D$1004&lt;=Main!$C10))))</f>
        <v>#N/A</v>
      </c>
      <c r="AKG10" s="25" t="e">
        <f t="array" aca="1" ref="AKG10" ca="1">INDEX('Ship Fuel Prices'!$H$5:$H$1004,MATCH(2,1/(('Ship Fuel Prices'!$E$5:$E$1004=_xlfn.IFS(AHT10="Handysize",Main!AJZ10,AHT10="Supramax",AJS10,AHT10="Panamax",AJL10,AHT10="NeoPanamax",AJE10,AHT10="Suezmax",AIX10,AHT10="Capesize",AIQ10,AHT10="VLOC",AIJ10))*('Ship Fuel Prices'!$D$5:$D$1004&lt;=Main!$C10))))</f>
        <v>#N/A</v>
      </c>
      <c r="AKH10" s="25" t="e">
        <f t="array" aca="1" ref="AKH10" ca="1">INDEX('Ship Fuel Prices'!$I$5:$I$1004,MATCH(2,1/(('Ship Fuel Prices'!$E$5:$E$1004=_xlfn.IFS(AHT10="Handysize",Main!AJZ10,AHT10="Supramax",AJS10,AHT10="Panamax",AJL10,AHT10="NeoPanamax",AJE10,AHT10="Suezmax",AIX10,AHT10="Capesize",AIQ10,AHT10="VLOC",AIJ10))*('Ship Fuel Prices'!$D$5:$D$1004&lt;=Main!$C10))))</f>
        <v>#N/A</v>
      </c>
      <c r="AKI10" s="25" t="e">
        <f t="array" aca="1" ref="AKI10" ca="1">INDEX('Ship Fuel Prices'!$J$5:$J$1004,MATCH(2,1/(('Ship Fuel Prices'!$E$5:$E$1004=_xlfn.IFS(AHT10="Handysize",Main!AJZ10,AHT10="Supramax",AJS10,AHT10="Panamax",AJL10,AHT10="NeoPanamax",AJE10,AHT10="Suezmax",AIX10,AHT10="Capesize",AIQ10,AHT10="VLOC",AIJ10))*('Ship Fuel Prices'!$D$5:$D$1004&lt;=Main!$C10))))</f>
        <v>#N/A</v>
      </c>
      <c r="AKK10" s="75">
        <f t="array" ref="AKK10">INDEX('China n Importing Ports'!$E$20:$E$41,MATCH(2,1/(('China n Importing Ports'!$D$20:$D$41&lt;=$C10)*('China n Importing Ports'!$C$20:$C$41=IF($AO10="No",$AQ10,$KK10)))))</f>
        <v>0</v>
      </c>
      <c r="AKL10" s="75">
        <f t="array" ref="AKL10">INDEX('China n Importing Ports'!$F$20:$F$41,MATCH(2,1/(('China n Importing Ports'!$D$20:$D$41&lt;=$C10)*('China n Importing Ports'!$C$20:$C$41=IF($AO10="No",$AQ10,$KK10)))))</f>
        <v>0</v>
      </c>
      <c r="AKM10" s="75">
        <f t="array" ref="AKM10">INDEX('China n Importing Ports'!$G$20:$G$41,MATCH(2,1/(('China n Importing Ports'!$D$20:$D$41&lt;=$C10)*('China n Importing Ports'!$C$20:$C$41=IF($AO10="No",$AQ10,$KK10)))))</f>
        <v>0</v>
      </c>
      <c r="AKN10" s="75">
        <f t="array" ref="AKN10">INDEX('China n Importing Ports'!$H$20:$H$41,MATCH(2,1/(('China n Importing Ports'!$D$20:$D$41&lt;=$C10)*('China n Importing Ports'!$C$20:$C$41=IF($AO10="No",$AQ10,$KK10)))))</f>
        <v>0</v>
      </c>
      <c r="AKO10" s="75">
        <f t="array" ref="AKO10">INDEX('China n Importing Ports'!$I$20:$I$41,MATCH(2,1/(('China n Importing Ports'!$D$20:$D$41&lt;=$C10)*('China n Importing Ports'!$C$20:$C$41=IF($AO10="No",$AQ10,$KK10)))))</f>
        <v>0</v>
      </c>
      <c r="AKP10" s="75">
        <f t="array" ref="AKP10">INDEX('China n Importing Ports'!$J$20:$J$41,MATCH(2,1/(('China n Importing Ports'!$D$20:$D$41&lt;=$C10)*('China n Importing Ports'!$C$20:$C$41=IF($AO10="No",$AQ10,$KK10)))))</f>
        <v>0</v>
      </c>
      <c r="AKQ10" s="75">
        <f t="array" ref="AKQ10">INDEX('China n Importing Ports'!$K$20:$K$41,MATCH(2,1/(('China n Importing Ports'!$D$20:$D$41&lt;=$C10)*('China n Importing Ports'!$C$20:$C$41=IF($AO10="No",$AQ10,$KK10)))))</f>
        <v>0</v>
      </c>
      <c r="AKR10" s="75">
        <f t="array" ref="AKR10">INDEX('China n Importing Ports'!$L$20:$L$41,MATCH(2,1/(('China n Importing Ports'!$D$20:$D$41&lt;=$C10)*('China n Importing Ports'!$C$20:$C$41=IF($AO10="No",$AQ10,$KK10)))))</f>
        <v>0</v>
      </c>
      <c r="AKS10" s="75">
        <f t="array" ref="AKS10">INDEX('China n Importing Ports'!$M$20:$M$41,MATCH(2,1/(('China n Importing Ports'!$D$20:$D$41&lt;=$C10)*('China n Importing Ports'!$C$20:$C$41=IF($AO10="No",$AQ10,$KK10)))))</f>
        <v>0</v>
      </c>
      <c r="AKT10" s="75">
        <f t="array" ref="AKT10">INDEX('China n Importing Ports'!$N$20:$N$41,MATCH(2,1/(('China n Importing Ports'!$D$20:$D$41&lt;=$C10)*('China n Importing Ports'!$C$20:$C$41=IF($AO10="No",$AQ10,$KK10)))))</f>
        <v>0</v>
      </c>
      <c r="AKU10" s="75">
        <f t="array" ref="AKU10">INDEX('China n Importing Ports'!$O$20:$O$41,MATCH(2,1/(('China n Importing Ports'!$D$20:$D$41&lt;=$C10)*('China n Importing Ports'!$C$20:$C$41=IF($AO10="No",$AQ10,$KK10)))))</f>
        <v>0</v>
      </c>
      <c r="AKV10" s="136">
        <f t="array" ref="AKV10">INDEX('China n Importing Ports'!$P$20:$P$41,MATCH(2,1/(('China n Importing Ports'!$D$20:$D$41&lt;=$C10)*('China n Importing Ports'!$C$20:$C$41=IF($AO10="No",$AQ10,$KK10)))))</f>
        <v>0</v>
      </c>
      <c r="AKW10" s="136">
        <f t="array" ref="AKW10">INDEX('China n Importing Ports'!$Q$20:$Q$41,MATCH(2,1/(('China n Importing Ports'!$D$20:$D$41&lt;=$C10)*('China n Importing Ports'!$C$20:$C$41=IF($AO10="No",$AQ10,$KK10)))))</f>
        <v>0</v>
      </c>
      <c r="AKX10" s="136">
        <f t="array" ref="AKX10">INDEX('China n Importing Ports'!$R$20:$R$41,MATCH(2,1/(('China n Importing Ports'!$D$20:$D$41&lt;=$C10)*('China n Importing Ports'!$C$20:$C$41=IF($AO10="No",$AQ10,$KK10)))))</f>
        <v>0</v>
      </c>
      <c r="AKY10" s="136">
        <f t="array" ref="AKY10">INDEX('China n Importing Ports'!$S$20:$S$41,MATCH(2,1/(('China n Importing Ports'!$D$20:$D$41&lt;=$C10)*('China n Importing Ports'!$C$20:$C$41=IF($AO10="No",$AQ10,$KK10)))))</f>
        <v>0</v>
      </c>
      <c r="AKZ10" s="136">
        <f t="array" ref="AKZ10">INDEX('China n Importing Ports'!$T$20:$T$41,MATCH(2,1/(('China n Importing Ports'!$D$20:$D$41&lt;=$C10)*('China n Importing Ports'!$C$20:$C$41=IF($AO10="No",$AQ10,$KK10)))))</f>
        <v>0</v>
      </c>
      <c r="ALA10" s="136">
        <f t="array" ref="ALA10">INDEX('China n Importing Ports'!$U$20:$U$41,MATCH(2,1/(('China n Importing Ports'!$D$20:$D$41&lt;=$C10)*('China n Importing Ports'!$C$20:$C$41=IF($AO10="No",$AQ10,$KK10)))))</f>
        <v>0</v>
      </c>
      <c r="ALB10" s="136">
        <f t="array" ref="ALB10">INDEX('China n Importing Ports'!$V$20:$V$41,MATCH(2,1/(('China n Importing Ports'!$D$20:$D$41&lt;=$C10)*('China n Importing Ports'!$C$20:$C$41=IF($AO10="No",$AQ10,$KK10)))))</f>
        <v>0</v>
      </c>
      <c r="ALC10" s="136">
        <f t="array" ref="ALC10">INDEX('China n Importing Ports'!$W$20:$W$41,MATCH(2,1/(('China n Importing Ports'!$D$20:$D$41&lt;=$C10)*('China n Importing Ports'!$C$20:$C$41=IF($AO10="No",$AQ10,$KK10)))))</f>
        <v>0</v>
      </c>
      <c r="ALD10" s="136">
        <f t="array" ref="ALD10">INDEX('China n Importing Ports'!$X$20:$X$41,MATCH(2,1/(('China n Importing Ports'!$D$20:$D$41&lt;=$C10)*('China n Importing Ports'!$C$20:$C$41=IF($AO10="No",$AQ10,$KK10)))))</f>
        <v>0</v>
      </c>
      <c r="ALE10" s="136">
        <f t="array" ref="ALE10">INDEX('China n Importing Ports'!$Y$20:$Y$41,MATCH(2,1/(('China n Importing Ports'!$D$20:$D$41&lt;=$C10)*('China n Importing Ports'!$C$20:$C$41=IF($AO10="No",$AQ10,$KK10)))))</f>
        <v>0</v>
      </c>
      <c r="ALF10" s="136">
        <f t="array" ref="ALF10">INDEX('China n Importing Ports'!$Z$20:$Z$41,MATCH(2,1/(('China n Importing Ports'!$D$20:$D$41&lt;=$C10)*('China n Importing Ports'!$C$20:$C$41=IF($AO10="No",$AQ10,$KK10)))))</f>
        <v>0</v>
      </c>
      <c r="ALG10" s="136">
        <f t="array" ref="ALG10">INDEX('China n Importing Ports'!$AA$20:$AA$41,MATCH(2,1/(('China n Importing Ports'!$D$20:$D$41&lt;=$C10)*('China n Importing Ports'!$C$20:$C$41=IF($AO10="No",$AQ10,$KK10)))))</f>
        <v>0</v>
      </c>
      <c r="ALI10" s="75" t="e">
        <f t="array" aca="1" ref="ALI10" ca="1">INDEX(Canals!$G$24:$G$29,MATCH(2,1/((Canals!$F$24:$F$29&lt;=$C10)*(Canals!$G$24:$G$29=_xlfn.IFS(AHT10="Handysize",AKC10,AHT10="Supramax",AJV10,AHT10="Panamax",AJO10,AHT10="NeoPanamax",AJH10,AHT10="Suezmax",AJA10,AHT10="Capesize",AIT10,AHT10="VLOC",AIM10)))))</f>
        <v>#N/A</v>
      </c>
      <c r="ALJ10" s="75" t="e">
        <f t="array" aca="1" ref="ALJ10" ca="1">INDEX(Canals!$H$24:$H$29,MATCH(2,1/((Canals!$F$24:$F$29&lt;=$C10)*(Canals!$G$24:$G$29=_xlfn.IFS(AHT10="Handysize",AKC10,AHT10="Supramax",AJV10,AHT10="Panamax",AJO10,AHT10="NeoPanamax",AJH10,AHT10="Suezmax",AJA10,AHT10="Capesize",AIT10,AHT10="VLOC",AIM10)))))</f>
        <v>#N/A</v>
      </c>
      <c r="ALK10" s="75" t="e">
        <f t="array" aca="1" ref="ALK10" ca="1">INDEX(Canals!$I$24:$I$29,MATCH(2,1/((Canals!$F$24:$F$29&lt;=$C10)*(Canals!$G$24:$G$29=_xlfn.IFS(AHT10="Handysize",AKC10,AHT10="Supramax",AJV10,AHT10="Panamax",AJO10,AHT10="NeoPanamax",AJH10,AHT10="Suezmax",AJA10,AHT10="Capesize",AIT10,AHT10="VLOC",AIM10)))))</f>
        <v>#N/A</v>
      </c>
      <c r="ALL10" s="75" t="e">
        <f t="array" aca="1" ref="ALL10" ca="1">INDEX(Canals!$J$24:$J$29,MATCH(2,1/((Canals!$F$24:$F$29&lt;=$C10)*(Canals!$G$24:$G$29=_xlfn.IFS(AHT10="Handysize",Main!AKC10,AHT10="Supramax",AJV10,AHT10="Panamax",AJO10,AHT10="NeoPanamax",AJH10,AHT10="Suezmax",AJA10,AHT10="Capesize",AIT10,AHT10="VLOC",AIM10)))))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M10" s="75" t="e">
        <f t="array" aca="1" ref="ALM10" ca="1">INDEX(Canals!$K$24:$K$29,MATCH(2,1/((Canals!$F$24:$F$29&lt;=$C10)*(Canals!$G$24:$G$29=_xlfn.IFS(AHT10="Handysize",Main!AKC10,AHT10="Supramax",AJV10,AHT10="Panamax",AJO10,AHT10="NeoPanamax",AJH10,AHT10="Suezmax",AJA10,AHT10="Capesize",AIT10,AHT10="VLOC",AIM10)))))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N10" s="75" t="e">
        <f t="array" aca="1" ref="ALN10" ca="1">INDEX(Canals!$L$24:$L$29,MATCH(2,1/((Canals!$F$24:$F$29&lt;=$C10)*(Canals!$G$24:$G$29=_xlfn.IFS(AHT10="Handysize",Main!AKC10,AHT10="Supramax",AJV10,AHT10="Panamax",AJO10,AHT10="NeoPanamax",AJH10,AHT10="Suezmax",AJA10,AHT10="Capesize",AIT10,AHT10="VLOC",AIM10)))))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O10" s="75" t="e">
        <f t="array" aca="1" ref="ALO10" ca="1">INDEX(Canals!$M$24:$M$29,MATCH(2,1/((Canals!$F$24:$F$29&lt;=$C10)*(Canals!$G$24:$G$29=_xlfn.IFS(AHT10="Handysize",Main!AKC10,AHT10="Supramax",AJV10,AHT10="Panamax",AJO10,AHT10="NeoPanamax",AJH10,AHT10="Suezmax",AJA10,AHT10="Capesize",AIT10,AHT10="VLOC",AIM10)))))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P10" s="75" t="e">
        <f t="array" aca="1" ref="ALP10" ca="1">INDEX(Canals!$N$24:$N$29,MATCH(2,1/((Canals!$F$24:$F$29&lt;=$C10)*(Canals!$G$24:$G$29=_xlfn.IFS(AHT10="Handysize",Main!AKC10,AHT10="Supramax",AJV10,AHT10="Panamax",AJO10,AHT10="NeoPanamax",AJH10,AHT10="Suezmax",AJA10,AHT10="Capesize",AIT10,AHT10="VLOC",AIM10)))))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Q10" s="75" t="e">
        <f t="array" aca="1" ref="ALQ10" ca="1">INDEX(Canals!$O$24:$O$29,MATCH(2,1/((Canals!$F$24:$F$29&lt;=$C10)*(Canals!$G$24:$G$29=_xlfn.IFS(AHT10="Handysize",Main!AKC10,AHT10="Supramax",AJV10,AHT10="Panamax",AJO10,AHT10="NeoPanamax",AJH10,AHT10="Suezmax",AJA10,AHT10="Capesize",AIT10,AHT10="VLOC",AIM10)))))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R10" s="75" t="e">
        <f t="array" aca="1" ref="ALR10" ca="1">INDEX(Canals!$P$24:$P$29,MATCH(2,1/((Canals!$F$24:$F$29&lt;=$C10)*(Canals!$G$24:$G$29=_xlfn.IFS(AHT10="Handysize",Main!AKC10,AHT10="Supramax",AJV10,AHT10="Panamax",AJO10,AHT10="NeoPanamax",AJH10,AHT10="Suezmax",AJA10,AHT10="Capesize",AIT10,AHT10="VLOC",AIM10)))))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S10" s="75" t="e">
        <f t="array" aca="1" ref="ALS10" ca="1">INDEX(Canals!$Q$24:$Q$29,MATCH(2,1/((Canals!$F$24:$F$29&lt;=$C10)*(Canals!$G$24:$G$29=_xlfn.IFS(AHT10="Handysize",Main!AKC10,AHT10="Supramax",AJV10,AHT10="Panamax",AJO10,AHT10="NeoPanamax",AJH10,AHT10="Suezmax",AJA10,AHT10="Capesize",AIT10,AHT10="VLOC",AIM10)))))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T10" s="75" t="e">
        <f t="array" aca="1" ref="ALT10" ca="1">INDEX(Canals!$R$24:$R$29,MATCH(2,1/((Canals!$F$24:$F$29&lt;=$C10)*(Canals!$G$24:$G$29=_xlfn.IFS(AHT10="Handysize",Main!AKC10,AHT10="Supramax",AJV10,AHT10="Panamax",AJO10,AHT10="NeoPanamax",AJH10,AHT10="Suezmax",AJA10,AHT10="Capesize",AIT10,AHT10="VLOC",AIM10)))))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U10" s="136" t="e">
        <f t="array" aca="1" ref="ALU10" ca="1">INDEX(Canals!$S$24:$S$29,MATCH(2,1/((Canals!$F$24:$F$29&lt;=$C10)*(Canals!$G$24:$G$29=_xlfn.IFS(AHT10="Handysize",Main!AKC10,AHT10="Supramax",AJV10,AHT10="Panamax",AJO10,AHT10="NeoPanamax",AJH10,AHT10="Suezmax",AJA10,AHT10="Capesize",AIT10,AHT10="VLOC",AIM10)))))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V10" s="136" t="e">
        <f t="array" aca="1" ref="ALV10" ca="1">INDEX(Canals!$T$24:$T$29,MATCH(2,1/((Canals!$F$24:$F$29&lt;=$C10)*(Canals!$G$24:$G$29=_xlfn.IFS(AHT10="Handysize",Main!AKC10,AHT10="Supramax",AJV10,AHT10="Panamax",AJO10,AHT10="NeoPanamax",AJH10,AHT10="Suezmax",AJA10,AHT10="Capesize",AIT10,AHT10="VLOC",AIM10)))))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W10" s="136" t="e">
        <f t="array" aca="1" ref="ALW10" ca="1">INDEX(Canals!$U$24:$U$29,MATCH(2,1/((Canals!$F$24:$F$29&lt;=$C10)*(Canals!$G$24:$G$29=_xlfn.IFS(AHT10="Handysize",Main!AKC10,AHT10="Supramax",AJV10,AHT10="Panamax",AJO10,AHT10="NeoPanamax",AJH10,AHT10="Suezmax",AJA10,AHT10="Capesize",AIT10,AHT10="VLOC",AIM10)))))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X10" s="136" t="e">
        <f t="array" aca="1" ref="ALX10" ca="1">INDEX(Canals!$V$24:$V$29,MATCH(2,1/((Canals!$F$24:$F$29&lt;=$C10)*(Canals!$G$24:$G$29=_xlfn.IFS(AHT10="Handysize",Main!AKC10,AHT10="Supramax",AJV10,AHT10="Panamax",AJO10,AHT10="NeoPanamax",AJH10,AHT10="Suezmax",AJA10,AHT10="Capesize",AIT10,AHT10="VLOC",AIM10)))))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Y10" s="136" t="e">
        <f t="array" aca="1" ref="ALY10" ca="1">INDEX(Canals!$W$24:$W$29,MATCH(2,1/((Canals!$F$24:$F$29&lt;=$C10)*(Canals!$G$24:$G$29=_xlfn.IFS(AHT10="Handysize",Main!AKC10,AHT10="Supramax",AJV10,AHT10="Panamax",AJO10,AHT10="NeoPanamax",AJH10,AHT10="Suezmax",AJA10,AHT10="Capesize",AIT10,AHT10="VLOC",AIM10)))))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LZ10" s="136" t="e">
        <f t="array" aca="1" ref="ALZ10" ca="1">INDEX(Canals!$X$24:$X$29,MATCH(2,1/((Canals!$F$24:$F$29&lt;=$C10)*(Canals!$G$24:$G$29=_xlfn.IFS(AHT10="Handysize",Main!AKC10,AHT10="Supramax",AJV10,AHT10="Panamax",AJO10,AHT10="NeoPanamax",AJH10,AHT10="Suezmax",AJA10,AHT10="Capesize",AIT10,AHT10="VLOC",AIM10)))))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A10" s="136" t="e">
        <f t="array" aca="1" ref="AMA10" ca="1">INDEX(Canals!$Y$24:$Y$29,MATCH(2,1/((Canals!$F$24:$F$29&lt;=$C10)*(Canals!$G$24:$G$29=_xlfn.IFS(AHT10="Handysize",Main!AKC10,AHT10="Supramax",AJV10,AHT10="Panamax",AJO10,AHT10="NeoPanamax",AJH10,AHT10="Suezmax",AJA10,AHT10="Capesize",AIT10,AHT10="VLOC",AIM10)))))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B10" s="136" t="e">
        <f t="array" aca="1" ref="AMB10" ca="1">INDEX(Canals!$Z$24:$Z$29,MATCH(2,1/((Canals!$F$24:$F$29&lt;=$C10)*(Canals!$G$24:$G$29=_xlfn.IFS(AHT10="Handysize",Main!AKC10,AHT10="Supramax",AJV10,AHT10="Panamax",AJO10,AHT10="NeoPanamax",AJH10,AHT10="Suezmax",AJA10,AHT10="Capesize",AIT10,AHT10="VLOC",AIM10)))))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C10" s="136" t="e">
        <f t="array" aca="1" ref="AMC10" ca="1">INDEX(Canals!$AA$24:$AA$29,MATCH(2,1/((Canals!$F$24:$F$29&lt;=$C10)*(Canals!$G$24:$G$29=_xlfn.IFS(AHT10="Handysize",Main!AKC10,AHT10="Supramax",AJV10,AHT10="Panamax",AJO10,AHT10="NeoPanamax",AJH10,AHT10="Suezmax",AJA10,AHT10="Capesize",AIT10,AHT10="VLOC",AIM10)))))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D10" s="136" t="e">
        <f t="array" aca="1" ref="AMD10" ca="1">INDEX(Canals!$AB$24:$AB$29,MATCH(2,1/((Canals!$F$24:$F$29&lt;=$C10)*(Canals!$G$24:$G$29=_xlfn.IFS(AHT10="Handysize",Main!AKC10,AHT10="Supramax",AJV10,AHT10="Panamax",AJO10,AHT10="NeoPanamax",AJH10,AHT10="Suezmax",AJA10,AHT10="Capesize",AIT10,AHT10="VLOC",AIM10)))))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E10" s="75" t="e">
        <f t="array" aca="1" ref="AME10" ca="1">INDEX(Canals!$AC$24:$AC$29,MATCH(2,1/((Canals!$F$24:$F$29&lt;=$C10)*(Canals!$G$24:$G$29=_xlfn.IFS(AHT10="Handysize",Main!AKC10,AHT10="Supramax",AJV10,AHT10="Panamax",AJO10,AHT10="NeoPanamax",AJH10,AHT10="Suezmax",AJA10,AHT10="Capesize",AIT10,AHT10="VLOC",AIM10)))))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F10" s="75" t="e">
        <f t="array" aca="1" ref="AMF10" ca="1">INDEX(Canals!$AD$24:$AD$29,MATCH(2,1/((Canals!$F$24:$F$29&lt;=$C10)*(Canals!$G$24:$G$29=_xlfn.IFS(AHT10="Handysize",Main!AKC10,AHT10="Supramax",AJV10,AHT10="Panamax",AJO10,AHT10="NeoPanamax",AJH10,AHT10="Suezmax",AJA10,AHT10="Capesize",AIT10,AHT10="VLOC",AIM10)))))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G10" s="75" t="e">
        <f t="array" aca="1" ref="AMG10" ca="1">INDEX(Canals!$AE$24:$AE$29,MATCH(2,1/((Canals!$F$24:$F$29&lt;=$C10)*(Canals!$G$24:$G$29=_xlfn.IFS(AHT10="Handysize",Main!AKC10,AHT10="Supramax",AJV10,AHT10="Panamax",AJO10,AHT10="NeoPanamax",AJH10,AHT10="Suezmax",AJA10,AHT10="Capesize",AIT10,AHT10="VLOC",AIM10)))))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H10" s="75" t="e">
        <f t="array" aca="1" ref="AMH10" ca="1">INDEX(Canals!$AF$24:$AF$29,MATCH(2,1/((Canals!$F$24:$F$29&lt;=$C10)*(Canals!$G$24:$G$29=_xlfn.IFS(AHT10="Handysize",Main!AKC10,AHT10="Supramax",AJV10,AHT10="Panamax",AJO10,AHT10="NeoPanamax",AJH10,AHT10="Suezmax",AJA10,AHT10="Capesize",AIT10,AHT10="VLOC",AIM10)))))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I10" s="75" t="e">
        <f t="array" aca="1" ref="AMI10" ca="1">INDEX(Canals!$AG$24:$AG$29,MATCH(2,1/((Canals!$F$24:$F$29&lt;=$C10)*(Canals!$G$24:$G$29=_xlfn.IFS(AHT10="Handysize",Main!AKC10,AHT10="Supramax",AJV10,AHT10="Panamax",AJO10,AHT10="NeoPanamax",AJH10,AHT10="Suezmax",AJA10,AHT10="Capesize",AIT10,AHT10="VLOC",AIM10)))))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J10" s="75" t="e">
        <f t="array" aca="1" ref="AMJ10" ca="1">INDEX(Canals!$AH$24:$AH$29,MATCH(2,1/((Canals!$F$24:$F$29&lt;=$C10)*(Canals!$G$24:$G$29=_xlfn.IFS(AHT10="Handysize",Main!AKC10,AHT10="Supramax",AJV10,AHT10="Panamax",AJO10,AHT10="NeoPanamax",AJH10,AHT10="Suezmax",AJA10,AHT10="Capesize",AIT10,AHT10="VLOC",AIM10)))))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K10" s="75" t="e">
        <f t="array" aca="1" ref="AMK10" ca="1">INDEX(Canals!$AI$24:$AI$29,MATCH(2,1/((Canals!$F$24:$F$29&lt;=$C10)*(Canals!$G$24:$G$29=_xlfn.IFS(AHT10="Handysize",Main!AKC10,AHT10="Supramax",AJV10,AHT10="Panamax",AJO10,AHT10="NeoPanamax",AJH10,AHT10="Suezmax",AJA10,AHT10="Capesize",AIT10,AHT10="VLOC",AIM10)))))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L10" s="75" t="e">
        <f t="array" aca="1" ref="AML10" ca="1">INDEX(Canals!$AJ$24:$AJ$29,MATCH(2,1/((Canals!$F$24:$F$29&lt;=$C10)*(Canals!$G$24:$G$29=_xlfn.IFS(AHT10="Handysize",Main!AKC10,AHT10="Supramax",AJV10,AHT10="Panamax",AJO10,AHT10="NeoPanamax",AJH10,AHT10="Suezmax",AJA10,AHT10="Capesize",AIT10,AHT10="VLOC",AIM10)))))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M10" s="75" t="e">
        <f t="array" aca="1" ref="AMM10" ca="1">INDEX(Canals!$AK$24:$AK$29,MATCH(2,1/((Canals!$F$24:$F$29&lt;=$C10)*(Canals!$G$24:$G$29=_xlfn.IFS(AHT10="Handysize",Main!AKC10,AHT10="Supramax",AJV10,AHT10="Panamax",AJO10,AHT10="NeoPanamax",AJH10,AHT10="Suezmax",AJA10,AHT10="Capesize",AIT10,AHT10="VLOC",AIM10)))))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N10" s="136" t="e">
        <f t="array" aca="1" ref="AMN10" ca="1">INDEX(Canals!$AL$24:$AL$29,MATCH(2,1/((Canals!$F$24:$F$29&lt;=$C10)*(Canals!$G$24:$G$29=_xlfn.IFS(AHT10="Handysize",Main!AKC10,AHT10="Supramax",AJV10,AHT10="Panamax",AJO10,AHT10="NeoPanamax",AJH10,AHT10="Suezmax",AJA10,AHT10="Capesize",AIT10,AHT10="VLOC",AIM10)))))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O10" s="136" t="e">
        <f t="array" aca="1" ref="AMO10" ca="1">INDEX(Canals!$AM$24:$AM$29,MATCH(2,1/((Canals!$F$24:$F$29&lt;=$C10)*(Canals!$G$24:$G$29=_xlfn.IFS(AHT10="Handysize",Main!AKC10,AHT10="Supramax",AJV10,AHT10="Panamax",AJO10,AHT10="NeoPanamax",AJH10,AHT10="Suezmax",AJA10,AHT10="Capesize",AIT10,AHT10="VLOC",AIM10)))))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P10" s="136" t="e">
        <f t="array" aca="1" ref="AMP10" ca="1">INDEX(Canals!$AN$24:$AN$29,MATCH(2,1/((Canals!$F$24:$F$29&lt;=$C10)*(Canals!$G$24:$G$29=_xlfn.IFS(AHT10="Handysize",Main!AKC10,AHT10="Supramax",AJV10,AHT10="Panamax",AJO10,AHT10="NeoPanamax",AJH10,AHT10="Suezmax",AJA10,AHT10="Capesize",AIT10,AHT10="VLOC",AIM10)))))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Q10" s="136" t="e">
        <f t="array" aca="1" ref="AMQ10" ca="1">INDEX(Canals!$AO$24:$AO$29,MATCH(2,1/((Canals!$F$24:$F$29&lt;=$C10)*(Canals!$G$24:$G$29=_xlfn.IFS(AHT10="Handysize",Main!AKC10,AHT10="Supramax",AJV10,AHT10="Panamax",AJO10,AHT10="NeoPanamax",AJH10,AHT10="Suezmax",AJA10,AHT10="Capesize",AIT10,AHT10="VLOC",AIM10)))))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R10" s="136" t="e">
        <f t="array" aca="1" ref="AMR10" ca="1">INDEX(Canals!$AP$24:$AP$29,MATCH(2,1/((Canals!$F$24:$F$29&lt;=$C10)*(Canals!$G$24:$G$29=_xlfn.IFS(AHT10="Handysize",Main!AKC10,AHT10="Supramax",AJV10,AHT10="Panamax",AJO10,AHT10="NeoPanamax",AJH10,AHT10="Suezmax",AJA10,AHT10="Capesize",AIT10,AHT10="VLOC",AIM10)))))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S10" s="136" t="e">
        <f t="array" aca="1" ref="AMS10" ca="1">INDEX(Canals!$AQ$24:$AQ$29,MATCH(2,1/((Canals!$F$24:$F$29&lt;=$C10)*(Canals!$G$24:$G$29=_xlfn.IFS(AHT10="Handysize",Main!AKC10,AHT10="Supramax",AJV10,AHT10="Panamax",AJO10,AHT10="NeoPanamax",AJH10,AHT10="Suezmax",AJA10,AHT10="Capesize",AIT10,AHT10="VLOC",AIM10)))))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T10" s="136" t="e">
        <f t="array" aca="1" ref="AMT10" ca="1">INDEX(Canals!$AR$24:$AR$29,MATCH(2,1/((Canals!$F$24:$F$29&lt;=$C10)*(Canals!$G$24:$G$29=_xlfn.IFS(AHT10="Handysize",Main!AKC10,AHT10="Supramax",AJV10,AHT10="Panamax",AJO10,AHT10="NeoPanamax",AJH10,AHT10="Suezmax",AJA10,AHT10="Capesize",AIT10,AHT10="VLOC",AIM10)))))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U10" s="136" t="e">
        <f t="array" aca="1" ref="AMU10" ca="1">INDEX(Canals!$AS$24:$AS$29,MATCH(2,1/((Canals!$F$24:$F$29&lt;=$C10)*(Canals!$G$24:$G$29=_xlfn.IFS(AHT10="Handysize",Main!AKC10,AHT10="Supramax",AJV10,AHT10="Panamax",AJO10,AHT10="NeoPanamax",AJH10,AHT10="Suezmax",AJA10,AHT10="Capesize",AIT10,AHT10="VLOC",AIM10)))))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V10" s="136" t="e">
        <f t="array" aca="1" ref="AMV10" ca="1">INDEX(Canals!$AT$24:$AT$29,MATCH(2,1/((Canals!$F$24:$F$29&lt;=$C10)*(Canals!$G$24:$G$29=_xlfn.IFS(AHT10="Handysize",Main!AKC10,AHT10="Supramax",AJV10,AHT10="Panamax",AJO10,AHT10="NeoPanamax",AJH10,AHT10="Suezmax",AJA10,AHT10="Capesize",AIT10,AHT10="VLOC",AIM10)))))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W10" s="136" t="e">
        <f t="array" aca="1" ref="AMW10" ca="1">INDEX(Canals!$AU$24:$AU$29,MATCH(2,1/((Canals!$F$24:$F$29&lt;=$C10)*(Canals!$G$24:$G$29=_xlfn.IFS(AHT10="Handysize",Main!AKC10,AHT10="Supramax",AJV10,AHT10="Panamax",AJO10,AHT10="NeoPanamax",AJH10,AHT10="Suezmax",AJA10,AHT10="Capesize",AIT10,AHT10="VLOC",AIM10)))))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X10" s="136" t="e">
        <f t="array" aca="1" ref="AMX10" ca="1">INDEX(Canals!$AV$24:$AV$29,MATCH(2,1/((Canals!$F$24:$F$29&lt;=$C10)*(Canals!$G$24:$G$29=_xlfn.IFS(AHT10="Handysize",Main!AKC10,AHT10="Supramax",AJV10,AHT10="Panamax",AJO10,AHT10="NeoPanamax",AJH10,AHT10="Suezmax",AJA10,AHT10="Capesize",AIT10,AHT10="VLOC",AIM10)))))</f>
        <v>#N/A</v>
      </c>
      <c r="AMZ10" s="75" t="e">
        <f t="array" aca="1" ref="AMZ10" ca="1">_xlfn.IFS(ALK10="DWT",AHR10,ALK10="NRT",AHV10,ALK10="GRT",AHW10,ALK10=0,0)</f>
        <v>#NAME?</v>
      </c>
      <c r="ANA10" s="279" t="e">
        <f t="shared" ref="ANA10:ANA23" ca="1" si="227">IF(AMZ10&gt;ALL10,ALL10,AMZ10)</f>
        <v>#NAME?</v>
      </c>
      <c r="ANB10" s="280" t="e">
        <f t="shared" ref="ANB10:ANB23" ca="1" si="228">IF(AMZ10&gt;SUM(ALL10:ALM10),ALM10,AMZ10-SUM(ANA10:ANA10))</f>
        <v>#NAME?</v>
      </c>
      <c r="ANC10" s="280" t="e">
        <f t="shared" ref="ANC10:ANC23" ca="1" si="229">IF(AMZ10&gt;SUM(ALL10:ALN10),ALN10,AMZ10-SUM(ANA10:ANB10))</f>
        <v>#NAME?</v>
      </c>
      <c r="AND10" s="280" t="e">
        <f t="shared" ref="AND10:AND23" ca="1" si="230">IF(AMZ10&gt;SUM(ALL10:ALO10),ALO10,AMZ10-SUM(ANA10:ANC10))</f>
        <v>#NAME?</v>
      </c>
      <c r="ANE10" s="280" t="e">
        <f t="shared" ref="ANE10:ANE23" ca="1" si="231">IF(AMZ10&gt;SUM(ALL10:ALP10),ALP10,AMZ10-SUM(ANA10:AND10))</f>
        <v>#NAME?</v>
      </c>
      <c r="ANF10" s="280" t="e">
        <f t="shared" ref="ANF10:ANF23" ca="1" si="232">IF(AMZ10&gt;SUM(ALL10:ALQ10),ALQ10,AMZ10-SUM(ANA10:ANE10))</f>
        <v>#NAME?</v>
      </c>
      <c r="ANG10" s="280" t="e">
        <f t="shared" ref="ANG10:ANG23" ca="1" si="233">IF(AMZ10&gt;SUM(ALL10:ALR10),ALR10,AMZ10-SUM(ANA10:ANF10))</f>
        <v>#NAME?</v>
      </c>
      <c r="ANH10" s="280" t="e">
        <f t="shared" ref="ANH10:ANH23" ca="1" si="234">IF(AMZ10&gt;SUM(ALL10:ALS10),ALS10,AMZ10-SUM(ANA10:ANG10))</f>
        <v>#NAME?</v>
      </c>
      <c r="ANI10" s="280" t="e">
        <f t="shared" ref="ANI10:ANI23" ca="1" si="235">IF(AMZ10&gt;SUM(ALL10:ALT10),ALT10,AMZ10-SUM(ANA10:ANH10))</f>
        <v>#NAME?</v>
      </c>
      <c r="ANJ10" s="75">
        <f t="shared" ref="ANJ10:ANJ23" si="236">AHR10*$JN10</f>
        <v>0</v>
      </c>
      <c r="ANK10" s="279" t="e">
        <f t="shared" ref="ANK10:ANK23" ca="1" si="237">IF(ANJ10&gt;AME10,AME10,ANJ10)</f>
        <v>#N/A</v>
      </c>
      <c r="ANL10" s="280" t="e">
        <f t="shared" ref="ANL10:ANL23" ca="1" si="238">IF(ANJ10&gt;SUM(AME10:AMF10),AMF10,ANJ10-SUM(ANK10:ANK10))</f>
        <v>#N/A</v>
      </c>
      <c r="ANM10" s="280" t="e">
        <f t="shared" ref="ANM10:ANM23" ca="1" si="239">IF(ANJ10&gt;SUM(AME10:AMG10),AMG10,ANJ10-SUM(ANK10:ANL10))</f>
        <v>#N/A</v>
      </c>
      <c r="ANN10" s="280" t="e">
        <f t="shared" ref="ANN10:ANN23" ca="1" si="240">IF(ANJ10&gt;SUM(AME10:AMH10),AMH10,ANJ10-SUM(ANK10:ANM10))</f>
        <v>#N/A</v>
      </c>
      <c r="ANO10" s="280" t="e">
        <f t="shared" ref="ANO10:ANO23" ca="1" si="241">IF(ANJ10&gt;SUM(AME10:AMI10),AMI10,ANJ10-SUM(ANK10:ANN10))</f>
        <v>#N/A</v>
      </c>
      <c r="ANP10" s="280" t="e">
        <f t="shared" ref="ANP10:ANP23" ca="1" si="242">IF(ANJ10&gt;SUM(AME10:AMJ10),AMJ10,ANJ10-SUM(ANK10:ANO10))</f>
        <v>#N/A</v>
      </c>
      <c r="ANQ10" s="280" t="e">
        <f t="shared" ref="ANQ10:ANQ23" ca="1" si="243">IF(ANJ10&gt;SUM(AME10:AMK10),AMK10,ANJ10-SUM(ANK10:ANP10))</f>
        <v>#N/A</v>
      </c>
      <c r="ANR10" s="280" t="e">
        <f t="shared" ref="ANR10:ANR23" ca="1" si="244">IF(ANJ10&gt;SUM(AME10:AML10),AML10,ANJ10-SUM(ANK10:ANQ10))</f>
        <v>#N/A</v>
      </c>
      <c r="ANS10" s="280" t="e">
        <f t="shared" ref="ANS10:ANS23" ca="1" si="245">IF(ANJ10&gt;SUM(AME10:AMM10),AMM10,ANJ10-SUM(ANK10:ANR10))</f>
        <v>#N/A</v>
      </c>
      <c r="ANU10" s="75" t="e">
        <f t="array" aca="1" ref="ANU10" ca="1">_xlfn.IFS(AHT10="Handysize",Main!AJW10,AHT10="Supramax",AJP10,AHT10="Panamax",AJI10,AHT10="NeoPanamax",AJB10,AHT10="Suezmax",AIU10,AHT10="Capesize",AIN10,AHT10="VLOC",AIG10)*$JI10</f>
        <v>#NAME?</v>
      </c>
      <c r="ANV10" s="274" t="e">
        <f t="array" aca="1" ref="ANV10" ca="1">_xlfn.IFS(AHT10="Handysize",Main!AJX10,AHT10="Supramax",AJQ10,AHT10="Panamax",AJJ10,AHT10="NeoPanamax",AJC10,AHT10="Suezmax",AIV10,AHT10="Capesize",AIO10,AHT10="VLOC",AIH10)*$JI10</f>
        <v>#NAME?</v>
      </c>
      <c r="ANW10" s="71" t="e">
        <f t="array" aca="1" ref="ANW10" ca="1">_xlfn.IFS(AHT10="Handysize",Main!AHY10,AHT10="Supramax",AHZ10,AHT10="Panamax",AIA10,AHT10="NeoPanamax",AIB10,AHT10="Suezmax",AIC10,AHT10="Capesize",AID10,AHT10="VLOC",AIE10)</f>
        <v>#NAME?</v>
      </c>
      <c r="ANX10" s="71" t="e">
        <f t="array" aca="1" ref="ANX10" ca="1">_xlfn.IFS(AHT10="Handysize",Main!AKK10,AHT10="Supramax",AKL10,AHT10="Panamax",AKM10,AHT10="NeoPanamax",AKN10,AHT10="Suezmax",AKO10,AHT10="Capesize",AKP10,AHT10="VLOC",AKQ10)</f>
        <v>#NAME?</v>
      </c>
      <c r="ANY10" s="70">
        <f t="array" ref="ANY10">INDEX('Ship Speeds'!$G$11:$G$1011,MATCH(2,1/(('Ship Speeds'!$E$11:$E$1011&lt;=Main!$C10)*('Ship Speeds'!$F$11:$F$1011=Main!AHS10))))</f>
        <v>11</v>
      </c>
      <c r="ANZ10" s="403">
        <f t="shared" ref="ANZ10:ANZ23" si="246">(($KH10*ANY10^2+$KI10*ANY10^3+$KG10*ANY10)*((AHR10/$KC10)^$KD10)*$KJ10+(AHR10/$KC10)*$KF10+$KE10)</f>
        <v>0</v>
      </c>
      <c r="AOA10" s="401">
        <f t="shared" ref="AOA10:AOA23" si="247">(AHR10/$JY10)*$JZ10+$KA10+$KB10*(AHR10/$JY10)^2</f>
        <v>1.2</v>
      </c>
      <c r="AOB10" s="70" t="e">
        <f t="shared" ref="AOB10:AOB23" ca="1" si="248">ANU10/ANY10/$JH10</f>
        <v>#NAME?</v>
      </c>
      <c r="AOC10" s="70" t="e">
        <f t="shared" ref="AOC10:AOC23" ca="1" si="249">ANV10/ANY10/$JH10</f>
        <v>#NAME?</v>
      </c>
      <c r="AOD10" s="70" t="e">
        <f t="shared" ref="AOD10:AOD23" ca="1" si="250">IF(ANW10=0,0,IF($AO10="yes",$AN10,$AR10)/(1-$AL10)/ANW10)</f>
        <v>#NAME?</v>
      </c>
      <c r="AOE10" s="70" t="e">
        <f t="shared" ref="AOE10:AOE23" ca="1" si="251">IF(ANX10=0,0,IF($AO10="yes",$AN10,$AR10)/(1-$AL10)/ANX10)</f>
        <v>#NAME?</v>
      </c>
      <c r="AOF10" s="72" t="e">
        <f t="shared" ref="AOF10:AOF23" ca="1" si="252">AMX10*$JI10</f>
        <v>#N/A</v>
      </c>
      <c r="AOG10" s="70" t="e">
        <f t="shared" ref="AOG10:AOG23" ca="1" si="253">IF(ANU10=0,0,MAX(SUM(AOB10:AOF10)*$JV10,$JU10))</f>
        <v>#NAME?</v>
      </c>
      <c r="AOH10" s="70" t="e">
        <f t="array" aca="1" ref="AOH10" ca="1">IF(ANU10=0,0,INDEX(AKE10:AKI10,MATCH(_xlfn.IFS(AHT10="Handysize",Main!AKA10,AHT10="Supramax",AJT10,AHT10="Panamax",AJM10,AHT10="NeoPanamax",AJF10,AHT10="Suezmax",AIY10,AHT10="Capesize",AIR10,AHT10="VLOC",AIK10),$AKE$7:$AKI$7,0)))</f>
        <v>#NAME?</v>
      </c>
      <c r="AOI10" s="70" t="e">
        <f t="array" aca="1" ref="AOI10" ca="1">IF(ANU10=0,0,INDEX(AKE10:AKI10,MATCH(_xlfn.IFS(AHT10="Handysize",Main!AKB10,AHT10="Supramax",AJU10,AHT10="Panamax",AJN10,AHT10="NeoPanamax",AJG10,AHT10="Suezmax",AIZ10,AHT10="Capesize",AIS10,AHT10="VLOC",AIL10),$AKE$7:$AKI$7,0)))</f>
        <v>#NAME?</v>
      </c>
      <c r="AOJ10" s="71" t="e">
        <f t="shared" ref="AOJ10:AOJ23" ca="1" si="254">AOB10*ANZ10*AOH10</f>
        <v>#NAME?</v>
      </c>
      <c r="AOK10" s="71" t="e">
        <f t="shared" ref="AOK10:AOK23" ca="1" si="255">SUM(AOD10:AOG10)*AOA10*AOI10+AOC10*ANZ10*AOI10</f>
        <v>#NAME?</v>
      </c>
      <c r="AOL10" s="281" t="e">
        <f t="shared" ref="AOL10:AOL23" ca="1" si="256">IF(ANU10=0,0,INDEX($JA10:$JD10,MATCH(AKR10,$JA$7:$JD$7,0)))</f>
        <v>#NAME?</v>
      </c>
      <c r="AOM10" s="71" t="e">
        <f t="shared" ref="AOM10:AOM23" ca="1" si="257">IF(ANU10=0,0,AKS10/AOL10)</f>
        <v>#NAME?</v>
      </c>
      <c r="AON10" s="71" t="e">
        <f t="shared" ref="AON10:AON23" ca="1" si="258">IF(ANU10=0,0,AKT10*SUM(AOE10,$JX10)/AOL10)</f>
        <v>#NAME?</v>
      </c>
      <c r="AOO10" s="71" t="e">
        <f t="shared" ref="AOO10:AOO23" ca="1" si="259">IF(ANU10=0,0,AKU10*(AOG10*(1-$JW10))/AOL10)</f>
        <v>#NAME?</v>
      </c>
      <c r="AOP10" s="71" t="e">
        <f t="shared" ref="AOP10:AOP23" ca="1" si="260">IF(ANU10=0,0,AKV10*(AHR10*$JN10)/AOL10)</f>
        <v>#NAME?</v>
      </c>
      <c r="AOQ10" s="71" t="e">
        <f t="shared" ref="AOQ10:AOQ23" ca="1" si="261">IF(ANU10=0,0,AKW10*(AHR10*$JN10)*SUM(AOE10,$JX10)/AOL10)</f>
        <v>#NAME?</v>
      </c>
      <c r="AOR10" s="71" t="e">
        <f t="shared" ref="AOR10:AOR23" ca="1" si="262">IF(ANU10=0,0,AKX10*(AHR10*$JN10)*(AOG10*(1-$JW10))/AOL10)</f>
        <v>#NAME?</v>
      </c>
      <c r="AOS10" s="71" t="e">
        <f t="shared" ref="AOS10:AOS23" ca="1" si="263">IF(ANU10=0,0,AKY10*AHV10/AOL10)</f>
        <v>#NAME?</v>
      </c>
      <c r="AOT10" s="71" t="e">
        <f t="shared" ref="AOT10:AOT23" ca="1" si="264">IF(ANU10=0,0,AKZ10*AHV10*SUM(AOE10,$JX10)/AOL10)</f>
        <v>#NAME?</v>
      </c>
      <c r="AOU10" s="71" t="e">
        <f t="shared" ref="AOU10:AOU23" ca="1" si="265">IF(ANU10=0,0,ALA10*AHV10*(AOG10*(1-$JW10))/AOL10)</f>
        <v>#NAME?</v>
      </c>
      <c r="AOV10" s="71" t="e">
        <f t="shared" ref="AOV10:AOV23" ca="1" si="266">IF(ANU10=0,0,ALB10*AHW10/AOL10)</f>
        <v>#NAME?</v>
      </c>
      <c r="AOW10" s="71" t="e">
        <f t="shared" ref="AOW10:AOW23" ca="1" si="267">IF(ANU10=0,0,ALC10*AHW10*SUM(AOE10,$JX10)/AOL10)</f>
        <v>#NAME?</v>
      </c>
      <c r="AOX10" s="71" t="e">
        <f t="shared" ref="AOX10:AOX23" ca="1" si="268">IF(ANU10=0,0,ALD10*AHW10*(AOG10*(1-$JW10))/AOL10)</f>
        <v>#NAME?</v>
      </c>
      <c r="AOY10" s="72" t="e">
        <f t="shared" ref="AOY10:AOY23" ca="1" si="269">IF(ANU10=0,0,ALE10*AHU10/AOL10)</f>
        <v>#NAME?</v>
      </c>
      <c r="AOZ10" s="72" t="e">
        <f t="shared" ref="AOZ10:AOZ23" ca="1" si="270">IF(ANU10=0,0,ALF10*AHU10*SUM(AOE10,$JX10)/AOL10)</f>
        <v>#NAME?</v>
      </c>
      <c r="APA10" s="71" t="e">
        <f t="shared" ref="APA10:APA23" ca="1" si="271">IF(ANU10=0,0,ALG10*AHU10*(AOG10*(1-$JW10))/AOL10)</f>
        <v>#NAME?</v>
      </c>
      <c r="APB10" s="71" t="e">
        <f t="array" aca="1" ref="APB10" ca="1">IF(ANU10=0,0,INDEX('Ship Time Charter Rates'!$H$22:$H$1021,MATCH(2,1/(('Ship Time Charter Rates'!$G$22:$G$1021=_xlfn.IFS(AHT10="Handysize",Main!AJY10,AHT10="Supramax",AJR10,AHT10="Panamax",AJK10,AHT10="NeoPanamax",AJD10,AHT10="Suezmax",AIW10,AHT10="Capesize",AIP10,AHT10="VLOC",AII10))*('Ship Time Charter Rates'!$E$22:$E$1021&lt;=Main!$C10)*(NOT(ISBLANK('Ship Time Charter Rates'!$H$22:$H$1021)))))))</f>
        <v>#NAME?</v>
      </c>
      <c r="APC10" s="71" t="e">
        <f t="shared" ref="APC10:APC23" ca="1" si="272">IF(ANU10=0,0,SUM(AOB10:AOG10,$JI10*$JX10)*APB10)</f>
        <v>#NAME?</v>
      </c>
      <c r="APD10" s="70" t="e">
        <f t="shared" ref="APD10:APD23" ca="1" si="273">IF(ANU10=0,0,SUMPRODUCT(ALU10:AMC10,ANA10:ANI10)+SUMPRODUCT(AMN10:AMV10,ANK10:ANS10))</f>
        <v>#NAME?</v>
      </c>
      <c r="APE10" s="71" t="e">
        <f t="shared" ref="APE10:APE23" ca="1" si="274">IF(ANU10=0,0,SUM(AOJ10,AOK10)+APC10+APD10+SUM(AOM10:APA10))</f>
        <v>#NAME?</v>
      </c>
      <c r="APF10" s="71" t="e">
        <f ca="1">APE10*(1+$KL10)*(1+$KM10)</f>
        <v>#NAME?</v>
      </c>
      <c r="APG10" s="72" t="e">
        <f ca="1">IF(APF10=0,0,APF10/(AHR10*(1-$AL10)*$JN10))</f>
        <v>#NAME?</v>
      </c>
      <c r="API10" s="287" t="s">
        <v>39</v>
      </c>
      <c r="APK10" s="289" t="e">
        <f t="shared" ref="APK10:APK23" ca="1" si="275">SUM(APG10,AHP10)</f>
        <v>#NAME?</v>
      </c>
      <c r="APL10" s="289" t="e">
        <f t="shared" ref="APL10:APL23" ca="1" si="276">SUM(ZW10,SF10)</f>
        <v>#NAME?</v>
      </c>
      <c r="APM10" s="289" t="e">
        <f t="shared" ref="APM10:APM23" ca="1" si="277">APK10-APL10</f>
        <v>#NAME?</v>
      </c>
      <c r="APO10" s="287" t="s">
        <v>39</v>
      </c>
    </row>
    <row r="11" spans="1:1134">
      <c r="C11" s="5">
        <v>43923</v>
      </c>
      <c r="D11" s="7" t="s">
        <v>20</v>
      </c>
      <c r="E11" s="86" t="s">
        <v>156</v>
      </c>
      <c r="F11" s="6">
        <v>45</v>
      </c>
      <c r="G11" s="1" t="s">
        <v>4</v>
      </c>
      <c r="H11" s="1" t="s">
        <v>6</v>
      </c>
      <c r="I11" s="15"/>
      <c r="J11" s="15"/>
      <c r="K11" s="15"/>
      <c r="L11" s="15"/>
      <c r="M11" s="15"/>
      <c r="N11" s="15"/>
      <c r="O11" s="15"/>
      <c r="P11" s="8"/>
      <c r="Q11" s="98"/>
      <c r="R11" s="7" t="s">
        <v>95</v>
      </c>
      <c r="T11" s="287" t="s">
        <v>39</v>
      </c>
      <c r="V11" s="4"/>
      <c r="W11" s="16" t="str">
        <f t="shared" si="0"/>
        <v>not used yet</v>
      </c>
      <c r="X11" s="16" t="str">
        <f t="shared" si="0"/>
        <v>not used yet</v>
      </c>
      <c r="Y11" s="16" t="str">
        <f t="shared" si="0"/>
        <v>not used yet</v>
      </c>
      <c r="Z11" s="16" t="str">
        <f t="shared" si="0"/>
        <v>not used yet</v>
      </c>
      <c r="AA11" s="16" t="str">
        <f t="shared" si="0"/>
        <v>not used yet</v>
      </c>
      <c r="AB11" s="16" t="str">
        <f t="shared" si="0"/>
        <v>not used yet</v>
      </c>
      <c r="AC11" s="16" t="str">
        <f t="shared" si="0"/>
        <v>not used yet</v>
      </c>
      <c r="AE11" s="88" t="str">
        <f t="shared" si="1"/>
        <v>West Kalimantan Generic</v>
      </c>
      <c r="AF11" s="16">
        <f t="shared" si="2"/>
        <v>0.48</v>
      </c>
      <c r="AG11" s="16">
        <f t="shared" si="2"/>
        <v>0.44</v>
      </c>
      <c r="AH11" s="61">
        <f t="shared" si="2"/>
        <v>0.08</v>
      </c>
      <c r="AI11" s="61">
        <f t="shared" si="2"/>
        <v>3.5000000000000003E-2</v>
      </c>
      <c r="AJ11" s="61">
        <f t="shared" si="2"/>
        <v>4.4999999999999998E-2</v>
      </c>
      <c r="AK11" s="16">
        <f t="shared" si="2"/>
        <v>5.0000000000000001E-3</v>
      </c>
      <c r="AL11" s="16">
        <f t="shared" si="2"/>
        <v>0.15</v>
      </c>
      <c r="AM11" s="24" t="str">
        <f t="shared" si="3"/>
        <v>LT</v>
      </c>
      <c r="AN11" s="427">
        <f t="shared" ref="AN11:AN23" si="278">IF(NOT(ISBLANK(P11)),P11*IF(H11="dmt",1,1-AL11),IO11*JN11*(1-AL11))</f>
        <v>47238.75</v>
      </c>
      <c r="AO11" s="127" t="str">
        <f t="array" ref="AO11">IFERROR(IF(AND(AN11&gt;'Indices Mines Exporting Ports'!$D$11,MATCH(2,1/(('Indices Mines Exporting Ports'!$B$3:$B$10&lt;=C11)*('Indices Mines Exporting Ports'!$C$3:$C$10=E11)))),"Yes","No"),"No")</f>
        <v>No</v>
      </c>
      <c r="AP11" s="126" t="str">
        <f t="array" ref="AP11">IF(AO11="Yes",INDEX('Indices Mines Exporting Ports'!$D$3:$D$10,MATCH(2,1/(('Indices Mines Exporting Ports'!$B$3:$B$10&lt;=Main!C11)*('Indices Mines Exporting Ports'!$C$3:$C$10=Main!AE11)))),IF(NOT(ISBLANK(Q11)),Q11,IP11))</f>
        <v>West_Kal_Generic_Offshore</v>
      </c>
      <c r="AQ11" s="262">
        <f t="array" ref="AQ11">IF(AO11="no",0,INDEX('Indices Mines Exporting Ports'!$E$3:$E$10,MATCH(2,1/(('Indices Mines Exporting Ports'!$B$3:$B$10&lt;=Main!$C11)*('Indices Mines Exporting Ports'!$D$3:$D$10=Main!$AP11)))))</f>
        <v>0</v>
      </c>
      <c r="AR11" s="267">
        <f t="array" ref="AR11">IF(AO11="No",0,AN11/ROUND(AN11/INDEX('Indices Mines Exporting Ports'!$F$3:$F$10,MATCH(2,1/(('Indices Mines Exporting Ports'!$B$3:$B$10&lt;=Main!C11)*('Indices Mines Exporting Ports'!$C$3:$C$10=Main!AE11)))),0))</f>
        <v>0</v>
      </c>
      <c r="AS11" s="127" t="str">
        <f t="shared" si="4"/>
        <v>Qingdao</v>
      </c>
      <c r="AT11" s="100" t="str">
        <f t="shared" si="5"/>
        <v>Indonesian LT</v>
      </c>
      <c r="AU11" s="100" t="str">
        <f t="shared" si="5"/>
        <v>CBIX LT</v>
      </c>
      <c r="AV11" s="242" t="s">
        <v>4</v>
      </c>
      <c r="AW11" s="242" t="s">
        <v>5</v>
      </c>
      <c r="AX11" s="292" t="e">
        <f t="shared" ca="1" si="6"/>
        <v>#NAME?</v>
      </c>
      <c r="AY11" s="291" t="e">
        <f t="shared" ca="1" si="7"/>
        <v>#NAME?</v>
      </c>
      <c r="AZ11" s="292">
        <f t="shared" si="8"/>
        <v>52.941176470588239</v>
      </c>
      <c r="BA11" s="102">
        <f t="shared" si="9"/>
        <v>0.33</v>
      </c>
      <c r="BB11" s="12"/>
      <c r="BC11" s="306" t="s">
        <v>403</v>
      </c>
      <c r="BD11" s="407">
        <f t="shared" ref="BD11:BF26" si="279">IF($AT11=BD$7,$CV11,0)</f>
        <v>0</v>
      </c>
      <c r="BE11" s="407">
        <f t="shared" si="279"/>
        <v>52.941176470588246</v>
      </c>
      <c r="BF11" s="407">
        <f t="shared" si="279"/>
        <v>0</v>
      </c>
      <c r="BG11" s="407">
        <f t="shared" ref="BG11:BG26" si="280">IF($AU11=BG$7,$EE11,0)</f>
        <v>51.452679389243762</v>
      </c>
      <c r="BH11" s="407">
        <f t="shared" ref="BH11:BH26" si="281">IF($AU11=BH$7,$EE11,)</f>
        <v>0</v>
      </c>
      <c r="BI11" s="263">
        <f t="shared" ref="BI11:BI22" si="282">GU11</f>
        <v>51.11517938924375</v>
      </c>
      <c r="BK11" s="287" t="s">
        <v>39</v>
      </c>
      <c r="BM11" s="291">
        <f t="shared" ref="BM11:BM23" si="283">$AZ11</f>
        <v>52.941176470588239</v>
      </c>
      <c r="BN11" s="298">
        <f t="shared" ref="BN11:BN23" si="284">$AF11</f>
        <v>0.48</v>
      </c>
      <c r="BO11" s="298">
        <f t="shared" ref="BO11:BO23" si="285">$AG11</f>
        <v>0.44</v>
      </c>
      <c r="BP11" s="298">
        <f t="shared" ref="BP11:BP23" si="286">$AH11</f>
        <v>0.08</v>
      </c>
      <c r="BQ11" s="298">
        <f t="shared" ref="BQ11:BQ23" si="287">$AI11</f>
        <v>3.5000000000000003E-2</v>
      </c>
      <c r="BR11" s="298">
        <f t="shared" ref="BR11:BR23" si="288">$AJ11</f>
        <v>4.4999999999999998E-2</v>
      </c>
      <c r="BS11" s="298">
        <f t="shared" ref="BS11:BS23" si="289">$AK11</f>
        <v>5.0000000000000001E-3</v>
      </c>
      <c r="BT11" s="298">
        <f t="shared" ref="BT11:BT23" si="290">$AL11</f>
        <v>0.15</v>
      </c>
      <c r="BU11" s="307" t="str">
        <f t="shared" ref="BU11:BU23" si="291">$AM11</f>
        <v>LT</v>
      </c>
      <c r="BV11" s="291">
        <f t="shared" ref="BV11:BV23" si="292">$BA11</f>
        <v>0.33</v>
      </c>
      <c r="BX11" s="300">
        <f t="array" ref="BX11">INDEX('Processing Factors'!$D$8:$D$29,MATCH(2,1/(('Processing Factors'!$B$8:$B$29&lt;=Main!$C11)*('Processing Factors'!$C$8:$C$29=Main!BU11))))</f>
        <v>0</v>
      </c>
      <c r="BY11" s="299">
        <f t="array" ref="BY11">INDEX('Processing Factors'!$E$8:$E$29,MATCH(2,1/(('Processing Factors'!$B$8:$B$29&lt;=Main!$C11)*('Processing Factors'!$C$8:$C$29=Main!BU11))))</f>
        <v>1</v>
      </c>
      <c r="BZ11" s="299">
        <f t="array" ref="BZ11">INDEX('Processing Factors'!$F$8:$F$29,MATCH(2,1/(('Processing Factors'!$B$8:$B$29&lt;=Main!$C11)*('Processing Factors'!$C$8:$C$29=Main!BU11))))</f>
        <v>0.9</v>
      </c>
      <c r="CA11" s="299">
        <f t="array" ref="CA11">INDEX('Processing Factors'!$G$8:$G$29,MATCH(2,1/(('Processing Factors'!$B$8:$B$29&lt;=Main!$C11)*('Processing Factors'!$C$8:$C$29=Main!BU11))))</f>
        <v>3.5999999999999997E-2</v>
      </c>
      <c r="CB11" s="299">
        <f t="array" ref="CB11">INDEX('Processing Factors'!$H$8:$H$29,MATCH(2,1/(('Processing Factors'!$B$8:$B$29&lt;=Main!$C11)*('Processing Factors'!$C$8:$C$29=Main!BU11))))</f>
        <v>12.15</v>
      </c>
      <c r="CC11" s="300">
        <f t="array" ref="CC11">INDEX('Processing Factors'!$I$8:$I$29,MATCH(2,1/(('Processing Factors'!$B$8:$B$29&lt;=Main!$C11)*('Processing Factors'!$C$8:$C$29=Main!BU11))))</f>
        <v>0</v>
      </c>
      <c r="CD11" s="300">
        <f t="array" ref="CD11">INDEX('Processing Factors'!$J$8:$J$29,MATCH(2,1/(('Processing Factors'!$B$8:$B$29&lt;=Main!$C11)*('Processing Factors'!$C$8:$C$29=Main!BU11))))</f>
        <v>0.9</v>
      </c>
      <c r="CE11" s="299">
        <f t="array" ref="CE11">INDEX('Processing Factors'!$K$8:$K$29,MATCH(2,1/(('Processing Factors'!$B$8:$B$29&lt;=Main!$C11)*('Processing Factors'!$C$8:$C$29=Main!BU11))))</f>
        <v>3.5000000000000003E-2</v>
      </c>
      <c r="CG11" s="302">
        <f t="shared" si="10"/>
        <v>0.47499999999999998</v>
      </c>
      <c r="CH11" s="302">
        <f t="shared" si="11"/>
        <v>3.5000000000000003E-2</v>
      </c>
      <c r="CI11" s="302">
        <f t="shared" si="12"/>
        <v>0.43999999999999995</v>
      </c>
      <c r="CJ11" s="299">
        <f t="shared" si="13"/>
        <v>2.5252525252525255</v>
      </c>
      <c r="CK11" s="281">
        <f t="shared" si="14"/>
        <v>134.52317290552585</v>
      </c>
      <c r="CL11" s="299">
        <f t="shared" si="15"/>
        <v>0.11454545454545458</v>
      </c>
      <c r="CM11" s="281">
        <f t="shared" si="16"/>
        <v>27.519399763605541</v>
      </c>
      <c r="CN11" s="281">
        <f t="shared" si="17"/>
        <v>50.37416442905598</v>
      </c>
      <c r="CO11" s="281">
        <f t="shared" si="18"/>
        <v>1.2210288298473715</v>
      </c>
      <c r="CP11" s="299">
        <f t="shared" si="19"/>
        <v>1.6757979797979801</v>
      </c>
      <c r="CQ11" s="281">
        <f t="shared" si="20"/>
        <v>7.1048529386573502</v>
      </c>
      <c r="CR11" s="281">
        <f t="shared" si="21"/>
        <v>220.74261886669211</v>
      </c>
      <c r="CT11" s="287" t="s">
        <v>39</v>
      </c>
      <c r="CV11" s="305">
        <f t="shared" si="22"/>
        <v>52.941176470588246</v>
      </c>
      <c r="CW11" s="61">
        <f t="array" ref="CW11">INDEX('Indices Mines Exporting Ports'!E$20:E$51, MATCH(2,1/(('Indices Mines Exporting Ports'!$C$20:$C$51=$AT11)*('Indices Mines Exporting Ports'!$D$20:$D$51&lt;=$C11))))</f>
        <v>0.48</v>
      </c>
      <c r="CX11" s="61">
        <f t="array" ref="CX11">INDEX('Indices Mines Exporting Ports'!F$20:F$51, MATCH(2,1/(('Indices Mines Exporting Ports'!$C$20:$C$51=$AT11)*('Indices Mines Exporting Ports'!$D$20:$D$51&lt;=$C11))))</f>
        <v>0.44</v>
      </c>
      <c r="CY11" s="61">
        <f t="array" ref="CY11">INDEX('Indices Mines Exporting Ports'!G$20:G$51, MATCH(2,1/(('Indices Mines Exporting Ports'!$C$20:$C$51=$AT11)*('Indices Mines Exporting Ports'!$D$20:$D$51&lt;=$C11))))</f>
        <v>0.08</v>
      </c>
      <c r="CZ11" s="61">
        <f t="array" ref="CZ11">INDEX('Indices Mines Exporting Ports'!H$20:H$51, MATCH(2,1/(('Indices Mines Exporting Ports'!$C$20:$C$51=$AT11)*('Indices Mines Exporting Ports'!$D$20:$D$51&lt;=$C11))))</f>
        <v>3.5000000000000003E-2</v>
      </c>
      <c r="DA11" s="61">
        <f t="array" ref="DA11">INDEX('Indices Mines Exporting Ports'!I$20:I$51, MATCH(2,1/(('Indices Mines Exporting Ports'!$C$20:$C$51=$AT11)*('Indices Mines Exporting Ports'!$D$20:$D$51&lt;=$C11))))</f>
        <v>4.4999999999999998E-2</v>
      </c>
      <c r="DB11" s="61">
        <f t="array" ref="DB11">INDEX('Indices Mines Exporting Ports'!J$20:J$51, MATCH(2,1/(('Indices Mines Exporting Ports'!$C$20:$C$51=$AT11)*('Indices Mines Exporting Ports'!$D$20:$D$51&lt;=$C11))))</f>
        <v>5.0000000000000001E-3</v>
      </c>
      <c r="DC11" s="61">
        <f t="array" ref="DC11">INDEX('Indices Mines Exporting Ports'!K$20:K$51, MATCH(2,1/(('Indices Mines Exporting Ports'!$C$20:$C$51=$AT11)*('Indices Mines Exporting Ports'!$D$20:$D$51&lt;=$C11))))</f>
        <v>0.15</v>
      </c>
      <c r="DD11" s="103" t="str">
        <f t="array" ref="DD11">INDEX('Indices Mines Exporting Ports'!L$20:L$51, MATCH(2,1/(('Indices Mines Exporting Ports'!$C$20:$C$51=$AT11)*('Indices Mines Exporting Ports'!$D$20:$D$51&lt;=$C11))))</f>
        <v>LT</v>
      </c>
      <c r="DE11" s="243">
        <f t="array" ref="DE11">INDEX('Indices Mines Exporting Ports'!M$20:M$51, MATCH(2,1/(('Indices Mines Exporting Ports'!$C$20:$C$51=$AT11)*('Indices Mines Exporting Ports'!$D$20:$D$51&lt;=$C11))))</f>
        <v>0.33</v>
      </c>
      <c r="DG11" s="300">
        <f t="array" ref="DG11">INDEX('Processing Factors'!$D$8:$D$29,MATCH(2,1/(('Processing Factors'!$B$8:$B$29&lt;=Main!$C11)*('Processing Factors'!$C$8:$C$29=Main!DD11))))</f>
        <v>0</v>
      </c>
      <c r="DH11" s="299">
        <f t="array" ref="DH11">INDEX('Processing Factors'!$E$8:$E$29,MATCH(2,1/(('Processing Factors'!$B$8:$B$29&lt;=Main!$C11)*('Processing Factors'!$C$8:$C$29=Main!DD11))))</f>
        <v>1</v>
      </c>
      <c r="DI11" s="299">
        <f t="array" ref="DI11">INDEX('Processing Factors'!$F$8:$F$29,MATCH(2,1/(('Processing Factors'!$B$8:$B$29&lt;=Main!$C11)*('Processing Factors'!$C$8:$C$29=Main!DD11))))</f>
        <v>0.9</v>
      </c>
      <c r="DJ11" s="299">
        <f t="array" ref="DJ11">INDEX('Processing Factors'!$G$8:$G$29,MATCH(2,1/(('Processing Factors'!$B$8:$B$29&lt;=Main!$C11)*('Processing Factors'!$C$8:$C$29=Main!DD11))))</f>
        <v>3.5999999999999997E-2</v>
      </c>
      <c r="DK11" s="299">
        <f t="array" ref="DK11">INDEX('Processing Factors'!$H$8:$H$29,MATCH(2,1/(('Processing Factors'!$B$8:$B$29&lt;=Main!$C11)*('Processing Factors'!$C$8:$C$29=Main!DD11))))</f>
        <v>12.15</v>
      </c>
      <c r="DL11" s="300">
        <f t="array" ref="DL11">INDEX('Processing Factors'!$I$8:$I$29,MATCH(2,1/(('Processing Factors'!$B$8:$B$29&lt;=Main!$C11)*('Processing Factors'!$C$8:$C$29=Main!DD11))))</f>
        <v>0</v>
      </c>
      <c r="DM11" s="300">
        <f t="array" ref="DM11">INDEX('Processing Factors'!$J$8:$J$29,MATCH(2,1/(('Processing Factors'!$B$8:$B$29&lt;=Main!$C11)*('Processing Factors'!$C$8:$C$29=Main!DD11))))</f>
        <v>0.9</v>
      </c>
      <c r="DN11" s="299">
        <f t="array" ref="DN11">INDEX('Processing Factors'!$K$8:$K$29,MATCH(2,1/(('Processing Factors'!$B$8:$B$29&lt;=Main!$C11)*('Processing Factors'!$C$8:$C$29=Main!DD11))))</f>
        <v>3.5000000000000003E-2</v>
      </c>
      <c r="DP11" s="302">
        <f t="shared" si="23"/>
        <v>0.47499999999999998</v>
      </c>
      <c r="DQ11" s="302">
        <f t="shared" si="24"/>
        <v>3.5000000000000003E-2</v>
      </c>
      <c r="DR11" s="302">
        <f t="shared" si="25"/>
        <v>0.43999999999999995</v>
      </c>
      <c r="DS11" s="299">
        <f t="shared" si="26"/>
        <v>2.5252525252525255</v>
      </c>
      <c r="DT11" s="304">
        <v>0</v>
      </c>
      <c r="DU11" s="299">
        <f t="shared" si="27"/>
        <v>0.11454545454545458</v>
      </c>
      <c r="DV11" s="281">
        <f t="shared" si="28"/>
        <v>27.519399763605541</v>
      </c>
      <c r="DW11" s="281">
        <f t="shared" si="29"/>
        <v>50.37416442905598</v>
      </c>
      <c r="DX11" s="281">
        <f t="shared" si="30"/>
        <v>1.2210288298473715</v>
      </c>
      <c r="DY11" s="299">
        <f t="shared" si="31"/>
        <v>1.6757979797979801</v>
      </c>
      <c r="DZ11" s="281">
        <f t="shared" si="32"/>
        <v>7.1048529386573502</v>
      </c>
      <c r="EA11" s="281">
        <f t="shared" si="33"/>
        <v>86.219445961166244</v>
      </c>
      <c r="EC11" s="287" t="s">
        <v>39</v>
      </c>
      <c r="EE11" s="305">
        <f t="shared" si="34"/>
        <v>51.452679389243762</v>
      </c>
      <c r="EF11" s="16">
        <f t="array" ref="EF11">INDEX('Indices Mines Exporting Ports'!E$20:E$51, MATCH(2,1/(('Indices Mines Exporting Ports'!$C$20:$C$51=$AU11)*('Indices Mines Exporting Ports'!$D$20:$D$51&lt;=$C11))))</f>
        <v>0.5</v>
      </c>
      <c r="EG11" s="16">
        <f t="array" ref="EG11">INDEX('Indices Mines Exporting Ports'!F$20:F$51, MATCH(2,1/(('Indices Mines Exporting Ports'!$C$20:$C$51=$AU11)*('Indices Mines Exporting Ports'!$D$20:$D$51&lt;=$C11))))</f>
        <v>0.45</v>
      </c>
      <c r="EH11" s="16">
        <f t="array" ref="EH11">INDEX('Indices Mines Exporting Ports'!G$20:G$51, MATCH(2,1/(('Indices Mines Exporting Ports'!$C$20:$C$51=$AU11)*('Indices Mines Exporting Ports'!$D$20:$D$51&lt;=$C11))))</f>
        <v>0.05</v>
      </c>
      <c r="EI11" s="16">
        <f t="array" ref="EI11">INDEX('Indices Mines Exporting Ports'!H$20:H$51, MATCH(2,1/(('Indices Mines Exporting Ports'!$C$20:$C$51=$AU11)*('Indices Mines Exporting Ports'!$D$20:$D$51&lt;=$C11))))</f>
        <v>0.05</v>
      </c>
      <c r="EJ11" s="16">
        <f t="array" ref="EJ11">INDEX('Indices Mines Exporting Ports'!I$20:I$51, MATCH(2,1/(('Indices Mines Exporting Ports'!$C$20:$C$51=$AU11)*('Indices Mines Exporting Ports'!$D$20:$D$51&lt;=$C11))))</f>
        <v>0</v>
      </c>
      <c r="EK11" s="16">
        <f t="array" ref="EK11">INDEX('Indices Mines Exporting Ports'!J$20:J$51, MATCH(2,1/(('Indices Mines Exporting Ports'!$C$20:$C$51=$AU11)*('Indices Mines Exporting Ports'!$D$20:$D$51&lt;=$C11))))</f>
        <v>0</v>
      </c>
      <c r="EL11" s="16">
        <f t="array" ref="EL11">INDEX('Indices Mines Exporting Ports'!K$20:K$51, MATCH(2,1/(('Indices Mines Exporting Ports'!$C$20:$C$51=$AU11)*('Indices Mines Exporting Ports'!$D$20:$D$51&lt;=$C11))))</f>
        <v>0.1</v>
      </c>
      <c r="EM11" s="103" t="str">
        <f t="array" ref="EM11">INDEX('Indices Mines Exporting Ports'!L$20:L$51, MATCH(2,1/(('Indices Mines Exporting Ports'!$C$20:$C$51=$AU11)*('Indices Mines Exporting Ports'!$D$20:$D$51&lt;=$C11))))</f>
        <v>LT</v>
      </c>
      <c r="EN11" s="243">
        <f t="array" ref="EN11">INDEX('Indices Mines Exporting Ports'!M$20:M$51, MATCH(2,1/(('Indices Mines Exporting Ports'!$C$20:$C$51=$AU11)*('Indices Mines Exporting Ports'!$D$20:$D$51&lt;=$C11))))</f>
        <v>0</v>
      </c>
      <c r="EP11" s="300">
        <f t="array" ref="EP11">INDEX('Processing Factors'!$D$8:$D$29,MATCH(2,1/(('Processing Factors'!$B$8:$B$29&lt;=Main!$C11)*('Processing Factors'!$C$8:$C$29=Main!EM11))))</f>
        <v>0</v>
      </c>
      <c r="EQ11" s="299">
        <f t="array" ref="EQ11">INDEX('Processing Factors'!$E$8:$E$29,MATCH(2,1/(('Processing Factors'!$B$8:$B$29&lt;=Main!$C11)*('Processing Factors'!$C$8:$C$29=Main!EM11))))</f>
        <v>1</v>
      </c>
      <c r="ER11" s="299">
        <f t="array" ref="ER11">INDEX('Processing Factors'!$F$8:$F$29,MATCH(2,1/(('Processing Factors'!$B$8:$B$29&lt;=Main!$C11)*('Processing Factors'!$C$8:$C$29=Main!EM11))))</f>
        <v>0.9</v>
      </c>
      <c r="ES11" s="299">
        <f t="array" ref="ES11">INDEX('Processing Factors'!$G$8:$G$29,MATCH(2,1/(('Processing Factors'!$B$8:$B$29&lt;=Main!$C11)*('Processing Factors'!$C$8:$C$29=Main!EM11))))</f>
        <v>3.5999999999999997E-2</v>
      </c>
      <c r="ET11" s="299">
        <f t="array" ref="ET11">INDEX('Processing Factors'!$H$8:$H$29,MATCH(2,1/(('Processing Factors'!$B$8:$B$29&lt;=Main!$C11)*('Processing Factors'!$C$8:$C$29=Main!EM11))))</f>
        <v>12.15</v>
      </c>
      <c r="EU11" s="300">
        <f t="array" ref="EU11">INDEX('Processing Factors'!$I$8:$I$29,MATCH(2,1/(('Processing Factors'!$B$8:$B$29&lt;=Main!$C11)*('Processing Factors'!$C$8:$C$29=Main!EM11))))</f>
        <v>0</v>
      </c>
      <c r="EV11" s="300">
        <f t="array" ref="EV11">INDEX('Processing Factors'!$J$8:$J$29,MATCH(2,1/(('Processing Factors'!$B$8:$B$29&lt;=Main!$C11)*('Processing Factors'!$C$8:$C$29=Main!EM11))))</f>
        <v>0.9</v>
      </c>
      <c r="EW11" s="299">
        <f t="array" ref="EW11">INDEX('Processing Factors'!$K$8:$K$29,MATCH(2,1/(('Processing Factors'!$B$8:$B$29&lt;=Main!$C11)*('Processing Factors'!$C$8:$C$29=Main!EM11))))</f>
        <v>3.5000000000000003E-2</v>
      </c>
      <c r="EY11" s="302">
        <f t="shared" si="35"/>
        <v>0.5</v>
      </c>
      <c r="EZ11" s="302">
        <f t="shared" si="36"/>
        <v>0.05</v>
      </c>
      <c r="FA11" s="302">
        <f t="shared" si="37"/>
        <v>0.45</v>
      </c>
      <c r="FB11" s="299">
        <f t="shared" si="38"/>
        <v>2.4691358024691357</v>
      </c>
      <c r="FC11" s="304">
        <v>0</v>
      </c>
      <c r="FD11" s="299">
        <f t="shared" si="39"/>
        <v>0.14611111111111114</v>
      </c>
      <c r="FE11" s="281">
        <f t="shared" si="40"/>
        <v>35.103008604987139</v>
      </c>
      <c r="FF11" s="281">
        <f t="shared" si="41"/>
        <v>50.37416442905598</v>
      </c>
      <c r="FG11" s="281">
        <f t="shared" si="42"/>
        <v>1.2210288298473715</v>
      </c>
      <c r="FH11" s="299">
        <f t="shared" si="43"/>
        <v>1.6512469135802468</v>
      </c>
      <c r="FI11" s="281">
        <f t="shared" si="44"/>
        <v>7.0007641898540713</v>
      </c>
      <c r="FJ11" s="281">
        <f t="shared" si="45"/>
        <v>93.698966053744556</v>
      </c>
      <c r="FL11" s="287" t="s">
        <v>39</v>
      </c>
      <c r="FN11" s="315">
        <f t="shared" ref="FN11:FN23" si="293">$AZ11</f>
        <v>52.941176470588239</v>
      </c>
      <c r="FO11" s="316">
        <f t="shared" ref="FO11:FO23" si="294">$AF11</f>
        <v>0.48</v>
      </c>
      <c r="FP11" s="316">
        <f t="shared" ref="FP11:FP23" si="295">$AG11</f>
        <v>0.44</v>
      </c>
      <c r="FQ11" s="316">
        <f t="shared" ref="FQ11:FQ23" si="296">$AH11</f>
        <v>0.08</v>
      </c>
      <c r="FR11" s="316">
        <f t="shared" ref="FR11:FR23" si="297">$AI11</f>
        <v>3.5000000000000003E-2</v>
      </c>
      <c r="FS11" s="316">
        <f t="shared" ref="FS11:FS23" si="298">$AJ11</f>
        <v>4.4999999999999998E-2</v>
      </c>
      <c r="FT11" s="316">
        <f t="shared" ref="FT11:FT23" si="299">$AK11</f>
        <v>5.0000000000000001E-3</v>
      </c>
      <c r="FU11" s="316">
        <f t="shared" ref="FU11:FU23" si="300">$AL11</f>
        <v>0.15</v>
      </c>
      <c r="FV11" s="317" t="str">
        <f t="shared" ref="FV11:FV23" si="301">$AM11</f>
        <v>LT</v>
      </c>
      <c r="FW11" s="318">
        <v>0</v>
      </c>
      <c r="FX11" s="237"/>
      <c r="FY11" s="319">
        <f t="array" ref="FY11">INDEX('Processing Factors'!$D$8:$D$29,MATCH(2,1/(('Processing Factors'!$B$8:$B$29&lt;=Main!$C11)*('Processing Factors'!$C$8:$C$29=Main!FV11))))</f>
        <v>0</v>
      </c>
      <c r="FZ11" s="320">
        <f t="array" ref="FZ11">INDEX('Processing Factors'!$E$8:$E$29,MATCH(2,1/(('Processing Factors'!$B$8:$B$29&lt;=Main!$C11)*('Processing Factors'!$C$8:$C$29=Main!FV11))))</f>
        <v>1</v>
      </c>
      <c r="GA11" s="320">
        <f t="array" ref="GA11">INDEX('Processing Factors'!$F$8:$F$29,MATCH(2,1/(('Processing Factors'!$B$8:$B$29&lt;=Main!$C11)*('Processing Factors'!$C$8:$C$29=Main!FV11))))</f>
        <v>0.9</v>
      </c>
      <c r="GB11" s="320">
        <f t="array" ref="GB11">INDEX('Processing Factors'!$G$8:$G$29,MATCH(2,1/(('Processing Factors'!$B$8:$B$29&lt;=Main!$C11)*('Processing Factors'!$C$8:$C$29=Main!FV11))))</f>
        <v>3.5999999999999997E-2</v>
      </c>
      <c r="GC11" s="320">
        <f t="array" ref="GC11">INDEX('Processing Factors'!$H$8:$H$29,MATCH(2,1/(('Processing Factors'!$B$8:$B$29&lt;=Main!$C11)*('Processing Factors'!$C$8:$C$29=Main!FV11))))</f>
        <v>12.15</v>
      </c>
      <c r="GD11" s="319">
        <f t="array" ref="GD11">INDEX('Processing Factors'!$I$8:$I$29,MATCH(2,1/(('Processing Factors'!$B$8:$B$29&lt;=Main!$C11)*('Processing Factors'!$C$8:$C$29=Main!FV11))))</f>
        <v>0</v>
      </c>
      <c r="GE11" s="321">
        <v>0.92</v>
      </c>
      <c r="GF11" s="320">
        <f t="array" ref="GF11">INDEX('Processing Factors'!$K$8:$K$29,MATCH(2,1/(('Processing Factors'!$B$8:$B$29&lt;=Main!$C11)*('Processing Factors'!$C$8:$C$29=Main!FV11))))</f>
        <v>3.5000000000000003E-2</v>
      </c>
      <c r="GG11" s="237"/>
      <c r="GH11" s="322">
        <f t="shared" si="46"/>
        <v>0.47499999999999998</v>
      </c>
      <c r="GI11" s="322">
        <f t="shared" si="47"/>
        <v>3.5000000000000003E-2</v>
      </c>
      <c r="GJ11" s="322">
        <f t="shared" si="48"/>
        <v>0.43999999999999995</v>
      </c>
      <c r="GK11" s="320">
        <f t="shared" si="49"/>
        <v>2.4703557312252964</v>
      </c>
      <c r="GL11" s="323">
        <f t="shared" si="50"/>
        <v>130.78353871192746</v>
      </c>
      <c r="GM11" s="320">
        <f t="shared" si="51"/>
        <v>0.11281620553359686</v>
      </c>
      <c r="GN11" s="323">
        <f t="shared" si="52"/>
        <v>27.103949887947245</v>
      </c>
      <c r="GO11" s="323">
        <f t="shared" si="53"/>
        <v>50.37416442905598</v>
      </c>
      <c r="GP11" s="323">
        <f t="shared" si="54"/>
        <v>1.2210288298473715</v>
      </c>
      <c r="GQ11" s="320">
        <f t="shared" si="55"/>
        <v>1.6191719367588933</v>
      </c>
      <c r="GR11" s="323">
        <f t="shared" si="56"/>
        <v>6.8647764418833805</v>
      </c>
      <c r="GS11" s="323">
        <f t="shared" si="57"/>
        <v>216.34745830066143</v>
      </c>
      <c r="GT11" s="237"/>
      <c r="GU11" s="324">
        <f t="shared" si="58"/>
        <v>51.11517938924375</v>
      </c>
      <c r="GV11" s="325">
        <f t="array" ref="GV11">INDEX('Indices Mines Exporting Ports'!E$20:E$51, MATCH(2,1/(('Indices Mines Exporting Ports'!$C$20:$C$51=$BC11)*('Indices Mines Exporting Ports'!$D$20:$D$51&lt;=$C11))))</f>
        <v>0.5</v>
      </c>
      <c r="GW11" s="325">
        <f t="array" ref="GW11">INDEX('Indices Mines Exporting Ports'!F$20:F$51, MATCH(2,1/(('Indices Mines Exporting Ports'!$C$20:$C$51=$BC11)*('Indices Mines Exporting Ports'!$D$20:$D$51&lt;=$C11))))</f>
        <v>0.45</v>
      </c>
      <c r="GX11" s="325">
        <f t="array" ref="GX11">INDEX('Indices Mines Exporting Ports'!G$20:G$51, MATCH(2,1/(('Indices Mines Exporting Ports'!$C$20:$C$51=$BC11)*('Indices Mines Exporting Ports'!$D$20:$D$51&lt;=$C11))))</f>
        <v>0.05</v>
      </c>
      <c r="GY11" s="325">
        <f t="array" ref="GY11">INDEX('Indices Mines Exporting Ports'!H$20:H$51, MATCH(2,1/(('Indices Mines Exporting Ports'!$C$20:$C$51=$BC11)*('Indices Mines Exporting Ports'!$D$20:$D$51&lt;=$C11))))</f>
        <v>0.05</v>
      </c>
      <c r="GZ11" s="325">
        <f t="array" ref="GZ11">INDEX('Indices Mines Exporting Ports'!I$20:I$51, MATCH(2,1/(('Indices Mines Exporting Ports'!$C$20:$C$51=$BC11)*('Indices Mines Exporting Ports'!$D$20:$D$51&lt;=$C11))))</f>
        <v>0</v>
      </c>
      <c r="HA11" s="325">
        <f t="array" ref="HA11">INDEX('Indices Mines Exporting Ports'!J$20:J$51, MATCH(2,1/(('Indices Mines Exporting Ports'!$C$20:$C$51=$BC11)*('Indices Mines Exporting Ports'!$D$20:$D$51&lt;=$C11))))</f>
        <v>0</v>
      </c>
      <c r="HB11" s="325">
        <f t="array" ref="HB11">INDEX('Indices Mines Exporting Ports'!K$20:K$51, MATCH(2,1/(('Indices Mines Exporting Ports'!$C$20:$C$51=$BC11)*('Indices Mines Exporting Ports'!$D$20:$D$51&lt;=$C11))))</f>
        <v>0.1</v>
      </c>
      <c r="HC11" s="326" t="str">
        <f t="array" ref="HC11">INDEX('Indices Mines Exporting Ports'!L$20:L$51, MATCH(2,1/(('Indices Mines Exporting Ports'!$C$20:$C$51=$BC11)*('Indices Mines Exporting Ports'!$D$20:$D$51&lt;=$C11))))</f>
        <v>LT</v>
      </c>
      <c r="HD11" s="262">
        <f t="array" ref="HD11">INDEX('Indices Mines Exporting Ports'!M$20:M$51, MATCH(2,1/(('Indices Mines Exporting Ports'!$C$20:$C$51=$BC11)*('Indices Mines Exporting Ports'!$D$20:$D$51&lt;=$C11))))</f>
        <v>0</v>
      </c>
      <c r="HE11" s="237"/>
      <c r="HF11" s="319">
        <f t="array" ref="HF11">INDEX('Processing Factors'!$D$8:$D$29,MATCH(2,1/(('Processing Factors'!$B$8:$B$29&lt;=Main!$C11)*('Processing Factors'!$C$8:$C$29=Main!HC11))))</f>
        <v>0</v>
      </c>
      <c r="HG11" s="320">
        <f t="array" ref="HG11">INDEX('Processing Factors'!$E$8:$E$29,MATCH(2,1/(('Processing Factors'!$B$8:$B$29&lt;=Main!$C11)*('Processing Factors'!$C$8:$C$29=Main!HC11))))</f>
        <v>1</v>
      </c>
      <c r="HH11" s="320">
        <f t="array" ref="HH11">INDEX('Processing Factors'!$F$8:$F$29,MATCH(2,1/(('Processing Factors'!$B$8:$B$29&lt;=Main!$C11)*('Processing Factors'!$C$8:$C$29=Main!HC11))))</f>
        <v>0.9</v>
      </c>
      <c r="HI11" s="320">
        <f t="array" ref="HI11">INDEX('Processing Factors'!$G$8:$G$29,MATCH(2,1/(('Processing Factors'!$B$8:$B$29&lt;=Main!$C11)*('Processing Factors'!$C$8:$C$29=Main!HC11))))</f>
        <v>3.5999999999999997E-2</v>
      </c>
      <c r="HJ11" s="320">
        <f t="array" ref="HJ11">INDEX('Processing Factors'!$H$8:$H$29,MATCH(2,1/(('Processing Factors'!$B$8:$B$29&lt;=Main!$C11)*('Processing Factors'!$C$8:$C$29=Main!HC11))))</f>
        <v>12.15</v>
      </c>
      <c r="HK11" s="319">
        <f t="array" ref="HK11">INDEX('Processing Factors'!$I$8:$I$29,MATCH(2,1/(('Processing Factors'!$B$8:$B$29&lt;=Main!$C11)*('Processing Factors'!$C$8:$C$29=Main!HC11))))</f>
        <v>0</v>
      </c>
      <c r="HL11" s="321">
        <v>0.92</v>
      </c>
      <c r="HM11" s="320">
        <f t="array" ref="HM11">INDEX('Processing Factors'!$K$8:$K$29,MATCH(2,1/(('Processing Factors'!$B$8:$B$29&lt;=Main!$C11)*('Processing Factors'!$C$8:$C$29=Main!HC11))))</f>
        <v>3.5000000000000003E-2</v>
      </c>
      <c r="HN11" s="237"/>
      <c r="HO11" s="322">
        <f t="shared" si="59"/>
        <v>0.5</v>
      </c>
      <c r="HP11" s="322">
        <f t="shared" si="60"/>
        <v>0.05</v>
      </c>
      <c r="HQ11" s="322">
        <f t="shared" si="61"/>
        <v>0.45</v>
      </c>
      <c r="HR11" s="320">
        <f t="shared" si="62"/>
        <v>2.4154589371980677</v>
      </c>
      <c r="HS11" s="263">
        <v>0</v>
      </c>
      <c r="HT11" s="320">
        <f t="shared" si="63"/>
        <v>0.14369565217391306</v>
      </c>
      <c r="HU11" s="323">
        <f t="shared" si="64"/>
        <v>34.522697667559676</v>
      </c>
      <c r="HV11" s="323">
        <f t="shared" si="65"/>
        <v>50.37416442905598</v>
      </c>
      <c r="HW11" s="323">
        <f t="shared" si="66"/>
        <v>1.2210288298473715</v>
      </c>
      <c r="HX11" s="320">
        <f t="shared" si="67"/>
        <v>1.5951545893719807</v>
      </c>
      <c r="HY11" s="323">
        <f t="shared" si="68"/>
        <v>6.7629504919671319</v>
      </c>
      <c r="HZ11" s="323">
        <f t="shared" si="69"/>
        <v>92.880841418430151</v>
      </c>
      <c r="IB11" s="287" t="s">
        <v>39</v>
      </c>
      <c r="ID11" s="89" t="str">
        <f t="shared" si="70"/>
        <v>West Kalimantan Generic</v>
      </c>
      <c r="IE11" s="18">
        <f>$C11</f>
        <v>43923</v>
      </c>
      <c r="IF11" s="94">
        <f t="array" ref="IF11">INDEX('Indices Mines Exporting Ports'!E$20:E$51, MATCH(2,1/(('Indices Mines Exporting Ports'!$C$20:$C$51=$ID11)*('Indices Mines Exporting Ports'!$D$20:$D$51&lt;=$IE11))))</f>
        <v>0.48</v>
      </c>
      <c r="IG11" s="94">
        <f t="array" ref="IG11">INDEX('Indices Mines Exporting Ports'!F$20:F$51, MATCH(2,1/(('Indices Mines Exporting Ports'!$C$20:$C$51=$ID11)*('Indices Mines Exporting Ports'!$D$20:$D$51&lt;=$IE11))))</f>
        <v>0.44</v>
      </c>
      <c r="IH11" s="95">
        <f t="array" ref="IH11">INDEX('Indices Mines Exporting Ports'!G$20:G$51, MATCH(2,1/(('Indices Mines Exporting Ports'!$C$20:$C$51=$ID11)*('Indices Mines Exporting Ports'!$D$20:$D$51&lt;=$IE11))))</f>
        <v>0.08</v>
      </c>
      <c r="II11" s="95">
        <f t="array" ref="II11">INDEX('Indices Mines Exporting Ports'!H$20:H$51, MATCH(2,1/(('Indices Mines Exporting Ports'!$C$20:$C$51=$ID11)*('Indices Mines Exporting Ports'!$D$20:$D$51&lt;=$IE11))))</f>
        <v>3.5000000000000003E-2</v>
      </c>
      <c r="IJ11" s="95">
        <f t="array" ref="IJ11">INDEX('Indices Mines Exporting Ports'!I$20:I$51, MATCH(2,1/(('Indices Mines Exporting Ports'!$C$20:$C$51=$ID11)*('Indices Mines Exporting Ports'!$D$20:$D$51&lt;=$IE11))))</f>
        <v>4.4999999999999998E-2</v>
      </c>
      <c r="IK11" s="94">
        <f t="array" ref="IK11">INDEX('Indices Mines Exporting Ports'!J$20:J$51, MATCH(2,1/(('Indices Mines Exporting Ports'!$C$20:$C$51=$ID11)*('Indices Mines Exporting Ports'!$D$20:$D$51&lt;=$IE11))))</f>
        <v>5.0000000000000001E-3</v>
      </c>
      <c r="IL11" s="94">
        <f t="array" ref="IL11">INDEX('Indices Mines Exporting Ports'!K$20:K$51, MATCH(2,1/(('Indices Mines Exporting Ports'!$C$20:$C$51=$ID11)*('Indices Mines Exporting Ports'!$D$20:$D$51&lt;=$IE11))))</f>
        <v>0.15</v>
      </c>
      <c r="IM11" s="93" t="str">
        <f t="array" ref="IM11">INDEX('Indices Mines Exporting Ports'!L$20:L$51, MATCH(2,1/(('Indices Mines Exporting Ports'!$C$20:$C$51=$ID11)*('Indices Mines Exporting Ports'!$D$20:$D$51&lt;=$IE11))))</f>
        <v>LT</v>
      </c>
      <c r="IN11" s="101">
        <f t="array" ref="IN11">INDEX('Indices Mines Exporting Ports'!M$20:M$51, MATCH(2,1/(('Indices Mines Exporting Ports'!$C$20:$C$51=$ID11)*('Indices Mines Exporting Ports'!$D$20:$D$51&lt;=$IE11))))</f>
        <v>0.33</v>
      </c>
      <c r="IO11" s="96">
        <f t="array" ref="IO11">INDEX('Indices Mines Exporting Ports'!N$20:N$51, MATCH(2,1/(('Indices Mines Exporting Ports'!$C$20:$C$51=$ID11)*('Indices Mines Exporting Ports'!$D$20:$D$51&lt;=$IE11))))</f>
        <v>57000</v>
      </c>
      <c r="IP11" s="95" t="str">
        <f t="array" ref="IP11">INDEX('Indices Mines Exporting Ports'!Q$20:Q$51, MATCH(2,1/(('Indices Mines Exporting Ports'!$C$20:$C$51=$ID11)*('Indices Mines Exporting Ports'!$D$20:$D$51&lt;=$IE11))))</f>
        <v>West_Kal_Generic_Offshore</v>
      </c>
      <c r="IQ11" s="95" t="str">
        <f t="array" ref="IQ11">INDEX('Indices Mines Exporting Ports'!O$20:O$51, MATCH(2,1/(('Indices Mines Exporting Ports'!$C$20:$C$51=$ID11)*('Indices Mines Exporting Ports'!$D$20:$D$51&lt;=$IE11))))</f>
        <v>Indonesian LT</v>
      </c>
      <c r="IR11" s="95" t="str">
        <f t="array" ref="IR11">INDEX('Indices Mines Exporting Ports'!P$20:P$51, MATCH(2,1/(('Indices Mines Exporting Ports'!$C$20:$C$51=$ID11)*('Indices Mines Exporting Ports'!$D$20:$D$51&lt;=$IE11))))</f>
        <v>CBIX LT</v>
      </c>
      <c r="IT11" s="287" t="s">
        <v>39</v>
      </c>
      <c r="IV11" s="292">
        <f>VLOOKUP($C11,'China Price Series'!$C$10:$D$1009,2,TRUE)/$JA11/(VLOOKUP($C11,'China Price Series'!$C$10:$E$1009,3,TRUE)*$JG11/$JF11)</f>
        <v>4.146021763708311</v>
      </c>
      <c r="IW11" s="292">
        <f>VLOOKUP($C11,'China Price Series'!$G$10:$H$1009,2,TRUE)/$JA11/(VLOOKUP($C11,'China Price Series'!$G$10:$I$1009,3,TRUE))</f>
        <v>240.24872809496895</v>
      </c>
      <c r="IX11" s="292">
        <f>VLOOKUP($C11,'China Price Series'!$K$10:$L$1009,2,TRUE)/$JA11</f>
        <v>33.91746749576032</v>
      </c>
      <c r="IY11" s="292">
        <f>VLOOKUP($C11,'China Price Series'!$N$10:$O$1009,2,TRUE)/$JA11</f>
        <v>4.23968343697004</v>
      </c>
      <c r="JA11" s="277">
        <f t="array" ref="JA11">INDEX('FX rates'!E$10:E$1009,MATCH(2,1/(('FX rates'!$D$10:$D$1009&lt;=Main!$C11)*(NOT(ISBLANK('FX rates'!E$10:E$1009))))))</f>
        <v>7.0759999999999987</v>
      </c>
      <c r="JB11" s="277">
        <f t="array" ref="JB11">INDEX('FX rates'!F$10:F$1009,MATCH(2,1/(('FX rates'!$D$10:$D$1009&lt;=Main!$C11)*(NOT(ISBLANK('FX rates'!F$10:F$1009))))))</f>
        <v>0.59156405988048044</v>
      </c>
      <c r="JC11" s="277">
        <f t="array" ref="JC11">INDEX('FX rates'!G$10:G$1009,MATCH(2,1/(('FX rates'!$D$10:$D$1009&lt;=Main!$C11)*(NOT(ISBLANK('FX rates'!G$10:G$1009))))))</f>
        <v>1</v>
      </c>
      <c r="JD11" s="277">
        <f t="array" ref="JD11">INDEX('FX rates'!H$10:H$1009,MATCH(2,1/(('FX rates'!$D$10:$D$1009&lt;=Main!$C11)*(NOT(ISBLANK('FX rates'!H$10:H$1009))))))</f>
        <v>1.35</v>
      </c>
      <c r="JF11" s="111">
        <f t="array" ref="JF11">INDEX('Global factors'!C$5:C$23,MATCH(2,1/(('Global factors'!$B$5:$B$23&lt;=Main!$C11)*(NOT(ISBLANK('Global factors'!C$5:C$23))))))</f>
        <v>239000</v>
      </c>
      <c r="JG11" s="112">
        <f t="array" ref="JG11">INDEX('Global factors'!D$5:D$23,MATCH(2,1/(('Global factors'!$B$5:$B$23&lt;=Main!$C11)*(NOT(ISBLANK('Global factors'!D$5:D$23))))))</f>
        <v>1000</v>
      </c>
      <c r="JH11" s="112">
        <f t="array" ref="JH11">INDEX('Global factors'!E$5:E$23,MATCH(2,1/(('Global factors'!$B$5:$B$23&lt;=Main!$C11)*(NOT(ISBLANK('Global factors'!E$5:E$23))))))</f>
        <v>24</v>
      </c>
      <c r="JI11" s="112">
        <f t="array" ref="JI11">INDEX('Global factors'!F$5:F$23,MATCH(2,1/(('Global factors'!$B$5:$B$23&lt;=Main!$C11)*(NOT(ISBLANK('Global factors'!F$5:F$23))))))</f>
        <v>2</v>
      </c>
      <c r="JJ11" s="117">
        <f t="array" ref="JJ11">INDEX('Global factors'!G$5:G$23,MATCH(2,1/(('Global factors'!$B$5:$B$23&lt;=Main!$C11)*(NOT(ISBLANK('Global factors'!G$5:G$23))))))</f>
        <v>0.08</v>
      </c>
      <c r="JK11" s="113">
        <f t="array" ref="JK11">INDEX('Global factors'!H$5:H$23,MATCH(2,1/(('Global factors'!$B$5:$B$23&lt;=Main!$C11)*(NOT(ISBLANK('Global factors'!H$5:H$23))))))</f>
        <v>101.96</v>
      </c>
      <c r="JL11" s="113">
        <f t="array" ref="JL11">INDEX('Global factors'!I$5:I$23,MATCH(2,1/(('Global factors'!$B$5:$B$23&lt;=Main!$C11)*(NOT(ISBLANK('Global factors'!I$5:I$23))))))</f>
        <v>60.08</v>
      </c>
      <c r="JM11" s="114">
        <f t="array" ref="JM11">INDEX('Global factors'!J$5:J$23,MATCH(2,1/(('Global factors'!$B$5:$B$23&lt;=Main!$C11)*(NOT(ISBLANK('Global factors'!J$5:J$23))))))</f>
        <v>0.84853528628495334</v>
      </c>
      <c r="JN11" s="115">
        <f t="array" ref="JN11">INDEX('Global factors'!K$5:K$23,MATCH(2,1/(('Global factors'!$B$5:$B$23&lt;=Main!$C11)*(NOT(ISBLANK('Global factors'!K$5:K$23))))))</f>
        <v>0.97499999999999998</v>
      </c>
      <c r="JO11" s="116">
        <f t="array" ref="JO11">INDEX('Global factors'!L$5:L$23,MATCH(2,1/(('Global factors'!$B$5:$B$23&lt;=Main!$C11)*(NOT(ISBLANK('Global factors'!L$5:L$23))))))</f>
        <v>8.7299999999999997E-4</v>
      </c>
      <c r="JP11" s="116">
        <f t="array" ref="JP11">INDEX('Global factors'!M$5:M$23,MATCH(2,1/(('Global factors'!$B$5:$B$23&lt;=Main!$C11)*(NOT(ISBLANK('Global factors'!M$5:M$23))))))</f>
        <v>145.88999999999999</v>
      </c>
      <c r="JQ11" s="116">
        <f t="array" ref="JQ11">INDEX('Global factors'!N$5:N$23,MATCH(2,1/(('Global factors'!$B$5:$B$23&lt;=Main!$C11)*(NOT(ISBLANK('Global factors'!N$5:N$23))))))</f>
        <v>0.40339999999999998</v>
      </c>
      <c r="JR11" s="116">
        <f t="array" ref="JR11">INDEX('Global factors'!O$5:O$23,MATCH(2,1/(('Global factors'!$B$5:$B$23&lt;=Main!$C11)*(NOT(ISBLANK('Global factors'!O$5:O$23))))))</f>
        <v>0</v>
      </c>
      <c r="JS11" s="116">
        <f t="array" ref="JS11">INDEX('Global factors'!P$5:P$23,MATCH(2,1/(('Global factors'!$B$5:$B$23&lt;=Main!$C11)*(NOT(ISBLANK('Global factors'!P$5:P$23))))))</f>
        <v>0.51890000000000003</v>
      </c>
      <c r="JT11" s="116">
        <f t="array" ref="JT11">INDEX('Global factors'!Q$5:Q$23,MATCH(2,1/(('Global factors'!$B$5:$B$23&lt;=Main!$C11)*(NOT(ISBLANK('Global factors'!Q$5:Q$23))))))</f>
        <v>4797</v>
      </c>
      <c r="JU11" s="116">
        <f t="array" ref="JU11">INDEX('Global factors'!R$5:R$23,MATCH(2,1/(('Global factors'!$B$5:$B$23&lt;=Main!$C11)*(NOT(ISBLANK('Global factors'!R$5:R$23))))))</f>
        <v>7</v>
      </c>
      <c r="JV11" s="115">
        <f t="array" ref="JV11">INDEX('Global factors'!S$5:S$23,MATCH(2,1/(('Global factors'!$B$5:$B$23&lt;=Main!$C11)*(NOT(ISBLANK('Global factors'!S$5:S$23))))))</f>
        <v>0.12</v>
      </c>
      <c r="JW11" s="115">
        <f t="array" ref="JW11">INDEX('Global factors'!T$5:T$23,MATCH(2,1/(('Global factors'!$B$5:$B$23&lt;=Main!$C11)*(NOT(ISBLANK('Global factors'!T$5:T$23))))))</f>
        <v>0.5</v>
      </c>
      <c r="JX11" s="116">
        <f t="array" ref="JX11">INDEX('Global factors'!U$5:U$23,MATCH(2,1/(('Global factors'!$B$5:$B$23&lt;=Main!$C11)*(NOT(ISBLANK('Global factors'!U$5:U$23))))))</f>
        <v>0.5</v>
      </c>
      <c r="JY11" s="116">
        <f t="array" ref="JY11">INDEX('Global factors'!V$5:V$23,MATCH(2,1/(('Global factors'!$B$5:$B$23&lt;=Main!$C11)*(NOT(ISBLANK('Global factors'!V$5:V$23))))))</f>
        <v>10000</v>
      </c>
      <c r="JZ11" s="116">
        <f t="array" ref="JZ11">INDEX('Global factors'!W$5:W$23,MATCH(2,1/(('Global factors'!$B$5:$B$23&lt;=Main!$C11)*(NOT(ISBLANK('Global factors'!W$5:W$23))))))</f>
        <v>0.10680000000000001</v>
      </c>
      <c r="KA11" s="116">
        <f t="array" ref="KA11">INDEX('Global factors'!X$5:X$23,MATCH(2,1/(('Global factors'!$B$5:$B$23&lt;=Main!$C11)*(NOT(ISBLANK('Global factors'!X$5:X$23))))))</f>
        <v>1.2</v>
      </c>
      <c r="KB11" s="116">
        <v>0</v>
      </c>
      <c r="KC11" s="272">
        <f t="array" ref="KC11">INDEX('Global factors'!Y$5:Y$23,MATCH(2,1/(('Global factors'!$B$5:$B$23&lt;=Main!$C11)*(NOT(ISBLANK('Global factors'!Y$5:Y$23))))))</f>
        <v>23643.7088248818</v>
      </c>
      <c r="KD11" s="273">
        <f t="array" ref="KD11">INDEX('Global factors'!Z$5:Z$23,MATCH(2,1/(('Global factors'!$B$5:$B$23&lt;=Main!$C11)*(NOT(ISBLANK('Global factors'!Z$5:Z$23))))))</f>
        <v>0.62802869915581405</v>
      </c>
      <c r="KE11" s="273">
        <v>0</v>
      </c>
      <c r="KF11" s="273">
        <v>0</v>
      </c>
      <c r="KG11" s="116">
        <v>0</v>
      </c>
      <c r="KH11" s="116">
        <f t="array" ref="KH11">INDEX('Global factors'!AB$5:AB$23,MATCH(2,1/(('Global factors'!$B$5:$B$23&lt;=Main!$C11)*(NOT(ISBLANK('Global factors'!AB$5:AB$23))))))</f>
        <v>6.2556361557795204E-2</v>
      </c>
      <c r="KI11" s="116">
        <f t="array" ref="KI11">INDEX('Global factors'!AC$5:AC$23,MATCH(2,1/(('Global factors'!$B$5:$B$23&lt;=Main!$C11)*(NOT(ISBLANK('Global factors'!AC$5:AC$23))))))</f>
        <v>8.6923129044225601E-4</v>
      </c>
      <c r="KJ11" s="116">
        <f t="array" ref="KJ11">INDEX('Global factors'!AD$5:AD$23,MATCH(2,1/(('Global factors'!$B$5:$B$23&lt;=Main!$C11)*(NOT(ISBLANK('Global factors'!AD$5:AD$23))))))</f>
        <v>1.1499999999999999</v>
      </c>
      <c r="KK11" s="116" t="str">
        <f t="array" ref="KK11">INDEX('Global factors'!AE$5:AE$23,MATCH(2,1/(('Global factors'!$B$5:$B$23&lt;=Main!$C11)*(NOT(ISBLANK('Global factors'!AE$5:AE$23))))))</f>
        <v>Qingdao</v>
      </c>
      <c r="KL11" s="290">
        <f t="array" ref="KL11">INDEX('Global factors'!AF$5:AF$23,MATCH(2,1/(('Global factors'!$B$5:$B$23&lt;=Main!$C11)*(NOT(ISBLANK('Global factors'!AF$5:AF$23))))))</f>
        <v>3.0000000000000001E-3</v>
      </c>
      <c r="KM11" s="290">
        <f t="array" ref="KM11">INDEX('Global factors'!AG$5:AG$23,MATCH(2,1/(('Global factors'!$B$5:$B$23&lt;=Main!$C11)*(NOT(ISBLANK('Global factors'!AG$5:AG$23))))))</f>
        <v>0.05</v>
      </c>
      <c r="KO11" s="287" t="s">
        <v>39</v>
      </c>
      <c r="KQ11" s="25">
        <f>IF($AO11="no",$AN11,$AR11)/(1-$AL11)/$JN11</f>
        <v>57000</v>
      </c>
      <c r="KR11" s="4" t="str">
        <f>VLOOKUP(KQ11,'Ship Time Charter Rates'!$F$10:$G$17,2,TRUE)</f>
        <v>Supramax</v>
      </c>
      <c r="KS11" s="4" t="str">
        <f>VLOOKUP(KQ11,Canals!$E$5:$F$12,2,TRUE)</f>
        <v>Supramax</v>
      </c>
      <c r="KT11" s="25">
        <f t="shared" si="71"/>
        <v>195.65099999999998</v>
      </c>
      <c r="KU11" s="25">
        <f t="shared" si="72"/>
        <v>22993.8</v>
      </c>
      <c r="KV11" s="25">
        <f t="shared" si="73"/>
        <v>34374.300000000003</v>
      </c>
      <c r="KX11" s="75">
        <f t="array" ref="KX11">INDEX('Indices Mines Exporting Ports'!$R$20:$R$51,MATCH(2,1/(('Indices Mines Exporting Ports'!$D$20:$D$51&lt;=Main!$C11)*('Indices Mines Exporting Ports'!$Q$20:$Q$51=$AP11))))</f>
        <v>15000</v>
      </c>
      <c r="KY11" s="75">
        <f t="array" ref="KY11">INDEX('Indices Mines Exporting Ports'!$S$20:$S$51,MATCH(2,1/(('Indices Mines Exporting Ports'!$D$20:$D$51&lt;=Main!$C11)*('Indices Mines Exporting Ports'!$Q$20:$Q$51=$AP11))))</f>
        <v>15000</v>
      </c>
      <c r="KZ11" s="75">
        <f t="array" ref="KZ11">INDEX('Indices Mines Exporting Ports'!$T$20:$T$51,MATCH(2,1/(('Indices Mines Exporting Ports'!$D$20:$D$51&lt;=Main!$C11)*('Indices Mines Exporting Ports'!$Q$20:$Q$51=$AP11))))</f>
        <v>15000</v>
      </c>
      <c r="LA11" s="75">
        <f t="array" ref="LA11">INDEX('Indices Mines Exporting Ports'!$U$20:$U$51,MATCH(2,1/(('Indices Mines Exporting Ports'!$D$20:$D$51&lt;=Main!$C11)*('Indices Mines Exporting Ports'!$Q$20:$Q$51=$AP11))))</f>
        <v>15000</v>
      </c>
      <c r="LB11" s="75">
        <f t="array" ref="LB11">INDEX('Indices Mines Exporting Ports'!$V$20:$V$51,MATCH(2,1/(('Indices Mines Exporting Ports'!$D$20:$D$51&lt;=Main!$C11)*('Indices Mines Exporting Ports'!$Q$20:$Q$51=$AP11))))</f>
        <v>15000</v>
      </c>
      <c r="LC11" s="75">
        <f t="array" ref="LC11">INDEX('Indices Mines Exporting Ports'!$W$20:$W$51,MATCH(2,1/(('Indices Mines Exporting Ports'!$D$20:$D$51&lt;=Main!$C11)*('Indices Mines Exporting Ports'!$Q$20:$Q$51=$AP11))))</f>
        <v>15000</v>
      </c>
      <c r="LD11" s="75">
        <f t="array" ref="LD11">INDEX('Indices Mines Exporting Ports'!$X$20:$X$51,MATCH(2,1/(('Indices Mines Exporting Ports'!$D$20:$D$51&lt;=Main!$C11)*('Indices Mines Exporting Ports'!$Q$20:$Q$51=$AP11))))</f>
        <v>15000</v>
      </c>
      <c r="LF11" s="75">
        <f t="array" ref="LF11">INDEX('Port Linkages'!$E$18:$E$157,MATCH(2,1/(('Port Linkages'!$C$18:$C$157=$AP11)*('Port Linkages'!$D$18:$D$157=IF($AO11="Yes",$AQ11,$AS11))*('Port Linkages'!$A$18:$A$157&lt;=$C11))))</f>
        <v>2326</v>
      </c>
      <c r="LG11" s="75">
        <f t="array" ref="LG11">INDEX('Port Linkages'!$F$18:$F$157,MATCH(2,1/(('Port Linkages'!$C$18:$C$157=$AP11)*('Port Linkages'!$D$18:$D$157=IF($AO11="Yes",$AQ11,$AS11))*('Port Linkages'!$A$18:$A$157&lt;=$C11))))</f>
        <v>0</v>
      </c>
      <c r="LH11" s="75" t="str">
        <f t="array" ref="LH11">INDEX('Port Linkages'!$G$18:$G$157,MATCH(2,1/(('Port Linkages'!$C$18:$C$157=$AP11)*('Port Linkages'!$D$18:$D$157=IF($AO11="Yes",$AQ11,$AS11))*('Port Linkages'!$A$18:$A$157&lt;=$C11))))</f>
        <v>VLOC_General</v>
      </c>
      <c r="LI11" s="75" t="str">
        <f t="array" ref="LI11">INDEX('Port Linkages'!$H$18:$H$157,MATCH(2,1/(('Port Linkages'!$C$18:$C$157=$AP11)*('Port Linkages'!$D$18:$D$157=IF($AO11="Yes",$AQ11,$AS11))*('Port Linkages'!$A$18:$A$157&lt;=$C11))))</f>
        <v>Singapore</v>
      </c>
      <c r="LJ11" s="75" t="str">
        <f t="array" ref="LJ11">INDEX('Port Linkages'!$I$18:$I$157,MATCH(2,1/(('Port Linkages'!$C$18:$C$157=$AP11)*('Port Linkages'!$D$18:$D$157=IF($AO11="Yes",$AQ11,$AS11))*('Port Linkages'!$A$18:$A$157&lt;=$C11))))</f>
        <v>VLSFO</v>
      </c>
      <c r="LK11" s="75" t="str">
        <f t="array" ref="LK11">INDEX('Port Linkages'!$J$18:$J$157,MATCH(2,1/(('Port Linkages'!$C$18:$C$157=$AP11)*('Port Linkages'!$D$18:$D$157=IF($AO11="Yes",$AQ11,$AS11))*('Port Linkages'!$A$18:$A$157&lt;=$C11))))</f>
        <v>MGO_Regular</v>
      </c>
      <c r="LL11" s="75" t="str">
        <f t="array" ref="LL11">INDEX('Port Linkages'!$K$18:$K$157,MATCH(2,1/(('Port Linkages'!$C$18:$C$157=$AP11)*('Port Linkages'!$D$18:$D$157=IF($AO11="Yes",$AQ11,$AS11))*('Port Linkages'!$A$18:$A$157&lt;=$C11))))</f>
        <v>none</v>
      </c>
      <c r="LM11" s="75">
        <f t="array" ref="LM11">INDEX('Port Linkages'!$L$18:$L$157,MATCH(2,1/(('Port Linkages'!$C$18:$C$157=$AP11)*('Port Linkages'!$D$18:$D$157=IF($AO11="Yes",$AQ11,$AS11))*('Port Linkages'!$A$18:$A$157&lt;=$C11))))</f>
        <v>2326</v>
      </c>
      <c r="LN11" s="75">
        <f t="array" ref="LN11">INDEX('Port Linkages'!$M$18:$M$157,MATCH(2,1/(('Port Linkages'!$C$18:$C$157=$AP11)*('Port Linkages'!$D$18:$D$157=IF($AO11="Yes",$AQ11,$AS11))*('Port Linkages'!$A$18:$A$157&lt;=$C11))))</f>
        <v>0</v>
      </c>
      <c r="LO11" s="75" t="str">
        <f t="array" ref="LO11">INDEX('Port Linkages'!$N$18:$N$157,MATCH(2,1/(('Port Linkages'!$C$18:$C$157=$AP11)*('Port Linkages'!$D$18:$D$157=IF($AO11="Yes",$AQ11,$AS11))*('Port Linkages'!$A$18:$A$157&lt;=$C11))))</f>
        <v>Capesize_General</v>
      </c>
      <c r="LP11" s="75" t="str">
        <f t="array" ref="LP11">INDEX('Port Linkages'!$O$18:$O$157,MATCH(2,1/(('Port Linkages'!$C$18:$C$157=$AP11)*('Port Linkages'!$D$18:$D$157=IF($AO11="Yes",$AQ11,$AS11))*('Port Linkages'!$A$18:$A$157&lt;=$C11))))</f>
        <v>Singapore</v>
      </c>
      <c r="LQ11" s="75" t="str">
        <f t="array" ref="LQ11">INDEX('Port Linkages'!$P$18:$P$157,MATCH(2,1/(('Port Linkages'!$C$18:$C$157=$AP11)*('Port Linkages'!$D$18:$D$157=IF($AO11="Yes",$AQ11,$AS11))*('Port Linkages'!$A$18:$A$157&lt;=$C11))))</f>
        <v>VLSFO</v>
      </c>
      <c r="LR11" s="75" t="str">
        <f t="array" ref="LR11">INDEX('Port Linkages'!$Q$18:$Q$157,MATCH(2,1/(('Port Linkages'!$C$18:$C$157=$AP11)*('Port Linkages'!$D$18:$D$157=IF($AO11="Yes",$AQ11,$AS11))*('Port Linkages'!$A$18:$A$157&lt;=$C11))))</f>
        <v>MGO_Regular</v>
      </c>
      <c r="LS11" s="75" t="str">
        <f t="array" ref="LS11">INDEX('Port Linkages'!$R$18:$R$157,MATCH(2,1/(('Port Linkages'!$C$18:$C$157=$AP11)*('Port Linkages'!$D$18:$D$157=IF($AO11="Yes",$AQ11,$AS11))*('Port Linkages'!$A$18:$A$157&lt;=$C11))))</f>
        <v>none</v>
      </c>
      <c r="LT11" s="75">
        <f t="array" ref="LT11">INDEX('Port Linkages'!$S$18:$S$157,MATCH(2,1/(('Port Linkages'!$C$18:$C$157=$AP11)*('Port Linkages'!$D$18:$D$157=IF($AO11="Yes",$AQ11,$AS11))*('Port Linkages'!$A$18:$A$157&lt;=$C11))))</f>
        <v>2326</v>
      </c>
      <c r="LU11" s="75">
        <f t="array" ref="LU11">INDEX('Port Linkages'!$T$18:$T$157,MATCH(2,1/(('Port Linkages'!$C$18:$C$157=$AP11)*('Port Linkages'!$D$18:$D$157=IF($AO11="Yes",$AQ11,$AS11))*('Port Linkages'!$A$18:$A$157&lt;=$C11))))</f>
        <v>0</v>
      </c>
      <c r="LV11" s="75" t="str">
        <f t="array" ref="LV11">INDEX('Port Linkages'!$U$18:$U$157,MATCH(2,1/(('Port Linkages'!$C$18:$C$157=$AP11)*('Port Linkages'!$D$18:$D$157=IF($AO11="Yes",$AQ11,$AS11))*('Port Linkages'!$A$18:$A$157&lt;=$C11))))</f>
        <v>Capesize_General</v>
      </c>
      <c r="LW11" s="75" t="str">
        <f t="array" ref="LW11">INDEX('Port Linkages'!$V$18:$V$157,MATCH(2,1/(('Port Linkages'!$C$18:$C$157=$AP11)*('Port Linkages'!$D$18:$D$157=IF($AO11="Yes",$AQ11,$AS11))*('Port Linkages'!$A$18:$A$157&lt;=$C11))))</f>
        <v>Singapore</v>
      </c>
      <c r="LX11" s="75" t="str">
        <f t="array" ref="LX11">INDEX('Port Linkages'!$W$18:$W$157,MATCH(2,1/(('Port Linkages'!$C$18:$C$157=$AP11)*('Port Linkages'!$D$18:$D$157=IF($AO11="Yes",$AQ11,$AS11))*('Port Linkages'!$A$18:$A$157&lt;=$C11))))</f>
        <v>VLSFO</v>
      </c>
      <c r="LY11" s="75" t="str">
        <f t="array" ref="LY11">INDEX('Port Linkages'!$X$18:$X$157,MATCH(2,1/(('Port Linkages'!$C$18:$C$157=$AP11)*('Port Linkages'!$D$18:$D$157=IF($AO11="Yes",$AQ11,$AS11))*('Port Linkages'!$A$18:$A$157&lt;=$C11))))</f>
        <v>MGO_Regular</v>
      </c>
      <c r="LZ11" s="75" t="str">
        <f t="array" ref="LZ11">INDEX('Port Linkages'!$Y$18:$Y$157,MATCH(2,1/(('Port Linkages'!$C$18:$C$157=$AP11)*('Port Linkages'!$D$18:$D$157=IF($AO11="Yes",$AQ11,$AS11))*('Port Linkages'!$A$18:$A$157&lt;=$C11))))</f>
        <v>none</v>
      </c>
      <c r="MA11" s="75">
        <f t="array" ref="MA11">INDEX('Port Linkages'!$Z$18:$Z$157,MATCH(2,1/(('Port Linkages'!$C$18:$C$157=$AP11)*('Port Linkages'!$D$18:$D$157=IF($AO11="Yes",$AQ11,$AS11))*('Port Linkages'!$A$18:$A$157&lt;=$C11))))</f>
        <v>2326</v>
      </c>
      <c r="MB11" s="75">
        <f t="array" ref="MB11">INDEX('Port Linkages'!$AA$18:$AA$157,MATCH(2,1/(('Port Linkages'!$C$18:$C$157=$AP11)*('Port Linkages'!$D$18:$D$157=IF($AO11="Yes",$AQ11,$AS11))*('Port Linkages'!$A$18:$A$157&lt;=$C11))))</f>
        <v>0</v>
      </c>
      <c r="MC11" s="75" t="str">
        <f t="array" ref="MC11">INDEX('Port Linkages'!$AB$18:$AB$157,MATCH(2,1/(('Port Linkages'!$C$18:$C$157=$AP11)*('Port Linkages'!$D$18:$D$157=IF($AO11="Yes",$AQ11,$AS11))*('Port Linkages'!$A$18:$A$157&lt;=$C11))))</f>
        <v>Capesize_General</v>
      </c>
      <c r="MD11" s="75" t="str">
        <f t="array" ref="MD11">INDEX('Port Linkages'!$AC$18:$AC$157,MATCH(2,1/(('Port Linkages'!$C$18:$C$157=$AP11)*('Port Linkages'!$D$18:$D$157=IF($AO11="Yes",$AQ11,$AS11))*('Port Linkages'!$A$18:$A$157&lt;=$C11))))</f>
        <v>Singapore</v>
      </c>
      <c r="ME11" s="75" t="str">
        <f t="array" ref="ME11">INDEX('Port Linkages'!$AD$18:$AD$157,MATCH(2,1/(('Port Linkages'!$C$18:$C$157=$AP11)*('Port Linkages'!$D$18:$D$157=IF($AO11="Yes",$AQ11,$AS11))*('Port Linkages'!$A$18:$A$157&lt;=$C11))))</f>
        <v>VLSFO</v>
      </c>
      <c r="MF11" s="75" t="str">
        <f t="array" ref="MF11">INDEX('Port Linkages'!$AE$18:$AE$157,MATCH(2,1/(('Port Linkages'!$C$18:$C$157=$AP11)*('Port Linkages'!$D$18:$D$157=IF($AO11="Yes",$AQ11,$AS11))*('Port Linkages'!$A$18:$A$157&lt;=$C11))))</f>
        <v>MGO_Regular</v>
      </c>
      <c r="MG11" s="75" t="str">
        <f t="array" ref="MG11">INDEX('Port Linkages'!$AF$18:$AF$157,MATCH(2,1/(('Port Linkages'!$C$18:$C$157=$AP11)*('Port Linkages'!$D$18:$D$157=IF($AO11="Yes",$AQ11,$AS11))*('Port Linkages'!$A$18:$A$157&lt;=$C11))))</f>
        <v>none</v>
      </c>
      <c r="MH11" s="75">
        <f t="array" ref="MH11">INDEX('Port Linkages'!$AG$18:$AG$157,MATCH(2,1/(('Port Linkages'!$C$18:$C$157=$AP11)*('Port Linkages'!$D$18:$D$157=IF($AO11="Yes",$AQ11,$AS11))*('Port Linkages'!$A$18:$A$157&lt;=$C11))))</f>
        <v>2326</v>
      </c>
      <c r="MI11" s="75">
        <f t="array" ref="MI11">INDEX('Port Linkages'!$AH$18:$AH$157,MATCH(2,1/(('Port Linkages'!$C$18:$C$157=$AP11)*('Port Linkages'!$D$18:$D$157=IF($AO11="Yes",$AQ11,$AS11))*('Port Linkages'!$A$18:$A$157&lt;=$C11))))</f>
        <v>0</v>
      </c>
      <c r="MJ11" s="75" t="str">
        <f t="array" ref="MJ11">INDEX('Port Linkages'!$AI$18:$AI$157,MATCH(2,1/(('Port Linkages'!$C$18:$C$157=$AP11)*('Port Linkages'!$D$18:$D$157=IF($AO11="Yes",$AQ11,$AS11))*('Port Linkages'!$A$18:$A$157&lt;=$C11))))</f>
        <v>Panamax_General</v>
      </c>
      <c r="MK11" s="75" t="str">
        <f t="array" ref="MK11">INDEX('Port Linkages'!$AJ$18:$AJ$157,MATCH(2,1/(('Port Linkages'!$C$18:$C$157=$AP11)*('Port Linkages'!$D$18:$D$157=IF($AO11="Yes",$AQ11,$AS11))*('Port Linkages'!$A$18:$A$157&lt;=$C11))))</f>
        <v>Singapore</v>
      </c>
      <c r="ML11" s="75" t="str">
        <f t="array" ref="ML11">INDEX('Port Linkages'!$AK$18:$AK$157,MATCH(2,1/(('Port Linkages'!$C$18:$C$157=$AP11)*('Port Linkages'!$D$18:$D$157=IF($AO11="Yes",$AQ11,$AS11))*('Port Linkages'!$A$18:$A$157&lt;=$C11))))</f>
        <v>VLSFO</v>
      </c>
      <c r="MM11" s="75" t="str">
        <f t="array" ref="MM11">INDEX('Port Linkages'!$AL$18:$AL$157,MATCH(2,1/(('Port Linkages'!$C$18:$C$157=$AP11)*('Port Linkages'!$D$18:$D$157=IF($AO11="Yes",$AQ11,$AS11))*('Port Linkages'!$A$18:$A$157&lt;=$C11))))</f>
        <v>MGO_Regular</v>
      </c>
      <c r="MN11" s="75" t="str">
        <f t="array" ref="MN11">INDEX('Port Linkages'!$AM$18:$AM$157,MATCH(2,1/(('Port Linkages'!$C$18:$C$157=$AP11)*('Port Linkages'!$D$18:$D$157=IF($AO11="Yes",$AQ11,$AS11))*('Port Linkages'!$A$18:$A$157&lt;=$C11))))</f>
        <v>none</v>
      </c>
      <c r="MO11" s="75">
        <f t="array" ref="MO11">INDEX('Port Linkages'!$AN$18:$AN$157,MATCH(2,1/(('Port Linkages'!$C$18:$C$157=$AP11)*('Port Linkages'!$D$18:$D$157=IF($AO11="Yes",$AQ11,$AS11))*('Port Linkages'!$A$18:$A$157&lt;=$C11))))</f>
        <v>2326</v>
      </c>
      <c r="MP11" s="75">
        <f t="array" ref="MP11">INDEX('Port Linkages'!$AO$18:$AO$157,MATCH(2,1/(('Port Linkages'!$C$18:$C$157=$AP11)*('Port Linkages'!$D$18:$D$157=IF($AO11="Yes",$AQ11,$AS11))*('Port Linkages'!$A$18:$A$157&lt;=$C11))))</f>
        <v>0</v>
      </c>
      <c r="MQ11" s="75" t="str">
        <f t="array" ref="MQ11">INDEX('Port Linkages'!$AP$18:$AP$157,MATCH(2,1/(('Port Linkages'!$C$18:$C$157=$AP11)*('Port Linkages'!$D$18:$D$157=IF($AO11="Yes",$AQ11,$AS11))*('Port Linkages'!$A$18:$A$157&lt;=$C11))))</f>
        <v>Supramax_General</v>
      </c>
      <c r="MR11" s="75" t="str">
        <f t="array" ref="MR11">INDEX('Port Linkages'!$AQ$18:$AQ$157,MATCH(2,1/(('Port Linkages'!$C$18:$C$157=$AP11)*('Port Linkages'!$D$18:$D$157=IF($AO11="Yes",$AQ11,$AS11))*('Port Linkages'!$A$18:$A$157&lt;=$C11))))</f>
        <v>Singapore</v>
      </c>
      <c r="MS11" s="75" t="str">
        <f t="array" ref="MS11">INDEX('Port Linkages'!$AR$18:$AR$157,MATCH(2,1/(('Port Linkages'!$C$18:$C$157=$AP11)*('Port Linkages'!$D$18:$D$157=IF($AO11="Yes",$AQ11,$AS11))*('Port Linkages'!$A$18:$A$157&lt;=$C11))))</f>
        <v>VLSFO</v>
      </c>
      <c r="MT11" s="75" t="str">
        <f t="array" ref="MT11">INDEX('Port Linkages'!$AS$18:$AS$157,MATCH(2,1/(('Port Linkages'!$C$18:$C$157=$AP11)*('Port Linkages'!$D$18:$D$157=IF($AO11="Yes",$AQ11,$AS11))*('Port Linkages'!$A$18:$A$157&lt;=$C11))))</f>
        <v>MGO_Regular</v>
      </c>
      <c r="MU11" s="75" t="str">
        <f t="array" ref="MU11">INDEX('Port Linkages'!$AT$18:$AT$157,MATCH(2,1/(('Port Linkages'!$C$18:$C$157=$AP11)*('Port Linkages'!$D$18:$D$157=IF($AO11="Yes",$AQ11,$AS11))*('Port Linkages'!$A$18:$A$157&lt;=$C11))))</f>
        <v>none</v>
      </c>
      <c r="MV11" s="75">
        <f t="array" ref="MV11">INDEX('Port Linkages'!$AU$18:$AU$157,MATCH(2,1/(('Port Linkages'!$C$18:$C$157=$AP11)*('Port Linkages'!$D$18:$D$157=IF($AO11="Yes",$AQ11,$AS11))*('Port Linkages'!$A$18:$A$157&lt;=$C11))))</f>
        <v>2326</v>
      </c>
      <c r="MW11" s="75">
        <f t="array" ref="MW11">INDEX('Port Linkages'!$AV$18:$AV$157,MATCH(2,1/(('Port Linkages'!$C$18:$C$157=$AP11)*('Port Linkages'!$D$18:$D$157=IF($AO11="Yes",$AQ11,$AS11))*('Port Linkages'!$A$18:$A$157&lt;=$C11))))</f>
        <v>0</v>
      </c>
      <c r="MX11" s="75" t="str">
        <f t="array" ref="MX11">INDEX('Port Linkages'!$AW$18:$AW$157,MATCH(2,1/(('Port Linkages'!$C$18:$C$157=$AP11)*('Port Linkages'!$D$18:$D$157=IF($AO11="Yes",$AQ11,$AS11))*('Port Linkages'!$A$18:$A$157&lt;=$C11))))</f>
        <v>Handysize_General</v>
      </c>
      <c r="MY11" s="75" t="str">
        <f t="array" ref="MY11">INDEX('Port Linkages'!$AX$18:$AX$157,MATCH(2,1/(('Port Linkages'!$C$18:$C$157=$AP11)*('Port Linkages'!$D$18:$D$157=IF($AO11="Yes",$AQ11,$AS11))*('Port Linkages'!$A$18:$A$157&lt;=$C11))))</f>
        <v>Singapore</v>
      </c>
      <c r="MZ11" s="75" t="str">
        <f t="array" ref="MZ11">INDEX('Port Linkages'!$AY$18:$AY$157,MATCH(2,1/(('Port Linkages'!$C$18:$C$157=$AP11)*('Port Linkages'!$D$18:$D$157=IF($AO11="Yes",$AQ11,$AS11))*('Port Linkages'!$A$18:$A$157&lt;=$C11))))</f>
        <v>VLSFO</v>
      </c>
      <c r="NA11" s="75" t="str">
        <f t="array" ref="NA11">INDEX('Port Linkages'!$AZ$18:$AZ$157,MATCH(2,1/(('Port Linkages'!$C$18:$C$157=$AP11)*('Port Linkages'!$D$18:$D$157=IF($AO11="Yes",$AQ11,$AS11))*('Port Linkages'!$A$18:$A$157&lt;=$C11))))</f>
        <v>MGO_Regular</v>
      </c>
      <c r="NB11" s="75" t="str">
        <f t="array" ref="NB11">INDEX('Port Linkages'!$BA$18:$BA$157,MATCH(2,1/(('Port Linkages'!$C$18:$C$157=$AP11)*('Port Linkages'!$D$18:$D$157=IF($AO11="Yes",$AQ11,$AS11))*('Port Linkages'!$A$18:$A$157&lt;=$C11))))</f>
        <v>none</v>
      </c>
      <c r="ND11" s="25" t="e">
        <f t="array" aca="1" ref="ND11" ca="1">INDEX('Ship Fuel Prices'!$F$5:$F$1004,MATCH(2,1/(('Ship Fuel Prices'!$E$5:$E$1004=_xlfn.IFS(KS11="Handysize",Main!MY11,KS11="Supramax",MR11,KS11="Panamax",MK11,KS11="NeoPanamax",MD11,KS11="Suezmax",LW11,KS11="Capesize",LP11,KS11="VLOC",LI11))*('Ship Fuel Prices'!$D$5:$D$1004&lt;=Main!$C11))))</f>
        <v>#N/A</v>
      </c>
      <c r="NE11" s="25" t="e">
        <f t="array" aca="1" ref="NE11" ca="1">INDEX('Ship Fuel Prices'!$G$5:$G$1004,MATCH(2,1/(('Ship Fuel Prices'!$E$5:$E$1004=_xlfn.IFS(KS11="Handysize",Main!MY11,KS11="Supramax",MR11,KS11="Panamax",MK11,KS11="NeoPanamax",MD11,KS11="Suezmax",LW11,KS11="Capesize",LP11,KS11="VLOC",LI11))*('Ship Fuel Prices'!$D$5:$D$1004&lt;=Main!$C11))))</f>
        <v>#N/A</v>
      </c>
      <c r="NF11" s="25" t="e">
        <f t="array" aca="1" ref="NF11" ca="1">INDEX('Ship Fuel Prices'!$H$5:$H$1004,MATCH(2,1/(('Ship Fuel Prices'!$E$5:$E$1004=_xlfn.IFS(KS11="Handysize",Main!MY11,KS11="Supramax",MR11,KS11="Panamax",MK11,KS11="NeoPanamax",MD11,KS11="Suezmax",LW11,KS11="Capesize",LP11,KS11="VLOC",LI11))*('Ship Fuel Prices'!$D$5:$D$1004&lt;=Main!$C11))))</f>
        <v>#N/A</v>
      </c>
      <c r="NG11" s="25" t="e">
        <f t="array" aca="1" ref="NG11" ca="1">INDEX('Ship Fuel Prices'!$I$5:$I$1004,MATCH(2,1/(('Ship Fuel Prices'!$E$5:$E$1004=_xlfn.IFS(KS11="Handysize",Main!MY11,KS11="Supramax",MR11,KS11="Panamax",MK11,KS11="NeoPanamax",MD11,KS11="Suezmax",LW11,KS11="Capesize",LP11,KS11="VLOC",LI11))*('Ship Fuel Prices'!$D$5:$D$1004&lt;=Main!$C11))))</f>
        <v>#N/A</v>
      </c>
      <c r="NH11" s="25" t="e">
        <f t="array" aca="1" ref="NH11" ca="1">INDEX('Ship Fuel Prices'!$J$5:$J$1004,MATCH(2,1/(('Ship Fuel Prices'!$E$5:$E$1004=_xlfn.IFS(KS11="Handysize",Main!MY11,KS11="Supramax",MR11,KS11="Panamax",MK11,KS11="NeoPanamax",MD11,KS11="Suezmax",LW11,KS11="Capesize",LP11,KS11="VLOC",LI11))*('Ship Fuel Prices'!$D$5:$D$1004&lt;=Main!$C11))))</f>
        <v>#N/A</v>
      </c>
      <c r="NJ11" s="75">
        <f t="array" ref="NJ11">INDEX('China n Importing Ports'!$E$20:$E$41,MATCH(2,1/(('China n Importing Ports'!$D$20:$D$41&lt;=$C11)*('China n Importing Ports'!$C$20:$C$41=IF($AO11="Yes",$AQ11,$AS11)))))</f>
        <v>42500</v>
      </c>
      <c r="NK11" s="75">
        <f t="array" ref="NK11">INDEX('China n Importing Ports'!$F$20:$F$41,MATCH(2,1/(('China n Importing Ports'!$D$20:$D$41&lt;=$C11)*('China n Importing Ports'!$C$20:$C$41=IF($AO11="Yes",$AQ11,$AS11)))))</f>
        <v>42500</v>
      </c>
      <c r="NL11" s="75">
        <f t="array" ref="NL11">INDEX('China n Importing Ports'!$G$20:$G$41,MATCH(2,1/(('China n Importing Ports'!$D$20:$D$41&lt;=$C11)*('China n Importing Ports'!$C$20:$C$41=IF($AO11="Yes",$AQ11,$AS11)))))</f>
        <v>42500</v>
      </c>
      <c r="NM11" s="75">
        <f t="array" ref="NM11">INDEX('China n Importing Ports'!$H$20:$H$41,MATCH(2,1/(('China n Importing Ports'!$D$20:$D$41&lt;=$C11)*('China n Importing Ports'!$C$20:$C$41=IF($AO11="Yes",$AQ11,$AS11)))))</f>
        <v>42500</v>
      </c>
      <c r="NN11" s="75">
        <f t="array" ref="NN11">INDEX('China n Importing Ports'!$I$20:$I$41,MATCH(2,1/(('China n Importing Ports'!$D$20:$D$41&lt;=$C11)*('China n Importing Ports'!$C$20:$C$41=IF($AO11="Yes",$AQ11,$AS11)))))</f>
        <v>42500</v>
      </c>
      <c r="NO11" s="75">
        <f t="array" ref="NO11">INDEX('China n Importing Ports'!$J$20:$J$41,MATCH(2,1/(('China n Importing Ports'!$D$20:$D$41&lt;=$C11)*('China n Importing Ports'!$C$20:$C$41=IF($AO11="Yes",$AQ11,$AS11)))))</f>
        <v>42500</v>
      </c>
      <c r="NP11" s="75">
        <f t="array" ref="NP11">INDEX('China n Importing Ports'!$K$20:$K$41,MATCH(2,1/(('China n Importing Ports'!$D$20:$D$41&lt;=$C11)*('China n Importing Ports'!$C$20:$C$41=IF($AO11="Yes",$AQ11,$AS11)))))</f>
        <v>42500</v>
      </c>
      <c r="NQ11" s="75" t="str">
        <f t="array" ref="NQ11">INDEX('China n Importing Ports'!$L$20:$L$41,MATCH(2,1/(('China n Importing Ports'!$D$20:$D$41&lt;=$C11)*('China n Importing Ports'!$C$20:$C$41=IF($AO11="Yes",$AQ11,$AS11)))))</f>
        <v>RMB</v>
      </c>
      <c r="NR11" s="75">
        <f t="array" ref="NR11">INDEX('China n Importing Ports'!$M$20:$M$41,MATCH(2,1/(('China n Importing Ports'!$D$20:$D$41&lt;=$C11)*('China n Importing Ports'!$C$20:$C$41=IF($AO11="Yes",$AQ11,$AS11)))))</f>
        <v>12342</v>
      </c>
      <c r="NS11" s="75">
        <f t="array" ref="NS11">INDEX('China n Importing Ports'!$N$20:$N$41,MATCH(2,1/(('China n Importing Ports'!$D$20:$D$41&lt;=$C11)*('China n Importing Ports'!$C$20:$C$41=IF($AO11="Yes",$AQ11,$AS11)))))</f>
        <v>0</v>
      </c>
      <c r="NT11" s="75">
        <f t="array" ref="NT11">INDEX('China n Importing Ports'!$O$20:$O$41,MATCH(2,1/(('China n Importing Ports'!$D$20:$D$41&lt;=$C11)*('China n Importing Ports'!$C$20:$C$41=IF($AO11="Yes",$AQ11,$AS11)))))</f>
        <v>0</v>
      </c>
      <c r="NU11" s="136">
        <f t="array" ref="NU11">INDEX('China n Importing Ports'!$P$20:$P$41,MATCH(2,1/(('China n Importing Ports'!$D$20:$D$41&lt;=$C11)*('China n Importing Ports'!$C$20:$C$41=IF($AO11="Yes",$AQ11,$AS11)))))</f>
        <v>2.64</v>
      </c>
      <c r="NV11" s="136">
        <f t="array" ref="NV11">INDEX('China n Importing Ports'!$Q$20:$Q$41,MATCH(2,1/(('China n Importing Ports'!$D$20:$D$41&lt;=$C11)*('China n Importing Ports'!$C$20:$C$41=IF($AO11="Yes",$AQ11,$AS11)))))</f>
        <v>0</v>
      </c>
      <c r="NW11" s="136">
        <f t="array" ref="NW11">INDEX('China n Importing Ports'!$R$20:$R$41,MATCH(2,1/(('China n Importing Ports'!$D$20:$D$41&lt;=$C11)*('China n Importing Ports'!$C$20:$C$41=IF($AO11="Yes",$AQ11,$AS11)))))</f>
        <v>0</v>
      </c>
      <c r="NX11" s="136">
        <f t="array" ref="NX11">INDEX('China n Importing Ports'!$S$20:$S$41,MATCH(2,1/(('China n Importing Ports'!$D$20:$D$41&lt;=$C11)*('China n Importing Ports'!$C$20:$C$41=IF($AO11="Yes",$AQ11,$AS11)))))</f>
        <v>4.53</v>
      </c>
      <c r="NY11" s="136">
        <f t="array" ref="NY11">INDEX('China n Importing Ports'!$T$20:$T$41,MATCH(2,1/(('China n Importing Ports'!$D$20:$D$41&lt;=$C11)*('China n Importing Ports'!$C$20:$C$41=IF($AO11="Yes",$AQ11,$AS11)))))</f>
        <v>0.36699999999999999</v>
      </c>
      <c r="NZ11" s="136">
        <f t="array" ref="NZ11">INDEX('China n Importing Ports'!$U$20:$U$41,MATCH(2,1/(('China n Importing Ports'!$D$20:$D$41&lt;=$C11)*('China n Importing Ports'!$C$20:$C$41=IF($AO11="Yes",$AQ11,$AS11)))))</f>
        <v>0.05</v>
      </c>
      <c r="OA11" s="136">
        <f t="array" ref="OA11">INDEX('China n Importing Ports'!$V$20:$V$41,MATCH(2,1/(('China n Importing Ports'!$D$20:$D$41&lt;=$C11)*('China n Importing Ports'!$C$20:$C$41=IF($AO11="Yes",$AQ11,$AS11)))))</f>
        <v>0</v>
      </c>
      <c r="OB11" s="136">
        <f t="array" ref="OB11">INDEX('China n Importing Ports'!$W$20:$W$41,MATCH(2,1/(('China n Importing Ports'!$D$20:$D$41&lt;=$C11)*('China n Importing Ports'!$C$20:$C$41=IF($AO11="Yes",$AQ11,$AS11)))))</f>
        <v>0</v>
      </c>
      <c r="OC11" s="136">
        <f t="array" ref="OC11">INDEX('China n Importing Ports'!$X$20:$X$41,MATCH(2,1/(('China n Importing Ports'!$D$20:$D$41&lt;=$C11)*('China n Importing Ports'!$C$20:$C$41=IF($AO11="Yes",$AQ11,$AS11)))))</f>
        <v>0</v>
      </c>
      <c r="OD11" s="136">
        <f t="array" ref="OD11">INDEX('China n Importing Ports'!$Y$20:$Y$41,MATCH(2,1/(('China n Importing Ports'!$D$20:$D$41&lt;=$C11)*('China n Importing Ports'!$C$20:$C$41=IF($AO11="Yes",$AQ11,$AS11)))))</f>
        <v>197</v>
      </c>
      <c r="OE11" s="136">
        <f t="array" ref="OE11">INDEX('China n Importing Ports'!$Z$20:$Z$41,MATCH(2,1/(('China n Importing Ports'!$D$20:$D$41&lt;=$C11)*('China n Importing Ports'!$C$20:$C$41=IF($AO11="Yes",$AQ11,$AS11)))))</f>
        <v>0</v>
      </c>
      <c r="OF11" s="136">
        <f t="array" ref="OF11">INDEX('China n Importing Ports'!$AA$20:$AA$41,MATCH(2,1/(('China n Importing Ports'!$D$20:$D$41&lt;=$C11)*('China n Importing Ports'!$C$20:$C$41=IF($AO11="Yes",$AQ11,$AS11)))))</f>
        <v>0</v>
      </c>
      <c r="OH11" s="75" t="e">
        <f t="array" aca="1" ref="OH11" ca="1">INDEX(Canals!$G$24:$G$29,MATCH(2,1/((Canals!$F$24:$F$29&lt;=$C11)*(Canals!$G$24:$G$29=_xlfn.IFS(KS11="Handysize",Main!NB11,KS11="Supramax",MU11,KS11="Panamax",MN11,KS11="NeoPanamax",MG11,KS11="Suezmax",LZ11,KS11="Capesize",LS11,KS11="VLOC",LL11)))))</f>
        <v>#N/A</v>
      </c>
      <c r="OI11" s="75" t="e">
        <f t="array" aca="1" ref="OI11" ca="1">INDEX(Canals!$H$24:$H$29,MATCH(2,1/((Canals!$F$24:$F$29&lt;=$C11)*(Canals!$G$24:$G$29=_xlfn.IFS(KS11="Handysize",Main!NB11,KS11="Supramax",MU11,KS11="Panamax",MN11,KS11="NeoPanamax",MG11,KS11="Suezmax",LZ11,KS11="Capesize",LS11,KS11="VLOC",LL11)))))</f>
        <v>#N/A</v>
      </c>
      <c r="OJ11" s="75" t="e">
        <f t="array" aca="1" ref="OJ11" ca="1">INDEX(Canals!$I$24:$I$29,MATCH(2,1/((Canals!$F$24:$F$29&lt;=$C11)*(Canals!$G$24:$G$29=_xlfn.IFS(KS11="Handysize",Main!NB11,KS11="Supramax",MU11,KS11="Panamax",MN11,KS11="NeoPanamax",MG11,KS11="Suezmax",LZ11,KS11="Capesize",LS11,KS11="VLOC",LL11)))))</f>
        <v>#N/A</v>
      </c>
      <c r="OK11" s="75" t="e">
        <f t="array" aca="1" ref="OK11" ca="1">INDEX(Canals!$J$24:$J$29,MATCH(2,1/((Canals!$F$24:$F$29&lt;=$C11)*(Canals!$G$24:$G$29=_xlfn.IFS(KS11="Handysize",Main!NB11,KS11="Supramax",MU11,KS11="Panamax",MN11,KS11="NeoPanamax",MG11,KS11="Suezmax",LZ11,KS11="Capesize",LS11,KS11="VLOC",LL11)))))</f>
        <v>#N/A</v>
      </c>
      <c r="OL11" s="75" t="e">
        <f t="array" aca="1" ref="OL11" ca="1">INDEX(Canals!$K$24:$K$29,MATCH(2,1/((Canals!$F$24:$F$29&lt;=$C11)*(Canals!$G$24:$G$29=_xlfn.IFS(KS11="Handysize",Main!NB11,KS11="Supramax",MU11,KS11="Panamax",MN11,KS11="NeoPanamax",MG11,KS11="Suezmax",LZ11,KS11="Capesize",LS11,KS11="VLOC",LL11)))))</f>
        <v>#N/A</v>
      </c>
      <c r="OM11" s="75" t="e">
        <f t="array" aca="1" ref="OM11" ca="1">INDEX(Canals!$L$24:$L$29,MATCH(2,1/((Canals!$F$24:$F$29&lt;=$C11)*(Canals!$G$24:$G$29=_xlfn.IFS(KS11="Handysize",Main!NB11,KS11="Supramax",MU11,KS11="Panamax",MN11,KS11="NeoPanamax",MG11,KS11="Suezmax",LZ11,KS11="Capesize",LS11,KS11="VLOC",LL11)))))</f>
        <v>#N/A</v>
      </c>
      <c r="ON11" s="75" t="e">
        <f t="array" aca="1" ref="ON11" ca="1">INDEX(Canals!$M$24:$M$29,MATCH(2,1/((Canals!$F$24:$F$29&lt;=$C11)*(Canals!$G$24:$G$29=_xlfn.IFS(KS11="Handysize",Main!NB11,KS11="Supramax",MU11,KS11="Panamax",MN11,KS11="NeoPanamax",MG11,KS11="Suezmax",LZ11,KS11="Capesize",LS11,KS11="VLOC",LL11)))))</f>
        <v>#N/A</v>
      </c>
      <c r="OO11" s="75" t="e">
        <f t="array" aca="1" ref="OO11" ca="1">INDEX(Canals!$N$24:$N$29,MATCH(2,1/((Canals!$F$24:$F$29&lt;=$C11)*(Canals!$G$24:$G$29=_xlfn.IFS(KS11="Handysize",Main!NB11,KS11="Supramax",MU11,KS11="Panamax",MN11,KS11="NeoPanamax",MG11,KS11="Suezmax",LZ11,KS11="Capesize",LS11,KS11="VLOC",LL11)))))</f>
        <v>#N/A</v>
      </c>
      <c r="OP11" s="75" t="e">
        <f t="array" aca="1" ref="OP11" ca="1">INDEX(Canals!$O$24:$O$29,MATCH(2,1/((Canals!$F$24:$F$29&lt;=$C11)*(Canals!$G$24:$G$29=_xlfn.IFS(KS11="Handysize",Main!NB11,KS11="Supramax",MU11,KS11="Panamax",MN11,KS11="NeoPanamax",MG11,KS11="Suezmax",LZ11,KS11="Capesize",LS11,KS11="VLOC",LL11)))))</f>
        <v>#N/A</v>
      </c>
      <c r="OQ11" s="75" t="e">
        <f t="array" aca="1" ref="OQ11" ca="1">INDEX(Canals!$P$24:$P$29,MATCH(2,1/((Canals!$F$24:$F$29&lt;=$C11)*(Canals!$G$24:$G$29=_xlfn.IFS(KS11="Handysize",Main!NB11,KS11="Supramax",MU11,KS11="Panamax",MN11,KS11="NeoPanamax",MG11,KS11="Suezmax",LZ11,KS11="Capesize",LS11,KS11="VLOC",LL11)))))</f>
        <v>#N/A</v>
      </c>
      <c r="OR11" s="75" t="e">
        <f t="array" aca="1" ref="OR11" ca="1">INDEX(Canals!$Q$24:$Q$29,MATCH(2,1/((Canals!$F$24:$F$29&lt;=$C11)*(Canals!$G$24:$G$29=_xlfn.IFS(KS11="Handysize",Main!NB11,KS11="Supramax",MU11,KS11="Panamax",MN11,KS11="NeoPanamax",MG11,KS11="Suezmax",LZ11,KS11="Capesize",LS11,KS11="VLOC",LL11)))))</f>
        <v>#N/A</v>
      </c>
      <c r="OS11" s="75" t="e">
        <f t="array" aca="1" ref="OS11" ca="1">INDEX(Canals!$R$24:$R$29,MATCH(2,1/((Canals!$F$24:$F$29&lt;=$C11)*(Canals!$G$24:$G$29=_xlfn.IFS(KS11="Handysize",Main!NB11,KS11="Supramax",MU11,KS11="Panamax",MN11,KS11="NeoPanamax",MG11,KS11="Suezmax",LZ11,KS11="Capesize",LS11,KS11="VLOC",LL11)))))</f>
        <v>#N/A</v>
      </c>
      <c r="OT11" s="136" t="e">
        <f t="array" aca="1" ref="OT11" ca="1">INDEX(Canals!$S$24:$S$29,MATCH(2,1/((Canals!$F$24:$F$29&lt;=$C11)*(Canals!$G$24:$G$29=_xlfn.IFS(KS11="Handysize",Main!NB11,KS11="Supramax",MU11,KS11="Panamax",MN11,KS11="NeoPanamax",MG11,KS11="Suezmax",LZ11,KS11="Capesize",LS11,KS11="VLOC",LL11)))))</f>
        <v>#N/A</v>
      </c>
      <c r="OU11" s="136" t="e">
        <f t="array" aca="1" ref="OU11" ca="1">INDEX(Canals!$T$24:$T$29,MATCH(2,1/((Canals!$F$24:$F$29&lt;=$C11)*(Canals!$G$24:$G$29=_xlfn.IFS(KS11="Handysize",Main!NB11,KS11="Supramax",MU11,KS11="Panamax",MN11,KS11="NeoPanamax",MG11,KS11="Suezmax",LZ11,KS11="Capesize",LS11,KS11="VLOC",LL11)))))</f>
        <v>#N/A</v>
      </c>
      <c r="OV11" s="136" t="e">
        <f t="array" aca="1" ref="OV11" ca="1">INDEX(Canals!$U$24:$U$29,MATCH(2,1/((Canals!$F$24:$F$29&lt;=$C11)*(Canals!$G$24:$G$29=_xlfn.IFS(KS11="Handysize",Main!NB11,KS11="Supramax",MU11,KS11="Panamax",MN11,KS11="NeoPanamax",MG11,KS11="Suezmax",LZ11,KS11="Capesize",LS11,KS11="VLOC",LL11)))))</f>
        <v>#N/A</v>
      </c>
      <c r="OW11" s="136" t="e">
        <f t="array" aca="1" ref="OW11" ca="1">INDEX(Canals!$V$24:$V$29,MATCH(2,1/((Canals!$F$24:$F$29&lt;=$C11)*(Canals!$G$24:$G$29=_xlfn.IFS(KS11="Handysize",Main!NB11,KS11="Supramax",MU11,KS11="Panamax",MN11,KS11="NeoPanamax",MG11,KS11="Suezmax",LZ11,KS11="Capesize",LS11,KS11="VLOC",LL11)))))</f>
        <v>#N/A</v>
      </c>
      <c r="OX11" s="136" t="e">
        <f t="array" aca="1" ref="OX11" ca="1">INDEX(Canals!$W$24:$W$29,MATCH(2,1/((Canals!$F$24:$F$29&lt;=$C11)*(Canals!$G$24:$G$29=_xlfn.IFS(KS11="Handysize",Main!NB11,KS11="Supramax",MU11,KS11="Panamax",MN11,KS11="NeoPanamax",MG11,KS11="Suezmax",LZ11,KS11="Capesize",LS11,KS11="VLOC",LL11)))))</f>
        <v>#N/A</v>
      </c>
      <c r="OY11" s="136" t="e">
        <f t="array" aca="1" ref="OY11" ca="1">INDEX(Canals!$X$24:$X$29,MATCH(2,1/((Canals!$F$24:$F$29&lt;=$C11)*(Canals!$G$24:$G$29=_xlfn.IFS(KS11="Handysize",Main!NB11,KS11="Supramax",MU11,KS11="Panamax",MN11,KS11="NeoPanamax",MG11,KS11="Suezmax",LZ11,KS11="Capesize",LS11,KS11="VLOC",LL11)))))</f>
        <v>#N/A</v>
      </c>
      <c r="OZ11" s="136" t="e">
        <f t="array" aca="1" ref="OZ11" ca="1">INDEX(Canals!$Y$24:$Y$29,MATCH(2,1/((Canals!$F$24:$F$29&lt;=$C11)*(Canals!$G$24:$G$29=_xlfn.IFS(KS11="Handysize",Main!NB11,KS11="Supramax",MU11,KS11="Panamax",MN11,KS11="NeoPanamax",MG11,KS11="Suezmax",LZ11,KS11="Capesize",LS11,KS11="VLOC",LL11)))))</f>
        <v>#N/A</v>
      </c>
      <c r="PA11" s="136" t="e">
        <f t="array" aca="1" ref="PA11" ca="1">INDEX(Canals!$Z$24:$Z$29,MATCH(2,1/((Canals!$F$24:$F$29&lt;=$C11)*(Canals!$G$24:$G$29=_xlfn.IFS(KS11="Handysize",Main!NB11,KS11="Supramax",MU11,KS11="Panamax",MN11,KS11="NeoPanamax",MG11,KS11="Suezmax",LZ11,KS11="Capesize",LS11,KS11="VLOC",LL11)))))</f>
        <v>#N/A</v>
      </c>
      <c r="PB11" s="136" t="e">
        <f t="array" aca="1" ref="PB11" ca="1">INDEX(Canals!$AA$24:$AA$29,MATCH(2,1/((Canals!$F$24:$F$29&lt;=$C11)*(Canals!$G$24:$G$29=_xlfn.IFS(KS11="Handysize",Main!NB11,KS11="Supramax",MU11,KS11="Panamax",MN11,KS11="NeoPanamax",MG11,KS11="Suezmax",LZ11,KS11="Capesize",LS11,KS11="VLOC",LL11)))))</f>
        <v>#N/A</v>
      </c>
      <c r="PC11" s="136" t="e">
        <f t="array" aca="1" ref="PC11" ca="1">INDEX(Canals!$AB$24:$AB$29,MATCH(2,1/((Canals!$F$24:$F$29&lt;=$C11)*(Canals!$G$24:$G$29=_xlfn.IFS(KS11="Handysize",Main!NB11,KS11="Supramax",MU11,KS11="Panamax",MN11,KS11="NeoPanamax",MG11,KS11="Suezmax",LZ11,KS11="Capesize",LS11,KS11="VLOC",LL11)))))</f>
        <v>#N/A</v>
      </c>
      <c r="PD11" s="75" t="e">
        <f t="array" aca="1" ref="PD11" ca="1">INDEX(Canals!$AC$24:$AC$29,MATCH(2,1/((Canals!$F$24:$F$29&lt;=$C11)*(Canals!$G$24:$G$29=_xlfn.IFS(KS11="Handysize",Main!NB11,KS11="Supramax",MU11,KS11="Panamax",MN11,KS11="NeoPanamax",MG11,KS11="Suezmax",LZ11,KS11="Capesize",LS11,KS11="VLOC",LL11)))))</f>
        <v>#N/A</v>
      </c>
      <c r="PE11" s="75" t="e">
        <f t="array" aca="1" ref="PE11" ca="1">INDEX(Canals!$AD$24:$AD$29,MATCH(2,1/((Canals!$F$24:$F$29&lt;=$C11)*(Canals!$G$24:$G$29=_xlfn.IFS(KS11="Handysize",Main!NB11,KS11="Supramax",MU11,KS11="Panamax",MN11,KS11="NeoPanamax",MG11,KS11="Suezmax",LZ11,KS11="Capesize",LS11,KS11="VLOC",LL11)))))</f>
        <v>#N/A</v>
      </c>
      <c r="PF11" s="75" t="e">
        <f t="array" aca="1" ref="PF11" ca="1">INDEX(Canals!$AE$24:$AE$29,MATCH(2,1/((Canals!$F$24:$F$29&lt;=$C11)*(Canals!$G$24:$G$29=_xlfn.IFS(KS11="Handysize",Main!NB11,KS11="Supramax",MU11,KS11="Panamax",MN11,KS11="NeoPanamax",MG11,KS11="Suezmax",LZ11,KS11="Capesize",LS11,KS11="VLOC",LL11)))))</f>
        <v>#N/A</v>
      </c>
      <c r="PG11" s="75" t="e">
        <f t="array" aca="1" ref="PG11" ca="1">INDEX(Canals!$AF$24:$AF$29,MATCH(2,1/((Canals!$F$24:$F$29&lt;=$C11)*(Canals!$G$24:$G$29=_xlfn.IFS(KS11="Handysize",Main!NB11,KS11="Supramax",MU11,KS11="Panamax",MN11,KS11="NeoPanamax",MG11,KS11="Suezmax",LZ11,KS11="Capesize",LS11,KS11="VLOC",LL11)))))</f>
        <v>#N/A</v>
      </c>
      <c r="PH11" s="75" t="e">
        <f t="array" aca="1" ref="PH11" ca="1">INDEX(Canals!$AG$24:$AG$29,MATCH(2,1/((Canals!$F$24:$F$29&lt;=$C11)*(Canals!$G$24:$G$29=_xlfn.IFS(KS11="Handysize",Main!NB11,KS11="Supramax",MU11,KS11="Panamax",MN11,KS11="NeoPanamax",MG11,KS11="Suezmax",LZ11,KS11="Capesize",LS11,KS11="VLOC",LL11)))))</f>
        <v>#N/A</v>
      </c>
      <c r="PI11" s="75" t="e">
        <f t="array" aca="1" ref="PI11" ca="1">INDEX(Canals!$AH$24:$AH$29,MATCH(2,1/((Canals!$F$24:$F$29&lt;=$C11)*(Canals!$G$24:$G$29=_xlfn.IFS(KS11="Handysize",Main!NB11,KS11="Supramax",MU11,KS11="Panamax",MN11,KS11="NeoPanamax",MG11,KS11="Suezmax",LZ11,KS11="Capesize",LS11,KS11="VLOC",LL11)))))</f>
        <v>#N/A</v>
      </c>
      <c r="PJ11" s="75" t="e">
        <f t="array" aca="1" ref="PJ11" ca="1">INDEX(Canals!$AI$24:$AI$29,MATCH(2,1/((Canals!$F$24:$F$29&lt;=$C11)*(Canals!$G$24:$G$29=_xlfn.IFS(KS11="Handysize",Main!NB11,KS11="Supramax",MU11,KS11="Panamax",MN11,KS11="NeoPanamax",MG11,KS11="Suezmax",LZ11,KS11="Capesize",LS11,KS11="VLOC",LL11)))))</f>
        <v>#N/A</v>
      </c>
      <c r="PK11" s="75" t="e">
        <f t="array" aca="1" ref="PK11" ca="1">INDEX(Canals!$AJ$24:$AJ$29,MATCH(2,1/((Canals!$F$24:$F$29&lt;=$C11)*(Canals!$G$24:$G$29=_xlfn.IFS(KS11="Handysize",Main!NB11,KS11="Supramax",MU11,KS11="Panamax",MN11,KS11="NeoPanamax",MG11,KS11="Suezmax",LZ11,KS11="Capesize",LS11,KS11="VLOC",LL11)))))</f>
        <v>#N/A</v>
      </c>
      <c r="PL11" s="75" t="e">
        <f t="array" aca="1" ref="PL11" ca="1">INDEX(Canals!$AK$24:$AK$29,MATCH(2,1/((Canals!$F$24:$F$29&lt;=$C11)*(Canals!$G$24:$G$29=_xlfn.IFS(KS11="Handysize",Main!NB11,KS11="Supramax",MU11,KS11="Panamax",MN11,KS11="NeoPanamax",MG11,KS11="Suezmax",LZ11,KS11="Capesize",LS11,KS11="VLOC",LL11)))))</f>
        <v>#N/A</v>
      </c>
      <c r="PM11" s="136" t="e">
        <f t="array" aca="1" ref="PM11" ca="1">INDEX(Canals!$AL$24:$AL$29,MATCH(2,1/((Canals!$F$24:$F$29&lt;=$C11)*(Canals!$G$24:$G$29=_xlfn.IFS(KS11="Handysize",Main!NB11,KS11="Supramax",MU11,KS11="Panamax",MN11,KS11="NeoPanamax",MG11,KS11="Suezmax",LZ11,KS11="Capesize",LS11,KS11="VLOC",LL11)))))</f>
        <v>#N/A</v>
      </c>
      <c r="PN11" s="136" t="e">
        <f t="array" aca="1" ref="PN11" ca="1">INDEX(Canals!$AM$24:$AM$29,MATCH(2,1/((Canals!$F$24:$F$29&lt;=$C11)*(Canals!$G$24:$G$29=_xlfn.IFS(KS11="Handysize",Main!NB11,KS11="Supramax",MU11,KS11="Panamax",MN11,KS11="NeoPanamax",MG11,KS11="Suezmax",LZ11,KS11="Capesize",LS11,KS11="VLOC",LL11)))))</f>
        <v>#N/A</v>
      </c>
      <c r="PO11" s="136" t="e">
        <f t="array" aca="1" ref="PO11" ca="1">INDEX(Canals!$AN$24:$AN$29,MATCH(2,1/((Canals!$F$24:$F$29&lt;=$C11)*(Canals!$G$24:$G$29=_xlfn.IFS(KS11="Handysize",Main!NB11,KS11="Supramax",MU11,KS11="Panamax",MN11,KS11="NeoPanamax",MG11,KS11="Suezmax",LZ11,KS11="Capesize",LS11,KS11="VLOC",LL11)))))</f>
        <v>#N/A</v>
      </c>
      <c r="PP11" s="136" t="e">
        <f t="array" aca="1" ref="PP11" ca="1">INDEX(Canals!$AO$24:$AO$29,MATCH(2,1/((Canals!$F$24:$F$29&lt;=$C11)*(Canals!$G$24:$G$29=_xlfn.IFS(KS11="Handysize",Main!NB11,KS11="Supramax",MU11,KS11="Panamax",MN11,KS11="NeoPanamax",MG11,KS11="Suezmax",LZ11,KS11="Capesize",LS11,KS11="VLOC",LL11)))))</f>
        <v>#N/A</v>
      </c>
      <c r="PQ11" s="136" t="e">
        <f t="array" aca="1" ref="PQ11" ca="1">INDEX(Canals!$AP$24:$AP$29,MATCH(2,1/((Canals!$F$24:$F$29&lt;=$C11)*(Canals!$G$24:$G$29=_xlfn.IFS(KS11="Handysize",Main!NB11,KS11="Supramax",MU11,KS11="Panamax",MN11,KS11="NeoPanamax",MG11,KS11="Suezmax",LZ11,KS11="Capesize",LS11,KS11="VLOC",LL11)))))</f>
        <v>#N/A</v>
      </c>
      <c r="PR11" s="136" t="e">
        <f t="array" aca="1" ref="PR11" ca="1">INDEX(Canals!$AQ$24:$AQ$29,MATCH(2,1/((Canals!$F$24:$F$29&lt;=$C11)*(Canals!$G$24:$G$29=_xlfn.IFS(KS11="Handysize",Main!NB11,KS11="Supramax",MU11,KS11="Panamax",MN11,KS11="NeoPanamax",MG11,KS11="Suezmax",LZ11,KS11="Capesize",LS11,KS11="VLOC",LL11)))))</f>
        <v>#N/A</v>
      </c>
      <c r="PS11" s="136" t="e">
        <f t="array" aca="1" ref="PS11" ca="1">INDEX(Canals!$AR$24:$AR$29,MATCH(2,1/((Canals!$F$24:$F$29&lt;=$C11)*(Canals!$G$24:$G$29=_xlfn.IFS(KS11="Handysize",Main!NB11,KS11="Supramax",MU11,KS11="Panamax",MN11,KS11="NeoPanamax",MG11,KS11="Suezmax",LZ11,KS11="Capesize",LS11,KS11="VLOC",LL11)))))</f>
        <v>#N/A</v>
      </c>
      <c r="PT11" s="136" t="e">
        <f t="array" aca="1" ref="PT11" ca="1">INDEX(Canals!$AS$24:$AS$29,MATCH(2,1/((Canals!$F$24:$F$29&lt;=$C11)*(Canals!$G$24:$G$29=_xlfn.IFS(KS11="Handysize",Main!NB11,KS11="Supramax",MU11,KS11="Panamax",MN11,KS11="NeoPanamax",MG11,KS11="Suezmax",LZ11,KS11="Capesize",LS11,KS11="VLOC",LL11)))))</f>
        <v>#N/A</v>
      </c>
      <c r="PU11" s="136" t="e">
        <f t="array" aca="1" ref="PU11" ca="1">INDEX(Canals!$AT$24:$AT$29,MATCH(2,1/((Canals!$F$24:$F$29&lt;=$C11)*(Canals!$G$24:$G$29=_xlfn.IFS(KS11="Handysize",Main!NB11,KS11="Supramax",MU11,KS11="Panamax",MN11,KS11="NeoPanamax",MG11,KS11="Suezmax",LZ11,KS11="Capesize",LS11,KS11="VLOC",LL11)))))</f>
        <v>#N/A</v>
      </c>
      <c r="PV11" s="136" t="e">
        <f t="array" aca="1" ref="PV11" ca="1">INDEX(Canals!$AU$24:$AU$29,MATCH(2,1/((Canals!$F$24:$F$29&lt;=$C11)*(Canals!$G$24:$G$29=_xlfn.IFS(KS11="Handysize",Main!NB11,KS11="Supramax",MU11,KS11="Panamax",MN11,KS11="NeoPanamax",MG11,KS11="Suezmax",LZ11,KS11="Capesize",LS11,KS11="VLOC",LL11)))))</f>
        <v>#N/A</v>
      </c>
      <c r="PW11" s="136" t="e">
        <f t="array" aca="1" ref="PW11" ca="1">INDEX(Canals!$AV$24:$AV$29,MATCH(2,1/((Canals!$F$24:$F$29&lt;=$C11)*(Canals!$G$24:$G$29=_xlfn.IFS(KS11="Handysize",Main!NB11,KS11="Supramax",MU11,KS11="Panamax",MN11,KS11="NeoPanamax",MG11,KS11="Suezmax",LZ11,KS11="Capesize",LS11,KS11="VLOC",LL11)))))</f>
        <v>#N/A</v>
      </c>
      <c r="PY11" s="75" t="e">
        <f t="array" aca="1" ref="PY11" ca="1">_xlfn.IFS(OJ11="DWT",KQ11,OJ11="NRT",KU11,OJ11="GRT",KV11)</f>
        <v>#NAME?</v>
      </c>
      <c r="PZ11" s="279" t="e">
        <f t="shared" ca="1" si="74"/>
        <v>#NAME?</v>
      </c>
      <c r="QA11" s="280" t="e">
        <f t="shared" ca="1" si="75"/>
        <v>#NAME?</v>
      </c>
      <c r="QB11" s="280" t="e">
        <f t="shared" ca="1" si="76"/>
        <v>#NAME?</v>
      </c>
      <c r="QC11" s="280" t="e">
        <f t="shared" ca="1" si="77"/>
        <v>#NAME?</v>
      </c>
      <c r="QD11" s="280" t="e">
        <f t="shared" ca="1" si="78"/>
        <v>#NAME?</v>
      </c>
      <c r="QE11" s="280" t="e">
        <f t="shared" ca="1" si="79"/>
        <v>#NAME?</v>
      </c>
      <c r="QF11" s="280" t="e">
        <f t="shared" ca="1" si="80"/>
        <v>#NAME?</v>
      </c>
      <c r="QG11" s="280" t="e">
        <f t="shared" ca="1" si="81"/>
        <v>#NAME?</v>
      </c>
      <c r="QH11" s="280" t="e">
        <f t="shared" ca="1" si="82"/>
        <v>#NAME?</v>
      </c>
      <c r="QI11" s="75">
        <f t="shared" si="83"/>
        <v>55575</v>
      </c>
      <c r="QJ11" s="279" t="e">
        <f t="shared" ca="1" si="84"/>
        <v>#N/A</v>
      </c>
      <c r="QK11" s="280" t="e">
        <f t="shared" ca="1" si="85"/>
        <v>#N/A</v>
      </c>
      <c r="QL11" s="280" t="e">
        <f t="shared" ca="1" si="86"/>
        <v>#N/A</v>
      </c>
      <c r="QM11" s="280" t="e">
        <f t="shared" ca="1" si="87"/>
        <v>#N/A</v>
      </c>
      <c r="QN11" s="280" t="e">
        <f t="shared" ca="1" si="88"/>
        <v>#N/A</v>
      </c>
      <c r="QO11" s="280" t="e">
        <f t="shared" ca="1" si="89"/>
        <v>#N/A</v>
      </c>
      <c r="QP11" s="280" t="e">
        <f t="shared" ca="1" si="90"/>
        <v>#N/A</v>
      </c>
      <c r="QQ11" s="280" t="e">
        <f t="shared" ca="1" si="91"/>
        <v>#N/A</v>
      </c>
      <c r="QR11" s="280" t="e">
        <f t="shared" ca="1" si="92"/>
        <v>#N/A</v>
      </c>
      <c r="QT11" s="75" t="e">
        <f t="array" aca="1" ref="QT11" ca="1">_xlfn.IFS(KS11="Handysize",Main!MV11,KS11="Supramax",MO11,KS11="Panamax",MH11,KS11="NeoPanamax",MA11,KS11="Suezmax",LT11,KS11="Capesize",LM11,KS11="VLOC",LF11)*$JI11</f>
        <v>#NAME?</v>
      </c>
      <c r="QU11" s="274" t="e">
        <f t="array" aca="1" ref="QU11" ca="1">_xlfn.IFS(KS11="Handysize",Main!MW11,KS11="Supramax",MP11,KS11="Panamax",MI11,KS11="NeoPanamax",MB11,KS11="Suezmax",LU11,KS11="Capesize",LN11,KS11="VLOC",LG11)*$JI11</f>
        <v>#NAME?</v>
      </c>
      <c r="QV11" s="71" t="e">
        <f t="array" aca="1" ref="QV11" ca="1">_xlfn.IFS(KS11="Handysize",Main!KX11,KS11="Supramax",KY11,KS11="Panamax",KZ11,KS11="NeoPanamax",LA11,KS11="Suezmax",LB11,KS11="Capesize",LC11,KS11="VLOC",LD11)</f>
        <v>#NAME?</v>
      </c>
      <c r="QW11" s="71" t="e">
        <f t="array" aca="1" ref="QW11" ca="1">_xlfn.IFS(KS11="Handysize",Main!NJ11,KS11="Supramax",NK11,KS11="Panamax",NL11,KS11="NeoPanamax",NM11,KS11="Suezmax",NN11,KS11="Capesize",NO11,KS11="VLOC",NP11)</f>
        <v>#NAME?</v>
      </c>
      <c r="QX11" s="70">
        <f t="array" ref="QX11">INDEX('Ship Speeds'!$G$11:$G$1011,MATCH(2,1/(('Ship Speeds'!$E$11:$E$1011&lt;=Main!$C11)*('Ship Speeds'!$F$11:$F$1011=Main!KR11))))</f>
        <v>11</v>
      </c>
      <c r="QY11" s="403">
        <f t="shared" si="93"/>
        <v>17.439470556521982</v>
      </c>
      <c r="QZ11" s="401">
        <f t="shared" si="94"/>
        <v>1.8087599999999999</v>
      </c>
      <c r="RA11" s="70" t="e">
        <f t="shared" ca="1" si="95"/>
        <v>#NAME?</v>
      </c>
      <c r="RB11" s="70" t="e">
        <f t="shared" ca="1" si="96"/>
        <v>#NAME?</v>
      </c>
      <c r="RC11" s="70" t="e">
        <f t="shared" ca="1" si="97"/>
        <v>#NAME?</v>
      </c>
      <c r="RD11" s="70" t="e">
        <f t="shared" ca="1" si="98"/>
        <v>#NAME?</v>
      </c>
      <c r="RE11" s="72" t="e">
        <f t="shared" ca="1" si="99"/>
        <v>#N/A</v>
      </c>
      <c r="RF11" s="70" t="e">
        <f t="shared" ca="1" si="100"/>
        <v>#NAME?</v>
      </c>
      <c r="RG11" s="70" t="e">
        <f t="array" aca="1" ref="RG11" ca="1">INDEX(ND11:NH11,MATCH(_xlfn.IFS(KS11="Handysize",Main!MZ11,KS11="Supramax",MS11,KS11="Panamax",ML11,KS11="NeoPanamax",ME11,KS11="Suezmax",LX11,KS11="Capesize",LQ11,KS11="VLOC",LJ11),$ND$7:$NH$7,0))</f>
        <v>#NAME?</v>
      </c>
      <c r="RH11" s="70" t="e">
        <f t="array" aca="1" ref="RH11" ca="1">INDEX(ND11:NH11,MATCH(_xlfn.IFS(KS11="Handysize",Main!NA11,KS11="Supramax",MT11,KS11="Panamax",MM11,KS11="NeoPanamax",MF11,KS11="Suezmax",LY11,KS11="Capesize",LR11,KS11="VLOC",LK11),$ND$7:$NH$7,0))</f>
        <v>#NAME?</v>
      </c>
      <c r="RI11" s="71" t="e">
        <f t="shared" ca="1" si="101"/>
        <v>#NAME?</v>
      </c>
      <c r="RJ11" s="71" t="e">
        <f t="shared" ca="1" si="102"/>
        <v>#NAME?</v>
      </c>
      <c r="RK11" s="281">
        <f t="shared" si="103"/>
        <v>7.0759999999999987</v>
      </c>
      <c r="RL11" s="71">
        <f t="shared" si="104"/>
        <v>1744.2057659694747</v>
      </c>
      <c r="RM11" s="71" t="e">
        <f t="shared" ca="1" si="105"/>
        <v>#NAME?</v>
      </c>
      <c r="RN11" s="71" t="e">
        <f t="shared" ca="1" si="106"/>
        <v>#NAME?</v>
      </c>
      <c r="RO11" s="71">
        <f t="shared" si="107"/>
        <v>20734.595816845678</v>
      </c>
      <c r="RP11" s="71" t="e">
        <f t="shared" ca="1" si="108"/>
        <v>#NAME?</v>
      </c>
      <c r="RQ11" s="71" t="e">
        <f t="shared" ca="1" si="109"/>
        <v>#NAME?</v>
      </c>
      <c r="RR11" s="71">
        <f t="shared" si="110"/>
        <v>14720.451384963259</v>
      </c>
      <c r="RS11" s="71" t="e">
        <f t="shared" ca="1" si="111"/>
        <v>#NAME?</v>
      </c>
      <c r="RT11" s="71" t="e">
        <f t="shared" ca="1" si="112"/>
        <v>#NAME?</v>
      </c>
      <c r="RU11" s="71">
        <f t="shared" si="113"/>
        <v>0</v>
      </c>
      <c r="RV11" s="71" t="e">
        <f t="shared" ca="1" si="114"/>
        <v>#NAME?</v>
      </c>
      <c r="RW11" s="71" t="e">
        <f t="shared" ca="1" si="115"/>
        <v>#NAME?</v>
      </c>
      <c r="RX11" s="72">
        <f t="shared" si="116"/>
        <v>5447.0388637648393</v>
      </c>
      <c r="RY11" s="72" t="e">
        <f t="shared" ca="1" si="117"/>
        <v>#NAME?</v>
      </c>
      <c r="RZ11" s="71" t="e">
        <f t="shared" ca="1" si="118"/>
        <v>#NAME?</v>
      </c>
      <c r="SA11" s="71" t="e">
        <f t="array" aca="1" ref="SA11" ca="1">INDEX('Ship Time Charter Rates'!$H$22:$H$1021,MATCH(2,1/(('Ship Time Charter Rates'!$G$22:$G$1021=_xlfn.IFS(KS11="Handysize",Main!MX11,KS11="Supramax",MQ11,KS11="Panamax",MJ11,KS11="NeoPanamax",MC11,KS11="Suezmax",LV11,KS11="Capesize",LO11,KS11="VLOC",LH11))*('Ship Time Charter Rates'!$E$22:$E$1021&lt;=Main!$C11)*(NOT(ISBLANK('Ship Time Charter Rates'!$H$22:$H$1021))))))</f>
        <v>#N/A</v>
      </c>
      <c r="SB11" s="71" t="e">
        <f t="shared" ca="1" si="119"/>
        <v>#NAME?</v>
      </c>
      <c r="SC11" s="70" t="e">
        <f t="shared" ca="1" si="120"/>
        <v>#N/A</v>
      </c>
      <c r="SD11" s="71" t="e">
        <f t="shared" ca="1" si="121"/>
        <v>#NAME?</v>
      </c>
      <c r="SE11" s="71" t="e">
        <f t="shared" ref="SE11:SE23" ca="1" si="302">SD11*(1+$KL11)*(1+$KM11)</f>
        <v>#NAME?</v>
      </c>
      <c r="SF11" s="72" t="e">
        <f t="shared" ref="SF11:SF26" ca="1" si="303">IF(SE11=0,0,SE11/(KQ11*(1-$AL11)*$JN11))</f>
        <v>#NAME?</v>
      </c>
      <c r="SH11" s="25">
        <f>IF($AO11="yes",$AN11,$AR11)/(1-$AL11)/$JN11</f>
        <v>0</v>
      </c>
      <c r="SI11" s="4" t="str">
        <f>VLOOKUP(SH11,'Ship Time Charter Rates'!$F$10:$G$17,2,TRUE)</f>
        <v>Handysize</v>
      </c>
      <c r="SJ11" s="4" t="str">
        <f>VLOOKUP(SH11,Canals!$E$5:$F$12,2,TRUE)</f>
        <v>Handysize</v>
      </c>
      <c r="SK11" s="25">
        <f t="shared" si="122"/>
        <v>145.88999999999999</v>
      </c>
      <c r="SL11" s="25">
        <f t="shared" si="123"/>
        <v>0</v>
      </c>
      <c r="SM11" s="25">
        <f t="shared" si="124"/>
        <v>4797</v>
      </c>
      <c r="SO11" s="75">
        <f t="array" ref="SO11">INDEX('Indices Mines Exporting Ports'!$R$20:$R$51,MATCH(2,1/(('Indices Mines Exporting Ports'!$D$20:$D$51&lt;=Main!$C11)*('Indices Mines Exporting Ports'!$Q$20:$Q$51=$AQ11))))</f>
        <v>0</v>
      </c>
      <c r="SP11" s="75">
        <f t="array" ref="SP11">INDEX('Indices Mines Exporting Ports'!$S$20:$S$51,MATCH(2,1/(('Indices Mines Exporting Ports'!$D$20:$D$51&lt;=Main!$C11)*('Indices Mines Exporting Ports'!$Q$20:$Q$51=$AQ11))))</f>
        <v>0</v>
      </c>
      <c r="SQ11" s="75">
        <f t="array" ref="SQ11">INDEX('Indices Mines Exporting Ports'!$T$20:$T$51,MATCH(2,1/(('Indices Mines Exporting Ports'!$D$20:$D$51&lt;=Main!$C11)*('Indices Mines Exporting Ports'!$Q$20:$Q$51=$AQ11))))</f>
        <v>0</v>
      </c>
      <c r="SR11" s="75">
        <f t="array" ref="SR11">INDEX('Indices Mines Exporting Ports'!$U$20:$U$51,MATCH(2,1/(('Indices Mines Exporting Ports'!$D$20:$D$51&lt;=Main!$C11)*('Indices Mines Exporting Ports'!$Q$20:$Q$51=$AQ11))))</f>
        <v>0</v>
      </c>
      <c r="SS11" s="75">
        <f t="array" ref="SS11">INDEX('Indices Mines Exporting Ports'!$V$20:$V$51,MATCH(2,1/(('Indices Mines Exporting Ports'!$D$20:$D$51&lt;=Main!$C11)*('Indices Mines Exporting Ports'!$Q$20:$Q$51=$AQ11))))</f>
        <v>0</v>
      </c>
      <c r="ST11" s="75">
        <f t="array" ref="ST11">INDEX('Indices Mines Exporting Ports'!$W$20:$W$51,MATCH(2,1/(('Indices Mines Exporting Ports'!$D$20:$D$51&lt;=Main!$C11)*('Indices Mines Exporting Ports'!$Q$20:$Q$51=$AQ11))))</f>
        <v>0</v>
      </c>
      <c r="SU11" s="75">
        <f t="array" ref="SU11">INDEX('Indices Mines Exporting Ports'!$X$20:$X$51,MATCH(2,1/(('Indices Mines Exporting Ports'!$D$20:$D$51&lt;=Main!$C11)*('Indices Mines Exporting Ports'!$Q$20:$Q$51=$AQ11))))</f>
        <v>0</v>
      </c>
      <c r="SW11" s="75">
        <f t="array" ref="SW11">INDEX('Port Linkages'!$E$18:$E$157,MATCH(2,1/(('Port Linkages'!$C$18:$C$157=$AQ11)*('Port Linkages'!$D$18:$D$157=IF($AO11="no",$AQ11,$AS11))*('Port Linkages'!$A$18:$A$157&lt;=$C11))))</f>
        <v>0</v>
      </c>
      <c r="SX11" s="75">
        <f t="array" ref="SX11">INDEX('Port Linkages'!$F$18:$F$157,MATCH(2,1/(('Port Linkages'!$C$18:$C$157=$AQ11)*('Port Linkages'!$D$18:$D$157=IF($AO11="no",$AQ11,$AS11))*('Port Linkages'!$A$18:$A$157&lt;=$C11))))</f>
        <v>0</v>
      </c>
      <c r="SY11" s="75">
        <f t="array" ref="SY11">INDEX('Port Linkages'!$G$18:$G$157,MATCH(2,1/(('Port Linkages'!$C$18:$C$157=$AQ11)*('Port Linkages'!$D$18:$D$157=IF($AO11="no",$AQ11,$AS11))*('Port Linkages'!$A$18:$A$157&lt;=$C11))))</f>
        <v>0</v>
      </c>
      <c r="SZ11" s="75">
        <f t="array" ref="SZ11">INDEX('Port Linkages'!$H$18:$H$157,MATCH(2,1/(('Port Linkages'!$C$18:$C$157=$AQ11)*('Port Linkages'!$D$18:$D$157=IF($AO11="no",$AQ11,$AS11))*('Port Linkages'!$A$18:$A$157&lt;=$C11))))</f>
        <v>0</v>
      </c>
      <c r="TA11" s="75">
        <f t="array" ref="TA11">INDEX('Port Linkages'!$I$18:$I$157,MATCH(2,1/(('Port Linkages'!$C$18:$C$157=$AQ11)*('Port Linkages'!$D$18:$D$157=IF($AO11="no",$AQ11,$AS11))*('Port Linkages'!$A$18:$A$157&lt;=$C11))))</f>
        <v>0</v>
      </c>
      <c r="TB11" s="75">
        <f t="array" ref="TB11">INDEX('Port Linkages'!$J$18:$J$157,MATCH(2,1/(('Port Linkages'!$C$18:$C$157=$AQ11)*('Port Linkages'!$D$18:$D$157=IF($AO11="no",$AQ11,$AS11))*('Port Linkages'!$A$18:$A$157&lt;=$C11))))</f>
        <v>0</v>
      </c>
      <c r="TC11" s="75">
        <f t="array" ref="TC11">INDEX('Port Linkages'!$K$18:$K$157,MATCH(2,1/(('Port Linkages'!$C$18:$C$157=$AQ11)*('Port Linkages'!$D$18:$D$157=IF($AO11="no",$AQ11,$AS11))*('Port Linkages'!$A$18:$A$157&lt;=$C11))))</f>
        <v>0</v>
      </c>
      <c r="TD11" s="75">
        <f t="array" ref="TD11">INDEX('Port Linkages'!$L$18:$L$157,MATCH(2,1/(('Port Linkages'!$C$18:$C$157=$AQ11)*('Port Linkages'!$D$18:$D$157=IF($AO11="no",$AQ11,$AS11))*('Port Linkages'!$A$18:$A$157&lt;=$C11))))</f>
        <v>0</v>
      </c>
      <c r="TE11" s="75">
        <f t="array" ref="TE11">INDEX('Port Linkages'!$M$18:$M$157,MATCH(2,1/(('Port Linkages'!$C$18:$C$157=$AQ11)*('Port Linkages'!$D$18:$D$157=IF($AO11="no",$AQ11,$AS11))*('Port Linkages'!$A$18:$A$157&lt;=$C11))))</f>
        <v>0</v>
      </c>
      <c r="TF11" s="75">
        <f t="array" ref="TF11">INDEX('Port Linkages'!$N$18:$N$157,MATCH(2,1/(('Port Linkages'!$C$18:$C$157=$AQ11)*('Port Linkages'!$D$18:$D$157=IF($AO11="no",$AQ11,$AS11))*('Port Linkages'!$A$18:$A$157&lt;=$C11))))</f>
        <v>0</v>
      </c>
      <c r="TG11" s="75">
        <f t="array" ref="TG11">INDEX('Port Linkages'!$O$18:$O$157,MATCH(2,1/(('Port Linkages'!$C$18:$C$157=$AQ11)*('Port Linkages'!$D$18:$D$157=IF($AO11="no",$AQ11,$AS11))*('Port Linkages'!$A$18:$A$157&lt;=$C11))))</f>
        <v>0</v>
      </c>
      <c r="TH11" s="75">
        <f t="array" ref="TH11">INDEX('Port Linkages'!$P$18:$P$157,MATCH(2,1/(('Port Linkages'!$C$18:$C$157=$AQ11)*('Port Linkages'!$D$18:$D$157=IF($AO11="no",$AQ11,$AS11))*('Port Linkages'!$A$18:$A$157&lt;=$C11))))</f>
        <v>0</v>
      </c>
      <c r="TI11" s="75">
        <f t="array" ref="TI11">INDEX('Port Linkages'!$Q$18:$Q$157,MATCH(2,1/(('Port Linkages'!$C$18:$C$157=$AQ11)*('Port Linkages'!$D$18:$D$157=IF($AO11="no",$AQ11,$AS11))*('Port Linkages'!$A$18:$A$157&lt;=$C11))))</f>
        <v>0</v>
      </c>
      <c r="TJ11" s="75">
        <f t="array" ref="TJ11">INDEX('Port Linkages'!$R$18:$R$157,MATCH(2,1/(('Port Linkages'!$C$18:$C$157=$AQ11)*('Port Linkages'!$D$18:$D$157=IF($AO11="no",$AQ11,$AS11))*('Port Linkages'!$A$18:$A$157&lt;=$C11))))</f>
        <v>0</v>
      </c>
      <c r="TK11" s="75">
        <f t="array" ref="TK11">INDEX('Port Linkages'!$S$18:$S$157,MATCH(2,1/(('Port Linkages'!$C$18:$C$157=$AQ11)*('Port Linkages'!$D$18:$D$157=IF($AO11="no",$AQ11,$AS11))*('Port Linkages'!$A$18:$A$157&lt;=$C11))))</f>
        <v>0</v>
      </c>
      <c r="TL11" s="75">
        <f t="array" ref="TL11">INDEX('Port Linkages'!$T$18:$T$157,MATCH(2,1/(('Port Linkages'!$C$18:$C$157=$AQ11)*('Port Linkages'!$D$18:$D$157=IF($AO11="no",$AQ11,$AS11))*('Port Linkages'!$A$18:$A$157&lt;=$C11))))</f>
        <v>0</v>
      </c>
      <c r="TM11" s="75">
        <f t="array" ref="TM11">INDEX('Port Linkages'!$U$18:$U$157,MATCH(2,1/(('Port Linkages'!$C$18:$C$157=$AQ11)*('Port Linkages'!$D$18:$D$157=IF($AO11="no",$AQ11,$AS11))*('Port Linkages'!$A$18:$A$157&lt;=$C11))))</f>
        <v>0</v>
      </c>
      <c r="TN11" s="75">
        <f t="array" ref="TN11">INDEX('Port Linkages'!$V$18:$V$157,MATCH(2,1/(('Port Linkages'!$C$18:$C$157=$AQ11)*('Port Linkages'!$D$18:$D$157=IF($AO11="no",$AQ11,$AS11))*('Port Linkages'!$A$18:$A$157&lt;=$C11))))</f>
        <v>0</v>
      </c>
      <c r="TO11" s="75">
        <f t="array" ref="TO11">INDEX('Port Linkages'!$W$18:$W$157,MATCH(2,1/(('Port Linkages'!$C$18:$C$157=$AQ11)*('Port Linkages'!$D$18:$D$157=IF($AO11="no",$AQ11,$AS11))*('Port Linkages'!$A$18:$A$157&lt;=$C11))))</f>
        <v>0</v>
      </c>
      <c r="TP11" s="75">
        <f t="array" ref="TP11">INDEX('Port Linkages'!$X$18:$X$157,MATCH(2,1/(('Port Linkages'!$C$18:$C$157=$AQ11)*('Port Linkages'!$D$18:$D$157=IF($AO11="no",$AQ11,$AS11))*('Port Linkages'!$A$18:$A$157&lt;=$C11))))</f>
        <v>0</v>
      </c>
      <c r="TQ11" s="75">
        <f t="array" ref="TQ11">INDEX('Port Linkages'!$Y$18:$Y$157,MATCH(2,1/(('Port Linkages'!$C$18:$C$157=$AQ11)*('Port Linkages'!$D$18:$D$157=IF($AO11="no",$AQ11,$AS11))*('Port Linkages'!$A$18:$A$157&lt;=$C11))))</f>
        <v>0</v>
      </c>
      <c r="TR11" s="75">
        <f t="array" ref="TR11">INDEX('Port Linkages'!$Z$18:$Z$157,MATCH(2,1/(('Port Linkages'!$C$18:$C$157=$AQ11)*('Port Linkages'!$D$18:$D$157=IF($AO11="no",$AQ11,$AS11))*('Port Linkages'!$A$18:$A$157&lt;=$C11))))</f>
        <v>0</v>
      </c>
      <c r="TS11" s="75">
        <f t="array" ref="TS11">INDEX('Port Linkages'!$AA$18:$AA$157,MATCH(2,1/(('Port Linkages'!$C$18:$C$157=$AQ11)*('Port Linkages'!$D$18:$D$157=IF($AO11="no",$AQ11,$AS11))*('Port Linkages'!$A$18:$A$157&lt;=$C11))))</f>
        <v>0</v>
      </c>
      <c r="TT11" s="75">
        <f t="array" ref="TT11">INDEX('Port Linkages'!$AB$18:$AB$157,MATCH(2,1/(('Port Linkages'!$C$18:$C$157=$AQ11)*('Port Linkages'!$D$18:$D$157=IF($AO11="no",$AQ11,$AS11))*('Port Linkages'!$A$18:$A$157&lt;=$C11))))</f>
        <v>0</v>
      </c>
      <c r="TU11" s="75">
        <f t="array" ref="TU11">INDEX('Port Linkages'!$AC$18:$AC$157,MATCH(2,1/(('Port Linkages'!$C$18:$C$157=$AQ11)*('Port Linkages'!$D$18:$D$157=IF($AO11="no",$AQ11,$AS11))*('Port Linkages'!$A$18:$A$157&lt;=$C11))))</f>
        <v>0</v>
      </c>
      <c r="TV11" s="75">
        <f t="array" ref="TV11">INDEX('Port Linkages'!$AD$18:$AD$157,MATCH(2,1/(('Port Linkages'!$C$18:$C$157=$AQ11)*('Port Linkages'!$D$18:$D$157=IF($AO11="no",$AQ11,$AS11))*('Port Linkages'!$A$18:$A$157&lt;=$C11))))</f>
        <v>0</v>
      </c>
      <c r="TW11" s="75">
        <f t="array" ref="TW11">INDEX('Port Linkages'!$AE$18:$AE$157,MATCH(2,1/(('Port Linkages'!$C$18:$C$157=$AQ11)*('Port Linkages'!$D$18:$D$157=IF($AO11="no",$AQ11,$AS11))*('Port Linkages'!$A$18:$A$157&lt;=$C11))))</f>
        <v>0</v>
      </c>
      <c r="TX11" s="75">
        <f t="array" ref="TX11">INDEX('Port Linkages'!$AF$18:$AF$157,MATCH(2,1/(('Port Linkages'!$C$18:$C$157=$AQ11)*('Port Linkages'!$D$18:$D$157=IF($AO11="no",$AQ11,$AS11))*('Port Linkages'!$A$18:$A$157&lt;=$C11))))</f>
        <v>0</v>
      </c>
      <c r="TY11" s="75">
        <f t="array" ref="TY11">INDEX('Port Linkages'!$AG$18:$AG$157,MATCH(2,1/(('Port Linkages'!$C$18:$C$157=$AQ11)*('Port Linkages'!$D$18:$D$157=IF($AO11="no",$AQ11,$AS11))*('Port Linkages'!$A$18:$A$157&lt;=$C11))))</f>
        <v>0</v>
      </c>
      <c r="TZ11" s="75">
        <f t="array" ref="TZ11">INDEX('Port Linkages'!$AH$18:$AH$157,MATCH(2,1/(('Port Linkages'!$C$18:$C$157=$AQ11)*('Port Linkages'!$D$18:$D$157=IF($AO11="no",$AQ11,$AS11))*('Port Linkages'!$A$18:$A$157&lt;=$C11))))</f>
        <v>0</v>
      </c>
      <c r="UA11" s="75">
        <f t="array" ref="UA11">INDEX('Port Linkages'!$AI$18:$AI$157,MATCH(2,1/(('Port Linkages'!$C$18:$C$157=$AQ11)*('Port Linkages'!$D$18:$D$157=IF($AO11="no",$AQ11,$AS11))*('Port Linkages'!$A$18:$A$157&lt;=$C11))))</f>
        <v>0</v>
      </c>
      <c r="UB11" s="75">
        <f t="array" ref="UB11">INDEX('Port Linkages'!$AJ$18:$AJ$157,MATCH(2,1/(('Port Linkages'!$C$18:$C$157=$AQ11)*('Port Linkages'!$D$18:$D$157=IF($AO11="no",$AQ11,$AS11))*('Port Linkages'!$A$18:$A$157&lt;=$C11))))</f>
        <v>0</v>
      </c>
      <c r="UC11" s="75">
        <f t="array" ref="UC11">INDEX('Port Linkages'!$AK$18:$AK$157,MATCH(2,1/(('Port Linkages'!$C$18:$C$157=$AQ11)*('Port Linkages'!$D$18:$D$157=IF($AO11="no",$AQ11,$AS11))*('Port Linkages'!$A$18:$A$157&lt;=$C11))))</f>
        <v>0</v>
      </c>
      <c r="UD11" s="75">
        <f t="array" ref="UD11">INDEX('Port Linkages'!$AL$18:$AL$157,MATCH(2,1/(('Port Linkages'!$C$18:$C$157=$AQ11)*('Port Linkages'!$D$18:$D$157=IF($AO11="no",$AQ11,$AS11))*('Port Linkages'!$A$18:$A$157&lt;=$C11))))</f>
        <v>0</v>
      </c>
      <c r="UE11" s="75">
        <f t="array" ref="UE11">INDEX('Port Linkages'!$AM$18:$AM$157,MATCH(2,1/(('Port Linkages'!$C$18:$C$157=$AQ11)*('Port Linkages'!$D$18:$D$157=IF($AO11="no",$AQ11,$AS11))*('Port Linkages'!$A$18:$A$157&lt;=$C11))))</f>
        <v>0</v>
      </c>
      <c r="UF11" s="75">
        <f t="array" ref="UF11">INDEX('Port Linkages'!$AN$18:$AN$157,MATCH(2,1/(('Port Linkages'!$C$18:$C$157=$AQ11)*('Port Linkages'!$D$18:$D$157=IF($AO11="no",$AQ11,$AS11))*('Port Linkages'!$A$18:$A$157&lt;=$C11))))</f>
        <v>0</v>
      </c>
      <c r="UG11" s="75">
        <f t="array" ref="UG11">INDEX('Port Linkages'!$AO$18:$AO$157,MATCH(2,1/(('Port Linkages'!$C$18:$C$157=$AQ11)*('Port Linkages'!$D$18:$D$157=IF($AO11="no",$AQ11,$AS11))*('Port Linkages'!$A$18:$A$157&lt;=$C11))))</f>
        <v>0</v>
      </c>
      <c r="UH11" s="75">
        <f t="array" ref="UH11">INDEX('Port Linkages'!$AP$18:$AP$157,MATCH(2,1/(('Port Linkages'!$C$18:$C$157=$AQ11)*('Port Linkages'!$D$18:$D$157=IF($AO11="no",$AQ11,$AS11))*('Port Linkages'!$A$18:$A$157&lt;=$C11))))</f>
        <v>0</v>
      </c>
      <c r="UI11" s="75">
        <f t="array" ref="UI11">INDEX('Port Linkages'!$AQ$18:$AQ$157,MATCH(2,1/(('Port Linkages'!$C$18:$C$157=$AQ11)*('Port Linkages'!$D$18:$D$157=IF($AO11="no",$AQ11,$AS11))*('Port Linkages'!$A$18:$A$157&lt;=$C11))))</f>
        <v>0</v>
      </c>
      <c r="UJ11" s="75">
        <f t="array" ref="UJ11">INDEX('Port Linkages'!$AR$18:$AR$157,MATCH(2,1/(('Port Linkages'!$C$18:$C$157=$AQ11)*('Port Linkages'!$D$18:$D$157=IF($AO11="no",$AQ11,$AS11))*('Port Linkages'!$A$18:$A$157&lt;=$C11))))</f>
        <v>0</v>
      </c>
      <c r="UK11" s="75">
        <f t="array" ref="UK11">INDEX('Port Linkages'!$AS$18:$AS$157,MATCH(2,1/(('Port Linkages'!$C$18:$C$157=$AQ11)*('Port Linkages'!$D$18:$D$157=IF($AO11="no",$AQ11,$AS11))*('Port Linkages'!$A$18:$A$157&lt;=$C11))))</f>
        <v>0</v>
      </c>
      <c r="UL11" s="75">
        <f t="array" ref="UL11">INDEX('Port Linkages'!$AT$18:$AT$157,MATCH(2,1/(('Port Linkages'!$C$18:$C$157=$AQ11)*('Port Linkages'!$D$18:$D$157=IF($AO11="no",$AQ11,$AS11))*('Port Linkages'!$A$18:$A$157&lt;=$C11))))</f>
        <v>0</v>
      </c>
      <c r="UM11" s="75">
        <f t="array" ref="UM11">INDEX('Port Linkages'!$AU$18:$AU$157,MATCH(2,1/(('Port Linkages'!$C$18:$C$157=$AQ11)*('Port Linkages'!$D$18:$D$157=IF($AO11="no",$AQ11,$AS11))*('Port Linkages'!$A$18:$A$157&lt;=$C11))))</f>
        <v>0</v>
      </c>
      <c r="UN11" s="75">
        <f t="array" ref="UN11">INDEX('Port Linkages'!$AV$18:$AV$157,MATCH(2,1/(('Port Linkages'!$C$18:$C$157=$AQ11)*('Port Linkages'!$D$18:$D$157=IF($AO11="no",$AQ11,$AS11))*('Port Linkages'!$A$18:$A$157&lt;=$C11))))</f>
        <v>0</v>
      </c>
      <c r="UO11" s="75">
        <f t="array" ref="UO11">INDEX('Port Linkages'!$AW$18:$AW$157,MATCH(2,1/(('Port Linkages'!$C$18:$C$157=$AQ11)*('Port Linkages'!$D$18:$D$157=IF($AO11="no",$AQ11,$AS11))*('Port Linkages'!$A$18:$A$157&lt;=$C11))))</f>
        <v>0</v>
      </c>
      <c r="UP11" s="75">
        <f t="array" ref="UP11">INDEX('Port Linkages'!$AX$18:$AX$157,MATCH(2,1/(('Port Linkages'!$C$18:$C$157=$AQ11)*('Port Linkages'!$D$18:$D$157=IF($AO11="no",$AQ11,$AS11))*('Port Linkages'!$A$18:$A$157&lt;=$C11))))</f>
        <v>0</v>
      </c>
      <c r="UQ11" s="75">
        <f t="array" ref="UQ11">INDEX('Port Linkages'!$AY$18:$AY$157,MATCH(2,1/(('Port Linkages'!$C$18:$C$157=$AQ11)*('Port Linkages'!$D$18:$D$157=IF($AO11="no",$AQ11,$AS11))*('Port Linkages'!$A$18:$A$157&lt;=$C11))))</f>
        <v>0</v>
      </c>
      <c r="UR11" s="75">
        <f t="array" ref="UR11">INDEX('Port Linkages'!$AZ$18:$AZ$157,MATCH(2,1/(('Port Linkages'!$C$18:$C$157=$AQ11)*('Port Linkages'!$D$18:$D$157=IF($AO11="no",$AQ11,$AS11))*('Port Linkages'!$A$18:$A$157&lt;=$C11))))</f>
        <v>0</v>
      </c>
      <c r="US11" s="75">
        <f t="array" ref="US11">INDEX('Port Linkages'!$BA$18:$BA$157,MATCH(2,1/(('Port Linkages'!$C$18:$C$157=$AQ11)*('Port Linkages'!$D$18:$D$157=IF($AO11="no",$AQ11,$AS11))*('Port Linkages'!$A$18:$A$157&lt;=$C11))))</f>
        <v>0</v>
      </c>
      <c r="UU11" s="25" t="e">
        <f t="array" aca="1" ref="UU11" ca="1">INDEX('Ship Fuel Prices'!$F$5:$F$1004,MATCH(2,1/(('Ship Fuel Prices'!$E$5:$E$1004=_xlfn.IFS(SJ11="Handysize",Main!UP11,SJ11="Supramax",UI11,SJ11="Panamax",UB11,SJ11="NeoPanamax",TU11,SJ11="Suezmax",TN11,SJ11="Capesize",TG11,SJ11="VLOC",SZ11))*('Ship Fuel Prices'!$D$5:$D$1004&lt;=Main!$C11))))</f>
        <v>#N/A</v>
      </c>
      <c r="UV11" s="25" t="e">
        <f t="array" aca="1" ref="UV11" ca="1">INDEX('Ship Fuel Prices'!$G$5:$G$1004,MATCH(2,1/(('Ship Fuel Prices'!$E$5:$E$1004=_xlfn.IFS(SJ11="Handysize",Main!UP11,SJ11="Supramax",UI11,SJ11="Panamax",UB11,SJ11="NeoPanamax",TU11,SJ11="Suezmax",TN11,SJ11="Capesize",TG11,SJ11="VLOC",SZ11))*('Ship Fuel Prices'!$D$5:$D$1004&lt;=Main!$C11))))</f>
        <v>#N/A</v>
      </c>
      <c r="UW11" s="25" t="e">
        <f t="array" aca="1" ref="UW11" ca="1">INDEX('Ship Fuel Prices'!$H$5:$H$1004,MATCH(2,1/(('Ship Fuel Prices'!$E$5:$E$1004=_xlfn.IFS(SJ11="Handysize",Main!UP11,SJ11="Supramax",UI11,SJ11="Panamax",UB11,SJ11="NeoPanamax",TU11,SJ11="Suezmax",TN11,SJ11="Capesize",TG11,SJ11="VLOC",SZ11))*('Ship Fuel Prices'!$D$5:$D$1004&lt;=Main!$C11))))</f>
        <v>#N/A</v>
      </c>
      <c r="UX11" s="25" t="e">
        <f t="array" aca="1" ref="UX11" ca="1">INDEX('Ship Fuel Prices'!$I$5:$I$1004,MATCH(2,1/(('Ship Fuel Prices'!$E$5:$E$1004=_xlfn.IFS(SJ11="Handysize",Main!UP11,SJ11="Supramax",UI11,SJ11="Panamax",UB11,SJ11="NeoPanamax",TU11,SJ11="Suezmax",TN11,SJ11="Capesize",TG11,SJ11="VLOC",SZ11))*('Ship Fuel Prices'!$D$5:$D$1004&lt;=Main!$C11))))</f>
        <v>#N/A</v>
      </c>
      <c r="UY11" s="25" t="e">
        <f t="array" aca="1" ref="UY11" ca="1">INDEX('Ship Fuel Prices'!$J$5:$J$1004,MATCH(2,1/(('Ship Fuel Prices'!$E$5:$E$1004=_xlfn.IFS(SJ11="Handysize",Main!UP11,SJ11="Supramax",UI11,SJ11="Panamax",UB11,SJ11="NeoPanamax",TU11,SJ11="Suezmax",TN11,SJ11="Capesize",TG11,SJ11="VLOC",SZ11))*('Ship Fuel Prices'!$D$5:$D$1004&lt;=Main!$C11))))</f>
        <v>#N/A</v>
      </c>
      <c r="VA11" s="75">
        <f t="array" ref="VA11">INDEX('China n Importing Ports'!$E$20:$E$41,MATCH(2,1/(('China n Importing Ports'!$D$20:$D$41&lt;=$C11)*('China n Importing Ports'!$C$20:$C$41=IF($AO11="No",$AQ11,$AS11)))))</f>
        <v>0</v>
      </c>
      <c r="VB11" s="75">
        <f t="array" ref="VB11">INDEX('China n Importing Ports'!$F$20:$F$41,MATCH(2,1/(('China n Importing Ports'!$D$20:$D$41&lt;=$C11)*('China n Importing Ports'!$C$20:$C$41=IF($AO11="No",$AQ11,$AS11)))))</f>
        <v>0</v>
      </c>
      <c r="VC11" s="75">
        <f t="array" ref="VC11">INDEX('China n Importing Ports'!$G$20:$G$41,MATCH(2,1/(('China n Importing Ports'!$D$20:$D$41&lt;=$C11)*('China n Importing Ports'!$C$20:$C$41=IF($AO11="No",$AQ11,$AS11)))))</f>
        <v>0</v>
      </c>
      <c r="VD11" s="75">
        <f t="array" ref="VD11">INDEX('China n Importing Ports'!$H$20:$H$41,MATCH(2,1/(('China n Importing Ports'!$D$20:$D$41&lt;=$C11)*('China n Importing Ports'!$C$20:$C$41=IF($AO11="No",$AQ11,$AS11)))))</f>
        <v>0</v>
      </c>
      <c r="VE11" s="75">
        <f t="array" ref="VE11">INDEX('China n Importing Ports'!$I$20:$I$41,MATCH(2,1/(('China n Importing Ports'!$D$20:$D$41&lt;=$C11)*('China n Importing Ports'!$C$20:$C$41=IF($AO11="No",$AQ11,$AS11)))))</f>
        <v>0</v>
      </c>
      <c r="VF11" s="75">
        <f t="array" ref="VF11">INDEX('China n Importing Ports'!$J$20:$J$41,MATCH(2,1/(('China n Importing Ports'!$D$20:$D$41&lt;=$C11)*('China n Importing Ports'!$C$20:$C$41=IF($AO11="No",$AQ11,$AS11)))))</f>
        <v>0</v>
      </c>
      <c r="VG11" s="75">
        <f t="array" ref="VG11">INDEX('China n Importing Ports'!$K$20:$K$41,MATCH(2,1/(('China n Importing Ports'!$D$20:$D$41&lt;=$C11)*('China n Importing Ports'!$C$20:$C$41=IF($AO11="No",$AQ11,$AS11)))))</f>
        <v>0</v>
      </c>
      <c r="VH11" s="75">
        <f t="array" ref="VH11">INDEX('China n Importing Ports'!$L$20:$L$41,MATCH(2,1/(('China n Importing Ports'!$D$20:$D$41&lt;=$C11)*('China n Importing Ports'!$C$20:$C$41=IF($AO11="No",$AQ11,$AS11)))))</f>
        <v>0</v>
      </c>
      <c r="VI11" s="75">
        <f t="array" ref="VI11">INDEX('China n Importing Ports'!$M$20:$M$41,MATCH(2,1/(('China n Importing Ports'!$D$20:$D$41&lt;=$C11)*('China n Importing Ports'!$C$20:$C$41=IF($AO11="No",$AQ11,$AS11)))))</f>
        <v>0</v>
      </c>
      <c r="VJ11" s="75">
        <f t="array" ref="VJ11">INDEX('China n Importing Ports'!$N$20:$N$41,MATCH(2,1/(('China n Importing Ports'!$D$20:$D$41&lt;=$C11)*('China n Importing Ports'!$C$20:$C$41=IF($AO11="No",$AQ11,$AS11)))))</f>
        <v>0</v>
      </c>
      <c r="VK11" s="75">
        <f t="array" ref="VK11">INDEX('China n Importing Ports'!$O$20:$O$41,MATCH(2,1/(('China n Importing Ports'!$D$20:$D$41&lt;=$C11)*('China n Importing Ports'!$C$20:$C$41=IF($AO11="No",$AQ11,$AS11)))))</f>
        <v>0</v>
      </c>
      <c r="VL11" s="136">
        <f t="array" ref="VL11">INDEX('China n Importing Ports'!$P$20:$P$41,MATCH(2,1/(('China n Importing Ports'!$D$20:$D$41&lt;=$C11)*('China n Importing Ports'!$C$20:$C$41=IF($AO11="No",$AQ11,$AS11)))))</f>
        <v>0</v>
      </c>
      <c r="VM11" s="136">
        <f t="array" ref="VM11">INDEX('China n Importing Ports'!$Q$20:$Q$41,MATCH(2,1/(('China n Importing Ports'!$D$20:$D$41&lt;=$C11)*('China n Importing Ports'!$C$20:$C$41=IF($AO11="No",$AQ11,$AS11)))))</f>
        <v>0</v>
      </c>
      <c r="VN11" s="136">
        <f t="array" ref="VN11">INDEX('China n Importing Ports'!$R$20:$R$41,MATCH(2,1/(('China n Importing Ports'!$D$20:$D$41&lt;=$C11)*('China n Importing Ports'!$C$20:$C$41=IF($AO11="No",$AQ11,$AS11)))))</f>
        <v>0</v>
      </c>
      <c r="VO11" s="136">
        <f t="array" ref="VO11">INDEX('China n Importing Ports'!$S$20:$S$41,MATCH(2,1/(('China n Importing Ports'!$D$20:$D$41&lt;=$C11)*('China n Importing Ports'!$C$20:$C$41=IF($AO11="No",$AQ11,$AS11)))))</f>
        <v>0</v>
      </c>
      <c r="VP11" s="136">
        <f t="array" ref="VP11">INDEX('China n Importing Ports'!$T$20:$T$41,MATCH(2,1/(('China n Importing Ports'!$D$20:$D$41&lt;=$C11)*('China n Importing Ports'!$C$20:$C$41=IF($AO11="No",$AQ11,$AS11)))))</f>
        <v>0</v>
      </c>
      <c r="VQ11" s="136">
        <f t="array" ref="VQ11">INDEX('China n Importing Ports'!$U$20:$U$41,MATCH(2,1/(('China n Importing Ports'!$D$20:$D$41&lt;=$C11)*('China n Importing Ports'!$C$20:$C$41=IF($AO11="No",$AQ11,$AS11)))))</f>
        <v>0</v>
      </c>
      <c r="VR11" s="136">
        <f t="array" ref="VR11">INDEX('China n Importing Ports'!$V$20:$V$41,MATCH(2,1/(('China n Importing Ports'!$D$20:$D$41&lt;=$C11)*('China n Importing Ports'!$C$20:$C$41=IF($AO11="No",$AQ11,$AS11)))))</f>
        <v>0</v>
      </c>
      <c r="VS11" s="136">
        <f t="array" ref="VS11">INDEX('China n Importing Ports'!$W$20:$W$41,MATCH(2,1/(('China n Importing Ports'!$D$20:$D$41&lt;=$C11)*('China n Importing Ports'!$C$20:$C$41=IF($AO11="No",$AQ11,$AS11)))))</f>
        <v>0</v>
      </c>
      <c r="VT11" s="136">
        <f t="array" ref="VT11">INDEX('China n Importing Ports'!$X$20:$X$41,MATCH(2,1/(('China n Importing Ports'!$D$20:$D$41&lt;=$C11)*('China n Importing Ports'!$C$20:$C$41=IF($AO11="No",$AQ11,$AS11)))))</f>
        <v>0</v>
      </c>
      <c r="VU11" s="136">
        <f t="array" ref="VU11">INDEX('China n Importing Ports'!$Y$20:$Y$41,MATCH(2,1/(('China n Importing Ports'!$D$20:$D$41&lt;=$C11)*('China n Importing Ports'!$C$20:$C$41=IF($AO11="No",$AQ11,$AS11)))))</f>
        <v>0</v>
      </c>
      <c r="VV11" s="136">
        <f t="array" ref="VV11">INDEX('China n Importing Ports'!$Z$20:$Z$41,MATCH(2,1/(('China n Importing Ports'!$D$20:$D$41&lt;=$C11)*('China n Importing Ports'!$C$20:$C$41=IF($AO11="No",$AQ11,$AS11)))))</f>
        <v>0</v>
      </c>
      <c r="VW11" s="136">
        <f t="array" ref="VW11">INDEX('China n Importing Ports'!$AA$20:$AA$41,MATCH(2,1/(('China n Importing Ports'!$D$20:$D$41&lt;=$C11)*('China n Importing Ports'!$C$20:$C$41=IF($AO11="No",$AQ11,$AS11)))))</f>
        <v>0</v>
      </c>
      <c r="VY11" s="75" t="e">
        <f t="array" aca="1" ref="VY11" ca="1">INDEX(Canals!$G$24:$G$29,MATCH(2,1/((Canals!$F$24:$F$29&lt;=$C11)*(Canals!$G$24:$G$29=_xlfn.IFS(SJ11="Handysize",US11,SJ11="Supramax",UL11,SJ11="Panamax",UE11,SJ11="NeoPanamax",TX11,SJ11="Suezmax",TQ11,SJ11="Capesize",TJ11,SJ11="VLOC",TC11)))))</f>
        <v>#N/A</v>
      </c>
      <c r="VZ11" s="75" t="e">
        <f t="array" aca="1" ref="VZ11" ca="1">INDEX(Canals!$H$24:$H$29,MATCH(2,1/((Canals!$F$24:$F$29&lt;=$C11)*(Canals!$G$24:$G$29=_xlfn.IFS(SJ11="Handysize",US11,SJ11="Supramax",UL11,SJ11="Panamax",UE11,SJ11="NeoPanamax",TX11,SJ11="Suezmax",TQ11,SJ11="Capesize",TJ11,SJ11="VLOC",TC11)))))</f>
        <v>#N/A</v>
      </c>
      <c r="WA11" s="75" t="e">
        <f t="array" aca="1" ref="WA11" ca="1">INDEX(Canals!$I$24:$I$29,MATCH(2,1/((Canals!$F$24:$F$29&lt;=$C11)*(Canals!$G$24:$G$29=_xlfn.IFS(SJ11="Handysize",US11,SJ11="Supramax",UL11,SJ11="Panamax",UE11,SJ11="NeoPanamax",TX11,SJ11="Suezmax",TQ11,SJ11="Capesize",TJ11,SJ11="VLOC",TC11)))))</f>
        <v>#N/A</v>
      </c>
      <c r="WB11" s="75" t="e">
        <f t="array" aca="1" ref="WB11" ca="1">INDEX(Canals!$J$24:$J$29,MATCH(2,1/((Canals!$F$24:$F$29&lt;=$C11)*(Canals!$G$24:$G$29=_xlfn.IFS(SJ11="Handysize",Main!US11,SJ11="Supramax",UL11,SJ11="Panamax",UE11,SJ11="NeoPanamax",TX11,SJ11="Suezmax",TQ11,SJ11="Capesize",TJ11,SJ11="VLOC",TC11)))))</f>
        <v>#N/A</v>
      </c>
      <c r="WC11" s="75" t="e">
        <f t="array" aca="1" ref="WC11" ca="1">INDEX(Canals!$K$24:$K$29,MATCH(2,1/((Canals!$F$24:$F$29&lt;=$C11)*(Canals!$G$24:$G$29=_xlfn.IFS(SJ11="Handysize",Main!US11,SJ11="Supramax",UL11,SJ11="Panamax",UE11,SJ11="NeoPanamax",TX11,SJ11="Suezmax",TQ11,SJ11="Capesize",TJ11,SJ11="VLOC",TC11)))))</f>
        <v>#N/A</v>
      </c>
      <c r="WD11" s="75" t="e">
        <f t="array" aca="1" ref="WD11" ca="1">INDEX(Canals!$L$24:$L$29,MATCH(2,1/((Canals!$F$24:$F$29&lt;=$C11)*(Canals!$G$24:$G$29=_xlfn.IFS(SJ11="Handysize",Main!US11,SJ11="Supramax",UL11,SJ11="Panamax",UE11,SJ11="NeoPanamax",TX11,SJ11="Suezmax",TQ11,SJ11="Capesize",TJ11,SJ11="VLOC",TC11)))))</f>
        <v>#N/A</v>
      </c>
      <c r="WE11" s="75" t="e">
        <f t="array" aca="1" ref="WE11" ca="1">INDEX(Canals!$M$24:$M$29,MATCH(2,1/((Canals!$F$24:$F$29&lt;=$C11)*(Canals!$G$24:$G$29=_xlfn.IFS(SJ11="Handysize",Main!US11,SJ11="Supramax",UL11,SJ11="Panamax",UE11,SJ11="NeoPanamax",TX11,SJ11="Suezmax",TQ11,SJ11="Capesize",TJ11,SJ11="VLOC",TC11)))))</f>
        <v>#N/A</v>
      </c>
      <c r="WF11" s="75" t="e">
        <f t="array" aca="1" ref="WF11" ca="1">INDEX(Canals!$N$24:$N$29,MATCH(2,1/((Canals!$F$24:$F$29&lt;=$C11)*(Canals!$G$24:$G$29=_xlfn.IFS(SJ11="Handysize",Main!US11,SJ11="Supramax",UL11,SJ11="Panamax",UE11,SJ11="NeoPanamax",TX11,SJ11="Suezmax",TQ11,SJ11="Capesize",TJ11,SJ11="VLOC",TC11)))))</f>
        <v>#N/A</v>
      </c>
      <c r="WG11" s="75" t="e">
        <f t="array" aca="1" ref="WG11" ca="1">INDEX(Canals!$O$24:$O$29,MATCH(2,1/((Canals!$F$24:$F$29&lt;=$C11)*(Canals!$G$24:$G$29=_xlfn.IFS(SJ11="Handysize",Main!US11,SJ11="Supramax",UL11,SJ11="Panamax",UE11,SJ11="NeoPanamax",TX11,SJ11="Suezmax",TQ11,SJ11="Capesize",TJ11,SJ11="VLOC",TC11)))))</f>
        <v>#N/A</v>
      </c>
      <c r="WH11" s="75" t="e">
        <f t="array" aca="1" ref="WH11" ca="1">INDEX(Canals!$P$24:$P$29,MATCH(2,1/((Canals!$F$24:$F$29&lt;=$C11)*(Canals!$G$24:$G$29=_xlfn.IFS(SJ11="Handysize",Main!US11,SJ11="Supramax",UL11,SJ11="Panamax",UE11,SJ11="NeoPanamax",TX11,SJ11="Suezmax",TQ11,SJ11="Capesize",TJ11,SJ11="VLOC",TC11)))))</f>
        <v>#N/A</v>
      </c>
      <c r="WI11" s="75" t="e">
        <f t="array" aca="1" ref="WI11" ca="1">INDEX(Canals!$Q$24:$Q$29,MATCH(2,1/((Canals!$F$24:$F$29&lt;=$C11)*(Canals!$G$24:$G$29=_xlfn.IFS(SJ11="Handysize",Main!US11,SJ11="Supramax",UL11,SJ11="Panamax",UE11,SJ11="NeoPanamax",TX11,SJ11="Suezmax",TQ11,SJ11="Capesize",TJ11,SJ11="VLOC",TC11)))))</f>
        <v>#N/A</v>
      </c>
      <c r="WJ11" s="75" t="e">
        <f t="array" aca="1" ref="WJ11" ca="1">INDEX(Canals!$R$24:$R$29,MATCH(2,1/((Canals!$F$24:$F$29&lt;=$C11)*(Canals!$G$24:$G$29=_xlfn.IFS(SJ11="Handysize",Main!US11,SJ11="Supramax",UL11,SJ11="Panamax",UE11,SJ11="NeoPanamax",TX11,SJ11="Suezmax",TQ11,SJ11="Capesize",TJ11,SJ11="VLOC",TC11)))))</f>
        <v>#N/A</v>
      </c>
      <c r="WK11" s="136" t="e">
        <f t="array" aca="1" ref="WK11" ca="1">INDEX(Canals!$S$24:$S$29,MATCH(2,1/((Canals!$F$24:$F$29&lt;=$C11)*(Canals!$G$24:$G$29=_xlfn.IFS(SJ11="Handysize",Main!US11,SJ11="Supramax",UL11,SJ11="Panamax",UE11,SJ11="NeoPanamax",TX11,SJ11="Suezmax",TQ11,SJ11="Capesize",TJ11,SJ11="VLOC",TC11)))))</f>
        <v>#N/A</v>
      </c>
      <c r="WL11" s="136" t="e">
        <f t="array" aca="1" ref="WL11" ca="1">INDEX(Canals!$T$24:$T$29,MATCH(2,1/((Canals!$F$24:$F$29&lt;=$C11)*(Canals!$G$24:$G$29=_xlfn.IFS(SJ11="Handysize",Main!US11,SJ11="Supramax",UL11,SJ11="Panamax",UE11,SJ11="NeoPanamax",TX11,SJ11="Suezmax",TQ11,SJ11="Capesize",TJ11,SJ11="VLOC",TC11)))))</f>
        <v>#N/A</v>
      </c>
      <c r="WM11" s="136" t="e">
        <f t="array" aca="1" ref="WM11" ca="1">INDEX(Canals!$U$24:$U$29,MATCH(2,1/((Canals!$F$24:$F$29&lt;=$C11)*(Canals!$G$24:$G$29=_xlfn.IFS(SJ11="Handysize",Main!US11,SJ11="Supramax",UL11,SJ11="Panamax",UE11,SJ11="NeoPanamax",TX11,SJ11="Suezmax",TQ11,SJ11="Capesize",TJ11,SJ11="VLOC",TC11)))))</f>
        <v>#N/A</v>
      </c>
      <c r="WN11" s="136" t="e">
        <f t="array" aca="1" ref="WN11" ca="1">INDEX(Canals!$V$24:$V$29,MATCH(2,1/((Canals!$F$24:$F$29&lt;=$C11)*(Canals!$G$24:$G$29=_xlfn.IFS(SJ11="Handysize",Main!US11,SJ11="Supramax",UL11,SJ11="Panamax",UE11,SJ11="NeoPanamax",TX11,SJ11="Suezmax",TQ11,SJ11="Capesize",TJ11,SJ11="VLOC",TC11)))))</f>
        <v>#N/A</v>
      </c>
      <c r="WO11" s="136" t="e">
        <f t="array" aca="1" ref="WO11" ca="1">INDEX(Canals!$W$24:$W$29,MATCH(2,1/((Canals!$F$24:$F$29&lt;=$C11)*(Canals!$G$24:$G$29=_xlfn.IFS(SJ11="Handysize",Main!US11,SJ11="Supramax",UL11,SJ11="Panamax",UE11,SJ11="NeoPanamax",TX11,SJ11="Suezmax",TQ11,SJ11="Capesize",TJ11,SJ11="VLOC",TC11)))))</f>
        <v>#N/A</v>
      </c>
      <c r="WP11" s="136" t="e">
        <f t="array" aca="1" ref="WP11" ca="1">INDEX(Canals!$X$24:$X$29,MATCH(2,1/((Canals!$F$24:$F$29&lt;=$C11)*(Canals!$G$24:$G$29=_xlfn.IFS(SJ11="Handysize",Main!US11,SJ11="Supramax",UL11,SJ11="Panamax",UE11,SJ11="NeoPanamax",TX11,SJ11="Suezmax",TQ11,SJ11="Capesize",TJ11,SJ11="VLOC",TC11)))))</f>
        <v>#N/A</v>
      </c>
      <c r="WQ11" s="136" t="e">
        <f t="array" aca="1" ref="WQ11" ca="1">INDEX(Canals!$Y$24:$Y$29,MATCH(2,1/((Canals!$F$24:$F$29&lt;=$C11)*(Canals!$G$24:$G$29=_xlfn.IFS(SJ11="Handysize",Main!US11,SJ11="Supramax",UL11,SJ11="Panamax",UE11,SJ11="NeoPanamax",TX11,SJ11="Suezmax",TQ11,SJ11="Capesize",TJ11,SJ11="VLOC",TC11)))))</f>
        <v>#N/A</v>
      </c>
      <c r="WR11" s="136" t="e">
        <f t="array" aca="1" ref="WR11" ca="1">INDEX(Canals!$Z$24:$Z$29,MATCH(2,1/((Canals!$F$24:$F$29&lt;=$C11)*(Canals!$G$24:$G$29=_xlfn.IFS(SJ11="Handysize",Main!US11,SJ11="Supramax",UL11,SJ11="Panamax",UE11,SJ11="NeoPanamax",TX11,SJ11="Suezmax",TQ11,SJ11="Capesize",TJ11,SJ11="VLOC",TC11)))))</f>
        <v>#N/A</v>
      </c>
      <c r="WS11" s="136" t="e">
        <f t="array" aca="1" ref="WS11" ca="1">INDEX(Canals!$AA$24:$AA$29,MATCH(2,1/((Canals!$F$24:$F$29&lt;=$C11)*(Canals!$G$24:$G$29=_xlfn.IFS(SJ11="Handysize",Main!US11,SJ11="Supramax",UL11,SJ11="Panamax",UE11,SJ11="NeoPanamax",TX11,SJ11="Suezmax",TQ11,SJ11="Capesize",TJ11,SJ11="VLOC",TC11)))))</f>
        <v>#N/A</v>
      </c>
      <c r="WT11" s="136" t="e">
        <f t="array" aca="1" ref="WT11" ca="1">INDEX(Canals!$AB$24:$AB$29,MATCH(2,1/((Canals!$F$24:$F$29&lt;=$C11)*(Canals!$G$24:$G$29=_xlfn.IFS(SJ11="Handysize",Main!US11,SJ11="Supramax",UL11,SJ11="Panamax",UE11,SJ11="NeoPanamax",TX11,SJ11="Suezmax",TQ11,SJ11="Capesize",TJ11,SJ11="VLOC",TC11)))))</f>
        <v>#N/A</v>
      </c>
      <c r="WU11" s="75" t="e">
        <f t="array" aca="1" ref="WU11" ca="1">INDEX(Canals!$AC$24:$AC$29,MATCH(2,1/((Canals!$F$24:$F$29&lt;=$C11)*(Canals!$G$24:$G$29=_xlfn.IFS(SJ11="Handysize",Main!US11,SJ11="Supramax",UL11,SJ11="Panamax",UE11,SJ11="NeoPanamax",TX11,SJ11="Suezmax",TQ11,SJ11="Capesize",TJ11,SJ11="VLOC",TC11)))))</f>
        <v>#N/A</v>
      </c>
      <c r="WV11" s="75" t="e">
        <f t="array" aca="1" ref="WV11" ca="1">INDEX(Canals!$AD$24:$AD$29,MATCH(2,1/((Canals!$F$24:$F$29&lt;=$C11)*(Canals!$G$24:$G$29=_xlfn.IFS(SJ11="Handysize",Main!US11,SJ11="Supramax",UL11,SJ11="Panamax",UE11,SJ11="NeoPanamax",TX11,SJ11="Suezmax",TQ11,SJ11="Capesize",TJ11,SJ11="VLOC",TC11)))))</f>
        <v>#N/A</v>
      </c>
      <c r="WW11" s="75" t="e">
        <f t="array" aca="1" ref="WW11" ca="1">INDEX(Canals!$AE$24:$AE$29,MATCH(2,1/((Canals!$F$24:$F$29&lt;=$C11)*(Canals!$G$24:$G$29=_xlfn.IFS(SJ11="Handysize",Main!US11,SJ11="Supramax",UL11,SJ11="Panamax",UE11,SJ11="NeoPanamax",TX11,SJ11="Suezmax",TQ11,SJ11="Capesize",TJ11,SJ11="VLOC",TC11)))))</f>
        <v>#N/A</v>
      </c>
      <c r="WX11" s="75" t="e">
        <f t="array" aca="1" ref="WX11" ca="1">INDEX(Canals!$AF$24:$AF$29,MATCH(2,1/((Canals!$F$24:$F$29&lt;=$C11)*(Canals!$G$24:$G$29=_xlfn.IFS(SJ11="Handysize",Main!US11,SJ11="Supramax",UL11,SJ11="Panamax",UE11,SJ11="NeoPanamax",TX11,SJ11="Suezmax",TQ11,SJ11="Capesize",TJ11,SJ11="VLOC",TC11)))))</f>
        <v>#N/A</v>
      </c>
      <c r="WY11" s="75" t="e">
        <f t="array" aca="1" ref="WY11" ca="1">INDEX(Canals!$AG$24:$AG$29,MATCH(2,1/((Canals!$F$24:$F$29&lt;=$C11)*(Canals!$G$24:$G$29=_xlfn.IFS(SJ11="Handysize",Main!US11,SJ11="Supramax",UL11,SJ11="Panamax",UE11,SJ11="NeoPanamax",TX11,SJ11="Suezmax",TQ11,SJ11="Capesize",TJ11,SJ11="VLOC",TC11)))))</f>
        <v>#N/A</v>
      </c>
      <c r="WZ11" s="75" t="e">
        <f t="array" aca="1" ref="WZ11" ca="1">INDEX(Canals!$AH$24:$AH$29,MATCH(2,1/((Canals!$F$24:$F$29&lt;=$C11)*(Canals!$G$24:$G$29=_xlfn.IFS(SJ11="Handysize",Main!US11,SJ11="Supramax",UL11,SJ11="Panamax",UE11,SJ11="NeoPanamax",TX11,SJ11="Suezmax",TQ11,SJ11="Capesize",TJ11,SJ11="VLOC",TC11)))))</f>
        <v>#N/A</v>
      </c>
      <c r="XA11" s="75" t="e">
        <f t="array" aca="1" ref="XA11" ca="1">INDEX(Canals!$AI$24:$AI$29,MATCH(2,1/((Canals!$F$24:$F$29&lt;=$C11)*(Canals!$G$24:$G$29=_xlfn.IFS(SJ11="Handysize",Main!US11,SJ11="Supramax",UL11,SJ11="Panamax",UE11,SJ11="NeoPanamax",TX11,SJ11="Suezmax",TQ11,SJ11="Capesize",TJ11,SJ11="VLOC",TC11)))))</f>
        <v>#N/A</v>
      </c>
      <c r="XB11" s="75" t="e">
        <f t="array" aca="1" ref="XB11" ca="1">INDEX(Canals!$AJ$24:$AJ$29,MATCH(2,1/((Canals!$F$24:$F$29&lt;=$C11)*(Canals!$G$24:$G$29=_xlfn.IFS(SJ11="Handysize",Main!US11,SJ11="Supramax",UL11,SJ11="Panamax",UE11,SJ11="NeoPanamax",TX11,SJ11="Suezmax",TQ11,SJ11="Capesize",TJ11,SJ11="VLOC",TC11)))))</f>
        <v>#N/A</v>
      </c>
      <c r="XC11" s="75" t="e">
        <f t="array" aca="1" ref="XC11" ca="1">INDEX(Canals!$AK$24:$AK$29,MATCH(2,1/((Canals!$F$24:$F$29&lt;=$C11)*(Canals!$G$24:$G$29=_xlfn.IFS(SJ11="Handysize",Main!US11,SJ11="Supramax",UL11,SJ11="Panamax",UE11,SJ11="NeoPanamax",TX11,SJ11="Suezmax",TQ11,SJ11="Capesize",TJ11,SJ11="VLOC",TC11)))))</f>
        <v>#N/A</v>
      </c>
      <c r="XD11" s="136" t="e">
        <f t="array" aca="1" ref="XD11" ca="1">INDEX(Canals!$AL$24:$AL$29,MATCH(2,1/((Canals!$F$24:$F$29&lt;=$C11)*(Canals!$G$24:$G$29=_xlfn.IFS(SJ11="Handysize",Main!US11,SJ11="Supramax",UL11,SJ11="Panamax",UE11,SJ11="NeoPanamax",TX11,SJ11="Suezmax",TQ11,SJ11="Capesize",TJ11,SJ11="VLOC",TC11)))))</f>
        <v>#N/A</v>
      </c>
      <c r="XE11" s="136" t="e">
        <f t="array" aca="1" ref="XE11" ca="1">INDEX(Canals!$AM$24:$AM$29,MATCH(2,1/((Canals!$F$24:$F$29&lt;=$C11)*(Canals!$G$24:$G$29=_xlfn.IFS(SJ11="Handysize",Main!US11,SJ11="Supramax",UL11,SJ11="Panamax",UE11,SJ11="NeoPanamax",TX11,SJ11="Suezmax",TQ11,SJ11="Capesize",TJ11,SJ11="VLOC",TC11)))))</f>
        <v>#N/A</v>
      </c>
      <c r="XF11" s="136" t="e">
        <f t="array" aca="1" ref="XF11" ca="1">INDEX(Canals!$AN$24:$AN$29,MATCH(2,1/((Canals!$F$24:$F$29&lt;=$C11)*(Canals!$G$24:$G$29=_xlfn.IFS(SJ11="Handysize",Main!US11,SJ11="Supramax",UL11,SJ11="Panamax",UE11,SJ11="NeoPanamax",TX11,SJ11="Suezmax",TQ11,SJ11="Capesize",TJ11,SJ11="VLOC",TC11)))))</f>
        <v>#N/A</v>
      </c>
      <c r="XG11" s="136" t="e">
        <f t="array" aca="1" ref="XG11" ca="1">INDEX(Canals!$AO$24:$AO$29,MATCH(2,1/((Canals!$F$24:$F$29&lt;=$C11)*(Canals!$G$24:$G$29=_xlfn.IFS(SJ11="Handysize",Main!US11,SJ11="Supramax",UL11,SJ11="Panamax",UE11,SJ11="NeoPanamax",TX11,SJ11="Suezmax",TQ11,SJ11="Capesize",TJ11,SJ11="VLOC",TC11)))))</f>
        <v>#N/A</v>
      </c>
      <c r="XH11" s="136" t="e">
        <f t="array" aca="1" ref="XH11" ca="1">INDEX(Canals!$AP$24:$AP$29,MATCH(2,1/((Canals!$F$24:$F$29&lt;=$C11)*(Canals!$G$24:$G$29=_xlfn.IFS(SJ11="Handysize",Main!US11,SJ11="Supramax",UL11,SJ11="Panamax",UE11,SJ11="NeoPanamax",TX11,SJ11="Suezmax",TQ11,SJ11="Capesize",TJ11,SJ11="VLOC",TC11)))))</f>
        <v>#N/A</v>
      </c>
      <c r="XI11" s="136" t="e">
        <f t="array" aca="1" ref="XI11" ca="1">INDEX(Canals!$AQ$24:$AQ$29,MATCH(2,1/((Canals!$F$24:$F$29&lt;=$C11)*(Canals!$G$24:$G$29=_xlfn.IFS(SJ11="Handysize",Main!US11,SJ11="Supramax",UL11,SJ11="Panamax",UE11,SJ11="NeoPanamax",TX11,SJ11="Suezmax",TQ11,SJ11="Capesize",TJ11,SJ11="VLOC",TC11)))))</f>
        <v>#N/A</v>
      </c>
      <c r="XJ11" s="136" t="e">
        <f t="array" aca="1" ref="XJ11" ca="1">INDEX(Canals!$AR$24:$AR$29,MATCH(2,1/((Canals!$F$24:$F$29&lt;=$C11)*(Canals!$G$24:$G$29=_xlfn.IFS(SJ11="Handysize",Main!US11,SJ11="Supramax",UL11,SJ11="Panamax",UE11,SJ11="NeoPanamax",TX11,SJ11="Suezmax",TQ11,SJ11="Capesize",TJ11,SJ11="VLOC",TC11)))))</f>
        <v>#N/A</v>
      </c>
      <c r="XK11" s="136" t="e">
        <f t="array" aca="1" ref="XK11" ca="1">INDEX(Canals!$AS$24:$AS$29,MATCH(2,1/((Canals!$F$24:$F$29&lt;=$C11)*(Canals!$G$24:$G$29=_xlfn.IFS(SJ11="Handysize",Main!US11,SJ11="Supramax",UL11,SJ11="Panamax",UE11,SJ11="NeoPanamax",TX11,SJ11="Suezmax",TQ11,SJ11="Capesize",TJ11,SJ11="VLOC",TC11)))))</f>
        <v>#N/A</v>
      </c>
      <c r="XL11" s="136" t="e">
        <f t="array" aca="1" ref="XL11" ca="1">INDEX(Canals!$AT$24:$AT$29,MATCH(2,1/((Canals!$F$24:$F$29&lt;=$C11)*(Canals!$G$24:$G$29=_xlfn.IFS(SJ11="Handysize",Main!US11,SJ11="Supramax",UL11,SJ11="Panamax",UE11,SJ11="NeoPanamax",TX11,SJ11="Suezmax",TQ11,SJ11="Capesize",TJ11,SJ11="VLOC",TC11)))))</f>
        <v>#N/A</v>
      </c>
      <c r="XM11" s="136" t="e">
        <f t="array" aca="1" ref="XM11" ca="1">INDEX(Canals!$AU$24:$AU$29,MATCH(2,1/((Canals!$F$24:$F$29&lt;=$C11)*(Canals!$G$24:$G$29=_xlfn.IFS(SJ11="Handysize",Main!US11,SJ11="Supramax",UL11,SJ11="Panamax",UE11,SJ11="NeoPanamax",TX11,SJ11="Suezmax",TQ11,SJ11="Capesize",TJ11,SJ11="VLOC",TC11)))))</f>
        <v>#N/A</v>
      </c>
      <c r="XN11" s="136" t="e">
        <f t="array" aca="1" ref="XN11" ca="1">INDEX(Canals!$AV$24:$AV$29,MATCH(2,1/((Canals!$F$24:$F$29&lt;=$C11)*(Canals!$G$24:$G$29=_xlfn.IFS(SJ11="Handysize",Main!US11,SJ11="Supramax",UL11,SJ11="Panamax",UE11,SJ11="NeoPanamax",TX11,SJ11="Suezmax",TQ11,SJ11="Capesize",TJ11,SJ11="VLOC",TC11)))))</f>
        <v>#N/A</v>
      </c>
      <c r="XP11" s="75" t="e">
        <f t="array" aca="1" ref="XP11" ca="1">_xlfn.IFS(WA11="DWT",SH11,WA11="NRT",SL11,WA11="GRT",SM11,WA11=0,0)</f>
        <v>#NAME?</v>
      </c>
      <c r="XQ11" s="279" t="e">
        <f t="shared" ca="1" si="125"/>
        <v>#NAME?</v>
      </c>
      <c r="XR11" s="280" t="e">
        <f t="shared" ca="1" si="126"/>
        <v>#NAME?</v>
      </c>
      <c r="XS11" s="280" t="e">
        <f t="shared" ca="1" si="127"/>
        <v>#NAME?</v>
      </c>
      <c r="XT11" s="280" t="e">
        <f t="shared" ca="1" si="128"/>
        <v>#NAME?</v>
      </c>
      <c r="XU11" s="280" t="e">
        <f t="shared" ca="1" si="129"/>
        <v>#NAME?</v>
      </c>
      <c r="XV11" s="280" t="e">
        <f t="shared" ca="1" si="130"/>
        <v>#NAME?</v>
      </c>
      <c r="XW11" s="280" t="e">
        <f t="shared" ca="1" si="131"/>
        <v>#NAME?</v>
      </c>
      <c r="XX11" s="280" t="e">
        <f t="shared" ca="1" si="132"/>
        <v>#NAME?</v>
      </c>
      <c r="XY11" s="280" t="e">
        <f t="shared" ca="1" si="133"/>
        <v>#NAME?</v>
      </c>
      <c r="XZ11" s="75">
        <f t="shared" si="134"/>
        <v>0</v>
      </c>
      <c r="YA11" s="279" t="e">
        <f t="shared" ca="1" si="135"/>
        <v>#N/A</v>
      </c>
      <c r="YB11" s="280" t="e">
        <f t="shared" ca="1" si="136"/>
        <v>#N/A</v>
      </c>
      <c r="YC11" s="280" t="e">
        <f t="shared" ca="1" si="137"/>
        <v>#N/A</v>
      </c>
      <c r="YD11" s="280" t="e">
        <f t="shared" ca="1" si="138"/>
        <v>#N/A</v>
      </c>
      <c r="YE11" s="280" t="e">
        <f t="shared" ca="1" si="139"/>
        <v>#N/A</v>
      </c>
      <c r="YF11" s="280" t="e">
        <f t="shared" ca="1" si="140"/>
        <v>#N/A</v>
      </c>
      <c r="YG11" s="280" t="e">
        <f t="shared" ca="1" si="141"/>
        <v>#N/A</v>
      </c>
      <c r="YH11" s="280" t="e">
        <f t="shared" ca="1" si="142"/>
        <v>#N/A</v>
      </c>
      <c r="YI11" s="280" t="e">
        <f t="shared" ca="1" si="143"/>
        <v>#N/A</v>
      </c>
      <c r="YK11" s="75" t="e">
        <f t="array" aca="1" ref="YK11" ca="1">_xlfn.IFS(SJ11="Handysize",Main!UM11,SJ11="Supramax",UF11,SJ11="Panamax",TY11,SJ11="NeoPanamax",TR11,SJ11="Suezmax",TK11,SJ11="Capesize",TD11,SJ11="VLOC",SW11)*$JI11</f>
        <v>#NAME?</v>
      </c>
      <c r="YL11" s="274" t="e">
        <f t="array" aca="1" ref="YL11" ca="1">_xlfn.IFS(SJ11="Handysize",Main!UN11,SJ11="Supramax",UG11,SJ11="Panamax",TZ11,SJ11="NeoPanamax",TS11,SJ11="Suezmax",TL11,SJ11="Capesize",TE11,SJ11="VLOC",SX11)*$JI11</f>
        <v>#NAME?</v>
      </c>
      <c r="YM11" s="71" t="e">
        <f t="array" aca="1" ref="YM11" ca="1">_xlfn.IFS(SJ11="Handysize",Main!SO11,SJ11="Supramax",SP11,SJ11="Panamax",SQ11,SJ11="NeoPanamax",SR11,SJ11="Suezmax",SS11,SJ11="Capesize",ST11,SJ11="VLOC",SU11)</f>
        <v>#NAME?</v>
      </c>
      <c r="YN11" s="71" t="e">
        <f t="array" aca="1" ref="YN11" ca="1">_xlfn.IFS(SJ11="Handysize",Main!VA11,SJ11="Supramax",VB11,SJ11="Panamax",VC11,SJ11="NeoPanamax",VD11,SJ11="Suezmax",VE11,SJ11="Capesize",VF11,SJ11="VLOC",VG11)</f>
        <v>#NAME?</v>
      </c>
      <c r="YO11" s="70">
        <f t="array" ref="YO11">INDEX('Ship Speeds'!$G$11:$G$1011,MATCH(2,1/(('Ship Speeds'!$E$11:$E$1011&lt;=Main!$C11)*('Ship Speeds'!$F$11:$F$1011=Main!SI11))))</f>
        <v>11</v>
      </c>
      <c r="YP11" s="403">
        <f t="shared" si="144"/>
        <v>0</v>
      </c>
      <c r="YQ11" s="401">
        <f t="shared" si="145"/>
        <v>1.2</v>
      </c>
      <c r="YR11" s="70" t="e">
        <f t="shared" ca="1" si="146"/>
        <v>#NAME?</v>
      </c>
      <c r="YS11" s="70" t="e">
        <f t="shared" ca="1" si="147"/>
        <v>#NAME?</v>
      </c>
      <c r="YT11" s="70" t="e">
        <f t="shared" ca="1" si="148"/>
        <v>#NAME?</v>
      </c>
      <c r="YU11" s="70" t="e">
        <f t="shared" ca="1" si="149"/>
        <v>#NAME?</v>
      </c>
      <c r="YV11" s="72" t="e">
        <f t="shared" ca="1" si="150"/>
        <v>#N/A</v>
      </c>
      <c r="YW11" s="70" t="e">
        <f t="shared" ca="1" si="151"/>
        <v>#NAME?</v>
      </c>
      <c r="YX11" s="70" t="e">
        <f t="array" aca="1" ref="YX11" ca="1">IF(YK11=0,0,INDEX(UU11:UY11,MATCH(_xlfn.IFS(SJ11="Handysize",Main!UQ11,SJ11="Supramax",UJ11,SJ11="Panamax",UC11,SJ11="NeoPanamax",TV11,SJ11="Suezmax",TO11,SJ11="Capesize",TH11,SJ11="VLOC",TA11),$UU$7:$UY$7,0)))</f>
        <v>#NAME?</v>
      </c>
      <c r="YY11" s="70" t="e">
        <f t="array" aca="1" ref="YY11" ca="1">IF(YK11=0,0,INDEX(UU11:UY11,MATCH(_xlfn.IFS(SJ11="Handysize",Main!UR11,SJ11="Supramax",UK11,SJ11="Panamax",UD11,SJ11="NeoPanamax",TW11,SJ11="Suezmax",TP11,SJ11="Capesize",TI11,SJ11="VLOC",TB11),$UU$7:$UY$7,0)))</f>
        <v>#NAME?</v>
      </c>
      <c r="YZ11" s="71" t="e">
        <f t="shared" ca="1" si="152"/>
        <v>#NAME?</v>
      </c>
      <c r="ZA11" s="71" t="e">
        <f t="shared" ca="1" si="153"/>
        <v>#NAME?</v>
      </c>
      <c r="ZB11" s="281" t="e">
        <f t="shared" ca="1" si="154"/>
        <v>#NAME?</v>
      </c>
      <c r="ZC11" s="71" t="e">
        <f t="shared" ca="1" si="155"/>
        <v>#NAME?</v>
      </c>
      <c r="ZD11" s="71" t="e">
        <f t="shared" ca="1" si="156"/>
        <v>#NAME?</v>
      </c>
      <c r="ZE11" s="71" t="e">
        <f t="shared" ca="1" si="157"/>
        <v>#NAME?</v>
      </c>
      <c r="ZF11" s="71" t="e">
        <f t="shared" ca="1" si="158"/>
        <v>#NAME?</v>
      </c>
      <c r="ZG11" s="71" t="e">
        <f t="shared" ca="1" si="159"/>
        <v>#NAME?</v>
      </c>
      <c r="ZH11" s="71" t="e">
        <f t="shared" ca="1" si="160"/>
        <v>#NAME?</v>
      </c>
      <c r="ZI11" s="71" t="e">
        <f t="shared" ca="1" si="161"/>
        <v>#NAME?</v>
      </c>
      <c r="ZJ11" s="71" t="e">
        <f t="shared" ca="1" si="162"/>
        <v>#NAME?</v>
      </c>
      <c r="ZK11" s="71" t="e">
        <f t="shared" ca="1" si="163"/>
        <v>#NAME?</v>
      </c>
      <c r="ZL11" s="71" t="e">
        <f t="shared" ca="1" si="164"/>
        <v>#NAME?</v>
      </c>
      <c r="ZM11" s="71" t="e">
        <f t="shared" ca="1" si="165"/>
        <v>#NAME?</v>
      </c>
      <c r="ZN11" s="71" t="e">
        <f t="shared" ca="1" si="166"/>
        <v>#NAME?</v>
      </c>
      <c r="ZO11" s="72" t="e">
        <f t="shared" ca="1" si="167"/>
        <v>#NAME?</v>
      </c>
      <c r="ZP11" s="72" t="e">
        <f t="shared" ca="1" si="168"/>
        <v>#NAME?</v>
      </c>
      <c r="ZQ11" s="71" t="e">
        <f t="shared" ca="1" si="169"/>
        <v>#NAME?</v>
      </c>
      <c r="ZR11" s="71" t="e">
        <f t="array" aca="1" ref="ZR11" ca="1">IF(YK11=0,0,INDEX('Ship Time Charter Rates'!$H$22:$H$1021,MATCH(2,1/(('Ship Time Charter Rates'!$G$22:$G$1021=_xlfn.IFS(SJ11="Handysize",Main!UO11,SJ11="Supramax",UH11,SJ11="Panamax",UA11,SJ11="NeoPanamax",TT11,SJ11="Suezmax",TM11,SJ11="Capesize",TF11,SJ11="VLOC",SY11))*('Ship Time Charter Rates'!$E$22:$E$1021&lt;=Main!$C11)*(NOT(ISBLANK('Ship Time Charter Rates'!$H$22:$H$1021)))))))</f>
        <v>#NAME?</v>
      </c>
      <c r="ZS11" s="71" t="e">
        <f t="shared" ca="1" si="170"/>
        <v>#NAME?</v>
      </c>
      <c r="ZT11" s="70" t="e">
        <f t="shared" ca="1" si="171"/>
        <v>#NAME?</v>
      </c>
      <c r="ZU11" s="71" t="e">
        <f t="shared" ca="1" si="172"/>
        <v>#NAME?</v>
      </c>
      <c r="ZV11" s="71" t="e">
        <f t="shared" ref="ZV11:ZV23" ca="1" si="304">ZU11*(1+$KL11)*(1+$KM11)</f>
        <v>#NAME?</v>
      </c>
      <c r="ZW11" s="72" t="e">
        <f t="shared" ref="ZW11:ZW26" ca="1" si="305">IF(ZV11=0,0,ZV11/(SH11*(1-$AL11)*$JN11))</f>
        <v>#NAME?</v>
      </c>
      <c r="ZY11" s="287" t="s">
        <v>39</v>
      </c>
      <c r="AAA11" s="25">
        <f>IF($AO11="no",$AN11,$AR11)/(1-$AL11)/$JN11</f>
        <v>57000</v>
      </c>
      <c r="AAB11" s="4" t="str">
        <f>VLOOKUP(AAA11,'Ship Time Charter Rates'!$F$10:$G$17,2,TRUE)</f>
        <v>Supramax</v>
      </c>
      <c r="AAC11" s="4" t="str">
        <f>VLOOKUP(AAA11,Canals!$E$5:$F$12,2,TRUE)</f>
        <v>Supramax</v>
      </c>
      <c r="AAD11" s="25">
        <f t="shared" si="173"/>
        <v>195.65099999999998</v>
      </c>
      <c r="AAE11" s="25">
        <f t="shared" si="174"/>
        <v>22993.8</v>
      </c>
      <c r="AAF11" s="25">
        <f t="shared" si="175"/>
        <v>34374.300000000003</v>
      </c>
      <c r="AAH11" s="75">
        <f t="array" ref="AAH11">INDEX('Indices Mines Exporting Ports'!$R$20:$R$51,MATCH(2,1/(('Indices Mines Exporting Ports'!$D$20:$D$51&lt;=Main!$C11)*('Indices Mines Exporting Ports'!$Q$20:$Q$51=$AP11))))</f>
        <v>15000</v>
      </c>
      <c r="AAI11" s="75">
        <f t="array" ref="AAI11">INDEX('Indices Mines Exporting Ports'!$S$20:$S$51,MATCH(2,1/(('Indices Mines Exporting Ports'!$D$20:$D$51&lt;=Main!$C11)*('Indices Mines Exporting Ports'!$Q$20:$Q$51=$AP11))))</f>
        <v>15000</v>
      </c>
      <c r="AAJ11" s="75">
        <f t="array" ref="AAJ11">INDEX('Indices Mines Exporting Ports'!$T$20:$T$51,MATCH(2,1/(('Indices Mines Exporting Ports'!$D$20:$D$51&lt;=Main!$C11)*('Indices Mines Exporting Ports'!$Q$20:$Q$51=$AP11))))</f>
        <v>15000</v>
      </c>
      <c r="AAK11" s="75">
        <f t="array" ref="AAK11">INDEX('Indices Mines Exporting Ports'!$U$20:$U$51,MATCH(2,1/(('Indices Mines Exporting Ports'!$D$20:$D$51&lt;=Main!$C11)*('Indices Mines Exporting Ports'!$Q$20:$Q$51=$AP11))))</f>
        <v>15000</v>
      </c>
      <c r="AAL11" s="75">
        <f t="array" ref="AAL11">INDEX('Indices Mines Exporting Ports'!$V$20:$V$51,MATCH(2,1/(('Indices Mines Exporting Ports'!$D$20:$D$51&lt;=Main!$C11)*('Indices Mines Exporting Ports'!$Q$20:$Q$51=$AP11))))</f>
        <v>15000</v>
      </c>
      <c r="AAM11" s="75">
        <f t="array" ref="AAM11">INDEX('Indices Mines Exporting Ports'!$W$20:$W$51,MATCH(2,1/(('Indices Mines Exporting Ports'!$D$20:$D$51&lt;=Main!$C11)*('Indices Mines Exporting Ports'!$Q$20:$Q$51=$AP11))))</f>
        <v>15000</v>
      </c>
      <c r="AAN11" s="75">
        <f t="array" ref="AAN11">INDEX('Indices Mines Exporting Ports'!$X$20:$X$51,MATCH(2,1/(('Indices Mines Exporting Ports'!$D$20:$D$51&lt;=Main!$C11)*('Indices Mines Exporting Ports'!$Q$20:$Q$51=$AP11))))</f>
        <v>15000</v>
      </c>
      <c r="AAP11" s="75">
        <f t="array" ref="AAP11">INDEX('Port Linkages'!$E$18:$E$157,MATCH(2,1/(('Port Linkages'!$C$18:$C$157=$AP11)*('Port Linkages'!$D$18:$D$157=IF($AO11="Yes",$AQ11,$KK11))*('Port Linkages'!$A$18:$A$157&lt;=$C11))))</f>
        <v>2326</v>
      </c>
      <c r="AAQ11" s="75">
        <f t="array" ref="AAQ11">INDEX('Port Linkages'!$F$18:$F$157,MATCH(2,1/(('Port Linkages'!$C$18:$C$157=$AP11)*('Port Linkages'!$D$18:$D$157=IF($AO11="Yes",$AQ11,$KK11))*('Port Linkages'!$A$18:$A$157&lt;=$C11))))</f>
        <v>0</v>
      </c>
      <c r="AAR11" s="75" t="str">
        <f t="array" ref="AAR11">INDEX('Port Linkages'!$G$18:$G$157,MATCH(2,1/(('Port Linkages'!$C$18:$C$157=$AP11)*('Port Linkages'!$D$18:$D$157=IF($AO11="Yes",$AQ11,$KK11))*('Port Linkages'!$A$18:$A$157&lt;=$C11))))</f>
        <v>VLOC_General</v>
      </c>
      <c r="AAS11" s="75" t="str">
        <f t="array" ref="AAS11">INDEX('Port Linkages'!$H$18:$H$157,MATCH(2,1/(('Port Linkages'!$C$18:$C$157=$AP11)*('Port Linkages'!$D$18:$D$157=IF($AO11="Yes",$AQ11,$KK11))*('Port Linkages'!$A$18:$A$157&lt;=$C11))))</f>
        <v>Singapore</v>
      </c>
      <c r="AAT11" s="75" t="str">
        <f t="array" ref="AAT11">INDEX('Port Linkages'!$I$18:$I$157,MATCH(2,1/(('Port Linkages'!$C$18:$C$157=$AP11)*('Port Linkages'!$D$18:$D$157=IF($AO11="Yes",$AQ11,$KK11))*('Port Linkages'!$A$18:$A$157&lt;=$C11))))</f>
        <v>VLSFO</v>
      </c>
      <c r="AAU11" s="75" t="str">
        <f t="array" ref="AAU11">INDEX('Port Linkages'!$J$18:$J$157,MATCH(2,1/(('Port Linkages'!$C$18:$C$157=$AP11)*('Port Linkages'!$D$18:$D$157=IF($AO11="Yes",$AQ11,$KK11))*('Port Linkages'!$A$18:$A$157&lt;=$C11))))</f>
        <v>MGO_Regular</v>
      </c>
      <c r="AAV11" s="75" t="str">
        <f t="array" ref="AAV11">INDEX('Port Linkages'!$K$18:$K$157,MATCH(2,1/(('Port Linkages'!$C$18:$C$157=$AP11)*('Port Linkages'!$D$18:$D$157=IF($AO11="Yes",$AQ11,$KK11))*('Port Linkages'!$A$18:$A$157&lt;=$C11))))</f>
        <v>none</v>
      </c>
      <c r="AAW11" s="75">
        <f t="array" ref="AAW11">INDEX('Port Linkages'!$L$18:$L$157,MATCH(2,1/(('Port Linkages'!$C$18:$C$157=$AP11)*('Port Linkages'!$D$18:$D$157=IF($AO11="Yes",$AQ11,$KK11))*('Port Linkages'!$A$18:$A$157&lt;=$C11))))</f>
        <v>2326</v>
      </c>
      <c r="AAX11" s="75">
        <f t="array" ref="AAX11">INDEX('Port Linkages'!$M$18:$M$157,MATCH(2,1/(('Port Linkages'!$C$18:$C$157=$AP11)*('Port Linkages'!$D$18:$D$157=IF($AO11="Yes",$AQ11,$KK11))*('Port Linkages'!$A$18:$A$157&lt;=$C11))))</f>
        <v>0</v>
      </c>
      <c r="AAY11" s="75" t="str">
        <f t="array" ref="AAY11">INDEX('Port Linkages'!$N$18:$N$157,MATCH(2,1/(('Port Linkages'!$C$18:$C$157=$AP11)*('Port Linkages'!$D$18:$D$157=IF($AO11="Yes",$AQ11,$KK11))*('Port Linkages'!$A$18:$A$157&lt;=$C11))))</f>
        <v>Capesize_General</v>
      </c>
      <c r="AAZ11" s="75" t="str">
        <f t="array" ref="AAZ11">INDEX('Port Linkages'!$O$18:$O$157,MATCH(2,1/(('Port Linkages'!$C$18:$C$157=$AP11)*('Port Linkages'!$D$18:$D$157=IF($AO11="Yes",$AQ11,$KK11))*('Port Linkages'!$A$18:$A$157&lt;=$C11))))</f>
        <v>Singapore</v>
      </c>
      <c r="ABA11" s="75" t="str">
        <f t="array" ref="ABA11">INDEX('Port Linkages'!$P$18:$P$157,MATCH(2,1/(('Port Linkages'!$C$18:$C$157=$AP11)*('Port Linkages'!$D$18:$D$157=IF($AO11="Yes",$AQ11,$KK11))*('Port Linkages'!$A$18:$A$157&lt;=$C11))))</f>
        <v>VLSFO</v>
      </c>
      <c r="ABB11" s="75" t="str">
        <f t="array" ref="ABB11">INDEX('Port Linkages'!$Q$18:$Q$157,MATCH(2,1/(('Port Linkages'!$C$18:$C$157=$AP11)*('Port Linkages'!$D$18:$D$157=IF($AO11="Yes",$AQ11,$KK11))*('Port Linkages'!$A$18:$A$157&lt;=$C11))))</f>
        <v>MGO_Regular</v>
      </c>
      <c r="ABC11" s="75" t="str">
        <f t="array" ref="ABC11">INDEX('Port Linkages'!$R$18:$R$157,MATCH(2,1/(('Port Linkages'!$C$18:$C$157=$AP11)*('Port Linkages'!$D$18:$D$157=IF($AO11="Yes",$AQ11,$KK11))*('Port Linkages'!$A$18:$A$157&lt;=$C11))))</f>
        <v>none</v>
      </c>
      <c r="ABD11" s="75">
        <f t="array" ref="ABD11">INDEX('Port Linkages'!$S$18:$S$157,MATCH(2,1/(('Port Linkages'!$C$18:$C$157=$AP11)*('Port Linkages'!$D$18:$D$157=IF($AO11="Yes",$AQ11,$KK11))*('Port Linkages'!$A$18:$A$157&lt;=$C11))))</f>
        <v>2326</v>
      </c>
      <c r="ABE11" s="75">
        <f t="array" ref="ABE11">INDEX('Port Linkages'!$T$18:$T$157,MATCH(2,1/(('Port Linkages'!$C$18:$C$157=$AP11)*('Port Linkages'!$D$18:$D$157=IF($AO11="Yes",$AQ11,$KK11))*('Port Linkages'!$A$18:$A$157&lt;=$C11))))</f>
        <v>0</v>
      </c>
      <c r="ABF11" s="75" t="str">
        <f t="array" ref="ABF11">INDEX('Port Linkages'!$U$18:$U$157,MATCH(2,1/(('Port Linkages'!$C$18:$C$157=$AP11)*('Port Linkages'!$D$18:$D$157=IF($AO11="Yes",$AQ11,$KK11))*('Port Linkages'!$A$18:$A$157&lt;=$C11))))</f>
        <v>Capesize_General</v>
      </c>
      <c r="ABG11" s="75" t="str">
        <f t="array" ref="ABG11">INDEX('Port Linkages'!$V$18:$V$157,MATCH(2,1/(('Port Linkages'!$C$18:$C$157=$AP11)*('Port Linkages'!$D$18:$D$157=IF($AO11="Yes",$AQ11,$KK11))*('Port Linkages'!$A$18:$A$157&lt;=$C11))))</f>
        <v>Singapore</v>
      </c>
      <c r="ABH11" s="75" t="str">
        <f t="array" ref="ABH11">INDEX('Port Linkages'!$W$18:$W$157,MATCH(2,1/(('Port Linkages'!$C$18:$C$157=$AP11)*('Port Linkages'!$D$18:$D$157=IF($AO11="Yes",$AQ11,$KK11))*('Port Linkages'!$A$18:$A$157&lt;=$C11))))</f>
        <v>VLSFO</v>
      </c>
      <c r="ABI11" s="75" t="str">
        <f t="array" ref="ABI11">INDEX('Port Linkages'!$X$18:$X$157,MATCH(2,1/(('Port Linkages'!$C$18:$C$157=$AP11)*('Port Linkages'!$D$18:$D$157=IF($AO11="Yes",$AQ11,$KK11))*('Port Linkages'!$A$18:$A$157&lt;=$C11))))</f>
        <v>MGO_Regular</v>
      </c>
      <c r="ABJ11" s="75" t="str">
        <f t="array" ref="ABJ11">INDEX('Port Linkages'!$Y$18:$Y$157,MATCH(2,1/(('Port Linkages'!$C$18:$C$157=$AP11)*('Port Linkages'!$D$18:$D$157=IF($AO11="Yes",$AQ11,$KK11))*('Port Linkages'!$A$18:$A$157&lt;=$C11))))</f>
        <v>none</v>
      </c>
      <c r="ABK11" s="75">
        <f t="array" ref="ABK11">INDEX('Port Linkages'!$Z$18:$Z$157,MATCH(2,1/(('Port Linkages'!$C$18:$C$157=$AP11)*('Port Linkages'!$D$18:$D$157=IF($AO11="Yes",$AQ11,$KK11))*('Port Linkages'!$A$18:$A$157&lt;=$C11))))</f>
        <v>2326</v>
      </c>
      <c r="ABL11" s="75">
        <f t="array" ref="ABL11">INDEX('Port Linkages'!$AA$18:$AA$157,MATCH(2,1/(('Port Linkages'!$C$18:$C$157=$AP11)*('Port Linkages'!$D$18:$D$157=IF($AO11="Yes",$AQ11,$KK11))*('Port Linkages'!$A$18:$A$157&lt;=$C11))))</f>
        <v>0</v>
      </c>
      <c r="ABM11" s="75" t="str">
        <f t="array" ref="ABM11">INDEX('Port Linkages'!$AB$18:$AB$157,MATCH(2,1/(('Port Linkages'!$C$18:$C$157=$AP11)*('Port Linkages'!$D$18:$D$157=IF($AO11="Yes",$AQ11,$KK11))*('Port Linkages'!$A$18:$A$157&lt;=$C11))))</f>
        <v>Capesize_General</v>
      </c>
      <c r="ABN11" s="75" t="str">
        <f t="array" ref="ABN11">INDEX('Port Linkages'!$AC$18:$AC$157,MATCH(2,1/(('Port Linkages'!$C$18:$C$157=$AP11)*('Port Linkages'!$D$18:$D$157=IF($AO11="Yes",$AQ11,$KK11))*('Port Linkages'!$A$18:$A$157&lt;=$C11))))</f>
        <v>Singapore</v>
      </c>
      <c r="ABO11" s="75" t="str">
        <f t="array" ref="ABO11">INDEX('Port Linkages'!$AD$18:$AD$157,MATCH(2,1/(('Port Linkages'!$C$18:$C$157=$AP11)*('Port Linkages'!$D$18:$D$157=IF($AO11="Yes",$AQ11,$KK11))*('Port Linkages'!$A$18:$A$157&lt;=$C11))))</f>
        <v>VLSFO</v>
      </c>
      <c r="ABP11" s="75" t="str">
        <f t="array" ref="ABP11">INDEX('Port Linkages'!$AE$18:$AE$157,MATCH(2,1/(('Port Linkages'!$C$18:$C$157=$AP11)*('Port Linkages'!$D$18:$D$157=IF($AO11="Yes",$AQ11,$KK11))*('Port Linkages'!$A$18:$A$157&lt;=$C11))))</f>
        <v>MGO_Regular</v>
      </c>
      <c r="ABQ11" s="75" t="str">
        <f t="array" ref="ABQ11">INDEX('Port Linkages'!$AF$18:$AF$157,MATCH(2,1/(('Port Linkages'!$C$18:$C$157=$AP11)*('Port Linkages'!$D$18:$D$157=IF($AO11="Yes",$AQ11,$KK11))*('Port Linkages'!$A$18:$A$157&lt;=$C11))))</f>
        <v>none</v>
      </c>
      <c r="ABR11" s="75">
        <f t="array" ref="ABR11">INDEX('Port Linkages'!$AG$18:$AG$157,MATCH(2,1/(('Port Linkages'!$C$18:$C$157=$AP11)*('Port Linkages'!$D$18:$D$157=IF($AO11="Yes",$AQ11,$KK11))*('Port Linkages'!$A$18:$A$157&lt;=$C11))))</f>
        <v>2326</v>
      </c>
      <c r="ABS11" s="75">
        <f t="array" ref="ABS11">INDEX('Port Linkages'!$AH$18:$AH$157,MATCH(2,1/(('Port Linkages'!$C$18:$C$157=$AP11)*('Port Linkages'!$D$18:$D$157=IF($AO11="Yes",$AQ11,$KK11))*('Port Linkages'!$A$18:$A$157&lt;=$C11))))</f>
        <v>0</v>
      </c>
      <c r="ABT11" s="75" t="str">
        <f t="array" ref="ABT11">INDEX('Port Linkages'!$AI$18:$AI$157,MATCH(2,1/(('Port Linkages'!$C$18:$C$157=$AP11)*('Port Linkages'!$D$18:$D$157=IF($AO11="Yes",$AQ11,$KK11))*('Port Linkages'!$A$18:$A$157&lt;=$C11))))</f>
        <v>Panamax_General</v>
      </c>
      <c r="ABU11" s="75" t="str">
        <f t="array" ref="ABU11">INDEX('Port Linkages'!$AJ$18:$AJ$157,MATCH(2,1/(('Port Linkages'!$C$18:$C$157=$AP11)*('Port Linkages'!$D$18:$D$157=IF($AO11="Yes",$AQ11,$KK11))*('Port Linkages'!$A$18:$A$157&lt;=$C11))))</f>
        <v>Singapore</v>
      </c>
      <c r="ABV11" s="75" t="str">
        <f t="array" ref="ABV11">INDEX('Port Linkages'!$AK$18:$AK$157,MATCH(2,1/(('Port Linkages'!$C$18:$C$157=$AP11)*('Port Linkages'!$D$18:$D$157=IF($AO11="Yes",$AQ11,$KK11))*('Port Linkages'!$A$18:$A$157&lt;=$C11))))</f>
        <v>VLSFO</v>
      </c>
      <c r="ABW11" s="75" t="str">
        <f t="array" ref="ABW11">INDEX('Port Linkages'!$AL$18:$AL$157,MATCH(2,1/(('Port Linkages'!$C$18:$C$157=$AP11)*('Port Linkages'!$D$18:$D$157=IF($AO11="Yes",$AQ11,$KK11))*('Port Linkages'!$A$18:$A$157&lt;=$C11))))</f>
        <v>MGO_Regular</v>
      </c>
      <c r="ABX11" s="75" t="str">
        <f t="array" ref="ABX11">INDEX('Port Linkages'!$AM$18:$AM$157,MATCH(2,1/(('Port Linkages'!$C$18:$C$157=$AP11)*('Port Linkages'!$D$18:$D$157=IF($AO11="Yes",$AQ11,$KK11))*('Port Linkages'!$A$18:$A$157&lt;=$C11))))</f>
        <v>none</v>
      </c>
      <c r="ABY11" s="75">
        <f t="array" ref="ABY11">INDEX('Port Linkages'!$AN$18:$AN$157,MATCH(2,1/(('Port Linkages'!$C$18:$C$157=$AP11)*('Port Linkages'!$D$18:$D$157=IF($AO11="Yes",$AQ11,$KK11))*('Port Linkages'!$A$18:$A$157&lt;=$C11))))</f>
        <v>2326</v>
      </c>
      <c r="ABZ11" s="75">
        <f t="array" ref="ABZ11">INDEX('Port Linkages'!$AO$18:$AO$157,MATCH(2,1/(('Port Linkages'!$C$18:$C$157=$AP11)*('Port Linkages'!$D$18:$D$157=IF($AO11="Yes",$AQ11,$KK11))*('Port Linkages'!$A$18:$A$157&lt;=$C11))))</f>
        <v>0</v>
      </c>
      <c r="ACA11" s="75" t="str">
        <f t="array" ref="ACA11">INDEX('Port Linkages'!$AP$18:$AP$157,MATCH(2,1/(('Port Linkages'!$C$18:$C$157=$AP11)*('Port Linkages'!$D$18:$D$157=IF($AO11="Yes",$AQ11,$KK11))*('Port Linkages'!$A$18:$A$157&lt;=$C11))))</f>
        <v>Supramax_General</v>
      </c>
      <c r="ACB11" s="75" t="str">
        <f t="array" ref="ACB11">INDEX('Port Linkages'!$AQ$18:$AQ$157,MATCH(2,1/(('Port Linkages'!$C$18:$C$157=$AP11)*('Port Linkages'!$D$18:$D$157=IF($AO11="Yes",$AQ11,$KK11))*('Port Linkages'!$A$18:$A$157&lt;=$C11))))</f>
        <v>Singapore</v>
      </c>
      <c r="ACC11" s="75" t="str">
        <f t="array" ref="ACC11">INDEX('Port Linkages'!$AR$18:$AR$157,MATCH(2,1/(('Port Linkages'!$C$18:$C$157=$AP11)*('Port Linkages'!$D$18:$D$157=IF($AO11="Yes",$AQ11,$KK11))*('Port Linkages'!$A$18:$A$157&lt;=$C11))))</f>
        <v>VLSFO</v>
      </c>
      <c r="ACD11" s="75" t="str">
        <f t="array" ref="ACD11">INDEX('Port Linkages'!$AS$18:$AS$157,MATCH(2,1/(('Port Linkages'!$C$18:$C$157=$AP11)*('Port Linkages'!$D$18:$D$157=IF($AO11="Yes",$AQ11,$KK11))*('Port Linkages'!$A$18:$A$157&lt;=$C11))))</f>
        <v>MGO_Regular</v>
      </c>
      <c r="ACE11" s="75" t="str">
        <f t="array" ref="ACE11">INDEX('Port Linkages'!$AT$18:$AT$157,MATCH(2,1/(('Port Linkages'!$C$18:$C$157=$AP11)*('Port Linkages'!$D$18:$D$157=IF($AO11="Yes",$AQ11,$KK11))*('Port Linkages'!$A$18:$A$157&lt;=$C11))))</f>
        <v>none</v>
      </c>
      <c r="ACF11" s="75">
        <f t="array" ref="ACF11">INDEX('Port Linkages'!$AU$18:$AU$157,MATCH(2,1/(('Port Linkages'!$C$18:$C$157=$AP11)*('Port Linkages'!$D$18:$D$157=IF($AO11="Yes",$AQ11,$KK11))*('Port Linkages'!$A$18:$A$157&lt;=$C11))))</f>
        <v>2326</v>
      </c>
      <c r="ACG11" s="75">
        <f t="array" ref="ACG11">INDEX('Port Linkages'!$AV$18:$AV$157,MATCH(2,1/(('Port Linkages'!$C$18:$C$157=$AP11)*('Port Linkages'!$D$18:$D$157=IF($AO11="Yes",$AQ11,$KK11))*('Port Linkages'!$A$18:$A$157&lt;=$C11))))</f>
        <v>0</v>
      </c>
      <c r="ACH11" s="75" t="str">
        <f t="array" ref="ACH11">INDEX('Port Linkages'!$AW$18:$AW$157,MATCH(2,1/(('Port Linkages'!$C$18:$C$157=$AP11)*('Port Linkages'!$D$18:$D$157=IF($AO11="Yes",$AQ11,$KK11))*('Port Linkages'!$A$18:$A$157&lt;=$C11))))</f>
        <v>Handysize_General</v>
      </c>
      <c r="ACI11" s="75" t="str">
        <f t="array" ref="ACI11">INDEX('Port Linkages'!$AX$18:$AX$157,MATCH(2,1/(('Port Linkages'!$C$18:$C$157=$AP11)*('Port Linkages'!$D$18:$D$157=IF($AO11="Yes",$AQ11,$KK11))*('Port Linkages'!$A$18:$A$157&lt;=$C11))))</f>
        <v>Singapore</v>
      </c>
      <c r="ACJ11" s="75" t="str">
        <f t="array" ref="ACJ11">INDEX('Port Linkages'!$AY$18:$AY$157,MATCH(2,1/(('Port Linkages'!$C$18:$C$157=$AP11)*('Port Linkages'!$D$18:$D$157=IF($AO11="Yes",$AQ11,$KK11))*('Port Linkages'!$A$18:$A$157&lt;=$C11))))</f>
        <v>VLSFO</v>
      </c>
      <c r="ACK11" s="75" t="str">
        <f t="array" ref="ACK11">INDEX('Port Linkages'!$AZ$18:$AZ$157,MATCH(2,1/(('Port Linkages'!$C$18:$C$157=$AP11)*('Port Linkages'!$D$18:$D$157=IF($AO11="Yes",$AQ11,$KK11))*('Port Linkages'!$A$18:$A$157&lt;=$C11))))</f>
        <v>MGO_Regular</v>
      </c>
      <c r="ACL11" s="75" t="str">
        <f t="array" ref="ACL11">INDEX('Port Linkages'!$BA$18:$BA$157,MATCH(2,1/(('Port Linkages'!$C$18:$C$157=$AP11)*('Port Linkages'!$D$18:$D$157=IF($AO11="Yes",$AQ11,$KK11))*('Port Linkages'!$A$18:$A$157&lt;=$C11))))</f>
        <v>none</v>
      </c>
      <c r="ACN11" s="25" t="e">
        <f t="array" aca="1" ref="ACN11" ca="1">INDEX('Ship Fuel Prices'!$F$5:$F$1004,MATCH(2,1/(('Ship Fuel Prices'!$E$5:$E$1004=_xlfn.IFS(AAC11="Handysize",Main!ACI11,AAC11="Supramax",ACB11,AAC11="Panamax",ABU11,AAC11="NeoPanamax",ABN11,AAC11="Suezmax",ABG11,AAC11="Capesize",AAZ11,AAC11="VLOC",AAS11))*('Ship Fuel Prices'!$D$5:$D$1004&lt;=Main!$C11))))</f>
        <v>#N/A</v>
      </c>
      <c r="ACO11" s="25" t="e">
        <f t="array" aca="1" ref="ACO11" ca="1">INDEX('Ship Fuel Prices'!$G$5:$G$1004,MATCH(2,1/(('Ship Fuel Prices'!$E$5:$E$1004=_xlfn.IFS(AAC11="Handysize",Main!ACI11,AAC11="Supramax",ACB11,AAC11="Panamax",ABU11,AAC11="NeoPanamax",ABN11,AAC11="Suezmax",ABG11,AAC11="Capesize",AAZ11,AAC11="VLOC",AAS11))*('Ship Fuel Prices'!$D$5:$D$1004&lt;=Main!$C11))))</f>
        <v>#N/A</v>
      </c>
      <c r="ACP11" s="25" t="e">
        <f t="array" aca="1" ref="ACP11" ca="1">INDEX('Ship Fuel Prices'!$H$5:$H$1004,MATCH(2,1/(('Ship Fuel Prices'!$E$5:$E$1004=_xlfn.IFS(AAC11="Handysize",Main!ACI11,AAC11="Supramax",ACB11,AAC11="Panamax",ABU11,AAC11="NeoPanamax",ABN11,AAC11="Suezmax",ABG11,AAC11="Capesize",AAZ11,AAC11="VLOC",AAS11))*('Ship Fuel Prices'!$D$5:$D$1004&lt;=Main!$C11))))</f>
        <v>#N/A</v>
      </c>
      <c r="ACQ11" s="25" t="e">
        <f t="array" aca="1" ref="ACQ11" ca="1">INDEX('Ship Fuel Prices'!$I$5:$I$1004,MATCH(2,1/(('Ship Fuel Prices'!$E$5:$E$1004=_xlfn.IFS(AAC11="Handysize",Main!ACI11,AAC11="Supramax",ACB11,AAC11="Panamax",ABU11,AAC11="NeoPanamax",ABN11,AAC11="Suezmax",ABG11,AAC11="Capesize",AAZ11,AAC11="VLOC",AAS11))*('Ship Fuel Prices'!$D$5:$D$1004&lt;=Main!$C11))))</f>
        <v>#N/A</v>
      </c>
      <c r="ACR11" s="25" t="e">
        <f t="array" aca="1" ref="ACR11" ca="1">INDEX('Ship Fuel Prices'!$J$5:$J$1004,MATCH(2,1/(('Ship Fuel Prices'!$E$5:$E$1004=_xlfn.IFS(AAC11="Handysize",Main!ACI11,AAC11="Supramax",ACB11,AAC11="Panamax",ABU11,AAC11="NeoPanamax",ABN11,AAC11="Suezmax",ABG11,AAC11="Capesize",AAZ11,AAC11="VLOC",AAS11))*('Ship Fuel Prices'!$D$5:$D$1004&lt;=Main!$C11))))</f>
        <v>#N/A</v>
      </c>
      <c r="ACT11" s="75">
        <f t="array" ref="ACT11">INDEX('China n Importing Ports'!$E$20:$E$41,MATCH(2,1/(('China n Importing Ports'!$D$20:$D$41&lt;=$C11)*('China n Importing Ports'!$C$20:$C$41=IF($AO11="Yes",$AQ11,$KK11)))))</f>
        <v>42500</v>
      </c>
      <c r="ACU11" s="75">
        <f t="array" ref="ACU11">INDEX('China n Importing Ports'!$F$20:$F$41,MATCH(2,1/(('China n Importing Ports'!$D$20:$D$41&lt;=$C11)*('China n Importing Ports'!$C$20:$C$41=IF($AO11="Yes",$AQ11,$KK11)))))</f>
        <v>42500</v>
      </c>
      <c r="ACV11" s="75">
        <f t="array" ref="ACV11">INDEX('China n Importing Ports'!$G$20:$G$41,MATCH(2,1/(('China n Importing Ports'!$D$20:$D$41&lt;=$C11)*('China n Importing Ports'!$C$20:$C$41=IF($AO11="Yes",$AQ11,$KK11)))))</f>
        <v>42500</v>
      </c>
      <c r="ACW11" s="75">
        <f t="array" ref="ACW11">INDEX('China n Importing Ports'!$H$20:$H$41,MATCH(2,1/(('China n Importing Ports'!$D$20:$D$41&lt;=$C11)*('China n Importing Ports'!$C$20:$C$41=IF($AO11="Yes",$AQ11,$KK11)))))</f>
        <v>42500</v>
      </c>
      <c r="ACX11" s="75">
        <f t="array" ref="ACX11">INDEX('China n Importing Ports'!$I$20:$I$41,MATCH(2,1/(('China n Importing Ports'!$D$20:$D$41&lt;=$C11)*('China n Importing Ports'!$C$20:$C$41=IF($AO11="Yes",$AQ11,$KK11)))))</f>
        <v>42500</v>
      </c>
      <c r="ACY11" s="75">
        <f t="array" ref="ACY11">INDEX('China n Importing Ports'!$J$20:$J$41,MATCH(2,1/(('China n Importing Ports'!$D$20:$D$41&lt;=$C11)*('China n Importing Ports'!$C$20:$C$41=IF($AO11="Yes",$AQ11,$KK11)))))</f>
        <v>42500</v>
      </c>
      <c r="ACZ11" s="75">
        <f t="array" ref="ACZ11">INDEX('China n Importing Ports'!$K$20:$K$41,MATCH(2,1/(('China n Importing Ports'!$D$20:$D$41&lt;=$C11)*('China n Importing Ports'!$C$20:$C$41=IF($AO11="Yes",$AQ11,$KK11)))))</f>
        <v>42500</v>
      </c>
      <c r="ADA11" s="75" t="str">
        <f t="array" ref="ADA11">INDEX('China n Importing Ports'!$L$20:$L$41,MATCH(2,1/(('China n Importing Ports'!$D$20:$D$41&lt;=$C11)*('China n Importing Ports'!$C$20:$C$41=IF($AO11="Yes",$AQ11,$KK11)))))</f>
        <v>RMB</v>
      </c>
      <c r="ADB11" s="75">
        <f t="array" ref="ADB11">INDEX('China n Importing Ports'!$M$20:$M$41,MATCH(2,1/(('China n Importing Ports'!$D$20:$D$41&lt;=$C11)*('China n Importing Ports'!$C$20:$C$41=IF($AO11="Yes",$AQ11,$KK11)))))</f>
        <v>12342</v>
      </c>
      <c r="ADC11" s="75">
        <f t="array" ref="ADC11">INDEX('China n Importing Ports'!$N$20:$N$41,MATCH(2,1/(('China n Importing Ports'!$D$20:$D$41&lt;=$C11)*('China n Importing Ports'!$C$20:$C$41=IF($AO11="Yes",$AQ11,$KK11)))))</f>
        <v>0</v>
      </c>
      <c r="ADD11" s="75">
        <f t="array" ref="ADD11">INDEX('China n Importing Ports'!$O$20:$O$41,MATCH(2,1/(('China n Importing Ports'!$D$20:$D$41&lt;=$C11)*('China n Importing Ports'!$C$20:$C$41=IF($AO11="Yes",$AQ11,$KK11)))))</f>
        <v>0</v>
      </c>
      <c r="ADE11" s="136">
        <f t="array" ref="ADE11">INDEX('China n Importing Ports'!$P$20:$P$41,MATCH(2,1/(('China n Importing Ports'!$D$20:$D$41&lt;=$C11)*('China n Importing Ports'!$C$20:$C$41=IF($AO11="Yes",$AQ11,$KK11)))))</f>
        <v>2.64</v>
      </c>
      <c r="ADF11" s="136">
        <f t="array" ref="ADF11">INDEX('China n Importing Ports'!$Q$20:$Q$41,MATCH(2,1/(('China n Importing Ports'!$D$20:$D$41&lt;=$C11)*('China n Importing Ports'!$C$20:$C$41=IF($AO11="Yes",$AQ11,$KK11)))))</f>
        <v>0</v>
      </c>
      <c r="ADG11" s="136">
        <f t="array" ref="ADG11">INDEX('China n Importing Ports'!$R$20:$R$41,MATCH(2,1/(('China n Importing Ports'!$D$20:$D$41&lt;=$C11)*('China n Importing Ports'!$C$20:$C$41=IF($AO11="Yes",$AQ11,$KK11)))))</f>
        <v>0</v>
      </c>
      <c r="ADH11" s="136">
        <f t="array" ref="ADH11">INDEX('China n Importing Ports'!$S$20:$S$41,MATCH(2,1/(('China n Importing Ports'!$D$20:$D$41&lt;=$C11)*('China n Importing Ports'!$C$20:$C$41=IF($AO11="Yes",$AQ11,$KK11)))))</f>
        <v>4.53</v>
      </c>
      <c r="ADI11" s="136">
        <f t="array" ref="ADI11">INDEX('China n Importing Ports'!$T$20:$T$41,MATCH(2,1/(('China n Importing Ports'!$D$20:$D$41&lt;=$C11)*('China n Importing Ports'!$C$20:$C$41=IF($AO11="Yes",$AQ11,$KK11)))))</f>
        <v>0.36699999999999999</v>
      </c>
      <c r="ADJ11" s="136">
        <f t="array" ref="ADJ11">INDEX('China n Importing Ports'!$U$20:$U$41,MATCH(2,1/(('China n Importing Ports'!$D$20:$D$41&lt;=$C11)*('China n Importing Ports'!$C$20:$C$41=IF($AO11="Yes",$AQ11,$KK11)))))</f>
        <v>0.05</v>
      </c>
      <c r="ADK11" s="136">
        <f t="array" ref="ADK11">INDEX('China n Importing Ports'!$V$20:$V$41,MATCH(2,1/(('China n Importing Ports'!$D$20:$D$41&lt;=$C11)*('China n Importing Ports'!$C$20:$C$41=IF($AO11="Yes",$AQ11,$KK11)))))</f>
        <v>0</v>
      </c>
      <c r="ADL11" s="136">
        <f t="array" ref="ADL11">INDEX('China n Importing Ports'!$W$20:$W$41,MATCH(2,1/(('China n Importing Ports'!$D$20:$D$41&lt;=$C11)*('China n Importing Ports'!$C$20:$C$41=IF($AO11="Yes",$AQ11,$KK11)))))</f>
        <v>0</v>
      </c>
      <c r="ADM11" s="136">
        <f t="array" ref="ADM11">INDEX('China n Importing Ports'!$X$20:$X$41,MATCH(2,1/(('China n Importing Ports'!$D$20:$D$41&lt;=$C11)*('China n Importing Ports'!$C$20:$C$41=IF($AO11="Yes",$AQ11,$KK11)))))</f>
        <v>0</v>
      </c>
      <c r="ADN11" s="136">
        <f t="array" ref="ADN11">INDEX('China n Importing Ports'!$Y$20:$Y$41,MATCH(2,1/(('China n Importing Ports'!$D$20:$D$41&lt;=$C11)*('China n Importing Ports'!$C$20:$C$41=IF($AO11="Yes",$AQ11,$KK11)))))</f>
        <v>197</v>
      </c>
      <c r="ADO11" s="136">
        <f t="array" ref="ADO11">INDEX('China n Importing Ports'!$Z$20:$Z$41,MATCH(2,1/(('China n Importing Ports'!$D$20:$D$41&lt;=$C11)*('China n Importing Ports'!$C$20:$C$41=IF($AO11="Yes",$AQ11,$KK11)))))</f>
        <v>0</v>
      </c>
      <c r="ADP11" s="136">
        <f t="array" ref="ADP11">INDEX('China n Importing Ports'!$AA$20:$AA$41,MATCH(2,1/(('China n Importing Ports'!$D$20:$D$41&lt;=$C11)*('China n Importing Ports'!$C$20:$C$41=IF($AO11="Yes",$AQ11,$KK11)))))</f>
        <v>0</v>
      </c>
      <c r="ADR11" s="75" t="e">
        <f t="array" aca="1" ref="ADR11" ca="1">INDEX(Canals!$G$24:$G$29,MATCH(2,1/((Canals!$F$24:$F$29&lt;=$C11)*(Canals!$G$24:$G$29=_xlfn.IFS(AAC11="Handysize",Main!ACL11,AAC11="Supramax",ACE11,AAC11="Panamax",ABX11,AAC11="NeoPanamax",ABQ11,AAC11="Suezmax",ABJ11,AAC11="Capesize",ABC11,AAC11="VLOC",AAV11)))))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S11" s="75" t="e">
        <f t="array" aca="1" ref="ADS11" ca="1">INDEX(Canals!$H$24:$H$29,MATCH(2,1/((Canals!$F$24:$F$29&lt;=$C11)*(Canals!$G$24:$G$29=_xlfn.IFS(AAC11="Handysize",Main!ACL11,AAC11="Supramax",ACE11,AAC11="Panamax",ABX11,AAC11="NeoPanamax",ABQ11,AAC11="Suezmax",ABJ11,AAC11="Capesize",ABC11,AAC11="VLOC",AAV11)))))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T11" s="75" t="e">
        <f t="array" aca="1" ref="ADT11" ca="1">INDEX(Canals!$I$24:$I$29,MATCH(2,1/((Canals!$F$24:$F$29&lt;=$C11)*(Canals!$G$24:$G$29=_xlfn.IFS(AAC11="Handysize",Main!ACL11,AAC11="Supramax",ACE11,AAC11="Panamax",ABX11,AAC11="NeoPanamax",ABQ11,AAC11="Suezmax",ABJ11,AAC11="Capesize",ABC11,AAC11="VLOC",AAV11)))))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U11" s="75" t="e">
        <f t="array" aca="1" ref="ADU11" ca="1">INDEX(Canals!$J$24:$J$29,MATCH(2,1/((Canals!$F$24:$F$29&lt;=$C11)*(Canals!$G$24:$G$29=_xlfn.IFS(AAC11="Handysize",Main!ACL11,AAC11="Supramax",ACE11,AAC11="Panamax",ABX11,AAC11="NeoPanamax",ABQ11,AAC11="Suezmax",ABJ11,AAC11="Capesize",ABC11,AAC11="VLOC",AAV11)))))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V11" s="75" t="e">
        <f t="array" aca="1" ref="ADV11" ca="1">INDEX(Canals!$K$24:$K$29,MATCH(2,1/((Canals!$F$24:$F$29&lt;=$C11)*(Canals!$G$24:$G$29=_xlfn.IFS(AAC11="Handysize",Main!ACL11,AAC11="Supramax",ACE11,AAC11="Panamax",ABX11,AAC11="NeoPanamax",ABQ11,AAC11="Suezmax",ABJ11,AAC11="Capesize",ABC11,AAC11="VLOC",AAV11)))))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W11" s="75" t="e">
        <f t="array" aca="1" ref="ADW11" ca="1">INDEX(Canals!$L$24:$L$29,MATCH(2,1/((Canals!$F$24:$F$29&lt;=$C11)*(Canals!$G$24:$G$29=_xlfn.IFS(AAC11="Handysize",Main!ACL11,AAC11="Supramax",ACE11,AAC11="Panamax",ABX11,AAC11="NeoPanamax",ABQ11,AAC11="Suezmax",ABJ11,AAC11="Capesize",ABC11,AAC11="VLOC",AAV11)))))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X11" s="75" t="e">
        <f t="array" aca="1" ref="ADX11" ca="1">INDEX(Canals!$M$24:$M$29,MATCH(2,1/((Canals!$F$24:$F$29&lt;=$C11)*(Canals!$G$24:$G$29=_xlfn.IFS(AAC11="Handysize",Main!ACL11,AAC11="Supramax",ACE11,AAC11="Panamax",ABX11,AAC11="NeoPanamax",ABQ11,AAC11="Suezmax",ABJ11,AAC11="Capesize",ABC11,AAC11="VLOC",AAV11)))))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Y11" s="75" t="e">
        <f t="array" aca="1" ref="ADY11" ca="1">INDEX(Canals!$N$24:$N$29,MATCH(2,1/((Canals!$F$24:$F$29&lt;=$C11)*(Canals!$G$24:$G$29=_xlfn.IFS(AAC11="Handysize",Main!ACL11,AAC11="Supramax",ACE11,AAC11="Panamax",ABX11,AAC11="NeoPanamax",ABQ11,AAC11="Suezmax",ABJ11,AAC11="Capesize",ABC11,AAC11="VLOC",AAV11)))))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DZ11" s="75" t="e">
        <f t="array" aca="1" ref="ADZ11" ca="1">INDEX(Canals!$O$24:$O$29,MATCH(2,1/((Canals!$F$24:$F$29&lt;=$C11)*(Canals!$G$24:$G$29=_xlfn.IFS(AAC11="Handysize",Main!ACL11,AAC11="Supramax",ACE11,AAC11="Panamax",ABX11,AAC11="NeoPanamax",ABQ11,AAC11="Suezmax",ABJ11,AAC11="Capesize",ABC11,AAC11="VLOC",AAV11)))))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A11" s="75" t="e">
        <f t="array" aca="1" ref="AEA11" ca="1">INDEX(Canals!$P$24:$P$29,MATCH(2,1/((Canals!$F$24:$F$29&lt;=$C11)*(Canals!$G$24:$G$29=_xlfn.IFS(AAC11="Handysize",Main!ACL11,AAC11="Supramax",ACE11,AAC11="Panamax",ABX11,AAC11="NeoPanamax",ABQ11,AAC11="Suezmax",ABJ11,AAC11="Capesize",ABC11,AAC11="VLOC",AAV11)))))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B11" s="75" t="e">
        <f t="array" aca="1" ref="AEB11" ca="1">INDEX(Canals!$Q$24:$Q$29,MATCH(2,1/((Canals!$F$24:$F$29&lt;=$C11)*(Canals!$G$24:$G$29=_xlfn.IFS(AAC11="Handysize",Main!ACL11,AAC11="Supramax",ACE11,AAC11="Panamax",ABX11,AAC11="NeoPanamax",ABQ11,AAC11="Suezmax",ABJ11,AAC11="Capesize",ABC11,AAC11="VLOC",AAV11)))))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C11" s="75" t="e">
        <f t="array" aca="1" ref="AEC11" ca="1">INDEX(Canals!$R$24:$R$29,MATCH(2,1/((Canals!$F$24:$F$29&lt;=$C11)*(Canals!$G$24:$G$29=_xlfn.IFS(AAC11="Handysize",Main!ACL11,AAC11="Supramax",ACE11,AAC11="Panamax",ABX11,AAC11="NeoPanamax",ABQ11,AAC11="Suezmax",ABJ11,AAC11="Capesize",ABC11,AAC11="VLOC",AAV11)))))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D11" s="136" t="e">
        <f t="array" aca="1" ref="AED11" ca="1">INDEX(Canals!$S$24:$S$29,MATCH(2,1/((Canals!$F$24:$F$29&lt;=$C11)*(Canals!$G$24:$G$29=_xlfn.IFS(AAC11="Handysize",Main!ACL11,AAC11="Supramax",ACE11,AAC11="Panamax",ABX11,AAC11="NeoPanamax",ABQ11,AAC11="Suezmax",ABJ11,AAC11="Capesize",ABC11,AAC11="VLOC",AAV11)))))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E11" s="136" t="e">
        <f t="array" aca="1" ref="AEE11" ca="1">INDEX(Canals!$T$24:$T$29,MATCH(2,1/((Canals!$F$24:$F$29&lt;=$C11)*(Canals!$G$24:$G$29=_xlfn.IFS(AAC11="Handysize",Main!ACL11,AAC11="Supramax",ACE11,AAC11="Panamax",ABX11,AAC11="NeoPanamax",ABQ11,AAC11="Suezmax",ABJ11,AAC11="Capesize",ABC11,AAC11="VLOC",AAV11)))))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F11" s="136" t="e">
        <f t="array" aca="1" ref="AEF11" ca="1">INDEX(Canals!$U$24:$U$29,MATCH(2,1/((Canals!$F$24:$F$29&lt;=$C11)*(Canals!$G$24:$G$29=_xlfn.IFS(AAC11="Handysize",Main!ACL11,AAC11="Supramax",ACE11,AAC11="Panamax",ABX11,AAC11="NeoPanamax",ABQ11,AAC11="Suezmax",ABJ11,AAC11="Capesize",ABC11,AAC11="VLOC",AAV11)))))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G11" s="136" t="e">
        <f t="array" aca="1" ref="AEG11" ca="1">INDEX(Canals!$V$24:$V$29,MATCH(2,1/((Canals!$F$24:$F$29&lt;=$C11)*(Canals!$G$24:$G$29=_xlfn.IFS(AAC11="Handysize",Main!ACL11,AAC11="Supramax",ACE11,AAC11="Panamax",ABX11,AAC11="NeoPanamax",ABQ11,AAC11="Suezmax",ABJ11,AAC11="Capesize",ABC11,AAC11="VLOC",AAV11)))))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H11" s="136" t="e">
        <f t="array" aca="1" ref="AEH11" ca="1">INDEX(Canals!$W$24:$W$29,MATCH(2,1/((Canals!$F$24:$F$29&lt;=$C11)*(Canals!$G$24:$G$29=_xlfn.IFS(AAC11="Handysize",Main!ACL11,AAC11="Supramax",ACE11,AAC11="Panamax",ABX11,AAC11="NeoPanamax",ABQ11,AAC11="Suezmax",ABJ11,AAC11="Capesize",ABC11,AAC11="VLOC",AAV11)))))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I11" s="136" t="e">
        <f t="array" aca="1" ref="AEI11" ca="1">INDEX(Canals!$X$24:$X$29,MATCH(2,1/((Canals!$F$24:$F$29&lt;=$C11)*(Canals!$G$24:$G$29=_xlfn.IFS(AAC11="Handysize",Main!ACL11,AAC11="Supramax",ACE11,AAC11="Panamax",ABX11,AAC11="NeoPanamax",ABQ11,AAC11="Suezmax",ABJ11,AAC11="Capesize",ABC11,AAC11="VLOC",AAV11)))))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J11" s="136" t="e">
        <f t="array" aca="1" ref="AEJ11" ca="1">INDEX(Canals!$Y$24:$Y$29,MATCH(2,1/((Canals!$F$24:$F$29&lt;=$C11)*(Canals!$G$24:$G$29=_xlfn.IFS(AAC11="Handysize",Main!ACL11,AAC11="Supramax",ACE11,AAC11="Panamax",ABX11,AAC11="NeoPanamax",ABQ11,AAC11="Suezmax",ABJ11,AAC11="Capesize",ABC11,AAC11="VLOC",AAV11)))))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K11" s="136" t="e">
        <f t="array" aca="1" ref="AEK11" ca="1">INDEX(Canals!$Z$24:$Z$29,MATCH(2,1/((Canals!$F$24:$F$29&lt;=$C11)*(Canals!$G$24:$G$29=_xlfn.IFS(AAC11="Handysize",Main!ACL11,AAC11="Supramax",ACE11,AAC11="Panamax",ABX11,AAC11="NeoPanamax",ABQ11,AAC11="Suezmax",ABJ11,AAC11="Capesize",ABC11,AAC11="VLOC",AAV11)))))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L11" s="136" t="e">
        <f t="array" aca="1" ref="AEL11" ca="1">INDEX(Canals!$AA$24:$AA$29,MATCH(2,1/((Canals!$F$24:$F$29&lt;=$C11)*(Canals!$G$24:$G$29=_xlfn.IFS(AAC11="Handysize",Main!ACL11,AAC11="Supramax",ACE11,AAC11="Panamax",ABX11,AAC11="NeoPanamax",ABQ11,AAC11="Suezmax",ABJ11,AAC11="Capesize",ABC11,AAC11="VLOC",AAV11)))))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M11" s="136" t="e">
        <f t="array" aca="1" ref="AEM11" ca="1">INDEX(Canals!$AB$24:$AB$29,MATCH(2,1/((Canals!$F$24:$F$29&lt;=$C11)*(Canals!$G$24:$G$29=_xlfn.IFS(AAC11="Handysize",Main!ACL11,AAC11="Supramax",ACE11,AAC11="Panamax",ABX11,AAC11="NeoPanamax",ABQ11,AAC11="Suezmax",ABJ11,AAC11="Capesize",ABC11,AAC11="VLOC",AAV11)))))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N11" s="75" t="e">
        <f t="array" aca="1" ref="AEN11" ca="1">INDEX(Canals!$AC$24:$AC$29,MATCH(2,1/((Canals!$F$24:$F$29&lt;=$C11)*(Canals!$G$24:$G$29=_xlfn.IFS(AAC11="Handysize",Main!ACL11,AAC11="Supramax",ACE11,AAC11="Panamax",ABX11,AAC11="NeoPanamax",ABQ11,AAC11="Suezmax",ABJ11,AAC11="Capesize",ABC11,AAC11="VLOC",AAV11)))))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O11" s="75" t="e">
        <f t="array" aca="1" ref="AEO11" ca="1">INDEX(Canals!$AD$24:$AD$29,MATCH(2,1/((Canals!$F$24:$F$29&lt;=$C11)*(Canals!$G$24:$G$29=_xlfn.IFS(AAC11="Handysize",Main!ACL11,AAC11="Supramax",ACE11,AAC11="Panamax",ABX11,AAC11="NeoPanamax",ABQ11,AAC11="Suezmax",ABJ11,AAC11="Capesize",ABC11,AAC11="VLOC",AAV11)))))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P11" s="75" t="e">
        <f t="array" aca="1" ref="AEP11" ca="1">INDEX(Canals!$AE$24:$AE$29,MATCH(2,1/((Canals!$F$24:$F$29&lt;=$C11)*(Canals!$G$24:$G$29=_xlfn.IFS(AAC11="Handysize",Main!ACL11,AAC11="Supramax",ACE11,AAC11="Panamax",ABX11,AAC11="NeoPanamax",ABQ11,AAC11="Suezmax",ABJ11,AAC11="Capesize",ABC11,AAC11="VLOC",AAV11)))))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Q11" s="75" t="e">
        <f t="array" aca="1" ref="AEQ11" ca="1">INDEX(Canals!$AF$24:$AF$29,MATCH(2,1/((Canals!$F$24:$F$29&lt;=$C11)*(Canals!$G$24:$G$29=_xlfn.IFS(AAC11="Handysize",Main!ACL11,AAC11="Supramax",ACE11,AAC11="Panamax",ABX11,AAC11="NeoPanamax",ABQ11,AAC11="Suezmax",ABJ11,AAC11="Capesize",ABC11,AAC11="VLOC",AAV11)))))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R11" s="75" t="e">
        <f t="array" aca="1" ref="AER11" ca="1">INDEX(Canals!$AG$24:$AG$29,MATCH(2,1/((Canals!$F$24:$F$29&lt;=$C11)*(Canals!$G$24:$G$29=_xlfn.IFS(AAC11="Handysize",Main!ACL11,AAC11="Supramax",ACE11,AAC11="Panamax",ABX11,AAC11="NeoPanamax",ABQ11,AAC11="Suezmax",ABJ11,AAC11="Capesize",ABC11,AAC11="VLOC",AAV11)))))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S11" s="75" t="e">
        <f t="array" aca="1" ref="AES11" ca="1">INDEX(Canals!$AH$24:$AH$29,MATCH(2,1/((Canals!$F$24:$F$29&lt;=$C11)*(Canals!$G$24:$G$29=_xlfn.IFS(AAC11="Handysize",Main!ACL11,AAC11="Supramax",ACE11,AAC11="Panamax",ABX11,AAC11="NeoPanamax",ABQ11,AAC11="Suezmax",ABJ11,AAC11="Capesize",ABC11,AAC11="VLOC",AAV11)))))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T11" s="75" t="e">
        <f t="array" aca="1" ref="AET11" ca="1">INDEX(Canals!$AI$24:$AI$29,MATCH(2,1/((Canals!$F$24:$F$29&lt;=$C11)*(Canals!$G$24:$G$29=_xlfn.IFS(AAC11="Handysize",Main!ACL11,AAC11="Supramax",ACE11,AAC11="Panamax",ABX11,AAC11="NeoPanamax",ABQ11,AAC11="Suezmax",ABJ11,AAC11="Capesize",ABC11,AAC11="VLOC",AAV11)))))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U11" s="75" t="e">
        <f t="array" aca="1" ref="AEU11" ca="1">INDEX(Canals!$AJ$24:$AJ$29,MATCH(2,1/((Canals!$F$24:$F$29&lt;=$C11)*(Canals!$G$24:$G$29=_xlfn.IFS(AAC11="Handysize",Main!ACL11,AAC11="Supramax",ACE11,AAC11="Panamax",ABX11,AAC11="NeoPanamax",ABQ11,AAC11="Suezmax",ABJ11,AAC11="Capesize",ABC11,AAC11="VLOC",AAV11)))))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V11" s="75" t="e">
        <f t="array" aca="1" ref="AEV11" ca="1">INDEX(Canals!$AK$24:$AK$29,MATCH(2,1/((Canals!$F$24:$F$29&lt;=$C11)*(Canals!$G$24:$G$29=_xlfn.IFS(AAC11="Handysize",Main!ACL11,AAC11="Supramax",ACE11,AAC11="Panamax",ABX11,AAC11="NeoPanamax",ABQ11,AAC11="Suezmax",ABJ11,AAC11="Capesize",ABC11,AAC11="VLOC",AAV11)))))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W11" s="136" t="e">
        <f t="array" aca="1" ref="AEW11" ca="1">INDEX(Canals!$AL$24:$AL$29,MATCH(2,1/((Canals!$F$24:$F$29&lt;=$C11)*(Canals!$G$24:$G$29=_xlfn.IFS(AAC11="Handysize",Main!ACL11,AAC11="Supramax",ACE11,AAC11="Panamax",ABX11,AAC11="NeoPanamax",ABQ11,AAC11="Suezmax",ABJ11,AAC11="Capesize",ABC11,AAC11="VLOC",AAV11)))))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X11" s="136" t="e">
        <f t="array" aca="1" ref="AEX11" ca="1">INDEX(Canals!$AM$24:$AM$29,MATCH(2,1/((Canals!$F$24:$F$29&lt;=$C11)*(Canals!$G$24:$G$29=_xlfn.IFS(AAC11="Handysize",Main!ACL11,AAC11="Supramax",ACE11,AAC11="Panamax",ABX11,AAC11="NeoPanamax",ABQ11,AAC11="Suezmax",ABJ11,AAC11="Capesize",ABC11,AAC11="VLOC",AAV11)))))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Y11" s="136" t="e">
        <f t="array" aca="1" ref="AEY11" ca="1">INDEX(Canals!$AN$24:$AN$29,MATCH(2,1/((Canals!$F$24:$F$29&lt;=$C11)*(Canals!$G$24:$G$29=_xlfn.IFS(AAC11="Handysize",Main!ACL11,AAC11="Supramax",ACE11,AAC11="Panamax",ABX11,AAC11="NeoPanamax",ABQ11,AAC11="Suezmax",ABJ11,AAC11="Capesize",ABC11,AAC11="VLOC",AAV11)))))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EZ11" s="136" t="e">
        <f t="array" aca="1" ref="AEZ11" ca="1">INDEX(Canals!$AO$24:$AO$29,MATCH(2,1/((Canals!$F$24:$F$29&lt;=$C11)*(Canals!$G$24:$G$29=_xlfn.IFS(AAC11="Handysize",Main!ACL11,AAC11="Supramax",ACE11,AAC11="Panamax",ABX11,AAC11="NeoPanamax",ABQ11,AAC11="Suezmax",ABJ11,AAC11="Capesize",ABC11,AAC11="VLOC",AAV11)))))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A11" s="136" t="e">
        <f t="array" aca="1" ref="AFA11" ca="1">INDEX(Canals!$AP$24:$AP$29,MATCH(2,1/((Canals!$F$24:$F$29&lt;=$C11)*(Canals!$G$24:$G$29=_xlfn.IFS(AAC11="Handysize",Main!ACL11,AAC11="Supramax",ACE11,AAC11="Panamax",ABX11,AAC11="NeoPanamax",ABQ11,AAC11="Suezmax",ABJ11,AAC11="Capesize",ABC11,AAC11="VLOC",AAV11)))))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B11" s="136" t="e">
        <f t="array" aca="1" ref="AFB11" ca="1">INDEX(Canals!$AQ$24:$AQ$29,MATCH(2,1/((Canals!$F$24:$F$29&lt;=$C11)*(Canals!$G$24:$G$29=_xlfn.IFS(AAC11="Handysize",Main!ACL11,AAC11="Supramax",ACE11,AAC11="Panamax",ABX11,AAC11="NeoPanamax",ABQ11,AAC11="Suezmax",ABJ11,AAC11="Capesize",ABC11,AAC11="VLOC",AAV11)))))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C11" s="136" t="e">
        <f t="array" aca="1" ref="AFC11" ca="1">INDEX(Canals!$AR$24:$AR$29,MATCH(2,1/((Canals!$F$24:$F$29&lt;=$C11)*(Canals!$G$24:$G$29=_xlfn.IFS(AAC11="Handysize",Main!ACL11,AAC11="Supramax",ACE11,AAC11="Panamax",ABX11,AAC11="NeoPanamax",ABQ11,AAC11="Suezmax",ABJ11,AAC11="Capesize",ABC11,AAC11="VLOC",AAV11)))))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D11" s="136" t="e">
        <f t="array" aca="1" ref="AFD11" ca="1">INDEX(Canals!$AS$24:$AS$29,MATCH(2,1/((Canals!$F$24:$F$29&lt;=$C11)*(Canals!$G$24:$G$29=_xlfn.IFS(AAC11="Handysize",Main!ACL11,AAC11="Supramax",ACE11,AAC11="Panamax",ABX11,AAC11="NeoPanamax",ABQ11,AAC11="Suezmax",ABJ11,AAC11="Capesize",ABC11,AAC11="VLOC",AAV11)))))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E11" s="136" t="e">
        <f t="array" aca="1" ref="AFE11" ca="1">INDEX(Canals!$AT$24:$AT$29,MATCH(2,1/((Canals!$F$24:$F$29&lt;=$C11)*(Canals!$G$24:$G$29=_xlfn.IFS(AAC11="Handysize",Main!ACL11,AAC11="Supramax",ACE11,AAC11="Panamax",ABX11,AAC11="NeoPanamax",ABQ11,AAC11="Suezmax",ABJ11,AAC11="Capesize",ABC11,AAC11="VLOC",AAV11)))))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F11" s="136" t="e">
        <f t="array" aca="1" ref="AFF11" ca="1">INDEX(Canals!$AU$24:$AU$29,MATCH(2,1/((Canals!$F$24:$F$29&lt;=$C11)*(Canals!$G$24:$G$29=_xlfn.IFS(AAC11="Handysize",Main!ACL11,AAC11="Supramax",ACE11,AAC11="Panamax",ABX11,AAC11="NeoPanamax",ABQ11,AAC11="Suezmax",ABJ11,AAC11="Capesize",ABC11,AAC11="VLOC",AAV11)))))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G11" s="136" t="e">
        <f t="array" aca="1" ref="AFG11" ca="1">INDEX(Canals!$AV$24:$AV$29,MATCH(2,1/((Canals!$F$24:$F$29&lt;=$C11)*(Canals!$G$24:$G$29=_xlfn.IFS(AAC11="Handysize",Main!ACL11,AAC11="Supramax",ACE11,AAC11="Panamax",ABX11,AAC11="NeoPanamax",ABQ11,AAC11="Suezmax",ABJ11,AAC11="Capesize",ABC11,AAC11="VLOC",AAV11)))))</f>
        <v>#N/A</v>
      </c>
      <c r="AFI11" s="75" t="e">
        <f t="array" aca="1" ref="AFI11" ca="1">_xlfn.IFS(ADT11="DWT",AAA11,ADT11="NRT",AAE11,ADT11="GRT",AAF11)</f>
        <v>#NAME?</v>
      </c>
      <c r="AFJ11" s="279" t="e">
        <f t="shared" ca="1" si="176"/>
        <v>#NAME?</v>
      </c>
      <c r="AFK11" s="280" t="e">
        <f t="shared" ca="1" si="177"/>
        <v>#NAME?</v>
      </c>
      <c r="AFL11" s="280" t="e">
        <f t="shared" ca="1" si="178"/>
        <v>#NAME?</v>
      </c>
      <c r="AFM11" s="280" t="e">
        <f t="shared" ca="1" si="179"/>
        <v>#NAME?</v>
      </c>
      <c r="AFN11" s="280" t="e">
        <f t="shared" ca="1" si="180"/>
        <v>#NAME?</v>
      </c>
      <c r="AFO11" s="280" t="e">
        <f t="shared" ca="1" si="181"/>
        <v>#NAME?</v>
      </c>
      <c r="AFP11" s="280" t="e">
        <f t="shared" ca="1" si="182"/>
        <v>#NAME?</v>
      </c>
      <c r="AFQ11" s="280" t="e">
        <f t="shared" ca="1" si="183"/>
        <v>#NAME?</v>
      </c>
      <c r="AFR11" s="280" t="e">
        <f t="shared" ca="1" si="184"/>
        <v>#NAME?</v>
      </c>
      <c r="AFS11" s="75">
        <f t="shared" si="185"/>
        <v>55575</v>
      </c>
      <c r="AFT11" s="279" t="e">
        <f t="shared" ca="1" si="186"/>
        <v>#N/A</v>
      </c>
      <c r="AFU11" s="280" t="e">
        <f t="shared" ca="1" si="187"/>
        <v>#N/A</v>
      </c>
      <c r="AFV11" s="280" t="e">
        <f t="shared" ca="1" si="188"/>
        <v>#N/A</v>
      </c>
      <c r="AFW11" s="280" t="e">
        <f t="shared" ca="1" si="189"/>
        <v>#N/A</v>
      </c>
      <c r="AFX11" s="280" t="e">
        <f t="shared" ca="1" si="190"/>
        <v>#N/A</v>
      </c>
      <c r="AFY11" s="280" t="e">
        <f t="shared" ca="1" si="191"/>
        <v>#N/A</v>
      </c>
      <c r="AFZ11" s="280" t="e">
        <f t="shared" ca="1" si="192"/>
        <v>#N/A</v>
      </c>
      <c r="AGA11" s="280" t="e">
        <f t="shared" ca="1" si="193"/>
        <v>#N/A</v>
      </c>
      <c r="AGB11" s="280" t="e">
        <f t="shared" ca="1" si="194"/>
        <v>#N/A</v>
      </c>
      <c r="AGD11" s="75" t="e">
        <f t="array" aca="1" ref="AGD11" ca="1">_xlfn.IFS(AAC11="Handysize",Main!ACF11,AAC11="Supramax",ABY11,AAC11="Panamax",ABR11,AAC11="NeoPanamax",ABK11,AAC11="Suezmax",ABD11,AAC11="Capesize",AAW11,AAC11="VLOC",AAP11)*$JI11</f>
        <v>#NAME?</v>
      </c>
      <c r="AGE11" s="274" t="e">
        <f t="array" aca="1" ref="AGE11" ca="1">_xlfn.IFS(AAC11="Handysize",Main!ACG11,AAC11="Supramax",ABZ11,AAC11="Panamax",ABS11,AAC11="NeoPanamax",ABL11,AAC11="Suezmax",ABE11,AAC11="Capesize",AAX11,AAC11="VLOC",AAQ11)*$JI11</f>
        <v>#NAME?</v>
      </c>
      <c r="AGF11" s="71" t="e">
        <f t="array" aca="1" ref="AGF11" ca="1">_xlfn.IFS(AAC11="Handysize",Main!AAH11,AAC11="Supramax",AAI11,AAC11="Panamax",AAJ11,AAC11="NeoPanamax",AAK11,AAC11="Suezmax",AAL11,AAC11="Capesize",AAM11,AAC11="VLOC",AAN11)</f>
        <v>#NAME?</v>
      </c>
      <c r="AGG11" s="71" t="e">
        <f t="array" aca="1" ref="AGG11" ca="1">_xlfn.IFS(AAC11="Handysize",Main!ACT11,AAC11="Supramax",ACU11,AAC11="Panamax",ACV11,AAC11="NeoPanamax",ACW11,AAC11="Suezmax",ACX11,AAC11="Capesize",ACY11,AAC11="VLOC",ACZ11)</f>
        <v>#NAME?</v>
      </c>
      <c r="AGH11" s="70">
        <f t="array" ref="AGH11">INDEX('Ship Speeds'!$G$11:$G$1011,MATCH(2,1/(('Ship Speeds'!$E$11:$E$1011&lt;=Main!$C11)*('Ship Speeds'!$F$11:$F$1011=Main!AAB11))))</f>
        <v>11</v>
      </c>
      <c r="AGI11" s="403">
        <f t="shared" si="195"/>
        <v>17.439470556521982</v>
      </c>
      <c r="AGJ11" s="401">
        <f t="shared" si="196"/>
        <v>1.8087599999999999</v>
      </c>
      <c r="AGK11" s="70" t="e">
        <f t="shared" ca="1" si="197"/>
        <v>#NAME?</v>
      </c>
      <c r="AGL11" s="70" t="e">
        <f t="shared" ca="1" si="198"/>
        <v>#NAME?</v>
      </c>
      <c r="AGM11" s="70" t="e">
        <f t="shared" ca="1" si="199"/>
        <v>#NAME?</v>
      </c>
      <c r="AGN11" s="70" t="e">
        <f t="shared" ca="1" si="200"/>
        <v>#NAME?</v>
      </c>
      <c r="AGO11" s="72" t="e">
        <f t="shared" ca="1" si="201"/>
        <v>#N/A</v>
      </c>
      <c r="AGP11" s="70" t="e">
        <f t="shared" ca="1" si="202"/>
        <v>#NAME?</v>
      </c>
      <c r="AGQ11" s="70" t="e">
        <f t="array" aca="1" ref="AGQ11" ca="1">INDEX(ACN11:ACR11,MATCH(_xlfn.IFS(AAC11="Handysize",Main!ACJ11,AAC11="Supramax",ACC11,AAC11="Panamax",ABV11,AAC11="NeoPanamax",ABO11,AAC11="Suezmax",ABH11,AAC11="Capesize",ABA11,AAC11="VLOC",AAT11),$ACN$7:$ACR$7,0))</f>
        <v>#NAME?</v>
      </c>
      <c r="AGR11" s="70" t="e">
        <f t="array" aca="1" ref="AGR11" ca="1">INDEX(ACN11:ACR11,MATCH(_xlfn.IFS(AAC11="Handysize",Main!ACK11,AAC11="Supramax",ACD11,AAC11="Panamax",ABW11,AAC11="NeoPanamax",ABP11,AAC11="Suezmax",ABI11,AAC11="Capesize",ABB11,AAC11="VLOC",AAU11),$ACN$7:$ACR$7,0))</f>
        <v>#NAME?</v>
      </c>
      <c r="AGS11" s="71" t="e">
        <f t="shared" ca="1" si="203"/>
        <v>#NAME?</v>
      </c>
      <c r="AGT11" s="71" t="e">
        <f t="shared" ca="1" si="204"/>
        <v>#NAME?</v>
      </c>
      <c r="AGU11" s="281">
        <f t="shared" si="205"/>
        <v>7.0759999999999987</v>
      </c>
      <c r="AGV11" s="71">
        <f t="shared" si="206"/>
        <v>1744.2057659694747</v>
      </c>
      <c r="AGW11" s="71" t="e">
        <f t="shared" ca="1" si="207"/>
        <v>#NAME?</v>
      </c>
      <c r="AGX11" s="71" t="e">
        <f t="shared" ca="1" si="208"/>
        <v>#NAME?</v>
      </c>
      <c r="AGY11" s="71">
        <f t="shared" si="209"/>
        <v>20734.595816845678</v>
      </c>
      <c r="AGZ11" s="71" t="e">
        <f t="shared" ca="1" si="210"/>
        <v>#NAME?</v>
      </c>
      <c r="AHA11" s="71" t="e">
        <f t="shared" ca="1" si="211"/>
        <v>#NAME?</v>
      </c>
      <c r="AHB11" s="71">
        <f t="shared" si="212"/>
        <v>14720.451384963259</v>
      </c>
      <c r="AHC11" s="71" t="e">
        <f t="shared" ca="1" si="213"/>
        <v>#NAME?</v>
      </c>
      <c r="AHD11" s="71" t="e">
        <f t="shared" ca="1" si="214"/>
        <v>#NAME?</v>
      </c>
      <c r="AHE11" s="71">
        <f t="shared" si="215"/>
        <v>0</v>
      </c>
      <c r="AHF11" s="71" t="e">
        <f t="shared" ca="1" si="216"/>
        <v>#NAME?</v>
      </c>
      <c r="AHG11" s="71" t="e">
        <f t="shared" ca="1" si="217"/>
        <v>#NAME?</v>
      </c>
      <c r="AHH11" s="72">
        <f t="shared" si="218"/>
        <v>5447.0388637648393</v>
      </c>
      <c r="AHI11" s="72" t="e">
        <f t="shared" ca="1" si="219"/>
        <v>#NAME?</v>
      </c>
      <c r="AHJ11" s="71" t="e">
        <f t="shared" ca="1" si="220"/>
        <v>#NAME?</v>
      </c>
      <c r="AHK11" s="71" t="e">
        <f t="array" aca="1" ref="AHK11" ca="1">INDEX('Ship Time Charter Rates'!$H$22:$H$1021,MATCH(2,1/(('Ship Time Charter Rates'!$G$22:$G$1021=_xlfn.IFS(AAC11="Handysize",Main!ACH11,AAC11="Supramax",ACA11,AAC11="Panamax",ABT11,AAC11="NeoPanamax",ABM11,AAC11="Suezmax",ABF11,AAC11="Capesize",AAY11,AAC11="VLOC",AAR11))*('Ship Time Charter Rates'!$E$22:$E$1021&lt;=Main!$C11)*(NOT(ISBLANK('Ship Time Charter Rates'!$H$22:$H$1021))))))</f>
        <v>#N/A</v>
      </c>
      <c r="AHL11" s="71" t="e">
        <f t="shared" ca="1" si="221"/>
        <v>#NAME?</v>
      </c>
      <c r="AHM11" s="70" t="e">
        <f t="shared" ca="1" si="222"/>
        <v>#N/A</v>
      </c>
      <c r="AHN11" s="71" t="e">
        <f t="shared" ca="1" si="223"/>
        <v>#NAME?</v>
      </c>
      <c r="AHO11" s="71" t="e">
        <f t="shared" ref="AHO11:AHO23" ca="1" si="306">AHN11*(1+$KL11)*(1+$KM11)</f>
        <v>#NAME?</v>
      </c>
      <c r="AHP11" s="72" t="e">
        <f t="shared" ref="AHP11:AHP26" ca="1" si="307">IF(AHO11=0,0,AHO11/(AAA11*(1-$AL11)*$JN11))</f>
        <v>#NAME?</v>
      </c>
      <c r="AHR11" s="25">
        <f>IF($AO11="yes",$AN11,$AR11)/(1-$AL11)/$JN11</f>
        <v>0</v>
      </c>
      <c r="AHS11" s="4" t="str">
        <f>VLOOKUP(AHR11,'Ship Time Charter Rates'!$F$10:$G$17,2,TRUE)</f>
        <v>Handysize</v>
      </c>
      <c r="AHT11" s="4" t="str">
        <f>VLOOKUP(AHR11,Canals!$E$5:$F$12,2,TRUE)</f>
        <v>Handysize</v>
      </c>
      <c r="AHU11" s="25">
        <f t="shared" si="224"/>
        <v>145.88999999999999</v>
      </c>
      <c r="AHV11" s="25">
        <f t="shared" si="225"/>
        <v>0</v>
      </c>
      <c r="AHW11" s="25">
        <f t="shared" si="226"/>
        <v>4797</v>
      </c>
      <c r="AHY11" s="75">
        <f t="array" ref="AHY11">INDEX('Indices Mines Exporting Ports'!$R$20:$R$51,MATCH(2,1/(('Indices Mines Exporting Ports'!$D$20:$D$51&lt;=Main!$C11)*('Indices Mines Exporting Ports'!$Q$20:$Q$51=$AQ11))))</f>
        <v>0</v>
      </c>
      <c r="AHZ11" s="75">
        <f t="array" ref="AHZ11">INDEX('Indices Mines Exporting Ports'!$S$20:$S$51,MATCH(2,1/(('Indices Mines Exporting Ports'!$D$20:$D$51&lt;=Main!$C11)*('Indices Mines Exporting Ports'!$Q$20:$Q$51=$AQ11))))</f>
        <v>0</v>
      </c>
      <c r="AIA11" s="75">
        <f t="array" ref="AIA11">INDEX('Indices Mines Exporting Ports'!$T$20:$T$51,MATCH(2,1/(('Indices Mines Exporting Ports'!$D$20:$D$51&lt;=Main!$C11)*('Indices Mines Exporting Ports'!$Q$20:$Q$51=$AQ11))))</f>
        <v>0</v>
      </c>
      <c r="AIB11" s="75">
        <f t="array" ref="AIB11">INDEX('Indices Mines Exporting Ports'!$U$20:$U$51,MATCH(2,1/(('Indices Mines Exporting Ports'!$D$20:$D$51&lt;=Main!$C11)*('Indices Mines Exporting Ports'!$Q$20:$Q$51=$AQ11))))</f>
        <v>0</v>
      </c>
      <c r="AIC11" s="75">
        <f t="array" ref="AIC11">INDEX('Indices Mines Exporting Ports'!$V$20:$V$51,MATCH(2,1/(('Indices Mines Exporting Ports'!$D$20:$D$51&lt;=Main!$C11)*('Indices Mines Exporting Ports'!$Q$20:$Q$51=$AQ11))))</f>
        <v>0</v>
      </c>
      <c r="AID11" s="75">
        <f t="array" ref="AID11">INDEX('Indices Mines Exporting Ports'!$W$20:$W$51,MATCH(2,1/(('Indices Mines Exporting Ports'!$D$20:$D$51&lt;=Main!$C11)*('Indices Mines Exporting Ports'!$Q$20:$Q$51=$AQ11))))</f>
        <v>0</v>
      </c>
      <c r="AIE11" s="75">
        <f t="array" ref="AIE11">INDEX('Indices Mines Exporting Ports'!$X$20:$X$51,MATCH(2,1/(('Indices Mines Exporting Ports'!$D$20:$D$51&lt;=Main!$C11)*('Indices Mines Exporting Ports'!$Q$20:$Q$51=$AQ11))))</f>
        <v>0</v>
      </c>
      <c r="AIG11" s="75">
        <f t="array" ref="AIG11">INDEX('Port Linkages'!$E$18:$E$157,MATCH(2,1/(('Port Linkages'!$C$18:$C$157=$AQ11)*('Port Linkages'!$D$18:$D$157=IF($AO11="no",$AQ11,$KK11))*('Port Linkages'!$A$18:$A$157&lt;=$C11))))</f>
        <v>0</v>
      </c>
      <c r="AIH11" s="75">
        <f t="array" ref="AIH11">INDEX('Port Linkages'!$F$18:$F$157,MATCH(2,1/(('Port Linkages'!$C$18:$C$157=$AQ11)*('Port Linkages'!$D$18:$D$157=IF($AO11="no",$AQ11,$KK11))*('Port Linkages'!$A$18:$A$157&lt;=$C11))))</f>
        <v>0</v>
      </c>
      <c r="AII11" s="75">
        <f t="array" ref="AII11">INDEX('Port Linkages'!$G$18:$G$157,MATCH(2,1/(('Port Linkages'!$C$18:$C$157=$AQ11)*('Port Linkages'!$D$18:$D$157=IF($AO11="no",$AQ11,$KK11))*('Port Linkages'!$A$18:$A$157&lt;=$C11))))</f>
        <v>0</v>
      </c>
      <c r="AIJ11" s="75">
        <f t="array" ref="AIJ11">INDEX('Port Linkages'!$H$18:$H$157,MATCH(2,1/(('Port Linkages'!$C$18:$C$157=$AQ11)*('Port Linkages'!$D$18:$D$157=IF($AO11="no",$AQ11,$KK11))*('Port Linkages'!$A$18:$A$157&lt;=$C11))))</f>
        <v>0</v>
      </c>
      <c r="AIK11" s="75">
        <f t="array" ref="AIK11">INDEX('Port Linkages'!$I$18:$I$157,MATCH(2,1/(('Port Linkages'!$C$18:$C$157=$AQ11)*('Port Linkages'!$D$18:$D$157=IF($AO11="no",$AQ11,$KK11))*('Port Linkages'!$A$18:$A$157&lt;=$C11))))</f>
        <v>0</v>
      </c>
      <c r="AIL11" s="75">
        <f t="array" ref="AIL11">INDEX('Port Linkages'!$J$18:$J$157,MATCH(2,1/(('Port Linkages'!$C$18:$C$157=$AQ11)*('Port Linkages'!$D$18:$D$157=IF($AO11="no",$AQ11,$KK11))*('Port Linkages'!$A$18:$A$157&lt;=$C11))))</f>
        <v>0</v>
      </c>
      <c r="AIM11" s="75">
        <f t="array" ref="AIM11">INDEX('Port Linkages'!$K$18:$K$157,MATCH(2,1/(('Port Linkages'!$C$18:$C$157=$AQ11)*('Port Linkages'!$D$18:$D$157=IF($AO11="no",$AQ11,$KK11))*('Port Linkages'!$A$18:$A$157&lt;=$C11))))</f>
        <v>0</v>
      </c>
      <c r="AIN11" s="75">
        <f t="array" ref="AIN11">INDEX('Port Linkages'!$L$18:$L$157,MATCH(2,1/(('Port Linkages'!$C$18:$C$157=$AQ11)*('Port Linkages'!$D$18:$D$157=IF($AO11="no",$AQ11,$KK11))*('Port Linkages'!$A$18:$A$157&lt;=$C11))))</f>
        <v>0</v>
      </c>
      <c r="AIO11" s="75">
        <f t="array" ref="AIO11">INDEX('Port Linkages'!$M$18:$M$157,MATCH(2,1/(('Port Linkages'!$C$18:$C$157=$AQ11)*('Port Linkages'!$D$18:$D$157=IF($AO11="no",$AQ11,$KK11))*('Port Linkages'!$A$18:$A$157&lt;=$C11))))</f>
        <v>0</v>
      </c>
      <c r="AIP11" s="75">
        <f t="array" ref="AIP11">INDEX('Port Linkages'!$N$18:$N$157,MATCH(2,1/(('Port Linkages'!$C$18:$C$157=$AQ11)*('Port Linkages'!$D$18:$D$157=IF($AO11="no",$AQ11,$KK11))*('Port Linkages'!$A$18:$A$157&lt;=$C11))))</f>
        <v>0</v>
      </c>
      <c r="AIQ11" s="75">
        <f t="array" ref="AIQ11">INDEX('Port Linkages'!$O$18:$O$157,MATCH(2,1/(('Port Linkages'!$C$18:$C$157=$AQ11)*('Port Linkages'!$D$18:$D$157=IF($AO11="no",$AQ11,$KK11))*('Port Linkages'!$A$18:$A$157&lt;=$C11))))</f>
        <v>0</v>
      </c>
      <c r="AIR11" s="75">
        <f t="array" ref="AIR11">INDEX('Port Linkages'!$P$18:$P$157,MATCH(2,1/(('Port Linkages'!$C$18:$C$157=$AQ11)*('Port Linkages'!$D$18:$D$157=IF($AO11="no",$AQ11,$KK11))*('Port Linkages'!$A$18:$A$157&lt;=$C11))))</f>
        <v>0</v>
      </c>
      <c r="AIS11" s="75">
        <f t="array" ref="AIS11">INDEX('Port Linkages'!$Q$18:$Q$157,MATCH(2,1/(('Port Linkages'!$C$18:$C$157=$AQ11)*('Port Linkages'!$D$18:$D$157=IF($AO11="no",$AQ11,$KK11))*('Port Linkages'!$A$18:$A$157&lt;=$C11))))</f>
        <v>0</v>
      </c>
      <c r="AIT11" s="75">
        <f t="array" ref="AIT11">INDEX('Port Linkages'!$R$18:$R$157,MATCH(2,1/(('Port Linkages'!$C$18:$C$157=$AQ11)*('Port Linkages'!$D$18:$D$157=IF($AO11="no",$AQ11,$KK11))*('Port Linkages'!$A$18:$A$157&lt;=$C11))))</f>
        <v>0</v>
      </c>
      <c r="AIU11" s="75">
        <f t="array" ref="AIU11">INDEX('Port Linkages'!$S$18:$S$157,MATCH(2,1/(('Port Linkages'!$C$18:$C$157=$AQ11)*('Port Linkages'!$D$18:$D$157=IF($AO11="no",$AQ11,$KK11))*('Port Linkages'!$A$18:$A$157&lt;=$C11))))</f>
        <v>0</v>
      </c>
      <c r="AIV11" s="75">
        <f t="array" ref="AIV11">INDEX('Port Linkages'!$T$18:$T$157,MATCH(2,1/(('Port Linkages'!$C$18:$C$157=$AQ11)*('Port Linkages'!$D$18:$D$157=IF($AO11="no",$AQ11,$KK11))*('Port Linkages'!$A$18:$A$157&lt;=$C11))))</f>
        <v>0</v>
      </c>
      <c r="AIW11" s="75">
        <f t="array" ref="AIW11">INDEX('Port Linkages'!$U$18:$U$157,MATCH(2,1/(('Port Linkages'!$C$18:$C$157=$AQ11)*('Port Linkages'!$D$18:$D$157=IF($AO11="no",$AQ11,$KK11))*('Port Linkages'!$A$18:$A$157&lt;=$C11))))</f>
        <v>0</v>
      </c>
      <c r="AIX11" s="75">
        <f t="array" ref="AIX11">INDEX('Port Linkages'!$V$18:$V$157,MATCH(2,1/(('Port Linkages'!$C$18:$C$157=$AQ11)*('Port Linkages'!$D$18:$D$157=IF($AO11="no",$AQ11,$KK11))*('Port Linkages'!$A$18:$A$157&lt;=$C11))))</f>
        <v>0</v>
      </c>
      <c r="AIY11" s="75">
        <f t="array" ref="AIY11">INDEX('Port Linkages'!$W$18:$W$157,MATCH(2,1/(('Port Linkages'!$C$18:$C$157=$AQ11)*('Port Linkages'!$D$18:$D$157=IF($AO11="no",$AQ11,$KK11))*('Port Linkages'!$A$18:$A$157&lt;=$C11))))</f>
        <v>0</v>
      </c>
      <c r="AIZ11" s="75">
        <f t="array" ref="AIZ11">INDEX('Port Linkages'!$X$18:$X$157,MATCH(2,1/(('Port Linkages'!$C$18:$C$157=$AQ11)*('Port Linkages'!$D$18:$D$157=IF($AO11="no",$AQ11,$KK11))*('Port Linkages'!$A$18:$A$157&lt;=$C11))))</f>
        <v>0</v>
      </c>
      <c r="AJA11" s="75">
        <f t="array" ref="AJA11">INDEX('Port Linkages'!$Y$18:$Y$157,MATCH(2,1/(('Port Linkages'!$C$18:$C$157=$AQ11)*('Port Linkages'!$D$18:$D$157=IF($AO11="no",$AQ11,$KK11))*('Port Linkages'!$A$18:$A$157&lt;=$C11))))</f>
        <v>0</v>
      </c>
      <c r="AJB11" s="75">
        <f t="array" ref="AJB11">INDEX('Port Linkages'!$Z$18:$Z$157,MATCH(2,1/(('Port Linkages'!$C$18:$C$157=$AQ11)*('Port Linkages'!$D$18:$D$157=IF($AO11="no",$AQ11,$KK11))*('Port Linkages'!$A$18:$A$157&lt;=$C11))))</f>
        <v>0</v>
      </c>
      <c r="AJC11" s="75">
        <f t="array" ref="AJC11">INDEX('Port Linkages'!$AA$18:$AA$157,MATCH(2,1/(('Port Linkages'!$C$18:$C$157=$AQ11)*('Port Linkages'!$D$18:$D$157=IF($AO11="no",$AQ11,$KK11))*('Port Linkages'!$A$18:$A$157&lt;=$C11))))</f>
        <v>0</v>
      </c>
      <c r="AJD11" s="75">
        <f t="array" ref="AJD11">INDEX('Port Linkages'!$AB$18:$AB$157,MATCH(2,1/(('Port Linkages'!$C$18:$C$157=$AQ11)*('Port Linkages'!$D$18:$D$157=IF($AO11="no",$AQ11,$KK11))*('Port Linkages'!$A$18:$A$157&lt;=$C11))))</f>
        <v>0</v>
      </c>
      <c r="AJE11" s="75">
        <f t="array" ref="AJE11">INDEX('Port Linkages'!$AC$18:$AC$157,MATCH(2,1/(('Port Linkages'!$C$18:$C$157=$AQ11)*('Port Linkages'!$D$18:$D$157=IF($AO11="no",$AQ11,$KK11))*('Port Linkages'!$A$18:$A$157&lt;=$C11))))</f>
        <v>0</v>
      </c>
      <c r="AJF11" s="75">
        <f t="array" ref="AJF11">INDEX('Port Linkages'!$AD$18:$AD$157,MATCH(2,1/(('Port Linkages'!$C$18:$C$157=$AQ11)*('Port Linkages'!$D$18:$D$157=IF($AO11="no",$AQ11,$KK11))*('Port Linkages'!$A$18:$A$157&lt;=$C11))))</f>
        <v>0</v>
      </c>
      <c r="AJG11" s="75">
        <f t="array" ref="AJG11">INDEX('Port Linkages'!$AE$18:$AE$157,MATCH(2,1/(('Port Linkages'!$C$18:$C$157=$AQ11)*('Port Linkages'!$D$18:$D$157=IF($AO11="no",$AQ11,$KK11))*('Port Linkages'!$A$18:$A$157&lt;=$C11))))</f>
        <v>0</v>
      </c>
      <c r="AJH11" s="75">
        <f t="array" ref="AJH11">INDEX('Port Linkages'!$AF$18:$AF$157,MATCH(2,1/(('Port Linkages'!$C$18:$C$157=$AQ11)*('Port Linkages'!$D$18:$D$157=IF($AO11="no",$AQ11,$KK11))*('Port Linkages'!$A$18:$A$157&lt;=$C11))))</f>
        <v>0</v>
      </c>
      <c r="AJI11" s="75">
        <f t="array" ref="AJI11">INDEX('Port Linkages'!$AG$18:$AG$157,MATCH(2,1/(('Port Linkages'!$C$18:$C$157=$AQ11)*('Port Linkages'!$D$18:$D$157=IF($AO11="no",$AQ11,$KK11))*('Port Linkages'!$A$18:$A$157&lt;=$C11))))</f>
        <v>0</v>
      </c>
      <c r="AJJ11" s="75">
        <f t="array" ref="AJJ11">INDEX('Port Linkages'!$AH$18:$AH$157,MATCH(2,1/(('Port Linkages'!$C$18:$C$157=$AQ11)*('Port Linkages'!$D$18:$D$157=IF($AO11="no",$AQ11,$KK11))*('Port Linkages'!$A$18:$A$157&lt;=$C11))))</f>
        <v>0</v>
      </c>
      <c r="AJK11" s="75">
        <f t="array" ref="AJK11">INDEX('Port Linkages'!$AI$18:$AI$157,MATCH(2,1/(('Port Linkages'!$C$18:$C$157=$AQ11)*('Port Linkages'!$D$18:$D$157=IF($AO11="no",$AQ11,$KK11))*('Port Linkages'!$A$18:$A$157&lt;=$C11))))</f>
        <v>0</v>
      </c>
      <c r="AJL11" s="75">
        <f t="array" ref="AJL11">INDEX('Port Linkages'!$AJ$18:$AJ$157,MATCH(2,1/(('Port Linkages'!$C$18:$C$157=$AQ11)*('Port Linkages'!$D$18:$D$157=IF($AO11="no",$AQ11,$KK11))*('Port Linkages'!$A$18:$A$157&lt;=$C11))))</f>
        <v>0</v>
      </c>
      <c r="AJM11" s="75">
        <f t="array" ref="AJM11">INDEX('Port Linkages'!$AK$18:$AK$157,MATCH(2,1/(('Port Linkages'!$C$18:$C$157=$AQ11)*('Port Linkages'!$D$18:$D$157=IF($AO11="no",$AQ11,$KK11))*('Port Linkages'!$A$18:$A$157&lt;=$C11))))</f>
        <v>0</v>
      </c>
      <c r="AJN11" s="75">
        <f t="array" ref="AJN11">INDEX('Port Linkages'!$AL$18:$AL$157,MATCH(2,1/(('Port Linkages'!$C$18:$C$157=$AQ11)*('Port Linkages'!$D$18:$D$157=IF($AO11="no",$AQ11,$KK11))*('Port Linkages'!$A$18:$A$157&lt;=$C11))))</f>
        <v>0</v>
      </c>
      <c r="AJO11" s="75">
        <f t="array" ref="AJO11">INDEX('Port Linkages'!$AM$18:$AM$157,MATCH(2,1/(('Port Linkages'!$C$18:$C$157=$AQ11)*('Port Linkages'!$D$18:$D$157=IF($AO11="no",$AQ11,$KK11))*('Port Linkages'!$A$18:$A$157&lt;=$C11))))</f>
        <v>0</v>
      </c>
      <c r="AJP11" s="75">
        <f t="array" ref="AJP11">INDEX('Port Linkages'!$AN$18:$AN$157,MATCH(2,1/(('Port Linkages'!$C$18:$C$157=$AQ11)*('Port Linkages'!$D$18:$D$157=IF($AO11="no",$AQ11,$KK11))*('Port Linkages'!$A$18:$A$157&lt;=$C11))))</f>
        <v>0</v>
      </c>
      <c r="AJQ11" s="75">
        <f t="array" ref="AJQ11">INDEX('Port Linkages'!$AO$18:$AO$157,MATCH(2,1/(('Port Linkages'!$C$18:$C$157=$AQ11)*('Port Linkages'!$D$18:$D$157=IF($AO11="no",$AQ11,$KK11))*('Port Linkages'!$A$18:$A$157&lt;=$C11))))</f>
        <v>0</v>
      </c>
      <c r="AJR11" s="75">
        <f t="array" ref="AJR11">INDEX('Port Linkages'!$AP$18:$AP$157,MATCH(2,1/(('Port Linkages'!$C$18:$C$157=$AQ11)*('Port Linkages'!$D$18:$D$157=IF($AO11="no",$AQ11,$KK11))*('Port Linkages'!$A$18:$A$157&lt;=$C11))))</f>
        <v>0</v>
      </c>
      <c r="AJS11" s="75">
        <f t="array" ref="AJS11">INDEX('Port Linkages'!$AQ$18:$AQ$157,MATCH(2,1/(('Port Linkages'!$C$18:$C$157=$AQ11)*('Port Linkages'!$D$18:$D$157=IF($AO11="no",$AQ11,$KK11))*('Port Linkages'!$A$18:$A$157&lt;=$C11))))</f>
        <v>0</v>
      </c>
      <c r="AJT11" s="75">
        <f t="array" ref="AJT11">INDEX('Port Linkages'!$AR$18:$AR$157,MATCH(2,1/(('Port Linkages'!$C$18:$C$157=$AQ11)*('Port Linkages'!$D$18:$D$157=IF($AO11="no",$AQ11,$KK11))*('Port Linkages'!$A$18:$A$157&lt;=$C11))))</f>
        <v>0</v>
      </c>
      <c r="AJU11" s="75">
        <f t="array" ref="AJU11">INDEX('Port Linkages'!$AS$18:$AS$157,MATCH(2,1/(('Port Linkages'!$C$18:$C$157=$AQ11)*('Port Linkages'!$D$18:$D$157=IF($AO11="no",$AQ11,$KK11))*('Port Linkages'!$A$18:$A$157&lt;=$C11))))</f>
        <v>0</v>
      </c>
      <c r="AJV11" s="75">
        <f t="array" ref="AJV11">INDEX('Port Linkages'!$AT$18:$AT$157,MATCH(2,1/(('Port Linkages'!$C$18:$C$157=$AQ11)*('Port Linkages'!$D$18:$D$157=IF($AO11="no",$AQ11,$KK11))*('Port Linkages'!$A$18:$A$157&lt;=$C11))))</f>
        <v>0</v>
      </c>
      <c r="AJW11" s="75">
        <f t="array" ref="AJW11">INDEX('Port Linkages'!$AU$18:$AU$157,MATCH(2,1/(('Port Linkages'!$C$18:$C$157=$AQ11)*('Port Linkages'!$D$18:$D$157=IF($AO11="no",$AQ11,$KK11))*('Port Linkages'!$A$18:$A$157&lt;=$C11))))</f>
        <v>0</v>
      </c>
      <c r="AJX11" s="75">
        <f t="array" ref="AJX11">INDEX('Port Linkages'!$AV$18:$AV$157,MATCH(2,1/(('Port Linkages'!$C$18:$C$157=$AQ11)*('Port Linkages'!$D$18:$D$157=IF($AO11="no",$AQ11,$KK11))*('Port Linkages'!$A$18:$A$157&lt;=$C11))))</f>
        <v>0</v>
      </c>
      <c r="AJY11" s="75">
        <f t="array" ref="AJY11">INDEX('Port Linkages'!$AW$18:$AW$157,MATCH(2,1/(('Port Linkages'!$C$18:$C$157=$AQ11)*('Port Linkages'!$D$18:$D$157=IF($AO11="no",$AQ11,$KK11))*('Port Linkages'!$A$18:$A$157&lt;=$C11))))</f>
        <v>0</v>
      </c>
      <c r="AJZ11" s="75">
        <f t="array" ref="AJZ11">INDEX('Port Linkages'!$AX$18:$AX$157,MATCH(2,1/(('Port Linkages'!$C$18:$C$157=$AQ11)*('Port Linkages'!$D$18:$D$157=IF($AO11="no",$AQ11,$KK11))*('Port Linkages'!$A$18:$A$157&lt;=$C11))))</f>
        <v>0</v>
      </c>
      <c r="AKA11" s="75">
        <f t="array" ref="AKA11">INDEX('Port Linkages'!$AY$18:$AY$157,MATCH(2,1/(('Port Linkages'!$C$18:$C$157=$AQ11)*('Port Linkages'!$D$18:$D$157=IF($AO11="no",$AQ11,$KK11))*('Port Linkages'!$A$18:$A$157&lt;=$C11))))</f>
        <v>0</v>
      </c>
      <c r="AKB11" s="75">
        <f t="array" ref="AKB11">INDEX('Port Linkages'!$AZ$18:$AZ$157,MATCH(2,1/(('Port Linkages'!$C$18:$C$157=$AQ11)*('Port Linkages'!$D$18:$D$157=IF($AO11="no",$AQ11,$KK11))*('Port Linkages'!$A$18:$A$157&lt;=$C11))))</f>
        <v>0</v>
      </c>
      <c r="AKC11" s="75">
        <f t="array" ref="AKC11">INDEX('Port Linkages'!$BA$18:$BA$157,MATCH(2,1/(('Port Linkages'!$C$18:$C$157=$AQ11)*('Port Linkages'!$D$18:$D$157=IF($AO11="no",$AQ11,$KK11))*('Port Linkages'!$A$18:$A$157&lt;=$C11))))</f>
        <v>0</v>
      </c>
      <c r="AKE11" s="25" t="e">
        <f t="array" aca="1" ref="AKE11" ca="1">INDEX('Ship Fuel Prices'!$F$5:$F$1004,MATCH(2,1/(('Ship Fuel Prices'!$E$5:$E$1004=_xlfn.IFS(AHT11="Handysize",Main!AJZ11,AHT11="Supramax",AJS11,AHT11="Panamax",AJL11,AHT11="NeoPanamax",AJE11,AHT11="Suezmax",AIX11,AHT11="Capesize",AIQ11,AHT11="VLOC",AIJ11))*('Ship Fuel Prices'!$D$5:$D$1004&lt;=Main!$C11))))</f>
        <v>#N/A</v>
      </c>
      <c r="AKF11" s="25" t="e">
        <f t="array" aca="1" ref="AKF11" ca="1">INDEX('Ship Fuel Prices'!$G$5:$G$1004,MATCH(2,1/(('Ship Fuel Prices'!$E$5:$E$1004=_xlfn.IFS(AHT11="Handysize",Main!AJZ11,AHT11="Supramax",AJS11,AHT11="Panamax",AJL11,AHT11="NeoPanamax",AJE11,AHT11="Suezmax",AIX11,AHT11="Capesize",AIQ11,AHT11="VLOC",AIJ11))*('Ship Fuel Prices'!$D$5:$D$1004&lt;=Main!$C11))))</f>
        <v>#N/A</v>
      </c>
      <c r="AKG11" s="25" t="e">
        <f t="array" aca="1" ref="AKG11" ca="1">INDEX('Ship Fuel Prices'!$H$5:$H$1004,MATCH(2,1/(('Ship Fuel Prices'!$E$5:$E$1004=_xlfn.IFS(AHT11="Handysize",Main!AJZ11,AHT11="Supramax",AJS11,AHT11="Panamax",AJL11,AHT11="NeoPanamax",AJE11,AHT11="Suezmax",AIX11,AHT11="Capesize",AIQ11,AHT11="VLOC",AIJ11))*('Ship Fuel Prices'!$D$5:$D$1004&lt;=Main!$C11))))</f>
        <v>#N/A</v>
      </c>
      <c r="AKH11" s="25" t="e">
        <f t="array" aca="1" ref="AKH11" ca="1">INDEX('Ship Fuel Prices'!$I$5:$I$1004,MATCH(2,1/(('Ship Fuel Prices'!$E$5:$E$1004=_xlfn.IFS(AHT11="Handysize",Main!AJZ11,AHT11="Supramax",AJS11,AHT11="Panamax",AJL11,AHT11="NeoPanamax",AJE11,AHT11="Suezmax",AIX11,AHT11="Capesize",AIQ11,AHT11="VLOC",AIJ11))*('Ship Fuel Prices'!$D$5:$D$1004&lt;=Main!$C11))))</f>
        <v>#N/A</v>
      </c>
      <c r="AKI11" s="25" t="e">
        <f t="array" aca="1" ref="AKI11" ca="1">INDEX('Ship Fuel Prices'!$J$5:$J$1004,MATCH(2,1/(('Ship Fuel Prices'!$E$5:$E$1004=_xlfn.IFS(AHT11="Handysize",Main!AJZ11,AHT11="Supramax",AJS11,AHT11="Panamax",AJL11,AHT11="NeoPanamax",AJE11,AHT11="Suezmax",AIX11,AHT11="Capesize",AIQ11,AHT11="VLOC",AIJ11))*('Ship Fuel Prices'!$D$5:$D$1004&lt;=Main!$C11))))</f>
        <v>#N/A</v>
      </c>
      <c r="AKK11" s="75">
        <f t="array" ref="AKK11">INDEX('China n Importing Ports'!$E$20:$E$41,MATCH(2,1/(('China n Importing Ports'!$D$20:$D$41&lt;=$C11)*('China n Importing Ports'!$C$20:$C$41=IF($AO11="No",$AQ11,$KK11)))))</f>
        <v>0</v>
      </c>
      <c r="AKL11" s="75">
        <f t="array" ref="AKL11">INDEX('China n Importing Ports'!$F$20:$F$41,MATCH(2,1/(('China n Importing Ports'!$D$20:$D$41&lt;=$C11)*('China n Importing Ports'!$C$20:$C$41=IF($AO11="No",$AQ11,$KK11)))))</f>
        <v>0</v>
      </c>
      <c r="AKM11" s="75">
        <f t="array" ref="AKM11">INDEX('China n Importing Ports'!$G$20:$G$41,MATCH(2,1/(('China n Importing Ports'!$D$20:$D$41&lt;=$C11)*('China n Importing Ports'!$C$20:$C$41=IF($AO11="No",$AQ11,$KK11)))))</f>
        <v>0</v>
      </c>
      <c r="AKN11" s="75">
        <f t="array" ref="AKN11">INDEX('China n Importing Ports'!$H$20:$H$41,MATCH(2,1/(('China n Importing Ports'!$D$20:$D$41&lt;=$C11)*('China n Importing Ports'!$C$20:$C$41=IF($AO11="No",$AQ11,$KK11)))))</f>
        <v>0</v>
      </c>
      <c r="AKO11" s="75">
        <f t="array" ref="AKO11">INDEX('China n Importing Ports'!$I$20:$I$41,MATCH(2,1/(('China n Importing Ports'!$D$20:$D$41&lt;=$C11)*('China n Importing Ports'!$C$20:$C$41=IF($AO11="No",$AQ11,$KK11)))))</f>
        <v>0</v>
      </c>
      <c r="AKP11" s="75">
        <f t="array" ref="AKP11">INDEX('China n Importing Ports'!$J$20:$J$41,MATCH(2,1/(('China n Importing Ports'!$D$20:$D$41&lt;=$C11)*('China n Importing Ports'!$C$20:$C$41=IF($AO11="No",$AQ11,$KK11)))))</f>
        <v>0</v>
      </c>
      <c r="AKQ11" s="75">
        <f t="array" ref="AKQ11">INDEX('China n Importing Ports'!$K$20:$K$41,MATCH(2,1/(('China n Importing Ports'!$D$20:$D$41&lt;=$C11)*('China n Importing Ports'!$C$20:$C$41=IF($AO11="No",$AQ11,$KK11)))))</f>
        <v>0</v>
      </c>
      <c r="AKR11" s="75">
        <f t="array" ref="AKR11">INDEX('China n Importing Ports'!$L$20:$L$41,MATCH(2,1/(('China n Importing Ports'!$D$20:$D$41&lt;=$C11)*('China n Importing Ports'!$C$20:$C$41=IF($AO11="No",$AQ11,$KK11)))))</f>
        <v>0</v>
      </c>
      <c r="AKS11" s="75">
        <f t="array" ref="AKS11">INDEX('China n Importing Ports'!$M$20:$M$41,MATCH(2,1/(('China n Importing Ports'!$D$20:$D$41&lt;=$C11)*('China n Importing Ports'!$C$20:$C$41=IF($AO11="No",$AQ11,$KK11)))))</f>
        <v>0</v>
      </c>
      <c r="AKT11" s="75">
        <f t="array" ref="AKT11">INDEX('China n Importing Ports'!$N$20:$N$41,MATCH(2,1/(('China n Importing Ports'!$D$20:$D$41&lt;=$C11)*('China n Importing Ports'!$C$20:$C$41=IF($AO11="No",$AQ11,$KK11)))))</f>
        <v>0</v>
      </c>
      <c r="AKU11" s="75">
        <f t="array" ref="AKU11">INDEX('China n Importing Ports'!$O$20:$O$41,MATCH(2,1/(('China n Importing Ports'!$D$20:$D$41&lt;=$C11)*('China n Importing Ports'!$C$20:$C$41=IF($AO11="No",$AQ11,$KK11)))))</f>
        <v>0</v>
      </c>
      <c r="AKV11" s="136">
        <f t="array" ref="AKV11">INDEX('China n Importing Ports'!$P$20:$P$41,MATCH(2,1/(('China n Importing Ports'!$D$20:$D$41&lt;=$C11)*('China n Importing Ports'!$C$20:$C$41=IF($AO11="No",$AQ11,$KK11)))))</f>
        <v>0</v>
      </c>
      <c r="AKW11" s="136">
        <f t="array" ref="AKW11">INDEX('China n Importing Ports'!$Q$20:$Q$41,MATCH(2,1/(('China n Importing Ports'!$D$20:$D$41&lt;=$C11)*('China n Importing Ports'!$C$20:$C$41=IF($AO11="No",$AQ11,$KK11)))))</f>
        <v>0</v>
      </c>
      <c r="AKX11" s="136">
        <f t="array" ref="AKX11">INDEX('China n Importing Ports'!$R$20:$R$41,MATCH(2,1/(('China n Importing Ports'!$D$20:$D$41&lt;=$C11)*('China n Importing Ports'!$C$20:$C$41=IF($AO11="No",$AQ11,$KK11)))))</f>
        <v>0</v>
      </c>
      <c r="AKY11" s="136">
        <f t="array" ref="AKY11">INDEX('China n Importing Ports'!$S$20:$S$41,MATCH(2,1/(('China n Importing Ports'!$D$20:$D$41&lt;=$C11)*('China n Importing Ports'!$C$20:$C$41=IF($AO11="No",$AQ11,$KK11)))))</f>
        <v>0</v>
      </c>
      <c r="AKZ11" s="136">
        <f t="array" ref="AKZ11">INDEX('China n Importing Ports'!$T$20:$T$41,MATCH(2,1/(('China n Importing Ports'!$D$20:$D$41&lt;=$C11)*('China n Importing Ports'!$C$20:$C$41=IF($AO11="No",$AQ11,$KK11)))))</f>
        <v>0</v>
      </c>
      <c r="ALA11" s="136">
        <f t="array" ref="ALA11">INDEX('China n Importing Ports'!$U$20:$U$41,MATCH(2,1/(('China n Importing Ports'!$D$20:$D$41&lt;=$C11)*('China n Importing Ports'!$C$20:$C$41=IF($AO11="No",$AQ11,$KK11)))))</f>
        <v>0</v>
      </c>
      <c r="ALB11" s="136">
        <f t="array" ref="ALB11">INDEX('China n Importing Ports'!$V$20:$V$41,MATCH(2,1/(('China n Importing Ports'!$D$20:$D$41&lt;=$C11)*('China n Importing Ports'!$C$20:$C$41=IF($AO11="No",$AQ11,$KK11)))))</f>
        <v>0</v>
      </c>
      <c r="ALC11" s="136">
        <f t="array" ref="ALC11">INDEX('China n Importing Ports'!$W$20:$W$41,MATCH(2,1/(('China n Importing Ports'!$D$20:$D$41&lt;=$C11)*('China n Importing Ports'!$C$20:$C$41=IF($AO11="No",$AQ11,$KK11)))))</f>
        <v>0</v>
      </c>
      <c r="ALD11" s="136">
        <f t="array" ref="ALD11">INDEX('China n Importing Ports'!$X$20:$X$41,MATCH(2,1/(('China n Importing Ports'!$D$20:$D$41&lt;=$C11)*('China n Importing Ports'!$C$20:$C$41=IF($AO11="No",$AQ11,$KK11)))))</f>
        <v>0</v>
      </c>
      <c r="ALE11" s="136">
        <f t="array" ref="ALE11">INDEX('China n Importing Ports'!$Y$20:$Y$41,MATCH(2,1/(('China n Importing Ports'!$D$20:$D$41&lt;=$C11)*('China n Importing Ports'!$C$20:$C$41=IF($AO11="No",$AQ11,$KK11)))))</f>
        <v>0</v>
      </c>
      <c r="ALF11" s="136">
        <f t="array" ref="ALF11">INDEX('China n Importing Ports'!$Z$20:$Z$41,MATCH(2,1/(('China n Importing Ports'!$D$20:$D$41&lt;=$C11)*('China n Importing Ports'!$C$20:$C$41=IF($AO11="No",$AQ11,$KK11)))))</f>
        <v>0</v>
      </c>
      <c r="ALG11" s="136">
        <f t="array" ref="ALG11">INDEX('China n Importing Ports'!$AA$20:$AA$41,MATCH(2,1/(('China n Importing Ports'!$D$20:$D$41&lt;=$C11)*('China n Importing Ports'!$C$20:$C$41=IF($AO11="No",$AQ11,$KK11)))))</f>
        <v>0</v>
      </c>
      <c r="ALI11" s="75" t="e">
        <f t="array" aca="1" ref="ALI11" ca="1">INDEX(Canals!$G$24:$G$29,MATCH(2,1/((Canals!$F$24:$F$29&lt;=$C11)*(Canals!$G$24:$G$29=_xlfn.IFS(AHT11="Handysize",AKC11,AHT11="Supramax",AJV11,AHT11="Panamax",AJO11,AHT11="NeoPanamax",AJH11,AHT11="Suezmax",AJA11,AHT11="Capesize",AIT11,AHT11="VLOC",AIM11)))))</f>
        <v>#N/A</v>
      </c>
      <c r="ALJ11" s="75" t="e">
        <f t="array" aca="1" ref="ALJ11" ca="1">INDEX(Canals!$H$24:$H$29,MATCH(2,1/((Canals!$F$24:$F$29&lt;=$C11)*(Canals!$G$24:$G$29=_xlfn.IFS(AHT11="Handysize",AKC11,AHT11="Supramax",AJV11,AHT11="Panamax",AJO11,AHT11="NeoPanamax",AJH11,AHT11="Suezmax",AJA11,AHT11="Capesize",AIT11,AHT11="VLOC",AIM11)))))</f>
        <v>#N/A</v>
      </c>
      <c r="ALK11" s="75" t="e">
        <f t="array" aca="1" ref="ALK11" ca="1">INDEX(Canals!$I$24:$I$29,MATCH(2,1/((Canals!$F$24:$F$29&lt;=$C11)*(Canals!$G$24:$G$29=_xlfn.IFS(AHT11="Handysize",AKC11,AHT11="Supramax",AJV11,AHT11="Panamax",AJO11,AHT11="NeoPanamax",AJH11,AHT11="Suezmax",AJA11,AHT11="Capesize",AIT11,AHT11="VLOC",AIM11)))))</f>
        <v>#N/A</v>
      </c>
      <c r="ALL11" s="75" t="e">
        <f t="array" aca="1" ref="ALL11" ca="1">INDEX(Canals!$J$24:$J$29,MATCH(2,1/((Canals!$F$24:$F$29&lt;=$C11)*(Canals!$G$24:$G$29=_xlfn.IFS(AHT11="Handysize",Main!AKC11,AHT11="Supramax",AJV11,AHT11="Panamax",AJO11,AHT11="NeoPanamax",AJH11,AHT11="Suezmax",AJA11,AHT11="Capesize",AIT11,AHT11="VLOC",AIM11)))))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M11" s="75" t="e">
        <f t="array" aca="1" ref="ALM11" ca="1">INDEX(Canals!$K$24:$K$29,MATCH(2,1/((Canals!$F$24:$F$29&lt;=$C11)*(Canals!$G$24:$G$29=_xlfn.IFS(AHT11="Handysize",Main!AKC11,AHT11="Supramax",AJV11,AHT11="Panamax",AJO11,AHT11="NeoPanamax",AJH11,AHT11="Suezmax",AJA11,AHT11="Capesize",AIT11,AHT11="VLOC",AIM11)))))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N11" s="75" t="e">
        <f t="array" aca="1" ref="ALN11" ca="1">INDEX(Canals!$L$24:$L$29,MATCH(2,1/((Canals!$F$24:$F$29&lt;=$C11)*(Canals!$G$24:$G$29=_xlfn.IFS(AHT11="Handysize",Main!AKC11,AHT11="Supramax",AJV11,AHT11="Panamax",AJO11,AHT11="NeoPanamax",AJH11,AHT11="Suezmax",AJA11,AHT11="Capesize",AIT11,AHT11="VLOC",AIM11)))))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O11" s="75" t="e">
        <f t="array" aca="1" ref="ALO11" ca="1">INDEX(Canals!$M$24:$M$29,MATCH(2,1/((Canals!$F$24:$F$29&lt;=$C11)*(Canals!$G$24:$G$29=_xlfn.IFS(AHT11="Handysize",Main!AKC11,AHT11="Supramax",AJV11,AHT11="Panamax",AJO11,AHT11="NeoPanamax",AJH11,AHT11="Suezmax",AJA11,AHT11="Capesize",AIT11,AHT11="VLOC",AIM11)))))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P11" s="75" t="e">
        <f t="array" aca="1" ref="ALP11" ca="1">INDEX(Canals!$N$24:$N$29,MATCH(2,1/((Canals!$F$24:$F$29&lt;=$C11)*(Canals!$G$24:$G$29=_xlfn.IFS(AHT11="Handysize",Main!AKC11,AHT11="Supramax",AJV11,AHT11="Panamax",AJO11,AHT11="NeoPanamax",AJH11,AHT11="Suezmax",AJA11,AHT11="Capesize",AIT11,AHT11="VLOC",AIM11)))))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Q11" s="75" t="e">
        <f t="array" aca="1" ref="ALQ11" ca="1">INDEX(Canals!$O$24:$O$29,MATCH(2,1/((Canals!$F$24:$F$29&lt;=$C11)*(Canals!$G$24:$G$29=_xlfn.IFS(AHT11="Handysize",Main!AKC11,AHT11="Supramax",AJV11,AHT11="Panamax",AJO11,AHT11="NeoPanamax",AJH11,AHT11="Suezmax",AJA11,AHT11="Capesize",AIT11,AHT11="VLOC",AIM11)))))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R11" s="75" t="e">
        <f t="array" aca="1" ref="ALR11" ca="1">INDEX(Canals!$P$24:$P$29,MATCH(2,1/((Canals!$F$24:$F$29&lt;=$C11)*(Canals!$G$24:$G$29=_xlfn.IFS(AHT11="Handysize",Main!AKC11,AHT11="Supramax",AJV11,AHT11="Panamax",AJO11,AHT11="NeoPanamax",AJH11,AHT11="Suezmax",AJA11,AHT11="Capesize",AIT11,AHT11="VLOC",AIM11)))))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S11" s="75" t="e">
        <f t="array" aca="1" ref="ALS11" ca="1">INDEX(Canals!$Q$24:$Q$29,MATCH(2,1/((Canals!$F$24:$F$29&lt;=$C11)*(Canals!$G$24:$G$29=_xlfn.IFS(AHT11="Handysize",Main!AKC11,AHT11="Supramax",AJV11,AHT11="Panamax",AJO11,AHT11="NeoPanamax",AJH11,AHT11="Suezmax",AJA11,AHT11="Capesize",AIT11,AHT11="VLOC",AIM11)))))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T11" s="75" t="e">
        <f t="array" aca="1" ref="ALT11" ca="1">INDEX(Canals!$R$24:$R$29,MATCH(2,1/((Canals!$F$24:$F$29&lt;=$C11)*(Canals!$G$24:$G$29=_xlfn.IFS(AHT11="Handysize",Main!AKC11,AHT11="Supramax",AJV11,AHT11="Panamax",AJO11,AHT11="NeoPanamax",AJH11,AHT11="Suezmax",AJA11,AHT11="Capesize",AIT11,AHT11="VLOC",AIM11)))))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U11" s="136" t="e">
        <f t="array" aca="1" ref="ALU11" ca="1">INDEX(Canals!$S$24:$S$29,MATCH(2,1/((Canals!$F$24:$F$29&lt;=$C11)*(Canals!$G$24:$G$29=_xlfn.IFS(AHT11="Handysize",Main!AKC11,AHT11="Supramax",AJV11,AHT11="Panamax",AJO11,AHT11="NeoPanamax",AJH11,AHT11="Suezmax",AJA11,AHT11="Capesize",AIT11,AHT11="VLOC",AIM11)))))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V11" s="136" t="e">
        <f t="array" aca="1" ref="ALV11" ca="1">INDEX(Canals!$T$24:$T$29,MATCH(2,1/((Canals!$F$24:$F$29&lt;=$C11)*(Canals!$G$24:$G$29=_xlfn.IFS(AHT11="Handysize",Main!AKC11,AHT11="Supramax",AJV11,AHT11="Panamax",AJO11,AHT11="NeoPanamax",AJH11,AHT11="Suezmax",AJA11,AHT11="Capesize",AIT11,AHT11="VLOC",AIM11)))))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W11" s="136" t="e">
        <f t="array" aca="1" ref="ALW11" ca="1">INDEX(Canals!$U$24:$U$29,MATCH(2,1/((Canals!$F$24:$F$29&lt;=$C11)*(Canals!$G$24:$G$29=_xlfn.IFS(AHT11="Handysize",Main!AKC11,AHT11="Supramax",AJV11,AHT11="Panamax",AJO11,AHT11="NeoPanamax",AJH11,AHT11="Suezmax",AJA11,AHT11="Capesize",AIT11,AHT11="VLOC",AIM11)))))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X11" s="136" t="e">
        <f t="array" aca="1" ref="ALX11" ca="1">INDEX(Canals!$V$24:$V$29,MATCH(2,1/((Canals!$F$24:$F$29&lt;=$C11)*(Canals!$G$24:$G$29=_xlfn.IFS(AHT11="Handysize",Main!AKC11,AHT11="Supramax",AJV11,AHT11="Panamax",AJO11,AHT11="NeoPanamax",AJH11,AHT11="Suezmax",AJA11,AHT11="Capesize",AIT11,AHT11="VLOC",AIM11)))))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Y11" s="136" t="e">
        <f t="array" aca="1" ref="ALY11" ca="1">INDEX(Canals!$W$24:$W$29,MATCH(2,1/((Canals!$F$24:$F$29&lt;=$C11)*(Canals!$G$24:$G$29=_xlfn.IFS(AHT11="Handysize",Main!AKC11,AHT11="Supramax",AJV11,AHT11="Panamax",AJO11,AHT11="NeoPanamax",AJH11,AHT11="Suezmax",AJA11,AHT11="Capesize",AIT11,AHT11="VLOC",AIM11)))))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LZ11" s="136" t="e">
        <f t="array" aca="1" ref="ALZ11" ca="1">INDEX(Canals!$X$24:$X$29,MATCH(2,1/((Canals!$F$24:$F$29&lt;=$C11)*(Canals!$G$24:$G$29=_xlfn.IFS(AHT11="Handysize",Main!AKC11,AHT11="Supramax",AJV11,AHT11="Panamax",AJO11,AHT11="NeoPanamax",AJH11,AHT11="Suezmax",AJA11,AHT11="Capesize",AIT11,AHT11="VLOC",AIM11)))))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A11" s="136" t="e">
        <f t="array" aca="1" ref="AMA11" ca="1">INDEX(Canals!$Y$24:$Y$29,MATCH(2,1/((Canals!$F$24:$F$29&lt;=$C11)*(Canals!$G$24:$G$29=_xlfn.IFS(AHT11="Handysize",Main!AKC11,AHT11="Supramax",AJV11,AHT11="Panamax",AJO11,AHT11="NeoPanamax",AJH11,AHT11="Suezmax",AJA11,AHT11="Capesize",AIT11,AHT11="VLOC",AIM11)))))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B11" s="136" t="e">
        <f t="array" aca="1" ref="AMB11" ca="1">INDEX(Canals!$Z$24:$Z$29,MATCH(2,1/((Canals!$F$24:$F$29&lt;=$C11)*(Canals!$G$24:$G$29=_xlfn.IFS(AHT11="Handysize",Main!AKC11,AHT11="Supramax",AJV11,AHT11="Panamax",AJO11,AHT11="NeoPanamax",AJH11,AHT11="Suezmax",AJA11,AHT11="Capesize",AIT11,AHT11="VLOC",AIM11)))))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C11" s="136" t="e">
        <f t="array" aca="1" ref="AMC11" ca="1">INDEX(Canals!$AA$24:$AA$29,MATCH(2,1/((Canals!$F$24:$F$29&lt;=$C11)*(Canals!$G$24:$G$29=_xlfn.IFS(AHT11="Handysize",Main!AKC11,AHT11="Supramax",AJV11,AHT11="Panamax",AJO11,AHT11="NeoPanamax",AJH11,AHT11="Suezmax",AJA11,AHT11="Capesize",AIT11,AHT11="VLOC",AIM11)))))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D11" s="136" t="e">
        <f t="array" aca="1" ref="AMD11" ca="1">INDEX(Canals!$AB$24:$AB$29,MATCH(2,1/((Canals!$F$24:$F$29&lt;=$C11)*(Canals!$G$24:$G$29=_xlfn.IFS(AHT11="Handysize",Main!AKC11,AHT11="Supramax",AJV11,AHT11="Panamax",AJO11,AHT11="NeoPanamax",AJH11,AHT11="Suezmax",AJA11,AHT11="Capesize",AIT11,AHT11="VLOC",AIM11)))))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E11" s="75" t="e">
        <f t="array" aca="1" ref="AME11" ca="1">INDEX(Canals!$AC$24:$AC$29,MATCH(2,1/((Canals!$F$24:$F$29&lt;=$C11)*(Canals!$G$24:$G$29=_xlfn.IFS(AHT11="Handysize",Main!AKC11,AHT11="Supramax",AJV11,AHT11="Panamax",AJO11,AHT11="NeoPanamax",AJH11,AHT11="Suezmax",AJA11,AHT11="Capesize",AIT11,AHT11="VLOC",AIM11)))))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F11" s="75" t="e">
        <f t="array" aca="1" ref="AMF11" ca="1">INDEX(Canals!$AD$24:$AD$29,MATCH(2,1/((Canals!$F$24:$F$29&lt;=$C11)*(Canals!$G$24:$G$29=_xlfn.IFS(AHT11="Handysize",Main!AKC11,AHT11="Supramax",AJV11,AHT11="Panamax",AJO11,AHT11="NeoPanamax",AJH11,AHT11="Suezmax",AJA11,AHT11="Capesize",AIT11,AHT11="VLOC",AIM11)))))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G11" s="75" t="e">
        <f t="array" aca="1" ref="AMG11" ca="1">INDEX(Canals!$AE$24:$AE$29,MATCH(2,1/((Canals!$F$24:$F$29&lt;=$C11)*(Canals!$G$24:$G$29=_xlfn.IFS(AHT11="Handysize",Main!AKC11,AHT11="Supramax",AJV11,AHT11="Panamax",AJO11,AHT11="NeoPanamax",AJH11,AHT11="Suezmax",AJA11,AHT11="Capesize",AIT11,AHT11="VLOC",AIM11)))))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H11" s="75" t="e">
        <f t="array" aca="1" ref="AMH11" ca="1">INDEX(Canals!$AF$24:$AF$29,MATCH(2,1/((Canals!$F$24:$F$29&lt;=$C11)*(Canals!$G$24:$G$29=_xlfn.IFS(AHT11="Handysize",Main!AKC11,AHT11="Supramax",AJV11,AHT11="Panamax",AJO11,AHT11="NeoPanamax",AJH11,AHT11="Suezmax",AJA11,AHT11="Capesize",AIT11,AHT11="VLOC",AIM11)))))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I11" s="75" t="e">
        <f t="array" aca="1" ref="AMI11" ca="1">INDEX(Canals!$AG$24:$AG$29,MATCH(2,1/((Canals!$F$24:$F$29&lt;=$C11)*(Canals!$G$24:$G$29=_xlfn.IFS(AHT11="Handysize",Main!AKC11,AHT11="Supramax",AJV11,AHT11="Panamax",AJO11,AHT11="NeoPanamax",AJH11,AHT11="Suezmax",AJA11,AHT11="Capesize",AIT11,AHT11="VLOC",AIM11)))))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J11" s="75" t="e">
        <f t="array" aca="1" ref="AMJ11" ca="1">INDEX(Canals!$AH$24:$AH$29,MATCH(2,1/((Canals!$F$24:$F$29&lt;=$C11)*(Canals!$G$24:$G$29=_xlfn.IFS(AHT11="Handysize",Main!AKC11,AHT11="Supramax",AJV11,AHT11="Panamax",AJO11,AHT11="NeoPanamax",AJH11,AHT11="Suezmax",AJA11,AHT11="Capesize",AIT11,AHT11="VLOC",AIM11)))))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K11" s="75" t="e">
        <f t="array" aca="1" ref="AMK11" ca="1">INDEX(Canals!$AI$24:$AI$29,MATCH(2,1/((Canals!$F$24:$F$29&lt;=$C11)*(Canals!$G$24:$G$29=_xlfn.IFS(AHT11="Handysize",Main!AKC11,AHT11="Supramax",AJV11,AHT11="Panamax",AJO11,AHT11="NeoPanamax",AJH11,AHT11="Suezmax",AJA11,AHT11="Capesize",AIT11,AHT11="VLOC",AIM11)))))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L11" s="75" t="e">
        <f t="array" aca="1" ref="AML11" ca="1">INDEX(Canals!$AJ$24:$AJ$29,MATCH(2,1/((Canals!$F$24:$F$29&lt;=$C11)*(Canals!$G$24:$G$29=_xlfn.IFS(AHT11="Handysize",Main!AKC11,AHT11="Supramax",AJV11,AHT11="Panamax",AJO11,AHT11="NeoPanamax",AJH11,AHT11="Suezmax",AJA11,AHT11="Capesize",AIT11,AHT11="VLOC",AIM11)))))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M11" s="75" t="e">
        <f t="array" aca="1" ref="AMM11" ca="1">INDEX(Canals!$AK$24:$AK$29,MATCH(2,1/((Canals!$F$24:$F$29&lt;=$C11)*(Canals!$G$24:$G$29=_xlfn.IFS(AHT11="Handysize",Main!AKC11,AHT11="Supramax",AJV11,AHT11="Panamax",AJO11,AHT11="NeoPanamax",AJH11,AHT11="Suezmax",AJA11,AHT11="Capesize",AIT11,AHT11="VLOC",AIM11)))))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N11" s="136" t="e">
        <f t="array" aca="1" ref="AMN11" ca="1">INDEX(Canals!$AL$24:$AL$29,MATCH(2,1/((Canals!$F$24:$F$29&lt;=$C11)*(Canals!$G$24:$G$29=_xlfn.IFS(AHT11="Handysize",Main!AKC11,AHT11="Supramax",AJV11,AHT11="Panamax",AJO11,AHT11="NeoPanamax",AJH11,AHT11="Suezmax",AJA11,AHT11="Capesize",AIT11,AHT11="VLOC",AIM11)))))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O11" s="136" t="e">
        <f t="array" aca="1" ref="AMO11" ca="1">INDEX(Canals!$AM$24:$AM$29,MATCH(2,1/((Canals!$F$24:$F$29&lt;=$C11)*(Canals!$G$24:$G$29=_xlfn.IFS(AHT11="Handysize",Main!AKC11,AHT11="Supramax",AJV11,AHT11="Panamax",AJO11,AHT11="NeoPanamax",AJH11,AHT11="Suezmax",AJA11,AHT11="Capesize",AIT11,AHT11="VLOC",AIM11)))))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P11" s="136" t="e">
        <f t="array" aca="1" ref="AMP11" ca="1">INDEX(Canals!$AN$24:$AN$29,MATCH(2,1/((Canals!$F$24:$F$29&lt;=$C11)*(Canals!$G$24:$G$29=_xlfn.IFS(AHT11="Handysize",Main!AKC11,AHT11="Supramax",AJV11,AHT11="Panamax",AJO11,AHT11="NeoPanamax",AJH11,AHT11="Suezmax",AJA11,AHT11="Capesize",AIT11,AHT11="VLOC",AIM11)))))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Q11" s="136" t="e">
        <f t="array" aca="1" ref="AMQ11" ca="1">INDEX(Canals!$AO$24:$AO$29,MATCH(2,1/((Canals!$F$24:$F$29&lt;=$C11)*(Canals!$G$24:$G$29=_xlfn.IFS(AHT11="Handysize",Main!AKC11,AHT11="Supramax",AJV11,AHT11="Panamax",AJO11,AHT11="NeoPanamax",AJH11,AHT11="Suezmax",AJA11,AHT11="Capesize",AIT11,AHT11="VLOC",AIM11)))))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R11" s="136" t="e">
        <f t="array" aca="1" ref="AMR11" ca="1">INDEX(Canals!$AP$24:$AP$29,MATCH(2,1/((Canals!$F$24:$F$29&lt;=$C11)*(Canals!$G$24:$G$29=_xlfn.IFS(AHT11="Handysize",Main!AKC11,AHT11="Supramax",AJV11,AHT11="Panamax",AJO11,AHT11="NeoPanamax",AJH11,AHT11="Suezmax",AJA11,AHT11="Capesize",AIT11,AHT11="VLOC",AIM11)))))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S11" s="136" t="e">
        <f t="array" aca="1" ref="AMS11" ca="1">INDEX(Canals!$AQ$24:$AQ$29,MATCH(2,1/((Canals!$F$24:$F$29&lt;=$C11)*(Canals!$G$24:$G$29=_xlfn.IFS(AHT11="Handysize",Main!AKC11,AHT11="Supramax",AJV11,AHT11="Panamax",AJO11,AHT11="NeoPanamax",AJH11,AHT11="Suezmax",AJA11,AHT11="Capesize",AIT11,AHT11="VLOC",AIM11)))))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T11" s="136" t="e">
        <f t="array" aca="1" ref="AMT11" ca="1">INDEX(Canals!$AR$24:$AR$29,MATCH(2,1/((Canals!$F$24:$F$29&lt;=$C11)*(Canals!$G$24:$G$29=_xlfn.IFS(AHT11="Handysize",Main!AKC11,AHT11="Supramax",AJV11,AHT11="Panamax",AJO11,AHT11="NeoPanamax",AJH11,AHT11="Suezmax",AJA11,AHT11="Capesize",AIT11,AHT11="VLOC",AIM11)))))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U11" s="136" t="e">
        <f t="array" aca="1" ref="AMU11" ca="1">INDEX(Canals!$AS$24:$AS$29,MATCH(2,1/((Canals!$F$24:$F$29&lt;=$C11)*(Canals!$G$24:$G$29=_xlfn.IFS(AHT11="Handysize",Main!AKC11,AHT11="Supramax",AJV11,AHT11="Panamax",AJO11,AHT11="NeoPanamax",AJH11,AHT11="Suezmax",AJA11,AHT11="Capesize",AIT11,AHT11="VLOC",AIM11)))))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V11" s="136" t="e">
        <f t="array" aca="1" ref="AMV11" ca="1">INDEX(Canals!$AT$24:$AT$29,MATCH(2,1/((Canals!$F$24:$F$29&lt;=$C11)*(Canals!$G$24:$G$29=_xlfn.IFS(AHT11="Handysize",Main!AKC11,AHT11="Supramax",AJV11,AHT11="Panamax",AJO11,AHT11="NeoPanamax",AJH11,AHT11="Suezmax",AJA11,AHT11="Capesize",AIT11,AHT11="VLOC",AIM11)))))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W11" s="136" t="e">
        <f t="array" aca="1" ref="AMW11" ca="1">INDEX(Canals!$AU$24:$AU$29,MATCH(2,1/((Canals!$F$24:$F$29&lt;=$C11)*(Canals!$G$24:$G$29=_xlfn.IFS(AHT11="Handysize",Main!AKC11,AHT11="Supramax",AJV11,AHT11="Panamax",AJO11,AHT11="NeoPanamax",AJH11,AHT11="Suezmax",AJA11,AHT11="Capesize",AIT11,AHT11="VLOC",AIM11)))))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X11" s="136" t="e">
        <f t="array" aca="1" ref="AMX11" ca="1">INDEX(Canals!$AV$24:$AV$29,MATCH(2,1/((Canals!$F$24:$F$29&lt;=$C11)*(Canals!$G$24:$G$29=_xlfn.IFS(AHT11="Handysize",Main!AKC11,AHT11="Supramax",AJV11,AHT11="Panamax",AJO11,AHT11="NeoPanamax",AJH11,AHT11="Suezmax",AJA11,AHT11="Capesize",AIT11,AHT11="VLOC",AIM11)))))</f>
        <v>#N/A</v>
      </c>
      <c r="AMZ11" s="75" t="e">
        <f t="array" aca="1" ref="AMZ11" ca="1">_xlfn.IFS(ALK11="DWT",AHR11,ALK11="NRT",AHV11,ALK11="GRT",AHW11,ALK11=0,0)</f>
        <v>#NAME?</v>
      </c>
      <c r="ANA11" s="279" t="e">
        <f t="shared" ca="1" si="227"/>
        <v>#NAME?</v>
      </c>
      <c r="ANB11" s="280" t="e">
        <f t="shared" ca="1" si="228"/>
        <v>#NAME?</v>
      </c>
      <c r="ANC11" s="280" t="e">
        <f t="shared" ca="1" si="229"/>
        <v>#NAME?</v>
      </c>
      <c r="AND11" s="280" t="e">
        <f t="shared" ca="1" si="230"/>
        <v>#NAME?</v>
      </c>
      <c r="ANE11" s="280" t="e">
        <f t="shared" ca="1" si="231"/>
        <v>#NAME?</v>
      </c>
      <c r="ANF11" s="280" t="e">
        <f t="shared" ca="1" si="232"/>
        <v>#NAME?</v>
      </c>
      <c r="ANG11" s="280" t="e">
        <f t="shared" ca="1" si="233"/>
        <v>#NAME?</v>
      </c>
      <c r="ANH11" s="280" t="e">
        <f t="shared" ca="1" si="234"/>
        <v>#NAME?</v>
      </c>
      <c r="ANI11" s="280" t="e">
        <f t="shared" ca="1" si="235"/>
        <v>#NAME?</v>
      </c>
      <c r="ANJ11" s="75">
        <f t="shared" si="236"/>
        <v>0</v>
      </c>
      <c r="ANK11" s="279" t="e">
        <f t="shared" ca="1" si="237"/>
        <v>#N/A</v>
      </c>
      <c r="ANL11" s="280" t="e">
        <f t="shared" ca="1" si="238"/>
        <v>#N/A</v>
      </c>
      <c r="ANM11" s="280" t="e">
        <f t="shared" ca="1" si="239"/>
        <v>#N/A</v>
      </c>
      <c r="ANN11" s="280" t="e">
        <f t="shared" ca="1" si="240"/>
        <v>#N/A</v>
      </c>
      <c r="ANO11" s="280" t="e">
        <f t="shared" ca="1" si="241"/>
        <v>#N/A</v>
      </c>
      <c r="ANP11" s="280" t="e">
        <f t="shared" ca="1" si="242"/>
        <v>#N/A</v>
      </c>
      <c r="ANQ11" s="280" t="e">
        <f t="shared" ca="1" si="243"/>
        <v>#N/A</v>
      </c>
      <c r="ANR11" s="280" t="e">
        <f t="shared" ca="1" si="244"/>
        <v>#N/A</v>
      </c>
      <c r="ANS11" s="280" t="e">
        <f t="shared" ca="1" si="245"/>
        <v>#N/A</v>
      </c>
      <c r="ANU11" s="75" t="e">
        <f t="array" aca="1" ref="ANU11" ca="1">_xlfn.IFS(AHT11="Handysize",Main!AJW11,AHT11="Supramax",AJP11,AHT11="Panamax",AJI11,AHT11="NeoPanamax",AJB11,AHT11="Suezmax",AIU11,AHT11="Capesize",AIN11,AHT11="VLOC",AIG11)*$JI11</f>
        <v>#NAME?</v>
      </c>
      <c r="ANV11" s="274" t="e">
        <f t="array" aca="1" ref="ANV11" ca="1">_xlfn.IFS(AHT11="Handysize",Main!AJX11,AHT11="Supramax",AJQ11,AHT11="Panamax",AJJ11,AHT11="NeoPanamax",AJC11,AHT11="Suezmax",AIV11,AHT11="Capesize",AIO11,AHT11="VLOC",AIH11)*$JI11</f>
        <v>#NAME?</v>
      </c>
      <c r="ANW11" s="71" t="e">
        <f t="array" aca="1" ref="ANW11" ca="1">_xlfn.IFS(AHT11="Handysize",Main!AHY11,AHT11="Supramax",AHZ11,AHT11="Panamax",AIA11,AHT11="NeoPanamax",AIB11,AHT11="Suezmax",AIC11,AHT11="Capesize",AID11,AHT11="VLOC",AIE11)</f>
        <v>#NAME?</v>
      </c>
      <c r="ANX11" s="71" t="e">
        <f t="array" aca="1" ref="ANX11" ca="1">_xlfn.IFS(AHT11="Handysize",Main!AKK11,AHT11="Supramax",AKL11,AHT11="Panamax",AKM11,AHT11="NeoPanamax",AKN11,AHT11="Suezmax",AKO11,AHT11="Capesize",AKP11,AHT11="VLOC",AKQ11)</f>
        <v>#NAME?</v>
      </c>
      <c r="ANY11" s="70">
        <f t="array" ref="ANY11">INDEX('Ship Speeds'!$G$11:$G$1011,MATCH(2,1/(('Ship Speeds'!$E$11:$E$1011&lt;=Main!$C11)*('Ship Speeds'!$F$11:$F$1011=Main!AHS11))))</f>
        <v>11</v>
      </c>
      <c r="ANZ11" s="403">
        <f t="shared" si="246"/>
        <v>0</v>
      </c>
      <c r="AOA11" s="401">
        <f t="shared" si="247"/>
        <v>1.2</v>
      </c>
      <c r="AOB11" s="70" t="e">
        <f t="shared" ca="1" si="248"/>
        <v>#NAME?</v>
      </c>
      <c r="AOC11" s="70" t="e">
        <f t="shared" ca="1" si="249"/>
        <v>#NAME?</v>
      </c>
      <c r="AOD11" s="70" t="e">
        <f t="shared" ca="1" si="250"/>
        <v>#NAME?</v>
      </c>
      <c r="AOE11" s="70" t="e">
        <f t="shared" ca="1" si="251"/>
        <v>#NAME?</v>
      </c>
      <c r="AOF11" s="72" t="e">
        <f t="shared" ca="1" si="252"/>
        <v>#N/A</v>
      </c>
      <c r="AOG11" s="70" t="e">
        <f t="shared" ca="1" si="253"/>
        <v>#NAME?</v>
      </c>
      <c r="AOH11" s="70" t="e">
        <f t="array" aca="1" ref="AOH11" ca="1">IF(ANU11=0,0,INDEX(AKE11:AKI11,MATCH(_xlfn.IFS(AHT11="Handysize",Main!AKA11,AHT11="Supramax",AJT11,AHT11="Panamax",AJM11,AHT11="NeoPanamax",AJF11,AHT11="Suezmax",AIY11,AHT11="Capesize",AIR11,AHT11="VLOC",AIK11),$AKE$7:$AKI$7,0)))</f>
        <v>#NAME?</v>
      </c>
      <c r="AOI11" s="70" t="e">
        <f t="array" aca="1" ref="AOI11" ca="1">IF(ANU11=0,0,INDEX(AKE11:AKI11,MATCH(_xlfn.IFS(AHT11="Handysize",Main!AKB11,AHT11="Supramax",AJU11,AHT11="Panamax",AJN11,AHT11="NeoPanamax",AJG11,AHT11="Suezmax",AIZ11,AHT11="Capesize",AIS11,AHT11="VLOC",AIL11),$AKE$7:$AKI$7,0)))</f>
        <v>#NAME?</v>
      </c>
      <c r="AOJ11" s="71" t="e">
        <f t="shared" ca="1" si="254"/>
        <v>#NAME?</v>
      </c>
      <c r="AOK11" s="71" t="e">
        <f t="shared" ca="1" si="255"/>
        <v>#NAME?</v>
      </c>
      <c r="AOL11" s="281" t="e">
        <f t="shared" ca="1" si="256"/>
        <v>#NAME?</v>
      </c>
      <c r="AOM11" s="71" t="e">
        <f t="shared" ca="1" si="257"/>
        <v>#NAME?</v>
      </c>
      <c r="AON11" s="71" t="e">
        <f t="shared" ca="1" si="258"/>
        <v>#NAME?</v>
      </c>
      <c r="AOO11" s="71" t="e">
        <f t="shared" ca="1" si="259"/>
        <v>#NAME?</v>
      </c>
      <c r="AOP11" s="71" t="e">
        <f t="shared" ca="1" si="260"/>
        <v>#NAME?</v>
      </c>
      <c r="AOQ11" s="71" t="e">
        <f t="shared" ca="1" si="261"/>
        <v>#NAME?</v>
      </c>
      <c r="AOR11" s="71" t="e">
        <f t="shared" ca="1" si="262"/>
        <v>#NAME?</v>
      </c>
      <c r="AOS11" s="71" t="e">
        <f t="shared" ca="1" si="263"/>
        <v>#NAME?</v>
      </c>
      <c r="AOT11" s="71" t="e">
        <f t="shared" ca="1" si="264"/>
        <v>#NAME?</v>
      </c>
      <c r="AOU11" s="71" t="e">
        <f t="shared" ca="1" si="265"/>
        <v>#NAME?</v>
      </c>
      <c r="AOV11" s="71" t="e">
        <f t="shared" ca="1" si="266"/>
        <v>#NAME?</v>
      </c>
      <c r="AOW11" s="71" t="e">
        <f t="shared" ca="1" si="267"/>
        <v>#NAME?</v>
      </c>
      <c r="AOX11" s="71" t="e">
        <f t="shared" ca="1" si="268"/>
        <v>#NAME?</v>
      </c>
      <c r="AOY11" s="72" t="e">
        <f t="shared" ca="1" si="269"/>
        <v>#NAME?</v>
      </c>
      <c r="AOZ11" s="72" t="e">
        <f t="shared" ca="1" si="270"/>
        <v>#NAME?</v>
      </c>
      <c r="APA11" s="71" t="e">
        <f t="shared" ca="1" si="271"/>
        <v>#NAME?</v>
      </c>
      <c r="APB11" s="71" t="e">
        <f t="array" aca="1" ref="APB11" ca="1">IF(ANU11=0,0,INDEX('Ship Time Charter Rates'!$H$22:$H$1021,MATCH(2,1/(('Ship Time Charter Rates'!$G$22:$G$1021=_xlfn.IFS(AHT11="Handysize",Main!AJY11,AHT11="Supramax",AJR11,AHT11="Panamax",AJK11,AHT11="NeoPanamax",AJD11,AHT11="Suezmax",AIW11,AHT11="Capesize",AIP11,AHT11="VLOC",AII11))*('Ship Time Charter Rates'!$E$22:$E$1021&lt;=Main!$C11)*(NOT(ISBLANK('Ship Time Charter Rates'!$H$22:$H$1021)))))))</f>
        <v>#NAME?</v>
      </c>
      <c r="APC11" s="71" t="e">
        <f t="shared" ca="1" si="272"/>
        <v>#NAME?</v>
      </c>
      <c r="APD11" s="70" t="e">
        <f t="shared" ca="1" si="273"/>
        <v>#NAME?</v>
      </c>
      <c r="APE11" s="71" t="e">
        <f t="shared" ca="1" si="274"/>
        <v>#NAME?</v>
      </c>
      <c r="APF11" s="71" t="e">
        <f t="shared" ref="APF11:APF23" ca="1" si="308">APE11*(1+$KL11)*(1+$KM11)</f>
        <v>#NAME?</v>
      </c>
      <c r="APG11" s="72" t="e">
        <f t="shared" ref="APG11:APG26" ca="1" si="309">IF(APF11=0,0,APF11/(AHR11*(1-$AL11)*$JN11))</f>
        <v>#NAME?</v>
      </c>
      <c r="API11" s="287" t="s">
        <v>39</v>
      </c>
      <c r="APK11" s="289" t="e">
        <f t="shared" ca="1" si="275"/>
        <v>#NAME?</v>
      </c>
      <c r="APL11" s="289" t="e">
        <f t="shared" ca="1" si="276"/>
        <v>#NAME?</v>
      </c>
      <c r="APM11" s="289" t="e">
        <f t="shared" ca="1" si="277"/>
        <v>#NAME?</v>
      </c>
      <c r="APO11" s="287" t="s">
        <v>39</v>
      </c>
    </row>
    <row r="12" spans="1:1134">
      <c r="C12" s="5">
        <v>43923</v>
      </c>
      <c r="D12" s="7" t="s">
        <v>20</v>
      </c>
      <c r="E12" s="86" t="s">
        <v>165</v>
      </c>
      <c r="F12" s="6">
        <v>50</v>
      </c>
      <c r="G12" s="1" t="s">
        <v>4</v>
      </c>
      <c r="H12" s="1" t="s">
        <v>5</v>
      </c>
      <c r="I12" s="15"/>
      <c r="J12" s="15"/>
      <c r="K12" s="15"/>
      <c r="L12" s="15"/>
      <c r="M12" s="15"/>
      <c r="N12" s="15"/>
      <c r="O12" s="15"/>
      <c r="P12" s="8"/>
      <c r="Q12" s="98"/>
      <c r="R12" s="7" t="s">
        <v>95</v>
      </c>
      <c r="T12" s="287" t="s">
        <v>39</v>
      </c>
      <c r="V12" s="4"/>
      <c r="W12" s="16" t="str">
        <f t="shared" si="0"/>
        <v>not used yet</v>
      </c>
      <c r="X12" s="16" t="str">
        <f t="shared" si="0"/>
        <v>not used yet</v>
      </c>
      <c r="Y12" s="16" t="str">
        <f t="shared" si="0"/>
        <v>not used yet</v>
      </c>
      <c r="Z12" s="16" t="str">
        <f t="shared" si="0"/>
        <v>not used yet</v>
      </c>
      <c r="AA12" s="16" t="str">
        <f t="shared" si="0"/>
        <v>not used yet</v>
      </c>
      <c r="AB12" s="16" t="str">
        <f t="shared" si="0"/>
        <v>not used yet</v>
      </c>
      <c r="AC12" s="16" t="str">
        <f t="shared" si="0"/>
        <v>not used yet</v>
      </c>
      <c r="AE12" s="88" t="str">
        <f t="shared" si="1"/>
        <v>Weipa/Amrun Generic</v>
      </c>
      <c r="AF12" s="16">
        <f t="shared" si="2"/>
        <v>0.53</v>
      </c>
      <c r="AG12" s="16">
        <f t="shared" si="2"/>
        <v>0.36250000000000004</v>
      </c>
      <c r="AH12" s="61">
        <f t="shared" si="2"/>
        <v>0.09</v>
      </c>
      <c r="AI12" s="61">
        <f t="shared" si="2"/>
        <v>6.7500000000000004E-2</v>
      </c>
      <c r="AJ12" s="61">
        <f t="shared" si="2"/>
        <v>2.2499999999999999E-2</v>
      </c>
      <c r="AK12" s="16">
        <f t="shared" si="2"/>
        <v>0.1</v>
      </c>
      <c r="AL12" s="16">
        <f t="shared" si="2"/>
        <v>0.13</v>
      </c>
      <c r="AM12" s="24" t="str">
        <f t="shared" si="3"/>
        <v>HT-D</v>
      </c>
      <c r="AN12" s="427">
        <f t="shared" si="278"/>
        <v>64467</v>
      </c>
      <c r="AO12" s="127" t="str">
        <f t="array" ref="AO12">IFERROR(IF(AND(AN12&gt;'Indices Mines Exporting Ports'!$D$11,MATCH(2,1/(('Indices Mines Exporting Ports'!$B$3:$B$10&lt;=C12)*('Indices Mines Exporting Ports'!$C$3:$C$10=E12)))),"Yes","No"),"No")</f>
        <v>No</v>
      </c>
      <c r="AP12" s="126" t="str">
        <f t="array" ref="AP12">IF(AO12="Yes",INDEX('Indices Mines Exporting Ports'!$D$3:$D$10,MATCH(2,1/(('Indices Mines Exporting Ports'!$B$3:$B$10&lt;=Main!C12)*('Indices Mines Exporting Ports'!$C$3:$C$10=Main!AE12)))),IF(NOT(ISBLANK(Q12)),Q12,IP12))</f>
        <v>Weipa_Amrun_Wharf</v>
      </c>
      <c r="AQ12" s="262">
        <f t="array" ref="AQ12">IF(AO12="no",0,INDEX('Indices Mines Exporting Ports'!$E$3:$E$10,MATCH(2,1/(('Indices Mines Exporting Ports'!$B$3:$B$10&lt;=Main!$C12)*('Indices Mines Exporting Ports'!$D$3:$D$10=Main!$AP12)))))</f>
        <v>0</v>
      </c>
      <c r="AR12" s="267">
        <f t="array" ref="AR12">IF(AO12="No",0,AN12/ROUND(AN12/INDEX('Indices Mines Exporting Ports'!$F$3:$F$10,MATCH(2,1/(('Indices Mines Exporting Ports'!$B$3:$B$10&lt;=Main!C12)*('Indices Mines Exporting Ports'!$C$3:$C$10=Main!AE12)))),0))</f>
        <v>0</v>
      </c>
      <c r="AS12" s="127" t="str">
        <f t="shared" si="4"/>
        <v>Qingdao</v>
      </c>
      <c r="AT12" s="100" t="str">
        <f t="shared" si="5"/>
        <v>Australia HT</v>
      </c>
      <c r="AU12" s="100" t="str">
        <f t="shared" si="5"/>
        <v>CBIX HT</v>
      </c>
      <c r="AV12" s="242" t="s">
        <v>4</v>
      </c>
      <c r="AW12" s="242" t="s">
        <v>5</v>
      </c>
      <c r="AX12" s="292" t="e">
        <f t="shared" ca="1" si="6"/>
        <v>#NAME?</v>
      </c>
      <c r="AY12" s="291" t="e">
        <f t="shared" ca="1" si="7"/>
        <v>#NAME?</v>
      </c>
      <c r="AZ12" s="292" t="e">
        <f t="shared" ca="1" si="8"/>
        <v>#NAME?</v>
      </c>
      <c r="BA12" s="102">
        <f t="shared" si="9"/>
        <v>0.67</v>
      </c>
      <c r="BB12" s="12"/>
      <c r="BC12" s="306" t="s">
        <v>403</v>
      </c>
      <c r="BD12" s="407">
        <f t="shared" si="279"/>
        <v>0</v>
      </c>
      <c r="BE12" s="407">
        <f t="shared" si="279"/>
        <v>0</v>
      </c>
      <c r="BF12" s="407" t="e">
        <f t="shared" ca="1" si="279"/>
        <v>#NAME?</v>
      </c>
      <c r="BG12" s="407">
        <f t="shared" si="280"/>
        <v>0</v>
      </c>
      <c r="BH12" s="407" t="e">
        <f t="shared" ca="1" si="281"/>
        <v>#NAME?</v>
      </c>
      <c r="BI12" s="263" t="e">
        <f t="shared" ca="1" si="282"/>
        <v>#NAME?</v>
      </c>
      <c r="BK12" s="287" t="s">
        <v>39</v>
      </c>
      <c r="BM12" s="291" t="e">
        <f t="shared" ca="1" si="283"/>
        <v>#NAME?</v>
      </c>
      <c r="BN12" s="298">
        <f t="shared" si="284"/>
        <v>0.53</v>
      </c>
      <c r="BO12" s="298">
        <f t="shared" si="285"/>
        <v>0.36250000000000004</v>
      </c>
      <c r="BP12" s="298">
        <f t="shared" si="286"/>
        <v>0.09</v>
      </c>
      <c r="BQ12" s="298">
        <f t="shared" si="287"/>
        <v>6.7500000000000004E-2</v>
      </c>
      <c r="BR12" s="298">
        <f t="shared" si="288"/>
        <v>2.2499999999999999E-2</v>
      </c>
      <c r="BS12" s="298">
        <f t="shared" si="289"/>
        <v>0.1</v>
      </c>
      <c r="BT12" s="298">
        <f t="shared" si="290"/>
        <v>0.13</v>
      </c>
      <c r="BU12" s="307" t="str">
        <f t="shared" si="291"/>
        <v>HT-D</v>
      </c>
      <c r="BV12" s="291">
        <f t="shared" si="292"/>
        <v>0.67</v>
      </c>
      <c r="BX12" s="300">
        <f t="array" ref="BX12">INDEX('Processing Factors'!$D$8:$D$29,MATCH(2,1/(('Processing Factors'!$B$8:$B$29&lt;=Main!$C12)*('Processing Factors'!$C$8:$C$29=Main!BU12))))</f>
        <v>1</v>
      </c>
      <c r="BY12" s="299">
        <f t="array" ref="BY12">INDEX('Processing Factors'!$E$8:$E$29,MATCH(2,1/(('Processing Factors'!$B$8:$B$29&lt;=Main!$C12)*('Processing Factors'!$C$8:$C$29=Main!BU12))))</f>
        <v>1.23</v>
      </c>
      <c r="BZ12" s="299">
        <f t="array" ref="BZ12">INDEX('Processing Factors'!$F$8:$F$29,MATCH(2,1/(('Processing Factors'!$B$8:$B$29&lt;=Main!$C12)*('Processing Factors'!$C$8:$C$29=Main!BU12))))</f>
        <v>0.6</v>
      </c>
      <c r="CA12" s="299">
        <f t="array" ref="CA12">INDEX('Processing Factors'!$G$8:$G$29,MATCH(2,1/(('Processing Factors'!$B$8:$B$29&lt;=Main!$C12)*('Processing Factors'!$C$8:$C$29=Main!BU12))))</f>
        <v>0.22</v>
      </c>
      <c r="CB12" s="299">
        <f t="array" ref="CB12">INDEX('Processing Factors'!$H$8:$H$29,MATCH(2,1/(('Processing Factors'!$B$8:$B$29&lt;=Main!$C12)*('Processing Factors'!$C$8:$C$29=Main!BU12))))</f>
        <v>13.5</v>
      </c>
      <c r="CC12" s="300">
        <f t="array" ref="CC12">INDEX('Processing Factors'!$I$8:$I$29,MATCH(2,1/(('Processing Factors'!$B$8:$B$29&lt;=Main!$C12)*('Processing Factors'!$C$8:$C$29=Main!BU12))))</f>
        <v>1</v>
      </c>
      <c r="CD12" s="300">
        <f t="array" ref="CD12">INDEX('Processing Factors'!$J$8:$J$29,MATCH(2,1/(('Processing Factors'!$B$8:$B$29&lt;=Main!$C12)*('Processing Factors'!$C$8:$C$29=Main!BU12))))</f>
        <v>0.9</v>
      </c>
      <c r="CE12" s="299">
        <f t="array" ref="CE12">INDEX('Processing Factors'!$K$8:$K$29,MATCH(2,1/(('Processing Factors'!$B$8:$B$29&lt;=Main!$C12)*('Processing Factors'!$C$8:$C$29=Main!BU12))))</f>
        <v>3.5000000000000003E-2</v>
      </c>
      <c r="CG12" s="302">
        <f t="shared" si="10"/>
        <v>0.53</v>
      </c>
      <c r="CH12" s="302">
        <f t="shared" si="11"/>
        <v>0.09</v>
      </c>
      <c r="CI12" s="302">
        <f t="shared" si="12"/>
        <v>0.41930000000000001</v>
      </c>
      <c r="CJ12" s="299">
        <f t="shared" si="13"/>
        <v>2.6499191774650872</v>
      </c>
      <c r="CK12" s="281" t="e">
        <f t="shared" ca="1" si="14"/>
        <v>#NAME?</v>
      </c>
      <c r="CL12" s="299">
        <f t="shared" si="15"/>
        <v>0.1780956355831147</v>
      </c>
      <c r="CM12" s="281">
        <f t="shared" si="16"/>
        <v>42.787249928108402</v>
      </c>
      <c r="CN12" s="281">
        <f t="shared" si="17"/>
        <v>55.9712938100622</v>
      </c>
      <c r="CO12" s="281">
        <f t="shared" si="18"/>
        <v>7.4618428490672706</v>
      </c>
      <c r="CP12" s="299">
        <f t="shared" si="19"/>
        <v>2.0480148130482019</v>
      </c>
      <c r="CQ12" s="281">
        <f t="shared" si="20"/>
        <v>8.6829344815497542</v>
      </c>
      <c r="CR12" s="281" t="e">
        <f t="shared" ca="1" si="21"/>
        <v>#NAME?</v>
      </c>
      <c r="CT12" s="287" t="s">
        <v>39</v>
      </c>
      <c r="CV12" s="305" t="e">
        <f t="shared" ca="1" si="22"/>
        <v>#NAME?</v>
      </c>
      <c r="CW12" s="61">
        <f t="array" ref="CW12">INDEX('Indices Mines Exporting Ports'!E$20:E$51, MATCH(2,1/(('Indices Mines Exporting Ports'!$C$20:$C$51=$AT12)*('Indices Mines Exporting Ports'!$D$20:$D$51&lt;=$C12))))</f>
        <v>0.54</v>
      </c>
      <c r="CX12" s="61">
        <f t="array" ref="CX12">INDEX('Indices Mines Exporting Ports'!F$20:F$51, MATCH(2,1/(('Indices Mines Exporting Ports'!$C$20:$C$51=$AT12)*('Indices Mines Exporting Ports'!$D$20:$D$51&lt;=$C12))))</f>
        <v>0.37250000000000005</v>
      </c>
      <c r="CY12" s="61">
        <f t="array" ref="CY12">INDEX('Indices Mines Exporting Ports'!G$20:G$51, MATCH(2,1/(('Indices Mines Exporting Ports'!$C$20:$C$51=$AT12)*('Indices Mines Exporting Ports'!$D$20:$D$51&lt;=$C12))))</f>
        <v>0.09</v>
      </c>
      <c r="CZ12" s="61">
        <f t="array" ref="CZ12">INDEX('Indices Mines Exporting Ports'!H$20:H$51, MATCH(2,1/(('Indices Mines Exporting Ports'!$C$20:$C$51=$AT12)*('Indices Mines Exporting Ports'!$D$20:$D$51&lt;=$C12))))</f>
        <v>6.7500000000000004E-2</v>
      </c>
      <c r="DA12" s="61">
        <f t="array" ref="DA12">INDEX('Indices Mines Exporting Ports'!I$20:I$51, MATCH(2,1/(('Indices Mines Exporting Ports'!$C$20:$C$51=$AT12)*('Indices Mines Exporting Ports'!$D$20:$D$51&lt;=$C12))))</f>
        <v>2.2499999999999992E-2</v>
      </c>
      <c r="DB12" s="61">
        <f t="array" ref="DB12">INDEX('Indices Mines Exporting Ports'!J$20:J$51, MATCH(2,1/(('Indices Mines Exporting Ports'!$C$20:$C$51=$AT12)*('Indices Mines Exporting Ports'!$D$20:$D$51&lt;=$C12))))</f>
        <v>0.1</v>
      </c>
      <c r="DC12" s="61">
        <f t="array" ref="DC12">INDEX('Indices Mines Exporting Ports'!K$20:K$51, MATCH(2,1/(('Indices Mines Exporting Ports'!$C$20:$C$51=$AT12)*('Indices Mines Exporting Ports'!$D$20:$D$51&lt;=$C12))))</f>
        <v>0.125</v>
      </c>
      <c r="DD12" s="103" t="str">
        <f t="array" ref="DD12">INDEX('Indices Mines Exporting Ports'!L$20:L$51, MATCH(2,1/(('Indices Mines Exporting Ports'!$C$20:$C$51=$AT12)*('Indices Mines Exporting Ports'!$D$20:$D$51&lt;=$C12))))</f>
        <v>HT-D</v>
      </c>
      <c r="DE12" s="243">
        <f t="array" ref="DE12">INDEX('Indices Mines Exporting Ports'!M$20:M$51, MATCH(2,1/(('Indices Mines Exporting Ports'!$C$20:$C$51=$AT12)*('Indices Mines Exporting Ports'!$D$20:$D$51&lt;=$C12))))</f>
        <v>0.67</v>
      </c>
      <c r="DG12" s="300">
        <f t="array" ref="DG12">INDEX('Processing Factors'!$D$8:$D$29,MATCH(2,1/(('Processing Factors'!$B$8:$B$29&lt;=Main!$C12)*('Processing Factors'!$C$8:$C$29=Main!DD12))))</f>
        <v>1</v>
      </c>
      <c r="DH12" s="299">
        <f t="array" ref="DH12">INDEX('Processing Factors'!$E$8:$E$29,MATCH(2,1/(('Processing Factors'!$B$8:$B$29&lt;=Main!$C12)*('Processing Factors'!$C$8:$C$29=Main!DD12))))</f>
        <v>1.23</v>
      </c>
      <c r="DI12" s="299">
        <f t="array" ref="DI12">INDEX('Processing Factors'!$F$8:$F$29,MATCH(2,1/(('Processing Factors'!$B$8:$B$29&lt;=Main!$C12)*('Processing Factors'!$C$8:$C$29=Main!DD12))))</f>
        <v>0.6</v>
      </c>
      <c r="DJ12" s="299">
        <f t="array" ref="DJ12">INDEX('Processing Factors'!$G$8:$G$29,MATCH(2,1/(('Processing Factors'!$B$8:$B$29&lt;=Main!$C12)*('Processing Factors'!$C$8:$C$29=Main!DD12))))</f>
        <v>0.22</v>
      </c>
      <c r="DK12" s="299">
        <f t="array" ref="DK12">INDEX('Processing Factors'!$H$8:$H$29,MATCH(2,1/(('Processing Factors'!$B$8:$B$29&lt;=Main!$C12)*('Processing Factors'!$C$8:$C$29=Main!DD12))))</f>
        <v>13.5</v>
      </c>
      <c r="DL12" s="300">
        <f t="array" ref="DL12">INDEX('Processing Factors'!$I$8:$I$29,MATCH(2,1/(('Processing Factors'!$B$8:$B$29&lt;=Main!$C12)*('Processing Factors'!$C$8:$C$29=Main!DD12))))</f>
        <v>1</v>
      </c>
      <c r="DM12" s="300">
        <f t="array" ref="DM12">INDEX('Processing Factors'!$J$8:$J$29,MATCH(2,1/(('Processing Factors'!$B$8:$B$29&lt;=Main!$C12)*('Processing Factors'!$C$8:$C$29=Main!DD12))))</f>
        <v>0.9</v>
      </c>
      <c r="DN12" s="299">
        <f t="array" ref="DN12">INDEX('Processing Factors'!$K$8:$K$29,MATCH(2,1/(('Processing Factors'!$B$8:$B$29&lt;=Main!$C12)*('Processing Factors'!$C$8:$C$29=Main!DD12))))</f>
        <v>3.5000000000000003E-2</v>
      </c>
      <c r="DP12" s="302">
        <f t="shared" si="23"/>
        <v>0.54</v>
      </c>
      <c r="DQ12" s="302">
        <f t="shared" si="24"/>
        <v>0.09</v>
      </c>
      <c r="DR12" s="302">
        <f t="shared" si="25"/>
        <v>0.42930000000000001</v>
      </c>
      <c r="DS12" s="299">
        <f t="shared" si="26"/>
        <v>2.5881926650619871</v>
      </c>
      <c r="DT12" s="304">
        <v>0</v>
      </c>
      <c r="DU12" s="299">
        <f t="shared" si="27"/>
        <v>0.1747624039133473</v>
      </c>
      <c r="DV12" s="281">
        <f t="shared" si="28"/>
        <v>41.986445259000917</v>
      </c>
      <c r="DW12" s="281">
        <f t="shared" si="29"/>
        <v>55.9712938100622</v>
      </c>
      <c r="DX12" s="281">
        <f t="shared" si="30"/>
        <v>7.4618428490672706</v>
      </c>
      <c r="DY12" s="299">
        <f t="shared" si="31"/>
        <v>1.9829550689753344</v>
      </c>
      <c r="DZ12" s="281">
        <f t="shared" si="32"/>
        <v>8.4071017621905089</v>
      </c>
      <c r="EA12" s="281">
        <f t="shared" si="33"/>
        <v>113.82668368032088</v>
      </c>
      <c r="EC12" s="287" t="s">
        <v>39</v>
      </c>
      <c r="EE12" s="305" t="e">
        <f t="shared" ca="1" si="34"/>
        <v>#NAME?</v>
      </c>
      <c r="EF12" s="16">
        <f t="array" ref="EF12">INDEX('Indices Mines Exporting Ports'!E$20:E$51, MATCH(2,1/(('Indices Mines Exporting Ports'!$C$20:$C$51=$AU12)*('Indices Mines Exporting Ports'!$D$20:$D$51&lt;=$C12))))</f>
        <v>0.5</v>
      </c>
      <c r="EG12" s="16">
        <f t="array" ref="EG12">INDEX('Indices Mines Exporting Ports'!F$20:F$51, MATCH(2,1/(('Indices Mines Exporting Ports'!$C$20:$C$51=$AU12)*('Indices Mines Exporting Ports'!$D$20:$D$51&lt;=$C12))))</f>
        <v>0.45</v>
      </c>
      <c r="EH12" s="16">
        <f t="array" ref="EH12">INDEX('Indices Mines Exporting Ports'!G$20:G$51, MATCH(2,1/(('Indices Mines Exporting Ports'!$C$20:$C$51=$AU12)*('Indices Mines Exporting Ports'!$D$20:$D$51&lt;=$C12))))</f>
        <v>0.05</v>
      </c>
      <c r="EI12" s="16">
        <f t="array" ref="EI12">INDEX('Indices Mines Exporting Ports'!H$20:H$51, MATCH(2,1/(('Indices Mines Exporting Ports'!$C$20:$C$51=$AU12)*('Indices Mines Exporting Ports'!$D$20:$D$51&lt;=$C12))))</f>
        <v>0.05</v>
      </c>
      <c r="EJ12" s="16">
        <f t="array" ref="EJ12">INDEX('Indices Mines Exporting Ports'!I$20:I$51, MATCH(2,1/(('Indices Mines Exporting Ports'!$C$20:$C$51=$AU12)*('Indices Mines Exporting Ports'!$D$20:$D$51&lt;=$C12))))</f>
        <v>0</v>
      </c>
      <c r="EK12" s="16">
        <f t="array" ref="EK12">INDEX('Indices Mines Exporting Ports'!J$20:J$51, MATCH(2,1/(('Indices Mines Exporting Ports'!$C$20:$C$51=$AU12)*('Indices Mines Exporting Ports'!$D$20:$D$51&lt;=$C12))))</f>
        <v>0</v>
      </c>
      <c r="EL12" s="16">
        <f t="array" ref="EL12">INDEX('Indices Mines Exporting Ports'!K$20:K$51, MATCH(2,1/(('Indices Mines Exporting Ports'!$C$20:$C$51=$AU12)*('Indices Mines Exporting Ports'!$D$20:$D$51&lt;=$C12))))</f>
        <v>0.1</v>
      </c>
      <c r="EM12" s="103" t="str">
        <f t="array" ref="EM12">INDEX('Indices Mines Exporting Ports'!L$20:L$51, MATCH(2,1/(('Indices Mines Exporting Ports'!$C$20:$C$51=$AU12)*('Indices Mines Exporting Ports'!$D$20:$D$51&lt;=$C12))))</f>
        <v>LT</v>
      </c>
      <c r="EN12" s="243">
        <f t="array" ref="EN12">INDEX('Indices Mines Exporting Ports'!M$20:M$51, MATCH(2,1/(('Indices Mines Exporting Ports'!$C$20:$C$51=$AU12)*('Indices Mines Exporting Ports'!$D$20:$D$51&lt;=$C12))))</f>
        <v>0</v>
      </c>
      <c r="EP12" s="300">
        <f t="array" ref="EP12">INDEX('Processing Factors'!$D$8:$D$29,MATCH(2,1/(('Processing Factors'!$B$8:$B$29&lt;=Main!$C12)*('Processing Factors'!$C$8:$C$29=Main!EM12))))</f>
        <v>0</v>
      </c>
      <c r="EQ12" s="299">
        <f t="array" ref="EQ12">INDEX('Processing Factors'!$E$8:$E$29,MATCH(2,1/(('Processing Factors'!$B$8:$B$29&lt;=Main!$C12)*('Processing Factors'!$C$8:$C$29=Main!EM12))))</f>
        <v>1</v>
      </c>
      <c r="ER12" s="299">
        <f t="array" ref="ER12">INDEX('Processing Factors'!$F$8:$F$29,MATCH(2,1/(('Processing Factors'!$B$8:$B$29&lt;=Main!$C12)*('Processing Factors'!$C$8:$C$29=Main!EM12))))</f>
        <v>0.9</v>
      </c>
      <c r="ES12" s="299">
        <f t="array" ref="ES12">INDEX('Processing Factors'!$G$8:$G$29,MATCH(2,1/(('Processing Factors'!$B$8:$B$29&lt;=Main!$C12)*('Processing Factors'!$C$8:$C$29=Main!EM12))))</f>
        <v>3.5999999999999997E-2</v>
      </c>
      <c r="ET12" s="299">
        <f t="array" ref="ET12">INDEX('Processing Factors'!$H$8:$H$29,MATCH(2,1/(('Processing Factors'!$B$8:$B$29&lt;=Main!$C12)*('Processing Factors'!$C$8:$C$29=Main!EM12))))</f>
        <v>12.15</v>
      </c>
      <c r="EU12" s="300">
        <f t="array" ref="EU12">INDEX('Processing Factors'!$I$8:$I$29,MATCH(2,1/(('Processing Factors'!$B$8:$B$29&lt;=Main!$C12)*('Processing Factors'!$C$8:$C$29=Main!EM12))))</f>
        <v>0</v>
      </c>
      <c r="EV12" s="300">
        <f t="array" ref="EV12">INDEX('Processing Factors'!$J$8:$J$29,MATCH(2,1/(('Processing Factors'!$B$8:$B$29&lt;=Main!$C12)*('Processing Factors'!$C$8:$C$29=Main!EM12))))</f>
        <v>0.9</v>
      </c>
      <c r="EW12" s="299">
        <f t="array" ref="EW12">INDEX('Processing Factors'!$K$8:$K$29,MATCH(2,1/(('Processing Factors'!$B$8:$B$29&lt;=Main!$C12)*('Processing Factors'!$C$8:$C$29=Main!EM12))))</f>
        <v>3.5000000000000003E-2</v>
      </c>
      <c r="EY12" s="302">
        <f t="shared" si="35"/>
        <v>0.5</v>
      </c>
      <c r="EZ12" s="302">
        <f t="shared" si="36"/>
        <v>0.05</v>
      </c>
      <c r="FA12" s="302">
        <f t="shared" si="37"/>
        <v>0.45</v>
      </c>
      <c r="FB12" s="299">
        <f t="shared" si="38"/>
        <v>2.4691358024691357</v>
      </c>
      <c r="FC12" s="304">
        <v>0</v>
      </c>
      <c r="FD12" s="299">
        <f t="shared" si="39"/>
        <v>0.14611111111111114</v>
      </c>
      <c r="FE12" s="281">
        <f t="shared" si="40"/>
        <v>35.103008604987139</v>
      </c>
      <c r="FF12" s="281">
        <f t="shared" si="41"/>
        <v>50.37416442905598</v>
      </c>
      <c r="FG12" s="281">
        <f t="shared" si="42"/>
        <v>1.2210288298473715</v>
      </c>
      <c r="FH12" s="299">
        <f t="shared" si="43"/>
        <v>1.8352469135802467</v>
      </c>
      <c r="FI12" s="281">
        <f t="shared" si="44"/>
        <v>7.7808659422565585</v>
      </c>
      <c r="FJ12" s="281">
        <f t="shared" si="45"/>
        <v>94.479067806147043</v>
      </c>
      <c r="FL12" s="287" t="s">
        <v>39</v>
      </c>
      <c r="FN12" s="315" t="e">
        <f t="shared" ca="1" si="293"/>
        <v>#NAME?</v>
      </c>
      <c r="FO12" s="316">
        <f t="shared" si="294"/>
        <v>0.53</v>
      </c>
      <c r="FP12" s="316">
        <f t="shared" si="295"/>
        <v>0.36250000000000004</v>
      </c>
      <c r="FQ12" s="316">
        <f t="shared" si="296"/>
        <v>0.09</v>
      </c>
      <c r="FR12" s="316">
        <f t="shared" si="297"/>
        <v>6.7500000000000004E-2</v>
      </c>
      <c r="FS12" s="316">
        <f t="shared" si="298"/>
        <v>2.2499999999999999E-2</v>
      </c>
      <c r="FT12" s="316">
        <f t="shared" si="299"/>
        <v>0.1</v>
      </c>
      <c r="FU12" s="316">
        <f t="shared" si="300"/>
        <v>0.13</v>
      </c>
      <c r="FV12" s="317" t="str">
        <f t="shared" si="301"/>
        <v>HT-D</v>
      </c>
      <c r="FW12" s="318">
        <v>0</v>
      </c>
      <c r="FX12" s="237"/>
      <c r="FY12" s="319">
        <f t="array" ref="FY12">INDEX('Processing Factors'!$D$8:$D$29,MATCH(2,1/(('Processing Factors'!$B$8:$B$29&lt;=Main!$C12)*('Processing Factors'!$C$8:$C$29=Main!FV12))))</f>
        <v>1</v>
      </c>
      <c r="FZ12" s="320">
        <f t="array" ref="FZ12">INDEX('Processing Factors'!$E$8:$E$29,MATCH(2,1/(('Processing Factors'!$B$8:$B$29&lt;=Main!$C12)*('Processing Factors'!$C$8:$C$29=Main!FV12))))</f>
        <v>1.23</v>
      </c>
      <c r="GA12" s="320">
        <f t="array" ref="GA12">INDEX('Processing Factors'!$F$8:$F$29,MATCH(2,1/(('Processing Factors'!$B$8:$B$29&lt;=Main!$C12)*('Processing Factors'!$C$8:$C$29=Main!FV12))))</f>
        <v>0.6</v>
      </c>
      <c r="GB12" s="320">
        <f t="array" ref="GB12">INDEX('Processing Factors'!$G$8:$G$29,MATCH(2,1/(('Processing Factors'!$B$8:$B$29&lt;=Main!$C12)*('Processing Factors'!$C$8:$C$29=Main!FV12))))</f>
        <v>0.22</v>
      </c>
      <c r="GC12" s="320">
        <f t="array" ref="GC12">INDEX('Processing Factors'!$H$8:$H$29,MATCH(2,1/(('Processing Factors'!$B$8:$B$29&lt;=Main!$C12)*('Processing Factors'!$C$8:$C$29=Main!FV12))))</f>
        <v>13.5</v>
      </c>
      <c r="GD12" s="319">
        <f t="array" ref="GD12">INDEX('Processing Factors'!$I$8:$I$29,MATCH(2,1/(('Processing Factors'!$B$8:$B$29&lt;=Main!$C12)*('Processing Factors'!$C$8:$C$29=Main!FV12))))</f>
        <v>1</v>
      </c>
      <c r="GE12" s="321">
        <v>0.92</v>
      </c>
      <c r="GF12" s="320">
        <f t="array" ref="GF12">INDEX('Processing Factors'!$K$8:$K$29,MATCH(2,1/(('Processing Factors'!$B$8:$B$29&lt;=Main!$C12)*('Processing Factors'!$C$8:$C$29=Main!FV12))))</f>
        <v>3.5000000000000003E-2</v>
      </c>
      <c r="GG12" s="237"/>
      <c r="GH12" s="322">
        <f t="shared" si="46"/>
        <v>0.53</v>
      </c>
      <c r="GI12" s="322">
        <f t="shared" si="47"/>
        <v>0.09</v>
      </c>
      <c r="GJ12" s="322">
        <f t="shared" si="48"/>
        <v>0.41930000000000001</v>
      </c>
      <c r="GK12" s="320">
        <f t="shared" si="49"/>
        <v>2.5923122388245416</v>
      </c>
      <c r="GL12" s="323" t="e">
        <f t="shared" ca="1" si="50"/>
        <v>#NAME?</v>
      </c>
      <c r="GM12" s="320">
        <f t="shared" si="51"/>
        <v>0.17498486089652526</v>
      </c>
      <c r="GN12" s="323">
        <f t="shared" si="52"/>
        <v>42.03989026626526</v>
      </c>
      <c r="GO12" s="323">
        <f t="shared" si="53"/>
        <v>55.9712938100622</v>
      </c>
      <c r="GP12" s="323">
        <f t="shared" si="54"/>
        <v>7.4618428490672706</v>
      </c>
      <c r="GQ12" s="320">
        <f t="shared" si="55"/>
        <v>1.9872970997210668</v>
      </c>
      <c r="GR12" s="323">
        <f t="shared" si="56"/>
        <v>8.4255105980260048</v>
      </c>
      <c r="GS12" s="323" t="e">
        <f t="shared" ca="1" si="57"/>
        <v>#NAME?</v>
      </c>
      <c r="GT12" s="237"/>
      <c r="GU12" s="324" t="e">
        <f t="shared" ca="1" si="58"/>
        <v>#NAME?</v>
      </c>
      <c r="GV12" s="325">
        <f t="array" ref="GV12">INDEX('Indices Mines Exporting Ports'!E$20:E$51, MATCH(2,1/(('Indices Mines Exporting Ports'!$C$20:$C$51=$BC12)*('Indices Mines Exporting Ports'!$D$20:$D$51&lt;=$C12))))</f>
        <v>0.5</v>
      </c>
      <c r="GW12" s="325">
        <f t="array" ref="GW12">INDEX('Indices Mines Exporting Ports'!F$20:F$51, MATCH(2,1/(('Indices Mines Exporting Ports'!$C$20:$C$51=$BC12)*('Indices Mines Exporting Ports'!$D$20:$D$51&lt;=$C12))))</f>
        <v>0.45</v>
      </c>
      <c r="GX12" s="325">
        <f t="array" ref="GX12">INDEX('Indices Mines Exporting Ports'!G$20:G$51, MATCH(2,1/(('Indices Mines Exporting Ports'!$C$20:$C$51=$BC12)*('Indices Mines Exporting Ports'!$D$20:$D$51&lt;=$C12))))</f>
        <v>0.05</v>
      </c>
      <c r="GY12" s="325">
        <f t="array" ref="GY12">INDEX('Indices Mines Exporting Ports'!H$20:H$51, MATCH(2,1/(('Indices Mines Exporting Ports'!$C$20:$C$51=$BC12)*('Indices Mines Exporting Ports'!$D$20:$D$51&lt;=$C12))))</f>
        <v>0.05</v>
      </c>
      <c r="GZ12" s="325">
        <f t="array" ref="GZ12">INDEX('Indices Mines Exporting Ports'!I$20:I$51, MATCH(2,1/(('Indices Mines Exporting Ports'!$C$20:$C$51=$BC12)*('Indices Mines Exporting Ports'!$D$20:$D$51&lt;=$C12))))</f>
        <v>0</v>
      </c>
      <c r="HA12" s="325">
        <f t="array" ref="HA12">INDEX('Indices Mines Exporting Ports'!J$20:J$51, MATCH(2,1/(('Indices Mines Exporting Ports'!$C$20:$C$51=$BC12)*('Indices Mines Exporting Ports'!$D$20:$D$51&lt;=$C12))))</f>
        <v>0</v>
      </c>
      <c r="HB12" s="325">
        <f t="array" ref="HB12">INDEX('Indices Mines Exporting Ports'!K$20:K$51, MATCH(2,1/(('Indices Mines Exporting Ports'!$C$20:$C$51=$BC12)*('Indices Mines Exporting Ports'!$D$20:$D$51&lt;=$C12))))</f>
        <v>0.1</v>
      </c>
      <c r="HC12" s="326" t="str">
        <f t="array" ref="HC12">INDEX('Indices Mines Exporting Ports'!L$20:L$51, MATCH(2,1/(('Indices Mines Exporting Ports'!$C$20:$C$51=$BC12)*('Indices Mines Exporting Ports'!$D$20:$D$51&lt;=$C12))))</f>
        <v>LT</v>
      </c>
      <c r="HD12" s="262">
        <f t="array" ref="HD12">INDEX('Indices Mines Exporting Ports'!M$20:M$51, MATCH(2,1/(('Indices Mines Exporting Ports'!$C$20:$C$51=$BC12)*('Indices Mines Exporting Ports'!$D$20:$D$51&lt;=$C12))))</f>
        <v>0</v>
      </c>
      <c r="HE12" s="237"/>
      <c r="HF12" s="319">
        <f t="array" ref="HF12">INDEX('Processing Factors'!$D$8:$D$29,MATCH(2,1/(('Processing Factors'!$B$8:$B$29&lt;=Main!$C12)*('Processing Factors'!$C$8:$C$29=Main!HC12))))</f>
        <v>0</v>
      </c>
      <c r="HG12" s="320">
        <f t="array" ref="HG12">INDEX('Processing Factors'!$E$8:$E$29,MATCH(2,1/(('Processing Factors'!$B$8:$B$29&lt;=Main!$C12)*('Processing Factors'!$C$8:$C$29=Main!HC12))))</f>
        <v>1</v>
      </c>
      <c r="HH12" s="320">
        <f t="array" ref="HH12">INDEX('Processing Factors'!$F$8:$F$29,MATCH(2,1/(('Processing Factors'!$B$8:$B$29&lt;=Main!$C12)*('Processing Factors'!$C$8:$C$29=Main!HC12))))</f>
        <v>0.9</v>
      </c>
      <c r="HI12" s="320">
        <f t="array" ref="HI12">INDEX('Processing Factors'!$G$8:$G$29,MATCH(2,1/(('Processing Factors'!$B$8:$B$29&lt;=Main!$C12)*('Processing Factors'!$C$8:$C$29=Main!HC12))))</f>
        <v>3.5999999999999997E-2</v>
      </c>
      <c r="HJ12" s="320">
        <f t="array" ref="HJ12">INDEX('Processing Factors'!$H$8:$H$29,MATCH(2,1/(('Processing Factors'!$B$8:$B$29&lt;=Main!$C12)*('Processing Factors'!$C$8:$C$29=Main!HC12))))</f>
        <v>12.15</v>
      </c>
      <c r="HK12" s="319">
        <f t="array" ref="HK12">INDEX('Processing Factors'!$I$8:$I$29,MATCH(2,1/(('Processing Factors'!$B$8:$B$29&lt;=Main!$C12)*('Processing Factors'!$C$8:$C$29=Main!HC12))))</f>
        <v>0</v>
      </c>
      <c r="HL12" s="321">
        <v>0.92</v>
      </c>
      <c r="HM12" s="320">
        <f t="array" ref="HM12">INDEX('Processing Factors'!$K$8:$K$29,MATCH(2,1/(('Processing Factors'!$B$8:$B$29&lt;=Main!$C12)*('Processing Factors'!$C$8:$C$29=Main!HC12))))</f>
        <v>3.5000000000000003E-2</v>
      </c>
      <c r="HN12" s="237"/>
      <c r="HO12" s="322">
        <f t="shared" si="59"/>
        <v>0.5</v>
      </c>
      <c r="HP12" s="322">
        <f t="shared" si="60"/>
        <v>0.05</v>
      </c>
      <c r="HQ12" s="322">
        <f t="shared" si="61"/>
        <v>0.45</v>
      </c>
      <c r="HR12" s="320">
        <f t="shared" si="62"/>
        <v>2.4154589371980677</v>
      </c>
      <c r="HS12" s="263">
        <v>0</v>
      </c>
      <c r="HT12" s="320">
        <f t="shared" si="63"/>
        <v>0.14369565217391306</v>
      </c>
      <c r="HU12" s="323">
        <f t="shared" si="64"/>
        <v>34.522697667559676</v>
      </c>
      <c r="HV12" s="323">
        <f t="shared" si="65"/>
        <v>50.37416442905598</v>
      </c>
      <c r="HW12" s="323">
        <f t="shared" si="66"/>
        <v>1.2210288298473715</v>
      </c>
      <c r="HX12" s="320">
        <f t="shared" si="67"/>
        <v>1.7791545893719807</v>
      </c>
      <c r="HY12" s="323">
        <f t="shared" si="68"/>
        <v>7.5430522443696191</v>
      </c>
      <c r="HZ12" s="323">
        <f t="shared" si="69"/>
        <v>93.660943170832638</v>
      </c>
      <c r="IB12" s="287" t="s">
        <v>39</v>
      </c>
      <c r="ID12" s="89" t="str">
        <f t="shared" si="70"/>
        <v>Weipa/Amrun Generic</v>
      </c>
      <c r="IE12" s="18">
        <f>$C12</f>
        <v>43923</v>
      </c>
      <c r="IF12" s="94">
        <f t="array" ref="IF12">INDEX('Indices Mines Exporting Ports'!E$20:E$51, MATCH(2,1/(('Indices Mines Exporting Ports'!$C$20:$C$51=$ID12)*('Indices Mines Exporting Ports'!$D$20:$D$51&lt;=$IE12))))</f>
        <v>0.53</v>
      </c>
      <c r="IG12" s="94">
        <f t="array" ref="IG12">INDEX('Indices Mines Exporting Ports'!F$20:F$51, MATCH(2,1/(('Indices Mines Exporting Ports'!$C$20:$C$51=$ID12)*('Indices Mines Exporting Ports'!$D$20:$D$51&lt;=$IE12))))</f>
        <v>0.36250000000000004</v>
      </c>
      <c r="IH12" s="95">
        <f t="array" ref="IH12">INDEX('Indices Mines Exporting Ports'!G$20:G$51, MATCH(2,1/(('Indices Mines Exporting Ports'!$C$20:$C$51=$ID12)*('Indices Mines Exporting Ports'!$D$20:$D$51&lt;=$IE12))))</f>
        <v>0.09</v>
      </c>
      <c r="II12" s="95">
        <f t="array" ref="II12">INDEX('Indices Mines Exporting Ports'!H$20:H$51, MATCH(2,1/(('Indices Mines Exporting Ports'!$C$20:$C$51=$ID12)*('Indices Mines Exporting Ports'!$D$20:$D$51&lt;=$IE12))))</f>
        <v>6.7500000000000004E-2</v>
      </c>
      <c r="IJ12" s="95">
        <f t="array" ref="IJ12">INDEX('Indices Mines Exporting Ports'!I$20:I$51, MATCH(2,1/(('Indices Mines Exporting Ports'!$C$20:$C$51=$ID12)*('Indices Mines Exporting Ports'!$D$20:$D$51&lt;=$IE12))))</f>
        <v>2.2499999999999999E-2</v>
      </c>
      <c r="IK12" s="94">
        <f t="array" ref="IK12">INDEX('Indices Mines Exporting Ports'!J$20:J$51, MATCH(2,1/(('Indices Mines Exporting Ports'!$C$20:$C$51=$ID12)*('Indices Mines Exporting Ports'!$D$20:$D$51&lt;=$IE12))))</f>
        <v>0.1</v>
      </c>
      <c r="IL12" s="94">
        <f t="array" ref="IL12">INDEX('Indices Mines Exporting Ports'!K$20:K$51, MATCH(2,1/(('Indices Mines Exporting Ports'!$C$20:$C$51=$ID12)*('Indices Mines Exporting Ports'!$D$20:$D$51&lt;=$IE12))))</f>
        <v>0.13</v>
      </c>
      <c r="IM12" s="93" t="str">
        <f t="array" ref="IM12">INDEX('Indices Mines Exporting Ports'!L$20:L$51, MATCH(2,1/(('Indices Mines Exporting Ports'!$C$20:$C$51=$ID12)*('Indices Mines Exporting Ports'!$D$20:$D$51&lt;=$IE12))))</f>
        <v>HT-D</v>
      </c>
      <c r="IN12" s="101">
        <f t="array" ref="IN12">INDEX('Indices Mines Exporting Ports'!M$20:M$51, MATCH(2,1/(('Indices Mines Exporting Ports'!$C$20:$C$51=$ID12)*('Indices Mines Exporting Ports'!$D$20:$D$51&lt;=$IE12))))</f>
        <v>0.67</v>
      </c>
      <c r="IO12" s="96">
        <f t="array" ref="IO12">INDEX('Indices Mines Exporting Ports'!N$20:N$51, MATCH(2,1/(('Indices Mines Exporting Ports'!$C$20:$C$51=$ID12)*('Indices Mines Exporting Ports'!$D$20:$D$51&lt;=$IE12))))</f>
        <v>76000</v>
      </c>
      <c r="IP12" s="95" t="str">
        <f t="array" ref="IP12">INDEX('Indices Mines Exporting Ports'!Q$20:Q$51, MATCH(2,1/(('Indices Mines Exporting Ports'!$C$20:$C$51=$ID12)*('Indices Mines Exporting Ports'!$D$20:$D$51&lt;=$IE12))))</f>
        <v>Weipa_Amrun_Wharf</v>
      </c>
      <c r="IQ12" s="95" t="str">
        <f t="array" ref="IQ12">INDEX('Indices Mines Exporting Ports'!O$20:O$51, MATCH(2,1/(('Indices Mines Exporting Ports'!$C$20:$C$51=$ID12)*('Indices Mines Exporting Ports'!$D$20:$D$51&lt;=$IE12))))</f>
        <v>Australia HT</v>
      </c>
      <c r="IR12" s="95" t="str">
        <f t="array" ref="IR12">INDEX('Indices Mines Exporting Ports'!P$20:P$51, MATCH(2,1/(('Indices Mines Exporting Ports'!$C$20:$C$51=$ID12)*('Indices Mines Exporting Ports'!$D$20:$D$51&lt;=$IE12))))</f>
        <v>CBIX HT</v>
      </c>
      <c r="IT12" s="287" t="s">
        <v>39</v>
      </c>
      <c r="IV12" s="292">
        <f>VLOOKUP($C12,'China Price Series'!$C$10:$D$1009,2,TRUE)/$JA12/(VLOOKUP($C12,'China Price Series'!$C$10:$E$1009,3,TRUE)*$JG12/$JF12)</f>
        <v>4.146021763708311</v>
      </c>
      <c r="IW12" s="292">
        <f>VLOOKUP($C12,'China Price Series'!$G$10:$H$1009,2,TRUE)/$JA12/(VLOOKUP($C12,'China Price Series'!$G$10:$I$1009,3,TRUE))</f>
        <v>240.24872809496895</v>
      </c>
      <c r="IX12" s="292">
        <f>VLOOKUP($C12,'China Price Series'!$K$10:$L$1009,2,TRUE)/$JA12</f>
        <v>33.91746749576032</v>
      </c>
      <c r="IY12" s="292">
        <f>VLOOKUP($C12,'China Price Series'!$N$10:$O$1009,2,TRUE)/$JA12</f>
        <v>4.23968343697004</v>
      </c>
      <c r="JA12" s="277">
        <f t="array" ref="JA12">INDEX('FX rates'!E$10:E$1009,MATCH(2,1/(('FX rates'!$D$10:$D$1009&lt;=Main!$C12)*(NOT(ISBLANK('FX rates'!E$10:E$1009))))))</f>
        <v>7.0759999999999987</v>
      </c>
      <c r="JB12" s="277">
        <f t="array" ref="JB12">INDEX('FX rates'!F$10:F$1009,MATCH(2,1/(('FX rates'!$D$10:$D$1009&lt;=Main!$C12)*(NOT(ISBLANK('FX rates'!F$10:F$1009))))))</f>
        <v>0.59156405988048044</v>
      </c>
      <c r="JC12" s="277">
        <f t="array" ref="JC12">INDEX('FX rates'!G$10:G$1009,MATCH(2,1/(('FX rates'!$D$10:$D$1009&lt;=Main!$C12)*(NOT(ISBLANK('FX rates'!G$10:G$1009))))))</f>
        <v>1</v>
      </c>
      <c r="JD12" s="277">
        <f t="array" ref="JD12">INDEX('FX rates'!H$10:H$1009,MATCH(2,1/(('FX rates'!$D$10:$D$1009&lt;=Main!$C12)*(NOT(ISBLANK('FX rates'!H$10:H$1009))))))</f>
        <v>1.35</v>
      </c>
      <c r="JF12" s="111">
        <f t="array" ref="JF12">INDEX('Global factors'!C$5:C$23,MATCH(2,1/(('Global factors'!$B$5:$B$23&lt;=Main!$C12)*(NOT(ISBLANK('Global factors'!C$5:C$23))))))</f>
        <v>239000</v>
      </c>
      <c r="JG12" s="112">
        <f t="array" ref="JG12">INDEX('Global factors'!D$5:D$23,MATCH(2,1/(('Global factors'!$B$5:$B$23&lt;=Main!$C12)*(NOT(ISBLANK('Global factors'!D$5:D$23))))))</f>
        <v>1000</v>
      </c>
      <c r="JH12" s="112">
        <f t="array" ref="JH12">INDEX('Global factors'!E$5:E$23,MATCH(2,1/(('Global factors'!$B$5:$B$23&lt;=Main!$C12)*(NOT(ISBLANK('Global factors'!E$5:E$23))))))</f>
        <v>24</v>
      </c>
      <c r="JI12" s="112">
        <f t="array" ref="JI12">INDEX('Global factors'!F$5:F$23,MATCH(2,1/(('Global factors'!$B$5:$B$23&lt;=Main!$C12)*(NOT(ISBLANK('Global factors'!F$5:F$23))))))</f>
        <v>2</v>
      </c>
      <c r="JJ12" s="117">
        <f t="array" ref="JJ12">INDEX('Global factors'!G$5:G$23,MATCH(2,1/(('Global factors'!$B$5:$B$23&lt;=Main!$C12)*(NOT(ISBLANK('Global factors'!G$5:G$23))))))</f>
        <v>0.08</v>
      </c>
      <c r="JK12" s="113">
        <f t="array" ref="JK12">INDEX('Global factors'!H$5:H$23,MATCH(2,1/(('Global factors'!$B$5:$B$23&lt;=Main!$C12)*(NOT(ISBLANK('Global factors'!H$5:H$23))))))</f>
        <v>101.96</v>
      </c>
      <c r="JL12" s="113">
        <f t="array" ref="JL12">INDEX('Global factors'!I$5:I$23,MATCH(2,1/(('Global factors'!$B$5:$B$23&lt;=Main!$C12)*(NOT(ISBLANK('Global factors'!I$5:I$23))))))</f>
        <v>60.08</v>
      </c>
      <c r="JM12" s="114">
        <f t="array" ref="JM12">INDEX('Global factors'!J$5:J$23,MATCH(2,1/(('Global factors'!$B$5:$B$23&lt;=Main!$C12)*(NOT(ISBLANK('Global factors'!J$5:J$23))))))</f>
        <v>0.84853528628495334</v>
      </c>
      <c r="JN12" s="115">
        <f t="array" ref="JN12">INDEX('Global factors'!K$5:K$23,MATCH(2,1/(('Global factors'!$B$5:$B$23&lt;=Main!$C12)*(NOT(ISBLANK('Global factors'!K$5:K$23))))))</f>
        <v>0.97499999999999998</v>
      </c>
      <c r="JO12" s="116">
        <f t="array" ref="JO12">INDEX('Global factors'!L$5:L$23,MATCH(2,1/(('Global factors'!$B$5:$B$23&lt;=Main!$C12)*(NOT(ISBLANK('Global factors'!L$5:L$23))))))</f>
        <v>8.7299999999999997E-4</v>
      </c>
      <c r="JP12" s="116">
        <f t="array" ref="JP12">INDEX('Global factors'!M$5:M$23,MATCH(2,1/(('Global factors'!$B$5:$B$23&lt;=Main!$C12)*(NOT(ISBLANK('Global factors'!M$5:M$23))))))</f>
        <v>145.88999999999999</v>
      </c>
      <c r="JQ12" s="116">
        <f t="array" ref="JQ12">INDEX('Global factors'!N$5:N$23,MATCH(2,1/(('Global factors'!$B$5:$B$23&lt;=Main!$C12)*(NOT(ISBLANK('Global factors'!N$5:N$23))))))</f>
        <v>0.40339999999999998</v>
      </c>
      <c r="JR12" s="116">
        <f t="array" ref="JR12">INDEX('Global factors'!O$5:O$23,MATCH(2,1/(('Global factors'!$B$5:$B$23&lt;=Main!$C12)*(NOT(ISBLANK('Global factors'!O$5:O$23))))))</f>
        <v>0</v>
      </c>
      <c r="JS12" s="116">
        <f t="array" ref="JS12">INDEX('Global factors'!P$5:P$23,MATCH(2,1/(('Global factors'!$B$5:$B$23&lt;=Main!$C12)*(NOT(ISBLANK('Global factors'!P$5:P$23))))))</f>
        <v>0.51890000000000003</v>
      </c>
      <c r="JT12" s="116">
        <f t="array" ref="JT12">INDEX('Global factors'!Q$5:Q$23,MATCH(2,1/(('Global factors'!$B$5:$B$23&lt;=Main!$C12)*(NOT(ISBLANK('Global factors'!Q$5:Q$23))))))</f>
        <v>4797</v>
      </c>
      <c r="JU12" s="116">
        <f t="array" ref="JU12">INDEX('Global factors'!R$5:R$23,MATCH(2,1/(('Global factors'!$B$5:$B$23&lt;=Main!$C12)*(NOT(ISBLANK('Global factors'!R$5:R$23))))))</f>
        <v>7</v>
      </c>
      <c r="JV12" s="115">
        <f t="array" ref="JV12">INDEX('Global factors'!S$5:S$23,MATCH(2,1/(('Global factors'!$B$5:$B$23&lt;=Main!$C12)*(NOT(ISBLANK('Global factors'!S$5:S$23))))))</f>
        <v>0.12</v>
      </c>
      <c r="JW12" s="115">
        <f t="array" ref="JW12">INDEX('Global factors'!T$5:T$23,MATCH(2,1/(('Global factors'!$B$5:$B$23&lt;=Main!$C12)*(NOT(ISBLANK('Global factors'!T$5:T$23))))))</f>
        <v>0.5</v>
      </c>
      <c r="JX12" s="116">
        <f t="array" ref="JX12">INDEX('Global factors'!U$5:U$23,MATCH(2,1/(('Global factors'!$B$5:$B$23&lt;=Main!$C12)*(NOT(ISBLANK('Global factors'!U$5:U$23))))))</f>
        <v>0.5</v>
      </c>
      <c r="JY12" s="116">
        <f t="array" ref="JY12">INDEX('Global factors'!V$5:V$23,MATCH(2,1/(('Global factors'!$B$5:$B$23&lt;=Main!$C12)*(NOT(ISBLANK('Global factors'!V$5:V$23))))))</f>
        <v>10000</v>
      </c>
      <c r="JZ12" s="116">
        <f t="array" ref="JZ12">INDEX('Global factors'!W$5:W$23,MATCH(2,1/(('Global factors'!$B$5:$B$23&lt;=Main!$C12)*(NOT(ISBLANK('Global factors'!W$5:W$23))))))</f>
        <v>0.10680000000000001</v>
      </c>
      <c r="KA12" s="116">
        <f t="array" ref="KA12">INDEX('Global factors'!X$5:X$23,MATCH(2,1/(('Global factors'!$B$5:$B$23&lt;=Main!$C12)*(NOT(ISBLANK('Global factors'!X$5:X$23))))))</f>
        <v>1.2</v>
      </c>
      <c r="KB12" s="116">
        <v>0</v>
      </c>
      <c r="KC12" s="272">
        <f t="array" ref="KC12">INDEX('Global factors'!Y$5:Y$23,MATCH(2,1/(('Global factors'!$B$5:$B$23&lt;=Main!$C12)*(NOT(ISBLANK('Global factors'!Y$5:Y$23))))))</f>
        <v>23643.7088248818</v>
      </c>
      <c r="KD12" s="273">
        <f t="array" ref="KD12">INDEX('Global factors'!Z$5:Z$23,MATCH(2,1/(('Global factors'!$B$5:$B$23&lt;=Main!$C12)*(NOT(ISBLANK('Global factors'!Z$5:Z$23))))))</f>
        <v>0.62802869915581405</v>
      </c>
      <c r="KE12" s="273">
        <v>0</v>
      </c>
      <c r="KF12" s="273">
        <v>0</v>
      </c>
      <c r="KG12" s="116">
        <v>0</v>
      </c>
      <c r="KH12" s="116">
        <f t="array" ref="KH12">INDEX('Global factors'!AB$5:AB$23,MATCH(2,1/(('Global factors'!$B$5:$B$23&lt;=Main!$C12)*(NOT(ISBLANK('Global factors'!AB$5:AB$23))))))</f>
        <v>6.2556361557795204E-2</v>
      </c>
      <c r="KI12" s="116">
        <f t="array" ref="KI12">INDEX('Global factors'!AC$5:AC$23,MATCH(2,1/(('Global factors'!$B$5:$B$23&lt;=Main!$C12)*(NOT(ISBLANK('Global factors'!AC$5:AC$23))))))</f>
        <v>8.6923129044225601E-4</v>
      </c>
      <c r="KJ12" s="116">
        <f t="array" ref="KJ12">INDEX('Global factors'!AD$5:AD$23,MATCH(2,1/(('Global factors'!$B$5:$B$23&lt;=Main!$C12)*(NOT(ISBLANK('Global factors'!AD$5:AD$23))))))</f>
        <v>1.1499999999999999</v>
      </c>
      <c r="KK12" s="116" t="str">
        <f t="array" ref="KK12">INDEX('Global factors'!AE$5:AE$23,MATCH(2,1/(('Global factors'!$B$5:$B$23&lt;=Main!$C12)*(NOT(ISBLANK('Global factors'!AE$5:AE$23))))))</f>
        <v>Qingdao</v>
      </c>
      <c r="KL12" s="290">
        <f t="array" ref="KL12">INDEX('Global factors'!AF$5:AF$23,MATCH(2,1/(('Global factors'!$B$5:$B$23&lt;=Main!$C12)*(NOT(ISBLANK('Global factors'!AF$5:AF$23))))))</f>
        <v>3.0000000000000001E-3</v>
      </c>
      <c r="KM12" s="290">
        <f t="array" ref="KM12">INDEX('Global factors'!AG$5:AG$23,MATCH(2,1/(('Global factors'!$B$5:$B$23&lt;=Main!$C12)*(NOT(ISBLANK('Global factors'!AG$5:AG$23))))))</f>
        <v>0.05</v>
      </c>
      <c r="KO12" s="287" t="s">
        <v>39</v>
      </c>
      <c r="KQ12" s="25">
        <f>IF($AO12="no",$AN12,$AR12)/(1-$AL12)/$JN12</f>
        <v>76000</v>
      </c>
      <c r="KR12" s="4" t="str">
        <f>VLOOKUP(KQ12,'Ship Time Charter Rates'!$F$10:$G$17,2,TRUE)</f>
        <v>Panamax</v>
      </c>
      <c r="KS12" s="4" t="str">
        <f>VLOOKUP(KQ12,Canals!$E$5:$F$12,2,TRUE)</f>
        <v>Panamax</v>
      </c>
      <c r="KT12" s="25">
        <f t="shared" si="71"/>
        <v>212.238</v>
      </c>
      <c r="KU12" s="25">
        <f t="shared" si="72"/>
        <v>30658.399999999998</v>
      </c>
      <c r="KV12" s="25">
        <f t="shared" si="73"/>
        <v>44233.4</v>
      </c>
      <c r="KX12" s="75">
        <f t="array" ref="KX12">INDEX('Indices Mines Exporting Ports'!$R$20:$R$51,MATCH(2,1/(('Indices Mines Exporting Ports'!$D$20:$D$51&lt;=Main!$C12)*('Indices Mines Exporting Ports'!$Q$20:$Q$51=$AP12))))</f>
        <v>80000</v>
      </c>
      <c r="KY12" s="75">
        <f t="array" ref="KY12">INDEX('Indices Mines Exporting Ports'!$S$20:$S$51,MATCH(2,1/(('Indices Mines Exporting Ports'!$D$20:$D$51&lt;=Main!$C12)*('Indices Mines Exporting Ports'!$Q$20:$Q$51=$AP12))))</f>
        <v>80000</v>
      </c>
      <c r="KZ12" s="75">
        <f t="array" ref="KZ12">INDEX('Indices Mines Exporting Ports'!$T$20:$T$51,MATCH(2,1/(('Indices Mines Exporting Ports'!$D$20:$D$51&lt;=Main!$C12)*('Indices Mines Exporting Ports'!$Q$20:$Q$51=$AP12))))</f>
        <v>80000</v>
      </c>
      <c r="LA12" s="75">
        <f t="array" ref="LA12">INDEX('Indices Mines Exporting Ports'!$U$20:$U$51,MATCH(2,1/(('Indices Mines Exporting Ports'!$D$20:$D$51&lt;=Main!$C12)*('Indices Mines Exporting Ports'!$Q$20:$Q$51=$AP12))))</f>
        <v>80000</v>
      </c>
      <c r="LB12" s="75">
        <f t="array" ref="LB12">INDEX('Indices Mines Exporting Ports'!$V$20:$V$51,MATCH(2,1/(('Indices Mines Exporting Ports'!$D$20:$D$51&lt;=Main!$C12)*('Indices Mines Exporting Ports'!$Q$20:$Q$51=$AP12))))</f>
        <v>80000</v>
      </c>
      <c r="LC12" s="75">
        <f t="array" ref="LC12">INDEX('Indices Mines Exporting Ports'!$W$20:$W$51,MATCH(2,1/(('Indices Mines Exporting Ports'!$D$20:$D$51&lt;=Main!$C12)*('Indices Mines Exporting Ports'!$Q$20:$Q$51=$AP12))))</f>
        <v>40000</v>
      </c>
      <c r="LD12" s="75">
        <f t="array" ref="LD12">INDEX('Indices Mines Exporting Ports'!$X$20:$X$51,MATCH(2,1/(('Indices Mines Exporting Ports'!$D$20:$D$51&lt;=Main!$C12)*('Indices Mines Exporting Ports'!$Q$20:$Q$51=$AP12))))</f>
        <v>40000</v>
      </c>
      <c r="LF12" s="75" t="e">
        <f t="array" ref="LF12">INDEX('Port Linkages'!$E$18:$E$157,MATCH(2,1/(('Port Linkages'!$C$18:$C$157=$AP12)*('Port Linkages'!$D$18:$D$157=IF($AO12="Yes",$AQ12,$AS12))*('Port Linkages'!$A$18:$A$157&lt;=$C12))))</f>
        <v>#N/A</v>
      </c>
      <c r="LG12" s="75">
        <f t="array" ref="LG12">INDEX('Port Linkages'!$F$18:$F$157,MATCH(2,1/(('Port Linkages'!$C$18:$C$157=$AP12)*('Port Linkages'!$D$18:$D$157=IF($AO12="Yes",$AQ12,$AS12))*('Port Linkages'!$A$18:$A$157&lt;=$C12))))</f>
        <v>0</v>
      </c>
      <c r="LH12" s="75" t="str">
        <f t="array" ref="LH12">INDEX('Port Linkages'!$G$18:$G$157,MATCH(2,1/(('Port Linkages'!$C$18:$C$157=$AP12)*('Port Linkages'!$D$18:$D$157=IF($AO12="Yes",$AQ12,$AS12))*('Port Linkages'!$A$18:$A$157&lt;=$C12))))</f>
        <v>VLOC_General</v>
      </c>
      <c r="LI12" s="75" t="str">
        <f t="array" ref="LI12">INDEX('Port Linkages'!$H$18:$H$157,MATCH(2,1/(('Port Linkages'!$C$18:$C$157=$AP12)*('Port Linkages'!$D$18:$D$157=IF($AO12="Yes",$AQ12,$AS12))*('Port Linkages'!$A$18:$A$157&lt;=$C12))))</f>
        <v>Singapore</v>
      </c>
      <c r="LJ12" s="75" t="str">
        <f t="array" ref="LJ12">INDEX('Port Linkages'!$I$18:$I$157,MATCH(2,1/(('Port Linkages'!$C$18:$C$157=$AP12)*('Port Linkages'!$D$18:$D$157=IF($AO12="Yes",$AQ12,$AS12))*('Port Linkages'!$A$18:$A$157&lt;=$C12))))</f>
        <v>VLSFO</v>
      </c>
      <c r="LK12" s="75" t="str">
        <f t="array" ref="LK12">INDEX('Port Linkages'!$J$18:$J$157,MATCH(2,1/(('Port Linkages'!$C$18:$C$157=$AP12)*('Port Linkages'!$D$18:$D$157=IF($AO12="Yes",$AQ12,$AS12))*('Port Linkages'!$A$18:$A$157&lt;=$C12))))</f>
        <v>MGO_Regular</v>
      </c>
      <c r="LL12" s="75" t="str">
        <f t="array" ref="LL12">INDEX('Port Linkages'!$K$18:$K$157,MATCH(2,1/(('Port Linkages'!$C$18:$C$157=$AP12)*('Port Linkages'!$D$18:$D$157=IF($AO12="Yes",$AQ12,$AS12))*('Port Linkages'!$A$18:$A$157&lt;=$C12))))</f>
        <v>none</v>
      </c>
      <c r="LM12" s="75" t="e">
        <f t="array" ref="LM12">INDEX('Port Linkages'!$L$18:$L$157,MATCH(2,1/(('Port Linkages'!$C$18:$C$157=$AP12)*('Port Linkages'!$D$18:$D$157=IF($AO12="Yes",$AQ12,$AS12))*('Port Linkages'!$A$18:$A$157&lt;=$C12))))</f>
        <v>#N/A</v>
      </c>
      <c r="LN12" s="75">
        <f t="array" ref="LN12">INDEX('Port Linkages'!$M$18:$M$157,MATCH(2,1/(('Port Linkages'!$C$18:$C$157=$AP12)*('Port Linkages'!$D$18:$D$157=IF($AO12="Yes",$AQ12,$AS12))*('Port Linkages'!$A$18:$A$157&lt;=$C12))))</f>
        <v>0</v>
      </c>
      <c r="LO12" s="75" t="str">
        <f t="array" ref="LO12">INDEX('Port Linkages'!$N$18:$N$157,MATCH(2,1/(('Port Linkages'!$C$18:$C$157=$AP12)*('Port Linkages'!$D$18:$D$157=IF($AO12="Yes",$AQ12,$AS12))*('Port Linkages'!$A$18:$A$157&lt;=$C12))))</f>
        <v>Capesize_General</v>
      </c>
      <c r="LP12" s="75" t="str">
        <f t="array" ref="LP12">INDEX('Port Linkages'!$O$18:$O$157,MATCH(2,1/(('Port Linkages'!$C$18:$C$157=$AP12)*('Port Linkages'!$D$18:$D$157=IF($AO12="Yes",$AQ12,$AS12))*('Port Linkages'!$A$18:$A$157&lt;=$C12))))</f>
        <v>Singapore</v>
      </c>
      <c r="LQ12" s="75" t="str">
        <f t="array" ref="LQ12">INDEX('Port Linkages'!$P$18:$P$157,MATCH(2,1/(('Port Linkages'!$C$18:$C$157=$AP12)*('Port Linkages'!$D$18:$D$157=IF($AO12="Yes",$AQ12,$AS12))*('Port Linkages'!$A$18:$A$157&lt;=$C12))))</f>
        <v>VLSFO</v>
      </c>
      <c r="LR12" s="75" t="str">
        <f t="array" ref="LR12">INDEX('Port Linkages'!$Q$18:$Q$157,MATCH(2,1/(('Port Linkages'!$C$18:$C$157=$AP12)*('Port Linkages'!$D$18:$D$157=IF($AO12="Yes",$AQ12,$AS12))*('Port Linkages'!$A$18:$A$157&lt;=$C12))))</f>
        <v>MGO_Regular</v>
      </c>
      <c r="LS12" s="75" t="str">
        <f t="array" ref="LS12">INDEX('Port Linkages'!$R$18:$R$157,MATCH(2,1/(('Port Linkages'!$C$18:$C$157=$AP12)*('Port Linkages'!$D$18:$D$157=IF($AO12="Yes",$AQ12,$AS12))*('Port Linkages'!$A$18:$A$157&lt;=$C12))))</f>
        <v>none</v>
      </c>
      <c r="LT12" s="75" t="e">
        <f t="array" ref="LT12">INDEX('Port Linkages'!$S$18:$S$157,MATCH(2,1/(('Port Linkages'!$C$18:$C$157=$AP12)*('Port Linkages'!$D$18:$D$157=IF($AO12="Yes",$AQ12,$AS12))*('Port Linkages'!$A$18:$A$157&lt;=$C12))))</f>
        <v>#N/A</v>
      </c>
      <c r="LU12" s="75">
        <f t="array" ref="LU12">INDEX('Port Linkages'!$T$18:$T$157,MATCH(2,1/(('Port Linkages'!$C$18:$C$157=$AP12)*('Port Linkages'!$D$18:$D$157=IF($AO12="Yes",$AQ12,$AS12))*('Port Linkages'!$A$18:$A$157&lt;=$C12))))</f>
        <v>0</v>
      </c>
      <c r="LV12" s="75" t="str">
        <f t="array" ref="LV12">INDEX('Port Linkages'!$U$18:$U$157,MATCH(2,1/(('Port Linkages'!$C$18:$C$157=$AP12)*('Port Linkages'!$D$18:$D$157=IF($AO12="Yes",$AQ12,$AS12))*('Port Linkages'!$A$18:$A$157&lt;=$C12))))</f>
        <v>Capesize_General</v>
      </c>
      <c r="LW12" s="75" t="str">
        <f t="array" ref="LW12">INDEX('Port Linkages'!$V$18:$V$157,MATCH(2,1/(('Port Linkages'!$C$18:$C$157=$AP12)*('Port Linkages'!$D$18:$D$157=IF($AO12="Yes",$AQ12,$AS12))*('Port Linkages'!$A$18:$A$157&lt;=$C12))))</f>
        <v>Singapore</v>
      </c>
      <c r="LX12" s="75" t="str">
        <f t="array" ref="LX12">INDEX('Port Linkages'!$W$18:$W$157,MATCH(2,1/(('Port Linkages'!$C$18:$C$157=$AP12)*('Port Linkages'!$D$18:$D$157=IF($AO12="Yes",$AQ12,$AS12))*('Port Linkages'!$A$18:$A$157&lt;=$C12))))</f>
        <v>VLSFO</v>
      </c>
      <c r="LY12" s="75" t="str">
        <f t="array" ref="LY12">INDEX('Port Linkages'!$X$18:$X$157,MATCH(2,1/(('Port Linkages'!$C$18:$C$157=$AP12)*('Port Linkages'!$D$18:$D$157=IF($AO12="Yes",$AQ12,$AS12))*('Port Linkages'!$A$18:$A$157&lt;=$C12))))</f>
        <v>MGO_Regular</v>
      </c>
      <c r="LZ12" s="75" t="str">
        <f t="array" ref="LZ12">INDEX('Port Linkages'!$Y$18:$Y$157,MATCH(2,1/(('Port Linkages'!$C$18:$C$157=$AP12)*('Port Linkages'!$D$18:$D$157=IF($AO12="Yes",$AQ12,$AS12))*('Port Linkages'!$A$18:$A$157&lt;=$C12))))</f>
        <v>none</v>
      </c>
      <c r="MA12" s="75">
        <f t="array" ref="MA12">INDEX('Port Linkages'!$Z$18:$Z$157,MATCH(2,1/(('Port Linkages'!$C$18:$C$157=$AP12)*('Port Linkages'!$D$18:$D$157=IF($AO12="Yes",$AQ12,$AS12))*('Port Linkages'!$A$18:$A$157&lt;=$C12))))</f>
        <v>3280</v>
      </c>
      <c r="MB12" s="75">
        <f t="array" ref="MB12">INDEX('Port Linkages'!$AA$18:$AA$157,MATCH(2,1/(('Port Linkages'!$C$18:$C$157=$AP12)*('Port Linkages'!$D$18:$D$157=IF($AO12="Yes",$AQ12,$AS12))*('Port Linkages'!$A$18:$A$157&lt;=$C12))))</f>
        <v>0</v>
      </c>
      <c r="MC12" s="75" t="str">
        <f t="array" ref="MC12">INDEX('Port Linkages'!$AB$18:$AB$157,MATCH(2,1/(('Port Linkages'!$C$18:$C$157=$AP12)*('Port Linkages'!$D$18:$D$157=IF($AO12="Yes",$AQ12,$AS12))*('Port Linkages'!$A$18:$A$157&lt;=$C12))))</f>
        <v>Capesize_General</v>
      </c>
      <c r="MD12" s="75" t="str">
        <f t="array" ref="MD12">INDEX('Port Linkages'!$AC$18:$AC$157,MATCH(2,1/(('Port Linkages'!$C$18:$C$157=$AP12)*('Port Linkages'!$D$18:$D$157=IF($AO12="Yes",$AQ12,$AS12))*('Port Linkages'!$A$18:$A$157&lt;=$C12))))</f>
        <v>Singapore</v>
      </c>
      <c r="ME12" s="75" t="str">
        <f t="array" ref="ME12">INDEX('Port Linkages'!$AD$18:$AD$157,MATCH(2,1/(('Port Linkages'!$C$18:$C$157=$AP12)*('Port Linkages'!$D$18:$D$157=IF($AO12="Yes",$AQ12,$AS12))*('Port Linkages'!$A$18:$A$157&lt;=$C12))))</f>
        <v>VLSFO</v>
      </c>
      <c r="MF12" s="75" t="str">
        <f t="array" ref="MF12">INDEX('Port Linkages'!$AE$18:$AE$157,MATCH(2,1/(('Port Linkages'!$C$18:$C$157=$AP12)*('Port Linkages'!$D$18:$D$157=IF($AO12="Yes",$AQ12,$AS12))*('Port Linkages'!$A$18:$A$157&lt;=$C12))))</f>
        <v>MGO_Regular</v>
      </c>
      <c r="MG12" s="75" t="str">
        <f t="array" ref="MG12">INDEX('Port Linkages'!$AF$18:$AF$157,MATCH(2,1/(('Port Linkages'!$C$18:$C$157=$AP12)*('Port Linkages'!$D$18:$D$157=IF($AO12="Yes",$AQ12,$AS12))*('Port Linkages'!$A$18:$A$157&lt;=$C12))))</f>
        <v>none</v>
      </c>
      <c r="MH12" s="75">
        <f t="array" ref="MH12">INDEX('Port Linkages'!$AG$18:$AG$157,MATCH(2,1/(('Port Linkages'!$C$18:$C$157=$AP12)*('Port Linkages'!$D$18:$D$157=IF($AO12="Yes",$AQ12,$AS12))*('Port Linkages'!$A$18:$A$157&lt;=$C12))))</f>
        <v>3280</v>
      </c>
      <c r="MI12" s="75">
        <f t="array" ref="MI12">INDEX('Port Linkages'!$AH$18:$AH$157,MATCH(2,1/(('Port Linkages'!$C$18:$C$157=$AP12)*('Port Linkages'!$D$18:$D$157=IF($AO12="Yes",$AQ12,$AS12))*('Port Linkages'!$A$18:$A$157&lt;=$C12))))</f>
        <v>0</v>
      </c>
      <c r="MJ12" s="75" t="str">
        <f t="array" ref="MJ12">INDEX('Port Linkages'!$AI$18:$AI$157,MATCH(2,1/(('Port Linkages'!$C$18:$C$157=$AP12)*('Port Linkages'!$D$18:$D$157=IF($AO12="Yes",$AQ12,$AS12))*('Port Linkages'!$A$18:$A$157&lt;=$C12))))</f>
        <v>Panamax_General</v>
      </c>
      <c r="MK12" s="75" t="str">
        <f t="array" ref="MK12">INDEX('Port Linkages'!$AJ$18:$AJ$157,MATCH(2,1/(('Port Linkages'!$C$18:$C$157=$AP12)*('Port Linkages'!$D$18:$D$157=IF($AO12="Yes",$AQ12,$AS12))*('Port Linkages'!$A$18:$A$157&lt;=$C12))))</f>
        <v>Singapore</v>
      </c>
      <c r="ML12" s="75" t="str">
        <f t="array" ref="ML12">INDEX('Port Linkages'!$AK$18:$AK$157,MATCH(2,1/(('Port Linkages'!$C$18:$C$157=$AP12)*('Port Linkages'!$D$18:$D$157=IF($AO12="Yes",$AQ12,$AS12))*('Port Linkages'!$A$18:$A$157&lt;=$C12))))</f>
        <v>VLSFO</v>
      </c>
      <c r="MM12" s="75" t="str">
        <f t="array" ref="MM12">INDEX('Port Linkages'!$AL$18:$AL$157,MATCH(2,1/(('Port Linkages'!$C$18:$C$157=$AP12)*('Port Linkages'!$D$18:$D$157=IF($AO12="Yes",$AQ12,$AS12))*('Port Linkages'!$A$18:$A$157&lt;=$C12))))</f>
        <v>MGO_Regular</v>
      </c>
      <c r="MN12" s="75" t="str">
        <f t="array" ref="MN12">INDEX('Port Linkages'!$AM$18:$AM$157,MATCH(2,1/(('Port Linkages'!$C$18:$C$157=$AP12)*('Port Linkages'!$D$18:$D$157=IF($AO12="Yes",$AQ12,$AS12))*('Port Linkages'!$A$18:$A$157&lt;=$C12))))</f>
        <v>none</v>
      </c>
      <c r="MO12" s="75">
        <f t="array" ref="MO12">INDEX('Port Linkages'!$AN$18:$AN$157,MATCH(2,1/(('Port Linkages'!$C$18:$C$157=$AP12)*('Port Linkages'!$D$18:$D$157=IF($AO12="Yes",$AQ12,$AS12))*('Port Linkages'!$A$18:$A$157&lt;=$C12))))</f>
        <v>3280</v>
      </c>
      <c r="MP12" s="75">
        <f t="array" ref="MP12">INDEX('Port Linkages'!$AO$18:$AO$157,MATCH(2,1/(('Port Linkages'!$C$18:$C$157=$AP12)*('Port Linkages'!$D$18:$D$157=IF($AO12="Yes",$AQ12,$AS12))*('Port Linkages'!$A$18:$A$157&lt;=$C12))))</f>
        <v>0</v>
      </c>
      <c r="MQ12" s="75" t="str">
        <f t="array" ref="MQ12">INDEX('Port Linkages'!$AP$18:$AP$157,MATCH(2,1/(('Port Linkages'!$C$18:$C$157=$AP12)*('Port Linkages'!$D$18:$D$157=IF($AO12="Yes",$AQ12,$AS12))*('Port Linkages'!$A$18:$A$157&lt;=$C12))))</f>
        <v>Supramax_General</v>
      </c>
      <c r="MR12" s="75" t="str">
        <f t="array" ref="MR12">INDEX('Port Linkages'!$AQ$18:$AQ$157,MATCH(2,1/(('Port Linkages'!$C$18:$C$157=$AP12)*('Port Linkages'!$D$18:$D$157=IF($AO12="Yes",$AQ12,$AS12))*('Port Linkages'!$A$18:$A$157&lt;=$C12))))</f>
        <v>Singapore</v>
      </c>
      <c r="MS12" s="75" t="str">
        <f t="array" ref="MS12">INDEX('Port Linkages'!$AR$18:$AR$157,MATCH(2,1/(('Port Linkages'!$C$18:$C$157=$AP12)*('Port Linkages'!$D$18:$D$157=IF($AO12="Yes",$AQ12,$AS12))*('Port Linkages'!$A$18:$A$157&lt;=$C12))))</f>
        <v>VLSFO</v>
      </c>
      <c r="MT12" s="75" t="str">
        <f t="array" ref="MT12">INDEX('Port Linkages'!$AS$18:$AS$157,MATCH(2,1/(('Port Linkages'!$C$18:$C$157=$AP12)*('Port Linkages'!$D$18:$D$157=IF($AO12="Yes",$AQ12,$AS12))*('Port Linkages'!$A$18:$A$157&lt;=$C12))))</f>
        <v>MGO_Regular</v>
      </c>
      <c r="MU12" s="75" t="str">
        <f t="array" ref="MU12">INDEX('Port Linkages'!$AT$18:$AT$157,MATCH(2,1/(('Port Linkages'!$C$18:$C$157=$AP12)*('Port Linkages'!$D$18:$D$157=IF($AO12="Yes",$AQ12,$AS12))*('Port Linkages'!$A$18:$A$157&lt;=$C12))))</f>
        <v>none</v>
      </c>
      <c r="MV12" s="75">
        <f t="array" ref="MV12">INDEX('Port Linkages'!$AU$18:$AU$157,MATCH(2,1/(('Port Linkages'!$C$18:$C$157=$AP12)*('Port Linkages'!$D$18:$D$157=IF($AO12="Yes",$AQ12,$AS12))*('Port Linkages'!$A$18:$A$157&lt;=$C12))))</f>
        <v>3280</v>
      </c>
      <c r="MW12" s="75">
        <f t="array" ref="MW12">INDEX('Port Linkages'!$AV$18:$AV$157,MATCH(2,1/(('Port Linkages'!$C$18:$C$157=$AP12)*('Port Linkages'!$D$18:$D$157=IF($AO12="Yes",$AQ12,$AS12))*('Port Linkages'!$A$18:$A$157&lt;=$C12))))</f>
        <v>0</v>
      </c>
      <c r="MX12" s="75" t="str">
        <f t="array" ref="MX12">INDEX('Port Linkages'!$AW$18:$AW$157,MATCH(2,1/(('Port Linkages'!$C$18:$C$157=$AP12)*('Port Linkages'!$D$18:$D$157=IF($AO12="Yes",$AQ12,$AS12))*('Port Linkages'!$A$18:$A$157&lt;=$C12))))</f>
        <v>Handysize_General</v>
      </c>
      <c r="MY12" s="75" t="str">
        <f t="array" ref="MY12">INDEX('Port Linkages'!$AX$18:$AX$157,MATCH(2,1/(('Port Linkages'!$C$18:$C$157=$AP12)*('Port Linkages'!$D$18:$D$157=IF($AO12="Yes",$AQ12,$AS12))*('Port Linkages'!$A$18:$A$157&lt;=$C12))))</f>
        <v>Singapore</v>
      </c>
      <c r="MZ12" s="75" t="str">
        <f t="array" ref="MZ12">INDEX('Port Linkages'!$AY$18:$AY$157,MATCH(2,1/(('Port Linkages'!$C$18:$C$157=$AP12)*('Port Linkages'!$D$18:$D$157=IF($AO12="Yes",$AQ12,$AS12))*('Port Linkages'!$A$18:$A$157&lt;=$C12))))</f>
        <v>VLSFO</v>
      </c>
      <c r="NA12" s="75" t="str">
        <f t="array" ref="NA12">INDEX('Port Linkages'!$AZ$18:$AZ$157,MATCH(2,1/(('Port Linkages'!$C$18:$C$157=$AP12)*('Port Linkages'!$D$18:$D$157=IF($AO12="Yes",$AQ12,$AS12))*('Port Linkages'!$A$18:$A$157&lt;=$C12))))</f>
        <v>MGO_Regular</v>
      </c>
      <c r="NB12" s="75" t="str">
        <f t="array" ref="NB12">INDEX('Port Linkages'!$BA$18:$BA$157,MATCH(2,1/(('Port Linkages'!$C$18:$C$157=$AP12)*('Port Linkages'!$D$18:$D$157=IF($AO12="Yes",$AQ12,$AS12))*('Port Linkages'!$A$18:$A$157&lt;=$C12))))</f>
        <v>none</v>
      </c>
      <c r="ND12" s="25" t="e">
        <f t="array" aca="1" ref="ND12" ca="1">INDEX('Ship Fuel Prices'!$F$5:$F$1004,MATCH(2,1/(('Ship Fuel Prices'!$E$5:$E$1004=_xlfn.IFS(KS12="Handysize",Main!MY12,KS12="Supramax",MR12,KS12="Panamax",MK12,KS12="NeoPanamax",MD12,KS12="Suezmax",LW12,KS12="Capesize",LP12,KS12="VLOC",LI12))*('Ship Fuel Prices'!$D$5:$D$1004&lt;=Main!$C12))))</f>
        <v>#N/A</v>
      </c>
      <c r="NE12" s="25" t="e">
        <f t="array" aca="1" ref="NE12" ca="1">INDEX('Ship Fuel Prices'!$G$5:$G$1004,MATCH(2,1/(('Ship Fuel Prices'!$E$5:$E$1004=_xlfn.IFS(KS12="Handysize",Main!MY12,KS12="Supramax",MR12,KS12="Panamax",MK12,KS12="NeoPanamax",MD12,KS12="Suezmax",LW12,KS12="Capesize",LP12,KS12="VLOC",LI12))*('Ship Fuel Prices'!$D$5:$D$1004&lt;=Main!$C12))))</f>
        <v>#N/A</v>
      </c>
      <c r="NF12" s="25" t="e">
        <f t="array" aca="1" ref="NF12" ca="1">INDEX('Ship Fuel Prices'!$H$5:$H$1004,MATCH(2,1/(('Ship Fuel Prices'!$E$5:$E$1004=_xlfn.IFS(KS12="Handysize",Main!MY12,KS12="Supramax",MR12,KS12="Panamax",MK12,KS12="NeoPanamax",MD12,KS12="Suezmax",LW12,KS12="Capesize",LP12,KS12="VLOC",LI12))*('Ship Fuel Prices'!$D$5:$D$1004&lt;=Main!$C12))))</f>
        <v>#N/A</v>
      </c>
      <c r="NG12" s="25" t="e">
        <f t="array" aca="1" ref="NG12" ca="1">INDEX('Ship Fuel Prices'!$I$5:$I$1004,MATCH(2,1/(('Ship Fuel Prices'!$E$5:$E$1004=_xlfn.IFS(KS12="Handysize",Main!MY12,KS12="Supramax",MR12,KS12="Panamax",MK12,KS12="NeoPanamax",MD12,KS12="Suezmax",LW12,KS12="Capesize",LP12,KS12="VLOC",LI12))*('Ship Fuel Prices'!$D$5:$D$1004&lt;=Main!$C12))))</f>
        <v>#N/A</v>
      </c>
      <c r="NH12" s="25" t="e">
        <f t="array" aca="1" ref="NH12" ca="1">INDEX('Ship Fuel Prices'!$J$5:$J$1004,MATCH(2,1/(('Ship Fuel Prices'!$E$5:$E$1004=_xlfn.IFS(KS12="Handysize",Main!MY12,KS12="Supramax",MR12,KS12="Panamax",MK12,KS12="NeoPanamax",MD12,KS12="Suezmax",LW12,KS12="Capesize",LP12,KS12="VLOC",LI12))*('Ship Fuel Prices'!$D$5:$D$1004&lt;=Main!$C12))))</f>
        <v>#N/A</v>
      </c>
      <c r="NJ12" s="75">
        <f t="array" ref="NJ12">INDEX('China n Importing Ports'!$E$20:$E$41,MATCH(2,1/(('China n Importing Ports'!$D$20:$D$41&lt;=$C12)*('China n Importing Ports'!$C$20:$C$41=IF($AO12="Yes",$AQ12,$AS12)))))</f>
        <v>42500</v>
      </c>
      <c r="NK12" s="75">
        <f t="array" ref="NK12">INDEX('China n Importing Ports'!$F$20:$F$41,MATCH(2,1/(('China n Importing Ports'!$D$20:$D$41&lt;=$C12)*('China n Importing Ports'!$C$20:$C$41=IF($AO12="Yes",$AQ12,$AS12)))))</f>
        <v>42500</v>
      </c>
      <c r="NL12" s="75">
        <f t="array" ref="NL12">INDEX('China n Importing Ports'!$G$20:$G$41,MATCH(2,1/(('China n Importing Ports'!$D$20:$D$41&lt;=$C12)*('China n Importing Ports'!$C$20:$C$41=IF($AO12="Yes",$AQ12,$AS12)))))</f>
        <v>42500</v>
      </c>
      <c r="NM12" s="75">
        <f t="array" ref="NM12">INDEX('China n Importing Ports'!$H$20:$H$41,MATCH(2,1/(('China n Importing Ports'!$D$20:$D$41&lt;=$C12)*('China n Importing Ports'!$C$20:$C$41=IF($AO12="Yes",$AQ12,$AS12)))))</f>
        <v>42500</v>
      </c>
      <c r="NN12" s="75">
        <f t="array" ref="NN12">INDEX('China n Importing Ports'!$I$20:$I$41,MATCH(2,1/(('China n Importing Ports'!$D$20:$D$41&lt;=$C12)*('China n Importing Ports'!$C$20:$C$41=IF($AO12="Yes",$AQ12,$AS12)))))</f>
        <v>42500</v>
      </c>
      <c r="NO12" s="75">
        <f t="array" ref="NO12">INDEX('China n Importing Ports'!$J$20:$J$41,MATCH(2,1/(('China n Importing Ports'!$D$20:$D$41&lt;=$C12)*('China n Importing Ports'!$C$20:$C$41=IF($AO12="Yes",$AQ12,$AS12)))))</f>
        <v>42500</v>
      </c>
      <c r="NP12" s="75">
        <f t="array" ref="NP12">INDEX('China n Importing Ports'!$K$20:$K$41,MATCH(2,1/(('China n Importing Ports'!$D$20:$D$41&lt;=$C12)*('China n Importing Ports'!$C$20:$C$41=IF($AO12="Yes",$AQ12,$AS12)))))</f>
        <v>42500</v>
      </c>
      <c r="NQ12" s="75" t="str">
        <f t="array" ref="NQ12">INDEX('China n Importing Ports'!$L$20:$L$41,MATCH(2,1/(('China n Importing Ports'!$D$20:$D$41&lt;=$C12)*('China n Importing Ports'!$C$20:$C$41=IF($AO12="Yes",$AQ12,$AS12)))))</f>
        <v>RMB</v>
      </c>
      <c r="NR12" s="75">
        <f t="array" ref="NR12">INDEX('China n Importing Ports'!$M$20:$M$41,MATCH(2,1/(('China n Importing Ports'!$D$20:$D$41&lt;=$C12)*('China n Importing Ports'!$C$20:$C$41=IF($AO12="Yes",$AQ12,$AS12)))))</f>
        <v>12342</v>
      </c>
      <c r="NS12" s="75">
        <f t="array" ref="NS12">INDEX('China n Importing Ports'!$N$20:$N$41,MATCH(2,1/(('China n Importing Ports'!$D$20:$D$41&lt;=$C12)*('China n Importing Ports'!$C$20:$C$41=IF($AO12="Yes",$AQ12,$AS12)))))</f>
        <v>0</v>
      </c>
      <c r="NT12" s="75">
        <f t="array" ref="NT12">INDEX('China n Importing Ports'!$O$20:$O$41,MATCH(2,1/(('China n Importing Ports'!$D$20:$D$41&lt;=$C12)*('China n Importing Ports'!$C$20:$C$41=IF($AO12="Yes",$AQ12,$AS12)))))</f>
        <v>0</v>
      </c>
      <c r="NU12" s="136">
        <f t="array" ref="NU12">INDEX('China n Importing Ports'!$P$20:$P$41,MATCH(2,1/(('China n Importing Ports'!$D$20:$D$41&lt;=$C12)*('China n Importing Ports'!$C$20:$C$41=IF($AO12="Yes",$AQ12,$AS12)))))</f>
        <v>2.64</v>
      </c>
      <c r="NV12" s="136">
        <f t="array" ref="NV12">INDEX('China n Importing Ports'!$Q$20:$Q$41,MATCH(2,1/(('China n Importing Ports'!$D$20:$D$41&lt;=$C12)*('China n Importing Ports'!$C$20:$C$41=IF($AO12="Yes",$AQ12,$AS12)))))</f>
        <v>0</v>
      </c>
      <c r="NW12" s="136">
        <f t="array" ref="NW12">INDEX('China n Importing Ports'!$R$20:$R$41,MATCH(2,1/(('China n Importing Ports'!$D$20:$D$41&lt;=$C12)*('China n Importing Ports'!$C$20:$C$41=IF($AO12="Yes",$AQ12,$AS12)))))</f>
        <v>0</v>
      </c>
      <c r="NX12" s="136">
        <f t="array" ref="NX12">INDEX('China n Importing Ports'!$S$20:$S$41,MATCH(2,1/(('China n Importing Ports'!$D$20:$D$41&lt;=$C12)*('China n Importing Ports'!$C$20:$C$41=IF($AO12="Yes",$AQ12,$AS12)))))</f>
        <v>4.53</v>
      </c>
      <c r="NY12" s="136">
        <f t="array" ref="NY12">INDEX('China n Importing Ports'!$T$20:$T$41,MATCH(2,1/(('China n Importing Ports'!$D$20:$D$41&lt;=$C12)*('China n Importing Ports'!$C$20:$C$41=IF($AO12="Yes",$AQ12,$AS12)))))</f>
        <v>0.36699999999999999</v>
      </c>
      <c r="NZ12" s="136">
        <f t="array" ref="NZ12">INDEX('China n Importing Ports'!$U$20:$U$41,MATCH(2,1/(('China n Importing Ports'!$D$20:$D$41&lt;=$C12)*('China n Importing Ports'!$C$20:$C$41=IF($AO12="Yes",$AQ12,$AS12)))))</f>
        <v>0.05</v>
      </c>
      <c r="OA12" s="136">
        <f t="array" ref="OA12">INDEX('China n Importing Ports'!$V$20:$V$41,MATCH(2,1/(('China n Importing Ports'!$D$20:$D$41&lt;=$C12)*('China n Importing Ports'!$C$20:$C$41=IF($AO12="Yes",$AQ12,$AS12)))))</f>
        <v>0</v>
      </c>
      <c r="OB12" s="136">
        <f t="array" ref="OB12">INDEX('China n Importing Ports'!$W$20:$W$41,MATCH(2,1/(('China n Importing Ports'!$D$20:$D$41&lt;=$C12)*('China n Importing Ports'!$C$20:$C$41=IF($AO12="Yes",$AQ12,$AS12)))))</f>
        <v>0</v>
      </c>
      <c r="OC12" s="136">
        <f t="array" ref="OC12">INDEX('China n Importing Ports'!$X$20:$X$41,MATCH(2,1/(('China n Importing Ports'!$D$20:$D$41&lt;=$C12)*('China n Importing Ports'!$C$20:$C$41=IF($AO12="Yes",$AQ12,$AS12)))))</f>
        <v>0</v>
      </c>
      <c r="OD12" s="136">
        <f t="array" ref="OD12">INDEX('China n Importing Ports'!$Y$20:$Y$41,MATCH(2,1/(('China n Importing Ports'!$D$20:$D$41&lt;=$C12)*('China n Importing Ports'!$C$20:$C$41=IF($AO12="Yes",$AQ12,$AS12)))))</f>
        <v>197</v>
      </c>
      <c r="OE12" s="136">
        <f t="array" ref="OE12">INDEX('China n Importing Ports'!$Z$20:$Z$41,MATCH(2,1/(('China n Importing Ports'!$D$20:$D$41&lt;=$C12)*('China n Importing Ports'!$C$20:$C$41=IF($AO12="Yes",$AQ12,$AS12)))))</f>
        <v>0</v>
      </c>
      <c r="OF12" s="136">
        <f t="array" ref="OF12">INDEX('China n Importing Ports'!$AA$20:$AA$41,MATCH(2,1/(('China n Importing Ports'!$D$20:$D$41&lt;=$C12)*('China n Importing Ports'!$C$20:$C$41=IF($AO12="Yes",$AQ12,$AS12)))))</f>
        <v>0</v>
      </c>
      <c r="OH12" s="75" t="e">
        <f t="array" aca="1" ref="OH12" ca="1">INDEX(Canals!$G$24:$G$29,MATCH(2,1/((Canals!$F$24:$F$29&lt;=$C12)*(Canals!$G$24:$G$29=_xlfn.IFS(KS12="Handysize",Main!NB12,KS12="Supramax",MU12,KS12="Panamax",MN12,KS12="NeoPanamax",MG12,KS12="Suezmax",LZ12,KS12="Capesize",LS12,KS12="VLOC",LL12)))))</f>
        <v>#N/A</v>
      </c>
      <c r="OI12" s="75" t="e">
        <f t="array" aca="1" ref="OI12" ca="1">INDEX(Canals!$H$24:$H$29,MATCH(2,1/((Canals!$F$24:$F$29&lt;=$C12)*(Canals!$G$24:$G$29=_xlfn.IFS(KS12="Handysize",Main!NB12,KS12="Supramax",MU12,KS12="Panamax",MN12,KS12="NeoPanamax",MG12,KS12="Suezmax",LZ12,KS12="Capesize",LS12,KS12="VLOC",LL12)))))</f>
        <v>#N/A</v>
      </c>
      <c r="OJ12" s="75" t="e">
        <f t="array" aca="1" ref="OJ12" ca="1">INDEX(Canals!$I$24:$I$29,MATCH(2,1/((Canals!$F$24:$F$29&lt;=$C12)*(Canals!$G$24:$G$29=_xlfn.IFS(KS12="Handysize",Main!NB12,KS12="Supramax",MU12,KS12="Panamax",MN12,KS12="NeoPanamax",MG12,KS12="Suezmax",LZ12,KS12="Capesize",LS12,KS12="VLOC",LL12)))))</f>
        <v>#N/A</v>
      </c>
      <c r="OK12" s="75" t="e">
        <f t="array" aca="1" ref="OK12" ca="1">INDEX(Canals!$J$24:$J$29,MATCH(2,1/((Canals!$F$24:$F$29&lt;=$C12)*(Canals!$G$24:$G$29=_xlfn.IFS(KS12="Handysize",Main!NB12,KS12="Supramax",MU12,KS12="Panamax",MN12,KS12="NeoPanamax",MG12,KS12="Suezmax",LZ12,KS12="Capesize",LS12,KS12="VLOC",LL12)))))</f>
        <v>#N/A</v>
      </c>
      <c r="OL12" s="75" t="e">
        <f t="array" aca="1" ref="OL12" ca="1">INDEX(Canals!$K$24:$K$29,MATCH(2,1/((Canals!$F$24:$F$29&lt;=$C12)*(Canals!$G$24:$G$29=_xlfn.IFS(KS12="Handysize",Main!NB12,KS12="Supramax",MU12,KS12="Panamax",MN12,KS12="NeoPanamax",MG12,KS12="Suezmax",LZ12,KS12="Capesize",LS12,KS12="VLOC",LL12)))))</f>
        <v>#N/A</v>
      </c>
      <c r="OM12" s="75" t="e">
        <f t="array" aca="1" ref="OM12" ca="1">INDEX(Canals!$L$24:$L$29,MATCH(2,1/((Canals!$F$24:$F$29&lt;=$C12)*(Canals!$G$24:$G$29=_xlfn.IFS(KS12="Handysize",Main!NB12,KS12="Supramax",MU12,KS12="Panamax",MN12,KS12="NeoPanamax",MG12,KS12="Suezmax",LZ12,KS12="Capesize",LS12,KS12="VLOC",LL12)))))</f>
        <v>#N/A</v>
      </c>
      <c r="ON12" s="75" t="e">
        <f t="array" aca="1" ref="ON12" ca="1">INDEX(Canals!$M$24:$M$29,MATCH(2,1/((Canals!$F$24:$F$29&lt;=$C12)*(Canals!$G$24:$G$29=_xlfn.IFS(KS12="Handysize",Main!NB12,KS12="Supramax",MU12,KS12="Panamax",MN12,KS12="NeoPanamax",MG12,KS12="Suezmax",LZ12,KS12="Capesize",LS12,KS12="VLOC",LL12)))))</f>
        <v>#N/A</v>
      </c>
      <c r="OO12" s="75" t="e">
        <f t="array" aca="1" ref="OO12" ca="1">INDEX(Canals!$N$24:$N$29,MATCH(2,1/((Canals!$F$24:$F$29&lt;=$C12)*(Canals!$G$24:$G$29=_xlfn.IFS(KS12="Handysize",Main!NB12,KS12="Supramax",MU12,KS12="Panamax",MN12,KS12="NeoPanamax",MG12,KS12="Suezmax",LZ12,KS12="Capesize",LS12,KS12="VLOC",LL12)))))</f>
        <v>#N/A</v>
      </c>
      <c r="OP12" s="75" t="e">
        <f t="array" aca="1" ref="OP12" ca="1">INDEX(Canals!$O$24:$O$29,MATCH(2,1/((Canals!$F$24:$F$29&lt;=$C12)*(Canals!$G$24:$G$29=_xlfn.IFS(KS12="Handysize",Main!NB12,KS12="Supramax",MU12,KS12="Panamax",MN12,KS12="NeoPanamax",MG12,KS12="Suezmax",LZ12,KS12="Capesize",LS12,KS12="VLOC",LL12)))))</f>
        <v>#N/A</v>
      </c>
      <c r="OQ12" s="75" t="e">
        <f t="array" aca="1" ref="OQ12" ca="1">INDEX(Canals!$P$24:$P$29,MATCH(2,1/((Canals!$F$24:$F$29&lt;=$C12)*(Canals!$G$24:$G$29=_xlfn.IFS(KS12="Handysize",Main!NB12,KS12="Supramax",MU12,KS12="Panamax",MN12,KS12="NeoPanamax",MG12,KS12="Suezmax",LZ12,KS12="Capesize",LS12,KS12="VLOC",LL12)))))</f>
        <v>#N/A</v>
      </c>
      <c r="OR12" s="75" t="e">
        <f t="array" aca="1" ref="OR12" ca="1">INDEX(Canals!$Q$24:$Q$29,MATCH(2,1/((Canals!$F$24:$F$29&lt;=$C12)*(Canals!$G$24:$G$29=_xlfn.IFS(KS12="Handysize",Main!NB12,KS12="Supramax",MU12,KS12="Panamax",MN12,KS12="NeoPanamax",MG12,KS12="Suezmax",LZ12,KS12="Capesize",LS12,KS12="VLOC",LL12)))))</f>
        <v>#N/A</v>
      </c>
      <c r="OS12" s="75" t="e">
        <f t="array" aca="1" ref="OS12" ca="1">INDEX(Canals!$R$24:$R$29,MATCH(2,1/((Canals!$F$24:$F$29&lt;=$C12)*(Canals!$G$24:$G$29=_xlfn.IFS(KS12="Handysize",Main!NB12,KS12="Supramax",MU12,KS12="Panamax",MN12,KS12="NeoPanamax",MG12,KS12="Suezmax",LZ12,KS12="Capesize",LS12,KS12="VLOC",LL12)))))</f>
        <v>#N/A</v>
      </c>
      <c r="OT12" s="136" t="e">
        <f t="array" aca="1" ref="OT12" ca="1">INDEX(Canals!$S$24:$S$29,MATCH(2,1/((Canals!$F$24:$F$29&lt;=$C12)*(Canals!$G$24:$G$29=_xlfn.IFS(KS12="Handysize",Main!NB12,KS12="Supramax",MU12,KS12="Panamax",MN12,KS12="NeoPanamax",MG12,KS12="Suezmax",LZ12,KS12="Capesize",LS12,KS12="VLOC",LL12)))))</f>
        <v>#N/A</v>
      </c>
      <c r="OU12" s="136" t="e">
        <f t="array" aca="1" ref="OU12" ca="1">INDEX(Canals!$T$24:$T$29,MATCH(2,1/((Canals!$F$24:$F$29&lt;=$C12)*(Canals!$G$24:$G$29=_xlfn.IFS(KS12="Handysize",Main!NB12,KS12="Supramax",MU12,KS12="Panamax",MN12,KS12="NeoPanamax",MG12,KS12="Suezmax",LZ12,KS12="Capesize",LS12,KS12="VLOC",LL12)))))</f>
        <v>#N/A</v>
      </c>
      <c r="OV12" s="136" t="e">
        <f t="array" aca="1" ref="OV12" ca="1">INDEX(Canals!$U$24:$U$29,MATCH(2,1/((Canals!$F$24:$F$29&lt;=$C12)*(Canals!$G$24:$G$29=_xlfn.IFS(KS12="Handysize",Main!NB12,KS12="Supramax",MU12,KS12="Panamax",MN12,KS12="NeoPanamax",MG12,KS12="Suezmax",LZ12,KS12="Capesize",LS12,KS12="VLOC",LL12)))))</f>
        <v>#N/A</v>
      </c>
      <c r="OW12" s="136" t="e">
        <f t="array" aca="1" ref="OW12" ca="1">INDEX(Canals!$V$24:$V$29,MATCH(2,1/((Canals!$F$24:$F$29&lt;=$C12)*(Canals!$G$24:$G$29=_xlfn.IFS(KS12="Handysize",Main!NB12,KS12="Supramax",MU12,KS12="Panamax",MN12,KS12="NeoPanamax",MG12,KS12="Suezmax",LZ12,KS12="Capesize",LS12,KS12="VLOC",LL12)))))</f>
        <v>#N/A</v>
      </c>
      <c r="OX12" s="136" t="e">
        <f t="array" aca="1" ref="OX12" ca="1">INDEX(Canals!$W$24:$W$29,MATCH(2,1/((Canals!$F$24:$F$29&lt;=$C12)*(Canals!$G$24:$G$29=_xlfn.IFS(KS12="Handysize",Main!NB12,KS12="Supramax",MU12,KS12="Panamax",MN12,KS12="NeoPanamax",MG12,KS12="Suezmax",LZ12,KS12="Capesize",LS12,KS12="VLOC",LL12)))))</f>
        <v>#N/A</v>
      </c>
      <c r="OY12" s="136" t="e">
        <f t="array" aca="1" ref="OY12" ca="1">INDEX(Canals!$X$24:$X$29,MATCH(2,1/((Canals!$F$24:$F$29&lt;=$C12)*(Canals!$G$24:$G$29=_xlfn.IFS(KS12="Handysize",Main!NB12,KS12="Supramax",MU12,KS12="Panamax",MN12,KS12="NeoPanamax",MG12,KS12="Suezmax",LZ12,KS12="Capesize",LS12,KS12="VLOC",LL12)))))</f>
        <v>#N/A</v>
      </c>
      <c r="OZ12" s="136" t="e">
        <f t="array" aca="1" ref="OZ12" ca="1">INDEX(Canals!$Y$24:$Y$29,MATCH(2,1/((Canals!$F$24:$F$29&lt;=$C12)*(Canals!$G$24:$G$29=_xlfn.IFS(KS12="Handysize",Main!NB12,KS12="Supramax",MU12,KS12="Panamax",MN12,KS12="NeoPanamax",MG12,KS12="Suezmax",LZ12,KS12="Capesize",LS12,KS12="VLOC",LL12)))))</f>
        <v>#N/A</v>
      </c>
      <c r="PA12" s="136" t="e">
        <f t="array" aca="1" ref="PA12" ca="1">INDEX(Canals!$Z$24:$Z$29,MATCH(2,1/((Canals!$F$24:$F$29&lt;=$C12)*(Canals!$G$24:$G$29=_xlfn.IFS(KS12="Handysize",Main!NB12,KS12="Supramax",MU12,KS12="Panamax",MN12,KS12="NeoPanamax",MG12,KS12="Suezmax",LZ12,KS12="Capesize",LS12,KS12="VLOC",LL12)))))</f>
        <v>#N/A</v>
      </c>
      <c r="PB12" s="136" t="e">
        <f t="array" aca="1" ref="PB12" ca="1">INDEX(Canals!$AA$24:$AA$29,MATCH(2,1/((Canals!$F$24:$F$29&lt;=$C12)*(Canals!$G$24:$G$29=_xlfn.IFS(KS12="Handysize",Main!NB12,KS12="Supramax",MU12,KS12="Panamax",MN12,KS12="NeoPanamax",MG12,KS12="Suezmax",LZ12,KS12="Capesize",LS12,KS12="VLOC",LL12)))))</f>
        <v>#N/A</v>
      </c>
      <c r="PC12" s="136" t="e">
        <f t="array" aca="1" ref="PC12" ca="1">INDEX(Canals!$AB$24:$AB$29,MATCH(2,1/((Canals!$F$24:$F$29&lt;=$C12)*(Canals!$G$24:$G$29=_xlfn.IFS(KS12="Handysize",Main!NB12,KS12="Supramax",MU12,KS12="Panamax",MN12,KS12="NeoPanamax",MG12,KS12="Suezmax",LZ12,KS12="Capesize",LS12,KS12="VLOC",LL12)))))</f>
        <v>#N/A</v>
      </c>
      <c r="PD12" s="75" t="e">
        <f t="array" aca="1" ref="PD12" ca="1">INDEX(Canals!$AC$24:$AC$29,MATCH(2,1/((Canals!$F$24:$F$29&lt;=$C12)*(Canals!$G$24:$G$29=_xlfn.IFS(KS12="Handysize",Main!NB12,KS12="Supramax",MU12,KS12="Panamax",MN12,KS12="NeoPanamax",MG12,KS12="Suezmax",LZ12,KS12="Capesize",LS12,KS12="VLOC",LL12)))))</f>
        <v>#N/A</v>
      </c>
      <c r="PE12" s="75" t="e">
        <f t="array" aca="1" ref="PE12" ca="1">INDEX(Canals!$AD$24:$AD$29,MATCH(2,1/((Canals!$F$24:$F$29&lt;=$C12)*(Canals!$G$24:$G$29=_xlfn.IFS(KS12="Handysize",Main!NB12,KS12="Supramax",MU12,KS12="Panamax",MN12,KS12="NeoPanamax",MG12,KS12="Suezmax",LZ12,KS12="Capesize",LS12,KS12="VLOC",LL12)))))</f>
        <v>#N/A</v>
      </c>
      <c r="PF12" s="75" t="e">
        <f t="array" aca="1" ref="PF12" ca="1">INDEX(Canals!$AE$24:$AE$29,MATCH(2,1/((Canals!$F$24:$F$29&lt;=$C12)*(Canals!$G$24:$G$29=_xlfn.IFS(KS12="Handysize",Main!NB12,KS12="Supramax",MU12,KS12="Panamax",MN12,KS12="NeoPanamax",MG12,KS12="Suezmax",LZ12,KS12="Capesize",LS12,KS12="VLOC",LL12)))))</f>
        <v>#N/A</v>
      </c>
      <c r="PG12" s="75" t="e">
        <f t="array" aca="1" ref="PG12" ca="1">INDEX(Canals!$AF$24:$AF$29,MATCH(2,1/((Canals!$F$24:$F$29&lt;=$C12)*(Canals!$G$24:$G$29=_xlfn.IFS(KS12="Handysize",Main!NB12,KS12="Supramax",MU12,KS12="Panamax",MN12,KS12="NeoPanamax",MG12,KS12="Suezmax",LZ12,KS12="Capesize",LS12,KS12="VLOC",LL12)))))</f>
        <v>#N/A</v>
      </c>
      <c r="PH12" s="75" t="e">
        <f t="array" aca="1" ref="PH12" ca="1">INDEX(Canals!$AG$24:$AG$29,MATCH(2,1/((Canals!$F$24:$F$29&lt;=$C12)*(Canals!$G$24:$G$29=_xlfn.IFS(KS12="Handysize",Main!NB12,KS12="Supramax",MU12,KS12="Panamax",MN12,KS12="NeoPanamax",MG12,KS12="Suezmax",LZ12,KS12="Capesize",LS12,KS12="VLOC",LL12)))))</f>
        <v>#N/A</v>
      </c>
      <c r="PI12" s="75" t="e">
        <f t="array" aca="1" ref="PI12" ca="1">INDEX(Canals!$AH$24:$AH$29,MATCH(2,1/((Canals!$F$24:$F$29&lt;=$C12)*(Canals!$G$24:$G$29=_xlfn.IFS(KS12="Handysize",Main!NB12,KS12="Supramax",MU12,KS12="Panamax",MN12,KS12="NeoPanamax",MG12,KS12="Suezmax",LZ12,KS12="Capesize",LS12,KS12="VLOC",LL12)))))</f>
        <v>#N/A</v>
      </c>
      <c r="PJ12" s="75" t="e">
        <f t="array" aca="1" ref="PJ12" ca="1">INDEX(Canals!$AI$24:$AI$29,MATCH(2,1/((Canals!$F$24:$F$29&lt;=$C12)*(Canals!$G$24:$G$29=_xlfn.IFS(KS12="Handysize",Main!NB12,KS12="Supramax",MU12,KS12="Panamax",MN12,KS12="NeoPanamax",MG12,KS12="Suezmax",LZ12,KS12="Capesize",LS12,KS12="VLOC",LL12)))))</f>
        <v>#N/A</v>
      </c>
      <c r="PK12" s="75" t="e">
        <f t="array" aca="1" ref="PK12" ca="1">INDEX(Canals!$AJ$24:$AJ$29,MATCH(2,1/((Canals!$F$24:$F$29&lt;=$C12)*(Canals!$G$24:$G$29=_xlfn.IFS(KS12="Handysize",Main!NB12,KS12="Supramax",MU12,KS12="Panamax",MN12,KS12="NeoPanamax",MG12,KS12="Suezmax",LZ12,KS12="Capesize",LS12,KS12="VLOC",LL12)))))</f>
        <v>#N/A</v>
      </c>
      <c r="PL12" s="75" t="e">
        <f t="array" aca="1" ref="PL12" ca="1">INDEX(Canals!$AK$24:$AK$29,MATCH(2,1/((Canals!$F$24:$F$29&lt;=$C12)*(Canals!$G$24:$G$29=_xlfn.IFS(KS12="Handysize",Main!NB12,KS12="Supramax",MU12,KS12="Panamax",MN12,KS12="NeoPanamax",MG12,KS12="Suezmax",LZ12,KS12="Capesize",LS12,KS12="VLOC",LL12)))))</f>
        <v>#N/A</v>
      </c>
      <c r="PM12" s="136" t="e">
        <f t="array" aca="1" ref="PM12" ca="1">INDEX(Canals!$AL$24:$AL$29,MATCH(2,1/((Canals!$F$24:$F$29&lt;=$C12)*(Canals!$G$24:$G$29=_xlfn.IFS(KS12="Handysize",Main!NB12,KS12="Supramax",MU12,KS12="Panamax",MN12,KS12="NeoPanamax",MG12,KS12="Suezmax",LZ12,KS12="Capesize",LS12,KS12="VLOC",LL12)))))</f>
        <v>#N/A</v>
      </c>
      <c r="PN12" s="136" t="e">
        <f t="array" aca="1" ref="PN12" ca="1">INDEX(Canals!$AM$24:$AM$29,MATCH(2,1/((Canals!$F$24:$F$29&lt;=$C12)*(Canals!$G$24:$G$29=_xlfn.IFS(KS12="Handysize",Main!NB12,KS12="Supramax",MU12,KS12="Panamax",MN12,KS12="NeoPanamax",MG12,KS12="Suezmax",LZ12,KS12="Capesize",LS12,KS12="VLOC",LL12)))))</f>
        <v>#N/A</v>
      </c>
      <c r="PO12" s="136" t="e">
        <f t="array" aca="1" ref="PO12" ca="1">INDEX(Canals!$AN$24:$AN$29,MATCH(2,1/((Canals!$F$24:$F$29&lt;=$C12)*(Canals!$G$24:$G$29=_xlfn.IFS(KS12="Handysize",Main!NB12,KS12="Supramax",MU12,KS12="Panamax",MN12,KS12="NeoPanamax",MG12,KS12="Suezmax",LZ12,KS12="Capesize",LS12,KS12="VLOC",LL12)))))</f>
        <v>#N/A</v>
      </c>
      <c r="PP12" s="136" t="e">
        <f t="array" aca="1" ref="PP12" ca="1">INDEX(Canals!$AO$24:$AO$29,MATCH(2,1/((Canals!$F$24:$F$29&lt;=$C12)*(Canals!$G$24:$G$29=_xlfn.IFS(KS12="Handysize",Main!NB12,KS12="Supramax",MU12,KS12="Panamax",MN12,KS12="NeoPanamax",MG12,KS12="Suezmax",LZ12,KS12="Capesize",LS12,KS12="VLOC",LL12)))))</f>
        <v>#N/A</v>
      </c>
      <c r="PQ12" s="136" t="e">
        <f t="array" aca="1" ref="PQ12" ca="1">INDEX(Canals!$AP$24:$AP$29,MATCH(2,1/((Canals!$F$24:$F$29&lt;=$C12)*(Canals!$G$24:$G$29=_xlfn.IFS(KS12="Handysize",Main!NB12,KS12="Supramax",MU12,KS12="Panamax",MN12,KS12="NeoPanamax",MG12,KS12="Suezmax",LZ12,KS12="Capesize",LS12,KS12="VLOC",LL12)))))</f>
        <v>#N/A</v>
      </c>
      <c r="PR12" s="136" t="e">
        <f t="array" aca="1" ref="PR12" ca="1">INDEX(Canals!$AQ$24:$AQ$29,MATCH(2,1/((Canals!$F$24:$F$29&lt;=$C12)*(Canals!$G$24:$G$29=_xlfn.IFS(KS12="Handysize",Main!NB12,KS12="Supramax",MU12,KS12="Panamax",MN12,KS12="NeoPanamax",MG12,KS12="Suezmax",LZ12,KS12="Capesize",LS12,KS12="VLOC",LL12)))))</f>
        <v>#N/A</v>
      </c>
      <c r="PS12" s="136" t="e">
        <f t="array" aca="1" ref="PS12" ca="1">INDEX(Canals!$AR$24:$AR$29,MATCH(2,1/((Canals!$F$24:$F$29&lt;=$C12)*(Canals!$G$24:$G$29=_xlfn.IFS(KS12="Handysize",Main!NB12,KS12="Supramax",MU12,KS12="Panamax",MN12,KS12="NeoPanamax",MG12,KS12="Suezmax",LZ12,KS12="Capesize",LS12,KS12="VLOC",LL12)))))</f>
        <v>#N/A</v>
      </c>
      <c r="PT12" s="136" t="e">
        <f t="array" aca="1" ref="PT12" ca="1">INDEX(Canals!$AS$24:$AS$29,MATCH(2,1/((Canals!$F$24:$F$29&lt;=$C12)*(Canals!$G$24:$G$29=_xlfn.IFS(KS12="Handysize",Main!NB12,KS12="Supramax",MU12,KS12="Panamax",MN12,KS12="NeoPanamax",MG12,KS12="Suezmax",LZ12,KS12="Capesize",LS12,KS12="VLOC",LL12)))))</f>
        <v>#N/A</v>
      </c>
      <c r="PU12" s="136" t="e">
        <f t="array" aca="1" ref="PU12" ca="1">INDEX(Canals!$AT$24:$AT$29,MATCH(2,1/((Canals!$F$24:$F$29&lt;=$C12)*(Canals!$G$24:$G$29=_xlfn.IFS(KS12="Handysize",Main!NB12,KS12="Supramax",MU12,KS12="Panamax",MN12,KS12="NeoPanamax",MG12,KS12="Suezmax",LZ12,KS12="Capesize",LS12,KS12="VLOC",LL12)))))</f>
        <v>#N/A</v>
      </c>
      <c r="PV12" s="136" t="e">
        <f t="array" aca="1" ref="PV12" ca="1">INDEX(Canals!$AU$24:$AU$29,MATCH(2,1/((Canals!$F$24:$F$29&lt;=$C12)*(Canals!$G$24:$G$29=_xlfn.IFS(KS12="Handysize",Main!NB12,KS12="Supramax",MU12,KS12="Panamax",MN12,KS12="NeoPanamax",MG12,KS12="Suezmax",LZ12,KS12="Capesize",LS12,KS12="VLOC",LL12)))))</f>
        <v>#N/A</v>
      </c>
      <c r="PW12" s="136" t="e">
        <f t="array" aca="1" ref="PW12" ca="1">INDEX(Canals!$AV$24:$AV$29,MATCH(2,1/((Canals!$F$24:$F$29&lt;=$C12)*(Canals!$G$24:$G$29=_xlfn.IFS(KS12="Handysize",Main!NB12,KS12="Supramax",MU12,KS12="Panamax",MN12,KS12="NeoPanamax",MG12,KS12="Suezmax",LZ12,KS12="Capesize",LS12,KS12="VLOC",LL12)))))</f>
        <v>#N/A</v>
      </c>
      <c r="PY12" s="75" t="e">
        <f t="array" aca="1" ref="PY12" ca="1">_xlfn.IFS(OJ12="DWT",KQ12,OJ12="NRT",KU12,OJ12="GRT",KV12)</f>
        <v>#NAME?</v>
      </c>
      <c r="PZ12" s="279" t="e">
        <f t="shared" ca="1" si="74"/>
        <v>#NAME?</v>
      </c>
      <c r="QA12" s="280" t="e">
        <f t="shared" ca="1" si="75"/>
        <v>#NAME?</v>
      </c>
      <c r="QB12" s="280" t="e">
        <f t="shared" ca="1" si="76"/>
        <v>#NAME?</v>
      </c>
      <c r="QC12" s="280" t="e">
        <f t="shared" ca="1" si="77"/>
        <v>#NAME?</v>
      </c>
      <c r="QD12" s="280" t="e">
        <f t="shared" ca="1" si="78"/>
        <v>#NAME?</v>
      </c>
      <c r="QE12" s="280" t="e">
        <f t="shared" ca="1" si="79"/>
        <v>#NAME?</v>
      </c>
      <c r="QF12" s="280" t="e">
        <f t="shared" ca="1" si="80"/>
        <v>#NAME?</v>
      </c>
      <c r="QG12" s="280" t="e">
        <f t="shared" ca="1" si="81"/>
        <v>#NAME?</v>
      </c>
      <c r="QH12" s="280" t="e">
        <f t="shared" ca="1" si="82"/>
        <v>#NAME?</v>
      </c>
      <c r="QI12" s="75">
        <f t="shared" si="83"/>
        <v>74100</v>
      </c>
      <c r="QJ12" s="279" t="e">
        <f t="shared" ca="1" si="84"/>
        <v>#N/A</v>
      </c>
      <c r="QK12" s="280" t="e">
        <f t="shared" ca="1" si="85"/>
        <v>#N/A</v>
      </c>
      <c r="QL12" s="280" t="e">
        <f t="shared" ca="1" si="86"/>
        <v>#N/A</v>
      </c>
      <c r="QM12" s="280" t="e">
        <f t="shared" ca="1" si="87"/>
        <v>#N/A</v>
      </c>
      <c r="QN12" s="280" t="e">
        <f t="shared" ca="1" si="88"/>
        <v>#N/A</v>
      </c>
      <c r="QO12" s="280" t="e">
        <f t="shared" ca="1" si="89"/>
        <v>#N/A</v>
      </c>
      <c r="QP12" s="280" t="e">
        <f t="shared" ca="1" si="90"/>
        <v>#N/A</v>
      </c>
      <c r="QQ12" s="280" t="e">
        <f t="shared" ca="1" si="91"/>
        <v>#N/A</v>
      </c>
      <c r="QR12" s="280" t="e">
        <f t="shared" ca="1" si="92"/>
        <v>#N/A</v>
      </c>
      <c r="QT12" s="75" t="e">
        <f t="array" aca="1" ref="QT12" ca="1">_xlfn.IFS(KS12="Handysize",Main!MV12,KS12="Supramax",MO12,KS12="Panamax",MH12,KS12="NeoPanamax",MA12,KS12="Suezmax",LT12,KS12="Capesize",LM12,KS12="VLOC",LF12)*$JI12</f>
        <v>#NAME?</v>
      </c>
      <c r="QU12" s="274" t="e">
        <f t="array" aca="1" ref="QU12" ca="1">_xlfn.IFS(KS12="Handysize",Main!MW12,KS12="Supramax",MP12,KS12="Panamax",MI12,KS12="NeoPanamax",MB12,KS12="Suezmax",LU12,KS12="Capesize",LN12,KS12="VLOC",LG12)*$JI12</f>
        <v>#NAME?</v>
      </c>
      <c r="QV12" s="71" t="e">
        <f t="array" aca="1" ref="QV12" ca="1">_xlfn.IFS(KS12="Handysize",Main!KX12,KS12="Supramax",KY12,KS12="Panamax",KZ12,KS12="NeoPanamax",LA12,KS12="Suezmax",LB12,KS12="Capesize",LC12,KS12="VLOC",LD12)</f>
        <v>#NAME?</v>
      </c>
      <c r="QW12" s="71" t="e">
        <f t="array" aca="1" ref="QW12" ca="1">_xlfn.IFS(KS12="Handysize",Main!NJ12,KS12="Supramax",NK12,KS12="Panamax",NL12,KS12="NeoPanamax",NM12,KS12="Suezmax",NN12,KS12="Capesize",NO12,KS12="VLOC",NP12)</f>
        <v>#NAME?</v>
      </c>
      <c r="QX12" s="70">
        <f t="array" ref="QX12">INDEX('Ship Speeds'!$G$11:$G$1011,MATCH(2,1/(('Ship Speeds'!$E$11:$E$1011&lt;=Main!$C12)*('Ship Speeds'!$F$11:$F$1011=Main!KR12))))</f>
        <v>11</v>
      </c>
      <c r="QY12" s="403">
        <f t="shared" si="93"/>
        <v>20.892884736032425</v>
      </c>
      <c r="QZ12" s="401">
        <f t="shared" si="94"/>
        <v>2.0116800000000001</v>
      </c>
      <c r="RA12" s="70" t="e">
        <f t="shared" ca="1" si="95"/>
        <v>#NAME?</v>
      </c>
      <c r="RB12" s="70" t="e">
        <f t="shared" ca="1" si="96"/>
        <v>#NAME?</v>
      </c>
      <c r="RC12" s="70" t="e">
        <f t="shared" ca="1" si="97"/>
        <v>#NAME?</v>
      </c>
      <c r="RD12" s="70" t="e">
        <f t="shared" ca="1" si="98"/>
        <v>#NAME?</v>
      </c>
      <c r="RE12" s="72" t="e">
        <f t="shared" ca="1" si="99"/>
        <v>#N/A</v>
      </c>
      <c r="RF12" s="70" t="e">
        <f t="shared" ca="1" si="100"/>
        <v>#NAME?</v>
      </c>
      <c r="RG12" s="70" t="e">
        <f t="array" aca="1" ref="RG12" ca="1">INDEX(ND12:NH12,MATCH(_xlfn.IFS(KS12="Handysize",Main!MZ12,KS12="Supramax",MS12,KS12="Panamax",ML12,KS12="NeoPanamax",ME12,KS12="Suezmax",LX12,KS12="Capesize",LQ12,KS12="VLOC",LJ12),$ND$7:$NH$7,0))</f>
        <v>#NAME?</v>
      </c>
      <c r="RH12" s="70" t="e">
        <f t="array" aca="1" ref="RH12" ca="1">INDEX(ND12:NH12,MATCH(_xlfn.IFS(KS12="Handysize",Main!NA12,KS12="Supramax",MT12,KS12="Panamax",MM12,KS12="NeoPanamax",MF12,KS12="Suezmax",LY12,KS12="Capesize",LR12,KS12="VLOC",LK12),$ND$7:$NH$7,0))</f>
        <v>#NAME?</v>
      </c>
      <c r="RI12" s="71" t="e">
        <f t="shared" ca="1" si="101"/>
        <v>#NAME?</v>
      </c>
      <c r="RJ12" s="71" t="e">
        <f t="shared" ca="1" si="102"/>
        <v>#NAME?</v>
      </c>
      <c r="RK12" s="281">
        <f t="shared" si="103"/>
        <v>7.0759999999999987</v>
      </c>
      <c r="RL12" s="71">
        <f t="shared" si="104"/>
        <v>1744.2057659694747</v>
      </c>
      <c r="RM12" s="71" t="e">
        <f t="shared" ca="1" si="105"/>
        <v>#NAME?</v>
      </c>
      <c r="RN12" s="71" t="e">
        <f t="shared" ca="1" si="106"/>
        <v>#NAME?</v>
      </c>
      <c r="RO12" s="71">
        <f t="shared" si="107"/>
        <v>27646.127755794238</v>
      </c>
      <c r="RP12" s="71" t="e">
        <f t="shared" ca="1" si="108"/>
        <v>#NAME?</v>
      </c>
      <c r="RQ12" s="71" t="e">
        <f t="shared" ca="1" si="109"/>
        <v>#NAME?</v>
      </c>
      <c r="RR12" s="71">
        <f t="shared" si="110"/>
        <v>19627.268513284343</v>
      </c>
      <c r="RS12" s="71" t="e">
        <f t="shared" ca="1" si="111"/>
        <v>#NAME?</v>
      </c>
      <c r="RT12" s="71" t="e">
        <f t="shared" ca="1" si="112"/>
        <v>#NAME?</v>
      </c>
      <c r="RU12" s="71">
        <f t="shared" si="113"/>
        <v>0</v>
      </c>
      <c r="RV12" s="71" t="e">
        <f t="shared" ca="1" si="114"/>
        <v>#NAME?</v>
      </c>
      <c r="RW12" s="71" t="e">
        <f t="shared" ca="1" si="115"/>
        <v>#NAME?</v>
      </c>
      <c r="RX12" s="72">
        <f t="shared" si="116"/>
        <v>5908.8306953080846</v>
      </c>
      <c r="RY12" s="72" t="e">
        <f t="shared" ca="1" si="117"/>
        <v>#NAME?</v>
      </c>
      <c r="RZ12" s="71" t="e">
        <f t="shared" ca="1" si="118"/>
        <v>#NAME?</v>
      </c>
      <c r="SA12" s="71" t="e">
        <f t="array" aca="1" ref="SA12" ca="1">INDEX('Ship Time Charter Rates'!$H$22:$H$1021,MATCH(2,1/(('Ship Time Charter Rates'!$G$22:$G$1021=_xlfn.IFS(KS12="Handysize",Main!MX12,KS12="Supramax",MQ12,KS12="Panamax",MJ12,KS12="NeoPanamax",MC12,KS12="Suezmax",LV12,KS12="Capesize",LO12,KS12="VLOC",LH12))*('Ship Time Charter Rates'!$E$22:$E$1021&lt;=Main!$C12)*(NOT(ISBLANK('Ship Time Charter Rates'!$H$22:$H$1021))))))</f>
        <v>#N/A</v>
      </c>
      <c r="SB12" s="71" t="e">
        <f t="shared" ca="1" si="119"/>
        <v>#NAME?</v>
      </c>
      <c r="SC12" s="70" t="e">
        <f t="shared" ca="1" si="120"/>
        <v>#N/A</v>
      </c>
      <c r="SD12" s="71" t="e">
        <f t="shared" ca="1" si="121"/>
        <v>#NAME?</v>
      </c>
      <c r="SE12" s="71" t="e">
        <f t="shared" ca="1" si="302"/>
        <v>#NAME?</v>
      </c>
      <c r="SF12" s="72" t="e">
        <f t="shared" ca="1" si="303"/>
        <v>#NAME?</v>
      </c>
      <c r="SH12" s="25">
        <f>IF($AO12="yes",$AN12,$AR12)/(1-$AL12)/$JN12</f>
        <v>0</v>
      </c>
      <c r="SI12" s="4" t="str">
        <f>VLOOKUP(SH12,'Ship Time Charter Rates'!$F$10:$G$17,2,TRUE)</f>
        <v>Handysize</v>
      </c>
      <c r="SJ12" s="4" t="str">
        <f>VLOOKUP(SH12,Canals!$E$5:$F$12,2,TRUE)</f>
        <v>Handysize</v>
      </c>
      <c r="SK12" s="25">
        <f t="shared" si="122"/>
        <v>145.88999999999999</v>
      </c>
      <c r="SL12" s="25">
        <f t="shared" si="123"/>
        <v>0</v>
      </c>
      <c r="SM12" s="25">
        <f t="shared" si="124"/>
        <v>4797</v>
      </c>
      <c r="SO12" s="75">
        <f t="array" ref="SO12">INDEX('Indices Mines Exporting Ports'!$R$20:$R$51,MATCH(2,1/(('Indices Mines Exporting Ports'!$D$20:$D$51&lt;=Main!$C12)*('Indices Mines Exporting Ports'!$Q$20:$Q$51=$AQ12))))</f>
        <v>0</v>
      </c>
      <c r="SP12" s="75">
        <f t="array" ref="SP12">INDEX('Indices Mines Exporting Ports'!$S$20:$S$51,MATCH(2,1/(('Indices Mines Exporting Ports'!$D$20:$D$51&lt;=Main!$C12)*('Indices Mines Exporting Ports'!$Q$20:$Q$51=$AQ12))))</f>
        <v>0</v>
      </c>
      <c r="SQ12" s="75">
        <f t="array" ref="SQ12">INDEX('Indices Mines Exporting Ports'!$T$20:$T$51,MATCH(2,1/(('Indices Mines Exporting Ports'!$D$20:$D$51&lt;=Main!$C12)*('Indices Mines Exporting Ports'!$Q$20:$Q$51=$AQ12))))</f>
        <v>0</v>
      </c>
      <c r="SR12" s="75">
        <f t="array" ref="SR12">INDEX('Indices Mines Exporting Ports'!$U$20:$U$51,MATCH(2,1/(('Indices Mines Exporting Ports'!$D$20:$D$51&lt;=Main!$C12)*('Indices Mines Exporting Ports'!$Q$20:$Q$51=$AQ12))))</f>
        <v>0</v>
      </c>
      <c r="SS12" s="75">
        <f t="array" ref="SS12">INDEX('Indices Mines Exporting Ports'!$V$20:$V$51,MATCH(2,1/(('Indices Mines Exporting Ports'!$D$20:$D$51&lt;=Main!$C12)*('Indices Mines Exporting Ports'!$Q$20:$Q$51=$AQ12))))</f>
        <v>0</v>
      </c>
      <c r="ST12" s="75">
        <f t="array" ref="ST12">INDEX('Indices Mines Exporting Ports'!$W$20:$W$51,MATCH(2,1/(('Indices Mines Exporting Ports'!$D$20:$D$51&lt;=Main!$C12)*('Indices Mines Exporting Ports'!$Q$20:$Q$51=$AQ12))))</f>
        <v>0</v>
      </c>
      <c r="SU12" s="75">
        <f t="array" ref="SU12">INDEX('Indices Mines Exporting Ports'!$X$20:$X$51,MATCH(2,1/(('Indices Mines Exporting Ports'!$D$20:$D$51&lt;=Main!$C12)*('Indices Mines Exporting Ports'!$Q$20:$Q$51=$AQ12))))</f>
        <v>0</v>
      </c>
      <c r="SW12" s="75">
        <f t="array" ref="SW12">INDEX('Port Linkages'!$E$18:$E$157,MATCH(2,1/(('Port Linkages'!$C$18:$C$157=$AQ12)*('Port Linkages'!$D$18:$D$157=IF($AO12="no",$AQ12,$AS12))*('Port Linkages'!$A$18:$A$157&lt;=$C12))))</f>
        <v>0</v>
      </c>
      <c r="SX12" s="75">
        <f t="array" ref="SX12">INDEX('Port Linkages'!$F$18:$F$157,MATCH(2,1/(('Port Linkages'!$C$18:$C$157=$AQ12)*('Port Linkages'!$D$18:$D$157=IF($AO12="no",$AQ12,$AS12))*('Port Linkages'!$A$18:$A$157&lt;=$C12))))</f>
        <v>0</v>
      </c>
      <c r="SY12" s="75">
        <f t="array" ref="SY12">INDEX('Port Linkages'!$G$18:$G$157,MATCH(2,1/(('Port Linkages'!$C$18:$C$157=$AQ12)*('Port Linkages'!$D$18:$D$157=IF($AO12="no",$AQ12,$AS12))*('Port Linkages'!$A$18:$A$157&lt;=$C12))))</f>
        <v>0</v>
      </c>
      <c r="SZ12" s="75">
        <f t="array" ref="SZ12">INDEX('Port Linkages'!$H$18:$H$157,MATCH(2,1/(('Port Linkages'!$C$18:$C$157=$AQ12)*('Port Linkages'!$D$18:$D$157=IF($AO12="no",$AQ12,$AS12))*('Port Linkages'!$A$18:$A$157&lt;=$C12))))</f>
        <v>0</v>
      </c>
      <c r="TA12" s="75">
        <f t="array" ref="TA12">INDEX('Port Linkages'!$I$18:$I$157,MATCH(2,1/(('Port Linkages'!$C$18:$C$157=$AQ12)*('Port Linkages'!$D$18:$D$157=IF($AO12="no",$AQ12,$AS12))*('Port Linkages'!$A$18:$A$157&lt;=$C12))))</f>
        <v>0</v>
      </c>
      <c r="TB12" s="75">
        <f t="array" ref="TB12">INDEX('Port Linkages'!$J$18:$J$157,MATCH(2,1/(('Port Linkages'!$C$18:$C$157=$AQ12)*('Port Linkages'!$D$18:$D$157=IF($AO12="no",$AQ12,$AS12))*('Port Linkages'!$A$18:$A$157&lt;=$C12))))</f>
        <v>0</v>
      </c>
      <c r="TC12" s="75">
        <f t="array" ref="TC12">INDEX('Port Linkages'!$K$18:$K$157,MATCH(2,1/(('Port Linkages'!$C$18:$C$157=$AQ12)*('Port Linkages'!$D$18:$D$157=IF($AO12="no",$AQ12,$AS12))*('Port Linkages'!$A$18:$A$157&lt;=$C12))))</f>
        <v>0</v>
      </c>
      <c r="TD12" s="75">
        <f t="array" ref="TD12">INDEX('Port Linkages'!$L$18:$L$157,MATCH(2,1/(('Port Linkages'!$C$18:$C$157=$AQ12)*('Port Linkages'!$D$18:$D$157=IF($AO12="no",$AQ12,$AS12))*('Port Linkages'!$A$18:$A$157&lt;=$C12))))</f>
        <v>0</v>
      </c>
      <c r="TE12" s="75">
        <f t="array" ref="TE12">INDEX('Port Linkages'!$M$18:$M$157,MATCH(2,1/(('Port Linkages'!$C$18:$C$157=$AQ12)*('Port Linkages'!$D$18:$D$157=IF($AO12="no",$AQ12,$AS12))*('Port Linkages'!$A$18:$A$157&lt;=$C12))))</f>
        <v>0</v>
      </c>
      <c r="TF12" s="75">
        <f t="array" ref="TF12">INDEX('Port Linkages'!$N$18:$N$157,MATCH(2,1/(('Port Linkages'!$C$18:$C$157=$AQ12)*('Port Linkages'!$D$18:$D$157=IF($AO12="no",$AQ12,$AS12))*('Port Linkages'!$A$18:$A$157&lt;=$C12))))</f>
        <v>0</v>
      </c>
      <c r="TG12" s="75">
        <f t="array" ref="TG12">INDEX('Port Linkages'!$O$18:$O$157,MATCH(2,1/(('Port Linkages'!$C$18:$C$157=$AQ12)*('Port Linkages'!$D$18:$D$157=IF($AO12="no",$AQ12,$AS12))*('Port Linkages'!$A$18:$A$157&lt;=$C12))))</f>
        <v>0</v>
      </c>
      <c r="TH12" s="75">
        <f t="array" ref="TH12">INDEX('Port Linkages'!$P$18:$P$157,MATCH(2,1/(('Port Linkages'!$C$18:$C$157=$AQ12)*('Port Linkages'!$D$18:$D$157=IF($AO12="no",$AQ12,$AS12))*('Port Linkages'!$A$18:$A$157&lt;=$C12))))</f>
        <v>0</v>
      </c>
      <c r="TI12" s="75">
        <f t="array" ref="TI12">INDEX('Port Linkages'!$Q$18:$Q$157,MATCH(2,1/(('Port Linkages'!$C$18:$C$157=$AQ12)*('Port Linkages'!$D$18:$D$157=IF($AO12="no",$AQ12,$AS12))*('Port Linkages'!$A$18:$A$157&lt;=$C12))))</f>
        <v>0</v>
      </c>
      <c r="TJ12" s="75">
        <f t="array" ref="TJ12">INDEX('Port Linkages'!$R$18:$R$157,MATCH(2,1/(('Port Linkages'!$C$18:$C$157=$AQ12)*('Port Linkages'!$D$18:$D$157=IF($AO12="no",$AQ12,$AS12))*('Port Linkages'!$A$18:$A$157&lt;=$C12))))</f>
        <v>0</v>
      </c>
      <c r="TK12" s="75">
        <f t="array" ref="TK12">INDEX('Port Linkages'!$S$18:$S$157,MATCH(2,1/(('Port Linkages'!$C$18:$C$157=$AQ12)*('Port Linkages'!$D$18:$D$157=IF($AO12="no",$AQ12,$AS12))*('Port Linkages'!$A$18:$A$157&lt;=$C12))))</f>
        <v>0</v>
      </c>
      <c r="TL12" s="75">
        <f t="array" ref="TL12">INDEX('Port Linkages'!$T$18:$T$157,MATCH(2,1/(('Port Linkages'!$C$18:$C$157=$AQ12)*('Port Linkages'!$D$18:$D$157=IF($AO12="no",$AQ12,$AS12))*('Port Linkages'!$A$18:$A$157&lt;=$C12))))</f>
        <v>0</v>
      </c>
      <c r="TM12" s="75">
        <f t="array" ref="TM12">INDEX('Port Linkages'!$U$18:$U$157,MATCH(2,1/(('Port Linkages'!$C$18:$C$157=$AQ12)*('Port Linkages'!$D$18:$D$157=IF($AO12="no",$AQ12,$AS12))*('Port Linkages'!$A$18:$A$157&lt;=$C12))))</f>
        <v>0</v>
      </c>
      <c r="TN12" s="75">
        <f t="array" ref="TN12">INDEX('Port Linkages'!$V$18:$V$157,MATCH(2,1/(('Port Linkages'!$C$18:$C$157=$AQ12)*('Port Linkages'!$D$18:$D$157=IF($AO12="no",$AQ12,$AS12))*('Port Linkages'!$A$18:$A$157&lt;=$C12))))</f>
        <v>0</v>
      </c>
      <c r="TO12" s="75">
        <f t="array" ref="TO12">INDEX('Port Linkages'!$W$18:$W$157,MATCH(2,1/(('Port Linkages'!$C$18:$C$157=$AQ12)*('Port Linkages'!$D$18:$D$157=IF($AO12="no",$AQ12,$AS12))*('Port Linkages'!$A$18:$A$157&lt;=$C12))))</f>
        <v>0</v>
      </c>
      <c r="TP12" s="75">
        <f t="array" ref="TP12">INDEX('Port Linkages'!$X$18:$X$157,MATCH(2,1/(('Port Linkages'!$C$18:$C$157=$AQ12)*('Port Linkages'!$D$18:$D$157=IF($AO12="no",$AQ12,$AS12))*('Port Linkages'!$A$18:$A$157&lt;=$C12))))</f>
        <v>0</v>
      </c>
      <c r="TQ12" s="75">
        <f t="array" ref="TQ12">INDEX('Port Linkages'!$Y$18:$Y$157,MATCH(2,1/(('Port Linkages'!$C$18:$C$157=$AQ12)*('Port Linkages'!$D$18:$D$157=IF($AO12="no",$AQ12,$AS12))*('Port Linkages'!$A$18:$A$157&lt;=$C12))))</f>
        <v>0</v>
      </c>
      <c r="TR12" s="75">
        <f t="array" ref="TR12">INDEX('Port Linkages'!$Z$18:$Z$157,MATCH(2,1/(('Port Linkages'!$C$18:$C$157=$AQ12)*('Port Linkages'!$D$18:$D$157=IF($AO12="no",$AQ12,$AS12))*('Port Linkages'!$A$18:$A$157&lt;=$C12))))</f>
        <v>0</v>
      </c>
      <c r="TS12" s="75">
        <f t="array" ref="TS12">INDEX('Port Linkages'!$AA$18:$AA$157,MATCH(2,1/(('Port Linkages'!$C$18:$C$157=$AQ12)*('Port Linkages'!$D$18:$D$157=IF($AO12="no",$AQ12,$AS12))*('Port Linkages'!$A$18:$A$157&lt;=$C12))))</f>
        <v>0</v>
      </c>
      <c r="TT12" s="75">
        <f t="array" ref="TT12">INDEX('Port Linkages'!$AB$18:$AB$157,MATCH(2,1/(('Port Linkages'!$C$18:$C$157=$AQ12)*('Port Linkages'!$D$18:$D$157=IF($AO12="no",$AQ12,$AS12))*('Port Linkages'!$A$18:$A$157&lt;=$C12))))</f>
        <v>0</v>
      </c>
      <c r="TU12" s="75">
        <f t="array" ref="TU12">INDEX('Port Linkages'!$AC$18:$AC$157,MATCH(2,1/(('Port Linkages'!$C$18:$C$157=$AQ12)*('Port Linkages'!$D$18:$D$157=IF($AO12="no",$AQ12,$AS12))*('Port Linkages'!$A$18:$A$157&lt;=$C12))))</f>
        <v>0</v>
      </c>
      <c r="TV12" s="75">
        <f t="array" ref="TV12">INDEX('Port Linkages'!$AD$18:$AD$157,MATCH(2,1/(('Port Linkages'!$C$18:$C$157=$AQ12)*('Port Linkages'!$D$18:$D$157=IF($AO12="no",$AQ12,$AS12))*('Port Linkages'!$A$18:$A$157&lt;=$C12))))</f>
        <v>0</v>
      </c>
      <c r="TW12" s="75">
        <f t="array" ref="TW12">INDEX('Port Linkages'!$AE$18:$AE$157,MATCH(2,1/(('Port Linkages'!$C$18:$C$157=$AQ12)*('Port Linkages'!$D$18:$D$157=IF($AO12="no",$AQ12,$AS12))*('Port Linkages'!$A$18:$A$157&lt;=$C12))))</f>
        <v>0</v>
      </c>
      <c r="TX12" s="75">
        <f t="array" ref="TX12">INDEX('Port Linkages'!$AF$18:$AF$157,MATCH(2,1/(('Port Linkages'!$C$18:$C$157=$AQ12)*('Port Linkages'!$D$18:$D$157=IF($AO12="no",$AQ12,$AS12))*('Port Linkages'!$A$18:$A$157&lt;=$C12))))</f>
        <v>0</v>
      </c>
      <c r="TY12" s="75">
        <f t="array" ref="TY12">INDEX('Port Linkages'!$AG$18:$AG$157,MATCH(2,1/(('Port Linkages'!$C$18:$C$157=$AQ12)*('Port Linkages'!$D$18:$D$157=IF($AO12="no",$AQ12,$AS12))*('Port Linkages'!$A$18:$A$157&lt;=$C12))))</f>
        <v>0</v>
      </c>
      <c r="TZ12" s="75">
        <f t="array" ref="TZ12">INDEX('Port Linkages'!$AH$18:$AH$157,MATCH(2,1/(('Port Linkages'!$C$18:$C$157=$AQ12)*('Port Linkages'!$D$18:$D$157=IF($AO12="no",$AQ12,$AS12))*('Port Linkages'!$A$18:$A$157&lt;=$C12))))</f>
        <v>0</v>
      </c>
      <c r="UA12" s="75">
        <f t="array" ref="UA12">INDEX('Port Linkages'!$AI$18:$AI$157,MATCH(2,1/(('Port Linkages'!$C$18:$C$157=$AQ12)*('Port Linkages'!$D$18:$D$157=IF($AO12="no",$AQ12,$AS12))*('Port Linkages'!$A$18:$A$157&lt;=$C12))))</f>
        <v>0</v>
      </c>
      <c r="UB12" s="75">
        <f t="array" ref="UB12">INDEX('Port Linkages'!$AJ$18:$AJ$157,MATCH(2,1/(('Port Linkages'!$C$18:$C$157=$AQ12)*('Port Linkages'!$D$18:$D$157=IF($AO12="no",$AQ12,$AS12))*('Port Linkages'!$A$18:$A$157&lt;=$C12))))</f>
        <v>0</v>
      </c>
      <c r="UC12" s="75">
        <f t="array" ref="UC12">INDEX('Port Linkages'!$AK$18:$AK$157,MATCH(2,1/(('Port Linkages'!$C$18:$C$157=$AQ12)*('Port Linkages'!$D$18:$D$157=IF($AO12="no",$AQ12,$AS12))*('Port Linkages'!$A$18:$A$157&lt;=$C12))))</f>
        <v>0</v>
      </c>
      <c r="UD12" s="75">
        <f t="array" ref="UD12">INDEX('Port Linkages'!$AL$18:$AL$157,MATCH(2,1/(('Port Linkages'!$C$18:$C$157=$AQ12)*('Port Linkages'!$D$18:$D$157=IF($AO12="no",$AQ12,$AS12))*('Port Linkages'!$A$18:$A$157&lt;=$C12))))</f>
        <v>0</v>
      </c>
      <c r="UE12" s="75">
        <f t="array" ref="UE12">INDEX('Port Linkages'!$AM$18:$AM$157,MATCH(2,1/(('Port Linkages'!$C$18:$C$157=$AQ12)*('Port Linkages'!$D$18:$D$157=IF($AO12="no",$AQ12,$AS12))*('Port Linkages'!$A$18:$A$157&lt;=$C12))))</f>
        <v>0</v>
      </c>
      <c r="UF12" s="75">
        <f t="array" ref="UF12">INDEX('Port Linkages'!$AN$18:$AN$157,MATCH(2,1/(('Port Linkages'!$C$18:$C$157=$AQ12)*('Port Linkages'!$D$18:$D$157=IF($AO12="no",$AQ12,$AS12))*('Port Linkages'!$A$18:$A$157&lt;=$C12))))</f>
        <v>0</v>
      </c>
      <c r="UG12" s="75">
        <f t="array" ref="UG12">INDEX('Port Linkages'!$AO$18:$AO$157,MATCH(2,1/(('Port Linkages'!$C$18:$C$157=$AQ12)*('Port Linkages'!$D$18:$D$157=IF($AO12="no",$AQ12,$AS12))*('Port Linkages'!$A$18:$A$157&lt;=$C12))))</f>
        <v>0</v>
      </c>
      <c r="UH12" s="75">
        <f t="array" ref="UH12">INDEX('Port Linkages'!$AP$18:$AP$157,MATCH(2,1/(('Port Linkages'!$C$18:$C$157=$AQ12)*('Port Linkages'!$D$18:$D$157=IF($AO12="no",$AQ12,$AS12))*('Port Linkages'!$A$18:$A$157&lt;=$C12))))</f>
        <v>0</v>
      </c>
      <c r="UI12" s="75">
        <f t="array" ref="UI12">INDEX('Port Linkages'!$AQ$18:$AQ$157,MATCH(2,1/(('Port Linkages'!$C$18:$C$157=$AQ12)*('Port Linkages'!$D$18:$D$157=IF($AO12="no",$AQ12,$AS12))*('Port Linkages'!$A$18:$A$157&lt;=$C12))))</f>
        <v>0</v>
      </c>
      <c r="UJ12" s="75">
        <f t="array" ref="UJ12">INDEX('Port Linkages'!$AR$18:$AR$157,MATCH(2,1/(('Port Linkages'!$C$18:$C$157=$AQ12)*('Port Linkages'!$D$18:$D$157=IF($AO12="no",$AQ12,$AS12))*('Port Linkages'!$A$18:$A$157&lt;=$C12))))</f>
        <v>0</v>
      </c>
      <c r="UK12" s="75">
        <f t="array" ref="UK12">INDEX('Port Linkages'!$AS$18:$AS$157,MATCH(2,1/(('Port Linkages'!$C$18:$C$157=$AQ12)*('Port Linkages'!$D$18:$D$157=IF($AO12="no",$AQ12,$AS12))*('Port Linkages'!$A$18:$A$157&lt;=$C12))))</f>
        <v>0</v>
      </c>
      <c r="UL12" s="75">
        <f t="array" ref="UL12">INDEX('Port Linkages'!$AT$18:$AT$157,MATCH(2,1/(('Port Linkages'!$C$18:$C$157=$AQ12)*('Port Linkages'!$D$18:$D$157=IF($AO12="no",$AQ12,$AS12))*('Port Linkages'!$A$18:$A$157&lt;=$C12))))</f>
        <v>0</v>
      </c>
      <c r="UM12" s="75">
        <f t="array" ref="UM12">INDEX('Port Linkages'!$AU$18:$AU$157,MATCH(2,1/(('Port Linkages'!$C$18:$C$157=$AQ12)*('Port Linkages'!$D$18:$D$157=IF($AO12="no",$AQ12,$AS12))*('Port Linkages'!$A$18:$A$157&lt;=$C12))))</f>
        <v>0</v>
      </c>
      <c r="UN12" s="75">
        <f t="array" ref="UN12">INDEX('Port Linkages'!$AV$18:$AV$157,MATCH(2,1/(('Port Linkages'!$C$18:$C$157=$AQ12)*('Port Linkages'!$D$18:$D$157=IF($AO12="no",$AQ12,$AS12))*('Port Linkages'!$A$18:$A$157&lt;=$C12))))</f>
        <v>0</v>
      </c>
      <c r="UO12" s="75">
        <f t="array" ref="UO12">INDEX('Port Linkages'!$AW$18:$AW$157,MATCH(2,1/(('Port Linkages'!$C$18:$C$157=$AQ12)*('Port Linkages'!$D$18:$D$157=IF($AO12="no",$AQ12,$AS12))*('Port Linkages'!$A$18:$A$157&lt;=$C12))))</f>
        <v>0</v>
      </c>
      <c r="UP12" s="75">
        <f t="array" ref="UP12">INDEX('Port Linkages'!$AX$18:$AX$157,MATCH(2,1/(('Port Linkages'!$C$18:$C$157=$AQ12)*('Port Linkages'!$D$18:$D$157=IF($AO12="no",$AQ12,$AS12))*('Port Linkages'!$A$18:$A$157&lt;=$C12))))</f>
        <v>0</v>
      </c>
      <c r="UQ12" s="75">
        <f t="array" ref="UQ12">INDEX('Port Linkages'!$AY$18:$AY$157,MATCH(2,1/(('Port Linkages'!$C$18:$C$157=$AQ12)*('Port Linkages'!$D$18:$D$157=IF($AO12="no",$AQ12,$AS12))*('Port Linkages'!$A$18:$A$157&lt;=$C12))))</f>
        <v>0</v>
      </c>
      <c r="UR12" s="75">
        <f t="array" ref="UR12">INDEX('Port Linkages'!$AZ$18:$AZ$157,MATCH(2,1/(('Port Linkages'!$C$18:$C$157=$AQ12)*('Port Linkages'!$D$18:$D$157=IF($AO12="no",$AQ12,$AS12))*('Port Linkages'!$A$18:$A$157&lt;=$C12))))</f>
        <v>0</v>
      </c>
      <c r="US12" s="75">
        <f t="array" ref="US12">INDEX('Port Linkages'!$BA$18:$BA$157,MATCH(2,1/(('Port Linkages'!$C$18:$C$157=$AQ12)*('Port Linkages'!$D$18:$D$157=IF($AO12="no",$AQ12,$AS12))*('Port Linkages'!$A$18:$A$157&lt;=$C12))))</f>
        <v>0</v>
      </c>
      <c r="UU12" s="25" t="e">
        <f t="array" aca="1" ref="UU12" ca="1">INDEX('Ship Fuel Prices'!$F$5:$F$1004,MATCH(2,1/(('Ship Fuel Prices'!$E$5:$E$1004=_xlfn.IFS(SJ12="Handysize",Main!UP12,SJ12="Supramax",UI12,SJ12="Panamax",UB12,SJ12="NeoPanamax",TU12,SJ12="Suezmax",TN12,SJ12="Capesize",TG12,SJ12="VLOC",SZ12))*('Ship Fuel Prices'!$D$5:$D$1004&lt;=Main!$C12))))</f>
        <v>#N/A</v>
      </c>
      <c r="UV12" s="25" t="e">
        <f t="array" aca="1" ref="UV12" ca="1">INDEX('Ship Fuel Prices'!$G$5:$G$1004,MATCH(2,1/(('Ship Fuel Prices'!$E$5:$E$1004=_xlfn.IFS(SJ12="Handysize",Main!UP12,SJ12="Supramax",UI12,SJ12="Panamax",UB12,SJ12="NeoPanamax",TU12,SJ12="Suezmax",TN12,SJ12="Capesize",TG12,SJ12="VLOC",SZ12))*('Ship Fuel Prices'!$D$5:$D$1004&lt;=Main!$C12))))</f>
        <v>#N/A</v>
      </c>
      <c r="UW12" s="25" t="e">
        <f t="array" aca="1" ref="UW12" ca="1">INDEX('Ship Fuel Prices'!$H$5:$H$1004,MATCH(2,1/(('Ship Fuel Prices'!$E$5:$E$1004=_xlfn.IFS(SJ12="Handysize",Main!UP12,SJ12="Supramax",UI12,SJ12="Panamax",UB12,SJ12="NeoPanamax",TU12,SJ12="Suezmax",TN12,SJ12="Capesize",TG12,SJ12="VLOC",SZ12))*('Ship Fuel Prices'!$D$5:$D$1004&lt;=Main!$C12))))</f>
        <v>#N/A</v>
      </c>
      <c r="UX12" s="25" t="e">
        <f t="array" aca="1" ref="UX12" ca="1">INDEX('Ship Fuel Prices'!$I$5:$I$1004,MATCH(2,1/(('Ship Fuel Prices'!$E$5:$E$1004=_xlfn.IFS(SJ12="Handysize",Main!UP12,SJ12="Supramax",UI12,SJ12="Panamax",UB12,SJ12="NeoPanamax",TU12,SJ12="Suezmax",TN12,SJ12="Capesize",TG12,SJ12="VLOC",SZ12))*('Ship Fuel Prices'!$D$5:$D$1004&lt;=Main!$C12))))</f>
        <v>#N/A</v>
      </c>
      <c r="UY12" s="25" t="e">
        <f t="array" aca="1" ref="UY12" ca="1">INDEX('Ship Fuel Prices'!$J$5:$J$1004,MATCH(2,1/(('Ship Fuel Prices'!$E$5:$E$1004=_xlfn.IFS(SJ12="Handysize",Main!UP12,SJ12="Supramax",UI12,SJ12="Panamax",UB12,SJ12="NeoPanamax",TU12,SJ12="Suezmax",TN12,SJ12="Capesize",TG12,SJ12="VLOC",SZ12))*('Ship Fuel Prices'!$D$5:$D$1004&lt;=Main!$C12))))</f>
        <v>#N/A</v>
      </c>
      <c r="VA12" s="75">
        <f t="array" ref="VA12">INDEX('China n Importing Ports'!$E$20:$E$41,MATCH(2,1/(('China n Importing Ports'!$D$20:$D$41&lt;=$C12)*('China n Importing Ports'!$C$20:$C$41=IF($AO12="No",$AQ12,$AS12)))))</f>
        <v>0</v>
      </c>
      <c r="VB12" s="75">
        <f t="array" ref="VB12">INDEX('China n Importing Ports'!$F$20:$F$41,MATCH(2,1/(('China n Importing Ports'!$D$20:$D$41&lt;=$C12)*('China n Importing Ports'!$C$20:$C$41=IF($AO12="No",$AQ12,$AS12)))))</f>
        <v>0</v>
      </c>
      <c r="VC12" s="75">
        <f t="array" ref="VC12">INDEX('China n Importing Ports'!$G$20:$G$41,MATCH(2,1/(('China n Importing Ports'!$D$20:$D$41&lt;=$C12)*('China n Importing Ports'!$C$20:$C$41=IF($AO12="No",$AQ12,$AS12)))))</f>
        <v>0</v>
      </c>
      <c r="VD12" s="75">
        <f t="array" ref="VD12">INDEX('China n Importing Ports'!$H$20:$H$41,MATCH(2,1/(('China n Importing Ports'!$D$20:$D$41&lt;=$C12)*('China n Importing Ports'!$C$20:$C$41=IF($AO12="No",$AQ12,$AS12)))))</f>
        <v>0</v>
      </c>
      <c r="VE12" s="75">
        <f t="array" ref="VE12">INDEX('China n Importing Ports'!$I$20:$I$41,MATCH(2,1/(('China n Importing Ports'!$D$20:$D$41&lt;=$C12)*('China n Importing Ports'!$C$20:$C$41=IF($AO12="No",$AQ12,$AS12)))))</f>
        <v>0</v>
      </c>
      <c r="VF12" s="75">
        <f t="array" ref="VF12">INDEX('China n Importing Ports'!$J$20:$J$41,MATCH(2,1/(('China n Importing Ports'!$D$20:$D$41&lt;=$C12)*('China n Importing Ports'!$C$20:$C$41=IF($AO12="No",$AQ12,$AS12)))))</f>
        <v>0</v>
      </c>
      <c r="VG12" s="75">
        <f t="array" ref="VG12">INDEX('China n Importing Ports'!$K$20:$K$41,MATCH(2,1/(('China n Importing Ports'!$D$20:$D$41&lt;=$C12)*('China n Importing Ports'!$C$20:$C$41=IF($AO12="No",$AQ12,$AS12)))))</f>
        <v>0</v>
      </c>
      <c r="VH12" s="75">
        <f t="array" ref="VH12">INDEX('China n Importing Ports'!$L$20:$L$41,MATCH(2,1/(('China n Importing Ports'!$D$20:$D$41&lt;=$C12)*('China n Importing Ports'!$C$20:$C$41=IF($AO12="No",$AQ12,$AS12)))))</f>
        <v>0</v>
      </c>
      <c r="VI12" s="75">
        <f t="array" ref="VI12">INDEX('China n Importing Ports'!$M$20:$M$41,MATCH(2,1/(('China n Importing Ports'!$D$20:$D$41&lt;=$C12)*('China n Importing Ports'!$C$20:$C$41=IF($AO12="No",$AQ12,$AS12)))))</f>
        <v>0</v>
      </c>
      <c r="VJ12" s="75">
        <f t="array" ref="VJ12">INDEX('China n Importing Ports'!$N$20:$N$41,MATCH(2,1/(('China n Importing Ports'!$D$20:$D$41&lt;=$C12)*('China n Importing Ports'!$C$20:$C$41=IF($AO12="No",$AQ12,$AS12)))))</f>
        <v>0</v>
      </c>
      <c r="VK12" s="75">
        <f t="array" ref="VK12">INDEX('China n Importing Ports'!$O$20:$O$41,MATCH(2,1/(('China n Importing Ports'!$D$20:$D$41&lt;=$C12)*('China n Importing Ports'!$C$20:$C$41=IF($AO12="No",$AQ12,$AS12)))))</f>
        <v>0</v>
      </c>
      <c r="VL12" s="136">
        <f t="array" ref="VL12">INDEX('China n Importing Ports'!$P$20:$P$41,MATCH(2,1/(('China n Importing Ports'!$D$20:$D$41&lt;=$C12)*('China n Importing Ports'!$C$20:$C$41=IF($AO12="No",$AQ12,$AS12)))))</f>
        <v>0</v>
      </c>
      <c r="VM12" s="136">
        <f t="array" ref="VM12">INDEX('China n Importing Ports'!$Q$20:$Q$41,MATCH(2,1/(('China n Importing Ports'!$D$20:$D$41&lt;=$C12)*('China n Importing Ports'!$C$20:$C$41=IF($AO12="No",$AQ12,$AS12)))))</f>
        <v>0</v>
      </c>
      <c r="VN12" s="136">
        <f t="array" ref="VN12">INDEX('China n Importing Ports'!$R$20:$R$41,MATCH(2,1/(('China n Importing Ports'!$D$20:$D$41&lt;=$C12)*('China n Importing Ports'!$C$20:$C$41=IF($AO12="No",$AQ12,$AS12)))))</f>
        <v>0</v>
      </c>
      <c r="VO12" s="136">
        <f t="array" ref="VO12">INDEX('China n Importing Ports'!$S$20:$S$41,MATCH(2,1/(('China n Importing Ports'!$D$20:$D$41&lt;=$C12)*('China n Importing Ports'!$C$20:$C$41=IF($AO12="No",$AQ12,$AS12)))))</f>
        <v>0</v>
      </c>
      <c r="VP12" s="136">
        <f t="array" ref="VP12">INDEX('China n Importing Ports'!$T$20:$T$41,MATCH(2,1/(('China n Importing Ports'!$D$20:$D$41&lt;=$C12)*('China n Importing Ports'!$C$20:$C$41=IF($AO12="No",$AQ12,$AS12)))))</f>
        <v>0</v>
      </c>
      <c r="VQ12" s="136">
        <f t="array" ref="VQ12">INDEX('China n Importing Ports'!$U$20:$U$41,MATCH(2,1/(('China n Importing Ports'!$D$20:$D$41&lt;=$C12)*('China n Importing Ports'!$C$20:$C$41=IF($AO12="No",$AQ12,$AS12)))))</f>
        <v>0</v>
      </c>
      <c r="VR12" s="136">
        <f t="array" ref="VR12">INDEX('China n Importing Ports'!$V$20:$V$41,MATCH(2,1/(('China n Importing Ports'!$D$20:$D$41&lt;=$C12)*('China n Importing Ports'!$C$20:$C$41=IF($AO12="No",$AQ12,$AS12)))))</f>
        <v>0</v>
      </c>
      <c r="VS12" s="136">
        <f t="array" ref="VS12">INDEX('China n Importing Ports'!$W$20:$W$41,MATCH(2,1/(('China n Importing Ports'!$D$20:$D$41&lt;=$C12)*('China n Importing Ports'!$C$20:$C$41=IF($AO12="No",$AQ12,$AS12)))))</f>
        <v>0</v>
      </c>
      <c r="VT12" s="136">
        <f t="array" ref="VT12">INDEX('China n Importing Ports'!$X$20:$X$41,MATCH(2,1/(('China n Importing Ports'!$D$20:$D$41&lt;=$C12)*('China n Importing Ports'!$C$20:$C$41=IF($AO12="No",$AQ12,$AS12)))))</f>
        <v>0</v>
      </c>
      <c r="VU12" s="136">
        <f t="array" ref="VU12">INDEX('China n Importing Ports'!$Y$20:$Y$41,MATCH(2,1/(('China n Importing Ports'!$D$20:$D$41&lt;=$C12)*('China n Importing Ports'!$C$20:$C$41=IF($AO12="No",$AQ12,$AS12)))))</f>
        <v>0</v>
      </c>
      <c r="VV12" s="136">
        <f t="array" ref="VV12">INDEX('China n Importing Ports'!$Z$20:$Z$41,MATCH(2,1/(('China n Importing Ports'!$D$20:$D$41&lt;=$C12)*('China n Importing Ports'!$C$20:$C$41=IF($AO12="No",$AQ12,$AS12)))))</f>
        <v>0</v>
      </c>
      <c r="VW12" s="136">
        <f t="array" ref="VW12">INDEX('China n Importing Ports'!$AA$20:$AA$41,MATCH(2,1/(('China n Importing Ports'!$D$20:$D$41&lt;=$C12)*('China n Importing Ports'!$C$20:$C$41=IF($AO12="No",$AQ12,$AS12)))))</f>
        <v>0</v>
      </c>
      <c r="VY12" s="75" t="e">
        <f t="array" aca="1" ref="VY12" ca="1">INDEX(Canals!$G$24:$G$29,MATCH(2,1/((Canals!$F$24:$F$29&lt;=$C12)*(Canals!$G$24:$G$29=_xlfn.IFS(SJ12="Handysize",US12,SJ12="Supramax",UL12,SJ12="Panamax",UE12,SJ12="NeoPanamax",TX12,SJ12="Suezmax",TQ12,SJ12="Capesize",TJ12,SJ12="VLOC",TC12)))))</f>
        <v>#N/A</v>
      </c>
      <c r="VZ12" s="75" t="e">
        <f t="array" aca="1" ref="VZ12" ca="1">INDEX(Canals!$H$24:$H$29,MATCH(2,1/((Canals!$F$24:$F$29&lt;=$C12)*(Canals!$G$24:$G$29=_xlfn.IFS(SJ12="Handysize",US12,SJ12="Supramax",UL12,SJ12="Panamax",UE12,SJ12="NeoPanamax",TX12,SJ12="Suezmax",TQ12,SJ12="Capesize",TJ12,SJ12="VLOC",TC12)))))</f>
        <v>#N/A</v>
      </c>
      <c r="WA12" s="75" t="e">
        <f t="array" aca="1" ref="WA12" ca="1">INDEX(Canals!$I$24:$I$29,MATCH(2,1/((Canals!$F$24:$F$29&lt;=$C12)*(Canals!$G$24:$G$29=_xlfn.IFS(SJ12="Handysize",US12,SJ12="Supramax",UL12,SJ12="Panamax",UE12,SJ12="NeoPanamax",TX12,SJ12="Suezmax",TQ12,SJ12="Capesize",TJ12,SJ12="VLOC",TC12)))))</f>
        <v>#N/A</v>
      </c>
      <c r="WB12" s="75" t="e">
        <f t="array" aca="1" ref="WB12" ca="1">INDEX(Canals!$J$24:$J$29,MATCH(2,1/((Canals!$F$24:$F$29&lt;=$C12)*(Canals!$G$24:$G$29=_xlfn.IFS(SJ12="Handysize",Main!US12,SJ12="Supramax",UL12,SJ12="Panamax",UE12,SJ12="NeoPanamax",TX12,SJ12="Suezmax",TQ12,SJ12="Capesize",TJ12,SJ12="VLOC",TC12)))))</f>
        <v>#N/A</v>
      </c>
      <c r="WC12" s="75" t="e">
        <f t="array" aca="1" ref="WC12" ca="1">INDEX(Canals!$K$24:$K$29,MATCH(2,1/((Canals!$F$24:$F$29&lt;=$C12)*(Canals!$G$24:$G$29=_xlfn.IFS(SJ12="Handysize",Main!US12,SJ12="Supramax",UL12,SJ12="Panamax",UE12,SJ12="NeoPanamax",TX12,SJ12="Suezmax",TQ12,SJ12="Capesize",TJ12,SJ12="VLOC",TC12)))))</f>
        <v>#N/A</v>
      </c>
      <c r="WD12" s="75" t="e">
        <f t="array" aca="1" ref="WD12" ca="1">INDEX(Canals!$L$24:$L$29,MATCH(2,1/((Canals!$F$24:$F$29&lt;=$C12)*(Canals!$G$24:$G$29=_xlfn.IFS(SJ12="Handysize",Main!US12,SJ12="Supramax",UL12,SJ12="Panamax",UE12,SJ12="NeoPanamax",TX12,SJ12="Suezmax",TQ12,SJ12="Capesize",TJ12,SJ12="VLOC",TC12)))))</f>
        <v>#N/A</v>
      </c>
      <c r="WE12" s="75" t="e">
        <f t="array" aca="1" ref="WE12" ca="1">INDEX(Canals!$M$24:$M$29,MATCH(2,1/((Canals!$F$24:$F$29&lt;=$C12)*(Canals!$G$24:$G$29=_xlfn.IFS(SJ12="Handysize",Main!US12,SJ12="Supramax",UL12,SJ12="Panamax",UE12,SJ12="NeoPanamax",TX12,SJ12="Suezmax",TQ12,SJ12="Capesize",TJ12,SJ12="VLOC",TC12)))))</f>
        <v>#N/A</v>
      </c>
      <c r="WF12" s="75" t="e">
        <f t="array" aca="1" ref="WF12" ca="1">INDEX(Canals!$N$24:$N$29,MATCH(2,1/((Canals!$F$24:$F$29&lt;=$C12)*(Canals!$G$24:$G$29=_xlfn.IFS(SJ12="Handysize",Main!US12,SJ12="Supramax",UL12,SJ12="Panamax",UE12,SJ12="NeoPanamax",TX12,SJ12="Suezmax",TQ12,SJ12="Capesize",TJ12,SJ12="VLOC",TC12)))))</f>
        <v>#N/A</v>
      </c>
      <c r="WG12" s="75" t="e">
        <f t="array" aca="1" ref="WG12" ca="1">INDEX(Canals!$O$24:$O$29,MATCH(2,1/((Canals!$F$24:$F$29&lt;=$C12)*(Canals!$G$24:$G$29=_xlfn.IFS(SJ12="Handysize",Main!US12,SJ12="Supramax",UL12,SJ12="Panamax",UE12,SJ12="NeoPanamax",TX12,SJ12="Suezmax",TQ12,SJ12="Capesize",TJ12,SJ12="VLOC",TC12)))))</f>
        <v>#N/A</v>
      </c>
      <c r="WH12" s="75" t="e">
        <f t="array" aca="1" ref="WH12" ca="1">INDEX(Canals!$P$24:$P$29,MATCH(2,1/((Canals!$F$24:$F$29&lt;=$C12)*(Canals!$G$24:$G$29=_xlfn.IFS(SJ12="Handysize",Main!US12,SJ12="Supramax",UL12,SJ12="Panamax",UE12,SJ12="NeoPanamax",TX12,SJ12="Suezmax",TQ12,SJ12="Capesize",TJ12,SJ12="VLOC",TC12)))))</f>
        <v>#N/A</v>
      </c>
      <c r="WI12" s="75" t="e">
        <f t="array" aca="1" ref="WI12" ca="1">INDEX(Canals!$Q$24:$Q$29,MATCH(2,1/((Canals!$F$24:$F$29&lt;=$C12)*(Canals!$G$24:$G$29=_xlfn.IFS(SJ12="Handysize",Main!US12,SJ12="Supramax",UL12,SJ12="Panamax",UE12,SJ12="NeoPanamax",TX12,SJ12="Suezmax",TQ12,SJ12="Capesize",TJ12,SJ12="VLOC",TC12)))))</f>
        <v>#N/A</v>
      </c>
      <c r="WJ12" s="75" t="e">
        <f t="array" aca="1" ref="WJ12" ca="1">INDEX(Canals!$R$24:$R$29,MATCH(2,1/((Canals!$F$24:$F$29&lt;=$C12)*(Canals!$G$24:$G$29=_xlfn.IFS(SJ12="Handysize",Main!US12,SJ12="Supramax",UL12,SJ12="Panamax",UE12,SJ12="NeoPanamax",TX12,SJ12="Suezmax",TQ12,SJ12="Capesize",TJ12,SJ12="VLOC",TC12)))))</f>
        <v>#N/A</v>
      </c>
      <c r="WK12" s="136" t="e">
        <f t="array" aca="1" ref="WK12" ca="1">INDEX(Canals!$S$24:$S$29,MATCH(2,1/((Canals!$F$24:$F$29&lt;=$C12)*(Canals!$G$24:$G$29=_xlfn.IFS(SJ12="Handysize",Main!US12,SJ12="Supramax",UL12,SJ12="Panamax",UE12,SJ12="NeoPanamax",TX12,SJ12="Suezmax",TQ12,SJ12="Capesize",TJ12,SJ12="VLOC",TC12)))))</f>
        <v>#N/A</v>
      </c>
      <c r="WL12" s="136" t="e">
        <f t="array" aca="1" ref="WL12" ca="1">INDEX(Canals!$T$24:$T$29,MATCH(2,1/((Canals!$F$24:$F$29&lt;=$C12)*(Canals!$G$24:$G$29=_xlfn.IFS(SJ12="Handysize",Main!US12,SJ12="Supramax",UL12,SJ12="Panamax",UE12,SJ12="NeoPanamax",TX12,SJ12="Suezmax",TQ12,SJ12="Capesize",TJ12,SJ12="VLOC",TC12)))))</f>
        <v>#N/A</v>
      </c>
      <c r="WM12" s="136" t="e">
        <f t="array" aca="1" ref="WM12" ca="1">INDEX(Canals!$U$24:$U$29,MATCH(2,1/((Canals!$F$24:$F$29&lt;=$C12)*(Canals!$G$24:$G$29=_xlfn.IFS(SJ12="Handysize",Main!US12,SJ12="Supramax",UL12,SJ12="Panamax",UE12,SJ12="NeoPanamax",TX12,SJ12="Suezmax",TQ12,SJ12="Capesize",TJ12,SJ12="VLOC",TC12)))))</f>
        <v>#N/A</v>
      </c>
      <c r="WN12" s="136" t="e">
        <f t="array" aca="1" ref="WN12" ca="1">INDEX(Canals!$V$24:$V$29,MATCH(2,1/((Canals!$F$24:$F$29&lt;=$C12)*(Canals!$G$24:$G$29=_xlfn.IFS(SJ12="Handysize",Main!US12,SJ12="Supramax",UL12,SJ12="Panamax",UE12,SJ12="NeoPanamax",TX12,SJ12="Suezmax",TQ12,SJ12="Capesize",TJ12,SJ12="VLOC",TC12)))))</f>
        <v>#N/A</v>
      </c>
      <c r="WO12" s="136" t="e">
        <f t="array" aca="1" ref="WO12" ca="1">INDEX(Canals!$W$24:$W$29,MATCH(2,1/((Canals!$F$24:$F$29&lt;=$C12)*(Canals!$G$24:$G$29=_xlfn.IFS(SJ12="Handysize",Main!US12,SJ12="Supramax",UL12,SJ12="Panamax",UE12,SJ12="NeoPanamax",TX12,SJ12="Suezmax",TQ12,SJ12="Capesize",TJ12,SJ12="VLOC",TC12)))))</f>
        <v>#N/A</v>
      </c>
      <c r="WP12" s="136" t="e">
        <f t="array" aca="1" ref="WP12" ca="1">INDEX(Canals!$X$24:$X$29,MATCH(2,1/((Canals!$F$24:$F$29&lt;=$C12)*(Canals!$G$24:$G$29=_xlfn.IFS(SJ12="Handysize",Main!US12,SJ12="Supramax",UL12,SJ12="Panamax",UE12,SJ12="NeoPanamax",TX12,SJ12="Suezmax",TQ12,SJ12="Capesize",TJ12,SJ12="VLOC",TC12)))))</f>
        <v>#N/A</v>
      </c>
      <c r="WQ12" s="136" t="e">
        <f t="array" aca="1" ref="WQ12" ca="1">INDEX(Canals!$Y$24:$Y$29,MATCH(2,1/((Canals!$F$24:$F$29&lt;=$C12)*(Canals!$G$24:$G$29=_xlfn.IFS(SJ12="Handysize",Main!US12,SJ12="Supramax",UL12,SJ12="Panamax",UE12,SJ12="NeoPanamax",TX12,SJ12="Suezmax",TQ12,SJ12="Capesize",TJ12,SJ12="VLOC",TC12)))))</f>
        <v>#N/A</v>
      </c>
      <c r="WR12" s="136" t="e">
        <f t="array" aca="1" ref="WR12" ca="1">INDEX(Canals!$Z$24:$Z$29,MATCH(2,1/((Canals!$F$24:$F$29&lt;=$C12)*(Canals!$G$24:$G$29=_xlfn.IFS(SJ12="Handysize",Main!US12,SJ12="Supramax",UL12,SJ12="Panamax",UE12,SJ12="NeoPanamax",TX12,SJ12="Suezmax",TQ12,SJ12="Capesize",TJ12,SJ12="VLOC",TC12)))))</f>
        <v>#N/A</v>
      </c>
      <c r="WS12" s="136" t="e">
        <f t="array" aca="1" ref="WS12" ca="1">INDEX(Canals!$AA$24:$AA$29,MATCH(2,1/((Canals!$F$24:$F$29&lt;=$C12)*(Canals!$G$24:$G$29=_xlfn.IFS(SJ12="Handysize",Main!US12,SJ12="Supramax",UL12,SJ12="Panamax",UE12,SJ12="NeoPanamax",TX12,SJ12="Suezmax",TQ12,SJ12="Capesize",TJ12,SJ12="VLOC",TC12)))))</f>
        <v>#N/A</v>
      </c>
      <c r="WT12" s="136" t="e">
        <f t="array" aca="1" ref="WT12" ca="1">INDEX(Canals!$AB$24:$AB$29,MATCH(2,1/((Canals!$F$24:$F$29&lt;=$C12)*(Canals!$G$24:$G$29=_xlfn.IFS(SJ12="Handysize",Main!US12,SJ12="Supramax",UL12,SJ12="Panamax",UE12,SJ12="NeoPanamax",TX12,SJ12="Suezmax",TQ12,SJ12="Capesize",TJ12,SJ12="VLOC",TC12)))))</f>
        <v>#N/A</v>
      </c>
      <c r="WU12" s="75" t="e">
        <f t="array" aca="1" ref="WU12" ca="1">INDEX(Canals!$AC$24:$AC$29,MATCH(2,1/((Canals!$F$24:$F$29&lt;=$C12)*(Canals!$G$24:$G$29=_xlfn.IFS(SJ12="Handysize",Main!US12,SJ12="Supramax",UL12,SJ12="Panamax",UE12,SJ12="NeoPanamax",TX12,SJ12="Suezmax",TQ12,SJ12="Capesize",TJ12,SJ12="VLOC",TC12)))))</f>
        <v>#N/A</v>
      </c>
      <c r="WV12" s="75" t="e">
        <f t="array" aca="1" ref="WV12" ca="1">INDEX(Canals!$AD$24:$AD$29,MATCH(2,1/((Canals!$F$24:$F$29&lt;=$C12)*(Canals!$G$24:$G$29=_xlfn.IFS(SJ12="Handysize",Main!US12,SJ12="Supramax",UL12,SJ12="Panamax",UE12,SJ12="NeoPanamax",TX12,SJ12="Suezmax",TQ12,SJ12="Capesize",TJ12,SJ12="VLOC",TC12)))))</f>
        <v>#N/A</v>
      </c>
      <c r="WW12" s="75" t="e">
        <f t="array" aca="1" ref="WW12" ca="1">INDEX(Canals!$AE$24:$AE$29,MATCH(2,1/((Canals!$F$24:$F$29&lt;=$C12)*(Canals!$G$24:$G$29=_xlfn.IFS(SJ12="Handysize",Main!US12,SJ12="Supramax",UL12,SJ12="Panamax",UE12,SJ12="NeoPanamax",TX12,SJ12="Suezmax",TQ12,SJ12="Capesize",TJ12,SJ12="VLOC",TC12)))))</f>
        <v>#N/A</v>
      </c>
      <c r="WX12" s="75" t="e">
        <f t="array" aca="1" ref="WX12" ca="1">INDEX(Canals!$AF$24:$AF$29,MATCH(2,1/((Canals!$F$24:$F$29&lt;=$C12)*(Canals!$G$24:$G$29=_xlfn.IFS(SJ12="Handysize",Main!US12,SJ12="Supramax",UL12,SJ12="Panamax",UE12,SJ12="NeoPanamax",TX12,SJ12="Suezmax",TQ12,SJ12="Capesize",TJ12,SJ12="VLOC",TC12)))))</f>
        <v>#N/A</v>
      </c>
      <c r="WY12" s="75" t="e">
        <f t="array" aca="1" ref="WY12" ca="1">INDEX(Canals!$AG$24:$AG$29,MATCH(2,1/((Canals!$F$24:$F$29&lt;=$C12)*(Canals!$G$24:$G$29=_xlfn.IFS(SJ12="Handysize",Main!US12,SJ12="Supramax",UL12,SJ12="Panamax",UE12,SJ12="NeoPanamax",TX12,SJ12="Suezmax",TQ12,SJ12="Capesize",TJ12,SJ12="VLOC",TC12)))))</f>
        <v>#N/A</v>
      </c>
      <c r="WZ12" s="75" t="e">
        <f t="array" aca="1" ref="WZ12" ca="1">INDEX(Canals!$AH$24:$AH$29,MATCH(2,1/((Canals!$F$24:$F$29&lt;=$C12)*(Canals!$G$24:$G$29=_xlfn.IFS(SJ12="Handysize",Main!US12,SJ12="Supramax",UL12,SJ12="Panamax",UE12,SJ12="NeoPanamax",TX12,SJ12="Suezmax",TQ12,SJ12="Capesize",TJ12,SJ12="VLOC",TC12)))))</f>
        <v>#N/A</v>
      </c>
      <c r="XA12" s="75" t="e">
        <f t="array" aca="1" ref="XA12" ca="1">INDEX(Canals!$AI$24:$AI$29,MATCH(2,1/((Canals!$F$24:$F$29&lt;=$C12)*(Canals!$G$24:$G$29=_xlfn.IFS(SJ12="Handysize",Main!US12,SJ12="Supramax",UL12,SJ12="Panamax",UE12,SJ12="NeoPanamax",TX12,SJ12="Suezmax",TQ12,SJ12="Capesize",TJ12,SJ12="VLOC",TC12)))))</f>
        <v>#N/A</v>
      </c>
      <c r="XB12" s="75" t="e">
        <f t="array" aca="1" ref="XB12" ca="1">INDEX(Canals!$AJ$24:$AJ$29,MATCH(2,1/((Canals!$F$24:$F$29&lt;=$C12)*(Canals!$G$24:$G$29=_xlfn.IFS(SJ12="Handysize",Main!US12,SJ12="Supramax",UL12,SJ12="Panamax",UE12,SJ12="NeoPanamax",TX12,SJ12="Suezmax",TQ12,SJ12="Capesize",TJ12,SJ12="VLOC",TC12)))))</f>
        <v>#N/A</v>
      </c>
      <c r="XC12" s="75" t="e">
        <f t="array" aca="1" ref="XC12" ca="1">INDEX(Canals!$AK$24:$AK$29,MATCH(2,1/((Canals!$F$24:$F$29&lt;=$C12)*(Canals!$G$24:$G$29=_xlfn.IFS(SJ12="Handysize",Main!US12,SJ12="Supramax",UL12,SJ12="Panamax",UE12,SJ12="NeoPanamax",TX12,SJ12="Suezmax",TQ12,SJ12="Capesize",TJ12,SJ12="VLOC",TC12)))))</f>
        <v>#N/A</v>
      </c>
      <c r="XD12" s="136" t="e">
        <f t="array" aca="1" ref="XD12" ca="1">INDEX(Canals!$AL$24:$AL$29,MATCH(2,1/((Canals!$F$24:$F$29&lt;=$C12)*(Canals!$G$24:$G$29=_xlfn.IFS(SJ12="Handysize",Main!US12,SJ12="Supramax",UL12,SJ12="Panamax",UE12,SJ12="NeoPanamax",TX12,SJ12="Suezmax",TQ12,SJ12="Capesize",TJ12,SJ12="VLOC",TC12)))))</f>
        <v>#N/A</v>
      </c>
      <c r="XE12" s="136" t="e">
        <f t="array" aca="1" ref="XE12" ca="1">INDEX(Canals!$AM$24:$AM$29,MATCH(2,1/((Canals!$F$24:$F$29&lt;=$C12)*(Canals!$G$24:$G$29=_xlfn.IFS(SJ12="Handysize",Main!US12,SJ12="Supramax",UL12,SJ12="Panamax",UE12,SJ12="NeoPanamax",TX12,SJ12="Suezmax",TQ12,SJ12="Capesize",TJ12,SJ12="VLOC",TC12)))))</f>
        <v>#N/A</v>
      </c>
      <c r="XF12" s="136" t="e">
        <f t="array" aca="1" ref="XF12" ca="1">INDEX(Canals!$AN$24:$AN$29,MATCH(2,1/((Canals!$F$24:$F$29&lt;=$C12)*(Canals!$G$24:$G$29=_xlfn.IFS(SJ12="Handysize",Main!US12,SJ12="Supramax",UL12,SJ12="Panamax",UE12,SJ12="NeoPanamax",TX12,SJ12="Suezmax",TQ12,SJ12="Capesize",TJ12,SJ12="VLOC",TC12)))))</f>
        <v>#N/A</v>
      </c>
      <c r="XG12" s="136" t="e">
        <f t="array" aca="1" ref="XG12" ca="1">INDEX(Canals!$AO$24:$AO$29,MATCH(2,1/((Canals!$F$24:$F$29&lt;=$C12)*(Canals!$G$24:$G$29=_xlfn.IFS(SJ12="Handysize",Main!US12,SJ12="Supramax",UL12,SJ12="Panamax",UE12,SJ12="NeoPanamax",TX12,SJ12="Suezmax",TQ12,SJ12="Capesize",TJ12,SJ12="VLOC",TC12)))))</f>
        <v>#N/A</v>
      </c>
      <c r="XH12" s="136" t="e">
        <f t="array" aca="1" ref="XH12" ca="1">INDEX(Canals!$AP$24:$AP$29,MATCH(2,1/((Canals!$F$24:$F$29&lt;=$C12)*(Canals!$G$24:$G$29=_xlfn.IFS(SJ12="Handysize",Main!US12,SJ12="Supramax",UL12,SJ12="Panamax",UE12,SJ12="NeoPanamax",TX12,SJ12="Suezmax",TQ12,SJ12="Capesize",TJ12,SJ12="VLOC",TC12)))))</f>
        <v>#N/A</v>
      </c>
      <c r="XI12" s="136" t="e">
        <f t="array" aca="1" ref="XI12" ca="1">INDEX(Canals!$AQ$24:$AQ$29,MATCH(2,1/((Canals!$F$24:$F$29&lt;=$C12)*(Canals!$G$24:$G$29=_xlfn.IFS(SJ12="Handysize",Main!US12,SJ12="Supramax",UL12,SJ12="Panamax",UE12,SJ12="NeoPanamax",TX12,SJ12="Suezmax",TQ12,SJ12="Capesize",TJ12,SJ12="VLOC",TC12)))))</f>
        <v>#N/A</v>
      </c>
      <c r="XJ12" s="136" t="e">
        <f t="array" aca="1" ref="XJ12" ca="1">INDEX(Canals!$AR$24:$AR$29,MATCH(2,1/((Canals!$F$24:$F$29&lt;=$C12)*(Canals!$G$24:$G$29=_xlfn.IFS(SJ12="Handysize",Main!US12,SJ12="Supramax",UL12,SJ12="Panamax",UE12,SJ12="NeoPanamax",TX12,SJ12="Suezmax",TQ12,SJ12="Capesize",TJ12,SJ12="VLOC",TC12)))))</f>
        <v>#N/A</v>
      </c>
      <c r="XK12" s="136" t="e">
        <f t="array" aca="1" ref="XK12" ca="1">INDEX(Canals!$AS$24:$AS$29,MATCH(2,1/((Canals!$F$24:$F$29&lt;=$C12)*(Canals!$G$24:$G$29=_xlfn.IFS(SJ12="Handysize",Main!US12,SJ12="Supramax",UL12,SJ12="Panamax",UE12,SJ12="NeoPanamax",TX12,SJ12="Suezmax",TQ12,SJ12="Capesize",TJ12,SJ12="VLOC",TC12)))))</f>
        <v>#N/A</v>
      </c>
      <c r="XL12" s="136" t="e">
        <f t="array" aca="1" ref="XL12" ca="1">INDEX(Canals!$AT$24:$AT$29,MATCH(2,1/((Canals!$F$24:$F$29&lt;=$C12)*(Canals!$G$24:$G$29=_xlfn.IFS(SJ12="Handysize",Main!US12,SJ12="Supramax",UL12,SJ12="Panamax",UE12,SJ12="NeoPanamax",TX12,SJ12="Suezmax",TQ12,SJ12="Capesize",TJ12,SJ12="VLOC",TC12)))))</f>
        <v>#N/A</v>
      </c>
      <c r="XM12" s="136" t="e">
        <f t="array" aca="1" ref="XM12" ca="1">INDEX(Canals!$AU$24:$AU$29,MATCH(2,1/((Canals!$F$24:$F$29&lt;=$C12)*(Canals!$G$24:$G$29=_xlfn.IFS(SJ12="Handysize",Main!US12,SJ12="Supramax",UL12,SJ12="Panamax",UE12,SJ12="NeoPanamax",TX12,SJ12="Suezmax",TQ12,SJ12="Capesize",TJ12,SJ12="VLOC",TC12)))))</f>
        <v>#N/A</v>
      </c>
      <c r="XN12" s="136" t="e">
        <f t="array" aca="1" ref="XN12" ca="1">INDEX(Canals!$AV$24:$AV$29,MATCH(2,1/((Canals!$F$24:$F$29&lt;=$C12)*(Canals!$G$24:$G$29=_xlfn.IFS(SJ12="Handysize",Main!US12,SJ12="Supramax",UL12,SJ12="Panamax",UE12,SJ12="NeoPanamax",TX12,SJ12="Suezmax",TQ12,SJ12="Capesize",TJ12,SJ12="VLOC",TC12)))))</f>
        <v>#N/A</v>
      </c>
      <c r="XP12" s="75" t="e">
        <f t="array" aca="1" ref="XP12" ca="1">_xlfn.IFS(WA12="DWT",SH12,WA12="NRT",SL12,WA12="GRT",SM12,WA12=0,0)</f>
        <v>#NAME?</v>
      </c>
      <c r="XQ12" s="279" t="e">
        <f t="shared" ca="1" si="125"/>
        <v>#NAME?</v>
      </c>
      <c r="XR12" s="280" t="e">
        <f t="shared" ca="1" si="126"/>
        <v>#NAME?</v>
      </c>
      <c r="XS12" s="280" t="e">
        <f t="shared" ca="1" si="127"/>
        <v>#NAME?</v>
      </c>
      <c r="XT12" s="280" t="e">
        <f t="shared" ca="1" si="128"/>
        <v>#NAME?</v>
      </c>
      <c r="XU12" s="280" t="e">
        <f t="shared" ca="1" si="129"/>
        <v>#NAME?</v>
      </c>
      <c r="XV12" s="280" t="e">
        <f t="shared" ca="1" si="130"/>
        <v>#NAME?</v>
      </c>
      <c r="XW12" s="280" t="e">
        <f t="shared" ca="1" si="131"/>
        <v>#NAME?</v>
      </c>
      <c r="XX12" s="280" t="e">
        <f t="shared" ca="1" si="132"/>
        <v>#NAME?</v>
      </c>
      <c r="XY12" s="280" t="e">
        <f t="shared" ca="1" si="133"/>
        <v>#NAME?</v>
      </c>
      <c r="XZ12" s="75">
        <f t="shared" si="134"/>
        <v>0</v>
      </c>
      <c r="YA12" s="279" t="e">
        <f t="shared" ca="1" si="135"/>
        <v>#N/A</v>
      </c>
      <c r="YB12" s="280" t="e">
        <f t="shared" ca="1" si="136"/>
        <v>#N/A</v>
      </c>
      <c r="YC12" s="280" t="e">
        <f t="shared" ca="1" si="137"/>
        <v>#N/A</v>
      </c>
      <c r="YD12" s="280" t="e">
        <f t="shared" ca="1" si="138"/>
        <v>#N/A</v>
      </c>
      <c r="YE12" s="280" t="e">
        <f t="shared" ca="1" si="139"/>
        <v>#N/A</v>
      </c>
      <c r="YF12" s="280" t="e">
        <f t="shared" ca="1" si="140"/>
        <v>#N/A</v>
      </c>
      <c r="YG12" s="280" t="e">
        <f t="shared" ca="1" si="141"/>
        <v>#N/A</v>
      </c>
      <c r="YH12" s="280" t="e">
        <f t="shared" ca="1" si="142"/>
        <v>#N/A</v>
      </c>
      <c r="YI12" s="280" t="e">
        <f t="shared" ca="1" si="143"/>
        <v>#N/A</v>
      </c>
      <c r="YK12" s="75" t="e">
        <f t="array" aca="1" ref="YK12" ca="1">_xlfn.IFS(SJ12="Handysize",Main!UM12,SJ12="Supramax",UF12,SJ12="Panamax",TY12,SJ12="NeoPanamax",TR12,SJ12="Suezmax",TK12,SJ12="Capesize",TD12,SJ12="VLOC",SW12)*$JI12</f>
        <v>#NAME?</v>
      </c>
      <c r="YL12" s="274" t="e">
        <f t="array" aca="1" ref="YL12" ca="1">_xlfn.IFS(SJ12="Handysize",Main!UN12,SJ12="Supramax",UG12,SJ12="Panamax",TZ12,SJ12="NeoPanamax",TS12,SJ12="Suezmax",TL12,SJ12="Capesize",TE12,SJ12="VLOC",SX12)*$JI12</f>
        <v>#NAME?</v>
      </c>
      <c r="YM12" s="71" t="e">
        <f t="array" aca="1" ref="YM12" ca="1">_xlfn.IFS(SJ12="Handysize",Main!SO12,SJ12="Supramax",SP12,SJ12="Panamax",SQ12,SJ12="NeoPanamax",SR12,SJ12="Suezmax",SS12,SJ12="Capesize",ST12,SJ12="VLOC",SU12)</f>
        <v>#NAME?</v>
      </c>
      <c r="YN12" s="71" t="e">
        <f t="array" aca="1" ref="YN12" ca="1">_xlfn.IFS(SJ12="Handysize",Main!VA12,SJ12="Supramax",VB12,SJ12="Panamax",VC12,SJ12="NeoPanamax",VD12,SJ12="Suezmax",VE12,SJ12="Capesize",VF12,SJ12="VLOC",VG12)</f>
        <v>#NAME?</v>
      </c>
      <c r="YO12" s="70">
        <f t="array" ref="YO12">INDEX('Ship Speeds'!$G$11:$G$1011,MATCH(2,1/(('Ship Speeds'!$E$11:$E$1011&lt;=Main!$C12)*('Ship Speeds'!$F$11:$F$1011=Main!SI12))))</f>
        <v>11</v>
      </c>
      <c r="YP12" s="403">
        <f t="shared" si="144"/>
        <v>0</v>
      </c>
      <c r="YQ12" s="401">
        <f t="shared" si="145"/>
        <v>1.2</v>
      </c>
      <c r="YR12" s="70" t="e">
        <f t="shared" ca="1" si="146"/>
        <v>#NAME?</v>
      </c>
      <c r="YS12" s="70" t="e">
        <f t="shared" ca="1" si="147"/>
        <v>#NAME?</v>
      </c>
      <c r="YT12" s="70" t="e">
        <f t="shared" ca="1" si="148"/>
        <v>#NAME?</v>
      </c>
      <c r="YU12" s="70" t="e">
        <f t="shared" ca="1" si="149"/>
        <v>#NAME?</v>
      </c>
      <c r="YV12" s="72" t="e">
        <f t="shared" ca="1" si="150"/>
        <v>#N/A</v>
      </c>
      <c r="YW12" s="70" t="e">
        <f t="shared" ca="1" si="151"/>
        <v>#NAME?</v>
      </c>
      <c r="YX12" s="70" t="e">
        <f t="array" aca="1" ref="YX12" ca="1">IF(YK12=0,0,INDEX(UU12:UY12,MATCH(_xlfn.IFS(SJ12="Handysize",Main!UQ12,SJ12="Supramax",UJ12,SJ12="Panamax",UC12,SJ12="NeoPanamax",TV12,SJ12="Suezmax",TO12,SJ12="Capesize",TH12,SJ12="VLOC",TA12),$UU$7:$UY$7,0)))</f>
        <v>#NAME?</v>
      </c>
      <c r="YY12" s="70" t="e">
        <f t="array" aca="1" ref="YY12" ca="1">IF(YK12=0,0,INDEX(UU12:UY12,MATCH(_xlfn.IFS(SJ12="Handysize",Main!UR12,SJ12="Supramax",UK12,SJ12="Panamax",UD12,SJ12="NeoPanamax",TW12,SJ12="Suezmax",TP12,SJ12="Capesize",TI12,SJ12="VLOC",TB12),$UU$7:$UY$7,0)))</f>
        <v>#NAME?</v>
      </c>
      <c r="YZ12" s="71" t="e">
        <f t="shared" ca="1" si="152"/>
        <v>#NAME?</v>
      </c>
      <c r="ZA12" s="71" t="e">
        <f t="shared" ca="1" si="153"/>
        <v>#NAME?</v>
      </c>
      <c r="ZB12" s="281" t="e">
        <f t="shared" ca="1" si="154"/>
        <v>#NAME?</v>
      </c>
      <c r="ZC12" s="71" t="e">
        <f t="shared" ca="1" si="155"/>
        <v>#NAME?</v>
      </c>
      <c r="ZD12" s="71" t="e">
        <f t="shared" ca="1" si="156"/>
        <v>#NAME?</v>
      </c>
      <c r="ZE12" s="71" t="e">
        <f t="shared" ca="1" si="157"/>
        <v>#NAME?</v>
      </c>
      <c r="ZF12" s="71" t="e">
        <f t="shared" ca="1" si="158"/>
        <v>#NAME?</v>
      </c>
      <c r="ZG12" s="71" t="e">
        <f t="shared" ca="1" si="159"/>
        <v>#NAME?</v>
      </c>
      <c r="ZH12" s="71" t="e">
        <f t="shared" ca="1" si="160"/>
        <v>#NAME?</v>
      </c>
      <c r="ZI12" s="71" t="e">
        <f t="shared" ca="1" si="161"/>
        <v>#NAME?</v>
      </c>
      <c r="ZJ12" s="71" t="e">
        <f t="shared" ca="1" si="162"/>
        <v>#NAME?</v>
      </c>
      <c r="ZK12" s="71" t="e">
        <f t="shared" ca="1" si="163"/>
        <v>#NAME?</v>
      </c>
      <c r="ZL12" s="71" t="e">
        <f t="shared" ca="1" si="164"/>
        <v>#NAME?</v>
      </c>
      <c r="ZM12" s="71" t="e">
        <f t="shared" ca="1" si="165"/>
        <v>#NAME?</v>
      </c>
      <c r="ZN12" s="71" t="e">
        <f t="shared" ca="1" si="166"/>
        <v>#NAME?</v>
      </c>
      <c r="ZO12" s="72" t="e">
        <f t="shared" ca="1" si="167"/>
        <v>#NAME?</v>
      </c>
      <c r="ZP12" s="72" t="e">
        <f t="shared" ca="1" si="168"/>
        <v>#NAME?</v>
      </c>
      <c r="ZQ12" s="71" t="e">
        <f t="shared" ca="1" si="169"/>
        <v>#NAME?</v>
      </c>
      <c r="ZR12" s="71" t="e">
        <f t="array" aca="1" ref="ZR12" ca="1">IF(YK12=0,0,INDEX('Ship Time Charter Rates'!$H$22:$H$1021,MATCH(2,1/(('Ship Time Charter Rates'!$G$22:$G$1021=_xlfn.IFS(SJ12="Handysize",Main!UO12,SJ12="Supramax",UH12,SJ12="Panamax",UA12,SJ12="NeoPanamax",TT12,SJ12="Suezmax",TM12,SJ12="Capesize",TF12,SJ12="VLOC",SY12))*('Ship Time Charter Rates'!$E$22:$E$1021&lt;=Main!$C12)*(NOT(ISBLANK('Ship Time Charter Rates'!$H$22:$H$1021)))))))</f>
        <v>#NAME?</v>
      </c>
      <c r="ZS12" s="71" t="e">
        <f t="shared" ca="1" si="170"/>
        <v>#NAME?</v>
      </c>
      <c r="ZT12" s="70" t="e">
        <f t="shared" ca="1" si="171"/>
        <v>#NAME?</v>
      </c>
      <c r="ZU12" s="71" t="e">
        <f t="shared" ca="1" si="172"/>
        <v>#NAME?</v>
      </c>
      <c r="ZV12" s="71" t="e">
        <f t="shared" ca="1" si="304"/>
        <v>#NAME?</v>
      </c>
      <c r="ZW12" s="72" t="e">
        <f t="shared" ca="1" si="305"/>
        <v>#NAME?</v>
      </c>
      <c r="ZY12" s="287" t="s">
        <v>39</v>
      </c>
      <c r="AAA12" s="25">
        <f>IF($AO12="no",$AN12,$AR12)/(1-$AL12)/$JN12</f>
        <v>76000</v>
      </c>
      <c r="AAB12" s="4" t="str">
        <f>VLOOKUP(AAA12,'Ship Time Charter Rates'!$F$10:$G$17,2,TRUE)</f>
        <v>Panamax</v>
      </c>
      <c r="AAC12" s="4" t="str">
        <f>VLOOKUP(AAA12,Canals!$E$5:$F$12,2,TRUE)</f>
        <v>Panamax</v>
      </c>
      <c r="AAD12" s="25">
        <f t="shared" si="173"/>
        <v>212.238</v>
      </c>
      <c r="AAE12" s="25">
        <f t="shared" si="174"/>
        <v>30658.399999999998</v>
      </c>
      <c r="AAF12" s="25">
        <f t="shared" si="175"/>
        <v>44233.4</v>
      </c>
      <c r="AAH12" s="75">
        <f t="array" ref="AAH12">INDEX('Indices Mines Exporting Ports'!$R$20:$R$51,MATCH(2,1/(('Indices Mines Exporting Ports'!$D$20:$D$51&lt;=Main!$C12)*('Indices Mines Exporting Ports'!$Q$20:$Q$51=$AP12))))</f>
        <v>80000</v>
      </c>
      <c r="AAI12" s="75">
        <f t="array" ref="AAI12">INDEX('Indices Mines Exporting Ports'!$S$20:$S$51,MATCH(2,1/(('Indices Mines Exporting Ports'!$D$20:$D$51&lt;=Main!$C12)*('Indices Mines Exporting Ports'!$Q$20:$Q$51=$AP12))))</f>
        <v>80000</v>
      </c>
      <c r="AAJ12" s="75">
        <f t="array" ref="AAJ12">INDEX('Indices Mines Exporting Ports'!$T$20:$T$51,MATCH(2,1/(('Indices Mines Exporting Ports'!$D$20:$D$51&lt;=Main!$C12)*('Indices Mines Exporting Ports'!$Q$20:$Q$51=$AP12))))</f>
        <v>80000</v>
      </c>
      <c r="AAK12" s="75">
        <f t="array" ref="AAK12">INDEX('Indices Mines Exporting Ports'!$U$20:$U$51,MATCH(2,1/(('Indices Mines Exporting Ports'!$D$20:$D$51&lt;=Main!$C12)*('Indices Mines Exporting Ports'!$Q$20:$Q$51=$AP12))))</f>
        <v>80000</v>
      </c>
      <c r="AAL12" s="75">
        <f t="array" ref="AAL12">INDEX('Indices Mines Exporting Ports'!$V$20:$V$51,MATCH(2,1/(('Indices Mines Exporting Ports'!$D$20:$D$51&lt;=Main!$C12)*('Indices Mines Exporting Ports'!$Q$20:$Q$51=$AP12))))</f>
        <v>80000</v>
      </c>
      <c r="AAM12" s="75">
        <f t="array" ref="AAM12">INDEX('Indices Mines Exporting Ports'!$W$20:$W$51,MATCH(2,1/(('Indices Mines Exporting Ports'!$D$20:$D$51&lt;=Main!$C12)*('Indices Mines Exporting Ports'!$Q$20:$Q$51=$AP12))))</f>
        <v>40000</v>
      </c>
      <c r="AAN12" s="75">
        <f t="array" ref="AAN12">INDEX('Indices Mines Exporting Ports'!$X$20:$X$51,MATCH(2,1/(('Indices Mines Exporting Ports'!$D$20:$D$51&lt;=Main!$C12)*('Indices Mines Exporting Ports'!$Q$20:$Q$51=$AP12))))</f>
        <v>40000</v>
      </c>
      <c r="AAP12" s="75" t="e">
        <f t="array" ref="AAP12">INDEX('Port Linkages'!$E$18:$E$157,MATCH(2,1/(('Port Linkages'!$C$18:$C$157=$AP12)*('Port Linkages'!$D$18:$D$157=IF($AO12="Yes",$AQ12,$KK12))*('Port Linkages'!$A$18:$A$157&lt;=$C12))))</f>
        <v>#N/A</v>
      </c>
      <c r="AAQ12" s="75">
        <f t="array" ref="AAQ12">INDEX('Port Linkages'!$F$18:$F$157,MATCH(2,1/(('Port Linkages'!$C$18:$C$157=$AP12)*('Port Linkages'!$D$18:$D$157=IF($AO12="Yes",$AQ12,$KK12))*('Port Linkages'!$A$18:$A$157&lt;=$C12))))</f>
        <v>0</v>
      </c>
      <c r="AAR12" s="75" t="str">
        <f t="array" ref="AAR12">INDEX('Port Linkages'!$G$18:$G$157,MATCH(2,1/(('Port Linkages'!$C$18:$C$157=$AP12)*('Port Linkages'!$D$18:$D$157=IF($AO12="Yes",$AQ12,$KK12))*('Port Linkages'!$A$18:$A$157&lt;=$C12))))</f>
        <v>VLOC_General</v>
      </c>
      <c r="AAS12" s="75" t="str">
        <f t="array" ref="AAS12">INDEX('Port Linkages'!$H$18:$H$157,MATCH(2,1/(('Port Linkages'!$C$18:$C$157=$AP12)*('Port Linkages'!$D$18:$D$157=IF($AO12="Yes",$AQ12,$KK12))*('Port Linkages'!$A$18:$A$157&lt;=$C12))))</f>
        <v>Singapore</v>
      </c>
      <c r="AAT12" s="75" t="str">
        <f t="array" ref="AAT12">INDEX('Port Linkages'!$I$18:$I$157,MATCH(2,1/(('Port Linkages'!$C$18:$C$157=$AP12)*('Port Linkages'!$D$18:$D$157=IF($AO12="Yes",$AQ12,$KK12))*('Port Linkages'!$A$18:$A$157&lt;=$C12))))</f>
        <v>VLSFO</v>
      </c>
      <c r="AAU12" s="75" t="str">
        <f t="array" ref="AAU12">INDEX('Port Linkages'!$J$18:$J$157,MATCH(2,1/(('Port Linkages'!$C$18:$C$157=$AP12)*('Port Linkages'!$D$18:$D$157=IF($AO12="Yes",$AQ12,$KK12))*('Port Linkages'!$A$18:$A$157&lt;=$C12))))</f>
        <v>MGO_Regular</v>
      </c>
      <c r="AAV12" s="75" t="str">
        <f t="array" ref="AAV12">INDEX('Port Linkages'!$K$18:$K$157,MATCH(2,1/(('Port Linkages'!$C$18:$C$157=$AP12)*('Port Linkages'!$D$18:$D$157=IF($AO12="Yes",$AQ12,$KK12))*('Port Linkages'!$A$18:$A$157&lt;=$C12))))</f>
        <v>none</v>
      </c>
      <c r="AAW12" s="75" t="e">
        <f t="array" ref="AAW12">INDEX('Port Linkages'!$L$18:$L$157,MATCH(2,1/(('Port Linkages'!$C$18:$C$157=$AP12)*('Port Linkages'!$D$18:$D$157=IF($AO12="Yes",$AQ12,$KK12))*('Port Linkages'!$A$18:$A$157&lt;=$C12))))</f>
        <v>#N/A</v>
      </c>
      <c r="AAX12" s="75">
        <f t="array" ref="AAX12">INDEX('Port Linkages'!$M$18:$M$157,MATCH(2,1/(('Port Linkages'!$C$18:$C$157=$AP12)*('Port Linkages'!$D$18:$D$157=IF($AO12="Yes",$AQ12,$KK12))*('Port Linkages'!$A$18:$A$157&lt;=$C12))))</f>
        <v>0</v>
      </c>
      <c r="AAY12" s="75" t="str">
        <f t="array" ref="AAY12">INDEX('Port Linkages'!$N$18:$N$157,MATCH(2,1/(('Port Linkages'!$C$18:$C$157=$AP12)*('Port Linkages'!$D$18:$D$157=IF($AO12="Yes",$AQ12,$KK12))*('Port Linkages'!$A$18:$A$157&lt;=$C12))))</f>
        <v>Capesize_General</v>
      </c>
      <c r="AAZ12" s="75" t="str">
        <f t="array" ref="AAZ12">INDEX('Port Linkages'!$O$18:$O$157,MATCH(2,1/(('Port Linkages'!$C$18:$C$157=$AP12)*('Port Linkages'!$D$18:$D$157=IF($AO12="Yes",$AQ12,$KK12))*('Port Linkages'!$A$18:$A$157&lt;=$C12))))</f>
        <v>Singapore</v>
      </c>
      <c r="ABA12" s="75" t="str">
        <f t="array" ref="ABA12">INDEX('Port Linkages'!$P$18:$P$157,MATCH(2,1/(('Port Linkages'!$C$18:$C$157=$AP12)*('Port Linkages'!$D$18:$D$157=IF($AO12="Yes",$AQ12,$KK12))*('Port Linkages'!$A$18:$A$157&lt;=$C12))))</f>
        <v>VLSFO</v>
      </c>
      <c r="ABB12" s="75" t="str">
        <f t="array" ref="ABB12">INDEX('Port Linkages'!$Q$18:$Q$157,MATCH(2,1/(('Port Linkages'!$C$18:$C$157=$AP12)*('Port Linkages'!$D$18:$D$157=IF($AO12="Yes",$AQ12,$KK12))*('Port Linkages'!$A$18:$A$157&lt;=$C12))))</f>
        <v>MGO_Regular</v>
      </c>
      <c r="ABC12" s="75" t="str">
        <f t="array" ref="ABC12">INDEX('Port Linkages'!$R$18:$R$157,MATCH(2,1/(('Port Linkages'!$C$18:$C$157=$AP12)*('Port Linkages'!$D$18:$D$157=IF($AO12="Yes",$AQ12,$KK12))*('Port Linkages'!$A$18:$A$157&lt;=$C12))))</f>
        <v>none</v>
      </c>
      <c r="ABD12" s="75" t="e">
        <f t="array" ref="ABD12">INDEX('Port Linkages'!$S$18:$S$157,MATCH(2,1/(('Port Linkages'!$C$18:$C$157=$AP12)*('Port Linkages'!$D$18:$D$157=IF($AO12="Yes",$AQ12,$KK12))*('Port Linkages'!$A$18:$A$157&lt;=$C12))))</f>
        <v>#N/A</v>
      </c>
      <c r="ABE12" s="75">
        <f t="array" ref="ABE12">INDEX('Port Linkages'!$T$18:$T$157,MATCH(2,1/(('Port Linkages'!$C$18:$C$157=$AP12)*('Port Linkages'!$D$18:$D$157=IF($AO12="Yes",$AQ12,$KK12))*('Port Linkages'!$A$18:$A$157&lt;=$C12))))</f>
        <v>0</v>
      </c>
      <c r="ABF12" s="75" t="str">
        <f t="array" ref="ABF12">INDEX('Port Linkages'!$U$18:$U$157,MATCH(2,1/(('Port Linkages'!$C$18:$C$157=$AP12)*('Port Linkages'!$D$18:$D$157=IF($AO12="Yes",$AQ12,$KK12))*('Port Linkages'!$A$18:$A$157&lt;=$C12))))</f>
        <v>Capesize_General</v>
      </c>
      <c r="ABG12" s="75" t="str">
        <f t="array" ref="ABG12">INDEX('Port Linkages'!$V$18:$V$157,MATCH(2,1/(('Port Linkages'!$C$18:$C$157=$AP12)*('Port Linkages'!$D$18:$D$157=IF($AO12="Yes",$AQ12,$KK12))*('Port Linkages'!$A$18:$A$157&lt;=$C12))))</f>
        <v>Singapore</v>
      </c>
      <c r="ABH12" s="75" t="str">
        <f t="array" ref="ABH12">INDEX('Port Linkages'!$W$18:$W$157,MATCH(2,1/(('Port Linkages'!$C$18:$C$157=$AP12)*('Port Linkages'!$D$18:$D$157=IF($AO12="Yes",$AQ12,$KK12))*('Port Linkages'!$A$18:$A$157&lt;=$C12))))</f>
        <v>VLSFO</v>
      </c>
      <c r="ABI12" s="75" t="str">
        <f t="array" ref="ABI12">INDEX('Port Linkages'!$X$18:$X$157,MATCH(2,1/(('Port Linkages'!$C$18:$C$157=$AP12)*('Port Linkages'!$D$18:$D$157=IF($AO12="Yes",$AQ12,$KK12))*('Port Linkages'!$A$18:$A$157&lt;=$C12))))</f>
        <v>MGO_Regular</v>
      </c>
      <c r="ABJ12" s="75" t="str">
        <f t="array" ref="ABJ12">INDEX('Port Linkages'!$Y$18:$Y$157,MATCH(2,1/(('Port Linkages'!$C$18:$C$157=$AP12)*('Port Linkages'!$D$18:$D$157=IF($AO12="Yes",$AQ12,$KK12))*('Port Linkages'!$A$18:$A$157&lt;=$C12))))</f>
        <v>none</v>
      </c>
      <c r="ABK12" s="75">
        <f t="array" ref="ABK12">INDEX('Port Linkages'!$Z$18:$Z$157,MATCH(2,1/(('Port Linkages'!$C$18:$C$157=$AP12)*('Port Linkages'!$D$18:$D$157=IF($AO12="Yes",$AQ12,$KK12))*('Port Linkages'!$A$18:$A$157&lt;=$C12))))</f>
        <v>3280</v>
      </c>
      <c r="ABL12" s="75">
        <f t="array" ref="ABL12">INDEX('Port Linkages'!$AA$18:$AA$157,MATCH(2,1/(('Port Linkages'!$C$18:$C$157=$AP12)*('Port Linkages'!$D$18:$D$157=IF($AO12="Yes",$AQ12,$KK12))*('Port Linkages'!$A$18:$A$157&lt;=$C12))))</f>
        <v>0</v>
      </c>
      <c r="ABM12" s="75" t="str">
        <f t="array" ref="ABM12">INDEX('Port Linkages'!$AB$18:$AB$157,MATCH(2,1/(('Port Linkages'!$C$18:$C$157=$AP12)*('Port Linkages'!$D$18:$D$157=IF($AO12="Yes",$AQ12,$KK12))*('Port Linkages'!$A$18:$A$157&lt;=$C12))))</f>
        <v>Capesize_General</v>
      </c>
      <c r="ABN12" s="75" t="str">
        <f t="array" ref="ABN12">INDEX('Port Linkages'!$AC$18:$AC$157,MATCH(2,1/(('Port Linkages'!$C$18:$C$157=$AP12)*('Port Linkages'!$D$18:$D$157=IF($AO12="Yes",$AQ12,$KK12))*('Port Linkages'!$A$18:$A$157&lt;=$C12))))</f>
        <v>Singapore</v>
      </c>
      <c r="ABO12" s="75" t="str">
        <f t="array" ref="ABO12">INDEX('Port Linkages'!$AD$18:$AD$157,MATCH(2,1/(('Port Linkages'!$C$18:$C$157=$AP12)*('Port Linkages'!$D$18:$D$157=IF($AO12="Yes",$AQ12,$KK12))*('Port Linkages'!$A$18:$A$157&lt;=$C12))))</f>
        <v>VLSFO</v>
      </c>
      <c r="ABP12" s="75" t="str">
        <f t="array" ref="ABP12">INDEX('Port Linkages'!$AE$18:$AE$157,MATCH(2,1/(('Port Linkages'!$C$18:$C$157=$AP12)*('Port Linkages'!$D$18:$D$157=IF($AO12="Yes",$AQ12,$KK12))*('Port Linkages'!$A$18:$A$157&lt;=$C12))))</f>
        <v>MGO_Regular</v>
      </c>
      <c r="ABQ12" s="75" t="str">
        <f t="array" ref="ABQ12">INDEX('Port Linkages'!$AF$18:$AF$157,MATCH(2,1/(('Port Linkages'!$C$18:$C$157=$AP12)*('Port Linkages'!$D$18:$D$157=IF($AO12="Yes",$AQ12,$KK12))*('Port Linkages'!$A$18:$A$157&lt;=$C12))))</f>
        <v>none</v>
      </c>
      <c r="ABR12" s="75">
        <f t="array" ref="ABR12">INDEX('Port Linkages'!$AG$18:$AG$157,MATCH(2,1/(('Port Linkages'!$C$18:$C$157=$AP12)*('Port Linkages'!$D$18:$D$157=IF($AO12="Yes",$AQ12,$KK12))*('Port Linkages'!$A$18:$A$157&lt;=$C12))))</f>
        <v>3280</v>
      </c>
      <c r="ABS12" s="75">
        <f t="array" ref="ABS12">INDEX('Port Linkages'!$AH$18:$AH$157,MATCH(2,1/(('Port Linkages'!$C$18:$C$157=$AP12)*('Port Linkages'!$D$18:$D$157=IF($AO12="Yes",$AQ12,$KK12))*('Port Linkages'!$A$18:$A$157&lt;=$C12))))</f>
        <v>0</v>
      </c>
      <c r="ABT12" s="75" t="str">
        <f t="array" ref="ABT12">INDEX('Port Linkages'!$AI$18:$AI$157,MATCH(2,1/(('Port Linkages'!$C$18:$C$157=$AP12)*('Port Linkages'!$D$18:$D$157=IF($AO12="Yes",$AQ12,$KK12))*('Port Linkages'!$A$18:$A$157&lt;=$C12))))</f>
        <v>Panamax_General</v>
      </c>
      <c r="ABU12" s="75" t="str">
        <f t="array" ref="ABU12">INDEX('Port Linkages'!$AJ$18:$AJ$157,MATCH(2,1/(('Port Linkages'!$C$18:$C$157=$AP12)*('Port Linkages'!$D$18:$D$157=IF($AO12="Yes",$AQ12,$KK12))*('Port Linkages'!$A$18:$A$157&lt;=$C12))))</f>
        <v>Singapore</v>
      </c>
      <c r="ABV12" s="75" t="str">
        <f t="array" ref="ABV12">INDEX('Port Linkages'!$AK$18:$AK$157,MATCH(2,1/(('Port Linkages'!$C$18:$C$157=$AP12)*('Port Linkages'!$D$18:$D$157=IF($AO12="Yes",$AQ12,$KK12))*('Port Linkages'!$A$18:$A$157&lt;=$C12))))</f>
        <v>VLSFO</v>
      </c>
      <c r="ABW12" s="75" t="str">
        <f t="array" ref="ABW12">INDEX('Port Linkages'!$AL$18:$AL$157,MATCH(2,1/(('Port Linkages'!$C$18:$C$157=$AP12)*('Port Linkages'!$D$18:$D$157=IF($AO12="Yes",$AQ12,$KK12))*('Port Linkages'!$A$18:$A$157&lt;=$C12))))</f>
        <v>MGO_Regular</v>
      </c>
      <c r="ABX12" s="75" t="str">
        <f t="array" ref="ABX12">INDEX('Port Linkages'!$AM$18:$AM$157,MATCH(2,1/(('Port Linkages'!$C$18:$C$157=$AP12)*('Port Linkages'!$D$18:$D$157=IF($AO12="Yes",$AQ12,$KK12))*('Port Linkages'!$A$18:$A$157&lt;=$C12))))</f>
        <v>none</v>
      </c>
      <c r="ABY12" s="75">
        <f t="array" ref="ABY12">INDEX('Port Linkages'!$AN$18:$AN$157,MATCH(2,1/(('Port Linkages'!$C$18:$C$157=$AP12)*('Port Linkages'!$D$18:$D$157=IF($AO12="Yes",$AQ12,$KK12))*('Port Linkages'!$A$18:$A$157&lt;=$C12))))</f>
        <v>3280</v>
      </c>
      <c r="ABZ12" s="75">
        <f t="array" ref="ABZ12">INDEX('Port Linkages'!$AO$18:$AO$157,MATCH(2,1/(('Port Linkages'!$C$18:$C$157=$AP12)*('Port Linkages'!$D$18:$D$157=IF($AO12="Yes",$AQ12,$KK12))*('Port Linkages'!$A$18:$A$157&lt;=$C12))))</f>
        <v>0</v>
      </c>
      <c r="ACA12" s="75" t="str">
        <f t="array" ref="ACA12">INDEX('Port Linkages'!$AP$18:$AP$157,MATCH(2,1/(('Port Linkages'!$C$18:$C$157=$AP12)*('Port Linkages'!$D$18:$D$157=IF($AO12="Yes",$AQ12,$KK12))*('Port Linkages'!$A$18:$A$157&lt;=$C12))))</f>
        <v>Supramax_General</v>
      </c>
      <c r="ACB12" s="75" t="str">
        <f t="array" ref="ACB12">INDEX('Port Linkages'!$AQ$18:$AQ$157,MATCH(2,1/(('Port Linkages'!$C$18:$C$157=$AP12)*('Port Linkages'!$D$18:$D$157=IF($AO12="Yes",$AQ12,$KK12))*('Port Linkages'!$A$18:$A$157&lt;=$C12))))</f>
        <v>Singapore</v>
      </c>
      <c r="ACC12" s="75" t="str">
        <f t="array" ref="ACC12">INDEX('Port Linkages'!$AR$18:$AR$157,MATCH(2,1/(('Port Linkages'!$C$18:$C$157=$AP12)*('Port Linkages'!$D$18:$D$157=IF($AO12="Yes",$AQ12,$KK12))*('Port Linkages'!$A$18:$A$157&lt;=$C12))))</f>
        <v>VLSFO</v>
      </c>
      <c r="ACD12" s="75" t="str">
        <f t="array" ref="ACD12">INDEX('Port Linkages'!$AS$18:$AS$157,MATCH(2,1/(('Port Linkages'!$C$18:$C$157=$AP12)*('Port Linkages'!$D$18:$D$157=IF($AO12="Yes",$AQ12,$KK12))*('Port Linkages'!$A$18:$A$157&lt;=$C12))))</f>
        <v>MGO_Regular</v>
      </c>
      <c r="ACE12" s="75" t="str">
        <f t="array" ref="ACE12">INDEX('Port Linkages'!$AT$18:$AT$157,MATCH(2,1/(('Port Linkages'!$C$18:$C$157=$AP12)*('Port Linkages'!$D$18:$D$157=IF($AO12="Yes",$AQ12,$KK12))*('Port Linkages'!$A$18:$A$157&lt;=$C12))))</f>
        <v>none</v>
      </c>
      <c r="ACF12" s="75">
        <f t="array" ref="ACF12">INDEX('Port Linkages'!$AU$18:$AU$157,MATCH(2,1/(('Port Linkages'!$C$18:$C$157=$AP12)*('Port Linkages'!$D$18:$D$157=IF($AO12="Yes",$AQ12,$KK12))*('Port Linkages'!$A$18:$A$157&lt;=$C12))))</f>
        <v>3280</v>
      </c>
      <c r="ACG12" s="75">
        <f t="array" ref="ACG12">INDEX('Port Linkages'!$AV$18:$AV$157,MATCH(2,1/(('Port Linkages'!$C$18:$C$157=$AP12)*('Port Linkages'!$D$18:$D$157=IF($AO12="Yes",$AQ12,$KK12))*('Port Linkages'!$A$18:$A$157&lt;=$C12))))</f>
        <v>0</v>
      </c>
      <c r="ACH12" s="75" t="str">
        <f t="array" ref="ACH12">INDEX('Port Linkages'!$AW$18:$AW$157,MATCH(2,1/(('Port Linkages'!$C$18:$C$157=$AP12)*('Port Linkages'!$D$18:$D$157=IF($AO12="Yes",$AQ12,$KK12))*('Port Linkages'!$A$18:$A$157&lt;=$C12))))</f>
        <v>Handysize_General</v>
      </c>
      <c r="ACI12" s="75" t="str">
        <f t="array" ref="ACI12">INDEX('Port Linkages'!$AX$18:$AX$157,MATCH(2,1/(('Port Linkages'!$C$18:$C$157=$AP12)*('Port Linkages'!$D$18:$D$157=IF($AO12="Yes",$AQ12,$KK12))*('Port Linkages'!$A$18:$A$157&lt;=$C12))))</f>
        <v>Singapore</v>
      </c>
      <c r="ACJ12" s="75" t="str">
        <f t="array" ref="ACJ12">INDEX('Port Linkages'!$AY$18:$AY$157,MATCH(2,1/(('Port Linkages'!$C$18:$C$157=$AP12)*('Port Linkages'!$D$18:$D$157=IF($AO12="Yes",$AQ12,$KK12))*('Port Linkages'!$A$18:$A$157&lt;=$C12))))</f>
        <v>VLSFO</v>
      </c>
      <c r="ACK12" s="75" t="str">
        <f t="array" ref="ACK12">INDEX('Port Linkages'!$AZ$18:$AZ$157,MATCH(2,1/(('Port Linkages'!$C$18:$C$157=$AP12)*('Port Linkages'!$D$18:$D$157=IF($AO12="Yes",$AQ12,$KK12))*('Port Linkages'!$A$18:$A$157&lt;=$C12))))</f>
        <v>MGO_Regular</v>
      </c>
      <c r="ACL12" s="75" t="str">
        <f t="array" ref="ACL12">INDEX('Port Linkages'!$BA$18:$BA$157,MATCH(2,1/(('Port Linkages'!$C$18:$C$157=$AP12)*('Port Linkages'!$D$18:$D$157=IF($AO12="Yes",$AQ12,$KK12))*('Port Linkages'!$A$18:$A$157&lt;=$C12))))</f>
        <v>none</v>
      </c>
      <c r="ACN12" s="25" t="e">
        <f t="array" aca="1" ref="ACN12" ca="1">INDEX('Ship Fuel Prices'!$F$5:$F$1004,MATCH(2,1/(('Ship Fuel Prices'!$E$5:$E$1004=_xlfn.IFS(AAC12="Handysize",Main!ACI12,AAC12="Supramax",ACB12,AAC12="Panamax",ABU12,AAC12="NeoPanamax",ABN12,AAC12="Suezmax",ABG12,AAC12="Capesize",AAZ12,AAC12="VLOC",AAS12))*('Ship Fuel Prices'!$D$5:$D$1004&lt;=Main!$C12))))</f>
        <v>#N/A</v>
      </c>
      <c r="ACO12" s="25" t="e">
        <f t="array" aca="1" ref="ACO12" ca="1">INDEX('Ship Fuel Prices'!$G$5:$G$1004,MATCH(2,1/(('Ship Fuel Prices'!$E$5:$E$1004=_xlfn.IFS(AAC12="Handysize",Main!ACI12,AAC12="Supramax",ACB12,AAC12="Panamax",ABU12,AAC12="NeoPanamax",ABN12,AAC12="Suezmax",ABG12,AAC12="Capesize",AAZ12,AAC12="VLOC",AAS12))*('Ship Fuel Prices'!$D$5:$D$1004&lt;=Main!$C12))))</f>
        <v>#N/A</v>
      </c>
      <c r="ACP12" s="25" t="e">
        <f t="array" aca="1" ref="ACP12" ca="1">INDEX('Ship Fuel Prices'!$H$5:$H$1004,MATCH(2,1/(('Ship Fuel Prices'!$E$5:$E$1004=_xlfn.IFS(AAC12="Handysize",Main!ACI12,AAC12="Supramax",ACB12,AAC12="Panamax",ABU12,AAC12="NeoPanamax",ABN12,AAC12="Suezmax",ABG12,AAC12="Capesize",AAZ12,AAC12="VLOC",AAS12))*('Ship Fuel Prices'!$D$5:$D$1004&lt;=Main!$C12))))</f>
        <v>#N/A</v>
      </c>
      <c r="ACQ12" s="25" t="e">
        <f t="array" aca="1" ref="ACQ12" ca="1">INDEX('Ship Fuel Prices'!$I$5:$I$1004,MATCH(2,1/(('Ship Fuel Prices'!$E$5:$E$1004=_xlfn.IFS(AAC12="Handysize",Main!ACI12,AAC12="Supramax",ACB12,AAC12="Panamax",ABU12,AAC12="NeoPanamax",ABN12,AAC12="Suezmax",ABG12,AAC12="Capesize",AAZ12,AAC12="VLOC",AAS12))*('Ship Fuel Prices'!$D$5:$D$1004&lt;=Main!$C12))))</f>
        <v>#N/A</v>
      </c>
      <c r="ACR12" s="25" t="e">
        <f t="array" aca="1" ref="ACR12" ca="1">INDEX('Ship Fuel Prices'!$J$5:$J$1004,MATCH(2,1/(('Ship Fuel Prices'!$E$5:$E$1004=_xlfn.IFS(AAC12="Handysize",Main!ACI12,AAC12="Supramax",ACB12,AAC12="Panamax",ABU12,AAC12="NeoPanamax",ABN12,AAC12="Suezmax",ABG12,AAC12="Capesize",AAZ12,AAC12="VLOC",AAS12))*('Ship Fuel Prices'!$D$5:$D$1004&lt;=Main!$C12))))</f>
        <v>#N/A</v>
      </c>
      <c r="ACT12" s="75">
        <f t="array" ref="ACT12">INDEX('China n Importing Ports'!$E$20:$E$41,MATCH(2,1/(('China n Importing Ports'!$D$20:$D$41&lt;=$C12)*('China n Importing Ports'!$C$20:$C$41=IF($AO12="Yes",$AQ12,$KK12)))))</f>
        <v>42500</v>
      </c>
      <c r="ACU12" s="75">
        <f t="array" ref="ACU12">INDEX('China n Importing Ports'!$F$20:$F$41,MATCH(2,1/(('China n Importing Ports'!$D$20:$D$41&lt;=$C12)*('China n Importing Ports'!$C$20:$C$41=IF($AO12="Yes",$AQ12,$KK12)))))</f>
        <v>42500</v>
      </c>
      <c r="ACV12" s="75">
        <f t="array" ref="ACV12">INDEX('China n Importing Ports'!$G$20:$G$41,MATCH(2,1/(('China n Importing Ports'!$D$20:$D$41&lt;=$C12)*('China n Importing Ports'!$C$20:$C$41=IF($AO12="Yes",$AQ12,$KK12)))))</f>
        <v>42500</v>
      </c>
      <c r="ACW12" s="75">
        <f t="array" ref="ACW12">INDEX('China n Importing Ports'!$H$20:$H$41,MATCH(2,1/(('China n Importing Ports'!$D$20:$D$41&lt;=$C12)*('China n Importing Ports'!$C$20:$C$41=IF($AO12="Yes",$AQ12,$KK12)))))</f>
        <v>42500</v>
      </c>
      <c r="ACX12" s="75">
        <f t="array" ref="ACX12">INDEX('China n Importing Ports'!$I$20:$I$41,MATCH(2,1/(('China n Importing Ports'!$D$20:$D$41&lt;=$C12)*('China n Importing Ports'!$C$20:$C$41=IF($AO12="Yes",$AQ12,$KK12)))))</f>
        <v>42500</v>
      </c>
      <c r="ACY12" s="75">
        <f t="array" ref="ACY12">INDEX('China n Importing Ports'!$J$20:$J$41,MATCH(2,1/(('China n Importing Ports'!$D$20:$D$41&lt;=$C12)*('China n Importing Ports'!$C$20:$C$41=IF($AO12="Yes",$AQ12,$KK12)))))</f>
        <v>42500</v>
      </c>
      <c r="ACZ12" s="75">
        <f t="array" ref="ACZ12">INDEX('China n Importing Ports'!$K$20:$K$41,MATCH(2,1/(('China n Importing Ports'!$D$20:$D$41&lt;=$C12)*('China n Importing Ports'!$C$20:$C$41=IF($AO12="Yes",$AQ12,$KK12)))))</f>
        <v>42500</v>
      </c>
      <c r="ADA12" s="75" t="str">
        <f t="array" ref="ADA12">INDEX('China n Importing Ports'!$L$20:$L$41,MATCH(2,1/(('China n Importing Ports'!$D$20:$D$41&lt;=$C12)*('China n Importing Ports'!$C$20:$C$41=IF($AO12="Yes",$AQ12,$KK12)))))</f>
        <v>RMB</v>
      </c>
      <c r="ADB12" s="75">
        <f t="array" ref="ADB12">INDEX('China n Importing Ports'!$M$20:$M$41,MATCH(2,1/(('China n Importing Ports'!$D$20:$D$41&lt;=$C12)*('China n Importing Ports'!$C$20:$C$41=IF($AO12="Yes",$AQ12,$KK12)))))</f>
        <v>12342</v>
      </c>
      <c r="ADC12" s="75">
        <f t="array" ref="ADC12">INDEX('China n Importing Ports'!$N$20:$N$41,MATCH(2,1/(('China n Importing Ports'!$D$20:$D$41&lt;=$C12)*('China n Importing Ports'!$C$20:$C$41=IF($AO12="Yes",$AQ12,$KK12)))))</f>
        <v>0</v>
      </c>
      <c r="ADD12" s="75">
        <f t="array" ref="ADD12">INDEX('China n Importing Ports'!$O$20:$O$41,MATCH(2,1/(('China n Importing Ports'!$D$20:$D$41&lt;=$C12)*('China n Importing Ports'!$C$20:$C$41=IF($AO12="Yes",$AQ12,$KK12)))))</f>
        <v>0</v>
      </c>
      <c r="ADE12" s="136">
        <f t="array" ref="ADE12">INDEX('China n Importing Ports'!$P$20:$P$41,MATCH(2,1/(('China n Importing Ports'!$D$20:$D$41&lt;=$C12)*('China n Importing Ports'!$C$20:$C$41=IF($AO12="Yes",$AQ12,$KK12)))))</f>
        <v>2.64</v>
      </c>
      <c r="ADF12" s="136">
        <f t="array" ref="ADF12">INDEX('China n Importing Ports'!$Q$20:$Q$41,MATCH(2,1/(('China n Importing Ports'!$D$20:$D$41&lt;=$C12)*('China n Importing Ports'!$C$20:$C$41=IF($AO12="Yes",$AQ12,$KK12)))))</f>
        <v>0</v>
      </c>
      <c r="ADG12" s="136">
        <f t="array" ref="ADG12">INDEX('China n Importing Ports'!$R$20:$R$41,MATCH(2,1/(('China n Importing Ports'!$D$20:$D$41&lt;=$C12)*('China n Importing Ports'!$C$20:$C$41=IF($AO12="Yes",$AQ12,$KK12)))))</f>
        <v>0</v>
      </c>
      <c r="ADH12" s="136">
        <f t="array" ref="ADH12">INDEX('China n Importing Ports'!$S$20:$S$41,MATCH(2,1/(('China n Importing Ports'!$D$20:$D$41&lt;=$C12)*('China n Importing Ports'!$C$20:$C$41=IF($AO12="Yes",$AQ12,$KK12)))))</f>
        <v>4.53</v>
      </c>
      <c r="ADI12" s="136">
        <f t="array" ref="ADI12">INDEX('China n Importing Ports'!$T$20:$T$41,MATCH(2,1/(('China n Importing Ports'!$D$20:$D$41&lt;=$C12)*('China n Importing Ports'!$C$20:$C$41=IF($AO12="Yes",$AQ12,$KK12)))))</f>
        <v>0.36699999999999999</v>
      </c>
      <c r="ADJ12" s="136">
        <f t="array" ref="ADJ12">INDEX('China n Importing Ports'!$U$20:$U$41,MATCH(2,1/(('China n Importing Ports'!$D$20:$D$41&lt;=$C12)*('China n Importing Ports'!$C$20:$C$41=IF($AO12="Yes",$AQ12,$KK12)))))</f>
        <v>0.05</v>
      </c>
      <c r="ADK12" s="136">
        <f t="array" ref="ADK12">INDEX('China n Importing Ports'!$V$20:$V$41,MATCH(2,1/(('China n Importing Ports'!$D$20:$D$41&lt;=$C12)*('China n Importing Ports'!$C$20:$C$41=IF($AO12="Yes",$AQ12,$KK12)))))</f>
        <v>0</v>
      </c>
      <c r="ADL12" s="136">
        <f t="array" ref="ADL12">INDEX('China n Importing Ports'!$W$20:$W$41,MATCH(2,1/(('China n Importing Ports'!$D$20:$D$41&lt;=$C12)*('China n Importing Ports'!$C$20:$C$41=IF($AO12="Yes",$AQ12,$KK12)))))</f>
        <v>0</v>
      </c>
      <c r="ADM12" s="136">
        <f t="array" ref="ADM12">INDEX('China n Importing Ports'!$X$20:$X$41,MATCH(2,1/(('China n Importing Ports'!$D$20:$D$41&lt;=$C12)*('China n Importing Ports'!$C$20:$C$41=IF($AO12="Yes",$AQ12,$KK12)))))</f>
        <v>0</v>
      </c>
      <c r="ADN12" s="136">
        <f t="array" ref="ADN12">INDEX('China n Importing Ports'!$Y$20:$Y$41,MATCH(2,1/(('China n Importing Ports'!$D$20:$D$41&lt;=$C12)*('China n Importing Ports'!$C$20:$C$41=IF($AO12="Yes",$AQ12,$KK12)))))</f>
        <v>197</v>
      </c>
      <c r="ADO12" s="136">
        <f t="array" ref="ADO12">INDEX('China n Importing Ports'!$Z$20:$Z$41,MATCH(2,1/(('China n Importing Ports'!$D$20:$D$41&lt;=$C12)*('China n Importing Ports'!$C$20:$C$41=IF($AO12="Yes",$AQ12,$KK12)))))</f>
        <v>0</v>
      </c>
      <c r="ADP12" s="136">
        <f t="array" ref="ADP12">INDEX('China n Importing Ports'!$AA$20:$AA$41,MATCH(2,1/(('China n Importing Ports'!$D$20:$D$41&lt;=$C12)*('China n Importing Ports'!$C$20:$C$41=IF($AO12="Yes",$AQ12,$KK12)))))</f>
        <v>0</v>
      </c>
      <c r="ADR12" s="75" t="e">
        <f t="array" aca="1" ref="ADR12" ca="1">INDEX(Canals!$G$24:$G$29,MATCH(2,1/((Canals!$F$24:$F$29&lt;=$C12)*(Canals!$G$24:$G$29=_xlfn.IFS(AAC12="Handysize",Main!ACL12,AAC12="Supramax",ACE12,AAC12="Panamax",ABX12,AAC12="NeoPanamax",ABQ12,AAC12="Suezmax",ABJ12,AAC12="Capesize",ABC12,AAC12="VLOC",AAV12)))))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S12" s="75" t="e">
        <f t="array" aca="1" ref="ADS12" ca="1">INDEX(Canals!$H$24:$H$29,MATCH(2,1/((Canals!$F$24:$F$29&lt;=$C12)*(Canals!$G$24:$G$29=_xlfn.IFS(AAC12="Handysize",Main!ACL12,AAC12="Supramax",ACE12,AAC12="Panamax",ABX12,AAC12="NeoPanamax",ABQ12,AAC12="Suezmax",ABJ12,AAC12="Capesize",ABC12,AAC12="VLOC",AAV12)))))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T12" s="75" t="e">
        <f t="array" aca="1" ref="ADT12" ca="1">INDEX(Canals!$I$24:$I$29,MATCH(2,1/((Canals!$F$24:$F$29&lt;=$C12)*(Canals!$G$24:$G$29=_xlfn.IFS(AAC12="Handysize",Main!ACL12,AAC12="Supramax",ACE12,AAC12="Panamax",ABX12,AAC12="NeoPanamax",ABQ12,AAC12="Suezmax",ABJ12,AAC12="Capesize",ABC12,AAC12="VLOC",AAV12)))))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U12" s="75" t="e">
        <f t="array" aca="1" ref="ADU12" ca="1">INDEX(Canals!$J$24:$J$29,MATCH(2,1/((Canals!$F$24:$F$29&lt;=$C12)*(Canals!$G$24:$G$29=_xlfn.IFS(AAC12="Handysize",Main!ACL12,AAC12="Supramax",ACE12,AAC12="Panamax",ABX12,AAC12="NeoPanamax",ABQ12,AAC12="Suezmax",ABJ12,AAC12="Capesize",ABC12,AAC12="VLOC",AAV12)))))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V12" s="75" t="e">
        <f t="array" aca="1" ref="ADV12" ca="1">INDEX(Canals!$K$24:$K$29,MATCH(2,1/((Canals!$F$24:$F$29&lt;=$C12)*(Canals!$G$24:$G$29=_xlfn.IFS(AAC12="Handysize",Main!ACL12,AAC12="Supramax",ACE12,AAC12="Panamax",ABX12,AAC12="NeoPanamax",ABQ12,AAC12="Suezmax",ABJ12,AAC12="Capesize",ABC12,AAC12="VLOC",AAV12)))))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W12" s="75" t="e">
        <f t="array" aca="1" ref="ADW12" ca="1">INDEX(Canals!$L$24:$L$29,MATCH(2,1/((Canals!$F$24:$F$29&lt;=$C12)*(Canals!$G$24:$G$29=_xlfn.IFS(AAC12="Handysize",Main!ACL12,AAC12="Supramax",ACE12,AAC12="Panamax",ABX12,AAC12="NeoPanamax",ABQ12,AAC12="Suezmax",ABJ12,AAC12="Capesize",ABC12,AAC12="VLOC",AAV12)))))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X12" s="75" t="e">
        <f t="array" aca="1" ref="ADX12" ca="1">INDEX(Canals!$M$24:$M$29,MATCH(2,1/((Canals!$F$24:$F$29&lt;=$C12)*(Canals!$G$24:$G$29=_xlfn.IFS(AAC12="Handysize",Main!ACL12,AAC12="Supramax",ACE12,AAC12="Panamax",ABX12,AAC12="NeoPanamax",ABQ12,AAC12="Suezmax",ABJ12,AAC12="Capesize",ABC12,AAC12="VLOC",AAV12)))))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Y12" s="75" t="e">
        <f t="array" aca="1" ref="ADY12" ca="1">INDEX(Canals!$N$24:$N$29,MATCH(2,1/((Canals!$F$24:$F$29&lt;=$C12)*(Canals!$G$24:$G$29=_xlfn.IFS(AAC12="Handysize",Main!ACL12,AAC12="Supramax",ACE12,AAC12="Panamax",ABX12,AAC12="NeoPanamax",ABQ12,AAC12="Suezmax",ABJ12,AAC12="Capesize",ABC12,AAC12="VLOC",AAV12)))))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DZ12" s="75" t="e">
        <f t="array" aca="1" ref="ADZ12" ca="1">INDEX(Canals!$O$24:$O$29,MATCH(2,1/((Canals!$F$24:$F$29&lt;=$C12)*(Canals!$G$24:$G$29=_xlfn.IFS(AAC12="Handysize",Main!ACL12,AAC12="Supramax",ACE12,AAC12="Panamax",ABX12,AAC12="NeoPanamax",ABQ12,AAC12="Suezmax",ABJ12,AAC12="Capesize",ABC12,AAC12="VLOC",AAV12)))))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A12" s="75" t="e">
        <f t="array" aca="1" ref="AEA12" ca="1">INDEX(Canals!$P$24:$P$29,MATCH(2,1/((Canals!$F$24:$F$29&lt;=$C12)*(Canals!$G$24:$G$29=_xlfn.IFS(AAC12="Handysize",Main!ACL12,AAC12="Supramax",ACE12,AAC12="Panamax",ABX12,AAC12="NeoPanamax",ABQ12,AAC12="Suezmax",ABJ12,AAC12="Capesize",ABC12,AAC12="VLOC",AAV12)))))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B12" s="75" t="e">
        <f t="array" aca="1" ref="AEB12" ca="1">INDEX(Canals!$Q$24:$Q$29,MATCH(2,1/((Canals!$F$24:$F$29&lt;=$C12)*(Canals!$G$24:$G$29=_xlfn.IFS(AAC12="Handysize",Main!ACL12,AAC12="Supramax",ACE12,AAC12="Panamax",ABX12,AAC12="NeoPanamax",ABQ12,AAC12="Suezmax",ABJ12,AAC12="Capesize",ABC12,AAC12="VLOC",AAV12)))))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C12" s="75" t="e">
        <f t="array" aca="1" ref="AEC12" ca="1">INDEX(Canals!$R$24:$R$29,MATCH(2,1/((Canals!$F$24:$F$29&lt;=$C12)*(Canals!$G$24:$G$29=_xlfn.IFS(AAC12="Handysize",Main!ACL12,AAC12="Supramax",ACE12,AAC12="Panamax",ABX12,AAC12="NeoPanamax",ABQ12,AAC12="Suezmax",ABJ12,AAC12="Capesize",ABC12,AAC12="VLOC",AAV12)))))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D12" s="136" t="e">
        <f t="array" aca="1" ref="AED12" ca="1">INDEX(Canals!$S$24:$S$29,MATCH(2,1/((Canals!$F$24:$F$29&lt;=$C12)*(Canals!$G$24:$G$29=_xlfn.IFS(AAC12="Handysize",Main!ACL12,AAC12="Supramax",ACE12,AAC12="Panamax",ABX12,AAC12="NeoPanamax",ABQ12,AAC12="Suezmax",ABJ12,AAC12="Capesize",ABC12,AAC12="VLOC",AAV12)))))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E12" s="136" t="e">
        <f t="array" aca="1" ref="AEE12" ca="1">INDEX(Canals!$T$24:$T$29,MATCH(2,1/((Canals!$F$24:$F$29&lt;=$C12)*(Canals!$G$24:$G$29=_xlfn.IFS(AAC12="Handysize",Main!ACL12,AAC12="Supramax",ACE12,AAC12="Panamax",ABX12,AAC12="NeoPanamax",ABQ12,AAC12="Suezmax",ABJ12,AAC12="Capesize",ABC12,AAC12="VLOC",AAV12)))))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F12" s="136" t="e">
        <f t="array" aca="1" ref="AEF12" ca="1">INDEX(Canals!$U$24:$U$29,MATCH(2,1/((Canals!$F$24:$F$29&lt;=$C12)*(Canals!$G$24:$G$29=_xlfn.IFS(AAC12="Handysize",Main!ACL12,AAC12="Supramax",ACE12,AAC12="Panamax",ABX12,AAC12="NeoPanamax",ABQ12,AAC12="Suezmax",ABJ12,AAC12="Capesize",ABC12,AAC12="VLOC",AAV12)))))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G12" s="136" t="e">
        <f t="array" aca="1" ref="AEG12" ca="1">INDEX(Canals!$V$24:$V$29,MATCH(2,1/((Canals!$F$24:$F$29&lt;=$C12)*(Canals!$G$24:$G$29=_xlfn.IFS(AAC12="Handysize",Main!ACL12,AAC12="Supramax",ACE12,AAC12="Panamax",ABX12,AAC12="NeoPanamax",ABQ12,AAC12="Suezmax",ABJ12,AAC12="Capesize",ABC12,AAC12="VLOC",AAV12)))))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H12" s="136" t="e">
        <f t="array" aca="1" ref="AEH12" ca="1">INDEX(Canals!$W$24:$W$29,MATCH(2,1/((Canals!$F$24:$F$29&lt;=$C12)*(Canals!$G$24:$G$29=_xlfn.IFS(AAC12="Handysize",Main!ACL12,AAC12="Supramax",ACE12,AAC12="Panamax",ABX12,AAC12="NeoPanamax",ABQ12,AAC12="Suezmax",ABJ12,AAC12="Capesize",ABC12,AAC12="VLOC",AAV12)))))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I12" s="136" t="e">
        <f t="array" aca="1" ref="AEI12" ca="1">INDEX(Canals!$X$24:$X$29,MATCH(2,1/((Canals!$F$24:$F$29&lt;=$C12)*(Canals!$G$24:$G$29=_xlfn.IFS(AAC12="Handysize",Main!ACL12,AAC12="Supramax",ACE12,AAC12="Panamax",ABX12,AAC12="NeoPanamax",ABQ12,AAC12="Suezmax",ABJ12,AAC12="Capesize",ABC12,AAC12="VLOC",AAV12)))))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J12" s="136" t="e">
        <f t="array" aca="1" ref="AEJ12" ca="1">INDEX(Canals!$Y$24:$Y$29,MATCH(2,1/((Canals!$F$24:$F$29&lt;=$C12)*(Canals!$G$24:$G$29=_xlfn.IFS(AAC12="Handysize",Main!ACL12,AAC12="Supramax",ACE12,AAC12="Panamax",ABX12,AAC12="NeoPanamax",ABQ12,AAC12="Suezmax",ABJ12,AAC12="Capesize",ABC12,AAC12="VLOC",AAV12)))))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K12" s="136" t="e">
        <f t="array" aca="1" ref="AEK12" ca="1">INDEX(Canals!$Z$24:$Z$29,MATCH(2,1/((Canals!$F$24:$F$29&lt;=$C12)*(Canals!$G$24:$G$29=_xlfn.IFS(AAC12="Handysize",Main!ACL12,AAC12="Supramax",ACE12,AAC12="Panamax",ABX12,AAC12="NeoPanamax",ABQ12,AAC12="Suezmax",ABJ12,AAC12="Capesize",ABC12,AAC12="VLOC",AAV12)))))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L12" s="136" t="e">
        <f t="array" aca="1" ref="AEL12" ca="1">INDEX(Canals!$AA$24:$AA$29,MATCH(2,1/((Canals!$F$24:$F$29&lt;=$C12)*(Canals!$G$24:$G$29=_xlfn.IFS(AAC12="Handysize",Main!ACL12,AAC12="Supramax",ACE12,AAC12="Panamax",ABX12,AAC12="NeoPanamax",ABQ12,AAC12="Suezmax",ABJ12,AAC12="Capesize",ABC12,AAC12="VLOC",AAV12)))))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M12" s="136" t="e">
        <f t="array" aca="1" ref="AEM12" ca="1">INDEX(Canals!$AB$24:$AB$29,MATCH(2,1/((Canals!$F$24:$F$29&lt;=$C12)*(Canals!$G$24:$G$29=_xlfn.IFS(AAC12="Handysize",Main!ACL12,AAC12="Supramax",ACE12,AAC12="Panamax",ABX12,AAC12="NeoPanamax",ABQ12,AAC12="Suezmax",ABJ12,AAC12="Capesize",ABC12,AAC12="VLOC",AAV12)))))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N12" s="75" t="e">
        <f t="array" aca="1" ref="AEN12" ca="1">INDEX(Canals!$AC$24:$AC$29,MATCH(2,1/((Canals!$F$24:$F$29&lt;=$C12)*(Canals!$G$24:$G$29=_xlfn.IFS(AAC12="Handysize",Main!ACL12,AAC12="Supramax",ACE12,AAC12="Panamax",ABX12,AAC12="NeoPanamax",ABQ12,AAC12="Suezmax",ABJ12,AAC12="Capesize",ABC12,AAC12="VLOC",AAV12)))))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O12" s="75" t="e">
        <f t="array" aca="1" ref="AEO12" ca="1">INDEX(Canals!$AD$24:$AD$29,MATCH(2,1/((Canals!$F$24:$F$29&lt;=$C12)*(Canals!$G$24:$G$29=_xlfn.IFS(AAC12="Handysize",Main!ACL12,AAC12="Supramax",ACE12,AAC12="Panamax",ABX12,AAC12="NeoPanamax",ABQ12,AAC12="Suezmax",ABJ12,AAC12="Capesize",ABC12,AAC12="VLOC",AAV12)))))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P12" s="75" t="e">
        <f t="array" aca="1" ref="AEP12" ca="1">INDEX(Canals!$AE$24:$AE$29,MATCH(2,1/((Canals!$F$24:$F$29&lt;=$C12)*(Canals!$G$24:$G$29=_xlfn.IFS(AAC12="Handysize",Main!ACL12,AAC12="Supramax",ACE12,AAC12="Panamax",ABX12,AAC12="NeoPanamax",ABQ12,AAC12="Suezmax",ABJ12,AAC12="Capesize",ABC12,AAC12="VLOC",AAV12)))))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Q12" s="75" t="e">
        <f t="array" aca="1" ref="AEQ12" ca="1">INDEX(Canals!$AF$24:$AF$29,MATCH(2,1/((Canals!$F$24:$F$29&lt;=$C12)*(Canals!$G$24:$G$29=_xlfn.IFS(AAC12="Handysize",Main!ACL12,AAC12="Supramax",ACE12,AAC12="Panamax",ABX12,AAC12="NeoPanamax",ABQ12,AAC12="Suezmax",ABJ12,AAC12="Capesize",ABC12,AAC12="VLOC",AAV12)))))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R12" s="75" t="e">
        <f t="array" aca="1" ref="AER12" ca="1">INDEX(Canals!$AG$24:$AG$29,MATCH(2,1/((Canals!$F$24:$F$29&lt;=$C12)*(Canals!$G$24:$G$29=_xlfn.IFS(AAC12="Handysize",Main!ACL12,AAC12="Supramax",ACE12,AAC12="Panamax",ABX12,AAC12="NeoPanamax",ABQ12,AAC12="Suezmax",ABJ12,AAC12="Capesize",ABC12,AAC12="VLOC",AAV12)))))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S12" s="75" t="e">
        <f t="array" aca="1" ref="AES12" ca="1">INDEX(Canals!$AH$24:$AH$29,MATCH(2,1/((Canals!$F$24:$F$29&lt;=$C12)*(Canals!$G$24:$G$29=_xlfn.IFS(AAC12="Handysize",Main!ACL12,AAC12="Supramax",ACE12,AAC12="Panamax",ABX12,AAC12="NeoPanamax",ABQ12,AAC12="Suezmax",ABJ12,AAC12="Capesize",ABC12,AAC12="VLOC",AAV12)))))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T12" s="75" t="e">
        <f t="array" aca="1" ref="AET12" ca="1">INDEX(Canals!$AI$24:$AI$29,MATCH(2,1/((Canals!$F$24:$F$29&lt;=$C12)*(Canals!$G$24:$G$29=_xlfn.IFS(AAC12="Handysize",Main!ACL12,AAC12="Supramax",ACE12,AAC12="Panamax",ABX12,AAC12="NeoPanamax",ABQ12,AAC12="Suezmax",ABJ12,AAC12="Capesize",ABC12,AAC12="VLOC",AAV12)))))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U12" s="75" t="e">
        <f t="array" aca="1" ref="AEU12" ca="1">INDEX(Canals!$AJ$24:$AJ$29,MATCH(2,1/((Canals!$F$24:$F$29&lt;=$C12)*(Canals!$G$24:$G$29=_xlfn.IFS(AAC12="Handysize",Main!ACL12,AAC12="Supramax",ACE12,AAC12="Panamax",ABX12,AAC12="NeoPanamax",ABQ12,AAC12="Suezmax",ABJ12,AAC12="Capesize",ABC12,AAC12="VLOC",AAV12)))))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V12" s="75" t="e">
        <f t="array" aca="1" ref="AEV12" ca="1">INDEX(Canals!$AK$24:$AK$29,MATCH(2,1/((Canals!$F$24:$F$29&lt;=$C12)*(Canals!$G$24:$G$29=_xlfn.IFS(AAC12="Handysize",Main!ACL12,AAC12="Supramax",ACE12,AAC12="Panamax",ABX12,AAC12="NeoPanamax",ABQ12,AAC12="Suezmax",ABJ12,AAC12="Capesize",ABC12,AAC12="VLOC",AAV12)))))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W12" s="136" t="e">
        <f t="array" aca="1" ref="AEW12" ca="1">INDEX(Canals!$AL$24:$AL$29,MATCH(2,1/((Canals!$F$24:$F$29&lt;=$C12)*(Canals!$G$24:$G$29=_xlfn.IFS(AAC12="Handysize",Main!ACL12,AAC12="Supramax",ACE12,AAC12="Panamax",ABX12,AAC12="NeoPanamax",ABQ12,AAC12="Suezmax",ABJ12,AAC12="Capesize",ABC12,AAC12="VLOC",AAV12)))))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X12" s="136" t="e">
        <f t="array" aca="1" ref="AEX12" ca="1">INDEX(Canals!$AM$24:$AM$29,MATCH(2,1/((Canals!$F$24:$F$29&lt;=$C12)*(Canals!$G$24:$G$29=_xlfn.IFS(AAC12="Handysize",Main!ACL12,AAC12="Supramax",ACE12,AAC12="Panamax",ABX12,AAC12="NeoPanamax",ABQ12,AAC12="Suezmax",ABJ12,AAC12="Capesize",ABC12,AAC12="VLOC",AAV12)))))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Y12" s="136" t="e">
        <f t="array" aca="1" ref="AEY12" ca="1">INDEX(Canals!$AN$24:$AN$29,MATCH(2,1/((Canals!$F$24:$F$29&lt;=$C12)*(Canals!$G$24:$G$29=_xlfn.IFS(AAC12="Handysize",Main!ACL12,AAC12="Supramax",ACE12,AAC12="Panamax",ABX12,AAC12="NeoPanamax",ABQ12,AAC12="Suezmax",ABJ12,AAC12="Capesize",ABC12,AAC12="VLOC",AAV12)))))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EZ12" s="136" t="e">
        <f t="array" aca="1" ref="AEZ12" ca="1">INDEX(Canals!$AO$24:$AO$29,MATCH(2,1/((Canals!$F$24:$F$29&lt;=$C12)*(Canals!$G$24:$G$29=_xlfn.IFS(AAC12="Handysize",Main!ACL12,AAC12="Supramax",ACE12,AAC12="Panamax",ABX12,AAC12="NeoPanamax",ABQ12,AAC12="Suezmax",ABJ12,AAC12="Capesize",ABC12,AAC12="VLOC",AAV12)))))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A12" s="136" t="e">
        <f t="array" aca="1" ref="AFA12" ca="1">INDEX(Canals!$AP$24:$AP$29,MATCH(2,1/((Canals!$F$24:$F$29&lt;=$C12)*(Canals!$G$24:$G$29=_xlfn.IFS(AAC12="Handysize",Main!ACL12,AAC12="Supramax",ACE12,AAC12="Panamax",ABX12,AAC12="NeoPanamax",ABQ12,AAC12="Suezmax",ABJ12,AAC12="Capesize",ABC12,AAC12="VLOC",AAV12)))))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B12" s="136" t="e">
        <f t="array" aca="1" ref="AFB12" ca="1">INDEX(Canals!$AQ$24:$AQ$29,MATCH(2,1/((Canals!$F$24:$F$29&lt;=$C12)*(Canals!$G$24:$G$29=_xlfn.IFS(AAC12="Handysize",Main!ACL12,AAC12="Supramax",ACE12,AAC12="Panamax",ABX12,AAC12="NeoPanamax",ABQ12,AAC12="Suezmax",ABJ12,AAC12="Capesize",ABC12,AAC12="VLOC",AAV12)))))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C12" s="136" t="e">
        <f t="array" aca="1" ref="AFC12" ca="1">INDEX(Canals!$AR$24:$AR$29,MATCH(2,1/((Canals!$F$24:$F$29&lt;=$C12)*(Canals!$G$24:$G$29=_xlfn.IFS(AAC12="Handysize",Main!ACL12,AAC12="Supramax",ACE12,AAC12="Panamax",ABX12,AAC12="NeoPanamax",ABQ12,AAC12="Suezmax",ABJ12,AAC12="Capesize",ABC12,AAC12="VLOC",AAV12)))))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D12" s="136" t="e">
        <f t="array" aca="1" ref="AFD12" ca="1">INDEX(Canals!$AS$24:$AS$29,MATCH(2,1/((Canals!$F$24:$F$29&lt;=$C12)*(Canals!$G$24:$G$29=_xlfn.IFS(AAC12="Handysize",Main!ACL12,AAC12="Supramax",ACE12,AAC12="Panamax",ABX12,AAC12="NeoPanamax",ABQ12,AAC12="Suezmax",ABJ12,AAC12="Capesize",ABC12,AAC12="VLOC",AAV12)))))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E12" s="136" t="e">
        <f t="array" aca="1" ref="AFE12" ca="1">INDEX(Canals!$AT$24:$AT$29,MATCH(2,1/((Canals!$F$24:$F$29&lt;=$C12)*(Canals!$G$24:$G$29=_xlfn.IFS(AAC12="Handysize",Main!ACL12,AAC12="Supramax",ACE12,AAC12="Panamax",ABX12,AAC12="NeoPanamax",ABQ12,AAC12="Suezmax",ABJ12,AAC12="Capesize",ABC12,AAC12="VLOC",AAV12)))))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F12" s="136" t="e">
        <f t="array" aca="1" ref="AFF12" ca="1">INDEX(Canals!$AU$24:$AU$29,MATCH(2,1/((Canals!$F$24:$F$29&lt;=$C12)*(Canals!$G$24:$G$29=_xlfn.IFS(AAC12="Handysize",Main!ACL12,AAC12="Supramax",ACE12,AAC12="Panamax",ABX12,AAC12="NeoPanamax",ABQ12,AAC12="Suezmax",ABJ12,AAC12="Capesize",ABC12,AAC12="VLOC",AAV12)))))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G12" s="136" t="e">
        <f t="array" aca="1" ref="AFG12" ca="1">INDEX(Canals!$AV$24:$AV$29,MATCH(2,1/((Canals!$F$24:$F$29&lt;=$C12)*(Canals!$G$24:$G$29=_xlfn.IFS(AAC12="Handysize",Main!ACL12,AAC12="Supramax",ACE12,AAC12="Panamax",ABX12,AAC12="NeoPanamax",ABQ12,AAC12="Suezmax",ABJ12,AAC12="Capesize",ABC12,AAC12="VLOC",AAV12)))))</f>
        <v>#N/A</v>
      </c>
      <c r="AFI12" s="75" t="e">
        <f t="array" aca="1" ref="AFI12" ca="1">_xlfn.IFS(ADT12="DWT",AAA12,ADT12="NRT",AAE12,ADT12="GRT",AAF12)</f>
        <v>#NAME?</v>
      </c>
      <c r="AFJ12" s="279" t="e">
        <f t="shared" ca="1" si="176"/>
        <v>#NAME?</v>
      </c>
      <c r="AFK12" s="280" t="e">
        <f t="shared" ca="1" si="177"/>
        <v>#NAME?</v>
      </c>
      <c r="AFL12" s="280" t="e">
        <f t="shared" ca="1" si="178"/>
        <v>#NAME?</v>
      </c>
      <c r="AFM12" s="280" t="e">
        <f t="shared" ca="1" si="179"/>
        <v>#NAME?</v>
      </c>
      <c r="AFN12" s="280" t="e">
        <f t="shared" ca="1" si="180"/>
        <v>#NAME?</v>
      </c>
      <c r="AFO12" s="280" t="e">
        <f t="shared" ca="1" si="181"/>
        <v>#NAME?</v>
      </c>
      <c r="AFP12" s="280" t="e">
        <f t="shared" ca="1" si="182"/>
        <v>#NAME?</v>
      </c>
      <c r="AFQ12" s="280" t="e">
        <f t="shared" ca="1" si="183"/>
        <v>#NAME?</v>
      </c>
      <c r="AFR12" s="280" t="e">
        <f t="shared" ca="1" si="184"/>
        <v>#NAME?</v>
      </c>
      <c r="AFS12" s="75">
        <f t="shared" si="185"/>
        <v>74100</v>
      </c>
      <c r="AFT12" s="279" t="e">
        <f t="shared" ca="1" si="186"/>
        <v>#N/A</v>
      </c>
      <c r="AFU12" s="280" t="e">
        <f t="shared" ca="1" si="187"/>
        <v>#N/A</v>
      </c>
      <c r="AFV12" s="280" t="e">
        <f t="shared" ca="1" si="188"/>
        <v>#N/A</v>
      </c>
      <c r="AFW12" s="280" t="e">
        <f t="shared" ca="1" si="189"/>
        <v>#N/A</v>
      </c>
      <c r="AFX12" s="280" t="e">
        <f t="shared" ca="1" si="190"/>
        <v>#N/A</v>
      </c>
      <c r="AFY12" s="280" t="e">
        <f t="shared" ca="1" si="191"/>
        <v>#N/A</v>
      </c>
      <c r="AFZ12" s="280" t="e">
        <f t="shared" ca="1" si="192"/>
        <v>#N/A</v>
      </c>
      <c r="AGA12" s="280" t="e">
        <f t="shared" ca="1" si="193"/>
        <v>#N/A</v>
      </c>
      <c r="AGB12" s="280" t="e">
        <f t="shared" ca="1" si="194"/>
        <v>#N/A</v>
      </c>
      <c r="AGD12" s="75" t="e">
        <f t="array" aca="1" ref="AGD12" ca="1">_xlfn.IFS(AAC12="Handysize",Main!ACF12,AAC12="Supramax",ABY12,AAC12="Panamax",ABR12,AAC12="NeoPanamax",ABK12,AAC12="Suezmax",ABD12,AAC12="Capesize",AAW12,AAC12="VLOC",AAP12)*$JI12</f>
        <v>#NAME?</v>
      </c>
      <c r="AGE12" s="274" t="e">
        <f t="array" aca="1" ref="AGE12" ca="1">_xlfn.IFS(AAC12="Handysize",Main!ACG12,AAC12="Supramax",ABZ12,AAC12="Panamax",ABS12,AAC12="NeoPanamax",ABL12,AAC12="Suezmax",ABE12,AAC12="Capesize",AAX12,AAC12="VLOC",AAQ12)*$JI12</f>
        <v>#NAME?</v>
      </c>
      <c r="AGF12" s="71" t="e">
        <f t="array" aca="1" ref="AGF12" ca="1">_xlfn.IFS(AAC12="Handysize",Main!AAH12,AAC12="Supramax",AAI12,AAC12="Panamax",AAJ12,AAC12="NeoPanamax",AAK12,AAC12="Suezmax",AAL12,AAC12="Capesize",AAM12,AAC12="VLOC",AAN12)</f>
        <v>#NAME?</v>
      </c>
      <c r="AGG12" s="71" t="e">
        <f t="array" aca="1" ref="AGG12" ca="1">_xlfn.IFS(AAC12="Handysize",Main!ACT12,AAC12="Supramax",ACU12,AAC12="Panamax",ACV12,AAC12="NeoPanamax",ACW12,AAC12="Suezmax",ACX12,AAC12="Capesize",ACY12,AAC12="VLOC",ACZ12)</f>
        <v>#NAME?</v>
      </c>
      <c r="AGH12" s="70">
        <f t="array" ref="AGH12">INDEX('Ship Speeds'!$G$11:$G$1011,MATCH(2,1/(('Ship Speeds'!$E$11:$E$1011&lt;=Main!$C12)*('Ship Speeds'!$F$11:$F$1011=Main!AAB12))))</f>
        <v>11</v>
      </c>
      <c r="AGI12" s="403">
        <f t="shared" si="195"/>
        <v>20.892884736032425</v>
      </c>
      <c r="AGJ12" s="401">
        <f t="shared" si="196"/>
        <v>2.0116800000000001</v>
      </c>
      <c r="AGK12" s="70" t="e">
        <f t="shared" ca="1" si="197"/>
        <v>#NAME?</v>
      </c>
      <c r="AGL12" s="70" t="e">
        <f t="shared" ca="1" si="198"/>
        <v>#NAME?</v>
      </c>
      <c r="AGM12" s="70" t="e">
        <f t="shared" ca="1" si="199"/>
        <v>#NAME?</v>
      </c>
      <c r="AGN12" s="70" t="e">
        <f t="shared" ca="1" si="200"/>
        <v>#NAME?</v>
      </c>
      <c r="AGO12" s="72" t="e">
        <f t="shared" ca="1" si="201"/>
        <v>#N/A</v>
      </c>
      <c r="AGP12" s="70" t="e">
        <f t="shared" ca="1" si="202"/>
        <v>#NAME?</v>
      </c>
      <c r="AGQ12" s="70" t="e">
        <f t="array" aca="1" ref="AGQ12" ca="1">INDEX(ACN12:ACR12,MATCH(_xlfn.IFS(AAC12="Handysize",Main!ACJ12,AAC12="Supramax",ACC12,AAC12="Panamax",ABV12,AAC12="NeoPanamax",ABO12,AAC12="Suezmax",ABH12,AAC12="Capesize",ABA12,AAC12="VLOC",AAT12),$ACN$7:$ACR$7,0))</f>
        <v>#NAME?</v>
      </c>
      <c r="AGR12" s="70" t="e">
        <f t="array" aca="1" ref="AGR12" ca="1">INDEX(ACN12:ACR12,MATCH(_xlfn.IFS(AAC12="Handysize",Main!ACK12,AAC12="Supramax",ACD12,AAC12="Panamax",ABW12,AAC12="NeoPanamax",ABP12,AAC12="Suezmax",ABI12,AAC12="Capesize",ABB12,AAC12="VLOC",AAU12),$ACN$7:$ACR$7,0))</f>
        <v>#NAME?</v>
      </c>
      <c r="AGS12" s="71" t="e">
        <f t="shared" ca="1" si="203"/>
        <v>#NAME?</v>
      </c>
      <c r="AGT12" s="71" t="e">
        <f t="shared" ca="1" si="204"/>
        <v>#NAME?</v>
      </c>
      <c r="AGU12" s="281">
        <f t="shared" si="205"/>
        <v>7.0759999999999987</v>
      </c>
      <c r="AGV12" s="71">
        <f t="shared" si="206"/>
        <v>1744.2057659694747</v>
      </c>
      <c r="AGW12" s="71" t="e">
        <f t="shared" ca="1" si="207"/>
        <v>#NAME?</v>
      </c>
      <c r="AGX12" s="71" t="e">
        <f t="shared" ca="1" si="208"/>
        <v>#NAME?</v>
      </c>
      <c r="AGY12" s="71">
        <f t="shared" si="209"/>
        <v>27646.127755794238</v>
      </c>
      <c r="AGZ12" s="71" t="e">
        <f t="shared" ca="1" si="210"/>
        <v>#NAME?</v>
      </c>
      <c r="AHA12" s="71" t="e">
        <f t="shared" ca="1" si="211"/>
        <v>#NAME?</v>
      </c>
      <c r="AHB12" s="71">
        <f t="shared" si="212"/>
        <v>19627.268513284343</v>
      </c>
      <c r="AHC12" s="71" t="e">
        <f t="shared" ca="1" si="213"/>
        <v>#NAME?</v>
      </c>
      <c r="AHD12" s="71" t="e">
        <f t="shared" ca="1" si="214"/>
        <v>#NAME?</v>
      </c>
      <c r="AHE12" s="71">
        <f t="shared" si="215"/>
        <v>0</v>
      </c>
      <c r="AHF12" s="71" t="e">
        <f t="shared" ca="1" si="216"/>
        <v>#NAME?</v>
      </c>
      <c r="AHG12" s="71" t="e">
        <f t="shared" ca="1" si="217"/>
        <v>#NAME?</v>
      </c>
      <c r="AHH12" s="72">
        <f t="shared" si="218"/>
        <v>5908.8306953080846</v>
      </c>
      <c r="AHI12" s="72" t="e">
        <f t="shared" ca="1" si="219"/>
        <v>#NAME?</v>
      </c>
      <c r="AHJ12" s="71" t="e">
        <f t="shared" ca="1" si="220"/>
        <v>#NAME?</v>
      </c>
      <c r="AHK12" s="71" t="e">
        <f t="array" aca="1" ref="AHK12" ca="1">INDEX('Ship Time Charter Rates'!$H$22:$H$1021,MATCH(2,1/(('Ship Time Charter Rates'!$G$22:$G$1021=_xlfn.IFS(AAC12="Handysize",Main!ACH12,AAC12="Supramax",ACA12,AAC12="Panamax",ABT12,AAC12="NeoPanamax",ABM12,AAC12="Suezmax",ABF12,AAC12="Capesize",AAY12,AAC12="VLOC",AAR12))*('Ship Time Charter Rates'!$E$22:$E$1021&lt;=Main!$C12)*(NOT(ISBLANK('Ship Time Charter Rates'!$H$22:$H$1021))))))</f>
        <v>#N/A</v>
      </c>
      <c r="AHL12" s="71" t="e">
        <f t="shared" ca="1" si="221"/>
        <v>#NAME?</v>
      </c>
      <c r="AHM12" s="70" t="e">
        <f t="shared" ca="1" si="222"/>
        <v>#N/A</v>
      </c>
      <c r="AHN12" s="71" t="e">
        <f t="shared" ca="1" si="223"/>
        <v>#NAME?</v>
      </c>
      <c r="AHO12" s="71" t="e">
        <f t="shared" ca="1" si="306"/>
        <v>#NAME?</v>
      </c>
      <c r="AHP12" s="72" t="e">
        <f t="shared" ca="1" si="307"/>
        <v>#NAME?</v>
      </c>
      <c r="AHR12" s="25">
        <f>IF($AO12="yes",$AN12,$AR12)/(1-$AL12)/$JN12</f>
        <v>0</v>
      </c>
      <c r="AHS12" s="4" t="str">
        <f>VLOOKUP(AHR12,'Ship Time Charter Rates'!$F$10:$G$17,2,TRUE)</f>
        <v>Handysize</v>
      </c>
      <c r="AHT12" s="4" t="str">
        <f>VLOOKUP(AHR12,Canals!$E$5:$F$12,2,TRUE)</f>
        <v>Handysize</v>
      </c>
      <c r="AHU12" s="25">
        <f t="shared" si="224"/>
        <v>145.88999999999999</v>
      </c>
      <c r="AHV12" s="25">
        <f t="shared" si="225"/>
        <v>0</v>
      </c>
      <c r="AHW12" s="25">
        <f t="shared" si="226"/>
        <v>4797</v>
      </c>
      <c r="AHY12" s="75">
        <f t="array" ref="AHY12">INDEX('Indices Mines Exporting Ports'!$R$20:$R$51,MATCH(2,1/(('Indices Mines Exporting Ports'!$D$20:$D$51&lt;=Main!$C12)*('Indices Mines Exporting Ports'!$Q$20:$Q$51=$AQ12))))</f>
        <v>0</v>
      </c>
      <c r="AHZ12" s="75">
        <f t="array" ref="AHZ12">INDEX('Indices Mines Exporting Ports'!$S$20:$S$51,MATCH(2,1/(('Indices Mines Exporting Ports'!$D$20:$D$51&lt;=Main!$C12)*('Indices Mines Exporting Ports'!$Q$20:$Q$51=$AQ12))))</f>
        <v>0</v>
      </c>
      <c r="AIA12" s="75">
        <f t="array" ref="AIA12">INDEX('Indices Mines Exporting Ports'!$T$20:$T$51,MATCH(2,1/(('Indices Mines Exporting Ports'!$D$20:$D$51&lt;=Main!$C12)*('Indices Mines Exporting Ports'!$Q$20:$Q$51=$AQ12))))</f>
        <v>0</v>
      </c>
      <c r="AIB12" s="75">
        <f t="array" ref="AIB12">INDEX('Indices Mines Exporting Ports'!$U$20:$U$51,MATCH(2,1/(('Indices Mines Exporting Ports'!$D$20:$D$51&lt;=Main!$C12)*('Indices Mines Exporting Ports'!$Q$20:$Q$51=$AQ12))))</f>
        <v>0</v>
      </c>
      <c r="AIC12" s="75">
        <f t="array" ref="AIC12">INDEX('Indices Mines Exporting Ports'!$V$20:$V$51,MATCH(2,1/(('Indices Mines Exporting Ports'!$D$20:$D$51&lt;=Main!$C12)*('Indices Mines Exporting Ports'!$Q$20:$Q$51=$AQ12))))</f>
        <v>0</v>
      </c>
      <c r="AID12" s="75">
        <f t="array" ref="AID12">INDEX('Indices Mines Exporting Ports'!$W$20:$W$51,MATCH(2,1/(('Indices Mines Exporting Ports'!$D$20:$D$51&lt;=Main!$C12)*('Indices Mines Exporting Ports'!$Q$20:$Q$51=$AQ12))))</f>
        <v>0</v>
      </c>
      <c r="AIE12" s="75">
        <f t="array" ref="AIE12">INDEX('Indices Mines Exporting Ports'!$X$20:$X$51,MATCH(2,1/(('Indices Mines Exporting Ports'!$D$20:$D$51&lt;=Main!$C12)*('Indices Mines Exporting Ports'!$Q$20:$Q$51=$AQ12))))</f>
        <v>0</v>
      </c>
      <c r="AIG12" s="75">
        <f t="array" ref="AIG12">INDEX('Port Linkages'!$E$18:$E$157,MATCH(2,1/(('Port Linkages'!$C$18:$C$157=$AQ12)*('Port Linkages'!$D$18:$D$157=IF($AO12="no",$AQ12,$KK12))*('Port Linkages'!$A$18:$A$157&lt;=$C12))))</f>
        <v>0</v>
      </c>
      <c r="AIH12" s="75">
        <f t="array" ref="AIH12">INDEX('Port Linkages'!$F$18:$F$157,MATCH(2,1/(('Port Linkages'!$C$18:$C$157=$AQ12)*('Port Linkages'!$D$18:$D$157=IF($AO12="no",$AQ12,$KK12))*('Port Linkages'!$A$18:$A$157&lt;=$C12))))</f>
        <v>0</v>
      </c>
      <c r="AII12" s="75">
        <f t="array" ref="AII12">INDEX('Port Linkages'!$G$18:$G$157,MATCH(2,1/(('Port Linkages'!$C$18:$C$157=$AQ12)*('Port Linkages'!$D$18:$D$157=IF($AO12="no",$AQ12,$KK12))*('Port Linkages'!$A$18:$A$157&lt;=$C12))))</f>
        <v>0</v>
      </c>
      <c r="AIJ12" s="75">
        <f t="array" ref="AIJ12">INDEX('Port Linkages'!$H$18:$H$157,MATCH(2,1/(('Port Linkages'!$C$18:$C$157=$AQ12)*('Port Linkages'!$D$18:$D$157=IF($AO12="no",$AQ12,$KK12))*('Port Linkages'!$A$18:$A$157&lt;=$C12))))</f>
        <v>0</v>
      </c>
      <c r="AIK12" s="75">
        <f t="array" ref="AIK12">INDEX('Port Linkages'!$I$18:$I$157,MATCH(2,1/(('Port Linkages'!$C$18:$C$157=$AQ12)*('Port Linkages'!$D$18:$D$157=IF($AO12="no",$AQ12,$KK12))*('Port Linkages'!$A$18:$A$157&lt;=$C12))))</f>
        <v>0</v>
      </c>
      <c r="AIL12" s="75">
        <f t="array" ref="AIL12">INDEX('Port Linkages'!$J$18:$J$157,MATCH(2,1/(('Port Linkages'!$C$18:$C$157=$AQ12)*('Port Linkages'!$D$18:$D$157=IF($AO12="no",$AQ12,$KK12))*('Port Linkages'!$A$18:$A$157&lt;=$C12))))</f>
        <v>0</v>
      </c>
      <c r="AIM12" s="75">
        <f t="array" ref="AIM12">INDEX('Port Linkages'!$K$18:$K$157,MATCH(2,1/(('Port Linkages'!$C$18:$C$157=$AQ12)*('Port Linkages'!$D$18:$D$157=IF($AO12="no",$AQ12,$KK12))*('Port Linkages'!$A$18:$A$157&lt;=$C12))))</f>
        <v>0</v>
      </c>
      <c r="AIN12" s="75">
        <f t="array" ref="AIN12">INDEX('Port Linkages'!$L$18:$L$157,MATCH(2,1/(('Port Linkages'!$C$18:$C$157=$AQ12)*('Port Linkages'!$D$18:$D$157=IF($AO12="no",$AQ12,$KK12))*('Port Linkages'!$A$18:$A$157&lt;=$C12))))</f>
        <v>0</v>
      </c>
      <c r="AIO12" s="75">
        <f t="array" ref="AIO12">INDEX('Port Linkages'!$M$18:$M$157,MATCH(2,1/(('Port Linkages'!$C$18:$C$157=$AQ12)*('Port Linkages'!$D$18:$D$157=IF($AO12="no",$AQ12,$KK12))*('Port Linkages'!$A$18:$A$157&lt;=$C12))))</f>
        <v>0</v>
      </c>
      <c r="AIP12" s="75">
        <f t="array" ref="AIP12">INDEX('Port Linkages'!$N$18:$N$157,MATCH(2,1/(('Port Linkages'!$C$18:$C$157=$AQ12)*('Port Linkages'!$D$18:$D$157=IF($AO12="no",$AQ12,$KK12))*('Port Linkages'!$A$18:$A$157&lt;=$C12))))</f>
        <v>0</v>
      </c>
      <c r="AIQ12" s="75">
        <f t="array" ref="AIQ12">INDEX('Port Linkages'!$O$18:$O$157,MATCH(2,1/(('Port Linkages'!$C$18:$C$157=$AQ12)*('Port Linkages'!$D$18:$D$157=IF($AO12="no",$AQ12,$KK12))*('Port Linkages'!$A$18:$A$157&lt;=$C12))))</f>
        <v>0</v>
      </c>
      <c r="AIR12" s="75">
        <f t="array" ref="AIR12">INDEX('Port Linkages'!$P$18:$P$157,MATCH(2,1/(('Port Linkages'!$C$18:$C$157=$AQ12)*('Port Linkages'!$D$18:$D$157=IF($AO12="no",$AQ12,$KK12))*('Port Linkages'!$A$18:$A$157&lt;=$C12))))</f>
        <v>0</v>
      </c>
      <c r="AIS12" s="75">
        <f t="array" ref="AIS12">INDEX('Port Linkages'!$Q$18:$Q$157,MATCH(2,1/(('Port Linkages'!$C$18:$C$157=$AQ12)*('Port Linkages'!$D$18:$D$157=IF($AO12="no",$AQ12,$KK12))*('Port Linkages'!$A$18:$A$157&lt;=$C12))))</f>
        <v>0</v>
      </c>
      <c r="AIT12" s="75">
        <f t="array" ref="AIT12">INDEX('Port Linkages'!$R$18:$R$157,MATCH(2,1/(('Port Linkages'!$C$18:$C$157=$AQ12)*('Port Linkages'!$D$18:$D$157=IF($AO12="no",$AQ12,$KK12))*('Port Linkages'!$A$18:$A$157&lt;=$C12))))</f>
        <v>0</v>
      </c>
      <c r="AIU12" s="75">
        <f t="array" ref="AIU12">INDEX('Port Linkages'!$S$18:$S$157,MATCH(2,1/(('Port Linkages'!$C$18:$C$157=$AQ12)*('Port Linkages'!$D$18:$D$157=IF($AO12="no",$AQ12,$KK12))*('Port Linkages'!$A$18:$A$157&lt;=$C12))))</f>
        <v>0</v>
      </c>
      <c r="AIV12" s="75">
        <f t="array" ref="AIV12">INDEX('Port Linkages'!$T$18:$T$157,MATCH(2,1/(('Port Linkages'!$C$18:$C$157=$AQ12)*('Port Linkages'!$D$18:$D$157=IF($AO12="no",$AQ12,$KK12))*('Port Linkages'!$A$18:$A$157&lt;=$C12))))</f>
        <v>0</v>
      </c>
      <c r="AIW12" s="75">
        <f t="array" ref="AIW12">INDEX('Port Linkages'!$U$18:$U$157,MATCH(2,1/(('Port Linkages'!$C$18:$C$157=$AQ12)*('Port Linkages'!$D$18:$D$157=IF($AO12="no",$AQ12,$KK12))*('Port Linkages'!$A$18:$A$157&lt;=$C12))))</f>
        <v>0</v>
      </c>
      <c r="AIX12" s="75">
        <f t="array" ref="AIX12">INDEX('Port Linkages'!$V$18:$V$157,MATCH(2,1/(('Port Linkages'!$C$18:$C$157=$AQ12)*('Port Linkages'!$D$18:$D$157=IF($AO12="no",$AQ12,$KK12))*('Port Linkages'!$A$18:$A$157&lt;=$C12))))</f>
        <v>0</v>
      </c>
      <c r="AIY12" s="75">
        <f t="array" ref="AIY12">INDEX('Port Linkages'!$W$18:$W$157,MATCH(2,1/(('Port Linkages'!$C$18:$C$157=$AQ12)*('Port Linkages'!$D$18:$D$157=IF($AO12="no",$AQ12,$KK12))*('Port Linkages'!$A$18:$A$157&lt;=$C12))))</f>
        <v>0</v>
      </c>
      <c r="AIZ12" s="75">
        <f t="array" ref="AIZ12">INDEX('Port Linkages'!$X$18:$X$157,MATCH(2,1/(('Port Linkages'!$C$18:$C$157=$AQ12)*('Port Linkages'!$D$18:$D$157=IF($AO12="no",$AQ12,$KK12))*('Port Linkages'!$A$18:$A$157&lt;=$C12))))</f>
        <v>0</v>
      </c>
      <c r="AJA12" s="75">
        <f t="array" ref="AJA12">INDEX('Port Linkages'!$Y$18:$Y$157,MATCH(2,1/(('Port Linkages'!$C$18:$C$157=$AQ12)*('Port Linkages'!$D$18:$D$157=IF($AO12="no",$AQ12,$KK12))*('Port Linkages'!$A$18:$A$157&lt;=$C12))))</f>
        <v>0</v>
      </c>
      <c r="AJB12" s="75">
        <f t="array" ref="AJB12">INDEX('Port Linkages'!$Z$18:$Z$157,MATCH(2,1/(('Port Linkages'!$C$18:$C$157=$AQ12)*('Port Linkages'!$D$18:$D$157=IF($AO12="no",$AQ12,$KK12))*('Port Linkages'!$A$18:$A$157&lt;=$C12))))</f>
        <v>0</v>
      </c>
      <c r="AJC12" s="75">
        <f t="array" ref="AJC12">INDEX('Port Linkages'!$AA$18:$AA$157,MATCH(2,1/(('Port Linkages'!$C$18:$C$157=$AQ12)*('Port Linkages'!$D$18:$D$157=IF($AO12="no",$AQ12,$KK12))*('Port Linkages'!$A$18:$A$157&lt;=$C12))))</f>
        <v>0</v>
      </c>
      <c r="AJD12" s="75">
        <f t="array" ref="AJD12">INDEX('Port Linkages'!$AB$18:$AB$157,MATCH(2,1/(('Port Linkages'!$C$18:$C$157=$AQ12)*('Port Linkages'!$D$18:$D$157=IF($AO12="no",$AQ12,$KK12))*('Port Linkages'!$A$18:$A$157&lt;=$C12))))</f>
        <v>0</v>
      </c>
      <c r="AJE12" s="75">
        <f t="array" ref="AJE12">INDEX('Port Linkages'!$AC$18:$AC$157,MATCH(2,1/(('Port Linkages'!$C$18:$C$157=$AQ12)*('Port Linkages'!$D$18:$D$157=IF($AO12="no",$AQ12,$KK12))*('Port Linkages'!$A$18:$A$157&lt;=$C12))))</f>
        <v>0</v>
      </c>
      <c r="AJF12" s="75">
        <f t="array" ref="AJF12">INDEX('Port Linkages'!$AD$18:$AD$157,MATCH(2,1/(('Port Linkages'!$C$18:$C$157=$AQ12)*('Port Linkages'!$D$18:$D$157=IF($AO12="no",$AQ12,$KK12))*('Port Linkages'!$A$18:$A$157&lt;=$C12))))</f>
        <v>0</v>
      </c>
      <c r="AJG12" s="75">
        <f t="array" ref="AJG12">INDEX('Port Linkages'!$AE$18:$AE$157,MATCH(2,1/(('Port Linkages'!$C$18:$C$157=$AQ12)*('Port Linkages'!$D$18:$D$157=IF($AO12="no",$AQ12,$KK12))*('Port Linkages'!$A$18:$A$157&lt;=$C12))))</f>
        <v>0</v>
      </c>
      <c r="AJH12" s="75">
        <f t="array" ref="AJH12">INDEX('Port Linkages'!$AF$18:$AF$157,MATCH(2,1/(('Port Linkages'!$C$18:$C$157=$AQ12)*('Port Linkages'!$D$18:$D$157=IF($AO12="no",$AQ12,$KK12))*('Port Linkages'!$A$18:$A$157&lt;=$C12))))</f>
        <v>0</v>
      </c>
      <c r="AJI12" s="75">
        <f t="array" ref="AJI12">INDEX('Port Linkages'!$AG$18:$AG$157,MATCH(2,1/(('Port Linkages'!$C$18:$C$157=$AQ12)*('Port Linkages'!$D$18:$D$157=IF($AO12="no",$AQ12,$KK12))*('Port Linkages'!$A$18:$A$157&lt;=$C12))))</f>
        <v>0</v>
      </c>
      <c r="AJJ12" s="75">
        <f t="array" ref="AJJ12">INDEX('Port Linkages'!$AH$18:$AH$157,MATCH(2,1/(('Port Linkages'!$C$18:$C$157=$AQ12)*('Port Linkages'!$D$18:$D$157=IF($AO12="no",$AQ12,$KK12))*('Port Linkages'!$A$18:$A$157&lt;=$C12))))</f>
        <v>0</v>
      </c>
      <c r="AJK12" s="75">
        <f t="array" ref="AJK12">INDEX('Port Linkages'!$AI$18:$AI$157,MATCH(2,1/(('Port Linkages'!$C$18:$C$157=$AQ12)*('Port Linkages'!$D$18:$D$157=IF($AO12="no",$AQ12,$KK12))*('Port Linkages'!$A$18:$A$157&lt;=$C12))))</f>
        <v>0</v>
      </c>
      <c r="AJL12" s="75">
        <f t="array" ref="AJL12">INDEX('Port Linkages'!$AJ$18:$AJ$157,MATCH(2,1/(('Port Linkages'!$C$18:$C$157=$AQ12)*('Port Linkages'!$D$18:$D$157=IF($AO12="no",$AQ12,$KK12))*('Port Linkages'!$A$18:$A$157&lt;=$C12))))</f>
        <v>0</v>
      </c>
      <c r="AJM12" s="75">
        <f t="array" ref="AJM12">INDEX('Port Linkages'!$AK$18:$AK$157,MATCH(2,1/(('Port Linkages'!$C$18:$C$157=$AQ12)*('Port Linkages'!$D$18:$D$157=IF($AO12="no",$AQ12,$KK12))*('Port Linkages'!$A$18:$A$157&lt;=$C12))))</f>
        <v>0</v>
      </c>
      <c r="AJN12" s="75">
        <f t="array" ref="AJN12">INDEX('Port Linkages'!$AL$18:$AL$157,MATCH(2,1/(('Port Linkages'!$C$18:$C$157=$AQ12)*('Port Linkages'!$D$18:$D$157=IF($AO12="no",$AQ12,$KK12))*('Port Linkages'!$A$18:$A$157&lt;=$C12))))</f>
        <v>0</v>
      </c>
      <c r="AJO12" s="75">
        <f t="array" ref="AJO12">INDEX('Port Linkages'!$AM$18:$AM$157,MATCH(2,1/(('Port Linkages'!$C$18:$C$157=$AQ12)*('Port Linkages'!$D$18:$D$157=IF($AO12="no",$AQ12,$KK12))*('Port Linkages'!$A$18:$A$157&lt;=$C12))))</f>
        <v>0</v>
      </c>
      <c r="AJP12" s="75">
        <f t="array" ref="AJP12">INDEX('Port Linkages'!$AN$18:$AN$157,MATCH(2,1/(('Port Linkages'!$C$18:$C$157=$AQ12)*('Port Linkages'!$D$18:$D$157=IF($AO12="no",$AQ12,$KK12))*('Port Linkages'!$A$18:$A$157&lt;=$C12))))</f>
        <v>0</v>
      </c>
      <c r="AJQ12" s="75">
        <f t="array" ref="AJQ12">INDEX('Port Linkages'!$AO$18:$AO$157,MATCH(2,1/(('Port Linkages'!$C$18:$C$157=$AQ12)*('Port Linkages'!$D$18:$D$157=IF($AO12="no",$AQ12,$KK12))*('Port Linkages'!$A$18:$A$157&lt;=$C12))))</f>
        <v>0</v>
      </c>
      <c r="AJR12" s="75">
        <f t="array" ref="AJR12">INDEX('Port Linkages'!$AP$18:$AP$157,MATCH(2,1/(('Port Linkages'!$C$18:$C$157=$AQ12)*('Port Linkages'!$D$18:$D$157=IF($AO12="no",$AQ12,$KK12))*('Port Linkages'!$A$18:$A$157&lt;=$C12))))</f>
        <v>0</v>
      </c>
      <c r="AJS12" s="75">
        <f t="array" ref="AJS12">INDEX('Port Linkages'!$AQ$18:$AQ$157,MATCH(2,1/(('Port Linkages'!$C$18:$C$157=$AQ12)*('Port Linkages'!$D$18:$D$157=IF($AO12="no",$AQ12,$KK12))*('Port Linkages'!$A$18:$A$157&lt;=$C12))))</f>
        <v>0</v>
      </c>
      <c r="AJT12" s="75">
        <f t="array" ref="AJT12">INDEX('Port Linkages'!$AR$18:$AR$157,MATCH(2,1/(('Port Linkages'!$C$18:$C$157=$AQ12)*('Port Linkages'!$D$18:$D$157=IF($AO12="no",$AQ12,$KK12))*('Port Linkages'!$A$18:$A$157&lt;=$C12))))</f>
        <v>0</v>
      </c>
      <c r="AJU12" s="75">
        <f t="array" ref="AJU12">INDEX('Port Linkages'!$AS$18:$AS$157,MATCH(2,1/(('Port Linkages'!$C$18:$C$157=$AQ12)*('Port Linkages'!$D$18:$D$157=IF($AO12="no",$AQ12,$KK12))*('Port Linkages'!$A$18:$A$157&lt;=$C12))))</f>
        <v>0</v>
      </c>
      <c r="AJV12" s="75">
        <f t="array" ref="AJV12">INDEX('Port Linkages'!$AT$18:$AT$157,MATCH(2,1/(('Port Linkages'!$C$18:$C$157=$AQ12)*('Port Linkages'!$D$18:$D$157=IF($AO12="no",$AQ12,$KK12))*('Port Linkages'!$A$18:$A$157&lt;=$C12))))</f>
        <v>0</v>
      </c>
      <c r="AJW12" s="75">
        <f t="array" ref="AJW12">INDEX('Port Linkages'!$AU$18:$AU$157,MATCH(2,1/(('Port Linkages'!$C$18:$C$157=$AQ12)*('Port Linkages'!$D$18:$D$157=IF($AO12="no",$AQ12,$KK12))*('Port Linkages'!$A$18:$A$157&lt;=$C12))))</f>
        <v>0</v>
      </c>
      <c r="AJX12" s="75">
        <f t="array" ref="AJX12">INDEX('Port Linkages'!$AV$18:$AV$157,MATCH(2,1/(('Port Linkages'!$C$18:$C$157=$AQ12)*('Port Linkages'!$D$18:$D$157=IF($AO12="no",$AQ12,$KK12))*('Port Linkages'!$A$18:$A$157&lt;=$C12))))</f>
        <v>0</v>
      </c>
      <c r="AJY12" s="75">
        <f t="array" ref="AJY12">INDEX('Port Linkages'!$AW$18:$AW$157,MATCH(2,1/(('Port Linkages'!$C$18:$C$157=$AQ12)*('Port Linkages'!$D$18:$D$157=IF($AO12="no",$AQ12,$KK12))*('Port Linkages'!$A$18:$A$157&lt;=$C12))))</f>
        <v>0</v>
      </c>
      <c r="AJZ12" s="75">
        <f t="array" ref="AJZ12">INDEX('Port Linkages'!$AX$18:$AX$157,MATCH(2,1/(('Port Linkages'!$C$18:$C$157=$AQ12)*('Port Linkages'!$D$18:$D$157=IF($AO12="no",$AQ12,$KK12))*('Port Linkages'!$A$18:$A$157&lt;=$C12))))</f>
        <v>0</v>
      </c>
      <c r="AKA12" s="75">
        <f t="array" ref="AKA12">INDEX('Port Linkages'!$AY$18:$AY$157,MATCH(2,1/(('Port Linkages'!$C$18:$C$157=$AQ12)*('Port Linkages'!$D$18:$D$157=IF($AO12="no",$AQ12,$KK12))*('Port Linkages'!$A$18:$A$157&lt;=$C12))))</f>
        <v>0</v>
      </c>
      <c r="AKB12" s="75">
        <f t="array" ref="AKB12">INDEX('Port Linkages'!$AZ$18:$AZ$157,MATCH(2,1/(('Port Linkages'!$C$18:$C$157=$AQ12)*('Port Linkages'!$D$18:$D$157=IF($AO12="no",$AQ12,$KK12))*('Port Linkages'!$A$18:$A$157&lt;=$C12))))</f>
        <v>0</v>
      </c>
      <c r="AKC12" s="75">
        <f t="array" ref="AKC12">INDEX('Port Linkages'!$BA$18:$BA$157,MATCH(2,1/(('Port Linkages'!$C$18:$C$157=$AQ12)*('Port Linkages'!$D$18:$D$157=IF($AO12="no",$AQ12,$KK12))*('Port Linkages'!$A$18:$A$157&lt;=$C12))))</f>
        <v>0</v>
      </c>
      <c r="AKE12" s="25" t="e">
        <f t="array" aca="1" ref="AKE12" ca="1">INDEX('Ship Fuel Prices'!$F$5:$F$1004,MATCH(2,1/(('Ship Fuel Prices'!$E$5:$E$1004=_xlfn.IFS(AHT12="Handysize",Main!AJZ12,AHT12="Supramax",AJS12,AHT12="Panamax",AJL12,AHT12="NeoPanamax",AJE12,AHT12="Suezmax",AIX12,AHT12="Capesize",AIQ12,AHT12="VLOC",AIJ12))*('Ship Fuel Prices'!$D$5:$D$1004&lt;=Main!$C12))))</f>
        <v>#N/A</v>
      </c>
      <c r="AKF12" s="25" t="e">
        <f t="array" aca="1" ref="AKF12" ca="1">INDEX('Ship Fuel Prices'!$G$5:$G$1004,MATCH(2,1/(('Ship Fuel Prices'!$E$5:$E$1004=_xlfn.IFS(AHT12="Handysize",Main!AJZ12,AHT12="Supramax",AJS12,AHT12="Panamax",AJL12,AHT12="NeoPanamax",AJE12,AHT12="Suezmax",AIX12,AHT12="Capesize",AIQ12,AHT12="VLOC",AIJ12))*('Ship Fuel Prices'!$D$5:$D$1004&lt;=Main!$C12))))</f>
        <v>#N/A</v>
      </c>
      <c r="AKG12" s="25" t="e">
        <f t="array" aca="1" ref="AKG12" ca="1">INDEX('Ship Fuel Prices'!$H$5:$H$1004,MATCH(2,1/(('Ship Fuel Prices'!$E$5:$E$1004=_xlfn.IFS(AHT12="Handysize",Main!AJZ12,AHT12="Supramax",AJS12,AHT12="Panamax",AJL12,AHT12="NeoPanamax",AJE12,AHT12="Suezmax",AIX12,AHT12="Capesize",AIQ12,AHT12="VLOC",AIJ12))*('Ship Fuel Prices'!$D$5:$D$1004&lt;=Main!$C12))))</f>
        <v>#N/A</v>
      </c>
      <c r="AKH12" s="25" t="e">
        <f t="array" aca="1" ref="AKH12" ca="1">INDEX('Ship Fuel Prices'!$I$5:$I$1004,MATCH(2,1/(('Ship Fuel Prices'!$E$5:$E$1004=_xlfn.IFS(AHT12="Handysize",Main!AJZ12,AHT12="Supramax",AJS12,AHT12="Panamax",AJL12,AHT12="NeoPanamax",AJE12,AHT12="Suezmax",AIX12,AHT12="Capesize",AIQ12,AHT12="VLOC",AIJ12))*('Ship Fuel Prices'!$D$5:$D$1004&lt;=Main!$C12))))</f>
        <v>#N/A</v>
      </c>
      <c r="AKI12" s="25" t="e">
        <f t="array" aca="1" ref="AKI12" ca="1">INDEX('Ship Fuel Prices'!$J$5:$J$1004,MATCH(2,1/(('Ship Fuel Prices'!$E$5:$E$1004=_xlfn.IFS(AHT12="Handysize",Main!AJZ12,AHT12="Supramax",AJS12,AHT12="Panamax",AJL12,AHT12="NeoPanamax",AJE12,AHT12="Suezmax",AIX12,AHT12="Capesize",AIQ12,AHT12="VLOC",AIJ12))*('Ship Fuel Prices'!$D$5:$D$1004&lt;=Main!$C12))))</f>
        <v>#N/A</v>
      </c>
      <c r="AKK12" s="75">
        <f t="array" ref="AKK12">INDEX('China n Importing Ports'!$E$20:$E$41,MATCH(2,1/(('China n Importing Ports'!$D$20:$D$41&lt;=$C12)*('China n Importing Ports'!$C$20:$C$41=IF($AO12="No",$AQ12,$KK12)))))</f>
        <v>0</v>
      </c>
      <c r="AKL12" s="75">
        <f t="array" ref="AKL12">INDEX('China n Importing Ports'!$F$20:$F$41,MATCH(2,1/(('China n Importing Ports'!$D$20:$D$41&lt;=$C12)*('China n Importing Ports'!$C$20:$C$41=IF($AO12="No",$AQ12,$KK12)))))</f>
        <v>0</v>
      </c>
      <c r="AKM12" s="75">
        <f t="array" ref="AKM12">INDEX('China n Importing Ports'!$G$20:$G$41,MATCH(2,1/(('China n Importing Ports'!$D$20:$D$41&lt;=$C12)*('China n Importing Ports'!$C$20:$C$41=IF($AO12="No",$AQ12,$KK12)))))</f>
        <v>0</v>
      </c>
      <c r="AKN12" s="75">
        <f t="array" ref="AKN12">INDEX('China n Importing Ports'!$H$20:$H$41,MATCH(2,1/(('China n Importing Ports'!$D$20:$D$41&lt;=$C12)*('China n Importing Ports'!$C$20:$C$41=IF($AO12="No",$AQ12,$KK12)))))</f>
        <v>0</v>
      </c>
      <c r="AKO12" s="75">
        <f t="array" ref="AKO12">INDEX('China n Importing Ports'!$I$20:$I$41,MATCH(2,1/(('China n Importing Ports'!$D$20:$D$41&lt;=$C12)*('China n Importing Ports'!$C$20:$C$41=IF($AO12="No",$AQ12,$KK12)))))</f>
        <v>0</v>
      </c>
      <c r="AKP12" s="75">
        <f t="array" ref="AKP12">INDEX('China n Importing Ports'!$J$20:$J$41,MATCH(2,1/(('China n Importing Ports'!$D$20:$D$41&lt;=$C12)*('China n Importing Ports'!$C$20:$C$41=IF($AO12="No",$AQ12,$KK12)))))</f>
        <v>0</v>
      </c>
      <c r="AKQ12" s="75">
        <f t="array" ref="AKQ12">INDEX('China n Importing Ports'!$K$20:$K$41,MATCH(2,1/(('China n Importing Ports'!$D$20:$D$41&lt;=$C12)*('China n Importing Ports'!$C$20:$C$41=IF($AO12="No",$AQ12,$KK12)))))</f>
        <v>0</v>
      </c>
      <c r="AKR12" s="75">
        <f t="array" ref="AKR12">INDEX('China n Importing Ports'!$L$20:$L$41,MATCH(2,1/(('China n Importing Ports'!$D$20:$D$41&lt;=$C12)*('China n Importing Ports'!$C$20:$C$41=IF($AO12="No",$AQ12,$KK12)))))</f>
        <v>0</v>
      </c>
      <c r="AKS12" s="75">
        <f t="array" ref="AKS12">INDEX('China n Importing Ports'!$M$20:$M$41,MATCH(2,1/(('China n Importing Ports'!$D$20:$D$41&lt;=$C12)*('China n Importing Ports'!$C$20:$C$41=IF($AO12="No",$AQ12,$KK12)))))</f>
        <v>0</v>
      </c>
      <c r="AKT12" s="75">
        <f t="array" ref="AKT12">INDEX('China n Importing Ports'!$N$20:$N$41,MATCH(2,1/(('China n Importing Ports'!$D$20:$D$41&lt;=$C12)*('China n Importing Ports'!$C$20:$C$41=IF($AO12="No",$AQ12,$KK12)))))</f>
        <v>0</v>
      </c>
      <c r="AKU12" s="75">
        <f t="array" ref="AKU12">INDEX('China n Importing Ports'!$O$20:$O$41,MATCH(2,1/(('China n Importing Ports'!$D$20:$D$41&lt;=$C12)*('China n Importing Ports'!$C$20:$C$41=IF($AO12="No",$AQ12,$KK12)))))</f>
        <v>0</v>
      </c>
      <c r="AKV12" s="136">
        <f t="array" ref="AKV12">INDEX('China n Importing Ports'!$P$20:$P$41,MATCH(2,1/(('China n Importing Ports'!$D$20:$D$41&lt;=$C12)*('China n Importing Ports'!$C$20:$C$41=IF($AO12="No",$AQ12,$KK12)))))</f>
        <v>0</v>
      </c>
      <c r="AKW12" s="136">
        <f t="array" ref="AKW12">INDEX('China n Importing Ports'!$Q$20:$Q$41,MATCH(2,1/(('China n Importing Ports'!$D$20:$D$41&lt;=$C12)*('China n Importing Ports'!$C$20:$C$41=IF($AO12="No",$AQ12,$KK12)))))</f>
        <v>0</v>
      </c>
      <c r="AKX12" s="136">
        <f t="array" ref="AKX12">INDEX('China n Importing Ports'!$R$20:$R$41,MATCH(2,1/(('China n Importing Ports'!$D$20:$D$41&lt;=$C12)*('China n Importing Ports'!$C$20:$C$41=IF($AO12="No",$AQ12,$KK12)))))</f>
        <v>0</v>
      </c>
      <c r="AKY12" s="136">
        <f t="array" ref="AKY12">INDEX('China n Importing Ports'!$S$20:$S$41,MATCH(2,1/(('China n Importing Ports'!$D$20:$D$41&lt;=$C12)*('China n Importing Ports'!$C$20:$C$41=IF($AO12="No",$AQ12,$KK12)))))</f>
        <v>0</v>
      </c>
      <c r="AKZ12" s="136">
        <f t="array" ref="AKZ12">INDEX('China n Importing Ports'!$T$20:$T$41,MATCH(2,1/(('China n Importing Ports'!$D$20:$D$41&lt;=$C12)*('China n Importing Ports'!$C$20:$C$41=IF($AO12="No",$AQ12,$KK12)))))</f>
        <v>0</v>
      </c>
      <c r="ALA12" s="136">
        <f t="array" ref="ALA12">INDEX('China n Importing Ports'!$U$20:$U$41,MATCH(2,1/(('China n Importing Ports'!$D$20:$D$41&lt;=$C12)*('China n Importing Ports'!$C$20:$C$41=IF($AO12="No",$AQ12,$KK12)))))</f>
        <v>0</v>
      </c>
      <c r="ALB12" s="136">
        <f t="array" ref="ALB12">INDEX('China n Importing Ports'!$V$20:$V$41,MATCH(2,1/(('China n Importing Ports'!$D$20:$D$41&lt;=$C12)*('China n Importing Ports'!$C$20:$C$41=IF($AO12="No",$AQ12,$KK12)))))</f>
        <v>0</v>
      </c>
      <c r="ALC12" s="136">
        <f t="array" ref="ALC12">INDEX('China n Importing Ports'!$W$20:$W$41,MATCH(2,1/(('China n Importing Ports'!$D$20:$D$41&lt;=$C12)*('China n Importing Ports'!$C$20:$C$41=IF($AO12="No",$AQ12,$KK12)))))</f>
        <v>0</v>
      </c>
      <c r="ALD12" s="136">
        <f t="array" ref="ALD12">INDEX('China n Importing Ports'!$X$20:$X$41,MATCH(2,1/(('China n Importing Ports'!$D$20:$D$41&lt;=$C12)*('China n Importing Ports'!$C$20:$C$41=IF($AO12="No",$AQ12,$KK12)))))</f>
        <v>0</v>
      </c>
      <c r="ALE12" s="136">
        <f t="array" ref="ALE12">INDEX('China n Importing Ports'!$Y$20:$Y$41,MATCH(2,1/(('China n Importing Ports'!$D$20:$D$41&lt;=$C12)*('China n Importing Ports'!$C$20:$C$41=IF($AO12="No",$AQ12,$KK12)))))</f>
        <v>0</v>
      </c>
      <c r="ALF12" s="136">
        <f t="array" ref="ALF12">INDEX('China n Importing Ports'!$Z$20:$Z$41,MATCH(2,1/(('China n Importing Ports'!$D$20:$D$41&lt;=$C12)*('China n Importing Ports'!$C$20:$C$41=IF($AO12="No",$AQ12,$KK12)))))</f>
        <v>0</v>
      </c>
      <c r="ALG12" s="136">
        <f t="array" ref="ALG12">INDEX('China n Importing Ports'!$AA$20:$AA$41,MATCH(2,1/(('China n Importing Ports'!$D$20:$D$41&lt;=$C12)*('China n Importing Ports'!$C$20:$C$41=IF($AO12="No",$AQ12,$KK12)))))</f>
        <v>0</v>
      </c>
      <c r="ALI12" s="75" t="e">
        <f t="array" aca="1" ref="ALI12" ca="1">INDEX(Canals!$G$24:$G$29,MATCH(2,1/((Canals!$F$24:$F$29&lt;=$C12)*(Canals!$G$24:$G$29=_xlfn.IFS(AHT12="Handysize",AKC12,AHT12="Supramax",AJV12,AHT12="Panamax",AJO12,AHT12="NeoPanamax",AJH12,AHT12="Suezmax",AJA12,AHT12="Capesize",AIT12,AHT12="VLOC",AIM12)))))</f>
        <v>#N/A</v>
      </c>
      <c r="ALJ12" s="75" t="e">
        <f t="array" aca="1" ref="ALJ12" ca="1">INDEX(Canals!$H$24:$H$29,MATCH(2,1/((Canals!$F$24:$F$29&lt;=$C12)*(Canals!$G$24:$G$29=_xlfn.IFS(AHT12="Handysize",AKC12,AHT12="Supramax",AJV12,AHT12="Panamax",AJO12,AHT12="NeoPanamax",AJH12,AHT12="Suezmax",AJA12,AHT12="Capesize",AIT12,AHT12="VLOC",AIM12)))))</f>
        <v>#N/A</v>
      </c>
      <c r="ALK12" s="75" t="e">
        <f t="array" aca="1" ref="ALK12" ca="1">INDEX(Canals!$I$24:$I$29,MATCH(2,1/((Canals!$F$24:$F$29&lt;=$C12)*(Canals!$G$24:$G$29=_xlfn.IFS(AHT12="Handysize",AKC12,AHT12="Supramax",AJV12,AHT12="Panamax",AJO12,AHT12="NeoPanamax",AJH12,AHT12="Suezmax",AJA12,AHT12="Capesize",AIT12,AHT12="VLOC",AIM12)))))</f>
        <v>#N/A</v>
      </c>
      <c r="ALL12" s="75" t="e">
        <f t="array" aca="1" ref="ALL12" ca="1">INDEX(Canals!$J$24:$J$29,MATCH(2,1/((Canals!$F$24:$F$29&lt;=$C12)*(Canals!$G$24:$G$29=_xlfn.IFS(AHT12="Handysize",Main!AKC12,AHT12="Supramax",AJV12,AHT12="Panamax",AJO12,AHT12="NeoPanamax",AJH12,AHT12="Suezmax",AJA12,AHT12="Capesize",AIT12,AHT12="VLOC",AIM12)))))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M12" s="75" t="e">
        <f t="array" aca="1" ref="ALM12" ca="1">INDEX(Canals!$K$24:$K$29,MATCH(2,1/((Canals!$F$24:$F$29&lt;=$C12)*(Canals!$G$24:$G$29=_xlfn.IFS(AHT12="Handysize",Main!AKC12,AHT12="Supramax",AJV12,AHT12="Panamax",AJO12,AHT12="NeoPanamax",AJH12,AHT12="Suezmax",AJA12,AHT12="Capesize",AIT12,AHT12="VLOC",AIM12)))))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N12" s="75" t="e">
        <f t="array" aca="1" ref="ALN12" ca="1">INDEX(Canals!$L$24:$L$29,MATCH(2,1/((Canals!$F$24:$F$29&lt;=$C12)*(Canals!$G$24:$G$29=_xlfn.IFS(AHT12="Handysize",Main!AKC12,AHT12="Supramax",AJV12,AHT12="Panamax",AJO12,AHT12="NeoPanamax",AJH12,AHT12="Suezmax",AJA12,AHT12="Capesize",AIT12,AHT12="VLOC",AIM12)))))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O12" s="75" t="e">
        <f t="array" aca="1" ref="ALO12" ca="1">INDEX(Canals!$M$24:$M$29,MATCH(2,1/((Canals!$F$24:$F$29&lt;=$C12)*(Canals!$G$24:$G$29=_xlfn.IFS(AHT12="Handysize",Main!AKC12,AHT12="Supramax",AJV12,AHT12="Panamax",AJO12,AHT12="NeoPanamax",AJH12,AHT12="Suezmax",AJA12,AHT12="Capesize",AIT12,AHT12="VLOC",AIM12)))))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P12" s="75" t="e">
        <f t="array" aca="1" ref="ALP12" ca="1">INDEX(Canals!$N$24:$N$29,MATCH(2,1/((Canals!$F$24:$F$29&lt;=$C12)*(Canals!$G$24:$G$29=_xlfn.IFS(AHT12="Handysize",Main!AKC12,AHT12="Supramax",AJV12,AHT12="Panamax",AJO12,AHT12="NeoPanamax",AJH12,AHT12="Suezmax",AJA12,AHT12="Capesize",AIT12,AHT12="VLOC",AIM12)))))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Q12" s="75" t="e">
        <f t="array" aca="1" ref="ALQ12" ca="1">INDEX(Canals!$O$24:$O$29,MATCH(2,1/((Canals!$F$24:$F$29&lt;=$C12)*(Canals!$G$24:$G$29=_xlfn.IFS(AHT12="Handysize",Main!AKC12,AHT12="Supramax",AJV12,AHT12="Panamax",AJO12,AHT12="NeoPanamax",AJH12,AHT12="Suezmax",AJA12,AHT12="Capesize",AIT12,AHT12="VLOC",AIM12)))))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R12" s="75" t="e">
        <f t="array" aca="1" ref="ALR12" ca="1">INDEX(Canals!$P$24:$P$29,MATCH(2,1/((Canals!$F$24:$F$29&lt;=$C12)*(Canals!$G$24:$G$29=_xlfn.IFS(AHT12="Handysize",Main!AKC12,AHT12="Supramax",AJV12,AHT12="Panamax",AJO12,AHT12="NeoPanamax",AJH12,AHT12="Suezmax",AJA12,AHT12="Capesize",AIT12,AHT12="VLOC",AIM12)))))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S12" s="75" t="e">
        <f t="array" aca="1" ref="ALS12" ca="1">INDEX(Canals!$Q$24:$Q$29,MATCH(2,1/((Canals!$F$24:$F$29&lt;=$C12)*(Canals!$G$24:$G$29=_xlfn.IFS(AHT12="Handysize",Main!AKC12,AHT12="Supramax",AJV12,AHT12="Panamax",AJO12,AHT12="NeoPanamax",AJH12,AHT12="Suezmax",AJA12,AHT12="Capesize",AIT12,AHT12="VLOC",AIM12)))))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T12" s="75" t="e">
        <f t="array" aca="1" ref="ALT12" ca="1">INDEX(Canals!$R$24:$R$29,MATCH(2,1/((Canals!$F$24:$F$29&lt;=$C12)*(Canals!$G$24:$G$29=_xlfn.IFS(AHT12="Handysize",Main!AKC12,AHT12="Supramax",AJV12,AHT12="Panamax",AJO12,AHT12="NeoPanamax",AJH12,AHT12="Suezmax",AJA12,AHT12="Capesize",AIT12,AHT12="VLOC",AIM12)))))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U12" s="136" t="e">
        <f t="array" aca="1" ref="ALU12" ca="1">INDEX(Canals!$S$24:$S$29,MATCH(2,1/((Canals!$F$24:$F$29&lt;=$C12)*(Canals!$G$24:$G$29=_xlfn.IFS(AHT12="Handysize",Main!AKC12,AHT12="Supramax",AJV12,AHT12="Panamax",AJO12,AHT12="NeoPanamax",AJH12,AHT12="Suezmax",AJA12,AHT12="Capesize",AIT12,AHT12="VLOC",AIM12)))))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V12" s="136" t="e">
        <f t="array" aca="1" ref="ALV12" ca="1">INDEX(Canals!$T$24:$T$29,MATCH(2,1/((Canals!$F$24:$F$29&lt;=$C12)*(Canals!$G$24:$G$29=_xlfn.IFS(AHT12="Handysize",Main!AKC12,AHT12="Supramax",AJV12,AHT12="Panamax",AJO12,AHT12="NeoPanamax",AJH12,AHT12="Suezmax",AJA12,AHT12="Capesize",AIT12,AHT12="VLOC",AIM12)))))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W12" s="136" t="e">
        <f t="array" aca="1" ref="ALW12" ca="1">INDEX(Canals!$U$24:$U$29,MATCH(2,1/((Canals!$F$24:$F$29&lt;=$C12)*(Canals!$G$24:$G$29=_xlfn.IFS(AHT12="Handysize",Main!AKC12,AHT12="Supramax",AJV12,AHT12="Panamax",AJO12,AHT12="NeoPanamax",AJH12,AHT12="Suezmax",AJA12,AHT12="Capesize",AIT12,AHT12="VLOC",AIM12)))))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X12" s="136" t="e">
        <f t="array" aca="1" ref="ALX12" ca="1">INDEX(Canals!$V$24:$V$29,MATCH(2,1/((Canals!$F$24:$F$29&lt;=$C12)*(Canals!$G$24:$G$29=_xlfn.IFS(AHT12="Handysize",Main!AKC12,AHT12="Supramax",AJV12,AHT12="Panamax",AJO12,AHT12="NeoPanamax",AJH12,AHT12="Suezmax",AJA12,AHT12="Capesize",AIT12,AHT12="VLOC",AIM12)))))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Y12" s="136" t="e">
        <f t="array" aca="1" ref="ALY12" ca="1">INDEX(Canals!$W$24:$W$29,MATCH(2,1/((Canals!$F$24:$F$29&lt;=$C12)*(Canals!$G$24:$G$29=_xlfn.IFS(AHT12="Handysize",Main!AKC12,AHT12="Supramax",AJV12,AHT12="Panamax",AJO12,AHT12="NeoPanamax",AJH12,AHT12="Suezmax",AJA12,AHT12="Capesize",AIT12,AHT12="VLOC",AIM12)))))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LZ12" s="136" t="e">
        <f t="array" aca="1" ref="ALZ12" ca="1">INDEX(Canals!$X$24:$X$29,MATCH(2,1/((Canals!$F$24:$F$29&lt;=$C12)*(Canals!$G$24:$G$29=_xlfn.IFS(AHT12="Handysize",Main!AKC12,AHT12="Supramax",AJV12,AHT12="Panamax",AJO12,AHT12="NeoPanamax",AJH12,AHT12="Suezmax",AJA12,AHT12="Capesize",AIT12,AHT12="VLOC",AIM12)))))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A12" s="136" t="e">
        <f t="array" aca="1" ref="AMA12" ca="1">INDEX(Canals!$Y$24:$Y$29,MATCH(2,1/((Canals!$F$24:$F$29&lt;=$C12)*(Canals!$G$24:$G$29=_xlfn.IFS(AHT12="Handysize",Main!AKC12,AHT12="Supramax",AJV12,AHT12="Panamax",AJO12,AHT12="NeoPanamax",AJH12,AHT12="Suezmax",AJA12,AHT12="Capesize",AIT12,AHT12="VLOC",AIM12)))))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B12" s="136" t="e">
        <f t="array" aca="1" ref="AMB12" ca="1">INDEX(Canals!$Z$24:$Z$29,MATCH(2,1/((Canals!$F$24:$F$29&lt;=$C12)*(Canals!$G$24:$G$29=_xlfn.IFS(AHT12="Handysize",Main!AKC12,AHT12="Supramax",AJV12,AHT12="Panamax",AJO12,AHT12="NeoPanamax",AJH12,AHT12="Suezmax",AJA12,AHT12="Capesize",AIT12,AHT12="VLOC",AIM12)))))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C12" s="136" t="e">
        <f t="array" aca="1" ref="AMC12" ca="1">INDEX(Canals!$AA$24:$AA$29,MATCH(2,1/((Canals!$F$24:$F$29&lt;=$C12)*(Canals!$G$24:$G$29=_xlfn.IFS(AHT12="Handysize",Main!AKC12,AHT12="Supramax",AJV12,AHT12="Panamax",AJO12,AHT12="NeoPanamax",AJH12,AHT12="Suezmax",AJA12,AHT12="Capesize",AIT12,AHT12="VLOC",AIM12)))))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D12" s="136" t="e">
        <f t="array" aca="1" ref="AMD12" ca="1">INDEX(Canals!$AB$24:$AB$29,MATCH(2,1/((Canals!$F$24:$F$29&lt;=$C12)*(Canals!$G$24:$G$29=_xlfn.IFS(AHT12="Handysize",Main!AKC12,AHT12="Supramax",AJV12,AHT12="Panamax",AJO12,AHT12="NeoPanamax",AJH12,AHT12="Suezmax",AJA12,AHT12="Capesize",AIT12,AHT12="VLOC",AIM12)))))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E12" s="75" t="e">
        <f t="array" aca="1" ref="AME12" ca="1">INDEX(Canals!$AC$24:$AC$29,MATCH(2,1/((Canals!$F$24:$F$29&lt;=$C12)*(Canals!$G$24:$G$29=_xlfn.IFS(AHT12="Handysize",Main!AKC12,AHT12="Supramax",AJV12,AHT12="Panamax",AJO12,AHT12="NeoPanamax",AJH12,AHT12="Suezmax",AJA12,AHT12="Capesize",AIT12,AHT12="VLOC",AIM12)))))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F12" s="75" t="e">
        <f t="array" aca="1" ref="AMF12" ca="1">INDEX(Canals!$AD$24:$AD$29,MATCH(2,1/((Canals!$F$24:$F$29&lt;=$C12)*(Canals!$G$24:$G$29=_xlfn.IFS(AHT12="Handysize",Main!AKC12,AHT12="Supramax",AJV12,AHT12="Panamax",AJO12,AHT12="NeoPanamax",AJH12,AHT12="Suezmax",AJA12,AHT12="Capesize",AIT12,AHT12="VLOC",AIM12)))))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G12" s="75" t="e">
        <f t="array" aca="1" ref="AMG12" ca="1">INDEX(Canals!$AE$24:$AE$29,MATCH(2,1/((Canals!$F$24:$F$29&lt;=$C12)*(Canals!$G$24:$G$29=_xlfn.IFS(AHT12="Handysize",Main!AKC12,AHT12="Supramax",AJV12,AHT12="Panamax",AJO12,AHT12="NeoPanamax",AJH12,AHT12="Suezmax",AJA12,AHT12="Capesize",AIT12,AHT12="VLOC",AIM12)))))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H12" s="75" t="e">
        <f t="array" aca="1" ref="AMH12" ca="1">INDEX(Canals!$AF$24:$AF$29,MATCH(2,1/((Canals!$F$24:$F$29&lt;=$C12)*(Canals!$G$24:$G$29=_xlfn.IFS(AHT12="Handysize",Main!AKC12,AHT12="Supramax",AJV12,AHT12="Panamax",AJO12,AHT12="NeoPanamax",AJH12,AHT12="Suezmax",AJA12,AHT12="Capesize",AIT12,AHT12="VLOC",AIM12)))))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I12" s="75" t="e">
        <f t="array" aca="1" ref="AMI12" ca="1">INDEX(Canals!$AG$24:$AG$29,MATCH(2,1/((Canals!$F$24:$F$29&lt;=$C12)*(Canals!$G$24:$G$29=_xlfn.IFS(AHT12="Handysize",Main!AKC12,AHT12="Supramax",AJV12,AHT12="Panamax",AJO12,AHT12="NeoPanamax",AJH12,AHT12="Suezmax",AJA12,AHT12="Capesize",AIT12,AHT12="VLOC",AIM12)))))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J12" s="75" t="e">
        <f t="array" aca="1" ref="AMJ12" ca="1">INDEX(Canals!$AH$24:$AH$29,MATCH(2,1/((Canals!$F$24:$F$29&lt;=$C12)*(Canals!$G$24:$G$29=_xlfn.IFS(AHT12="Handysize",Main!AKC12,AHT12="Supramax",AJV12,AHT12="Panamax",AJO12,AHT12="NeoPanamax",AJH12,AHT12="Suezmax",AJA12,AHT12="Capesize",AIT12,AHT12="VLOC",AIM12)))))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K12" s="75" t="e">
        <f t="array" aca="1" ref="AMK12" ca="1">INDEX(Canals!$AI$24:$AI$29,MATCH(2,1/((Canals!$F$24:$F$29&lt;=$C12)*(Canals!$G$24:$G$29=_xlfn.IFS(AHT12="Handysize",Main!AKC12,AHT12="Supramax",AJV12,AHT12="Panamax",AJO12,AHT12="NeoPanamax",AJH12,AHT12="Suezmax",AJA12,AHT12="Capesize",AIT12,AHT12="VLOC",AIM12)))))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L12" s="75" t="e">
        <f t="array" aca="1" ref="AML12" ca="1">INDEX(Canals!$AJ$24:$AJ$29,MATCH(2,1/((Canals!$F$24:$F$29&lt;=$C12)*(Canals!$G$24:$G$29=_xlfn.IFS(AHT12="Handysize",Main!AKC12,AHT12="Supramax",AJV12,AHT12="Panamax",AJO12,AHT12="NeoPanamax",AJH12,AHT12="Suezmax",AJA12,AHT12="Capesize",AIT12,AHT12="VLOC",AIM12)))))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M12" s="75" t="e">
        <f t="array" aca="1" ref="AMM12" ca="1">INDEX(Canals!$AK$24:$AK$29,MATCH(2,1/((Canals!$F$24:$F$29&lt;=$C12)*(Canals!$G$24:$G$29=_xlfn.IFS(AHT12="Handysize",Main!AKC12,AHT12="Supramax",AJV12,AHT12="Panamax",AJO12,AHT12="NeoPanamax",AJH12,AHT12="Suezmax",AJA12,AHT12="Capesize",AIT12,AHT12="VLOC",AIM12)))))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N12" s="136" t="e">
        <f t="array" aca="1" ref="AMN12" ca="1">INDEX(Canals!$AL$24:$AL$29,MATCH(2,1/((Canals!$F$24:$F$29&lt;=$C12)*(Canals!$G$24:$G$29=_xlfn.IFS(AHT12="Handysize",Main!AKC12,AHT12="Supramax",AJV12,AHT12="Panamax",AJO12,AHT12="NeoPanamax",AJH12,AHT12="Suezmax",AJA12,AHT12="Capesize",AIT12,AHT12="VLOC",AIM12)))))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O12" s="136" t="e">
        <f t="array" aca="1" ref="AMO12" ca="1">INDEX(Canals!$AM$24:$AM$29,MATCH(2,1/((Canals!$F$24:$F$29&lt;=$C12)*(Canals!$G$24:$G$29=_xlfn.IFS(AHT12="Handysize",Main!AKC12,AHT12="Supramax",AJV12,AHT12="Panamax",AJO12,AHT12="NeoPanamax",AJH12,AHT12="Suezmax",AJA12,AHT12="Capesize",AIT12,AHT12="VLOC",AIM12)))))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P12" s="136" t="e">
        <f t="array" aca="1" ref="AMP12" ca="1">INDEX(Canals!$AN$24:$AN$29,MATCH(2,1/((Canals!$F$24:$F$29&lt;=$C12)*(Canals!$G$24:$G$29=_xlfn.IFS(AHT12="Handysize",Main!AKC12,AHT12="Supramax",AJV12,AHT12="Panamax",AJO12,AHT12="NeoPanamax",AJH12,AHT12="Suezmax",AJA12,AHT12="Capesize",AIT12,AHT12="VLOC",AIM12)))))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Q12" s="136" t="e">
        <f t="array" aca="1" ref="AMQ12" ca="1">INDEX(Canals!$AO$24:$AO$29,MATCH(2,1/((Canals!$F$24:$F$29&lt;=$C12)*(Canals!$G$24:$G$29=_xlfn.IFS(AHT12="Handysize",Main!AKC12,AHT12="Supramax",AJV12,AHT12="Panamax",AJO12,AHT12="NeoPanamax",AJH12,AHT12="Suezmax",AJA12,AHT12="Capesize",AIT12,AHT12="VLOC",AIM12)))))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R12" s="136" t="e">
        <f t="array" aca="1" ref="AMR12" ca="1">INDEX(Canals!$AP$24:$AP$29,MATCH(2,1/((Canals!$F$24:$F$29&lt;=$C12)*(Canals!$G$24:$G$29=_xlfn.IFS(AHT12="Handysize",Main!AKC12,AHT12="Supramax",AJV12,AHT12="Panamax",AJO12,AHT12="NeoPanamax",AJH12,AHT12="Suezmax",AJA12,AHT12="Capesize",AIT12,AHT12="VLOC",AIM12)))))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S12" s="136" t="e">
        <f t="array" aca="1" ref="AMS12" ca="1">INDEX(Canals!$AQ$24:$AQ$29,MATCH(2,1/((Canals!$F$24:$F$29&lt;=$C12)*(Canals!$G$24:$G$29=_xlfn.IFS(AHT12="Handysize",Main!AKC12,AHT12="Supramax",AJV12,AHT12="Panamax",AJO12,AHT12="NeoPanamax",AJH12,AHT12="Suezmax",AJA12,AHT12="Capesize",AIT12,AHT12="VLOC",AIM12)))))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T12" s="136" t="e">
        <f t="array" aca="1" ref="AMT12" ca="1">INDEX(Canals!$AR$24:$AR$29,MATCH(2,1/((Canals!$F$24:$F$29&lt;=$C12)*(Canals!$G$24:$G$29=_xlfn.IFS(AHT12="Handysize",Main!AKC12,AHT12="Supramax",AJV12,AHT12="Panamax",AJO12,AHT12="NeoPanamax",AJH12,AHT12="Suezmax",AJA12,AHT12="Capesize",AIT12,AHT12="VLOC",AIM12)))))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U12" s="136" t="e">
        <f t="array" aca="1" ref="AMU12" ca="1">INDEX(Canals!$AS$24:$AS$29,MATCH(2,1/((Canals!$F$24:$F$29&lt;=$C12)*(Canals!$G$24:$G$29=_xlfn.IFS(AHT12="Handysize",Main!AKC12,AHT12="Supramax",AJV12,AHT12="Panamax",AJO12,AHT12="NeoPanamax",AJH12,AHT12="Suezmax",AJA12,AHT12="Capesize",AIT12,AHT12="VLOC",AIM12)))))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V12" s="136" t="e">
        <f t="array" aca="1" ref="AMV12" ca="1">INDEX(Canals!$AT$24:$AT$29,MATCH(2,1/((Canals!$F$24:$F$29&lt;=$C12)*(Canals!$G$24:$G$29=_xlfn.IFS(AHT12="Handysize",Main!AKC12,AHT12="Supramax",AJV12,AHT12="Panamax",AJO12,AHT12="NeoPanamax",AJH12,AHT12="Suezmax",AJA12,AHT12="Capesize",AIT12,AHT12="VLOC",AIM12)))))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W12" s="136" t="e">
        <f t="array" aca="1" ref="AMW12" ca="1">INDEX(Canals!$AU$24:$AU$29,MATCH(2,1/((Canals!$F$24:$F$29&lt;=$C12)*(Canals!$G$24:$G$29=_xlfn.IFS(AHT12="Handysize",Main!AKC12,AHT12="Supramax",AJV12,AHT12="Panamax",AJO12,AHT12="NeoPanamax",AJH12,AHT12="Suezmax",AJA12,AHT12="Capesize",AIT12,AHT12="VLOC",AIM12)))))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X12" s="136" t="e">
        <f t="array" aca="1" ref="AMX12" ca="1">INDEX(Canals!$AV$24:$AV$29,MATCH(2,1/((Canals!$F$24:$F$29&lt;=$C12)*(Canals!$G$24:$G$29=_xlfn.IFS(AHT12="Handysize",Main!AKC12,AHT12="Supramax",AJV12,AHT12="Panamax",AJO12,AHT12="NeoPanamax",AJH12,AHT12="Suezmax",AJA12,AHT12="Capesize",AIT12,AHT12="VLOC",AIM12)))))</f>
        <v>#N/A</v>
      </c>
      <c r="AMZ12" s="75" t="e">
        <f t="array" aca="1" ref="AMZ12" ca="1">_xlfn.IFS(ALK12="DWT",AHR12,ALK12="NRT",AHV12,ALK12="GRT",AHW12,ALK12=0,0)</f>
        <v>#NAME?</v>
      </c>
      <c r="ANA12" s="279" t="e">
        <f t="shared" ca="1" si="227"/>
        <v>#NAME?</v>
      </c>
      <c r="ANB12" s="280" t="e">
        <f t="shared" ca="1" si="228"/>
        <v>#NAME?</v>
      </c>
      <c r="ANC12" s="280" t="e">
        <f t="shared" ca="1" si="229"/>
        <v>#NAME?</v>
      </c>
      <c r="AND12" s="280" t="e">
        <f t="shared" ca="1" si="230"/>
        <v>#NAME?</v>
      </c>
      <c r="ANE12" s="280" t="e">
        <f t="shared" ca="1" si="231"/>
        <v>#NAME?</v>
      </c>
      <c r="ANF12" s="280" t="e">
        <f t="shared" ca="1" si="232"/>
        <v>#NAME?</v>
      </c>
      <c r="ANG12" s="280" t="e">
        <f t="shared" ca="1" si="233"/>
        <v>#NAME?</v>
      </c>
      <c r="ANH12" s="280" t="e">
        <f t="shared" ca="1" si="234"/>
        <v>#NAME?</v>
      </c>
      <c r="ANI12" s="280" t="e">
        <f t="shared" ca="1" si="235"/>
        <v>#NAME?</v>
      </c>
      <c r="ANJ12" s="75">
        <f t="shared" si="236"/>
        <v>0</v>
      </c>
      <c r="ANK12" s="279" t="e">
        <f t="shared" ca="1" si="237"/>
        <v>#N/A</v>
      </c>
      <c r="ANL12" s="280" t="e">
        <f t="shared" ca="1" si="238"/>
        <v>#N/A</v>
      </c>
      <c r="ANM12" s="280" t="e">
        <f t="shared" ca="1" si="239"/>
        <v>#N/A</v>
      </c>
      <c r="ANN12" s="280" t="e">
        <f t="shared" ca="1" si="240"/>
        <v>#N/A</v>
      </c>
      <c r="ANO12" s="280" t="e">
        <f t="shared" ca="1" si="241"/>
        <v>#N/A</v>
      </c>
      <c r="ANP12" s="280" t="e">
        <f t="shared" ca="1" si="242"/>
        <v>#N/A</v>
      </c>
      <c r="ANQ12" s="280" t="e">
        <f t="shared" ca="1" si="243"/>
        <v>#N/A</v>
      </c>
      <c r="ANR12" s="280" t="e">
        <f t="shared" ca="1" si="244"/>
        <v>#N/A</v>
      </c>
      <c r="ANS12" s="280" t="e">
        <f t="shared" ca="1" si="245"/>
        <v>#N/A</v>
      </c>
      <c r="ANU12" s="75" t="e">
        <f t="array" aca="1" ref="ANU12" ca="1">_xlfn.IFS(AHT12="Handysize",Main!AJW12,AHT12="Supramax",AJP12,AHT12="Panamax",AJI12,AHT12="NeoPanamax",AJB12,AHT12="Suezmax",AIU12,AHT12="Capesize",AIN12,AHT12="VLOC",AIG12)*$JI12</f>
        <v>#NAME?</v>
      </c>
      <c r="ANV12" s="274" t="e">
        <f t="array" aca="1" ref="ANV12" ca="1">_xlfn.IFS(AHT12="Handysize",Main!AJX12,AHT12="Supramax",AJQ12,AHT12="Panamax",AJJ12,AHT12="NeoPanamax",AJC12,AHT12="Suezmax",AIV12,AHT12="Capesize",AIO12,AHT12="VLOC",AIH12)*$JI12</f>
        <v>#NAME?</v>
      </c>
      <c r="ANW12" s="71" t="e">
        <f t="array" aca="1" ref="ANW12" ca="1">_xlfn.IFS(AHT12="Handysize",Main!AHY12,AHT12="Supramax",AHZ12,AHT12="Panamax",AIA12,AHT12="NeoPanamax",AIB12,AHT12="Suezmax",AIC12,AHT12="Capesize",AID12,AHT12="VLOC",AIE12)</f>
        <v>#NAME?</v>
      </c>
      <c r="ANX12" s="71" t="e">
        <f t="array" aca="1" ref="ANX12" ca="1">_xlfn.IFS(AHT12="Handysize",Main!AKK12,AHT12="Supramax",AKL12,AHT12="Panamax",AKM12,AHT12="NeoPanamax",AKN12,AHT12="Suezmax",AKO12,AHT12="Capesize",AKP12,AHT12="VLOC",AKQ12)</f>
        <v>#NAME?</v>
      </c>
      <c r="ANY12" s="70">
        <f t="array" ref="ANY12">INDEX('Ship Speeds'!$G$11:$G$1011,MATCH(2,1/(('Ship Speeds'!$E$11:$E$1011&lt;=Main!$C12)*('Ship Speeds'!$F$11:$F$1011=Main!AHS12))))</f>
        <v>11</v>
      </c>
      <c r="ANZ12" s="403">
        <f t="shared" si="246"/>
        <v>0</v>
      </c>
      <c r="AOA12" s="401">
        <f t="shared" si="247"/>
        <v>1.2</v>
      </c>
      <c r="AOB12" s="70" t="e">
        <f t="shared" ca="1" si="248"/>
        <v>#NAME?</v>
      </c>
      <c r="AOC12" s="70" t="e">
        <f t="shared" ca="1" si="249"/>
        <v>#NAME?</v>
      </c>
      <c r="AOD12" s="70" t="e">
        <f t="shared" ca="1" si="250"/>
        <v>#NAME?</v>
      </c>
      <c r="AOE12" s="70" t="e">
        <f t="shared" ca="1" si="251"/>
        <v>#NAME?</v>
      </c>
      <c r="AOF12" s="72" t="e">
        <f t="shared" ca="1" si="252"/>
        <v>#N/A</v>
      </c>
      <c r="AOG12" s="70" t="e">
        <f t="shared" ca="1" si="253"/>
        <v>#NAME?</v>
      </c>
      <c r="AOH12" s="70" t="e">
        <f t="array" aca="1" ref="AOH12" ca="1">IF(ANU12=0,0,INDEX(AKE12:AKI12,MATCH(_xlfn.IFS(AHT12="Handysize",Main!AKA12,AHT12="Supramax",AJT12,AHT12="Panamax",AJM12,AHT12="NeoPanamax",AJF12,AHT12="Suezmax",AIY12,AHT12="Capesize",AIR12,AHT12="VLOC",AIK12),$AKE$7:$AKI$7,0)))</f>
        <v>#NAME?</v>
      </c>
      <c r="AOI12" s="70" t="e">
        <f t="array" aca="1" ref="AOI12" ca="1">IF(ANU12=0,0,INDEX(AKE12:AKI12,MATCH(_xlfn.IFS(AHT12="Handysize",Main!AKB12,AHT12="Supramax",AJU12,AHT12="Panamax",AJN12,AHT12="NeoPanamax",AJG12,AHT12="Suezmax",AIZ12,AHT12="Capesize",AIS12,AHT12="VLOC",AIL12),$AKE$7:$AKI$7,0)))</f>
        <v>#NAME?</v>
      </c>
      <c r="AOJ12" s="71" t="e">
        <f t="shared" ca="1" si="254"/>
        <v>#NAME?</v>
      </c>
      <c r="AOK12" s="71" t="e">
        <f t="shared" ca="1" si="255"/>
        <v>#NAME?</v>
      </c>
      <c r="AOL12" s="281" t="e">
        <f t="shared" ca="1" si="256"/>
        <v>#NAME?</v>
      </c>
      <c r="AOM12" s="71" t="e">
        <f t="shared" ca="1" si="257"/>
        <v>#NAME?</v>
      </c>
      <c r="AON12" s="71" t="e">
        <f t="shared" ca="1" si="258"/>
        <v>#NAME?</v>
      </c>
      <c r="AOO12" s="71" t="e">
        <f t="shared" ca="1" si="259"/>
        <v>#NAME?</v>
      </c>
      <c r="AOP12" s="71" t="e">
        <f t="shared" ca="1" si="260"/>
        <v>#NAME?</v>
      </c>
      <c r="AOQ12" s="71" t="e">
        <f t="shared" ca="1" si="261"/>
        <v>#NAME?</v>
      </c>
      <c r="AOR12" s="71" t="e">
        <f t="shared" ca="1" si="262"/>
        <v>#NAME?</v>
      </c>
      <c r="AOS12" s="71" t="e">
        <f t="shared" ca="1" si="263"/>
        <v>#NAME?</v>
      </c>
      <c r="AOT12" s="71" t="e">
        <f t="shared" ca="1" si="264"/>
        <v>#NAME?</v>
      </c>
      <c r="AOU12" s="71" t="e">
        <f t="shared" ca="1" si="265"/>
        <v>#NAME?</v>
      </c>
      <c r="AOV12" s="71" t="e">
        <f t="shared" ca="1" si="266"/>
        <v>#NAME?</v>
      </c>
      <c r="AOW12" s="71" t="e">
        <f t="shared" ca="1" si="267"/>
        <v>#NAME?</v>
      </c>
      <c r="AOX12" s="71" t="e">
        <f t="shared" ca="1" si="268"/>
        <v>#NAME?</v>
      </c>
      <c r="AOY12" s="72" t="e">
        <f t="shared" ca="1" si="269"/>
        <v>#NAME?</v>
      </c>
      <c r="AOZ12" s="72" t="e">
        <f t="shared" ca="1" si="270"/>
        <v>#NAME?</v>
      </c>
      <c r="APA12" s="71" t="e">
        <f t="shared" ca="1" si="271"/>
        <v>#NAME?</v>
      </c>
      <c r="APB12" s="71" t="e">
        <f t="array" aca="1" ref="APB12" ca="1">IF(ANU12=0,0,INDEX('Ship Time Charter Rates'!$H$22:$H$1021,MATCH(2,1/(('Ship Time Charter Rates'!$G$22:$G$1021=_xlfn.IFS(AHT12="Handysize",Main!AJY12,AHT12="Supramax",AJR12,AHT12="Panamax",AJK12,AHT12="NeoPanamax",AJD12,AHT12="Suezmax",AIW12,AHT12="Capesize",AIP12,AHT12="VLOC",AII12))*('Ship Time Charter Rates'!$E$22:$E$1021&lt;=Main!$C12)*(NOT(ISBLANK('Ship Time Charter Rates'!$H$22:$H$1021)))))))</f>
        <v>#NAME?</v>
      </c>
      <c r="APC12" s="71" t="e">
        <f t="shared" ca="1" si="272"/>
        <v>#NAME?</v>
      </c>
      <c r="APD12" s="70" t="e">
        <f t="shared" ca="1" si="273"/>
        <v>#NAME?</v>
      </c>
      <c r="APE12" s="71" t="e">
        <f t="shared" ca="1" si="274"/>
        <v>#NAME?</v>
      </c>
      <c r="APF12" s="71" t="e">
        <f t="shared" ca="1" si="308"/>
        <v>#NAME?</v>
      </c>
      <c r="APG12" s="72" t="e">
        <f t="shared" ca="1" si="309"/>
        <v>#NAME?</v>
      </c>
      <c r="API12" s="287" t="s">
        <v>39</v>
      </c>
      <c r="APK12" s="289" t="e">
        <f t="shared" ca="1" si="275"/>
        <v>#NAME?</v>
      </c>
      <c r="APL12" s="289" t="e">
        <f t="shared" ca="1" si="276"/>
        <v>#NAME?</v>
      </c>
      <c r="APM12" s="289" t="e">
        <f t="shared" ca="1" si="277"/>
        <v>#NAME?</v>
      </c>
      <c r="APO12" s="287" t="s">
        <v>39</v>
      </c>
    </row>
    <row r="13" spans="1:1134">
      <c r="C13" s="5">
        <v>43923</v>
      </c>
      <c r="D13" s="7" t="s">
        <v>20</v>
      </c>
      <c r="E13" s="86" t="s">
        <v>432</v>
      </c>
      <c r="F13" s="6">
        <v>50</v>
      </c>
      <c r="G13" s="1" t="s">
        <v>185</v>
      </c>
      <c r="H13" s="1" t="s">
        <v>5</v>
      </c>
      <c r="I13" s="15"/>
      <c r="J13" s="15"/>
      <c r="K13" s="15"/>
      <c r="L13" s="15"/>
      <c r="M13" s="15"/>
      <c r="N13" s="15"/>
      <c r="O13" s="15"/>
      <c r="P13" s="8"/>
      <c r="Q13" s="98"/>
      <c r="R13" s="7" t="s">
        <v>95</v>
      </c>
      <c r="T13" s="287" t="s">
        <v>39</v>
      </c>
      <c r="V13" s="4"/>
      <c r="W13" s="16" t="str">
        <f t="shared" si="0"/>
        <v>not used yet</v>
      </c>
      <c r="X13" s="16" t="str">
        <f t="shared" si="0"/>
        <v>not used yet</v>
      </c>
      <c r="Y13" s="16" t="str">
        <f t="shared" si="0"/>
        <v>not used yet</v>
      </c>
      <c r="Z13" s="16" t="str">
        <f t="shared" si="0"/>
        <v>not used yet</v>
      </c>
      <c r="AA13" s="16" t="str">
        <f t="shared" si="0"/>
        <v>not used yet</v>
      </c>
      <c r="AB13" s="16" t="str">
        <f t="shared" si="0"/>
        <v>not used yet</v>
      </c>
      <c r="AC13" s="16" t="str">
        <f t="shared" si="0"/>
        <v>not used yet</v>
      </c>
      <c r="AE13" s="88" t="str">
        <f t="shared" si="1"/>
        <v>Gove</v>
      </c>
      <c r="AF13" s="16">
        <f t="shared" si="2"/>
        <v>0.495</v>
      </c>
      <c r="AG13" s="16">
        <f t="shared" si="2"/>
        <v>0.42499999999999999</v>
      </c>
      <c r="AH13" s="61">
        <f t="shared" si="2"/>
        <v>0.05</v>
      </c>
      <c r="AI13" s="61">
        <f t="shared" si="2"/>
        <v>4.2000000000000003E-2</v>
      </c>
      <c r="AJ13" s="61">
        <f t="shared" si="2"/>
        <v>8.0000000000000002E-3</v>
      </c>
      <c r="AK13" s="16">
        <f t="shared" si="2"/>
        <v>2.8000000000000004E-2</v>
      </c>
      <c r="AL13" s="16">
        <f t="shared" si="2"/>
        <v>9.5000000000000001E-2</v>
      </c>
      <c r="AM13" s="24" t="str">
        <f t="shared" si="3"/>
        <v>LT</v>
      </c>
      <c r="AN13" s="427">
        <f t="shared" si="278"/>
        <v>83825.625</v>
      </c>
      <c r="AO13" s="127" t="str">
        <f t="array" ref="AO13">IFERROR(IF(AND(AN13&gt;'Indices Mines Exporting Ports'!$D$11,MATCH(2,1/(('Indices Mines Exporting Ports'!$B$3:$B$10&lt;=C13)*('Indices Mines Exporting Ports'!$C$3:$C$10=E13)))),"Yes","No"),"No")</f>
        <v>No</v>
      </c>
      <c r="AP13" s="126" t="str">
        <f t="array" ref="AP13">IF(AO13="Yes",INDEX('Indices Mines Exporting Ports'!$D$3:$D$10,MATCH(2,1/(('Indices Mines Exporting Ports'!$B$3:$B$10&lt;=Main!C13)*('Indices Mines Exporting Ports'!$C$3:$C$10=Main!AE13)))),IF(NOT(ISBLANK(Q13)),Q13,IP13))</f>
        <v>Gove_wharf</v>
      </c>
      <c r="AQ13" s="262">
        <f t="array" ref="AQ13">IF(AO13="no",0,INDEX('Indices Mines Exporting Ports'!$E$3:$E$10,MATCH(2,1/(('Indices Mines Exporting Ports'!$B$3:$B$10&lt;=Main!$C13)*('Indices Mines Exporting Ports'!$D$3:$D$10=Main!$AP13)))))</f>
        <v>0</v>
      </c>
      <c r="AR13" s="267">
        <f t="array" ref="AR13">IF(AO13="No",0,AN13/ROUND(AN13/INDEX('Indices Mines Exporting Ports'!$F$3:$F$10,MATCH(2,1/(('Indices Mines Exporting Ports'!$B$3:$B$10&lt;=Main!C13)*('Indices Mines Exporting Ports'!$C$3:$C$10=Main!AE13)))),0))</f>
        <v>0</v>
      </c>
      <c r="AS13" s="127" t="str">
        <f t="shared" si="4"/>
        <v>Qingdao</v>
      </c>
      <c r="AT13" s="100" t="str">
        <f t="shared" si="5"/>
        <v>CBIX LT</v>
      </c>
      <c r="AU13" s="100" t="str">
        <f t="shared" si="5"/>
        <v>CBIX LT</v>
      </c>
      <c r="AV13" s="242" t="s">
        <v>4</v>
      </c>
      <c r="AW13" s="242" t="s">
        <v>5</v>
      </c>
      <c r="AX13" s="292" t="e">
        <f t="shared" ca="1" si="6"/>
        <v>#NAME?</v>
      </c>
      <c r="AY13" s="291" t="e">
        <f t="shared" ca="1" si="7"/>
        <v>#NAME?</v>
      </c>
      <c r="AZ13" s="292" t="e">
        <f t="shared" ca="1" si="8"/>
        <v>#NAME?</v>
      </c>
      <c r="BA13" s="102">
        <f t="shared" si="9"/>
        <v>0.67</v>
      </c>
      <c r="BB13" s="12"/>
      <c r="BC13" s="306" t="s">
        <v>403</v>
      </c>
      <c r="BD13" s="407">
        <f t="shared" si="279"/>
        <v>0</v>
      </c>
      <c r="BE13" s="407">
        <f t="shared" si="279"/>
        <v>0</v>
      </c>
      <c r="BF13" s="407">
        <f t="shared" si="279"/>
        <v>0</v>
      </c>
      <c r="BG13" s="407" t="e">
        <f t="shared" ca="1" si="280"/>
        <v>#NAME?</v>
      </c>
      <c r="BH13" s="407">
        <f t="shared" si="281"/>
        <v>0</v>
      </c>
      <c r="BI13" s="263" t="e">
        <f t="shared" ca="1" si="282"/>
        <v>#NAME?</v>
      </c>
      <c r="BK13" s="287" t="s">
        <v>39</v>
      </c>
      <c r="BM13" s="291" t="e">
        <f t="shared" ca="1" si="283"/>
        <v>#NAME?</v>
      </c>
      <c r="BN13" s="298">
        <f t="shared" si="284"/>
        <v>0.495</v>
      </c>
      <c r="BO13" s="298">
        <f t="shared" si="285"/>
        <v>0.42499999999999999</v>
      </c>
      <c r="BP13" s="298">
        <f t="shared" si="286"/>
        <v>0.05</v>
      </c>
      <c r="BQ13" s="298">
        <f t="shared" si="287"/>
        <v>4.2000000000000003E-2</v>
      </c>
      <c r="BR13" s="298">
        <f t="shared" si="288"/>
        <v>8.0000000000000002E-3</v>
      </c>
      <c r="BS13" s="298">
        <f t="shared" si="289"/>
        <v>2.8000000000000004E-2</v>
      </c>
      <c r="BT13" s="298">
        <f t="shared" si="290"/>
        <v>9.5000000000000001E-2</v>
      </c>
      <c r="BU13" s="307" t="str">
        <f t="shared" si="291"/>
        <v>LT</v>
      </c>
      <c r="BV13" s="291">
        <f t="shared" si="292"/>
        <v>0.67</v>
      </c>
      <c r="BX13" s="300">
        <f t="array" ref="BX13">INDEX('Processing Factors'!$D$8:$D$29,MATCH(2,1/(('Processing Factors'!$B$8:$B$29&lt;=Main!$C13)*('Processing Factors'!$C$8:$C$29=Main!BU13))))</f>
        <v>0</v>
      </c>
      <c r="BY13" s="299">
        <f t="array" ref="BY13">INDEX('Processing Factors'!$E$8:$E$29,MATCH(2,1/(('Processing Factors'!$B$8:$B$29&lt;=Main!$C13)*('Processing Factors'!$C$8:$C$29=Main!BU13))))</f>
        <v>1</v>
      </c>
      <c r="BZ13" s="299">
        <f t="array" ref="BZ13">INDEX('Processing Factors'!$F$8:$F$29,MATCH(2,1/(('Processing Factors'!$B$8:$B$29&lt;=Main!$C13)*('Processing Factors'!$C$8:$C$29=Main!BU13))))</f>
        <v>0.9</v>
      </c>
      <c r="CA13" s="299">
        <f t="array" ref="CA13">INDEX('Processing Factors'!$G$8:$G$29,MATCH(2,1/(('Processing Factors'!$B$8:$B$29&lt;=Main!$C13)*('Processing Factors'!$C$8:$C$29=Main!BU13))))</f>
        <v>3.5999999999999997E-2</v>
      </c>
      <c r="CB13" s="299">
        <f t="array" ref="CB13">INDEX('Processing Factors'!$H$8:$H$29,MATCH(2,1/(('Processing Factors'!$B$8:$B$29&lt;=Main!$C13)*('Processing Factors'!$C$8:$C$29=Main!BU13))))</f>
        <v>12.15</v>
      </c>
      <c r="CC13" s="300">
        <f t="array" ref="CC13">INDEX('Processing Factors'!$I$8:$I$29,MATCH(2,1/(('Processing Factors'!$B$8:$B$29&lt;=Main!$C13)*('Processing Factors'!$C$8:$C$29=Main!BU13))))</f>
        <v>0</v>
      </c>
      <c r="CD13" s="300">
        <f t="array" ref="CD13">INDEX('Processing Factors'!$J$8:$J$29,MATCH(2,1/(('Processing Factors'!$B$8:$B$29&lt;=Main!$C13)*('Processing Factors'!$C$8:$C$29=Main!BU13))))</f>
        <v>0.9</v>
      </c>
      <c r="CE13" s="299">
        <f t="array" ref="CE13">INDEX('Processing Factors'!$K$8:$K$29,MATCH(2,1/(('Processing Factors'!$B$8:$B$29&lt;=Main!$C13)*('Processing Factors'!$C$8:$C$29=Main!BU13))))</f>
        <v>3.5000000000000003E-2</v>
      </c>
      <c r="CG13" s="302">
        <f t="shared" si="10"/>
        <v>0.46699999999999997</v>
      </c>
      <c r="CH13" s="302">
        <f t="shared" si="11"/>
        <v>4.2000000000000003E-2</v>
      </c>
      <c r="CI13" s="302">
        <f t="shared" si="12"/>
        <v>0.42499999999999999</v>
      </c>
      <c r="CJ13" s="299">
        <f t="shared" si="13"/>
        <v>2.6143790849673203</v>
      </c>
      <c r="CK13" s="281" t="e">
        <f t="shared" ca="1" si="14"/>
        <v>#NAME?</v>
      </c>
      <c r="CL13" s="299">
        <f t="shared" si="15"/>
        <v>0.13382352941176473</v>
      </c>
      <c r="CM13" s="281">
        <f t="shared" si="16"/>
        <v>32.150932730356146</v>
      </c>
      <c r="CN13" s="281">
        <f t="shared" si="17"/>
        <v>50.37416442905598</v>
      </c>
      <c r="CO13" s="281">
        <f t="shared" si="18"/>
        <v>1.2210288298473715</v>
      </c>
      <c r="CP13" s="299">
        <f t="shared" si="19"/>
        <v>1.784202614379085</v>
      </c>
      <c r="CQ13" s="281">
        <f t="shared" si="20"/>
        <v>7.5644542723816501</v>
      </c>
      <c r="CR13" s="281" t="e">
        <f t="shared" ca="1" si="21"/>
        <v>#NAME?</v>
      </c>
      <c r="CT13" s="287" t="s">
        <v>39</v>
      </c>
      <c r="CV13" s="305" t="e">
        <f t="shared" ca="1" si="22"/>
        <v>#NAME?</v>
      </c>
      <c r="CW13" s="61">
        <f t="array" ref="CW13">INDEX('Indices Mines Exporting Ports'!E$20:E$51, MATCH(2,1/(('Indices Mines Exporting Ports'!$C$20:$C$51=$AT13)*('Indices Mines Exporting Ports'!$D$20:$D$51&lt;=$C13))))</f>
        <v>0.5</v>
      </c>
      <c r="CX13" s="61">
        <f t="array" ref="CX13">INDEX('Indices Mines Exporting Ports'!F$20:F$51, MATCH(2,1/(('Indices Mines Exporting Ports'!$C$20:$C$51=$AT13)*('Indices Mines Exporting Ports'!$D$20:$D$51&lt;=$C13))))</f>
        <v>0.45</v>
      </c>
      <c r="CY13" s="61">
        <f t="array" ref="CY13">INDEX('Indices Mines Exporting Ports'!G$20:G$51, MATCH(2,1/(('Indices Mines Exporting Ports'!$C$20:$C$51=$AT13)*('Indices Mines Exporting Ports'!$D$20:$D$51&lt;=$C13))))</f>
        <v>0.05</v>
      </c>
      <c r="CZ13" s="61">
        <f t="array" ref="CZ13">INDEX('Indices Mines Exporting Ports'!H$20:H$51, MATCH(2,1/(('Indices Mines Exporting Ports'!$C$20:$C$51=$AT13)*('Indices Mines Exporting Ports'!$D$20:$D$51&lt;=$C13))))</f>
        <v>0.05</v>
      </c>
      <c r="DA13" s="61">
        <f t="array" ref="DA13">INDEX('Indices Mines Exporting Ports'!I$20:I$51, MATCH(2,1/(('Indices Mines Exporting Ports'!$C$20:$C$51=$AT13)*('Indices Mines Exporting Ports'!$D$20:$D$51&lt;=$C13))))</f>
        <v>0</v>
      </c>
      <c r="DB13" s="61">
        <f t="array" ref="DB13">INDEX('Indices Mines Exporting Ports'!J$20:J$51, MATCH(2,1/(('Indices Mines Exporting Ports'!$C$20:$C$51=$AT13)*('Indices Mines Exporting Ports'!$D$20:$D$51&lt;=$C13))))</f>
        <v>0</v>
      </c>
      <c r="DC13" s="61">
        <f t="array" ref="DC13">INDEX('Indices Mines Exporting Ports'!K$20:K$51, MATCH(2,1/(('Indices Mines Exporting Ports'!$C$20:$C$51=$AT13)*('Indices Mines Exporting Ports'!$D$20:$D$51&lt;=$C13))))</f>
        <v>0.1</v>
      </c>
      <c r="DD13" s="103" t="str">
        <f t="array" ref="DD13">INDEX('Indices Mines Exporting Ports'!L$20:L$51, MATCH(2,1/(('Indices Mines Exporting Ports'!$C$20:$C$51=$AT13)*('Indices Mines Exporting Ports'!$D$20:$D$51&lt;=$C13))))</f>
        <v>LT</v>
      </c>
      <c r="DE13" s="243">
        <f t="array" ref="DE13">INDEX('Indices Mines Exporting Ports'!M$20:M$51, MATCH(2,1/(('Indices Mines Exporting Ports'!$C$20:$C$51=$AT13)*('Indices Mines Exporting Ports'!$D$20:$D$51&lt;=$C13))))</f>
        <v>0</v>
      </c>
      <c r="DG13" s="300">
        <f t="array" ref="DG13">INDEX('Processing Factors'!$D$8:$D$29,MATCH(2,1/(('Processing Factors'!$B$8:$B$29&lt;=Main!$C13)*('Processing Factors'!$C$8:$C$29=Main!DD13))))</f>
        <v>0</v>
      </c>
      <c r="DH13" s="299">
        <f t="array" ref="DH13">INDEX('Processing Factors'!$E$8:$E$29,MATCH(2,1/(('Processing Factors'!$B$8:$B$29&lt;=Main!$C13)*('Processing Factors'!$C$8:$C$29=Main!DD13))))</f>
        <v>1</v>
      </c>
      <c r="DI13" s="299">
        <f t="array" ref="DI13">INDEX('Processing Factors'!$F$8:$F$29,MATCH(2,1/(('Processing Factors'!$B$8:$B$29&lt;=Main!$C13)*('Processing Factors'!$C$8:$C$29=Main!DD13))))</f>
        <v>0.9</v>
      </c>
      <c r="DJ13" s="299">
        <f t="array" ref="DJ13">INDEX('Processing Factors'!$G$8:$G$29,MATCH(2,1/(('Processing Factors'!$B$8:$B$29&lt;=Main!$C13)*('Processing Factors'!$C$8:$C$29=Main!DD13))))</f>
        <v>3.5999999999999997E-2</v>
      </c>
      <c r="DK13" s="299">
        <f t="array" ref="DK13">INDEX('Processing Factors'!$H$8:$H$29,MATCH(2,1/(('Processing Factors'!$B$8:$B$29&lt;=Main!$C13)*('Processing Factors'!$C$8:$C$29=Main!DD13))))</f>
        <v>12.15</v>
      </c>
      <c r="DL13" s="300">
        <f t="array" ref="DL13">INDEX('Processing Factors'!$I$8:$I$29,MATCH(2,1/(('Processing Factors'!$B$8:$B$29&lt;=Main!$C13)*('Processing Factors'!$C$8:$C$29=Main!DD13))))</f>
        <v>0</v>
      </c>
      <c r="DM13" s="300">
        <f t="array" ref="DM13">INDEX('Processing Factors'!$J$8:$J$29,MATCH(2,1/(('Processing Factors'!$B$8:$B$29&lt;=Main!$C13)*('Processing Factors'!$C$8:$C$29=Main!DD13))))</f>
        <v>0.9</v>
      </c>
      <c r="DN13" s="299">
        <f t="array" ref="DN13">INDEX('Processing Factors'!$K$8:$K$29,MATCH(2,1/(('Processing Factors'!$B$8:$B$29&lt;=Main!$C13)*('Processing Factors'!$C$8:$C$29=Main!DD13))))</f>
        <v>3.5000000000000003E-2</v>
      </c>
      <c r="DP13" s="302">
        <f t="shared" si="23"/>
        <v>0.5</v>
      </c>
      <c r="DQ13" s="302">
        <f t="shared" si="24"/>
        <v>0.05</v>
      </c>
      <c r="DR13" s="302">
        <f t="shared" si="25"/>
        <v>0.45</v>
      </c>
      <c r="DS13" s="299">
        <f t="shared" si="26"/>
        <v>2.4691358024691357</v>
      </c>
      <c r="DT13" s="304">
        <v>0</v>
      </c>
      <c r="DU13" s="299">
        <f t="shared" si="27"/>
        <v>0.14611111111111114</v>
      </c>
      <c r="DV13" s="281">
        <f t="shared" si="28"/>
        <v>35.103008604987139</v>
      </c>
      <c r="DW13" s="281">
        <f t="shared" si="29"/>
        <v>50.37416442905598</v>
      </c>
      <c r="DX13" s="281">
        <f t="shared" si="30"/>
        <v>1.2210288298473715</v>
      </c>
      <c r="DY13" s="299">
        <f t="shared" si="31"/>
        <v>1.6512469135802468</v>
      </c>
      <c r="DZ13" s="281">
        <f t="shared" si="32"/>
        <v>7.0007641898540713</v>
      </c>
      <c r="EA13" s="281">
        <f t="shared" si="33"/>
        <v>93.698966053744556</v>
      </c>
      <c r="EC13" s="287" t="s">
        <v>39</v>
      </c>
      <c r="EE13" s="305" t="e">
        <f t="shared" ca="1" si="34"/>
        <v>#NAME?</v>
      </c>
      <c r="EF13" s="16">
        <f t="array" ref="EF13">INDEX('Indices Mines Exporting Ports'!E$20:E$51, MATCH(2,1/(('Indices Mines Exporting Ports'!$C$20:$C$51=$AU13)*('Indices Mines Exporting Ports'!$D$20:$D$51&lt;=$C13))))</f>
        <v>0.5</v>
      </c>
      <c r="EG13" s="16">
        <f t="array" ref="EG13">INDEX('Indices Mines Exporting Ports'!F$20:F$51, MATCH(2,1/(('Indices Mines Exporting Ports'!$C$20:$C$51=$AU13)*('Indices Mines Exporting Ports'!$D$20:$D$51&lt;=$C13))))</f>
        <v>0.45</v>
      </c>
      <c r="EH13" s="16">
        <f t="array" ref="EH13">INDEX('Indices Mines Exporting Ports'!G$20:G$51, MATCH(2,1/(('Indices Mines Exporting Ports'!$C$20:$C$51=$AU13)*('Indices Mines Exporting Ports'!$D$20:$D$51&lt;=$C13))))</f>
        <v>0.05</v>
      </c>
      <c r="EI13" s="16">
        <f t="array" ref="EI13">INDEX('Indices Mines Exporting Ports'!H$20:H$51, MATCH(2,1/(('Indices Mines Exporting Ports'!$C$20:$C$51=$AU13)*('Indices Mines Exporting Ports'!$D$20:$D$51&lt;=$C13))))</f>
        <v>0.05</v>
      </c>
      <c r="EJ13" s="16">
        <f t="array" ref="EJ13">INDEX('Indices Mines Exporting Ports'!I$20:I$51, MATCH(2,1/(('Indices Mines Exporting Ports'!$C$20:$C$51=$AU13)*('Indices Mines Exporting Ports'!$D$20:$D$51&lt;=$C13))))</f>
        <v>0</v>
      </c>
      <c r="EK13" s="16">
        <f t="array" ref="EK13">INDEX('Indices Mines Exporting Ports'!J$20:J$51, MATCH(2,1/(('Indices Mines Exporting Ports'!$C$20:$C$51=$AU13)*('Indices Mines Exporting Ports'!$D$20:$D$51&lt;=$C13))))</f>
        <v>0</v>
      </c>
      <c r="EL13" s="16">
        <f t="array" ref="EL13">INDEX('Indices Mines Exporting Ports'!K$20:K$51, MATCH(2,1/(('Indices Mines Exporting Ports'!$C$20:$C$51=$AU13)*('Indices Mines Exporting Ports'!$D$20:$D$51&lt;=$C13))))</f>
        <v>0.1</v>
      </c>
      <c r="EM13" s="103" t="str">
        <f t="array" ref="EM13">INDEX('Indices Mines Exporting Ports'!L$20:L$51, MATCH(2,1/(('Indices Mines Exporting Ports'!$C$20:$C$51=$AU13)*('Indices Mines Exporting Ports'!$D$20:$D$51&lt;=$C13))))</f>
        <v>LT</v>
      </c>
      <c r="EN13" s="243">
        <f t="array" ref="EN13">INDEX('Indices Mines Exporting Ports'!M$20:M$51, MATCH(2,1/(('Indices Mines Exporting Ports'!$C$20:$C$51=$AU13)*('Indices Mines Exporting Ports'!$D$20:$D$51&lt;=$C13))))</f>
        <v>0</v>
      </c>
      <c r="EP13" s="300">
        <f t="array" ref="EP13">INDEX('Processing Factors'!$D$8:$D$29,MATCH(2,1/(('Processing Factors'!$B$8:$B$29&lt;=Main!$C13)*('Processing Factors'!$C$8:$C$29=Main!EM13))))</f>
        <v>0</v>
      </c>
      <c r="EQ13" s="299">
        <f t="array" ref="EQ13">INDEX('Processing Factors'!$E$8:$E$29,MATCH(2,1/(('Processing Factors'!$B$8:$B$29&lt;=Main!$C13)*('Processing Factors'!$C$8:$C$29=Main!EM13))))</f>
        <v>1</v>
      </c>
      <c r="ER13" s="299">
        <f t="array" ref="ER13">INDEX('Processing Factors'!$F$8:$F$29,MATCH(2,1/(('Processing Factors'!$B$8:$B$29&lt;=Main!$C13)*('Processing Factors'!$C$8:$C$29=Main!EM13))))</f>
        <v>0.9</v>
      </c>
      <c r="ES13" s="299">
        <f t="array" ref="ES13">INDEX('Processing Factors'!$G$8:$G$29,MATCH(2,1/(('Processing Factors'!$B$8:$B$29&lt;=Main!$C13)*('Processing Factors'!$C$8:$C$29=Main!EM13))))</f>
        <v>3.5999999999999997E-2</v>
      </c>
      <c r="ET13" s="299">
        <f t="array" ref="ET13">INDEX('Processing Factors'!$H$8:$H$29,MATCH(2,1/(('Processing Factors'!$B$8:$B$29&lt;=Main!$C13)*('Processing Factors'!$C$8:$C$29=Main!EM13))))</f>
        <v>12.15</v>
      </c>
      <c r="EU13" s="300">
        <f t="array" ref="EU13">INDEX('Processing Factors'!$I$8:$I$29,MATCH(2,1/(('Processing Factors'!$B$8:$B$29&lt;=Main!$C13)*('Processing Factors'!$C$8:$C$29=Main!EM13))))</f>
        <v>0</v>
      </c>
      <c r="EV13" s="300">
        <f t="array" ref="EV13">INDEX('Processing Factors'!$J$8:$J$29,MATCH(2,1/(('Processing Factors'!$B$8:$B$29&lt;=Main!$C13)*('Processing Factors'!$C$8:$C$29=Main!EM13))))</f>
        <v>0.9</v>
      </c>
      <c r="EW13" s="299">
        <f t="array" ref="EW13">INDEX('Processing Factors'!$K$8:$K$29,MATCH(2,1/(('Processing Factors'!$B$8:$B$29&lt;=Main!$C13)*('Processing Factors'!$C$8:$C$29=Main!EM13))))</f>
        <v>3.5000000000000003E-2</v>
      </c>
      <c r="EY13" s="302">
        <f t="shared" si="35"/>
        <v>0.5</v>
      </c>
      <c r="EZ13" s="302">
        <f t="shared" si="36"/>
        <v>0.05</v>
      </c>
      <c r="FA13" s="302">
        <f t="shared" si="37"/>
        <v>0.45</v>
      </c>
      <c r="FB13" s="299">
        <f t="shared" si="38"/>
        <v>2.4691358024691357</v>
      </c>
      <c r="FC13" s="304">
        <v>0</v>
      </c>
      <c r="FD13" s="299">
        <f t="shared" si="39"/>
        <v>0.14611111111111114</v>
      </c>
      <c r="FE13" s="281">
        <f t="shared" si="40"/>
        <v>35.103008604987139</v>
      </c>
      <c r="FF13" s="281">
        <f t="shared" si="41"/>
        <v>50.37416442905598</v>
      </c>
      <c r="FG13" s="281">
        <f t="shared" si="42"/>
        <v>1.2210288298473715</v>
      </c>
      <c r="FH13" s="299">
        <f t="shared" si="43"/>
        <v>1.6512469135802468</v>
      </c>
      <c r="FI13" s="281">
        <f t="shared" si="44"/>
        <v>7.0007641898540713</v>
      </c>
      <c r="FJ13" s="281">
        <f t="shared" si="45"/>
        <v>93.698966053744556</v>
      </c>
      <c r="FL13" s="287" t="s">
        <v>39</v>
      </c>
      <c r="FN13" s="315" t="e">
        <f t="shared" ca="1" si="293"/>
        <v>#NAME?</v>
      </c>
      <c r="FO13" s="316">
        <f t="shared" si="294"/>
        <v>0.495</v>
      </c>
      <c r="FP13" s="316">
        <f t="shared" si="295"/>
        <v>0.42499999999999999</v>
      </c>
      <c r="FQ13" s="316">
        <f t="shared" si="296"/>
        <v>0.05</v>
      </c>
      <c r="FR13" s="316">
        <f t="shared" si="297"/>
        <v>4.2000000000000003E-2</v>
      </c>
      <c r="FS13" s="316">
        <f t="shared" si="298"/>
        <v>8.0000000000000002E-3</v>
      </c>
      <c r="FT13" s="316">
        <f t="shared" si="299"/>
        <v>2.8000000000000004E-2</v>
      </c>
      <c r="FU13" s="316">
        <f t="shared" si="300"/>
        <v>9.5000000000000001E-2</v>
      </c>
      <c r="FV13" s="317" t="str">
        <f t="shared" si="301"/>
        <v>LT</v>
      </c>
      <c r="FW13" s="318">
        <v>0</v>
      </c>
      <c r="FX13" s="237"/>
      <c r="FY13" s="319">
        <f t="array" ref="FY13">INDEX('Processing Factors'!$D$8:$D$29,MATCH(2,1/(('Processing Factors'!$B$8:$B$29&lt;=Main!$C13)*('Processing Factors'!$C$8:$C$29=Main!FV13))))</f>
        <v>0</v>
      </c>
      <c r="FZ13" s="320">
        <f t="array" ref="FZ13">INDEX('Processing Factors'!$E$8:$E$29,MATCH(2,1/(('Processing Factors'!$B$8:$B$29&lt;=Main!$C13)*('Processing Factors'!$C$8:$C$29=Main!FV13))))</f>
        <v>1</v>
      </c>
      <c r="GA13" s="320">
        <f t="array" ref="GA13">INDEX('Processing Factors'!$F$8:$F$29,MATCH(2,1/(('Processing Factors'!$B$8:$B$29&lt;=Main!$C13)*('Processing Factors'!$C$8:$C$29=Main!FV13))))</f>
        <v>0.9</v>
      </c>
      <c r="GB13" s="320">
        <f t="array" ref="GB13">INDEX('Processing Factors'!$G$8:$G$29,MATCH(2,1/(('Processing Factors'!$B$8:$B$29&lt;=Main!$C13)*('Processing Factors'!$C$8:$C$29=Main!FV13))))</f>
        <v>3.5999999999999997E-2</v>
      </c>
      <c r="GC13" s="320">
        <f t="array" ref="GC13">INDEX('Processing Factors'!$H$8:$H$29,MATCH(2,1/(('Processing Factors'!$B$8:$B$29&lt;=Main!$C13)*('Processing Factors'!$C$8:$C$29=Main!FV13))))</f>
        <v>12.15</v>
      </c>
      <c r="GD13" s="319">
        <f t="array" ref="GD13">INDEX('Processing Factors'!$I$8:$I$29,MATCH(2,1/(('Processing Factors'!$B$8:$B$29&lt;=Main!$C13)*('Processing Factors'!$C$8:$C$29=Main!FV13))))</f>
        <v>0</v>
      </c>
      <c r="GE13" s="321">
        <v>0.92</v>
      </c>
      <c r="GF13" s="320">
        <f t="array" ref="GF13">INDEX('Processing Factors'!$K$8:$K$29,MATCH(2,1/(('Processing Factors'!$B$8:$B$29&lt;=Main!$C13)*('Processing Factors'!$C$8:$C$29=Main!FV13))))</f>
        <v>3.5000000000000003E-2</v>
      </c>
      <c r="GG13" s="237"/>
      <c r="GH13" s="322">
        <f t="shared" si="46"/>
        <v>0.46699999999999997</v>
      </c>
      <c r="GI13" s="322">
        <f t="shared" si="47"/>
        <v>4.2000000000000003E-2</v>
      </c>
      <c r="GJ13" s="322">
        <f t="shared" si="48"/>
        <v>0.42499999999999999</v>
      </c>
      <c r="GK13" s="320">
        <f t="shared" si="49"/>
        <v>2.5575447570332481</v>
      </c>
      <c r="GL13" s="323" t="e">
        <f t="shared" ca="1" si="50"/>
        <v>#NAME?</v>
      </c>
      <c r="GM13" s="320">
        <f t="shared" si="51"/>
        <v>0.1316751918158568</v>
      </c>
      <c r="GN13" s="323">
        <f t="shared" si="52"/>
        <v>31.634797355420659</v>
      </c>
      <c r="GO13" s="323">
        <f t="shared" si="53"/>
        <v>50.37416442905598</v>
      </c>
      <c r="GP13" s="323">
        <f t="shared" si="54"/>
        <v>1.2210288298473715</v>
      </c>
      <c r="GQ13" s="320">
        <f t="shared" si="55"/>
        <v>1.7252199488491049</v>
      </c>
      <c r="GR13" s="323">
        <f t="shared" si="56"/>
        <v>7.3143864422658496</v>
      </c>
      <c r="GS13" s="323" t="e">
        <f t="shared" ca="1" si="57"/>
        <v>#NAME?</v>
      </c>
      <c r="GT13" s="237"/>
      <c r="GU13" s="324" t="e">
        <f t="shared" ca="1" si="58"/>
        <v>#NAME?</v>
      </c>
      <c r="GV13" s="325">
        <f t="array" ref="GV13">INDEX('Indices Mines Exporting Ports'!E$20:E$51, MATCH(2,1/(('Indices Mines Exporting Ports'!$C$20:$C$51=$BC13)*('Indices Mines Exporting Ports'!$D$20:$D$51&lt;=$C13))))</f>
        <v>0.5</v>
      </c>
      <c r="GW13" s="325">
        <f t="array" ref="GW13">INDEX('Indices Mines Exporting Ports'!F$20:F$51, MATCH(2,1/(('Indices Mines Exporting Ports'!$C$20:$C$51=$BC13)*('Indices Mines Exporting Ports'!$D$20:$D$51&lt;=$C13))))</f>
        <v>0.45</v>
      </c>
      <c r="GX13" s="325">
        <f t="array" ref="GX13">INDEX('Indices Mines Exporting Ports'!G$20:G$51, MATCH(2,1/(('Indices Mines Exporting Ports'!$C$20:$C$51=$BC13)*('Indices Mines Exporting Ports'!$D$20:$D$51&lt;=$C13))))</f>
        <v>0.05</v>
      </c>
      <c r="GY13" s="325">
        <f t="array" ref="GY13">INDEX('Indices Mines Exporting Ports'!H$20:H$51, MATCH(2,1/(('Indices Mines Exporting Ports'!$C$20:$C$51=$BC13)*('Indices Mines Exporting Ports'!$D$20:$D$51&lt;=$C13))))</f>
        <v>0.05</v>
      </c>
      <c r="GZ13" s="325">
        <f t="array" ref="GZ13">INDEX('Indices Mines Exporting Ports'!I$20:I$51, MATCH(2,1/(('Indices Mines Exporting Ports'!$C$20:$C$51=$BC13)*('Indices Mines Exporting Ports'!$D$20:$D$51&lt;=$C13))))</f>
        <v>0</v>
      </c>
      <c r="HA13" s="325">
        <f t="array" ref="HA13">INDEX('Indices Mines Exporting Ports'!J$20:J$51, MATCH(2,1/(('Indices Mines Exporting Ports'!$C$20:$C$51=$BC13)*('Indices Mines Exporting Ports'!$D$20:$D$51&lt;=$C13))))</f>
        <v>0</v>
      </c>
      <c r="HB13" s="325">
        <f t="array" ref="HB13">INDEX('Indices Mines Exporting Ports'!K$20:K$51, MATCH(2,1/(('Indices Mines Exporting Ports'!$C$20:$C$51=$BC13)*('Indices Mines Exporting Ports'!$D$20:$D$51&lt;=$C13))))</f>
        <v>0.1</v>
      </c>
      <c r="HC13" s="326" t="str">
        <f t="array" ref="HC13">INDEX('Indices Mines Exporting Ports'!L$20:L$51, MATCH(2,1/(('Indices Mines Exporting Ports'!$C$20:$C$51=$BC13)*('Indices Mines Exporting Ports'!$D$20:$D$51&lt;=$C13))))</f>
        <v>LT</v>
      </c>
      <c r="HD13" s="262">
        <f t="array" ref="HD13">INDEX('Indices Mines Exporting Ports'!M$20:M$51, MATCH(2,1/(('Indices Mines Exporting Ports'!$C$20:$C$51=$BC13)*('Indices Mines Exporting Ports'!$D$20:$D$51&lt;=$C13))))</f>
        <v>0</v>
      </c>
      <c r="HE13" s="237"/>
      <c r="HF13" s="319">
        <f t="array" ref="HF13">INDEX('Processing Factors'!$D$8:$D$29,MATCH(2,1/(('Processing Factors'!$B$8:$B$29&lt;=Main!$C13)*('Processing Factors'!$C$8:$C$29=Main!HC13))))</f>
        <v>0</v>
      </c>
      <c r="HG13" s="320">
        <f t="array" ref="HG13">INDEX('Processing Factors'!$E$8:$E$29,MATCH(2,1/(('Processing Factors'!$B$8:$B$29&lt;=Main!$C13)*('Processing Factors'!$C$8:$C$29=Main!HC13))))</f>
        <v>1</v>
      </c>
      <c r="HH13" s="320">
        <f t="array" ref="HH13">INDEX('Processing Factors'!$F$8:$F$29,MATCH(2,1/(('Processing Factors'!$B$8:$B$29&lt;=Main!$C13)*('Processing Factors'!$C$8:$C$29=Main!HC13))))</f>
        <v>0.9</v>
      </c>
      <c r="HI13" s="320">
        <f t="array" ref="HI13">INDEX('Processing Factors'!$G$8:$G$29,MATCH(2,1/(('Processing Factors'!$B$8:$B$29&lt;=Main!$C13)*('Processing Factors'!$C$8:$C$29=Main!HC13))))</f>
        <v>3.5999999999999997E-2</v>
      </c>
      <c r="HJ13" s="320">
        <f t="array" ref="HJ13">INDEX('Processing Factors'!$H$8:$H$29,MATCH(2,1/(('Processing Factors'!$B$8:$B$29&lt;=Main!$C13)*('Processing Factors'!$C$8:$C$29=Main!HC13))))</f>
        <v>12.15</v>
      </c>
      <c r="HK13" s="319">
        <f t="array" ref="HK13">INDEX('Processing Factors'!$I$8:$I$29,MATCH(2,1/(('Processing Factors'!$B$8:$B$29&lt;=Main!$C13)*('Processing Factors'!$C$8:$C$29=Main!HC13))))</f>
        <v>0</v>
      </c>
      <c r="HL13" s="321">
        <v>0.92</v>
      </c>
      <c r="HM13" s="320">
        <f t="array" ref="HM13">INDEX('Processing Factors'!$K$8:$K$29,MATCH(2,1/(('Processing Factors'!$B$8:$B$29&lt;=Main!$C13)*('Processing Factors'!$C$8:$C$29=Main!HC13))))</f>
        <v>3.5000000000000003E-2</v>
      </c>
      <c r="HN13" s="237"/>
      <c r="HO13" s="322">
        <f t="shared" si="59"/>
        <v>0.5</v>
      </c>
      <c r="HP13" s="322">
        <f t="shared" si="60"/>
        <v>0.05</v>
      </c>
      <c r="HQ13" s="322">
        <f t="shared" si="61"/>
        <v>0.45</v>
      </c>
      <c r="HR13" s="320">
        <f t="shared" si="62"/>
        <v>2.4154589371980677</v>
      </c>
      <c r="HS13" s="263">
        <v>0</v>
      </c>
      <c r="HT13" s="320">
        <f t="shared" si="63"/>
        <v>0.14369565217391306</v>
      </c>
      <c r="HU13" s="323">
        <f t="shared" si="64"/>
        <v>34.522697667559676</v>
      </c>
      <c r="HV13" s="323">
        <f t="shared" si="65"/>
        <v>50.37416442905598</v>
      </c>
      <c r="HW13" s="323">
        <f t="shared" si="66"/>
        <v>1.2210288298473715</v>
      </c>
      <c r="HX13" s="320">
        <f t="shared" si="67"/>
        <v>1.5951545893719807</v>
      </c>
      <c r="HY13" s="323">
        <f t="shared" si="68"/>
        <v>6.7629504919671319</v>
      </c>
      <c r="HZ13" s="323">
        <f t="shared" si="69"/>
        <v>92.880841418430151</v>
      </c>
      <c r="IB13" s="287" t="s">
        <v>39</v>
      </c>
      <c r="ID13" s="89" t="str">
        <f t="shared" si="70"/>
        <v>Gove</v>
      </c>
      <c r="IE13" s="18">
        <f>$C13</f>
        <v>43923</v>
      </c>
      <c r="IF13" s="94">
        <f t="array" ref="IF13">INDEX('Indices Mines Exporting Ports'!E$20:E$51, MATCH(2,1/(('Indices Mines Exporting Ports'!$C$20:$C$51=$ID13)*('Indices Mines Exporting Ports'!$D$20:$D$51&lt;=$IE13))))</f>
        <v>0.495</v>
      </c>
      <c r="IG13" s="94">
        <f t="array" ref="IG13">INDEX('Indices Mines Exporting Ports'!F$20:F$51, MATCH(2,1/(('Indices Mines Exporting Ports'!$C$20:$C$51=$ID13)*('Indices Mines Exporting Ports'!$D$20:$D$51&lt;=$IE13))))</f>
        <v>0.42499999999999999</v>
      </c>
      <c r="IH13" s="95">
        <f t="array" ref="IH13">INDEX('Indices Mines Exporting Ports'!G$20:G$51, MATCH(2,1/(('Indices Mines Exporting Ports'!$C$20:$C$51=$ID13)*('Indices Mines Exporting Ports'!$D$20:$D$51&lt;=$IE13))))</f>
        <v>0.05</v>
      </c>
      <c r="II13" s="95">
        <f t="array" ref="II13">INDEX('Indices Mines Exporting Ports'!H$20:H$51, MATCH(2,1/(('Indices Mines Exporting Ports'!$C$20:$C$51=$ID13)*('Indices Mines Exporting Ports'!$D$20:$D$51&lt;=$IE13))))</f>
        <v>4.2000000000000003E-2</v>
      </c>
      <c r="IJ13" s="95">
        <f t="array" ref="IJ13">INDEX('Indices Mines Exporting Ports'!I$20:I$51, MATCH(2,1/(('Indices Mines Exporting Ports'!$C$20:$C$51=$ID13)*('Indices Mines Exporting Ports'!$D$20:$D$51&lt;=$IE13))))</f>
        <v>8.0000000000000002E-3</v>
      </c>
      <c r="IK13" s="94">
        <f t="array" ref="IK13">INDEX('Indices Mines Exporting Ports'!J$20:J$51, MATCH(2,1/(('Indices Mines Exporting Ports'!$C$20:$C$51=$ID13)*('Indices Mines Exporting Ports'!$D$20:$D$51&lt;=$IE13))))</f>
        <v>2.8000000000000004E-2</v>
      </c>
      <c r="IL13" s="94">
        <f t="array" ref="IL13">INDEX('Indices Mines Exporting Ports'!K$20:K$51, MATCH(2,1/(('Indices Mines Exporting Ports'!$C$20:$C$51=$ID13)*('Indices Mines Exporting Ports'!$D$20:$D$51&lt;=$IE13))))</f>
        <v>9.5000000000000001E-2</v>
      </c>
      <c r="IM13" s="93" t="str">
        <f t="array" ref="IM13">INDEX('Indices Mines Exporting Ports'!L$20:L$51, MATCH(2,1/(('Indices Mines Exporting Ports'!$C$20:$C$51=$ID13)*('Indices Mines Exporting Ports'!$D$20:$D$51&lt;=$IE13))))</f>
        <v>LT</v>
      </c>
      <c r="IN13" s="101">
        <f t="array" ref="IN13">INDEX('Indices Mines Exporting Ports'!M$20:M$51, MATCH(2,1/(('Indices Mines Exporting Ports'!$C$20:$C$51=$ID13)*('Indices Mines Exporting Ports'!$D$20:$D$51&lt;=$IE13))))</f>
        <v>0.67</v>
      </c>
      <c r="IO13" s="96">
        <f t="array" ref="IO13">INDEX('Indices Mines Exporting Ports'!N$20:N$51, MATCH(2,1/(('Indices Mines Exporting Ports'!$C$20:$C$51=$ID13)*('Indices Mines Exporting Ports'!$D$20:$D$51&lt;=$IE13))))</f>
        <v>95000</v>
      </c>
      <c r="IP13" s="95" t="str">
        <f t="array" ref="IP13">INDEX('Indices Mines Exporting Ports'!Q$20:Q$51, MATCH(2,1/(('Indices Mines Exporting Ports'!$C$20:$C$51=$ID13)*('Indices Mines Exporting Ports'!$D$20:$D$51&lt;=$IE13))))</f>
        <v>Gove_wharf</v>
      </c>
      <c r="IQ13" s="95" t="str">
        <f t="array" ref="IQ13">INDEX('Indices Mines Exporting Ports'!O$20:O$51, MATCH(2,1/(('Indices Mines Exporting Ports'!$C$20:$C$51=$ID13)*('Indices Mines Exporting Ports'!$D$20:$D$51&lt;=$IE13))))</f>
        <v>CBIX LT</v>
      </c>
      <c r="IR13" s="95" t="str">
        <f t="array" ref="IR13">INDEX('Indices Mines Exporting Ports'!P$20:P$51, MATCH(2,1/(('Indices Mines Exporting Ports'!$C$20:$C$51=$ID13)*('Indices Mines Exporting Ports'!$D$20:$D$51&lt;=$IE13))))</f>
        <v>CBIX LT</v>
      </c>
      <c r="IT13" s="287" t="s">
        <v>39</v>
      </c>
      <c r="IV13" s="292">
        <f>VLOOKUP($C13,'China Price Series'!$C$10:$D$1009,2,TRUE)/$JA13/(VLOOKUP($C13,'China Price Series'!$C$10:$E$1009,3,TRUE)*$JG13/$JF13)</f>
        <v>4.146021763708311</v>
      </c>
      <c r="IW13" s="292">
        <f>VLOOKUP($C13,'China Price Series'!$G$10:$H$1009,2,TRUE)/$JA13/(VLOOKUP($C13,'China Price Series'!$G$10:$I$1009,3,TRUE))</f>
        <v>240.24872809496895</v>
      </c>
      <c r="IX13" s="292">
        <f>VLOOKUP($C13,'China Price Series'!$K$10:$L$1009,2,TRUE)/$JA13</f>
        <v>33.91746749576032</v>
      </c>
      <c r="IY13" s="292">
        <f>VLOOKUP($C13,'China Price Series'!$N$10:$O$1009,2,TRUE)/$JA13</f>
        <v>4.23968343697004</v>
      </c>
      <c r="JA13" s="277">
        <f t="array" ref="JA13">INDEX('FX rates'!E$10:E$1009,MATCH(2,1/(('FX rates'!$D$10:$D$1009&lt;=Main!$C13)*(NOT(ISBLANK('FX rates'!E$10:E$1009))))))</f>
        <v>7.0759999999999987</v>
      </c>
      <c r="JB13" s="277">
        <f t="array" ref="JB13">INDEX('FX rates'!F$10:F$1009,MATCH(2,1/(('FX rates'!$D$10:$D$1009&lt;=Main!$C13)*(NOT(ISBLANK('FX rates'!F$10:F$1009))))))</f>
        <v>0.59156405988048044</v>
      </c>
      <c r="JC13" s="277">
        <f t="array" ref="JC13">INDEX('FX rates'!G$10:G$1009,MATCH(2,1/(('FX rates'!$D$10:$D$1009&lt;=Main!$C13)*(NOT(ISBLANK('FX rates'!G$10:G$1009))))))</f>
        <v>1</v>
      </c>
      <c r="JD13" s="277">
        <f t="array" ref="JD13">INDEX('FX rates'!H$10:H$1009,MATCH(2,1/(('FX rates'!$D$10:$D$1009&lt;=Main!$C13)*(NOT(ISBLANK('FX rates'!H$10:H$1009))))))</f>
        <v>1.35</v>
      </c>
      <c r="JF13" s="111">
        <f t="array" ref="JF13">INDEX('Global factors'!C$5:C$23,MATCH(2,1/(('Global factors'!$B$5:$B$23&lt;=Main!$C13)*(NOT(ISBLANK('Global factors'!C$5:C$23))))))</f>
        <v>239000</v>
      </c>
      <c r="JG13" s="112">
        <f t="array" ref="JG13">INDEX('Global factors'!D$5:D$23,MATCH(2,1/(('Global factors'!$B$5:$B$23&lt;=Main!$C13)*(NOT(ISBLANK('Global factors'!D$5:D$23))))))</f>
        <v>1000</v>
      </c>
      <c r="JH13" s="112">
        <f t="array" ref="JH13">INDEX('Global factors'!E$5:E$23,MATCH(2,1/(('Global factors'!$B$5:$B$23&lt;=Main!$C13)*(NOT(ISBLANK('Global factors'!E$5:E$23))))))</f>
        <v>24</v>
      </c>
      <c r="JI13" s="112">
        <f t="array" ref="JI13">INDEX('Global factors'!F$5:F$23,MATCH(2,1/(('Global factors'!$B$5:$B$23&lt;=Main!$C13)*(NOT(ISBLANK('Global factors'!F$5:F$23))))))</f>
        <v>2</v>
      </c>
      <c r="JJ13" s="117">
        <f t="array" ref="JJ13">INDEX('Global factors'!G$5:G$23,MATCH(2,1/(('Global factors'!$B$5:$B$23&lt;=Main!$C13)*(NOT(ISBLANK('Global factors'!G$5:G$23))))))</f>
        <v>0.08</v>
      </c>
      <c r="JK13" s="113">
        <f t="array" ref="JK13">INDEX('Global factors'!H$5:H$23,MATCH(2,1/(('Global factors'!$B$5:$B$23&lt;=Main!$C13)*(NOT(ISBLANK('Global factors'!H$5:H$23))))))</f>
        <v>101.96</v>
      </c>
      <c r="JL13" s="113">
        <f t="array" ref="JL13">INDEX('Global factors'!I$5:I$23,MATCH(2,1/(('Global factors'!$B$5:$B$23&lt;=Main!$C13)*(NOT(ISBLANK('Global factors'!I$5:I$23))))))</f>
        <v>60.08</v>
      </c>
      <c r="JM13" s="114">
        <f t="array" ref="JM13">INDEX('Global factors'!J$5:J$23,MATCH(2,1/(('Global factors'!$B$5:$B$23&lt;=Main!$C13)*(NOT(ISBLANK('Global factors'!J$5:J$23))))))</f>
        <v>0.84853528628495334</v>
      </c>
      <c r="JN13" s="115">
        <f t="array" ref="JN13">INDEX('Global factors'!K$5:K$23,MATCH(2,1/(('Global factors'!$B$5:$B$23&lt;=Main!$C13)*(NOT(ISBLANK('Global factors'!K$5:K$23))))))</f>
        <v>0.97499999999999998</v>
      </c>
      <c r="JO13" s="116">
        <f t="array" ref="JO13">INDEX('Global factors'!L$5:L$23,MATCH(2,1/(('Global factors'!$B$5:$B$23&lt;=Main!$C13)*(NOT(ISBLANK('Global factors'!L$5:L$23))))))</f>
        <v>8.7299999999999997E-4</v>
      </c>
      <c r="JP13" s="116">
        <f t="array" ref="JP13">INDEX('Global factors'!M$5:M$23,MATCH(2,1/(('Global factors'!$B$5:$B$23&lt;=Main!$C13)*(NOT(ISBLANK('Global factors'!M$5:M$23))))))</f>
        <v>145.88999999999999</v>
      </c>
      <c r="JQ13" s="116">
        <f t="array" ref="JQ13">INDEX('Global factors'!N$5:N$23,MATCH(2,1/(('Global factors'!$B$5:$B$23&lt;=Main!$C13)*(NOT(ISBLANK('Global factors'!N$5:N$23))))))</f>
        <v>0.40339999999999998</v>
      </c>
      <c r="JR13" s="116">
        <f t="array" ref="JR13">INDEX('Global factors'!O$5:O$23,MATCH(2,1/(('Global factors'!$B$5:$B$23&lt;=Main!$C13)*(NOT(ISBLANK('Global factors'!O$5:O$23))))))</f>
        <v>0</v>
      </c>
      <c r="JS13" s="116">
        <f t="array" ref="JS13">INDEX('Global factors'!P$5:P$23,MATCH(2,1/(('Global factors'!$B$5:$B$23&lt;=Main!$C13)*(NOT(ISBLANK('Global factors'!P$5:P$23))))))</f>
        <v>0.51890000000000003</v>
      </c>
      <c r="JT13" s="116">
        <f t="array" ref="JT13">INDEX('Global factors'!Q$5:Q$23,MATCH(2,1/(('Global factors'!$B$5:$B$23&lt;=Main!$C13)*(NOT(ISBLANK('Global factors'!Q$5:Q$23))))))</f>
        <v>4797</v>
      </c>
      <c r="JU13" s="116">
        <f t="array" ref="JU13">INDEX('Global factors'!R$5:R$23,MATCH(2,1/(('Global factors'!$B$5:$B$23&lt;=Main!$C13)*(NOT(ISBLANK('Global factors'!R$5:R$23))))))</f>
        <v>7</v>
      </c>
      <c r="JV13" s="115">
        <f t="array" ref="JV13">INDEX('Global factors'!S$5:S$23,MATCH(2,1/(('Global factors'!$B$5:$B$23&lt;=Main!$C13)*(NOT(ISBLANK('Global factors'!S$5:S$23))))))</f>
        <v>0.12</v>
      </c>
      <c r="JW13" s="115">
        <f t="array" ref="JW13">INDEX('Global factors'!T$5:T$23,MATCH(2,1/(('Global factors'!$B$5:$B$23&lt;=Main!$C13)*(NOT(ISBLANK('Global factors'!T$5:T$23))))))</f>
        <v>0.5</v>
      </c>
      <c r="JX13" s="116">
        <f t="array" ref="JX13">INDEX('Global factors'!U$5:U$23,MATCH(2,1/(('Global factors'!$B$5:$B$23&lt;=Main!$C13)*(NOT(ISBLANK('Global factors'!U$5:U$23))))))</f>
        <v>0.5</v>
      </c>
      <c r="JY13" s="116">
        <f t="array" ref="JY13">INDEX('Global factors'!V$5:V$23,MATCH(2,1/(('Global factors'!$B$5:$B$23&lt;=Main!$C13)*(NOT(ISBLANK('Global factors'!V$5:V$23))))))</f>
        <v>10000</v>
      </c>
      <c r="JZ13" s="116">
        <f t="array" ref="JZ13">INDEX('Global factors'!W$5:W$23,MATCH(2,1/(('Global factors'!$B$5:$B$23&lt;=Main!$C13)*(NOT(ISBLANK('Global factors'!W$5:W$23))))))</f>
        <v>0.10680000000000001</v>
      </c>
      <c r="KA13" s="116">
        <f t="array" ref="KA13">INDEX('Global factors'!X$5:X$23,MATCH(2,1/(('Global factors'!$B$5:$B$23&lt;=Main!$C13)*(NOT(ISBLANK('Global factors'!X$5:X$23))))))</f>
        <v>1.2</v>
      </c>
      <c r="KB13" s="116">
        <v>0</v>
      </c>
      <c r="KC13" s="272">
        <f t="array" ref="KC13">INDEX('Global factors'!Y$5:Y$23,MATCH(2,1/(('Global factors'!$B$5:$B$23&lt;=Main!$C13)*(NOT(ISBLANK('Global factors'!Y$5:Y$23))))))</f>
        <v>23643.7088248818</v>
      </c>
      <c r="KD13" s="273">
        <f t="array" ref="KD13">INDEX('Global factors'!Z$5:Z$23,MATCH(2,1/(('Global factors'!$B$5:$B$23&lt;=Main!$C13)*(NOT(ISBLANK('Global factors'!Z$5:Z$23))))))</f>
        <v>0.62802869915581405</v>
      </c>
      <c r="KE13" s="273">
        <v>0</v>
      </c>
      <c r="KF13" s="273">
        <v>0</v>
      </c>
      <c r="KG13" s="116">
        <v>0</v>
      </c>
      <c r="KH13" s="116">
        <f t="array" ref="KH13">INDEX('Global factors'!AB$5:AB$23,MATCH(2,1/(('Global factors'!$B$5:$B$23&lt;=Main!$C13)*(NOT(ISBLANK('Global factors'!AB$5:AB$23))))))</f>
        <v>6.2556361557795204E-2</v>
      </c>
      <c r="KI13" s="116">
        <f t="array" ref="KI13">INDEX('Global factors'!AC$5:AC$23,MATCH(2,1/(('Global factors'!$B$5:$B$23&lt;=Main!$C13)*(NOT(ISBLANK('Global factors'!AC$5:AC$23))))))</f>
        <v>8.6923129044225601E-4</v>
      </c>
      <c r="KJ13" s="116">
        <f t="array" ref="KJ13">INDEX('Global factors'!AD$5:AD$23,MATCH(2,1/(('Global factors'!$B$5:$B$23&lt;=Main!$C13)*(NOT(ISBLANK('Global factors'!AD$5:AD$23))))))</f>
        <v>1.1499999999999999</v>
      </c>
      <c r="KK13" s="116" t="str">
        <f t="array" ref="KK13">INDEX('Global factors'!AE$5:AE$23,MATCH(2,1/(('Global factors'!$B$5:$B$23&lt;=Main!$C13)*(NOT(ISBLANK('Global factors'!AE$5:AE$23))))))</f>
        <v>Qingdao</v>
      </c>
      <c r="KL13" s="290">
        <f t="array" ref="KL13">INDEX('Global factors'!AF$5:AF$23,MATCH(2,1/(('Global factors'!$B$5:$B$23&lt;=Main!$C13)*(NOT(ISBLANK('Global factors'!AF$5:AF$23))))))</f>
        <v>3.0000000000000001E-3</v>
      </c>
      <c r="KM13" s="290">
        <f t="array" ref="KM13">INDEX('Global factors'!AG$5:AG$23,MATCH(2,1/(('Global factors'!$B$5:$B$23&lt;=Main!$C13)*(NOT(ISBLANK('Global factors'!AG$5:AG$23))))))</f>
        <v>0.05</v>
      </c>
      <c r="KO13" s="287" t="s">
        <v>39</v>
      </c>
      <c r="KQ13" s="25">
        <f>IF($AO13="no",$AN13,$AR13)/(1-$AL13)/$JN13</f>
        <v>95000</v>
      </c>
      <c r="KR13" s="4" t="str">
        <f>VLOOKUP(KQ13,'Ship Time Charter Rates'!$F$10:$G$17,2,TRUE)</f>
        <v>Panamax</v>
      </c>
      <c r="KS13" s="4" t="str">
        <f>VLOOKUP(KQ13,Canals!$E$5:$F$12,2,TRUE)</f>
        <v>Panamax</v>
      </c>
      <c r="KT13" s="25">
        <f t="shared" si="71"/>
        <v>228.82499999999999</v>
      </c>
      <c r="KU13" s="25">
        <f t="shared" si="72"/>
        <v>38323</v>
      </c>
      <c r="KV13" s="25">
        <f t="shared" si="73"/>
        <v>54092.5</v>
      </c>
      <c r="KX13" s="75">
        <f t="array" ref="KX13">INDEX('Indices Mines Exporting Ports'!$R$20:$R$51,MATCH(2,1/(('Indices Mines Exporting Ports'!$D$20:$D$51&lt;=Main!$C13)*('Indices Mines Exporting Ports'!$Q$20:$Q$51=$AP13))))</f>
        <v>80000</v>
      </c>
      <c r="KY13" s="75">
        <f t="array" ref="KY13">INDEX('Indices Mines Exporting Ports'!$S$20:$S$51,MATCH(2,1/(('Indices Mines Exporting Ports'!$D$20:$D$51&lt;=Main!$C13)*('Indices Mines Exporting Ports'!$Q$20:$Q$51=$AP13))))</f>
        <v>80000</v>
      </c>
      <c r="KZ13" s="75">
        <f t="array" ref="KZ13">INDEX('Indices Mines Exporting Ports'!$T$20:$T$51,MATCH(2,1/(('Indices Mines Exporting Ports'!$D$20:$D$51&lt;=Main!$C13)*('Indices Mines Exporting Ports'!$Q$20:$Q$51=$AP13))))</f>
        <v>80000</v>
      </c>
      <c r="LA13" s="75">
        <f t="array" ref="LA13">INDEX('Indices Mines Exporting Ports'!$U$20:$U$51,MATCH(2,1/(('Indices Mines Exporting Ports'!$D$20:$D$51&lt;=Main!$C13)*('Indices Mines Exporting Ports'!$Q$20:$Q$51=$AP13))))</f>
        <v>80000</v>
      </c>
      <c r="LB13" s="75">
        <f t="array" ref="LB13">INDEX('Indices Mines Exporting Ports'!$V$20:$V$51,MATCH(2,1/(('Indices Mines Exporting Ports'!$D$20:$D$51&lt;=Main!$C13)*('Indices Mines Exporting Ports'!$Q$20:$Q$51=$AP13))))</f>
        <v>80000</v>
      </c>
      <c r="LC13" s="75">
        <f t="array" ref="LC13">INDEX('Indices Mines Exporting Ports'!$W$20:$W$51,MATCH(2,1/(('Indices Mines Exporting Ports'!$D$20:$D$51&lt;=Main!$C13)*('Indices Mines Exporting Ports'!$Q$20:$Q$51=$AP13))))</f>
        <v>40000</v>
      </c>
      <c r="LD13" s="75">
        <f t="array" ref="LD13">INDEX('Indices Mines Exporting Ports'!$X$20:$X$51,MATCH(2,1/(('Indices Mines Exporting Ports'!$D$20:$D$51&lt;=Main!$C13)*('Indices Mines Exporting Ports'!$Q$20:$Q$51=$AP13))))</f>
        <v>40000</v>
      </c>
      <c r="LF13" s="75" t="e">
        <f t="array" ref="LF13">INDEX('Port Linkages'!$E$18:$E$157,MATCH(2,1/(('Port Linkages'!$C$18:$C$157=$AP13)*('Port Linkages'!$D$18:$D$157=IF($AO13="Yes",$AQ13,$AS13))*('Port Linkages'!$A$18:$A$157&lt;=$C13))))</f>
        <v>#N/A</v>
      </c>
      <c r="LG13" s="75">
        <f t="array" ref="LG13">INDEX('Port Linkages'!$F$18:$F$157,MATCH(2,1/(('Port Linkages'!$C$18:$C$157=$AP13)*('Port Linkages'!$D$18:$D$157=IF($AO13="Yes",$AQ13,$AS13))*('Port Linkages'!$A$18:$A$157&lt;=$C13))))</f>
        <v>0</v>
      </c>
      <c r="LH13" s="75" t="str">
        <f t="array" ref="LH13">INDEX('Port Linkages'!$G$18:$G$157,MATCH(2,1/(('Port Linkages'!$C$18:$C$157=$AP13)*('Port Linkages'!$D$18:$D$157=IF($AO13="Yes",$AQ13,$AS13))*('Port Linkages'!$A$18:$A$157&lt;=$C13))))</f>
        <v>VLOC_General</v>
      </c>
      <c r="LI13" s="75" t="str">
        <f t="array" ref="LI13">INDEX('Port Linkages'!$H$18:$H$157,MATCH(2,1/(('Port Linkages'!$C$18:$C$157=$AP13)*('Port Linkages'!$D$18:$D$157=IF($AO13="Yes",$AQ13,$AS13))*('Port Linkages'!$A$18:$A$157&lt;=$C13))))</f>
        <v>Singapore</v>
      </c>
      <c r="LJ13" s="75" t="str">
        <f t="array" ref="LJ13">INDEX('Port Linkages'!$I$18:$I$157,MATCH(2,1/(('Port Linkages'!$C$18:$C$157=$AP13)*('Port Linkages'!$D$18:$D$157=IF($AO13="Yes",$AQ13,$AS13))*('Port Linkages'!$A$18:$A$157&lt;=$C13))))</f>
        <v>VLSFO</v>
      </c>
      <c r="LK13" s="75" t="str">
        <f t="array" ref="LK13">INDEX('Port Linkages'!$J$18:$J$157,MATCH(2,1/(('Port Linkages'!$C$18:$C$157=$AP13)*('Port Linkages'!$D$18:$D$157=IF($AO13="Yes",$AQ13,$AS13))*('Port Linkages'!$A$18:$A$157&lt;=$C13))))</f>
        <v>MGO_Regular</v>
      </c>
      <c r="LL13" s="75" t="str">
        <f t="array" ref="LL13">INDEX('Port Linkages'!$K$18:$K$157,MATCH(2,1/(('Port Linkages'!$C$18:$C$157=$AP13)*('Port Linkages'!$D$18:$D$157=IF($AO13="Yes",$AQ13,$AS13))*('Port Linkages'!$A$18:$A$157&lt;=$C13))))</f>
        <v>none</v>
      </c>
      <c r="LM13" s="75" t="e">
        <f t="array" ref="LM13">INDEX('Port Linkages'!$L$18:$L$157,MATCH(2,1/(('Port Linkages'!$C$18:$C$157=$AP13)*('Port Linkages'!$D$18:$D$157=IF($AO13="Yes",$AQ13,$AS13))*('Port Linkages'!$A$18:$A$157&lt;=$C13))))</f>
        <v>#N/A</v>
      </c>
      <c r="LN13" s="75">
        <f t="array" ref="LN13">INDEX('Port Linkages'!$M$18:$M$157,MATCH(2,1/(('Port Linkages'!$C$18:$C$157=$AP13)*('Port Linkages'!$D$18:$D$157=IF($AO13="Yes",$AQ13,$AS13))*('Port Linkages'!$A$18:$A$157&lt;=$C13))))</f>
        <v>0</v>
      </c>
      <c r="LO13" s="75" t="str">
        <f t="array" ref="LO13">INDEX('Port Linkages'!$N$18:$N$157,MATCH(2,1/(('Port Linkages'!$C$18:$C$157=$AP13)*('Port Linkages'!$D$18:$D$157=IF($AO13="Yes",$AQ13,$AS13))*('Port Linkages'!$A$18:$A$157&lt;=$C13))))</f>
        <v>Capesize_General</v>
      </c>
      <c r="LP13" s="75" t="str">
        <f t="array" ref="LP13">INDEX('Port Linkages'!$O$18:$O$157,MATCH(2,1/(('Port Linkages'!$C$18:$C$157=$AP13)*('Port Linkages'!$D$18:$D$157=IF($AO13="Yes",$AQ13,$AS13))*('Port Linkages'!$A$18:$A$157&lt;=$C13))))</f>
        <v>Singapore</v>
      </c>
      <c r="LQ13" s="75" t="str">
        <f t="array" ref="LQ13">INDEX('Port Linkages'!$P$18:$P$157,MATCH(2,1/(('Port Linkages'!$C$18:$C$157=$AP13)*('Port Linkages'!$D$18:$D$157=IF($AO13="Yes",$AQ13,$AS13))*('Port Linkages'!$A$18:$A$157&lt;=$C13))))</f>
        <v>VLSFO</v>
      </c>
      <c r="LR13" s="75" t="str">
        <f t="array" ref="LR13">INDEX('Port Linkages'!$Q$18:$Q$157,MATCH(2,1/(('Port Linkages'!$C$18:$C$157=$AP13)*('Port Linkages'!$D$18:$D$157=IF($AO13="Yes",$AQ13,$AS13))*('Port Linkages'!$A$18:$A$157&lt;=$C13))))</f>
        <v>MGO_Regular</v>
      </c>
      <c r="LS13" s="75" t="str">
        <f t="array" ref="LS13">INDEX('Port Linkages'!$R$18:$R$157,MATCH(2,1/(('Port Linkages'!$C$18:$C$157=$AP13)*('Port Linkages'!$D$18:$D$157=IF($AO13="Yes",$AQ13,$AS13))*('Port Linkages'!$A$18:$A$157&lt;=$C13))))</f>
        <v>none</v>
      </c>
      <c r="LT13" s="75" t="e">
        <f t="array" ref="LT13">INDEX('Port Linkages'!$S$18:$S$157,MATCH(2,1/(('Port Linkages'!$C$18:$C$157=$AP13)*('Port Linkages'!$D$18:$D$157=IF($AO13="Yes",$AQ13,$AS13))*('Port Linkages'!$A$18:$A$157&lt;=$C13))))</f>
        <v>#N/A</v>
      </c>
      <c r="LU13" s="75">
        <f t="array" ref="LU13">INDEX('Port Linkages'!$T$18:$T$157,MATCH(2,1/(('Port Linkages'!$C$18:$C$157=$AP13)*('Port Linkages'!$D$18:$D$157=IF($AO13="Yes",$AQ13,$AS13))*('Port Linkages'!$A$18:$A$157&lt;=$C13))))</f>
        <v>0</v>
      </c>
      <c r="LV13" s="75" t="str">
        <f t="array" ref="LV13">INDEX('Port Linkages'!$U$18:$U$157,MATCH(2,1/(('Port Linkages'!$C$18:$C$157=$AP13)*('Port Linkages'!$D$18:$D$157=IF($AO13="Yes",$AQ13,$AS13))*('Port Linkages'!$A$18:$A$157&lt;=$C13))))</f>
        <v>Capesize_General</v>
      </c>
      <c r="LW13" s="75" t="str">
        <f t="array" ref="LW13">INDEX('Port Linkages'!$V$18:$V$157,MATCH(2,1/(('Port Linkages'!$C$18:$C$157=$AP13)*('Port Linkages'!$D$18:$D$157=IF($AO13="Yes",$AQ13,$AS13))*('Port Linkages'!$A$18:$A$157&lt;=$C13))))</f>
        <v>Singapore</v>
      </c>
      <c r="LX13" s="75" t="str">
        <f t="array" ref="LX13">INDEX('Port Linkages'!$W$18:$W$157,MATCH(2,1/(('Port Linkages'!$C$18:$C$157=$AP13)*('Port Linkages'!$D$18:$D$157=IF($AO13="Yes",$AQ13,$AS13))*('Port Linkages'!$A$18:$A$157&lt;=$C13))))</f>
        <v>VLSFO</v>
      </c>
      <c r="LY13" s="75" t="str">
        <f t="array" ref="LY13">INDEX('Port Linkages'!$X$18:$X$157,MATCH(2,1/(('Port Linkages'!$C$18:$C$157=$AP13)*('Port Linkages'!$D$18:$D$157=IF($AO13="Yes",$AQ13,$AS13))*('Port Linkages'!$A$18:$A$157&lt;=$C13))))</f>
        <v>MGO_Regular</v>
      </c>
      <c r="LZ13" s="75" t="str">
        <f t="array" ref="LZ13">INDEX('Port Linkages'!$Y$18:$Y$157,MATCH(2,1/(('Port Linkages'!$C$18:$C$157=$AP13)*('Port Linkages'!$D$18:$D$157=IF($AO13="Yes",$AQ13,$AS13))*('Port Linkages'!$A$18:$A$157&lt;=$C13))))</f>
        <v>none</v>
      </c>
      <c r="MA13" s="75">
        <f t="array" ref="MA13">INDEX('Port Linkages'!$Z$18:$Z$157,MATCH(2,1/(('Port Linkages'!$C$18:$C$157=$AP13)*('Port Linkages'!$D$18:$D$157=IF($AO13="Yes",$AQ13,$AS13))*('Port Linkages'!$A$18:$A$157&lt;=$C13))))</f>
        <v>3079</v>
      </c>
      <c r="MB13" s="75">
        <f t="array" ref="MB13">INDEX('Port Linkages'!$AA$18:$AA$157,MATCH(2,1/(('Port Linkages'!$C$18:$C$157=$AP13)*('Port Linkages'!$D$18:$D$157=IF($AO13="Yes",$AQ13,$AS13))*('Port Linkages'!$A$18:$A$157&lt;=$C13))))</f>
        <v>0</v>
      </c>
      <c r="MC13" s="75" t="str">
        <f t="array" ref="MC13">INDEX('Port Linkages'!$AB$18:$AB$157,MATCH(2,1/(('Port Linkages'!$C$18:$C$157=$AP13)*('Port Linkages'!$D$18:$D$157=IF($AO13="Yes",$AQ13,$AS13))*('Port Linkages'!$A$18:$A$157&lt;=$C13))))</f>
        <v>Capesize_General</v>
      </c>
      <c r="MD13" s="75" t="str">
        <f t="array" ref="MD13">INDEX('Port Linkages'!$AC$18:$AC$157,MATCH(2,1/(('Port Linkages'!$C$18:$C$157=$AP13)*('Port Linkages'!$D$18:$D$157=IF($AO13="Yes",$AQ13,$AS13))*('Port Linkages'!$A$18:$A$157&lt;=$C13))))</f>
        <v>Singapore</v>
      </c>
      <c r="ME13" s="75" t="str">
        <f t="array" ref="ME13">INDEX('Port Linkages'!$AD$18:$AD$157,MATCH(2,1/(('Port Linkages'!$C$18:$C$157=$AP13)*('Port Linkages'!$D$18:$D$157=IF($AO13="Yes",$AQ13,$AS13))*('Port Linkages'!$A$18:$A$157&lt;=$C13))))</f>
        <v>VLSFO</v>
      </c>
      <c r="MF13" s="75" t="str">
        <f t="array" ref="MF13">INDEX('Port Linkages'!$AE$18:$AE$157,MATCH(2,1/(('Port Linkages'!$C$18:$C$157=$AP13)*('Port Linkages'!$D$18:$D$157=IF($AO13="Yes",$AQ13,$AS13))*('Port Linkages'!$A$18:$A$157&lt;=$C13))))</f>
        <v>MGO_Regular</v>
      </c>
      <c r="MG13" s="75" t="str">
        <f t="array" ref="MG13">INDEX('Port Linkages'!$AF$18:$AF$157,MATCH(2,1/(('Port Linkages'!$C$18:$C$157=$AP13)*('Port Linkages'!$D$18:$D$157=IF($AO13="Yes",$AQ13,$AS13))*('Port Linkages'!$A$18:$A$157&lt;=$C13))))</f>
        <v>none</v>
      </c>
      <c r="MH13" s="75">
        <f t="array" ref="MH13">INDEX('Port Linkages'!$AG$18:$AG$157,MATCH(2,1/(('Port Linkages'!$C$18:$C$157=$AP13)*('Port Linkages'!$D$18:$D$157=IF($AO13="Yes",$AQ13,$AS13))*('Port Linkages'!$A$18:$A$157&lt;=$C13))))</f>
        <v>3079</v>
      </c>
      <c r="MI13" s="75">
        <f t="array" ref="MI13">INDEX('Port Linkages'!$AH$18:$AH$157,MATCH(2,1/(('Port Linkages'!$C$18:$C$157=$AP13)*('Port Linkages'!$D$18:$D$157=IF($AO13="Yes",$AQ13,$AS13))*('Port Linkages'!$A$18:$A$157&lt;=$C13))))</f>
        <v>0</v>
      </c>
      <c r="MJ13" s="75" t="str">
        <f t="array" ref="MJ13">INDEX('Port Linkages'!$AI$18:$AI$157,MATCH(2,1/(('Port Linkages'!$C$18:$C$157=$AP13)*('Port Linkages'!$D$18:$D$157=IF($AO13="Yes",$AQ13,$AS13))*('Port Linkages'!$A$18:$A$157&lt;=$C13))))</f>
        <v>Panamax_General</v>
      </c>
      <c r="MK13" s="75" t="str">
        <f t="array" ref="MK13">INDEX('Port Linkages'!$AJ$18:$AJ$157,MATCH(2,1/(('Port Linkages'!$C$18:$C$157=$AP13)*('Port Linkages'!$D$18:$D$157=IF($AO13="Yes",$AQ13,$AS13))*('Port Linkages'!$A$18:$A$157&lt;=$C13))))</f>
        <v>Singapore</v>
      </c>
      <c r="ML13" s="75" t="str">
        <f t="array" ref="ML13">INDEX('Port Linkages'!$AK$18:$AK$157,MATCH(2,1/(('Port Linkages'!$C$18:$C$157=$AP13)*('Port Linkages'!$D$18:$D$157=IF($AO13="Yes",$AQ13,$AS13))*('Port Linkages'!$A$18:$A$157&lt;=$C13))))</f>
        <v>VLSFO</v>
      </c>
      <c r="MM13" s="75" t="str">
        <f t="array" ref="MM13">INDEX('Port Linkages'!$AL$18:$AL$157,MATCH(2,1/(('Port Linkages'!$C$18:$C$157=$AP13)*('Port Linkages'!$D$18:$D$157=IF($AO13="Yes",$AQ13,$AS13))*('Port Linkages'!$A$18:$A$157&lt;=$C13))))</f>
        <v>MGO_Regular</v>
      </c>
      <c r="MN13" s="75" t="str">
        <f t="array" ref="MN13">INDEX('Port Linkages'!$AM$18:$AM$157,MATCH(2,1/(('Port Linkages'!$C$18:$C$157=$AP13)*('Port Linkages'!$D$18:$D$157=IF($AO13="Yes",$AQ13,$AS13))*('Port Linkages'!$A$18:$A$157&lt;=$C13))))</f>
        <v>none</v>
      </c>
      <c r="MO13" s="75">
        <f t="array" ref="MO13">INDEX('Port Linkages'!$AN$18:$AN$157,MATCH(2,1/(('Port Linkages'!$C$18:$C$157=$AP13)*('Port Linkages'!$D$18:$D$157=IF($AO13="Yes",$AQ13,$AS13))*('Port Linkages'!$A$18:$A$157&lt;=$C13))))</f>
        <v>3079</v>
      </c>
      <c r="MP13" s="75">
        <f t="array" ref="MP13">INDEX('Port Linkages'!$AO$18:$AO$157,MATCH(2,1/(('Port Linkages'!$C$18:$C$157=$AP13)*('Port Linkages'!$D$18:$D$157=IF($AO13="Yes",$AQ13,$AS13))*('Port Linkages'!$A$18:$A$157&lt;=$C13))))</f>
        <v>0</v>
      </c>
      <c r="MQ13" s="75" t="str">
        <f t="array" ref="MQ13">INDEX('Port Linkages'!$AP$18:$AP$157,MATCH(2,1/(('Port Linkages'!$C$18:$C$157=$AP13)*('Port Linkages'!$D$18:$D$157=IF($AO13="Yes",$AQ13,$AS13))*('Port Linkages'!$A$18:$A$157&lt;=$C13))))</f>
        <v>Supramax_General</v>
      </c>
      <c r="MR13" s="75" t="str">
        <f t="array" ref="MR13">INDEX('Port Linkages'!$AQ$18:$AQ$157,MATCH(2,1/(('Port Linkages'!$C$18:$C$157=$AP13)*('Port Linkages'!$D$18:$D$157=IF($AO13="Yes",$AQ13,$AS13))*('Port Linkages'!$A$18:$A$157&lt;=$C13))))</f>
        <v>Singapore</v>
      </c>
      <c r="MS13" s="75" t="str">
        <f t="array" ref="MS13">INDEX('Port Linkages'!$AR$18:$AR$157,MATCH(2,1/(('Port Linkages'!$C$18:$C$157=$AP13)*('Port Linkages'!$D$18:$D$157=IF($AO13="Yes",$AQ13,$AS13))*('Port Linkages'!$A$18:$A$157&lt;=$C13))))</f>
        <v>VLSFO</v>
      </c>
      <c r="MT13" s="75" t="str">
        <f t="array" ref="MT13">INDEX('Port Linkages'!$AS$18:$AS$157,MATCH(2,1/(('Port Linkages'!$C$18:$C$157=$AP13)*('Port Linkages'!$D$18:$D$157=IF($AO13="Yes",$AQ13,$AS13))*('Port Linkages'!$A$18:$A$157&lt;=$C13))))</f>
        <v>MGO_Regular</v>
      </c>
      <c r="MU13" s="75" t="str">
        <f t="array" ref="MU13">INDEX('Port Linkages'!$AT$18:$AT$157,MATCH(2,1/(('Port Linkages'!$C$18:$C$157=$AP13)*('Port Linkages'!$D$18:$D$157=IF($AO13="Yes",$AQ13,$AS13))*('Port Linkages'!$A$18:$A$157&lt;=$C13))))</f>
        <v>none</v>
      </c>
      <c r="MV13" s="75">
        <f t="array" ref="MV13">INDEX('Port Linkages'!$AU$18:$AU$157,MATCH(2,1/(('Port Linkages'!$C$18:$C$157=$AP13)*('Port Linkages'!$D$18:$D$157=IF($AO13="Yes",$AQ13,$AS13))*('Port Linkages'!$A$18:$A$157&lt;=$C13))))</f>
        <v>3079</v>
      </c>
      <c r="MW13" s="75">
        <f t="array" ref="MW13">INDEX('Port Linkages'!$AV$18:$AV$157,MATCH(2,1/(('Port Linkages'!$C$18:$C$157=$AP13)*('Port Linkages'!$D$18:$D$157=IF($AO13="Yes",$AQ13,$AS13))*('Port Linkages'!$A$18:$A$157&lt;=$C13))))</f>
        <v>0</v>
      </c>
      <c r="MX13" s="75" t="str">
        <f t="array" ref="MX13">INDEX('Port Linkages'!$AW$18:$AW$157,MATCH(2,1/(('Port Linkages'!$C$18:$C$157=$AP13)*('Port Linkages'!$D$18:$D$157=IF($AO13="Yes",$AQ13,$AS13))*('Port Linkages'!$A$18:$A$157&lt;=$C13))))</f>
        <v>Handysize_General</v>
      </c>
      <c r="MY13" s="75" t="str">
        <f t="array" ref="MY13">INDEX('Port Linkages'!$AX$18:$AX$157,MATCH(2,1/(('Port Linkages'!$C$18:$C$157=$AP13)*('Port Linkages'!$D$18:$D$157=IF($AO13="Yes",$AQ13,$AS13))*('Port Linkages'!$A$18:$A$157&lt;=$C13))))</f>
        <v>Singapore</v>
      </c>
      <c r="MZ13" s="75" t="str">
        <f t="array" ref="MZ13">INDEX('Port Linkages'!$AY$18:$AY$157,MATCH(2,1/(('Port Linkages'!$C$18:$C$157=$AP13)*('Port Linkages'!$D$18:$D$157=IF($AO13="Yes",$AQ13,$AS13))*('Port Linkages'!$A$18:$A$157&lt;=$C13))))</f>
        <v>VLSFO</v>
      </c>
      <c r="NA13" s="75" t="str">
        <f t="array" ref="NA13">INDEX('Port Linkages'!$AZ$18:$AZ$157,MATCH(2,1/(('Port Linkages'!$C$18:$C$157=$AP13)*('Port Linkages'!$D$18:$D$157=IF($AO13="Yes",$AQ13,$AS13))*('Port Linkages'!$A$18:$A$157&lt;=$C13))))</f>
        <v>MGO_Regular</v>
      </c>
      <c r="NB13" s="75" t="str">
        <f t="array" ref="NB13">INDEX('Port Linkages'!$BA$18:$BA$157,MATCH(2,1/(('Port Linkages'!$C$18:$C$157=$AP13)*('Port Linkages'!$D$18:$D$157=IF($AO13="Yes",$AQ13,$AS13))*('Port Linkages'!$A$18:$A$157&lt;=$C13))))</f>
        <v>none</v>
      </c>
      <c r="ND13" s="25" t="e">
        <f t="array" aca="1" ref="ND13" ca="1">INDEX('Ship Fuel Prices'!$F$5:$F$1004,MATCH(2,1/(('Ship Fuel Prices'!$E$5:$E$1004=_xlfn.IFS(KS13="Handysize",Main!MY13,KS13="Supramax",MR13,KS13="Panamax",MK13,KS13="NeoPanamax",MD13,KS13="Suezmax",LW13,KS13="Capesize",LP13,KS13="VLOC",LI13))*('Ship Fuel Prices'!$D$5:$D$1004&lt;=Main!$C13))))</f>
        <v>#N/A</v>
      </c>
      <c r="NE13" s="25" t="e">
        <f t="array" aca="1" ref="NE13" ca="1">INDEX('Ship Fuel Prices'!$G$5:$G$1004,MATCH(2,1/(('Ship Fuel Prices'!$E$5:$E$1004=_xlfn.IFS(KS13="Handysize",Main!MY13,KS13="Supramax",MR13,KS13="Panamax",MK13,KS13="NeoPanamax",MD13,KS13="Suezmax",LW13,KS13="Capesize",LP13,KS13="VLOC",LI13))*('Ship Fuel Prices'!$D$5:$D$1004&lt;=Main!$C13))))</f>
        <v>#N/A</v>
      </c>
      <c r="NF13" s="25" t="e">
        <f t="array" aca="1" ref="NF13" ca="1">INDEX('Ship Fuel Prices'!$H$5:$H$1004,MATCH(2,1/(('Ship Fuel Prices'!$E$5:$E$1004=_xlfn.IFS(KS13="Handysize",Main!MY13,KS13="Supramax",MR13,KS13="Panamax",MK13,KS13="NeoPanamax",MD13,KS13="Suezmax",LW13,KS13="Capesize",LP13,KS13="VLOC",LI13))*('Ship Fuel Prices'!$D$5:$D$1004&lt;=Main!$C13))))</f>
        <v>#N/A</v>
      </c>
      <c r="NG13" s="25" t="e">
        <f t="array" aca="1" ref="NG13" ca="1">INDEX('Ship Fuel Prices'!$I$5:$I$1004,MATCH(2,1/(('Ship Fuel Prices'!$E$5:$E$1004=_xlfn.IFS(KS13="Handysize",Main!MY13,KS13="Supramax",MR13,KS13="Panamax",MK13,KS13="NeoPanamax",MD13,KS13="Suezmax",LW13,KS13="Capesize",LP13,KS13="VLOC",LI13))*('Ship Fuel Prices'!$D$5:$D$1004&lt;=Main!$C13))))</f>
        <v>#N/A</v>
      </c>
      <c r="NH13" s="25" t="e">
        <f t="array" aca="1" ref="NH13" ca="1">INDEX('Ship Fuel Prices'!$J$5:$J$1004,MATCH(2,1/(('Ship Fuel Prices'!$E$5:$E$1004=_xlfn.IFS(KS13="Handysize",Main!MY13,KS13="Supramax",MR13,KS13="Panamax",MK13,KS13="NeoPanamax",MD13,KS13="Suezmax",LW13,KS13="Capesize",LP13,KS13="VLOC",LI13))*('Ship Fuel Prices'!$D$5:$D$1004&lt;=Main!$C13))))</f>
        <v>#N/A</v>
      </c>
      <c r="NJ13" s="75">
        <f t="array" ref="NJ13">INDEX('China n Importing Ports'!$E$20:$E$41,MATCH(2,1/(('China n Importing Ports'!$D$20:$D$41&lt;=$C13)*('China n Importing Ports'!$C$20:$C$41=IF($AO13="Yes",$AQ13,$AS13)))))</f>
        <v>42500</v>
      </c>
      <c r="NK13" s="75">
        <f t="array" ref="NK13">INDEX('China n Importing Ports'!$F$20:$F$41,MATCH(2,1/(('China n Importing Ports'!$D$20:$D$41&lt;=$C13)*('China n Importing Ports'!$C$20:$C$41=IF($AO13="Yes",$AQ13,$AS13)))))</f>
        <v>42500</v>
      </c>
      <c r="NL13" s="75">
        <f t="array" ref="NL13">INDEX('China n Importing Ports'!$G$20:$G$41,MATCH(2,1/(('China n Importing Ports'!$D$20:$D$41&lt;=$C13)*('China n Importing Ports'!$C$20:$C$41=IF($AO13="Yes",$AQ13,$AS13)))))</f>
        <v>42500</v>
      </c>
      <c r="NM13" s="75">
        <f t="array" ref="NM13">INDEX('China n Importing Ports'!$H$20:$H$41,MATCH(2,1/(('China n Importing Ports'!$D$20:$D$41&lt;=$C13)*('China n Importing Ports'!$C$20:$C$41=IF($AO13="Yes",$AQ13,$AS13)))))</f>
        <v>42500</v>
      </c>
      <c r="NN13" s="75">
        <f t="array" ref="NN13">INDEX('China n Importing Ports'!$I$20:$I$41,MATCH(2,1/(('China n Importing Ports'!$D$20:$D$41&lt;=$C13)*('China n Importing Ports'!$C$20:$C$41=IF($AO13="Yes",$AQ13,$AS13)))))</f>
        <v>42500</v>
      </c>
      <c r="NO13" s="75">
        <f t="array" ref="NO13">INDEX('China n Importing Ports'!$J$20:$J$41,MATCH(2,1/(('China n Importing Ports'!$D$20:$D$41&lt;=$C13)*('China n Importing Ports'!$C$20:$C$41=IF($AO13="Yes",$AQ13,$AS13)))))</f>
        <v>42500</v>
      </c>
      <c r="NP13" s="75">
        <f t="array" ref="NP13">INDEX('China n Importing Ports'!$K$20:$K$41,MATCH(2,1/(('China n Importing Ports'!$D$20:$D$41&lt;=$C13)*('China n Importing Ports'!$C$20:$C$41=IF($AO13="Yes",$AQ13,$AS13)))))</f>
        <v>42500</v>
      </c>
      <c r="NQ13" s="75" t="str">
        <f t="array" ref="NQ13">INDEX('China n Importing Ports'!$L$20:$L$41,MATCH(2,1/(('China n Importing Ports'!$D$20:$D$41&lt;=$C13)*('China n Importing Ports'!$C$20:$C$41=IF($AO13="Yes",$AQ13,$AS13)))))</f>
        <v>RMB</v>
      </c>
      <c r="NR13" s="75">
        <f t="array" ref="NR13">INDEX('China n Importing Ports'!$M$20:$M$41,MATCH(2,1/(('China n Importing Ports'!$D$20:$D$41&lt;=$C13)*('China n Importing Ports'!$C$20:$C$41=IF($AO13="Yes",$AQ13,$AS13)))))</f>
        <v>12342</v>
      </c>
      <c r="NS13" s="75">
        <f t="array" ref="NS13">INDEX('China n Importing Ports'!$N$20:$N$41,MATCH(2,1/(('China n Importing Ports'!$D$20:$D$41&lt;=$C13)*('China n Importing Ports'!$C$20:$C$41=IF($AO13="Yes",$AQ13,$AS13)))))</f>
        <v>0</v>
      </c>
      <c r="NT13" s="75">
        <f t="array" ref="NT13">INDEX('China n Importing Ports'!$O$20:$O$41,MATCH(2,1/(('China n Importing Ports'!$D$20:$D$41&lt;=$C13)*('China n Importing Ports'!$C$20:$C$41=IF($AO13="Yes",$AQ13,$AS13)))))</f>
        <v>0</v>
      </c>
      <c r="NU13" s="136">
        <f t="array" ref="NU13">INDEX('China n Importing Ports'!$P$20:$P$41,MATCH(2,1/(('China n Importing Ports'!$D$20:$D$41&lt;=$C13)*('China n Importing Ports'!$C$20:$C$41=IF($AO13="Yes",$AQ13,$AS13)))))</f>
        <v>2.64</v>
      </c>
      <c r="NV13" s="136">
        <f t="array" ref="NV13">INDEX('China n Importing Ports'!$Q$20:$Q$41,MATCH(2,1/(('China n Importing Ports'!$D$20:$D$41&lt;=$C13)*('China n Importing Ports'!$C$20:$C$41=IF($AO13="Yes",$AQ13,$AS13)))))</f>
        <v>0</v>
      </c>
      <c r="NW13" s="136">
        <f t="array" ref="NW13">INDEX('China n Importing Ports'!$R$20:$R$41,MATCH(2,1/(('China n Importing Ports'!$D$20:$D$41&lt;=$C13)*('China n Importing Ports'!$C$20:$C$41=IF($AO13="Yes",$AQ13,$AS13)))))</f>
        <v>0</v>
      </c>
      <c r="NX13" s="136">
        <f t="array" ref="NX13">INDEX('China n Importing Ports'!$S$20:$S$41,MATCH(2,1/(('China n Importing Ports'!$D$20:$D$41&lt;=$C13)*('China n Importing Ports'!$C$20:$C$41=IF($AO13="Yes",$AQ13,$AS13)))))</f>
        <v>4.53</v>
      </c>
      <c r="NY13" s="136">
        <f t="array" ref="NY13">INDEX('China n Importing Ports'!$T$20:$T$41,MATCH(2,1/(('China n Importing Ports'!$D$20:$D$41&lt;=$C13)*('China n Importing Ports'!$C$20:$C$41=IF($AO13="Yes",$AQ13,$AS13)))))</f>
        <v>0.36699999999999999</v>
      </c>
      <c r="NZ13" s="136">
        <f t="array" ref="NZ13">INDEX('China n Importing Ports'!$U$20:$U$41,MATCH(2,1/(('China n Importing Ports'!$D$20:$D$41&lt;=$C13)*('China n Importing Ports'!$C$20:$C$41=IF($AO13="Yes",$AQ13,$AS13)))))</f>
        <v>0.05</v>
      </c>
      <c r="OA13" s="136">
        <f t="array" ref="OA13">INDEX('China n Importing Ports'!$V$20:$V$41,MATCH(2,1/(('China n Importing Ports'!$D$20:$D$41&lt;=$C13)*('China n Importing Ports'!$C$20:$C$41=IF($AO13="Yes",$AQ13,$AS13)))))</f>
        <v>0</v>
      </c>
      <c r="OB13" s="136">
        <f t="array" ref="OB13">INDEX('China n Importing Ports'!$W$20:$W$41,MATCH(2,1/(('China n Importing Ports'!$D$20:$D$41&lt;=$C13)*('China n Importing Ports'!$C$20:$C$41=IF($AO13="Yes",$AQ13,$AS13)))))</f>
        <v>0</v>
      </c>
      <c r="OC13" s="136">
        <f t="array" ref="OC13">INDEX('China n Importing Ports'!$X$20:$X$41,MATCH(2,1/(('China n Importing Ports'!$D$20:$D$41&lt;=$C13)*('China n Importing Ports'!$C$20:$C$41=IF($AO13="Yes",$AQ13,$AS13)))))</f>
        <v>0</v>
      </c>
      <c r="OD13" s="136">
        <f t="array" ref="OD13">INDEX('China n Importing Ports'!$Y$20:$Y$41,MATCH(2,1/(('China n Importing Ports'!$D$20:$D$41&lt;=$C13)*('China n Importing Ports'!$C$20:$C$41=IF($AO13="Yes",$AQ13,$AS13)))))</f>
        <v>197</v>
      </c>
      <c r="OE13" s="136">
        <f t="array" ref="OE13">INDEX('China n Importing Ports'!$Z$20:$Z$41,MATCH(2,1/(('China n Importing Ports'!$D$20:$D$41&lt;=$C13)*('China n Importing Ports'!$C$20:$C$41=IF($AO13="Yes",$AQ13,$AS13)))))</f>
        <v>0</v>
      </c>
      <c r="OF13" s="136">
        <f t="array" ref="OF13">INDEX('China n Importing Ports'!$AA$20:$AA$41,MATCH(2,1/(('China n Importing Ports'!$D$20:$D$41&lt;=$C13)*('China n Importing Ports'!$C$20:$C$41=IF($AO13="Yes",$AQ13,$AS13)))))</f>
        <v>0</v>
      </c>
      <c r="OH13" s="75" t="e">
        <f t="array" aca="1" ref="OH13" ca="1">INDEX(Canals!$G$24:$G$29,MATCH(2,1/((Canals!$F$24:$F$29&lt;=$C13)*(Canals!$G$24:$G$29=_xlfn.IFS(KS13="Handysize",Main!NB13,KS13="Supramax",MU13,KS13="Panamax",MN13,KS13="NeoPanamax",MG13,KS13="Suezmax",LZ13,KS13="Capesize",LS13,KS13="VLOC",LL13)))))</f>
        <v>#N/A</v>
      </c>
      <c r="OI13" s="75" t="e">
        <f t="array" aca="1" ref="OI13" ca="1">INDEX(Canals!$H$24:$H$29,MATCH(2,1/((Canals!$F$24:$F$29&lt;=$C13)*(Canals!$G$24:$G$29=_xlfn.IFS(KS13="Handysize",Main!NB13,KS13="Supramax",MU13,KS13="Panamax",MN13,KS13="NeoPanamax",MG13,KS13="Suezmax",LZ13,KS13="Capesize",LS13,KS13="VLOC",LL13)))))</f>
        <v>#N/A</v>
      </c>
      <c r="OJ13" s="75" t="e">
        <f t="array" aca="1" ref="OJ13" ca="1">INDEX(Canals!$I$24:$I$29,MATCH(2,1/((Canals!$F$24:$F$29&lt;=$C13)*(Canals!$G$24:$G$29=_xlfn.IFS(KS13="Handysize",Main!NB13,KS13="Supramax",MU13,KS13="Panamax",MN13,KS13="NeoPanamax",MG13,KS13="Suezmax",LZ13,KS13="Capesize",LS13,KS13="VLOC",LL13)))))</f>
        <v>#N/A</v>
      </c>
      <c r="OK13" s="75" t="e">
        <f t="array" aca="1" ref="OK13" ca="1">INDEX(Canals!$J$24:$J$29,MATCH(2,1/((Canals!$F$24:$F$29&lt;=$C13)*(Canals!$G$24:$G$29=_xlfn.IFS(KS13="Handysize",Main!NB13,KS13="Supramax",MU13,KS13="Panamax",MN13,KS13="NeoPanamax",MG13,KS13="Suezmax",LZ13,KS13="Capesize",LS13,KS13="VLOC",LL13)))))</f>
        <v>#N/A</v>
      </c>
      <c r="OL13" s="75" t="e">
        <f t="array" aca="1" ref="OL13" ca="1">INDEX(Canals!$K$24:$K$29,MATCH(2,1/((Canals!$F$24:$F$29&lt;=$C13)*(Canals!$G$24:$G$29=_xlfn.IFS(KS13="Handysize",Main!NB13,KS13="Supramax",MU13,KS13="Panamax",MN13,KS13="NeoPanamax",MG13,KS13="Suezmax",LZ13,KS13="Capesize",LS13,KS13="VLOC",LL13)))))</f>
        <v>#N/A</v>
      </c>
      <c r="OM13" s="75" t="e">
        <f t="array" aca="1" ref="OM13" ca="1">INDEX(Canals!$L$24:$L$29,MATCH(2,1/((Canals!$F$24:$F$29&lt;=$C13)*(Canals!$G$24:$G$29=_xlfn.IFS(KS13="Handysize",Main!NB13,KS13="Supramax",MU13,KS13="Panamax",MN13,KS13="NeoPanamax",MG13,KS13="Suezmax",LZ13,KS13="Capesize",LS13,KS13="VLOC",LL13)))))</f>
        <v>#N/A</v>
      </c>
      <c r="ON13" s="75" t="e">
        <f t="array" aca="1" ref="ON13" ca="1">INDEX(Canals!$M$24:$M$29,MATCH(2,1/((Canals!$F$24:$F$29&lt;=$C13)*(Canals!$G$24:$G$29=_xlfn.IFS(KS13="Handysize",Main!NB13,KS13="Supramax",MU13,KS13="Panamax",MN13,KS13="NeoPanamax",MG13,KS13="Suezmax",LZ13,KS13="Capesize",LS13,KS13="VLOC",LL13)))))</f>
        <v>#N/A</v>
      </c>
      <c r="OO13" s="75" t="e">
        <f t="array" aca="1" ref="OO13" ca="1">INDEX(Canals!$N$24:$N$29,MATCH(2,1/((Canals!$F$24:$F$29&lt;=$C13)*(Canals!$G$24:$G$29=_xlfn.IFS(KS13="Handysize",Main!NB13,KS13="Supramax",MU13,KS13="Panamax",MN13,KS13="NeoPanamax",MG13,KS13="Suezmax",LZ13,KS13="Capesize",LS13,KS13="VLOC",LL13)))))</f>
        <v>#N/A</v>
      </c>
      <c r="OP13" s="75" t="e">
        <f t="array" aca="1" ref="OP13" ca="1">INDEX(Canals!$O$24:$O$29,MATCH(2,1/((Canals!$F$24:$F$29&lt;=$C13)*(Canals!$G$24:$G$29=_xlfn.IFS(KS13="Handysize",Main!NB13,KS13="Supramax",MU13,KS13="Panamax",MN13,KS13="NeoPanamax",MG13,KS13="Suezmax",LZ13,KS13="Capesize",LS13,KS13="VLOC",LL13)))))</f>
        <v>#N/A</v>
      </c>
      <c r="OQ13" s="75" t="e">
        <f t="array" aca="1" ref="OQ13" ca="1">INDEX(Canals!$P$24:$P$29,MATCH(2,1/((Canals!$F$24:$F$29&lt;=$C13)*(Canals!$G$24:$G$29=_xlfn.IFS(KS13="Handysize",Main!NB13,KS13="Supramax",MU13,KS13="Panamax",MN13,KS13="NeoPanamax",MG13,KS13="Suezmax",LZ13,KS13="Capesize",LS13,KS13="VLOC",LL13)))))</f>
        <v>#N/A</v>
      </c>
      <c r="OR13" s="75" t="e">
        <f t="array" aca="1" ref="OR13" ca="1">INDEX(Canals!$Q$24:$Q$29,MATCH(2,1/((Canals!$F$24:$F$29&lt;=$C13)*(Canals!$G$24:$G$29=_xlfn.IFS(KS13="Handysize",Main!NB13,KS13="Supramax",MU13,KS13="Panamax",MN13,KS13="NeoPanamax",MG13,KS13="Suezmax",LZ13,KS13="Capesize",LS13,KS13="VLOC",LL13)))))</f>
        <v>#N/A</v>
      </c>
      <c r="OS13" s="75" t="e">
        <f t="array" aca="1" ref="OS13" ca="1">INDEX(Canals!$R$24:$R$29,MATCH(2,1/((Canals!$F$24:$F$29&lt;=$C13)*(Canals!$G$24:$G$29=_xlfn.IFS(KS13="Handysize",Main!NB13,KS13="Supramax",MU13,KS13="Panamax",MN13,KS13="NeoPanamax",MG13,KS13="Suezmax",LZ13,KS13="Capesize",LS13,KS13="VLOC",LL13)))))</f>
        <v>#N/A</v>
      </c>
      <c r="OT13" s="136" t="e">
        <f t="array" aca="1" ref="OT13" ca="1">INDEX(Canals!$S$24:$S$29,MATCH(2,1/((Canals!$F$24:$F$29&lt;=$C13)*(Canals!$G$24:$G$29=_xlfn.IFS(KS13="Handysize",Main!NB13,KS13="Supramax",MU13,KS13="Panamax",MN13,KS13="NeoPanamax",MG13,KS13="Suezmax",LZ13,KS13="Capesize",LS13,KS13="VLOC",LL13)))))</f>
        <v>#N/A</v>
      </c>
      <c r="OU13" s="136" t="e">
        <f t="array" aca="1" ref="OU13" ca="1">INDEX(Canals!$T$24:$T$29,MATCH(2,1/((Canals!$F$24:$F$29&lt;=$C13)*(Canals!$G$24:$G$29=_xlfn.IFS(KS13="Handysize",Main!NB13,KS13="Supramax",MU13,KS13="Panamax",MN13,KS13="NeoPanamax",MG13,KS13="Suezmax",LZ13,KS13="Capesize",LS13,KS13="VLOC",LL13)))))</f>
        <v>#N/A</v>
      </c>
      <c r="OV13" s="136" t="e">
        <f t="array" aca="1" ref="OV13" ca="1">INDEX(Canals!$U$24:$U$29,MATCH(2,1/((Canals!$F$24:$F$29&lt;=$C13)*(Canals!$G$24:$G$29=_xlfn.IFS(KS13="Handysize",Main!NB13,KS13="Supramax",MU13,KS13="Panamax",MN13,KS13="NeoPanamax",MG13,KS13="Suezmax",LZ13,KS13="Capesize",LS13,KS13="VLOC",LL13)))))</f>
        <v>#N/A</v>
      </c>
      <c r="OW13" s="136" t="e">
        <f t="array" aca="1" ref="OW13" ca="1">INDEX(Canals!$V$24:$V$29,MATCH(2,1/((Canals!$F$24:$F$29&lt;=$C13)*(Canals!$G$24:$G$29=_xlfn.IFS(KS13="Handysize",Main!NB13,KS13="Supramax",MU13,KS13="Panamax",MN13,KS13="NeoPanamax",MG13,KS13="Suezmax",LZ13,KS13="Capesize",LS13,KS13="VLOC",LL13)))))</f>
        <v>#N/A</v>
      </c>
      <c r="OX13" s="136" t="e">
        <f t="array" aca="1" ref="OX13" ca="1">INDEX(Canals!$W$24:$W$29,MATCH(2,1/((Canals!$F$24:$F$29&lt;=$C13)*(Canals!$G$24:$G$29=_xlfn.IFS(KS13="Handysize",Main!NB13,KS13="Supramax",MU13,KS13="Panamax",MN13,KS13="NeoPanamax",MG13,KS13="Suezmax",LZ13,KS13="Capesize",LS13,KS13="VLOC",LL13)))))</f>
        <v>#N/A</v>
      </c>
      <c r="OY13" s="136" t="e">
        <f t="array" aca="1" ref="OY13" ca="1">INDEX(Canals!$X$24:$X$29,MATCH(2,1/((Canals!$F$24:$F$29&lt;=$C13)*(Canals!$G$24:$G$29=_xlfn.IFS(KS13="Handysize",Main!NB13,KS13="Supramax",MU13,KS13="Panamax",MN13,KS13="NeoPanamax",MG13,KS13="Suezmax",LZ13,KS13="Capesize",LS13,KS13="VLOC",LL13)))))</f>
        <v>#N/A</v>
      </c>
      <c r="OZ13" s="136" t="e">
        <f t="array" aca="1" ref="OZ13" ca="1">INDEX(Canals!$Y$24:$Y$29,MATCH(2,1/((Canals!$F$24:$F$29&lt;=$C13)*(Canals!$G$24:$G$29=_xlfn.IFS(KS13="Handysize",Main!NB13,KS13="Supramax",MU13,KS13="Panamax",MN13,KS13="NeoPanamax",MG13,KS13="Suezmax",LZ13,KS13="Capesize",LS13,KS13="VLOC",LL13)))))</f>
        <v>#N/A</v>
      </c>
      <c r="PA13" s="136" t="e">
        <f t="array" aca="1" ref="PA13" ca="1">INDEX(Canals!$Z$24:$Z$29,MATCH(2,1/((Canals!$F$24:$F$29&lt;=$C13)*(Canals!$G$24:$G$29=_xlfn.IFS(KS13="Handysize",Main!NB13,KS13="Supramax",MU13,KS13="Panamax",MN13,KS13="NeoPanamax",MG13,KS13="Suezmax",LZ13,KS13="Capesize",LS13,KS13="VLOC",LL13)))))</f>
        <v>#N/A</v>
      </c>
      <c r="PB13" s="136" t="e">
        <f t="array" aca="1" ref="PB13" ca="1">INDEX(Canals!$AA$24:$AA$29,MATCH(2,1/((Canals!$F$24:$F$29&lt;=$C13)*(Canals!$G$24:$G$29=_xlfn.IFS(KS13="Handysize",Main!NB13,KS13="Supramax",MU13,KS13="Panamax",MN13,KS13="NeoPanamax",MG13,KS13="Suezmax",LZ13,KS13="Capesize",LS13,KS13="VLOC",LL13)))))</f>
        <v>#N/A</v>
      </c>
      <c r="PC13" s="136" t="e">
        <f t="array" aca="1" ref="PC13" ca="1">INDEX(Canals!$AB$24:$AB$29,MATCH(2,1/((Canals!$F$24:$F$29&lt;=$C13)*(Canals!$G$24:$G$29=_xlfn.IFS(KS13="Handysize",Main!NB13,KS13="Supramax",MU13,KS13="Panamax",MN13,KS13="NeoPanamax",MG13,KS13="Suezmax",LZ13,KS13="Capesize",LS13,KS13="VLOC",LL13)))))</f>
        <v>#N/A</v>
      </c>
      <c r="PD13" s="75" t="e">
        <f t="array" aca="1" ref="PD13" ca="1">INDEX(Canals!$AC$24:$AC$29,MATCH(2,1/((Canals!$F$24:$F$29&lt;=$C13)*(Canals!$G$24:$G$29=_xlfn.IFS(KS13="Handysize",Main!NB13,KS13="Supramax",MU13,KS13="Panamax",MN13,KS13="NeoPanamax",MG13,KS13="Suezmax",LZ13,KS13="Capesize",LS13,KS13="VLOC",LL13)))))</f>
        <v>#N/A</v>
      </c>
      <c r="PE13" s="75" t="e">
        <f t="array" aca="1" ref="PE13" ca="1">INDEX(Canals!$AD$24:$AD$29,MATCH(2,1/((Canals!$F$24:$F$29&lt;=$C13)*(Canals!$G$24:$G$29=_xlfn.IFS(KS13="Handysize",Main!NB13,KS13="Supramax",MU13,KS13="Panamax",MN13,KS13="NeoPanamax",MG13,KS13="Suezmax",LZ13,KS13="Capesize",LS13,KS13="VLOC",LL13)))))</f>
        <v>#N/A</v>
      </c>
      <c r="PF13" s="75" t="e">
        <f t="array" aca="1" ref="PF13" ca="1">INDEX(Canals!$AE$24:$AE$29,MATCH(2,1/((Canals!$F$24:$F$29&lt;=$C13)*(Canals!$G$24:$G$29=_xlfn.IFS(KS13="Handysize",Main!NB13,KS13="Supramax",MU13,KS13="Panamax",MN13,KS13="NeoPanamax",MG13,KS13="Suezmax",LZ13,KS13="Capesize",LS13,KS13="VLOC",LL13)))))</f>
        <v>#N/A</v>
      </c>
      <c r="PG13" s="75" t="e">
        <f t="array" aca="1" ref="PG13" ca="1">INDEX(Canals!$AF$24:$AF$29,MATCH(2,1/((Canals!$F$24:$F$29&lt;=$C13)*(Canals!$G$24:$G$29=_xlfn.IFS(KS13="Handysize",Main!NB13,KS13="Supramax",MU13,KS13="Panamax",MN13,KS13="NeoPanamax",MG13,KS13="Suezmax",LZ13,KS13="Capesize",LS13,KS13="VLOC",LL13)))))</f>
        <v>#N/A</v>
      </c>
      <c r="PH13" s="75" t="e">
        <f t="array" aca="1" ref="PH13" ca="1">INDEX(Canals!$AG$24:$AG$29,MATCH(2,1/((Canals!$F$24:$F$29&lt;=$C13)*(Canals!$G$24:$G$29=_xlfn.IFS(KS13="Handysize",Main!NB13,KS13="Supramax",MU13,KS13="Panamax",MN13,KS13="NeoPanamax",MG13,KS13="Suezmax",LZ13,KS13="Capesize",LS13,KS13="VLOC",LL13)))))</f>
        <v>#N/A</v>
      </c>
      <c r="PI13" s="75" t="e">
        <f t="array" aca="1" ref="PI13" ca="1">INDEX(Canals!$AH$24:$AH$29,MATCH(2,1/((Canals!$F$24:$F$29&lt;=$C13)*(Canals!$G$24:$G$29=_xlfn.IFS(KS13="Handysize",Main!NB13,KS13="Supramax",MU13,KS13="Panamax",MN13,KS13="NeoPanamax",MG13,KS13="Suezmax",LZ13,KS13="Capesize",LS13,KS13="VLOC",LL13)))))</f>
        <v>#N/A</v>
      </c>
      <c r="PJ13" s="75" t="e">
        <f t="array" aca="1" ref="PJ13" ca="1">INDEX(Canals!$AI$24:$AI$29,MATCH(2,1/((Canals!$F$24:$F$29&lt;=$C13)*(Canals!$G$24:$G$29=_xlfn.IFS(KS13="Handysize",Main!NB13,KS13="Supramax",MU13,KS13="Panamax",MN13,KS13="NeoPanamax",MG13,KS13="Suezmax",LZ13,KS13="Capesize",LS13,KS13="VLOC",LL13)))))</f>
        <v>#N/A</v>
      </c>
      <c r="PK13" s="75" t="e">
        <f t="array" aca="1" ref="PK13" ca="1">INDEX(Canals!$AJ$24:$AJ$29,MATCH(2,1/((Canals!$F$24:$F$29&lt;=$C13)*(Canals!$G$24:$G$29=_xlfn.IFS(KS13="Handysize",Main!NB13,KS13="Supramax",MU13,KS13="Panamax",MN13,KS13="NeoPanamax",MG13,KS13="Suezmax",LZ13,KS13="Capesize",LS13,KS13="VLOC",LL13)))))</f>
        <v>#N/A</v>
      </c>
      <c r="PL13" s="75" t="e">
        <f t="array" aca="1" ref="PL13" ca="1">INDEX(Canals!$AK$24:$AK$29,MATCH(2,1/((Canals!$F$24:$F$29&lt;=$C13)*(Canals!$G$24:$G$29=_xlfn.IFS(KS13="Handysize",Main!NB13,KS13="Supramax",MU13,KS13="Panamax",MN13,KS13="NeoPanamax",MG13,KS13="Suezmax",LZ13,KS13="Capesize",LS13,KS13="VLOC",LL13)))))</f>
        <v>#N/A</v>
      </c>
      <c r="PM13" s="136" t="e">
        <f t="array" aca="1" ref="PM13" ca="1">INDEX(Canals!$AL$24:$AL$29,MATCH(2,1/((Canals!$F$24:$F$29&lt;=$C13)*(Canals!$G$24:$G$29=_xlfn.IFS(KS13="Handysize",Main!NB13,KS13="Supramax",MU13,KS13="Panamax",MN13,KS13="NeoPanamax",MG13,KS13="Suezmax",LZ13,KS13="Capesize",LS13,KS13="VLOC",LL13)))))</f>
        <v>#N/A</v>
      </c>
      <c r="PN13" s="136" t="e">
        <f t="array" aca="1" ref="PN13" ca="1">INDEX(Canals!$AM$24:$AM$29,MATCH(2,1/((Canals!$F$24:$F$29&lt;=$C13)*(Canals!$G$24:$G$29=_xlfn.IFS(KS13="Handysize",Main!NB13,KS13="Supramax",MU13,KS13="Panamax",MN13,KS13="NeoPanamax",MG13,KS13="Suezmax",LZ13,KS13="Capesize",LS13,KS13="VLOC",LL13)))))</f>
        <v>#N/A</v>
      </c>
      <c r="PO13" s="136" t="e">
        <f t="array" aca="1" ref="PO13" ca="1">INDEX(Canals!$AN$24:$AN$29,MATCH(2,1/((Canals!$F$24:$F$29&lt;=$C13)*(Canals!$G$24:$G$29=_xlfn.IFS(KS13="Handysize",Main!NB13,KS13="Supramax",MU13,KS13="Panamax",MN13,KS13="NeoPanamax",MG13,KS13="Suezmax",LZ13,KS13="Capesize",LS13,KS13="VLOC",LL13)))))</f>
        <v>#N/A</v>
      </c>
      <c r="PP13" s="136" t="e">
        <f t="array" aca="1" ref="PP13" ca="1">INDEX(Canals!$AO$24:$AO$29,MATCH(2,1/((Canals!$F$24:$F$29&lt;=$C13)*(Canals!$G$24:$G$29=_xlfn.IFS(KS13="Handysize",Main!NB13,KS13="Supramax",MU13,KS13="Panamax",MN13,KS13="NeoPanamax",MG13,KS13="Suezmax",LZ13,KS13="Capesize",LS13,KS13="VLOC",LL13)))))</f>
        <v>#N/A</v>
      </c>
      <c r="PQ13" s="136" t="e">
        <f t="array" aca="1" ref="PQ13" ca="1">INDEX(Canals!$AP$24:$AP$29,MATCH(2,1/((Canals!$F$24:$F$29&lt;=$C13)*(Canals!$G$24:$G$29=_xlfn.IFS(KS13="Handysize",Main!NB13,KS13="Supramax",MU13,KS13="Panamax",MN13,KS13="NeoPanamax",MG13,KS13="Suezmax",LZ13,KS13="Capesize",LS13,KS13="VLOC",LL13)))))</f>
        <v>#N/A</v>
      </c>
      <c r="PR13" s="136" t="e">
        <f t="array" aca="1" ref="PR13" ca="1">INDEX(Canals!$AQ$24:$AQ$29,MATCH(2,1/((Canals!$F$24:$F$29&lt;=$C13)*(Canals!$G$24:$G$29=_xlfn.IFS(KS13="Handysize",Main!NB13,KS13="Supramax",MU13,KS13="Panamax",MN13,KS13="NeoPanamax",MG13,KS13="Suezmax",LZ13,KS13="Capesize",LS13,KS13="VLOC",LL13)))))</f>
        <v>#N/A</v>
      </c>
      <c r="PS13" s="136" t="e">
        <f t="array" aca="1" ref="PS13" ca="1">INDEX(Canals!$AR$24:$AR$29,MATCH(2,1/((Canals!$F$24:$F$29&lt;=$C13)*(Canals!$G$24:$G$29=_xlfn.IFS(KS13="Handysize",Main!NB13,KS13="Supramax",MU13,KS13="Panamax",MN13,KS13="NeoPanamax",MG13,KS13="Suezmax",LZ13,KS13="Capesize",LS13,KS13="VLOC",LL13)))))</f>
        <v>#N/A</v>
      </c>
      <c r="PT13" s="136" t="e">
        <f t="array" aca="1" ref="PT13" ca="1">INDEX(Canals!$AS$24:$AS$29,MATCH(2,1/((Canals!$F$24:$F$29&lt;=$C13)*(Canals!$G$24:$G$29=_xlfn.IFS(KS13="Handysize",Main!NB13,KS13="Supramax",MU13,KS13="Panamax",MN13,KS13="NeoPanamax",MG13,KS13="Suezmax",LZ13,KS13="Capesize",LS13,KS13="VLOC",LL13)))))</f>
        <v>#N/A</v>
      </c>
      <c r="PU13" s="136" t="e">
        <f t="array" aca="1" ref="PU13" ca="1">INDEX(Canals!$AT$24:$AT$29,MATCH(2,1/((Canals!$F$24:$F$29&lt;=$C13)*(Canals!$G$24:$G$29=_xlfn.IFS(KS13="Handysize",Main!NB13,KS13="Supramax",MU13,KS13="Panamax",MN13,KS13="NeoPanamax",MG13,KS13="Suezmax",LZ13,KS13="Capesize",LS13,KS13="VLOC",LL13)))))</f>
        <v>#N/A</v>
      </c>
      <c r="PV13" s="136" t="e">
        <f t="array" aca="1" ref="PV13" ca="1">INDEX(Canals!$AU$24:$AU$29,MATCH(2,1/((Canals!$F$24:$F$29&lt;=$C13)*(Canals!$G$24:$G$29=_xlfn.IFS(KS13="Handysize",Main!NB13,KS13="Supramax",MU13,KS13="Panamax",MN13,KS13="NeoPanamax",MG13,KS13="Suezmax",LZ13,KS13="Capesize",LS13,KS13="VLOC",LL13)))))</f>
        <v>#N/A</v>
      </c>
      <c r="PW13" s="136" t="e">
        <f t="array" aca="1" ref="PW13" ca="1">INDEX(Canals!$AV$24:$AV$29,MATCH(2,1/((Canals!$F$24:$F$29&lt;=$C13)*(Canals!$G$24:$G$29=_xlfn.IFS(KS13="Handysize",Main!NB13,KS13="Supramax",MU13,KS13="Panamax",MN13,KS13="NeoPanamax",MG13,KS13="Suezmax",LZ13,KS13="Capesize",LS13,KS13="VLOC",LL13)))))</f>
        <v>#N/A</v>
      </c>
      <c r="PY13" s="75" t="e">
        <f t="array" aca="1" ref="PY13" ca="1">_xlfn.IFS(OJ13="DWT",KQ13,OJ13="NRT",KU13,OJ13="GRT",KV13)</f>
        <v>#NAME?</v>
      </c>
      <c r="PZ13" s="279" t="e">
        <f t="shared" ca="1" si="74"/>
        <v>#NAME?</v>
      </c>
      <c r="QA13" s="280" t="e">
        <f t="shared" ca="1" si="75"/>
        <v>#NAME?</v>
      </c>
      <c r="QB13" s="280" t="e">
        <f t="shared" ca="1" si="76"/>
        <v>#NAME?</v>
      </c>
      <c r="QC13" s="280" t="e">
        <f t="shared" ca="1" si="77"/>
        <v>#NAME?</v>
      </c>
      <c r="QD13" s="280" t="e">
        <f t="shared" ca="1" si="78"/>
        <v>#NAME?</v>
      </c>
      <c r="QE13" s="280" t="e">
        <f t="shared" ca="1" si="79"/>
        <v>#NAME?</v>
      </c>
      <c r="QF13" s="280" t="e">
        <f t="shared" ca="1" si="80"/>
        <v>#NAME?</v>
      </c>
      <c r="QG13" s="280" t="e">
        <f t="shared" ca="1" si="81"/>
        <v>#NAME?</v>
      </c>
      <c r="QH13" s="280" t="e">
        <f t="shared" ca="1" si="82"/>
        <v>#NAME?</v>
      </c>
      <c r="QI13" s="75">
        <f t="shared" si="83"/>
        <v>92625</v>
      </c>
      <c r="QJ13" s="279" t="e">
        <f t="shared" ca="1" si="84"/>
        <v>#N/A</v>
      </c>
      <c r="QK13" s="280" t="e">
        <f t="shared" ca="1" si="85"/>
        <v>#N/A</v>
      </c>
      <c r="QL13" s="280" t="e">
        <f t="shared" ca="1" si="86"/>
        <v>#N/A</v>
      </c>
      <c r="QM13" s="280" t="e">
        <f t="shared" ca="1" si="87"/>
        <v>#N/A</v>
      </c>
      <c r="QN13" s="280" t="e">
        <f t="shared" ca="1" si="88"/>
        <v>#N/A</v>
      </c>
      <c r="QO13" s="280" t="e">
        <f t="shared" ca="1" si="89"/>
        <v>#N/A</v>
      </c>
      <c r="QP13" s="280" t="e">
        <f t="shared" ca="1" si="90"/>
        <v>#N/A</v>
      </c>
      <c r="QQ13" s="280" t="e">
        <f t="shared" ca="1" si="91"/>
        <v>#N/A</v>
      </c>
      <c r="QR13" s="280" t="e">
        <f t="shared" ca="1" si="92"/>
        <v>#N/A</v>
      </c>
      <c r="QT13" s="75" t="e">
        <f t="array" aca="1" ref="QT13" ca="1">_xlfn.IFS(KS13="Handysize",Main!MV13,KS13="Supramax",MO13,KS13="Panamax",MH13,KS13="NeoPanamax",MA13,KS13="Suezmax",LT13,KS13="Capesize",LM13,KS13="VLOC",LF13)*$JI13</f>
        <v>#NAME?</v>
      </c>
      <c r="QU13" s="274" t="e">
        <f t="array" aca="1" ref="QU13" ca="1">_xlfn.IFS(KS13="Handysize",Main!MW13,KS13="Supramax",MP13,KS13="Panamax",MI13,KS13="NeoPanamax",MB13,KS13="Suezmax",LU13,KS13="Capesize",LN13,KS13="VLOC",LG13)*$JI13</f>
        <v>#NAME?</v>
      </c>
      <c r="QV13" s="71" t="e">
        <f t="array" aca="1" ref="QV13" ca="1">_xlfn.IFS(KS13="Handysize",Main!KX13,KS13="Supramax",KY13,KS13="Panamax",KZ13,KS13="NeoPanamax",LA13,KS13="Suezmax",LB13,KS13="Capesize",LC13,KS13="VLOC",LD13)</f>
        <v>#NAME?</v>
      </c>
      <c r="QW13" s="71" t="e">
        <f t="array" aca="1" ref="QW13" ca="1">_xlfn.IFS(KS13="Handysize",Main!NJ13,KS13="Supramax",NK13,KS13="Panamax",NL13,KS13="NeoPanamax",NM13,KS13="Suezmax",NN13,KS13="Capesize",NO13,KS13="VLOC",NP13)</f>
        <v>#NAME?</v>
      </c>
      <c r="QX13" s="70">
        <f t="array" ref="QX13">INDEX('Ship Speeds'!$G$11:$G$1011,MATCH(2,1/(('Ship Speeds'!$E$11:$E$1011&lt;=Main!$C13)*('Ship Speeds'!$F$11:$F$1011=Main!KR13))))</f>
        <v>11</v>
      </c>
      <c r="QY13" s="403">
        <f t="shared" si="93"/>
        <v>24.0359160073052</v>
      </c>
      <c r="QZ13" s="401">
        <f t="shared" si="94"/>
        <v>2.2145999999999999</v>
      </c>
      <c r="RA13" s="70" t="e">
        <f t="shared" ca="1" si="95"/>
        <v>#NAME?</v>
      </c>
      <c r="RB13" s="70" t="e">
        <f t="shared" ca="1" si="96"/>
        <v>#NAME?</v>
      </c>
      <c r="RC13" s="70" t="e">
        <f t="shared" ca="1" si="97"/>
        <v>#NAME?</v>
      </c>
      <c r="RD13" s="70" t="e">
        <f t="shared" ca="1" si="98"/>
        <v>#NAME?</v>
      </c>
      <c r="RE13" s="72" t="e">
        <f t="shared" ca="1" si="99"/>
        <v>#N/A</v>
      </c>
      <c r="RF13" s="70" t="e">
        <f t="shared" ca="1" si="100"/>
        <v>#NAME?</v>
      </c>
      <c r="RG13" s="70" t="e">
        <f t="array" aca="1" ref="RG13" ca="1">INDEX(ND13:NH13,MATCH(_xlfn.IFS(KS13="Handysize",Main!MZ13,KS13="Supramax",MS13,KS13="Panamax",ML13,KS13="NeoPanamax",ME13,KS13="Suezmax",LX13,KS13="Capesize",LQ13,KS13="VLOC",LJ13),$ND$7:$NH$7,0))</f>
        <v>#NAME?</v>
      </c>
      <c r="RH13" s="70" t="e">
        <f t="array" aca="1" ref="RH13" ca="1">INDEX(ND13:NH13,MATCH(_xlfn.IFS(KS13="Handysize",Main!NA13,KS13="Supramax",MT13,KS13="Panamax",MM13,KS13="NeoPanamax",MF13,KS13="Suezmax",LY13,KS13="Capesize",LR13,KS13="VLOC",LK13),$ND$7:$NH$7,0))</f>
        <v>#NAME?</v>
      </c>
      <c r="RI13" s="71" t="e">
        <f t="shared" ca="1" si="101"/>
        <v>#NAME?</v>
      </c>
      <c r="RJ13" s="71" t="e">
        <f t="shared" ca="1" si="102"/>
        <v>#NAME?</v>
      </c>
      <c r="RK13" s="281">
        <f t="shared" si="103"/>
        <v>7.0759999999999987</v>
      </c>
      <c r="RL13" s="71">
        <f t="shared" si="104"/>
        <v>1744.2057659694747</v>
      </c>
      <c r="RM13" s="71" t="e">
        <f t="shared" ca="1" si="105"/>
        <v>#NAME?</v>
      </c>
      <c r="RN13" s="71" t="e">
        <f t="shared" ca="1" si="106"/>
        <v>#NAME?</v>
      </c>
      <c r="RO13" s="71">
        <f t="shared" si="107"/>
        <v>34557.659694742797</v>
      </c>
      <c r="RP13" s="71" t="e">
        <f t="shared" ca="1" si="108"/>
        <v>#NAME?</v>
      </c>
      <c r="RQ13" s="71" t="e">
        <f t="shared" ca="1" si="109"/>
        <v>#NAME?</v>
      </c>
      <c r="RR13" s="71">
        <f t="shared" si="110"/>
        <v>24534.08564160543</v>
      </c>
      <c r="RS13" s="71" t="e">
        <f t="shared" ca="1" si="111"/>
        <v>#NAME?</v>
      </c>
      <c r="RT13" s="71" t="e">
        <f t="shared" ca="1" si="112"/>
        <v>#NAME?</v>
      </c>
      <c r="RU13" s="71">
        <f t="shared" si="113"/>
        <v>0</v>
      </c>
      <c r="RV13" s="71" t="e">
        <f t="shared" ca="1" si="114"/>
        <v>#NAME?</v>
      </c>
      <c r="RW13" s="71" t="e">
        <f t="shared" ca="1" si="115"/>
        <v>#NAME?</v>
      </c>
      <c r="RX13" s="72">
        <f t="shared" si="116"/>
        <v>6370.622526851329</v>
      </c>
      <c r="RY13" s="72" t="e">
        <f t="shared" ca="1" si="117"/>
        <v>#NAME?</v>
      </c>
      <c r="RZ13" s="71" t="e">
        <f t="shared" ca="1" si="118"/>
        <v>#NAME?</v>
      </c>
      <c r="SA13" s="71" t="e">
        <f t="array" aca="1" ref="SA13" ca="1">INDEX('Ship Time Charter Rates'!$H$22:$H$1021,MATCH(2,1/(('Ship Time Charter Rates'!$G$22:$G$1021=_xlfn.IFS(KS13="Handysize",Main!MX13,KS13="Supramax",MQ13,KS13="Panamax",MJ13,KS13="NeoPanamax",MC13,KS13="Suezmax",LV13,KS13="Capesize",LO13,KS13="VLOC",LH13))*('Ship Time Charter Rates'!$E$22:$E$1021&lt;=Main!$C13)*(NOT(ISBLANK('Ship Time Charter Rates'!$H$22:$H$1021))))))</f>
        <v>#N/A</v>
      </c>
      <c r="SB13" s="71" t="e">
        <f t="shared" ca="1" si="119"/>
        <v>#NAME?</v>
      </c>
      <c r="SC13" s="70" t="e">
        <f t="shared" ca="1" si="120"/>
        <v>#N/A</v>
      </c>
      <c r="SD13" s="71" t="e">
        <f t="shared" ca="1" si="121"/>
        <v>#NAME?</v>
      </c>
      <c r="SE13" s="71" t="e">
        <f t="shared" ca="1" si="302"/>
        <v>#NAME?</v>
      </c>
      <c r="SF13" s="72" t="e">
        <f t="shared" ca="1" si="303"/>
        <v>#NAME?</v>
      </c>
      <c r="SH13" s="25">
        <f>IF($AO13="yes",$AN13,$AR13)/(1-$AL13)/$JN13</f>
        <v>0</v>
      </c>
      <c r="SI13" s="4" t="str">
        <f>VLOOKUP(SH13,'Ship Time Charter Rates'!$F$10:$G$17,2,TRUE)</f>
        <v>Handysize</v>
      </c>
      <c r="SJ13" s="4" t="str">
        <f>VLOOKUP(SH13,Canals!$E$5:$F$12,2,TRUE)</f>
        <v>Handysize</v>
      </c>
      <c r="SK13" s="25">
        <f t="shared" si="122"/>
        <v>145.88999999999999</v>
      </c>
      <c r="SL13" s="25">
        <f t="shared" si="123"/>
        <v>0</v>
      </c>
      <c r="SM13" s="25">
        <f t="shared" si="124"/>
        <v>4797</v>
      </c>
      <c r="SO13" s="75">
        <f t="array" ref="SO13">INDEX('Indices Mines Exporting Ports'!$R$20:$R$51,MATCH(2,1/(('Indices Mines Exporting Ports'!$D$20:$D$51&lt;=Main!$C13)*('Indices Mines Exporting Ports'!$Q$20:$Q$51=$AQ13))))</f>
        <v>0</v>
      </c>
      <c r="SP13" s="75">
        <f t="array" ref="SP13">INDEX('Indices Mines Exporting Ports'!$S$20:$S$51,MATCH(2,1/(('Indices Mines Exporting Ports'!$D$20:$D$51&lt;=Main!$C13)*('Indices Mines Exporting Ports'!$Q$20:$Q$51=$AQ13))))</f>
        <v>0</v>
      </c>
      <c r="SQ13" s="75">
        <f t="array" ref="SQ13">INDEX('Indices Mines Exporting Ports'!$T$20:$T$51,MATCH(2,1/(('Indices Mines Exporting Ports'!$D$20:$D$51&lt;=Main!$C13)*('Indices Mines Exporting Ports'!$Q$20:$Q$51=$AQ13))))</f>
        <v>0</v>
      </c>
      <c r="SR13" s="75">
        <f t="array" ref="SR13">INDEX('Indices Mines Exporting Ports'!$U$20:$U$51,MATCH(2,1/(('Indices Mines Exporting Ports'!$D$20:$D$51&lt;=Main!$C13)*('Indices Mines Exporting Ports'!$Q$20:$Q$51=$AQ13))))</f>
        <v>0</v>
      </c>
      <c r="SS13" s="75">
        <f t="array" ref="SS13">INDEX('Indices Mines Exporting Ports'!$V$20:$V$51,MATCH(2,1/(('Indices Mines Exporting Ports'!$D$20:$D$51&lt;=Main!$C13)*('Indices Mines Exporting Ports'!$Q$20:$Q$51=$AQ13))))</f>
        <v>0</v>
      </c>
      <c r="ST13" s="75">
        <f t="array" ref="ST13">INDEX('Indices Mines Exporting Ports'!$W$20:$W$51,MATCH(2,1/(('Indices Mines Exporting Ports'!$D$20:$D$51&lt;=Main!$C13)*('Indices Mines Exporting Ports'!$Q$20:$Q$51=$AQ13))))</f>
        <v>0</v>
      </c>
      <c r="SU13" s="75">
        <f t="array" ref="SU13">INDEX('Indices Mines Exporting Ports'!$X$20:$X$51,MATCH(2,1/(('Indices Mines Exporting Ports'!$D$20:$D$51&lt;=Main!$C13)*('Indices Mines Exporting Ports'!$Q$20:$Q$51=$AQ13))))</f>
        <v>0</v>
      </c>
      <c r="SW13" s="75">
        <f t="array" ref="SW13">INDEX('Port Linkages'!$E$18:$E$157,MATCH(2,1/(('Port Linkages'!$C$18:$C$157=$AQ13)*('Port Linkages'!$D$18:$D$157=IF($AO13="no",$AQ13,$AS13))*('Port Linkages'!$A$18:$A$157&lt;=$C13))))</f>
        <v>0</v>
      </c>
      <c r="SX13" s="75">
        <f t="array" ref="SX13">INDEX('Port Linkages'!$F$18:$F$157,MATCH(2,1/(('Port Linkages'!$C$18:$C$157=$AQ13)*('Port Linkages'!$D$18:$D$157=IF($AO13="no",$AQ13,$AS13))*('Port Linkages'!$A$18:$A$157&lt;=$C13))))</f>
        <v>0</v>
      </c>
      <c r="SY13" s="75">
        <f t="array" ref="SY13">INDEX('Port Linkages'!$G$18:$G$157,MATCH(2,1/(('Port Linkages'!$C$18:$C$157=$AQ13)*('Port Linkages'!$D$18:$D$157=IF($AO13="no",$AQ13,$AS13))*('Port Linkages'!$A$18:$A$157&lt;=$C13))))</f>
        <v>0</v>
      </c>
      <c r="SZ13" s="75">
        <f t="array" ref="SZ13">INDEX('Port Linkages'!$H$18:$H$157,MATCH(2,1/(('Port Linkages'!$C$18:$C$157=$AQ13)*('Port Linkages'!$D$18:$D$157=IF($AO13="no",$AQ13,$AS13))*('Port Linkages'!$A$18:$A$157&lt;=$C13))))</f>
        <v>0</v>
      </c>
      <c r="TA13" s="75">
        <f t="array" ref="TA13">INDEX('Port Linkages'!$I$18:$I$157,MATCH(2,1/(('Port Linkages'!$C$18:$C$157=$AQ13)*('Port Linkages'!$D$18:$D$157=IF($AO13="no",$AQ13,$AS13))*('Port Linkages'!$A$18:$A$157&lt;=$C13))))</f>
        <v>0</v>
      </c>
      <c r="TB13" s="75">
        <f t="array" ref="TB13">INDEX('Port Linkages'!$J$18:$J$157,MATCH(2,1/(('Port Linkages'!$C$18:$C$157=$AQ13)*('Port Linkages'!$D$18:$D$157=IF($AO13="no",$AQ13,$AS13))*('Port Linkages'!$A$18:$A$157&lt;=$C13))))</f>
        <v>0</v>
      </c>
      <c r="TC13" s="75">
        <f t="array" ref="TC13">INDEX('Port Linkages'!$K$18:$K$157,MATCH(2,1/(('Port Linkages'!$C$18:$C$157=$AQ13)*('Port Linkages'!$D$18:$D$157=IF($AO13="no",$AQ13,$AS13))*('Port Linkages'!$A$18:$A$157&lt;=$C13))))</f>
        <v>0</v>
      </c>
      <c r="TD13" s="75">
        <f t="array" ref="TD13">INDEX('Port Linkages'!$L$18:$L$157,MATCH(2,1/(('Port Linkages'!$C$18:$C$157=$AQ13)*('Port Linkages'!$D$18:$D$157=IF($AO13="no",$AQ13,$AS13))*('Port Linkages'!$A$18:$A$157&lt;=$C13))))</f>
        <v>0</v>
      </c>
      <c r="TE13" s="75">
        <f t="array" ref="TE13">INDEX('Port Linkages'!$M$18:$M$157,MATCH(2,1/(('Port Linkages'!$C$18:$C$157=$AQ13)*('Port Linkages'!$D$18:$D$157=IF($AO13="no",$AQ13,$AS13))*('Port Linkages'!$A$18:$A$157&lt;=$C13))))</f>
        <v>0</v>
      </c>
      <c r="TF13" s="75">
        <f t="array" ref="TF13">INDEX('Port Linkages'!$N$18:$N$157,MATCH(2,1/(('Port Linkages'!$C$18:$C$157=$AQ13)*('Port Linkages'!$D$18:$D$157=IF($AO13="no",$AQ13,$AS13))*('Port Linkages'!$A$18:$A$157&lt;=$C13))))</f>
        <v>0</v>
      </c>
      <c r="TG13" s="75">
        <f t="array" ref="TG13">INDEX('Port Linkages'!$O$18:$O$157,MATCH(2,1/(('Port Linkages'!$C$18:$C$157=$AQ13)*('Port Linkages'!$D$18:$D$157=IF($AO13="no",$AQ13,$AS13))*('Port Linkages'!$A$18:$A$157&lt;=$C13))))</f>
        <v>0</v>
      </c>
      <c r="TH13" s="75">
        <f t="array" ref="TH13">INDEX('Port Linkages'!$P$18:$P$157,MATCH(2,1/(('Port Linkages'!$C$18:$C$157=$AQ13)*('Port Linkages'!$D$18:$D$157=IF($AO13="no",$AQ13,$AS13))*('Port Linkages'!$A$18:$A$157&lt;=$C13))))</f>
        <v>0</v>
      </c>
      <c r="TI13" s="75">
        <f t="array" ref="TI13">INDEX('Port Linkages'!$Q$18:$Q$157,MATCH(2,1/(('Port Linkages'!$C$18:$C$157=$AQ13)*('Port Linkages'!$D$18:$D$157=IF($AO13="no",$AQ13,$AS13))*('Port Linkages'!$A$18:$A$157&lt;=$C13))))</f>
        <v>0</v>
      </c>
      <c r="TJ13" s="75">
        <f t="array" ref="TJ13">INDEX('Port Linkages'!$R$18:$R$157,MATCH(2,1/(('Port Linkages'!$C$18:$C$157=$AQ13)*('Port Linkages'!$D$18:$D$157=IF($AO13="no",$AQ13,$AS13))*('Port Linkages'!$A$18:$A$157&lt;=$C13))))</f>
        <v>0</v>
      </c>
      <c r="TK13" s="75">
        <f t="array" ref="TK13">INDEX('Port Linkages'!$S$18:$S$157,MATCH(2,1/(('Port Linkages'!$C$18:$C$157=$AQ13)*('Port Linkages'!$D$18:$D$157=IF($AO13="no",$AQ13,$AS13))*('Port Linkages'!$A$18:$A$157&lt;=$C13))))</f>
        <v>0</v>
      </c>
      <c r="TL13" s="75">
        <f t="array" ref="TL13">INDEX('Port Linkages'!$T$18:$T$157,MATCH(2,1/(('Port Linkages'!$C$18:$C$157=$AQ13)*('Port Linkages'!$D$18:$D$157=IF($AO13="no",$AQ13,$AS13))*('Port Linkages'!$A$18:$A$157&lt;=$C13))))</f>
        <v>0</v>
      </c>
      <c r="TM13" s="75">
        <f t="array" ref="TM13">INDEX('Port Linkages'!$U$18:$U$157,MATCH(2,1/(('Port Linkages'!$C$18:$C$157=$AQ13)*('Port Linkages'!$D$18:$D$157=IF($AO13="no",$AQ13,$AS13))*('Port Linkages'!$A$18:$A$157&lt;=$C13))))</f>
        <v>0</v>
      </c>
      <c r="TN13" s="75">
        <f t="array" ref="TN13">INDEX('Port Linkages'!$V$18:$V$157,MATCH(2,1/(('Port Linkages'!$C$18:$C$157=$AQ13)*('Port Linkages'!$D$18:$D$157=IF($AO13="no",$AQ13,$AS13))*('Port Linkages'!$A$18:$A$157&lt;=$C13))))</f>
        <v>0</v>
      </c>
      <c r="TO13" s="75">
        <f t="array" ref="TO13">INDEX('Port Linkages'!$W$18:$W$157,MATCH(2,1/(('Port Linkages'!$C$18:$C$157=$AQ13)*('Port Linkages'!$D$18:$D$157=IF($AO13="no",$AQ13,$AS13))*('Port Linkages'!$A$18:$A$157&lt;=$C13))))</f>
        <v>0</v>
      </c>
      <c r="TP13" s="75">
        <f t="array" ref="TP13">INDEX('Port Linkages'!$X$18:$X$157,MATCH(2,1/(('Port Linkages'!$C$18:$C$157=$AQ13)*('Port Linkages'!$D$18:$D$157=IF($AO13="no",$AQ13,$AS13))*('Port Linkages'!$A$18:$A$157&lt;=$C13))))</f>
        <v>0</v>
      </c>
      <c r="TQ13" s="75">
        <f t="array" ref="TQ13">INDEX('Port Linkages'!$Y$18:$Y$157,MATCH(2,1/(('Port Linkages'!$C$18:$C$157=$AQ13)*('Port Linkages'!$D$18:$D$157=IF($AO13="no",$AQ13,$AS13))*('Port Linkages'!$A$18:$A$157&lt;=$C13))))</f>
        <v>0</v>
      </c>
      <c r="TR13" s="75">
        <f t="array" ref="TR13">INDEX('Port Linkages'!$Z$18:$Z$157,MATCH(2,1/(('Port Linkages'!$C$18:$C$157=$AQ13)*('Port Linkages'!$D$18:$D$157=IF($AO13="no",$AQ13,$AS13))*('Port Linkages'!$A$18:$A$157&lt;=$C13))))</f>
        <v>0</v>
      </c>
      <c r="TS13" s="75">
        <f t="array" ref="TS13">INDEX('Port Linkages'!$AA$18:$AA$157,MATCH(2,1/(('Port Linkages'!$C$18:$C$157=$AQ13)*('Port Linkages'!$D$18:$D$157=IF($AO13="no",$AQ13,$AS13))*('Port Linkages'!$A$18:$A$157&lt;=$C13))))</f>
        <v>0</v>
      </c>
      <c r="TT13" s="75">
        <f t="array" ref="TT13">INDEX('Port Linkages'!$AB$18:$AB$157,MATCH(2,1/(('Port Linkages'!$C$18:$C$157=$AQ13)*('Port Linkages'!$D$18:$D$157=IF($AO13="no",$AQ13,$AS13))*('Port Linkages'!$A$18:$A$157&lt;=$C13))))</f>
        <v>0</v>
      </c>
      <c r="TU13" s="75">
        <f t="array" ref="TU13">INDEX('Port Linkages'!$AC$18:$AC$157,MATCH(2,1/(('Port Linkages'!$C$18:$C$157=$AQ13)*('Port Linkages'!$D$18:$D$157=IF($AO13="no",$AQ13,$AS13))*('Port Linkages'!$A$18:$A$157&lt;=$C13))))</f>
        <v>0</v>
      </c>
      <c r="TV13" s="75">
        <f t="array" ref="TV13">INDEX('Port Linkages'!$AD$18:$AD$157,MATCH(2,1/(('Port Linkages'!$C$18:$C$157=$AQ13)*('Port Linkages'!$D$18:$D$157=IF($AO13="no",$AQ13,$AS13))*('Port Linkages'!$A$18:$A$157&lt;=$C13))))</f>
        <v>0</v>
      </c>
      <c r="TW13" s="75">
        <f t="array" ref="TW13">INDEX('Port Linkages'!$AE$18:$AE$157,MATCH(2,1/(('Port Linkages'!$C$18:$C$157=$AQ13)*('Port Linkages'!$D$18:$D$157=IF($AO13="no",$AQ13,$AS13))*('Port Linkages'!$A$18:$A$157&lt;=$C13))))</f>
        <v>0</v>
      </c>
      <c r="TX13" s="75">
        <f t="array" ref="TX13">INDEX('Port Linkages'!$AF$18:$AF$157,MATCH(2,1/(('Port Linkages'!$C$18:$C$157=$AQ13)*('Port Linkages'!$D$18:$D$157=IF($AO13="no",$AQ13,$AS13))*('Port Linkages'!$A$18:$A$157&lt;=$C13))))</f>
        <v>0</v>
      </c>
      <c r="TY13" s="75">
        <f t="array" ref="TY13">INDEX('Port Linkages'!$AG$18:$AG$157,MATCH(2,1/(('Port Linkages'!$C$18:$C$157=$AQ13)*('Port Linkages'!$D$18:$D$157=IF($AO13="no",$AQ13,$AS13))*('Port Linkages'!$A$18:$A$157&lt;=$C13))))</f>
        <v>0</v>
      </c>
      <c r="TZ13" s="75">
        <f t="array" ref="TZ13">INDEX('Port Linkages'!$AH$18:$AH$157,MATCH(2,1/(('Port Linkages'!$C$18:$C$157=$AQ13)*('Port Linkages'!$D$18:$D$157=IF($AO13="no",$AQ13,$AS13))*('Port Linkages'!$A$18:$A$157&lt;=$C13))))</f>
        <v>0</v>
      </c>
      <c r="UA13" s="75">
        <f t="array" ref="UA13">INDEX('Port Linkages'!$AI$18:$AI$157,MATCH(2,1/(('Port Linkages'!$C$18:$C$157=$AQ13)*('Port Linkages'!$D$18:$D$157=IF($AO13="no",$AQ13,$AS13))*('Port Linkages'!$A$18:$A$157&lt;=$C13))))</f>
        <v>0</v>
      </c>
      <c r="UB13" s="75">
        <f t="array" ref="UB13">INDEX('Port Linkages'!$AJ$18:$AJ$157,MATCH(2,1/(('Port Linkages'!$C$18:$C$157=$AQ13)*('Port Linkages'!$D$18:$D$157=IF($AO13="no",$AQ13,$AS13))*('Port Linkages'!$A$18:$A$157&lt;=$C13))))</f>
        <v>0</v>
      </c>
      <c r="UC13" s="75">
        <f t="array" ref="UC13">INDEX('Port Linkages'!$AK$18:$AK$157,MATCH(2,1/(('Port Linkages'!$C$18:$C$157=$AQ13)*('Port Linkages'!$D$18:$D$157=IF($AO13="no",$AQ13,$AS13))*('Port Linkages'!$A$18:$A$157&lt;=$C13))))</f>
        <v>0</v>
      </c>
      <c r="UD13" s="75">
        <f t="array" ref="UD13">INDEX('Port Linkages'!$AL$18:$AL$157,MATCH(2,1/(('Port Linkages'!$C$18:$C$157=$AQ13)*('Port Linkages'!$D$18:$D$157=IF($AO13="no",$AQ13,$AS13))*('Port Linkages'!$A$18:$A$157&lt;=$C13))))</f>
        <v>0</v>
      </c>
      <c r="UE13" s="75">
        <f t="array" ref="UE13">INDEX('Port Linkages'!$AM$18:$AM$157,MATCH(2,1/(('Port Linkages'!$C$18:$C$157=$AQ13)*('Port Linkages'!$D$18:$D$157=IF($AO13="no",$AQ13,$AS13))*('Port Linkages'!$A$18:$A$157&lt;=$C13))))</f>
        <v>0</v>
      </c>
      <c r="UF13" s="75">
        <f t="array" ref="UF13">INDEX('Port Linkages'!$AN$18:$AN$157,MATCH(2,1/(('Port Linkages'!$C$18:$C$157=$AQ13)*('Port Linkages'!$D$18:$D$157=IF($AO13="no",$AQ13,$AS13))*('Port Linkages'!$A$18:$A$157&lt;=$C13))))</f>
        <v>0</v>
      </c>
      <c r="UG13" s="75">
        <f t="array" ref="UG13">INDEX('Port Linkages'!$AO$18:$AO$157,MATCH(2,1/(('Port Linkages'!$C$18:$C$157=$AQ13)*('Port Linkages'!$D$18:$D$157=IF($AO13="no",$AQ13,$AS13))*('Port Linkages'!$A$18:$A$157&lt;=$C13))))</f>
        <v>0</v>
      </c>
      <c r="UH13" s="75">
        <f t="array" ref="UH13">INDEX('Port Linkages'!$AP$18:$AP$157,MATCH(2,1/(('Port Linkages'!$C$18:$C$157=$AQ13)*('Port Linkages'!$D$18:$D$157=IF($AO13="no",$AQ13,$AS13))*('Port Linkages'!$A$18:$A$157&lt;=$C13))))</f>
        <v>0</v>
      </c>
      <c r="UI13" s="75">
        <f t="array" ref="UI13">INDEX('Port Linkages'!$AQ$18:$AQ$157,MATCH(2,1/(('Port Linkages'!$C$18:$C$157=$AQ13)*('Port Linkages'!$D$18:$D$157=IF($AO13="no",$AQ13,$AS13))*('Port Linkages'!$A$18:$A$157&lt;=$C13))))</f>
        <v>0</v>
      </c>
      <c r="UJ13" s="75">
        <f t="array" ref="UJ13">INDEX('Port Linkages'!$AR$18:$AR$157,MATCH(2,1/(('Port Linkages'!$C$18:$C$157=$AQ13)*('Port Linkages'!$D$18:$D$157=IF($AO13="no",$AQ13,$AS13))*('Port Linkages'!$A$18:$A$157&lt;=$C13))))</f>
        <v>0</v>
      </c>
      <c r="UK13" s="75">
        <f t="array" ref="UK13">INDEX('Port Linkages'!$AS$18:$AS$157,MATCH(2,1/(('Port Linkages'!$C$18:$C$157=$AQ13)*('Port Linkages'!$D$18:$D$157=IF($AO13="no",$AQ13,$AS13))*('Port Linkages'!$A$18:$A$157&lt;=$C13))))</f>
        <v>0</v>
      </c>
      <c r="UL13" s="75">
        <f t="array" ref="UL13">INDEX('Port Linkages'!$AT$18:$AT$157,MATCH(2,1/(('Port Linkages'!$C$18:$C$157=$AQ13)*('Port Linkages'!$D$18:$D$157=IF($AO13="no",$AQ13,$AS13))*('Port Linkages'!$A$18:$A$157&lt;=$C13))))</f>
        <v>0</v>
      </c>
      <c r="UM13" s="75">
        <f t="array" ref="UM13">INDEX('Port Linkages'!$AU$18:$AU$157,MATCH(2,1/(('Port Linkages'!$C$18:$C$157=$AQ13)*('Port Linkages'!$D$18:$D$157=IF($AO13="no",$AQ13,$AS13))*('Port Linkages'!$A$18:$A$157&lt;=$C13))))</f>
        <v>0</v>
      </c>
      <c r="UN13" s="75">
        <f t="array" ref="UN13">INDEX('Port Linkages'!$AV$18:$AV$157,MATCH(2,1/(('Port Linkages'!$C$18:$C$157=$AQ13)*('Port Linkages'!$D$18:$D$157=IF($AO13="no",$AQ13,$AS13))*('Port Linkages'!$A$18:$A$157&lt;=$C13))))</f>
        <v>0</v>
      </c>
      <c r="UO13" s="75">
        <f t="array" ref="UO13">INDEX('Port Linkages'!$AW$18:$AW$157,MATCH(2,1/(('Port Linkages'!$C$18:$C$157=$AQ13)*('Port Linkages'!$D$18:$D$157=IF($AO13="no",$AQ13,$AS13))*('Port Linkages'!$A$18:$A$157&lt;=$C13))))</f>
        <v>0</v>
      </c>
      <c r="UP13" s="75">
        <f t="array" ref="UP13">INDEX('Port Linkages'!$AX$18:$AX$157,MATCH(2,1/(('Port Linkages'!$C$18:$C$157=$AQ13)*('Port Linkages'!$D$18:$D$157=IF($AO13="no",$AQ13,$AS13))*('Port Linkages'!$A$18:$A$157&lt;=$C13))))</f>
        <v>0</v>
      </c>
      <c r="UQ13" s="75">
        <f t="array" ref="UQ13">INDEX('Port Linkages'!$AY$18:$AY$157,MATCH(2,1/(('Port Linkages'!$C$18:$C$157=$AQ13)*('Port Linkages'!$D$18:$D$157=IF($AO13="no",$AQ13,$AS13))*('Port Linkages'!$A$18:$A$157&lt;=$C13))))</f>
        <v>0</v>
      </c>
      <c r="UR13" s="75">
        <f t="array" ref="UR13">INDEX('Port Linkages'!$AZ$18:$AZ$157,MATCH(2,1/(('Port Linkages'!$C$18:$C$157=$AQ13)*('Port Linkages'!$D$18:$D$157=IF($AO13="no",$AQ13,$AS13))*('Port Linkages'!$A$18:$A$157&lt;=$C13))))</f>
        <v>0</v>
      </c>
      <c r="US13" s="75">
        <f t="array" ref="US13">INDEX('Port Linkages'!$BA$18:$BA$157,MATCH(2,1/(('Port Linkages'!$C$18:$C$157=$AQ13)*('Port Linkages'!$D$18:$D$157=IF($AO13="no",$AQ13,$AS13))*('Port Linkages'!$A$18:$A$157&lt;=$C13))))</f>
        <v>0</v>
      </c>
      <c r="UU13" s="25" t="e">
        <f t="array" aca="1" ref="UU13" ca="1">INDEX('Ship Fuel Prices'!$F$5:$F$1004,MATCH(2,1/(('Ship Fuel Prices'!$E$5:$E$1004=_xlfn.IFS(SJ13="Handysize",Main!UP13,SJ13="Supramax",UI13,SJ13="Panamax",UB13,SJ13="NeoPanamax",TU13,SJ13="Suezmax",TN13,SJ13="Capesize",TG13,SJ13="VLOC",SZ13))*('Ship Fuel Prices'!$D$5:$D$1004&lt;=Main!$C13))))</f>
        <v>#N/A</v>
      </c>
      <c r="UV13" s="25" t="e">
        <f t="array" aca="1" ref="UV13" ca="1">INDEX('Ship Fuel Prices'!$G$5:$G$1004,MATCH(2,1/(('Ship Fuel Prices'!$E$5:$E$1004=_xlfn.IFS(SJ13="Handysize",Main!UP13,SJ13="Supramax",UI13,SJ13="Panamax",UB13,SJ13="NeoPanamax",TU13,SJ13="Suezmax",TN13,SJ13="Capesize",TG13,SJ13="VLOC",SZ13))*('Ship Fuel Prices'!$D$5:$D$1004&lt;=Main!$C13))))</f>
        <v>#N/A</v>
      </c>
      <c r="UW13" s="25" t="e">
        <f t="array" aca="1" ref="UW13" ca="1">INDEX('Ship Fuel Prices'!$H$5:$H$1004,MATCH(2,1/(('Ship Fuel Prices'!$E$5:$E$1004=_xlfn.IFS(SJ13="Handysize",Main!UP13,SJ13="Supramax",UI13,SJ13="Panamax",UB13,SJ13="NeoPanamax",TU13,SJ13="Suezmax",TN13,SJ13="Capesize",TG13,SJ13="VLOC",SZ13))*('Ship Fuel Prices'!$D$5:$D$1004&lt;=Main!$C13))))</f>
        <v>#N/A</v>
      </c>
      <c r="UX13" s="25" t="e">
        <f t="array" aca="1" ref="UX13" ca="1">INDEX('Ship Fuel Prices'!$I$5:$I$1004,MATCH(2,1/(('Ship Fuel Prices'!$E$5:$E$1004=_xlfn.IFS(SJ13="Handysize",Main!UP13,SJ13="Supramax",UI13,SJ13="Panamax",UB13,SJ13="NeoPanamax",TU13,SJ13="Suezmax",TN13,SJ13="Capesize",TG13,SJ13="VLOC",SZ13))*('Ship Fuel Prices'!$D$5:$D$1004&lt;=Main!$C13))))</f>
        <v>#N/A</v>
      </c>
      <c r="UY13" s="25" t="e">
        <f t="array" aca="1" ref="UY13" ca="1">INDEX('Ship Fuel Prices'!$J$5:$J$1004,MATCH(2,1/(('Ship Fuel Prices'!$E$5:$E$1004=_xlfn.IFS(SJ13="Handysize",Main!UP13,SJ13="Supramax",UI13,SJ13="Panamax",UB13,SJ13="NeoPanamax",TU13,SJ13="Suezmax",TN13,SJ13="Capesize",TG13,SJ13="VLOC",SZ13))*('Ship Fuel Prices'!$D$5:$D$1004&lt;=Main!$C13))))</f>
        <v>#N/A</v>
      </c>
      <c r="VA13" s="75">
        <f t="array" ref="VA13">INDEX('China n Importing Ports'!$E$20:$E$41,MATCH(2,1/(('China n Importing Ports'!$D$20:$D$41&lt;=$C13)*('China n Importing Ports'!$C$20:$C$41=IF($AO13="No",$AQ13,$AS13)))))</f>
        <v>0</v>
      </c>
      <c r="VB13" s="75">
        <f t="array" ref="VB13">INDEX('China n Importing Ports'!$F$20:$F$41,MATCH(2,1/(('China n Importing Ports'!$D$20:$D$41&lt;=$C13)*('China n Importing Ports'!$C$20:$C$41=IF($AO13="No",$AQ13,$AS13)))))</f>
        <v>0</v>
      </c>
      <c r="VC13" s="75">
        <f t="array" ref="VC13">INDEX('China n Importing Ports'!$G$20:$G$41,MATCH(2,1/(('China n Importing Ports'!$D$20:$D$41&lt;=$C13)*('China n Importing Ports'!$C$20:$C$41=IF($AO13="No",$AQ13,$AS13)))))</f>
        <v>0</v>
      </c>
      <c r="VD13" s="75">
        <f t="array" ref="VD13">INDEX('China n Importing Ports'!$H$20:$H$41,MATCH(2,1/(('China n Importing Ports'!$D$20:$D$41&lt;=$C13)*('China n Importing Ports'!$C$20:$C$41=IF($AO13="No",$AQ13,$AS13)))))</f>
        <v>0</v>
      </c>
      <c r="VE13" s="75">
        <f t="array" ref="VE13">INDEX('China n Importing Ports'!$I$20:$I$41,MATCH(2,1/(('China n Importing Ports'!$D$20:$D$41&lt;=$C13)*('China n Importing Ports'!$C$20:$C$41=IF($AO13="No",$AQ13,$AS13)))))</f>
        <v>0</v>
      </c>
      <c r="VF13" s="75">
        <f t="array" ref="VF13">INDEX('China n Importing Ports'!$J$20:$J$41,MATCH(2,1/(('China n Importing Ports'!$D$20:$D$41&lt;=$C13)*('China n Importing Ports'!$C$20:$C$41=IF($AO13="No",$AQ13,$AS13)))))</f>
        <v>0</v>
      </c>
      <c r="VG13" s="75">
        <f t="array" ref="VG13">INDEX('China n Importing Ports'!$K$20:$K$41,MATCH(2,1/(('China n Importing Ports'!$D$20:$D$41&lt;=$C13)*('China n Importing Ports'!$C$20:$C$41=IF($AO13="No",$AQ13,$AS13)))))</f>
        <v>0</v>
      </c>
      <c r="VH13" s="75">
        <f t="array" ref="VH13">INDEX('China n Importing Ports'!$L$20:$L$41,MATCH(2,1/(('China n Importing Ports'!$D$20:$D$41&lt;=$C13)*('China n Importing Ports'!$C$20:$C$41=IF($AO13="No",$AQ13,$AS13)))))</f>
        <v>0</v>
      </c>
      <c r="VI13" s="75">
        <f t="array" ref="VI13">INDEX('China n Importing Ports'!$M$20:$M$41,MATCH(2,1/(('China n Importing Ports'!$D$20:$D$41&lt;=$C13)*('China n Importing Ports'!$C$20:$C$41=IF($AO13="No",$AQ13,$AS13)))))</f>
        <v>0</v>
      </c>
      <c r="VJ13" s="75">
        <f t="array" ref="VJ13">INDEX('China n Importing Ports'!$N$20:$N$41,MATCH(2,1/(('China n Importing Ports'!$D$20:$D$41&lt;=$C13)*('China n Importing Ports'!$C$20:$C$41=IF($AO13="No",$AQ13,$AS13)))))</f>
        <v>0</v>
      </c>
      <c r="VK13" s="75">
        <f t="array" ref="VK13">INDEX('China n Importing Ports'!$O$20:$O$41,MATCH(2,1/(('China n Importing Ports'!$D$20:$D$41&lt;=$C13)*('China n Importing Ports'!$C$20:$C$41=IF($AO13="No",$AQ13,$AS13)))))</f>
        <v>0</v>
      </c>
      <c r="VL13" s="136">
        <f t="array" ref="VL13">INDEX('China n Importing Ports'!$P$20:$P$41,MATCH(2,1/(('China n Importing Ports'!$D$20:$D$41&lt;=$C13)*('China n Importing Ports'!$C$20:$C$41=IF($AO13="No",$AQ13,$AS13)))))</f>
        <v>0</v>
      </c>
      <c r="VM13" s="136">
        <f t="array" ref="VM13">INDEX('China n Importing Ports'!$Q$20:$Q$41,MATCH(2,1/(('China n Importing Ports'!$D$20:$D$41&lt;=$C13)*('China n Importing Ports'!$C$20:$C$41=IF($AO13="No",$AQ13,$AS13)))))</f>
        <v>0</v>
      </c>
      <c r="VN13" s="136">
        <f t="array" ref="VN13">INDEX('China n Importing Ports'!$R$20:$R$41,MATCH(2,1/(('China n Importing Ports'!$D$20:$D$41&lt;=$C13)*('China n Importing Ports'!$C$20:$C$41=IF($AO13="No",$AQ13,$AS13)))))</f>
        <v>0</v>
      </c>
      <c r="VO13" s="136">
        <f t="array" ref="VO13">INDEX('China n Importing Ports'!$S$20:$S$41,MATCH(2,1/(('China n Importing Ports'!$D$20:$D$41&lt;=$C13)*('China n Importing Ports'!$C$20:$C$41=IF($AO13="No",$AQ13,$AS13)))))</f>
        <v>0</v>
      </c>
      <c r="VP13" s="136">
        <f t="array" ref="VP13">INDEX('China n Importing Ports'!$T$20:$T$41,MATCH(2,1/(('China n Importing Ports'!$D$20:$D$41&lt;=$C13)*('China n Importing Ports'!$C$20:$C$41=IF($AO13="No",$AQ13,$AS13)))))</f>
        <v>0</v>
      </c>
      <c r="VQ13" s="136">
        <f t="array" ref="VQ13">INDEX('China n Importing Ports'!$U$20:$U$41,MATCH(2,1/(('China n Importing Ports'!$D$20:$D$41&lt;=$C13)*('China n Importing Ports'!$C$20:$C$41=IF($AO13="No",$AQ13,$AS13)))))</f>
        <v>0</v>
      </c>
      <c r="VR13" s="136">
        <f t="array" ref="VR13">INDEX('China n Importing Ports'!$V$20:$V$41,MATCH(2,1/(('China n Importing Ports'!$D$20:$D$41&lt;=$C13)*('China n Importing Ports'!$C$20:$C$41=IF($AO13="No",$AQ13,$AS13)))))</f>
        <v>0</v>
      </c>
      <c r="VS13" s="136">
        <f t="array" ref="VS13">INDEX('China n Importing Ports'!$W$20:$W$41,MATCH(2,1/(('China n Importing Ports'!$D$20:$D$41&lt;=$C13)*('China n Importing Ports'!$C$20:$C$41=IF($AO13="No",$AQ13,$AS13)))))</f>
        <v>0</v>
      </c>
      <c r="VT13" s="136">
        <f t="array" ref="VT13">INDEX('China n Importing Ports'!$X$20:$X$41,MATCH(2,1/(('China n Importing Ports'!$D$20:$D$41&lt;=$C13)*('China n Importing Ports'!$C$20:$C$41=IF($AO13="No",$AQ13,$AS13)))))</f>
        <v>0</v>
      </c>
      <c r="VU13" s="136">
        <f t="array" ref="VU13">INDEX('China n Importing Ports'!$Y$20:$Y$41,MATCH(2,1/(('China n Importing Ports'!$D$20:$D$41&lt;=$C13)*('China n Importing Ports'!$C$20:$C$41=IF($AO13="No",$AQ13,$AS13)))))</f>
        <v>0</v>
      </c>
      <c r="VV13" s="136">
        <f t="array" ref="VV13">INDEX('China n Importing Ports'!$Z$20:$Z$41,MATCH(2,1/(('China n Importing Ports'!$D$20:$D$41&lt;=$C13)*('China n Importing Ports'!$C$20:$C$41=IF($AO13="No",$AQ13,$AS13)))))</f>
        <v>0</v>
      </c>
      <c r="VW13" s="136">
        <f t="array" ref="VW13">INDEX('China n Importing Ports'!$AA$20:$AA$41,MATCH(2,1/(('China n Importing Ports'!$D$20:$D$41&lt;=$C13)*('China n Importing Ports'!$C$20:$C$41=IF($AO13="No",$AQ13,$AS13)))))</f>
        <v>0</v>
      </c>
      <c r="VY13" s="75" t="e">
        <f t="array" aca="1" ref="VY13" ca="1">INDEX(Canals!$G$24:$G$29,MATCH(2,1/((Canals!$F$24:$F$29&lt;=$C13)*(Canals!$G$24:$G$29=_xlfn.IFS(SJ13="Handysize",US13,SJ13="Supramax",UL13,SJ13="Panamax",UE13,SJ13="NeoPanamax",TX13,SJ13="Suezmax",TQ13,SJ13="Capesize",TJ13,SJ13="VLOC",TC13)))))</f>
        <v>#N/A</v>
      </c>
      <c r="VZ13" s="75" t="e">
        <f t="array" aca="1" ref="VZ13" ca="1">INDEX(Canals!$H$24:$H$29,MATCH(2,1/((Canals!$F$24:$F$29&lt;=$C13)*(Canals!$G$24:$G$29=_xlfn.IFS(SJ13="Handysize",US13,SJ13="Supramax",UL13,SJ13="Panamax",UE13,SJ13="NeoPanamax",TX13,SJ13="Suezmax",TQ13,SJ13="Capesize",TJ13,SJ13="VLOC",TC13)))))</f>
        <v>#N/A</v>
      </c>
      <c r="WA13" s="75" t="e">
        <f t="array" aca="1" ref="WA13" ca="1">INDEX(Canals!$I$24:$I$29,MATCH(2,1/((Canals!$F$24:$F$29&lt;=$C13)*(Canals!$G$24:$G$29=_xlfn.IFS(SJ13="Handysize",US13,SJ13="Supramax",UL13,SJ13="Panamax",UE13,SJ13="NeoPanamax",TX13,SJ13="Suezmax",TQ13,SJ13="Capesize",TJ13,SJ13="VLOC",TC13)))))</f>
        <v>#N/A</v>
      </c>
      <c r="WB13" s="75" t="e">
        <f t="array" aca="1" ref="WB13" ca="1">INDEX(Canals!$J$24:$J$29,MATCH(2,1/((Canals!$F$24:$F$29&lt;=$C13)*(Canals!$G$24:$G$29=_xlfn.IFS(SJ13="Handysize",Main!US13,SJ13="Supramax",UL13,SJ13="Panamax",UE13,SJ13="NeoPanamax",TX13,SJ13="Suezmax",TQ13,SJ13="Capesize",TJ13,SJ13="VLOC",TC13)))))</f>
        <v>#N/A</v>
      </c>
      <c r="WC13" s="75" t="e">
        <f t="array" aca="1" ref="WC13" ca="1">INDEX(Canals!$K$24:$K$29,MATCH(2,1/((Canals!$F$24:$F$29&lt;=$C13)*(Canals!$G$24:$G$29=_xlfn.IFS(SJ13="Handysize",Main!US13,SJ13="Supramax",UL13,SJ13="Panamax",UE13,SJ13="NeoPanamax",TX13,SJ13="Suezmax",TQ13,SJ13="Capesize",TJ13,SJ13="VLOC",TC13)))))</f>
        <v>#N/A</v>
      </c>
      <c r="WD13" s="75" t="e">
        <f t="array" aca="1" ref="WD13" ca="1">INDEX(Canals!$L$24:$L$29,MATCH(2,1/((Canals!$F$24:$F$29&lt;=$C13)*(Canals!$G$24:$G$29=_xlfn.IFS(SJ13="Handysize",Main!US13,SJ13="Supramax",UL13,SJ13="Panamax",UE13,SJ13="NeoPanamax",TX13,SJ13="Suezmax",TQ13,SJ13="Capesize",TJ13,SJ13="VLOC",TC13)))))</f>
        <v>#N/A</v>
      </c>
      <c r="WE13" s="75" t="e">
        <f t="array" aca="1" ref="WE13" ca="1">INDEX(Canals!$M$24:$M$29,MATCH(2,1/((Canals!$F$24:$F$29&lt;=$C13)*(Canals!$G$24:$G$29=_xlfn.IFS(SJ13="Handysize",Main!US13,SJ13="Supramax",UL13,SJ13="Panamax",UE13,SJ13="NeoPanamax",TX13,SJ13="Suezmax",TQ13,SJ13="Capesize",TJ13,SJ13="VLOC",TC13)))))</f>
        <v>#N/A</v>
      </c>
      <c r="WF13" s="75" t="e">
        <f t="array" aca="1" ref="WF13" ca="1">INDEX(Canals!$N$24:$N$29,MATCH(2,1/((Canals!$F$24:$F$29&lt;=$C13)*(Canals!$G$24:$G$29=_xlfn.IFS(SJ13="Handysize",Main!US13,SJ13="Supramax",UL13,SJ13="Panamax",UE13,SJ13="NeoPanamax",TX13,SJ13="Suezmax",TQ13,SJ13="Capesize",TJ13,SJ13="VLOC",TC13)))))</f>
        <v>#N/A</v>
      </c>
      <c r="WG13" s="75" t="e">
        <f t="array" aca="1" ref="WG13" ca="1">INDEX(Canals!$O$24:$O$29,MATCH(2,1/((Canals!$F$24:$F$29&lt;=$C13)*(Canals!$G$24:$G$29=_xlfn.IFS(SJ13="Handysize",Main!US13,SJ13="Supramax",UL13,SJ13="Panamax",UE13,SJ13="NeoPanamax",TX13,SJ13="Suezmax",TQ13,SJ13="Capesize",TJ13,SJ13="VLOC",TC13)))))</f>
        <v>#N/A</v>
      </c>
      <c r="WH13" s="75" t="e">
        <f t="array" aca="1" ref="WH13" ca="1">INDEX(Canals!$P$24:$P$29,MATCH(2,1/((Canals!$F$24:$F$29&lt;=$C13)*(Canals!$G$24:$G$29=_xlfn.IFS(SJ13="Handysize",Main!US13,SJ13="Supramax",UL13,SJ13="Panamax",UE13,SJ13="NeoPanamax",TX13,SJ13="Suezmax",TQ13,SJ13="Capesize",TJ13,SJ13="VLOC",TC13)))))</f>
        <v>#N/A</v>
      </c>
      <c r="WI13" s="75" t="e">
        <f t="array" aca="1" ref="WI13" ca="1">INDEX(Canals!$Q$24:$Q$29,MATCH(2,1/((Canals!$F$24:$F$29&lt;=$C13)*(Canals!$G$24:$G$29=_xlfn.IFS(SJ13="Handysize",Main!US13,SJ13="Supramax",UL13,SJ13="Panamax",UE13,SJ13="NeoPanamax",TX13,SJ13="Suezmax",TQ13,SJ13="Capesize",TJ13,SJ13="VLOC",TC13)))))</f>
        <v>#N/A</v>
      </c>
      <c r="WJ13" s="75" t="e">
        <f t="array" aca="1" ref="WJ13" ca="1">INDEX(Canals!$R$24:$R$29,MATCH(2,1/((Canals!$F$24:$F$29&lt;=$C13)*(Canals!$G$24:$G$29=_xlfn.IFS(SJ13="Handysize",Main!US13,SJ13="Supramax",UL13,SJ13="Panamax",UE13,SJ13="NeoPanamax",TX13,SJ13="Suezmax",TQ13,SJ13="Capesize",TJ13,SJ13="VLOC",TC13)))))</f>
        <v>#N/A</v>
      </c>
      <c r="WK13" s="136" t="e">
        <f t="array" aca="1" ref="WK13" ca="1">INDEX(Canals!$S$24:$S$29,MATCH(2,1/((Canals!$F$24:$F$29&lt;=$C13)*(Canals!$G$24:$G$29=_xlfn.IFS(SJ13="Handysize",Main!US13,SJ13="Supramax",UL13,SJ13="Panamax",UE13,SJ13="NeoPanamax",TX13,SJ13="Suezmax",TQ13,SJ13="Capesize",TJ13,SJ13="VLOC",TC13)))))</f>
        <v>#N/A</v>
      </c>
      <c r="WL13" s="136" t="e">
        <f t="array" aca="1" ref="WL13" ca="1">INDEX(Canals!$T$24:$T$29,MATCH(2,1/((Canals!$F$24:$F$29&lt;=$C13)*(Canals!$G$24:$G$29=_xlfn.IFS(SJ13="Handysize",Main!US13,SJ13="Supramax",UL13,SJ13="Panamax",UE13,SJ13="NeoPanamax",TX13,SJ13="Suezmax",TQ13,SJ13="Capesize",TJ13,SJ13="VLOC",TC13)))))</f>
        <v>#N/A</v>
      </c>
      <c r="WM13" s="136" t="e">
        <f t="array" aca="1" ref="WM13" ca="1">INDEX(Canals!$U$24:$U$29,MATCH(2,1/((Canals!$F$24:$F$29&lt;=$C13)*(Canals!$G$24:$G$29=_xlfn.IFS(SJ13="Handysize",Main!US13,SJ13="Supramax",UL13,SJ13="Panamax",UE13,SJ13="NeoPanamax",TX13,SJ13="Suezmax",TQ13,SJ13="Capesize",TJ13,SJ13="VLOC",TC13)))))</f>
        <v>#N/A</v>
      </c>
      <c r="WN13" s="136" t="e">
        <f t="array" aca="1" ref="WN13" ca="1">INDEX(Canals!$V$24:$V$29,MATCH(2,1/((Canals!$F$24:$F$29&lt;=$C13)*(Canals!$G$24:$G$29=_xlfn.IFS(SJ13="Handysize",Main!US13,SJ13="Supramax",UL13,SJ13="Panamax",UE13,SJ13="NeoPanamax",TX13,SJ13="Suezmax",TQ13,SJ13="Capesize",TJ13,SJ13="VLOC",TC13)))))</f>
        <v>#N/A</v>
      </c>
      <c r="WO13" s="136" t="e">
        <f t="array" aca="1" ref="WO13" ca="1">INDEX(Canals!$W$24:$W$29,MATCH(2,1/((Canals!$F$24:$F$29&lt;=$C13)*(Canals!$G$24:$G$29=_xlfn.IFS(SJ13="Handysize",Main!US13,SJ13="Supramax",UL13,SJ13="Panamax",UE13,SJ13="NeoPanamax",TX13,SJ13="Suezmax",TQ13,SJ13="Capesize",TJ13,SJ13="VLOC",TC13)))))</f>
        <v>#N/A</v>
      </c>
      <c r="WP13" s="136" t="e">
        <f t="array" aca="1" ref="WP13" ca="1">INDEX(Canals!$X$24:$X$29,MATCH(2,1/((Canals!$F$24:$F$29&lt;=$C13)*(Canals!$G$24:$G$29=_xlfn.IFS(SJ13="Handysize",Main!US13,SJ13="Supramax",UL13,SJ13="Panamax",UE13,SJ13="NeoPanamax",TX13,SJ13="Suezmax",TQ13,SJ13="Capesize",TJ13,SJ13="VLOC",TC13)))))</f>
        <v>#N/A</v>
      </c>
      <c r="WQ13" s="136" t="e">
        <f t="array" aca="1" ref="WQ13" ca="1">INDEX(Canals!$Y$24:$Y$29,MATCH(2,1/((Canals!$F$24:$F$29&lt;=$C13)*(Canals!$G$24:$G$29=_xlfn.IFS(SJ13="Handysize",Main!US13,SJ13="Supramax",UL13,SJ13="Panamax",UE13,SJ13="NeoPanamax",TX13,SJ13="Suezmax",TQ13,SJ13="Capesize",TJ13,SJ13="VLOC",TC13)))))</f>
        <v>#N/A</v>
      </c>
      <c r="WR13" s="136" t="e">
        <f t="array" aca="1" ref="WR13" ca="1">INDEX(Canals!$Z$24:$Z$29,MATCH(2,1/((Canals!$F$24:$F$29&lt;=$C13)*(Canals!$G$24:$G$29=_xlfn.IFS(SJ13="Handysize",Main!US13,SJ13="Supramax",UL13,SJ13="Panamax",UE13,SJ13="NeoPanamax",TX13,SJ13="Suezmax",TQ13,SJ13="Capesize",TJ13,SJ13="VLOC",TC13)))))</f>
        <v>#N/A</v>
      </c>
      <c r="WS13" s="136" t="e">
        <f t="array" aca="1" ref="WS13" ca="1">INDEX(Canals!$AA$24:$AA$29,MATCH(2,1/((Canals!$F$24:$F$29&lt;=$C13)*(Canals!$G$24:$G$29=_xlfn.IFS(SJ13="Handysize",Main!US13,SJ13="Supramax",UL13,SJ13="Panamax",UE13,SJ13="NeoPanamax",TX13,SJ13="Suezmax",TQ13,SJ13="Capesize",TJ13,SJ13="VLOC",TC13)))))</f>
        <v>#N/A</v>
      </c>
      <c r="WT13" s="136" t="e">
        <f t="array" aca="1" ref="WT13" ca="1">INDEX(Canals!$AB$24:$AB$29,MATCH(2,1/((Canals!$F$24:$F$29&lt;=$C13)*(Canals!$G$24:$G$29=_xlfn.IFS(SJ13="Handysize",Main!US13,SJ13="Supramax",UL13,SJ13="Panamax",UE13,SJ13="NeoPanamax",TX13,SJ13="Suezmax",TQ13,SJ13="Capesize",TJ13,SJ13="VLOC",TC13)))))</f>
        <v>#N/A</v>
      </c>
      <c r="WU13" s="75" t="e">
        <f t="array" aca="1" ref="WU13" ca="1">INDEX(Canals!$AC$24:$AC$29,MATCH(2,1/((Canals!$F$24:$F$29&lt;=$C13)*(Canals!$G$24:$G$29=_xlfn.IFS(SJ13="Handysize",Main!US13,SJ13="Supramax",UL13,SJ13="Panamax",UE13,SJ13="NeoPanamax",TX13,SJ13="Suezmax",TQ13,SJ13="Capesize",TJ13,SJ13="VLOC",TC13)))))</f>
        <v>#N/A</v>
      </c>
      <c r="WV13" s="75" t="e">
        <f t="array" aca="1" ref="WV13" ca="1">INDEX(Canals!$AD$24:$AD$29,MATCH(2,1/((Canals!$F$24:$F$29&lt;=$C13)*(Canals!$G$24:$G$29=_xlfn.IFS(SJ13="Handysize",Main!US13,SJ13="Supramax",UL13,SJ13="Panamax",UE13,SJ13="NeoPanamax",TX13,SJ13="Suezmax",TQ13,SJ13="Capesize",TJ13,SJ13="VLOC",TC13)))))</f>
        <v>#N/A</v>
      </c>
      <c r="WW13" s="75" t="e">
        <f t="array" aca="1" ref="WW13" ca="1">INDEX(Canals!$AE$24:$AE$29,MATCH(2,1/((Canals!$F$24:$F$29&lt;=$C13)*(Canals!$G$24:$G$29=_xlfn.IFS(SJ13="Handysize",Main!US13,SJ13="Supramax",UL13,SJ13="Panamax",UE13,SJ13="NeoPanamax",TX13,SJ13="Suezmax",TQ13,SJ13="Capesize",TJ13,SJ13="VLOC",TC13)))))</f>
        <v>#N/A</v>
      </c>
      <c r="WX13" s="75" t="e">
        <f t="array" aca="1" ref="WX13" ca="1">INDEX(Canals!$AF$24:$AF$29,MATCH(2,1/((Canals!$F$24:$F$29&lt;=$C13)*(Canals!$G$24:$G$29=_xlfn.IFS(SJ13="Handysize",Main!US13,SJ13="Supramax",UL13,SJ13="Panamax",UE13,SJ13="NeoPanamax",TX13,SJ13="Suezmax",TQ13,SJ13="Capesize",TJ13,SJ13="VLOC",TC13)))))</f>
        <v>#N/A</v>
      </c>
      <c r="WY13" s="75" t="e">
        <f t="array" aca="1" ref="WY13" ca="1">INDEX(Canals!$AG$24:$AG$29,MATCH(2,1/((Canals!$F$24:$F$29&lt;=$C13)*(Canals!$G$24:$G$29=_xlfn.IFS(SJ13="Handysize",Main!US13,SJ13="Supramax",UL13,SJ13="Panamax",UE13,SJ13="NeoPanamax",TX13,SJ13="Suezmax",TQ13,SJ13="Capesize",TJ13,SJ13="VLOC",TC13)))))</f>
        <v>#N/A</v>
      </c>
      <c r="WZ13" s="75" t="e">
        <f t="array" aca="1" ref="WZ13" ca="1">INDEX(Canals!$AH$24:$AH$29,MATCH(2,1/((Canals!$F$24:$F$29&lt;=$C13)*(Canals!$G$24:$G$29=_xlfn.IFS(SJ13="Handysize",Main!US13,SJ13="Supramax",UL13,SJ13="Panamax",UE13,SJ13="NeoPanamax",TX13,SJ13="Suezmax",TQ13,SJ13="Capesize",TJ13,SJ13="VLOC",TC13)))))</f>
        <v>#N/A</v>
      </c>
      <c r="XA13" s="75" t="e">
        <f t="array" aca="1" ref="XA13" ca="1">INDEX(Canals!$AI$24:$AI$29,MATCH(2,1/((Canals!$F$24:$F$29&lt;=$C13)*(Canals!$G$24:$G$29=_xlfn.IFS(SJ13="Handysize",Main!US13,SJ13="Supramax",UL13,SJ13="Panamax",UE13,SJ13="NeoPanamax",TX13,SJ13="Suezmax",TQ13,SJ13="Capesize",TJ13,SJ13="VLOC",TC13)))))</f>
        <v>#N/A</v>
      </c>
      <c r="XB13" s="75" t="e">
        <f t="array" aca="1" ref="XB13" ca="1">INDEX(Canals!$AJ$24:$AJ$29,MATCH(2,1/((Canals!$F$24:$F$29&lt;=$C13)*(Canals!$G$24:$G$29=_xlfn.IFS(SJ13="Handysize",Main!US13,SJ13="Supramax",UL13,SJ13="Panamax",UE13,SJ13="NeoPanamax",TX13,SJ13="Suezmax",TQ13,SJ13="Capesize",TJ13,SJ13="VLOC",TC13)))))</f>
        <v>#N/A</v>
      </c>
      <c r="XC13" s="75" t="e">
        <f t="array" aca="1" ref="XC13" ca="1">INDEX(Canals!$AK$24:$AK$29,MATCH(2,1/((Canals!$F$24:$F$29&lt;=$C13)*(Canals!$G$24:$G$29=_xlfn.IFS(SJ13="Handysize",Main!US13,SJ13="Supramax",UL13,SJ13="Panamax",UE13,SJ13="NeoPanamax",TX13,SJ13="Suezmax",TQ13,SJ13="Capesize",TJ13,SJ13="VLOC",TC13)))))</f>
        <v>#N/A</v>
      </c>
      <c r="XD13" s="136" t="e">
        <f t="array" aca="1" ref="XD13" ca="1">INDEX(Canals!$AL$24:$AL$29,MATCH(2,1/((Canals!$F$24:$F$29&lt;=$C13)*(Canals!$G$24:$G$29=_xlfn.IFS(SJ13="Handysize",Main!US13,SJ13="Supramax",UL13,SJ13="Panamax",UE13,SJ13="NeoPanamax",TX13,SJ13="Suezmax",TQ13,SJ13="Capesize",TJ13,SJ13="VLOC",TC13)))))</f>
        <v>#N/A</v>
      </c>
      <c r="XE13" s="136" t="e">
        <f t="array" aca="1" ref="XE13" ca="1">INDEX(Canals!$AM$24:$AM$29,MATCH(2,1/((Canals!$F$24:$F$29&lt;=$C13)*(Canals!$G$24:$G$29=_xlfn.IFS(SJ13="Handysize",Main!US13,SJ13="Supramax",UL13,SJ13="Panamax",UE13,SJ13="NeoPanamax",TX13,SJ13="Suezmax",TQ13,SJ13="Capesize",TJ13,SJ13="VLOC",TC13)))))</f>
        <v>#N/A</v>
      </c>
      <c r="XF13" s="136" t="e">
        <f t="array" aca="1" ref="XF13" ca="1">INDEX(Canals!$AN$24:$AN$29,MATCH(2,1/((Canals!$F$24:$F$29&lt;=$C13)*(Canals!$G$24:$G$29=_xlfn.IFS(SJ13="Handysize",Main!US13,SJ13="Supramax",UL13,SJ13="Panamax",UE13,SJ13="NeoPanamax",TX13,SJ13="Suezmax",TQ13,SJ13="Capesize",TJ13,SJ13="VLOC",TC13)))))</f>
        <v>#N/A</v>
      </c>
      <c r="XG13" s="136" t="e">
        <f t="array" aca="1" ref="XG13" ca="1">INDEX(Canals!$AO$24:$AO$29,MATCH(2,1/((Canals!$F$24:$F$29&lt;=$C13)*(Canals!$G$24:$G$29=_xlfn.IFS(SJ13="Handysize",Main!US13,SJ13="Supramax",UL13,SJ13="Panamax",UE13,SJ13="NeoPanamax",TX13,SJ13="Suezmax",TQ13,SJ13="Capesize",TJ13,SJ13="VLOC",TC13)))))</f>
        <v>#N/A</v>
      </c>
      <c r="XH13" s="136" t="e">
        <f t="array" aca="1" ref="XH13" ca="1">INDEX(Canals!$AP$24:$AP$29,MATCH(2,1/((Canals!$F$24:$F$29&lt;=$C13)*(Canals!$G$24:$G$29=_xlfn.IFS(SJ13="Handysize",Main!US13,SJ13="Supramax",UL13,SJ13="Panamax",UE13,SJ13="NeoPanamax",TX13,SJ13="Suezmax",TQ13,SJ13="Capesize",TJ13,SJ13="VLOC",TC13)))))</f>
        <v>#N/A</v>
      </c>
      <c r="XI13" s="136" t="e">
        <f t="array" aca="1" ref="XI13" ca="1">INDEX(Canals!$AQ$24:$AQ$29,MATCH(2,1/((Canals!$F$24:$F$29&lt;=$C13)*(Canals!$G$24:$G$29=_xlfn.IFS(SJ13="Handysize",Main!US13,SJ13="Supramax",UL13,SJ13="Panamax",UE13,SJ13="NeoPanamax",TX13,SJ13="Suezmax",TQ13,SJ13="Capesize",TJ13,SJ13="VLOC",TC13)))))</f>
        <v>#N/A</v>
      </c>
      <c r="XJ13" s="136" t="e">
        <f t="array" aca="1" ref="XJ13" ca="1">INDEX(Canals!$AR$24:$AR$29,MATCH(2,1/((Canals!$F$24:$F$29&lt;=$C13)*(Canals!$G$24:$G$29=_xlfn.IFS(SJ13="Handysize",Main!US13,SJ13="Supramax",UL13,SJ13="Panamax",UE13,SJ13="NeoPanamax",TX13,SJ13="Suezmax",TQ13,SJ13="Capesize",TJ13,SJ13="VLOC",TC13)))))</f>
        <v>#N/A</v>
      </c>
      <c r="XK13" s="136" t="e">
        <f t="array" aca="1" ref="XK13" ca="1">INDEX(Canals!$AS$24:$AS$29,MATCH(2,1/((Canals!$F$24:$F$29&lt;=$C13)*(Canals!$G$24:$G$29=_xlfn.IFS(SJ13="Handysize",Main!US13,SJ13="Supramax",UL13,SJ13="Panamax",UE13,SJ13="NeoPanamax",TX13,SJ13="Suezmax",TQ13,SJ13="Capesize",TJ13,SJ13="VLOC",TC13)))))</f>
        <v>#N/A</v>
      </c>
      <c r="XL13" s="136" t="e">
        <f t="array" aca="1" ref="XL13" ca="1">INDEX(Canals!$AT$24:$AT$29,MATCH(2,1/((Canals!$F$24:$F$29&lt;=$C13)*(Canals!$G$24:$G$29=_xlfn.IFS(SJ13="Handysize",Main!US13,SJ13="Supramax",UL13,SJ13="Panamax",UE13,SJ13="NeoPanamax",TX13,SJ13="Suezmax",TQ13,SJ13="Capesize",TJ13,SJ13="VLOC",TC13)))))</f>
        <v>#N/A</v>
      </c>
      <c r="XM13" s="136" t="e">
        <f t="array" aca="1" ref="XM13" ca="1">INDEX(Canals!$AU$24:$AU$29,MATCH(2,1/((Canals!$F$24:$F$29&lt;=$C13)*(Canals!$G$24:$G$29=_xlfn.IFS(SJ13="Handysize",Main!US13,SJ13="Supramax",UL13,SJ13="Panamax",UE13,SJ13="NeoPanamax",TX13,SJ13="Suezmax",TQ13,SJ13="Capesize",TJ13,SJ13="VLOC",TC13)))))</f>
        <v>#N/A</v>
      </c>
      <c r="XN13" s="136" t="e">
        <f t="array" aca="1" ref="XN13" ca="1">INDEX(Canals!$AV$24:$AV$29,MATCH(2,1/((Canals!$F$24:$F$29&lt;=$C13)*(Canals!$G$24:$G$29=_xlfn.IFS(SJ13="Handysize",Main!US13,SJ13="Supramax",UL13,SJ13="Panamax",UE13,SJ13="NeoPanamax",TX13,SJ13="Suezmax",TQ13,SJ13="Capesize",TJ13,SJ13="VLOC",TC13)))))</f>
        <v>#N/A</v>
      </c>
      <c r="XP13" s="75" t="e">
        <f t="array" aca="1" ref="XP13" ca="1">_xlfn.IFS(WA13="DWT",SH13,WA13="NRT",SL13,WA13="GRT",SM13,WA13=0,0)</f>
        <v>#NAME?</v>
      </c>
      <c r="XQ13" s="279" t="e">
        <f t="shared" ca="1" si="125"/>
        <v>#NAME?</v>
      </c>
      <c r="XR13" s="280" t="e">
        <f t="shared" ca="1" si="126"/>
        <v>#NAME?</v>
      </c>
      <c r="XS13" s="280" t="e">
        <f t="shared" ca="1" si="127"/>
        <v>#NAME?</v>
      </c>
      <c r="XT13" s="280" t="e">
        <f t="shared" ca="1" si="128"/>
        <v>#NAME?</v>
      </c>
      <c r="XU13" s="280" t="e">
        <f t="shared" ca="1" si="129"/>
        <v>#NAME?</v>
      </c>
      <c r="XV13" s="280" t="e">
        <f t="shared" ca="1" si="130"/>
        <v>#NAME?</v>
      </c>
      <c r="XW13" s="280" t="e">
        <f t="shared" ca="1" si="131"/>
        <v>#NAME?</v>
      </c>
      <c r="XX13" s="280" t="e">
        <f t="shared" ca="1" si="132"/>
        <v>#NAME?</v>
      </c>
      <c r="XY13" s="280" t="e">
        <f t="shared" ca="1" si="133"/>
        <v>#NAME?</v>
      </c>
      <c r="XZ13" s="75">
        <f t="shared" si="134"/>
        <v>0</v>
      </c>
      <c r="YA13" s="279" t="e">
        <f t="shared" ca="1" si="135"/>
        <v>#N/A</v>
      </c>
      <c r="YB13" s="280" t="e">
        <f t="shared" ca="1" si="136"/>
        <v>#N/A</v>
      </c>
      <c r="YC13" s="280" t="e">
        <f t="shared" ca="1" si="137"/>
        <v>#N/A</v>
      </c>
      <c r="YD13" s="280" t="e">
        <f t="shared" ca="1" si="138"/>
        <v>#N/A</v>
      </c>
      <c r="YE13" s="280" t="e">
        <f t="shared" ca="1" si="139"/>
        <v>#N/A</v>
      </c>
      <c r="YF13" s="280" t="e">
        <f t="shared" ca="1" si="140"/>
        <v>#N/A</v>
      </c>
      <c r="YG13" s="280" t="e">
        <f t="shared" ca="1" si="141"/>
        <v>#N/A</v>
      </c>
      <c r="YH13" s="280" t="e">
        <f t="shared" ca="1" si="142"/>
        <v>#N/A</v>
      </c>
      <c r="YI13" s="280" t="e">
        <f t="shared" ca="1" si="143"/>
        <v>#N/A</v>
      </c>
      <c r="YK13" s="75" t="e">
        <f t="array" aca="1" ref="YK13" ca="1">_xlfn.IFS(SJ13="Handysize",Main!UM13,SJ13="Supramax",UF13,SJ13="Panamax",TY13,SJ13="NeoPanamax",TR13,SJ13="Suezmax",TK13,SJ13="Capesize",TD13,SJ13="VLOC",SW13)*$JI13</f>
        <v>#NAME?</v>
      </c>
      <c r="YL13" s="274" t="e">
        <f t="array" aca="1" ref="YL13" ca="1">_xlfn.IFS(SJ13="Handysize",Main!UN13,SJ13="Supramax",UG13,SJ13="Panamax",TZ13,SJ13="NeoPanamax",TS13,SJ13="Suezmax",TL13,SJ13="Capesize",TE13,SJ13="VLOC",SX13)*$JI13</f>
        <v>#NAME?</v>
      </c>
      <c r="YM13" s="71" t="e">
        <f t="array" aca="1" ref="YM13" ca="1">_xlfn.IFS(SJ13="Handysize",Main!SO13,SJ13="Supramax",SP13,SJ13="Panamax",SQ13,SJ13="NeoPanamax",SR13,SJ13="Suezmax",SS13,SJ13="Capesize",ST13,SJ13="VLOC",SU13)</f>
        <v>#NAME?</v>
      </c>
      <c r="YN13" s="71" t="e">
        <f t="array" aca="1" ref="YN13" ca="1">_xlfn.IFS(SJ13="Handysize",Main!VA13,SJ13="Supramax",VB13,SJ13="Panamax",VC13,SJ13="NeoPanamax",VD13,SJ13="Suezmax",VE13,SJ13="Capesize",VF13,SJ13="VLOC",VG13)</f>
        <v>#NAME?</v>
      </c>
      <c r="YO13" s="70">
        <f t="array" ref="YO13">INDEX('Ship Speeds'!$G$11:$G$1011,MATCH(2,1/(('Ship Speeds'!$E$11:$E$1011&lt;=Main!$C13)*('Ship Speeds'!$F$11:$F$1011=Main!SI13))))</f>
        <v>11</v>
      </c>
      <c r="YP13" s="403">
        <f t="shared" si="144"/>
        <v>0</v>
      </c>
      <c r="YQ13" s="401">
        <f t="shared" si="145"/>
        <v>1.2</v>
      </c>
      <c r="YR13" s="70" t="e">
        <f t="shared" ca="1" si="146"/>
        <v>#NAME?</v>
      </c>
      <c r="YS13" s="70" t="e">
        <f t="shared" ca="1" si="147"/>
        <v>#NAME?</v>
      </c>
      <c r="YT13" s="70" t="e">
        <f t="shared" ca="1" si="148"/>
        <v>#NAME?</v>
      </c>
      <c r="YU13" s="70" t="e">
        <f t="shared" ca="1" si="149"/>
        <v>#NAME?</v>
      </c>
      <c r="YV13" s="72" t="e">
        <f t="shared" ca="1" si="150"/>
        <v>#N/A</v>
      </c>
      <c r="YW13" s="70" t="e">
        <f t="shared" ca="1" si="151"/>
        <v>#NAME?</v>
      </c>
      <c r="YX13" s="70" t="e">
        <f t="array" aca="1" ref="YX13" ca="1">IF(YK13=0,0,INDEX(UU13:UY13,MATCH(_xlfn.IFS(SJ13="Handysize",Main!UQ13,SJ13="Supramax",UJ13,SJ13="Panamax",UC13,SJ13="NeoPanamax",TV13,SJ13="Suezmax",TO13,SJ13="Capesize",TH13,SJ13="VLOC",TA13),$UU$7:$UY$7,0)))</f>
        <v>#NAME?</v>
      </c>
      <c r="YY13" s="70" t="e">
        <f t="array" aca="1" ref="YY13" ca="1">IF(YK13=0,0,INDEX(UU13:UY13,MATCH(_xlfn.IFS(SJ13="Handysize",Main!UR13,SJ13="Supramax",UK13,SJ13="Panamax",UD13,SJ13="NeoPanamax",TW13,SJ13="Suezmax",TP13,SJ13="Capesize",TI13,SJ13="VLOC",TB13),$UU$7:$UY$7,0)))</f>
        <v>#NAME?</v>
      </c>
      <c r="YZ13" s="71" t="e">
        <f t="shared" ca="1" si="152"/>
        <v>#NAME?</v>
      </c>
      <c r="ZA13" s="71" t="e">
        <f t="shared" ca="1" si="153"/>
        <v>#NAME?</v>
      </c>
      <c r="ZB13" s="281" t="e">
        <f t="shared" ca="1" si="154"/>
        <v>#NAME?</v>
      </c>
      <c r="ZC13" s="71" t="e">
        <f t="shared" ca="1" si="155"/>
        <v>#NAME?</v>
      </c>
      <c r="ZD13" s="71" t="e">
        <f t="shared" ca="1" si="156"/>
        <v>#NAME?</v>
      </c>
      <c r="ZE13" s="71" t="e">
        <f t="shared" ca="1" si="157"/>
        <v>#NAME?</v>
      </c>
      <c r="ZF13" s="71" t="e">
        <f t="shared" ca="1" si="158"/>
        <v>#NAME?</v>
      </c>
      <c r="ZG13" s="71" t="e">
        <f t="shared" ca="1" si="159"/>
        <v>#NAME?</v>
      </c>
      <c r="ZH13" s="71" t="e">
        <f t="shared" ca="1" si="160"/>
        <v>#NAME?</v>
      </c>
      <c r="ZI13" s="71" t="e">
        <f t="shared" ca="1" si="161"/>
        <v>#NAME?</v>
      </c>
      <c r="ZJ13" s="71" t="e">
        <f t="shared" ca="1" si="162"/>
        <v>#NAME?</v>
      </c>
      <c r="ZK13" s="71" t="e">
        <f t="shared" ca="1" si="163"/>
        <v>#NAME?</v>
      </c>
      <c r="ZL13" s="71" t="e">
        <f t="shared" ca="1" si="164"/>
        <v>#NAME?</v>
      </c>
      <c r="ZM13" s="71" t="e">
        <f t="shared" ca="1" si="165"/>
        <v>#NAME?</v>
      </c>
      <c r="ZN13" s="71" t="e">
        <f t="shared" ca="1" si="166"/>
        <v>#NAME?</v>
      </c>
      <c r="ZO13" s="72" t="e">
        <f t="shared" ca="1" si="167"/>
        <v>#NAME?</v>
      </c>
      <c r="ZP13" s="72" t="e">
        <f t="shared" ca="1" si="168"/>
        <v>#NAME?</v>
      </c>
      <c r="ZQ13" s="71" t="e">
        <f t="shared" ca="1" si="169"/>
        <v>#NAME?</v>
      </c>
      <c r="ZR13" s="71" t="e">
        <f t="array" aca="1" ref="ZR13" ca="1">IF(YK13=0,0,INDEX('Ship Time Charter Rates'!$H$22:$H$1021,MATCH(2,1/(('Ship Time Charter Rates'!$G$22:$G$1021=_xlfn.IFS(SJ13="Handysize",Main!UO13,SJ13="Supramax",UH13,SJ13="Panamax",UA13,SJ13="NeoPanamax",TT13,SJ13="Suezmax",TM13,SJ13="Capesize",TF13,SJ13="VLOC",SY13))*('Ship Time Charter Rates'!$E$22:$E$1021&lt;=Main!$C13)*(NOT(ISBLANK('Ship Time Charter Rates'!$H$22:$H$1021)))))))</f>
        <v>#NAME?</v>
      </c>
      <c r="ZS13" s="71" t="e">
        <f t="shared" ca="1" si="170"/>
        <v>#NAME?</v>
      </c>
      <c r="ZT13" s="70" t="e">
        <f t="shared" ca="1" si="171"/>
        <v>#NAME?</v>
      </c>
      <c r="ZU13" s="71" t="e">
        <f t="shared" ca="1" si="172"/>
        <v>#NAME?</v>
      </c>
      <c r="ZV13" s="71" t="e">
        <f t="shared" ca="1" si="304"/>
        <v>#NAME?</v>
      </c>
      <c r="ZW13" s="72" t="e">
        <f t="shared" ca="1" si="305"/>
        <v>#NAME?</v>
      </c>
      <c r="ZY13" s="287" t="s">
        <v>39</v>
      </c>
      <c r="AAA13" s="25">
        <f>IF($AO13="no",$AN13,$AR13)/(1-$AL13)/$JN13</f>
        <v>95000</v>
      </c>
      <c r="AAB13" s="4" t="str">
        <f>VLOOKUP(AAA13,'Ship Time Charter Rates'!$F$10:$G$17,2,TRUE)</f>
        <v>Panamax</v>
      </c>
      <c r="AAC13" s="4" t="str">
        <f>VLOOKUP(AAA13,Canals!$E$5:$F$12,2,TRUE)</f>
        <v>Panamax</v>
      </c>
      <c r="AAD13" s="25">
        <f t="shared" si="173"/>
        <v>228.82499999999999</v>
      </c>
      <c r="AAE13" s="25">
        <f t="shared" si="174"/>
        <v>38323</v>
      </c>
      <c r="AAF13" s="25">
        <f t="shared" si="175"/>
        <v>54092.5</v>
      </c>
      <c r="AAH13" s="75">
        <f t="array" ref="AAH13">INDEX('Indices Mines Exporting Ports'!$R$20:$R$51,MATCH(2,1/(('Indices Mines Exporting Ports'!$D$20:$D$51&lt;=Main!$C13)*('Indices Mines Exporting Ports'!$Q$20:$Q$51=$AP13))))</f>
        <v>80000</v>
      </c>
      <c r="AAI13" s="75">
        <f t="array" ref="AAI13">INDEX('Indices Mines Exporting Ports'!$S$20:$S$51,MATCH(2,1/(('Indices Mines Exporting Ports'!$D$20:$D$51&lt;=Main!$C13)*('Indices Mines Exporting Ports'!$Q$20:$Q$51=$AP13))))</f>
        <v>80000</v>
      </c>
      <c r="AAJ13" s="75">
        <f t="array" ref="AAJ13">INDEX('Indices Mines Exporting Ports'!$T$20:$T$51,MATCH(2,1/(('Indices Mines Exporting Ports'!$D$20:$D$51&lt;=Main!$C13)*('Indices Mines Exporting Ports'!$Q$20:$Q$51=$AP13))))</f>
        <v>80000</v>
      </c>
      <c r="AAK13" s="75">
        <f t="array" ref="AAK13">INDEX('Indices Mines Exporting Ports'!$U$20:$U$51,MATCH(2,1/(('Indices Mines Exporting Ports'!$D$20:$D$51&lt;=Main!$C13)*('Indices Mines Exporting Ports'!$Q$20:$Q$51=$AP13))))</f>
        <v>80000</v>
      </c>
      <c r="AAL13" s="75">
        <f t="array" ref="AAL13">INDEX('Indices Mines Exporting Ports'!$V$20:$V$51,MATCH(2,1/(('Indices Mines Exporting Ports'!$D$20:$D$51&lt;=Main!$C13)*('Indices Mines Exporting Ports'!$Q$20:$Q$51=$AP13))))</f>
        <v>80000</v>
      </c>
      <c r="AAM13" s="75">
        <f t="array" ref="AAM13">INDEX('Indices Mines Exporting Ports'!$W$20:$W$51,MATCH(2,1/(('Indices Mines Exporting Ports'!$D$20:$D$51&lt;=Main!$C13)*('Indices Mines Exporting Ports'!$Q$20:$Q$51=$AP13))))</f>
        <v>40000</v>
      </c>
      <c r="AAN13" s="75">
        <f t="array" ref="AAN13">INDEX('Indices Mines Exporting Ports'!$X$20:$X$51,MATCH(2,1/(('Indices Mines Exporting Ports'!$D$20:$D$51&lt;=Main!$C13)*('Indices Mines Exporting Ports'!$Q$20:$Q$51=$AP13))))</f>
        <v>40000</v>
      </c>
      <c r="AAP13" s="75" t="e">
        <f t="array" ref="AAP13">INDEX('Port Linkages'!$E$18:$E$157,MATCH(2,1/(('Port Linkages'!$C$18:$C$157=$AP13)*('Port Linkages'!$D$18:$D$157=IF($AO13="Yes",$AQ13,$KK13))*('Port Linkages'!$A$18:$A$157&lt;=$C13))))</f>
        <v>#N/A</v>
      </c>
      <c r="AAQ13" s="75">
        <f t="array" ref="AAQ13">INDEX('Port Linkages'!$F$18:$F$157,MATCH(2,1/(('Port Linkages'!$C$18:$C$157=$AP13)*('Port Linkages'!$D$18:$D$157=IF($AO13="Yes",$AQ13,$KK13))*('Port Linkages'!$A$18:$A$157&lt;=$C13))))</f>
        <v>0</v>
      </c>
      <c r="AAR13" s="75" t="str">
        <f t="array" ref="AAR13">INDEX('Port Linkages'!$G$18:$G$157,MATCH(2,1/(('Port Linkages'!$C$18:$C$157=$AP13)*('Port Linkages'!$D$18:$D$157=IF($AO13="Yes",$AQ13,$KK13))*('Port Linkages'!$A$18:$A$157&lt;=$C13))))</f>
        <v>VLOC_General</v>
      </c>
      <c r="AAS13" s="75" t="str">
        <f t="array" ref="AAS13">INDEX('Port Linkages'!$H$18:$H$157,MATCH(2,1/(('Port Linkages'!$C$18:$C$157=$AP13)*('Port Linkages'!$D$18:$D$157=IF($AO13="Yes",$AQ13,$KK13))*('Port Linkages'!$A$18:$A$157&lt;=$C13))))</f>
        <v>Singapore</v>
      </c>
      <c r="AAT13" s="75" t="str">
        <f t="array" ref="AAT13">INDEX('Port Linkages'!$I$18:$I$157,MATCH(2,1/(('Port Linkages'!$C$18:$C$157=$AP13)*('Port Linkages'!$D$18:$D$157=IF($AO13="Yes",$AQ13,$KK13))*('Port Linkages'!$A$18:$A$157&lt;=$C13))))</f>
        <v>VLSFO</v>
      </c>
      <c r="AAU13" s="75" t="str">
        <f t="array" ref="AAU13">INDEX('Port Linkages'!$J$18:$J$157,MATCH(2,1/(('Port Linkages'!$C$18:$C$157=$AP13)*('Port Linkages'!$D$18:$D$157=IF($AO13="Yes",$AQ13,$KK13))*('Port Linkages'!$A$18:$A$157&lt;=$C13))))</f>
        <v>MGO_Regular</v>
      </c>
      <c r="AAV13" s="75" t="str">
        <f t="array" ref="AAV13">INDEX('Port Linkages'!$K$18:$K$157,MATCH(2,1/(('Port Linkages'!$C$18:$C$157=$AP13)*('Port Linkages'!$D$18:$D$157=IF($AO13="Yes",$AQ13,$KK13))*('Port Linkages'!$A$18:$A$157&lt;=$C13))))</f>
        <v>none</v>
      </c>
      <c r="AAW13" s="75" t="e">
        <f t="array" ref="AAW13">INDEX('Port Linkages'!$L$18:$L$157,MATCH(2,1/(('Port Linkages'!$C$18:$C$157=$AP13)*('Port Linkages'!$D$18:$D$157=IF($AO13="Yes",$AQ13,$KK13))*('Port Linkages'!$A$18:$A$157&lt;=$C13))))</f>
        <v>#N/A</v>
      </c>
      <c r="AAX13" s="75">
        <f t="array" ref="AAX13">INDEX('Port Linkages'!$M$18:$M$157,MATCH(2,1/(('Port Linkages'!$C$18:$C$157=$AP13)*('Port Linkages'!$D$18:$D$157=IF($AO13="Yes",$AQ13,$KK13))*('Port Linkages'!$A$18:$A$157&lt;=$C13))))</f>
        <v>0</v>
      </c>
      <c r="AAY13" s="75" t="str">
        <f t="array" ref="AAY13">INDEX('Port Linkages'!$N$18:$N$157,MATCH(2,1/(('Port Linkages'!$C$18:$C$157=$AP13)*('Port Linkages'!$D$18:$D$157=IF($AO13="Yes",$AQ13,$KK13))*('Port Linkages'!$A$18:$A$157&lt;=$C13))))</f>
        <v>Capesize_General</v>
      </c>
      <c r="AAZ13" s="75" t="str">
        <f t="array" ref="AAZ13">INDEX('Port Linkages'!$O$18:$O$157,MATCH(2,1/(('Port Linkages'!$C$18:$C$157=$AP13)*('Port Linkages'!$D$18:$D$157=IF($AO13="Yes",$AQ13,$KK13))*('Port Linkages'!$A$18:$A$157&lt;=$C13))))</f>
        <v>Singapore</v>
      </c>
      <c r="ABA13" s="75" t="str">
        <f t="array" ref="ABA13">INDEX('Port Linkages'!$P$18:$P$157,MATCH(2,1/(('Port Linkages'!$C$18:$C$157=$AP13)*('Port Linkages'!$D$18:$D$157=IF($AO13="Yes",$AQ13,$KK13))*('Port Linkages'!$A$18:$A$157&lt;=$C13))))</f>
        <v>VLSFO</v>
      </c>
      <c r="ABB13" s="75" t="str">
        <f t="array" ref="ABB13">INDEX('Port Linkages'!$Q$18:$Q$157,MATCH(2,1/(('Port Linkages'!$C$18:$C$157=$AP13)*('Port Linkages'!$D$18:$D$157=IF($AO13="Yes",$AQ13,$KK13))*('Port Linkages'!$A$18:$A$157&lt;=$C13))))</f>
        <v>MGO_Regular</v>
      </c>
      <c r="ABC13" s="75" t="str">
        <f t="array" ref="ABC13">INDEX('Port Linkages'!$R$18:$R$157,MATCH(2,1/(('Port Linkages'!$C$18:$C$157=$AP13)*('Port Linkages'!$D$18:$D$157=IF($AO13="Yes",$AQ13,$KK13))*('Port Linkages'!$A$18:$A$157&lt;=$C13))))</f>
        <v>none</v>
      </c>
      <c r="ABD13" s="75" t="e">
        <f t="array" ref="ABD13">INDEX('Port Linkages'!$S$18:$S$157,MATCH(2,1/(('Port Linkages'!$C$18:$C$157=$AP13)*('Port Linkages'!$D$18:$D$157=IF($AO13="Yes",$AQ13,$KK13))*('Port Linkages'!$A$18:$A$157&lt;=$C13))))</f>
        <v>#N/A</v>
      </c>
      <c r="ABE13" s="75">
        <f t="array" ref="ABE13">INDEX('Port Linkages'!$T$18:$T$157,MATCH(2,1/(('Port Linkages'!$C$18:$C$157=$AP13)*('Port Linkages'!$D$18:$D$157=IF($AO13="Yes",$AQ13,$KK13))*('Port Linkages'!$A$18:$A$157&lt;=$C13))))</f>
        <v>0</v>
      </c>
      <c r="ABF13" s="75" t="str">
        <f t="array" ref="ABF13">INDEX('Port Linkages'!$U$18:$U$157,MATCH(2,1/(('Port Linkages'!$C$18:$C$157=$AP13)*('Port Linkages'!$D$18:$D$157=IF($AO13="Yes",$AQ13,$KK13))*('Port Linkages'!$A$18:$A$157&lt;=$C13))))</f>
        <v>Capesize_General</v>
      </c>
      <c r="ABG13" s="75" t="str">
        <f t="array" ref="ABG13">INDEX('Port Linkages'!$V$18:$V$157,MATCH(2,1/(('Port Linkages'!$C$18:$C$157=$AP13)*('Port Linkages'!$D$18:$D$157=IF($AO13="Yes",$AQ13,$KK13))*('Port Linkages'!$A$18:$A$157&lt;=$C13))))</f>
        <v>Singapore</v>
      </c>
      <c r="ABH13" s="75" t="str">
        <f t="array" ref="ABH13">INDEX('Port Linkages'!$W$18:$W$157,MATCH(2,1/(('Port Linkages'!$C$18:$C$157=$AP13)*('Port Linkages'!$D$18:$D$157=IF($AO13="Yes",$AQ13,$KK13))*('Port Linkages'!$A$18:$A$157&lt;=$C13))))</f>
        <v>VLSFO</v>
      </c>
      <c r="ABI13" s="75" t="str">
        <f t="array" ref="ABI13">INDEX('Port Linkages'!$X$18:$X$157,MATCH(2,1/(('Port Linkages'!$C$18:$C$157=$AP13)*('Port Linkages'!$D$18:$D$157=IF($AO13="Yes",$AQ13,$KK13))*('Port Linkages'!$A$18:$A$157&lt;=$C13))))</f>
        <v>MGO_Regular</v>
      </c>
      <c r="ABJ13" s="75" t="str">
        <f t="array" ref="ABJ13">INDEX('Port Linkages'!$Y$18:$Y$157,MATCH(2,1/(('Port Linkages'!$C$18:$C$157=$AP13)*('Port Linkages'!$D$18:$D$157=IF($AO13="Yes",$AQ13,$KK13))*('Port Linkages'!$A$18:$A$157&lt;=$C13))))</f>
        <v>none</v>
      </c>
      <c r="ABK13" s="75">
        <f t="array" ref="ABK13">INDEX('Port Linkages'!$Z$18:$Z$157,MATCH(2,1/(('Port Linkages'!$C$18:$C$157=$AP13)*('Port Linkages'!$D$18:$D$157=IF($AO13="Yes",$AQ13,$KK13))*('Port Linkages'!$A$18:$A$157&lt;=$C13))))</f>
        <v>3079</v>
      </c>
      <c r="ABL13" s="75">
        <f t="array" ref="ABL13">INDEX('Port Linkages'!$AA$18:$AA$157,MATCH(2,1/(('Port Linkages'!$C$18:$C$157=$AP13)*('Port Linkages'!$D$18:$D$157=IF($AO13="Yes",$AQ13,$KK13))*('Port Linkages'!$A$18:$A$157&lt;=$C13))))</f>
        <v>0</v>
      </c>
      <c r="ABM13" s="75" t="str">
        <f t="array" ref="ABM13">INDEX('Port Linkages'!$AB$18:$AB$157,MATCH(2,1/(('Port Linkages'!$C$18:$C$157=$AP13)*('Port Linkages'!$D$18:$D$157=IF($AO13="Yes",$AQ13,$KK13))*('Port Linkages'!$A$18:$A$157&lt;=$C13))))</f>
        <v>Capesize_General</v>
      </c>
      <c r="ABN13" s="75" t="str">
        <f t="array" ref="ABN13">INDEX('Port Linkages'!$AC$18:$AC$157,MATCH(2,1/(('Port Linkages'!$C$18:$C$157=$AP13)*('Port Linkages'!$D$18:$D$157=IF($AO13="Yes",$AQ13,$KK13))*('Port Linkages'!$A$18:$A$157&lt;=$C13))))</f>
        <v>Singapore</v>
      </c>
      <c r="ABO13" s="75" t="str">
        <f t="array" ref="ABO13">INDEX('Port Linkages'!$AD$18:$AD$157,MATCH(2,1/(('Port Linkages'!$C$18:$C$157=$AP13)*('Port Linkages'!$D$18:$D$157=IF($AO13="Yes",$AQ13,$KK13))*('Port Linkages'!$A$18:$A$157&lt;=$C13))))</f>
        <v>VLSFO</v>
      </c>
      <c r="ABP13" s="75" t="str">
        <f t="array" ref="ABP13">INDEX('Port Linkages'!$AE$18:$AE$157,MATCH(2,1/(('Port Linkages'!$C$18:$C$157=$AP13)*('Port Linkages'!$D$18:$D$157=IF($AO13="Yes",$AQ13,$KK13))*('Port Linkages'!$A$18:$A$157&lt;=$C13))))</f>
        <v>MGO_Regular</v>
      </c>
      <c r="ABQ13" s="75" t="str">
        <f t="array" ref="ABQ13">INDEX('Port Linkages'!$AF$18:$AF$157,MATCH(2,1/(('Port Linkages'!$C$18:$C$157=$AP13)*('Port Linkages'!$D$18:$D$157=IF($AO13="Yes",$AQ13,$KK13))*('Port Linkages'!$A$18:$A$157&lt;=$C13))))</f>
        <v>none</v>
      </c>
      <c r="ABR13" s="75">
        <f t="array" ref="ABR13">INDEX('Port Linkages'!$AG$18:$AG$157,MATCH(2,1/(('Port Linkages'!$C$18:$C$157=$AP13)*('Port Linkages'!$D$18:$D$157=IF($AO13="Yes",$AQ13,$KK13))*('Port Linkages'!$A$18:$A$157&lt;=$C13))))</f>
        <v>3079</v>
      </c>
      <c r="ABS13" s="75">
        <f t="array" ref="ABS13">INDEX('Port Linkages'!$AH$18:$AH$157,MATCH(2,1/(('Port Linkages'!$C$18:$C$157=$AP13)*('Port Linkages'!$D$18:$D$157=IF($AO13="Yes",$AQ13,$KK13))*('Port Linkages'!$A$18:$A$157&lt;=$C13))))</f>
        <v>0</v>
      </c>
      <c r="ABT13" s="75" t="str">
        <f t="array" ref="ABT13">INDEX('Port Linkages'!$AI$18:$AI$157,MATCH(2,1/(('Port Linkages'!$C$18:$C$157=$AP13)*('Port Linkages'!$D$18:$D$157=IF($AO13="Yes",$AQ13,$KK13))*('Port Linkages'!$A$18:$A$157&lt;=$C13))))</f>
        <v>Panamax_General</v>
      </c>
      <c r="ABU13" s="75" t="str">
        <f t="array" ref="ABU13">INDEX('Port Linkages'!$AJ$18:$AJ$157,MATCH(2,1/(('Port Linkages'!$C$18:$C$157=$AP13)*('Port Linkages'!$D$18:$D$157=IF($AO13="Yes",$AQ13,$KK13))*('Port Linkages'!$A$18:$A$157&lt;=$C13))))</f>
        <v>Singapore</v>
      </c>
      <c r="ABV13" s="75" t="str">
        <f t="array" ref="ABV13">INDEX('Port Linkages'!$AK$18:$AK$157,MATCH(2,1/(('Port Linkages'!$C$18:$C$157=$AP13)*('Port Linkages'!$D$18:$D$157=IF($AO13="Yes",$AQ13,$KK13))*('Port Linkages'!$A$18:$A$157&lt;=$C13))))</f>
        <v>VLSFO</v>
      </c>
      <c r="ABW13" s="75" t="str">
        <f t="array" ref="ABW13">INDEX('Port Linkages'!$AL$18:$AL$157,MATCH(2,1/(('Port Linkages'!$C$18:$C$157=$AP13)*('Port Linkages'!$D$18:$D$157=IF($AO13="Yes",$AQ13,$KK13))*('Port Linkages'!$A$18:$A$157&lt;=$C13))))</f>
        <v>MGO_Regular</v>
      </c>
      <c r="ABX13" s="75" t="str">
        <f t="array" ref="ABX13">INDEX('Port Linkages'!$AM$18:$AM$157,MATCH(2,1/(('Port Linkages'!$C$18:$C$157=$AP13)*('Port Linkages'!$D$18:$D$157=IF($AO13="Yes",$AQ13,$KK13))*('Port Linkages'!$A$18:$A$157&lt;=$C13))))</f>
        <v>none</v>
      </c>
      <c r="ABY13" s="75">
        <f t="array" ref="ABY13">INDEX('Port Linkages'!$AN$18:$AN$157,MATCH(2,1/(('Port Linkages'!$C$18:$C$157=$AP13)*('Port Linkages'!$D$18:$D$157=IF($AO13="Yes",$AQ13,$KK13))*('Port Linkages'!$A$18:$A$157&lt;=$C13))))</f>
        <v>3079</v>
      </c>
      <c r="ABZ13" s="75">
        <f t="array" ref="ABZ13">INDEX('Port Linkages'!$AO$18:$AO$157,MATCH(2,1/(('Port Linkages'!$C$18:$C$157=$AP13)*('Port Linkages'!$D$18:$D$157=IF($AO13="Yes",$AQ13,$KK13))*('Port Linkages'!$A$18:$A$157&lt;=$C13))))</f>
        <v>0</v>
      </c>
      <c r="ACA13" s="75" t="str">
        <f t="array" ref="ACA13">INDEX('Port Linkages'!$AP$18:$AP$157,MATCH(2,1/(('Port Linkages'!$C$18:$C$157=$AP13)*('Port Linkages'!$D$18:$D$157=IF($AO13="Yes",$AQ13,$KK13))*('Port Linkages'!$A$18:$A$157&lt;=$C13))))</f>
        <v>Supramax_General</v>
      </c>
      <c r="ACB13" s="75" t="str">
        <f t="array" ref="ACB13">INDEX('Port Linkages'!$AQ$18:$AQ$157,MATCH(2,1/(('Port Linkages'!$C$18:$C$157=$AP13)*('Port Linkages'!$D$18:$D$157=IF($AO13="Yes",$AQ13,$KK13))*('Port Linkages'!$A$18:$A$157&lt;=$C13))))</f>
        <v>Singapore</v>
      </c>
      <c r="ACC13" s="75" t="str">
        <f t="array" ref="ACC13">INDEX('Port Linkages'!$AR$18:$AR$157,MATCH(2,1/(('Port Linkages'!$C$18:$C$157=$AP13)*('Port Linkages'!$D$18:$D$157=IF($AO13="Yes",$AQ13,$KK13))*('Port Linkages'!$A$18:$A$157&lt;=$C13))))</f>
        <v>VLSFO</v>
      </c>
      <c r="ACD13" s="75" t="str">
        <f t="array" ref="ACD13">INDEX('Port Linkages'!$AS$18:$AS$157,MATCH(2,1/(('Port Linkages'!$C$18:$C$157=$AP13)*('Port Linkages'!$D$18:$D$157=IF($AO13="Yes",$AQ13,$KK13))*('Port Linkages'!$A$18:$A$157&lt;=$C13))))</f>
        <v>MGO_Regular</v>
      </c>
      <c r="ACE13" s="75" t="str">
        <f t="array" ref="ACE13">INDEX('Port Linkages'!$AT$18:$AT$157,MATCH(2,1/(('Port Linkages'!$C$18:$C$157=$AP13)*('Port Linkages'!$D$18:$D$157=IF($AO13="Yes",$AQ13,$KK13))*('Port Linkages'!$A$18:$A$157&lt;=$C13))))</f>
        <v>none</v>
      </c>
      <c r="ACF13" s="75">
        <f t="array" ref="ACF13">INDEX('Port Linkages'!$AU$18:$AU$157,MATCH(2,1/(('Port Linkages'!$C$18:$C$157=$AP13)*('Port Linkages'!$D$18:$D$157=IF($AO13="Yes",$AQ13,$KK13))*('Port Linkages'!$A$18:$A$157&lt;=$C13))))</f>
        <v>3079</v>
      </c>
      <c r="ACG13" s="75">
        <f t="array" ref="ACG13">INDEX('Port Linkages'!$AV$18:$AV$157,MATCH(2,1/(('Port Linkages'!$C$18:$C$157=$AP13)*('Port Linkages'!$D$18:$D$157=IF($AO13="Yes",$AQ13,$KK13))*('Port Linkages'!$A$18:$A$157&lt;=$C13))))</f>
        <v>0</v>
      </c>
      <c r="ACH13" s="75" t="str">
        <f t="array" ref="ACH13">INDEX('Port Linkages'!$AW$18:$AW$157,MATCH(2,1/(('Port Linkages'!$C$18:$C$157=$AP13)*('Port Linkages'!$D$18:$D$157=IF($AO13="Yes",$AQ13,$KK13))*('Port Linkages'!$A$18:$A$157&lt;=$C13))))</f>
        <v>Handysize_General</v>
      </c>
      <c r="ACI13" s="75" t="str">
        <f t="array" ref="ACI13">INDEX('Port Linkages'!$AX$18:$AX$157,MATCH(2,1/(('Port Linkages'!$C$18:$C$157=$AP13)*('Port Linkages'!$D$18:$D$157=IF($AO13="Yes",$AQ13,$KK13))*('Port Linkages'!$A$18:$A$157&lt;=$C13))))</f>
        <v>Singapore</v>
      </c>
      <c r="ACJ13" s="75" t="str">
        <f t="array" ref="ACJ13">INDEX('Port Linkages'!$AY$18:$AY$157,MATCH(2,1/(('Port Linkages'!$C$18:$C$157=$AP13)*('Port Linkages'!$D$18:$D$157=IF($AO13="Yes",$AQ13,$KK13))*('Port Linkages'!$A$18:$A$157&lt;=$C13))))</f>
        <v>VLSFO</v>
      </c>
      <c r="ACK13" s="75" t="str">
        <f t="array" ref="ACK13">INDEX('Port Linkages'!$AZ$18:$AZ$157,MATCH(2,1/(('Port Linkages'!$C$18:$C$157=$AP13)*('Port Linkages'!$D$18:$D$157=IF($AO13="Yes",$AQ13,$KK13))*('Port Linkages'!$A$18:$A$157&lt;=$C13))))</f>
        <v>MGO_Regular</v>
      </c>
      <c r="ACL13" s="75" t="str">
        <f t="array" ref="ACL13">INDEX('Port Linkages'!$BA$18:$BA$157,MATCH(2,1/(('Port Linkages'!$C$18:$C$157=$AP13)*('Port Linkages'!$D$18:$D$157=IF($AO13="Yes",$AQ13,$KK13))*('Port Linkages'!$A$18:$A$157&lt;=$C13))))</f>
        <v>none</v>
      </c>
      <c r="ACN13" s="25" t="e">
        <f t="array" aca="1" ref="ACN13" ca="1">INDEX('Ship Fuel Prices'!$F$5:$F$1004,MATCH(2,1/(('Ship Fuel Prices'!$E$5:$E$1004=_xlfn.IFS(AAC13="Handysize",Main!ACI13,AAC13="Supramax",ACB13,AAC13="Panamax",ABU13,AAC13="NeoPanamax",ABN13,AAC13="Suezmax",ABG13,AAC13="Capesize",AAZ13,AAC13="VLOC",AAS13))*('Ship Fuel Prices'!$D$5:$D$1004&lt;=Main!$C13))))</f>
        <v>#N/A</v>
      </c>
      <c r="ACO13" s="25" t="e">
        <f t="array" aca="1" ref="ACO13" ca="1">INDEX('Ship Fuel Prices'!$G$5:$G$1004,MATCH(2,1/(('Ship Fuel Prices'!$E$5:$E$1004=_xlfn.IFS(AAC13="Handysize",Main!ACI13,AAC13="Supramax",ACB13,AAC13="Panamax",ABU13,AAC13="NeoPanamax",ABN13,AAC13="Suezmax",ABG13,AAC13="Capesize",AAZ13,AAC13="VLOC",AAS13))*('Ship Fuel Prices'!$D$5:$D$1004&lt;=Main!$C13))))</f>
        <v>#N/A</v>
      </c>
      <c r="ACP13" s="25" t="e">
        <f t="array" aca="1" ref="ACP13" ca="1">INDEX('Ship Fuel Prices'!$H$5:$H$1004,MATCH(2,1/(('Ship Fuel Prices'!$E$5:$E$1004=_xlfn.IFS(AAC13="Handysize",Main!ACI13,AAC13="Supramax",ACB13,AAC13="Panamax",ABU13,AAC13="NeoPanamax",ABN13,AAC13="Suezmax",ABG13,AAC13="Capesize",AAZ13,AAC13="VLOC",AAS13))*('Ship Fuel Prices'!$D$5:$D$1004&lt;=Main!$C13))))</f>
        <v>#N/A</v>
      </c>
      <c r="ACQ13" s="25" t="e">
        <f t="array" aca="1" ref="ACQ13" ca="1">INDEX('Ship Fuel Prices'!$I$5:$I$1004,MATCH(2,1/(('Ship Fuel Prices'!$E$5:$E$1004=_xlfn.IFS(AAC13="Handysize",Main!ACI13,AAC13="Supramax",ACB13,AAC13="Panamax",ABU13,AAC13="NeoPanamax",ABN13,AAC13="Suezmax",ABG13,AAC13="Capesize",AAZ13,AAC13="VLOC",AAS13))*('Ship Fuel Prices'!$D$5:$D$1004&lt;=Main!$C13))))</f>
        <v>#N/A</v>
      </c>
      <c r="ACR13" s="25" t="e">
        <f t="array" aca="1" ref="ACR13" ca="1">INDEX('Ship Fuel Prices'!$J$5:$J$1004,MATCH(2,1/(('Ship Fuel Prices'!$E$5:$E$1004=_xlfn.IFS(AAC13="Handysize",Main!ACI13,AAC13="Supramax",ACB13,AAC13="Panamax",ABU13,AAC13="NeoPanamax",ABN13,AAC13="Suezmax",ABG13,AAC13="Capesize",AAZ13,AAC13="VLOC",AAS13))*('Ship Fuel Prices'!$D$5:$D$1004&lt;=Main!$C13))))</f>
        <v>#N/A</v>
      </c>
      <c r="ACT13" s="75">
        <f t="array" ref="ACT13">INDEX('China n Importing Ports'!$E$20:$E$41,MATCH(2,1/(('China n Importing Ports'!$D$20:$D$41&lt;=$C13)*('China n Importing Ports'!$C$20:$C$41=IF($AO13="Yes",$AQ13,$KK13)))))</f>
        <v>42500</v>
      </c>
      <c r="ACU13" s="75">
        <f t="array" ref="ACU13">INDEX('China n Importing Ports'!$F$20:$F$41,MATCH(2,1/(('China n Importing Ports'!$D$20:$D$41&lt;=$C13)*('China n Importing Ports'!$C$20:$C$41=IF($AO13="Yes",$AQ13,$KK13)))))</f>
        <v>42500</v>
      </c>
      <c r="ACV13" s="75">
        <f t="array" ref="ACV13">INDEX('China n Importing Ports'!$G$20:$G$41,MATCH(2,1/(('China n Importing Ports'!$D$20:$D$41&lt;=$C13)*('China n Importing Ports'!$C$20:$C$41=IF($AO13="Yes",$AQ13,$KK13)))))</f>
        <v>42500</v>
      </c>
      <c r="ACW13" s="75">
        <f t="array" ref="ACW13">INDEX('China n Importing Ports'!$H$20:$H$41,MATCH(2,1/(('China n Importing Ports'!$D$20:$D$41&lt;=$C13)*('China n Importing Ports'!$C$20:$C$41=IF($AO13="Yes",$AQ13,$KK13)))))</f>
        <v>42500</v>
      </c>
      <c r="ACX13" s="75">
        <f t="array" ref="ACX13">INDEX('China n Importing Ports'!$I$20:$I$41,MATCH(2,1/(('China n Importing Ports'!$D$20:$D$41&lt;=$C13)*('China n Importing Ports'!$C$20:$C$41=IF($AO13="Yes",$AQ13,$KK13)))))</f>
        <v>42500</v>
      </c>
      <c r="ACY13" s="75">
        <f t="array" ref="ACY13">INDEX('China n Importing Ports'!$J$20:$J$41,MATCH(2,1/(('China n Importing Ports'!$D$20:$D$41&lt;=$C13)*('China n Importing Ports'!$C$20:$C$41=IF($AO13="Yes",$AQ13,$KK13)))))</f>
        <v>42500</v>
      </c>
      <c r="ACZ13" s="75">
        <f t="array" ref="ACZ13">INDEX('China n Importing Ports'!$K$20:$K$41,MATCH(2,1/(('China n Importing Ports'!$D$20:$D$41&lt;=$C13)*('China n Importing Ports'!$C$20:$C$41=IF($AO13="Yes",$AQ13,$KK13)))))</f>
        <v>42500</v>
      </c>
      <c r="ADA13" s="75" t="str">
        <f t="array" ref="ADA13">INDEX('China n Importing Ports'!$L$20:$L$41,MATCH(2,1/(('China n Importing Ports'!$D$20:$D$41&lt;=$C13)*('China n Importing Ports'!$C$20:$C$41=IF($AO13="Yes",$AQ13,$KK13)))))</f>
        <v>RMB</v>
      </c>
      <c r="ADB13" s="75">
        <f t="array" ref="ADB13">INDEX('China n Importing Ports'!$M$20:$M$41,MATCH(2,1/(('China n Importing Ports'!$D$20:$D$41&lt;=$C13)*('China n Importing Ports'!$C$20:$C$41=IF($AO13="Yes",$AQ13,$KK13)))))</f>
        <v>12342</v>
      </c>
      <c r="ADC13" s="75">
        <f t="array" ref="ADC13">INDEX('China n Importing Ports'!$N$20:$N$41,MATCH(2,1/(('China n Importing Ports'!$D$20:$D$41&lt;=$C13)*('China n Importing Ports'!$C$20:$C$41=IF($AO13="Yes",$AQ13,$KK13)))))</f>
        <v>0</v>
      </c>
      <c r="ADD13" s="75">
        <f t="array" ref="ADD13">INDEX('China n Importing Ports'!$O$20:$O$41,MATCH(2,1/(('China n Importing Ports'!$D$20:$D$41&lt;=$C13)*('China n Importing Ports'!$C$20:$C$41=IF($AO13="Yes",$AQ13,$KK13)))))</f>
        <v>0</v>
      </c>
      <c r="ADE13" s="136">
        <f t="array" ref="ADE13">INDEX('China n Importing Ports'!$P$20:$P$41,MATCH(2,1/(('China n Importing Ports'!$D$20:$D$41&lt;=$C13)*('China n Importing Ports'!$C$20:$C$41=IF($AO13="Yes",$AQ13,$KK13)))))</f>
        <v>2.64</v>
      </c>
      <c r="ADF13" s="136">
        <f t="array" ref="ADF13">INDEX('China n Importing Ports'!$Q$20:$Q$41,MATCH(2,1/(('China n Importing Ports'!$D$20:$D$41&lt;=$C13)*('China n Importing Ports'!$C$20:$C$41=IF($AO13="Yes",$AQ13,$KK13)))))</f>
        <v>0</v>
      </c>
      <c r="ADG13" s="136">
        <f t="array" ref="ADG13">INDEX('China n Importing Ports'!$R$20:$R$41,MATCH(2,1/(('China n Importing Ports'!$D$20:$D$41&lt;=$C13)*('China n Importing Ports'!$C$20:$C$41=IF($AO13="Yes",$AQ13,$KK13)))))</f>
        <v>0</v>
      </c>
      <c r="ADH13" s="136">
        <f t="array" ref="ADH13">INDEX('China n Importing Ports'!$S$20:$S$41,MATCH(2,1/(('China n Importing Ports'!$D$20:$D$41&lt;=$C13)*('China n Importing Ports'!$C$20:$C$41=IF($AO13="Yes",$AQ13,$KK13)))))</f>
        <v>4.53</v>
      </c>
      <c r="ADI13" s="136">
        <f t="array" ref="ADI13">INDEX('China n Importing Ports'!$T$20:$T$41,MATCH(2,1/(('China n Importing Ports'!$D$20:$D$41&lt;=$C13)*('China n Importing Ports'!$C$20:$C$41=IF($AO13="Yes",$AQ13,$KK13)))))</f>
        <v>0.36699999999999999</v>
      </c>
      <c r="ADJ13" s="136">
        <f t="array" ref="ADJ13">INDEX('China n Importing Ports'!$U$20:$U$41,MATCH(2,1/(('China n Importing Ports'!$D$20:$D$41&lt;=$C13)*('China n Importing Ports'!$C$20:$C$41=IF($AO13="Yes",$AQ13,$KK13)))))</f>
        <v>0.05</v>
      </c>
      <c r="ADK13" s="136">
        <f t="array" ref="ADK13">INDEX('China n Importing Ports'!$V$20:$V$41,MATCH(2,1/(('China n Importing Ports'!$D$20:$D$41&lt;=$C13)*('China n Importing Ports'!$C$20:$C$41=IF($AO13="Yes",$AQ13,$KK13)))))</f>
        <v>0</v>
      </c>
      <c r="ADL13" s="136">
        <f t="array" ref="ADL13">INDEX('China n Importing Ports'!$W$20:$W$41,MATCH(2,1/(('China n Importing Ports'!$D$20:$D$41&lt;=$C13)*('China n Importing Ports'!$C$20:$C$41=IF($AO13="Yes",$AQ13,$KK13)))))</f>
        <v>0</v>
      </c>
      <c r="ADM13" s="136">
        <f t="array" ref="ADM13">INDEX('China n Importing Ports'!$X$20:$X$41,MATCH(2,1/(('China n Importing Ports'!$D$20:$D$41&lt;=$C13)*('China n Importing Ports'!$C$20:$C$41=IF($AO13="Yes",$AQ13,$KK13)))))</f>
        <v>0</v>
      </c>
      <c r="ADN13" s="136">
        <f t="array" ref="ADN13">INDEX('China n Importing Ports'!$Y$20:$Y$41,MATCH(2,1/(('China n Importing Ports'!$D$20:$D$41&lt;=$C13)*('China n Importing Ports'!$C$20:$C$41=IF($AO13="Yes",$AQ13,$KK13)))))</f>
        <v>197</v>
      </c>
      <c r="ADO13" s="136">
        <f t="array" ref="ADO13">INDEX('China n Importing Ports'!$Z$20:$Z$41,MATCH(2,1/(('China n Importing Ports'!$D$20:$D$41&lt;=$C13)*('China n Importing Ports'!$C$20:$C$41=IF($AO13="Yes",$AQ13,$KK13)))))</f>
        <v>0</v>
      </c>
      <c r="ADP13" s="136">
        <f t="array" ref="ADP13">INDEX('China n Importing Ports'!$AA$20:$AA$41,MATCH(2,1/(('China n Importing Ports'!$D$20:$D$41&lt;=$C13)*('China n Importing Ports'!$C$20:$C$41=IF($AO13="Yes",$AQ13,$KK13)))))</f>
        <v>0</v>
      </c>
      <c r="ADR13" s="75" t="e">
        <f t="array" aca="1" ref="ADR13" ca="1">INDEX(Canals!$G$24:$G$29,MATCH(2,1/((Canals!$F$24:$F$29&lt;=$C13)*(Canals!$G$24:$G$29=_xlfn.IFS(AAC13="Handysize",Main!ACL13,AAC13="Supramax",ACE13,AAC13="Panamax",ABX13,AAC13="NeoPanamax",ABQ13,AAC13="Suezmax",ABJ13,AAC13="Capesize",ABC13,AAC13="VLOC",AAV13)))))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S13" s="75" t="e">
        <f t="array" aca="1" ref="ADS13" ca="1">INDEX(Canals!$H$24:$H$29,MATCH(2,1/((Canals!$F$24:$F$29&lt;=$C13)*(Canals!$G$24:$G$29=_xlfn.IFS(AAC13="Handysize",Main!ACL13,AAC13="Supramax",ACE13,AAC13="Panamax",ABX13,AAC13="NeoPanamax",ABQ13,AAC13="Suezmax",ABJ13,AAC13="Capesize",ABC13,AAC13="VLOC",AAV13)))))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T13" s="75" t="e">
        <f t="array" aca="1" ref="ADT13" ca="1">INDEX(Canals!$I$24:$I$29,MATCH(2,1/((Canals!$F$24:$F$29&lt;=$C13)*(Canals!$G$24:$G$29=_xlfn.IFS(AAC13="Handysize",Main!ACL13,AAC13="Supramax",ACE13,AAC13="Panamax",ABX13,AAC13="NeoPanamax",ABQ13,AAC13="Suezmax",ABJ13,AAC13="Capesize",ABC13,AAC13="VLOC",AAV13)))))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U13" s="75" t="e">
        <f t="array" aca="1" ref="ADU13" ca="1">INDEX(Canals!$J$24:$J$29,MATCH(2,1/((Canals!$F$24:$F$29&lt;=$C13)*(Canals!$G$24:$G$29=_xlfn.IFS(AAC13="Handysize",Main!ACL13,AAC13="Supramax",ACE13,AAC13="Panamax",ABX13,AAC13="NeoPanamax",ABQ13,AAC13="Suezmax",ABJ13,AAC13="Capesize",ABC13,AAC13="VLOC",AAV13)))))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V13" s="75" t="e">
        <f t="array" aca="1" ref="ADV13" ca="1">INDEX(Canals!$K$24:$K$29,MATCH(2,1/((Canals!$F$24:$F$29&lt;=$C13)*(Canals!$G$24:$G$29=_xlfn.IFS(AAC13="Handysize",Main!ACL13,AAC13="Supramax",ACE13,AAC13="Panamax",ABX13,AAC13="NeoPanamax",ABQ13,AAC13="Suezmax",ABJ13,AAC13="Capesize",ABC13,AAC13="VLOC",AAV13)))))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W13" s="75" t="e">
        <f t="array" aca="1" ref="ADW13" ca="1">INDEX(Canals!$L$24:$L$29,MATCH(2,1/((Canals!$F$24:$F$29&lt;=$C13)*(Canals!$G$24:$G$29=_xlfn.IFS(AAC13="Handysize",Main!ACL13,AAC13="Supramax",ACE13,AAC13="Panamax",ABX13,AAC13="NeoPanamax",ABQ13,AAC13="Suezmax",ABJ13,AAC13="Capesize",ABC13,AAC13="VLOC",AAV13)))))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X13" s="75" t="e">
        <f t="array" aca="1" ref="ADX13" ca="1">INDEX(Canals!$M$24:$M$29,MATCH(2,1/((Canals!$F$24:$F$29&lt;=$C13)*(Canals!$G$24:$G$29=_xlfn.IFS(AAC13="Handysize",Main!ACL13,AAC13="Supramax",ACE13,AAC13="Panamax",ABX13,AAC13="NeoPanamax",ABQ13,AAC13="Suezmax",ABJ13,AAC13="Capesize",ABC13,AAC13="VLOC",AAV13)))))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Y13" s="75" t="e">
        <f t="array" aca="1" ref="ADY13" ca="1">INDEX(Canals!$N$24:$N$29,MATCH(2,1/((Canals!$F$24:$F$29&lt;=$C13)*(Canals!$G$24:$G$29=_xlfn.IFS(AAC13="Handysize",Main!ACL13,AAC13="Supramax",ACE13,AAC13="Panamax",ABX13,AAC13="NeoPanamax",ABQ13,AAC13="Suezmax",ABJ13,AAC13="Capesize",ABC13,AAC13="VLOC",AAV13)))))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DZ13" s="75" t="e">
        <f t="array" aca="1" ref="ADZ13" ca="1">INDEX(Canals!$O$24:$O$29,MATCH(2,1/((Canals!$F$24:$F$29&lt;=$C13)*(Canals!$G$24:$G$29=_xlfn.IFS(AAC13="Handysize",Main!ACL13,AAC13="Supramax",ACE13,AAC13="Panamax",ABX13,AAC13="NeoPanamax",ABQ13,AAC13="Suezmax",ABJ13,AAC13="Capesize",ABC13,AAC13="VLOC",AAV13)))))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A13" s="75" t="e">
        <f t="array" aca="1" ref="AEA13" ca="1">INDEX(Canals!$P$24:$P$29,MATCH(2,1/((Canals!$F$24:$F$29&lt;=$C13)*(Canals!$G$24:$G$29=_xlfn.IFS(AAC13="Handysize",Main!ACL13,AAC13="Supramax",ACE13,AAC13="Panamax",ABX13,AAC13="NeoPanamax",ABQ13,AAC13="Suezmax",ABJ13,AAC13="Capesize",ABC13,AAC13="VLOC",AAV13)))))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B13" s="75" t="e">
        <f t="array" aca="1" ref="AEB13" ca="1">INDEX(Canals!$Q$24:$Q$29,MATCH(2,1/((Canals!$F$24:$F$29&lt;=$C13)*(Canals!$G$24:$G$29=_xlfn.IFS(AAC13="Handysize",Main!ACL13,AAC13="Supramax",ACE13,AAC13="Panamax",ABX13,AAC13="NeoPanamax",ABQ13,AAC13="Suezmax",ABJ13,AAC13="Capesize",ABC13,AAC13="VLOC",AAV13)))))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C13" s="75" t="e">
        <f t="array" aca="1" ref="AEC13" ca="1">INDEX(Canals!$R$24:$R$29,MATCH(2,1/((Canals!$F$24:$F$29&lt;=$C13)*(Canals!$G$24:$G$29=_xlfn.IFS(AAC13="Handysize",Main!ACL13,AAC13="Supramax",ACE13,AAC13="Panamax",ABX13,AAC13="NeoPanamax",ABQ13,AAC13="Suezmax",ABJ13,AAC13="Capesize",ABC13,AAC13="VLOC",AAV13)))))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D13" s="136" t="e">
        <f t="array" aca="1" ref="AED13" ca="1">INDEX(Canals!$S$24:$S$29,MATCH(2,1/((Canals!$F$24:$F$29&lt;=$C13)*(Canals!$G$24:$G$29=_xlfn.IFS(AAC13="Handysize",Main!ACL13,AAC13="Supramax",ACE13,AAC13="Panamax",ABX13,AAC13="NeoPanamax",ABQ13,AAC13="Suezmax",ABJ13,AAC13="Capesize",ABC13,AAC13="VLOC",AAV13)))))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E13" s="136" t="e">
        <f t="array" aca="1" ref="AEE13" ca="1">INDEX(Canals!$T$24:$T$29,MATCH(2,1/((Canals!$F$24:$F$29&lt;=$C13)*(Canals!$G$24:$G$29=_xlfn.IFS(AAC13="Handysize",Main!ACL13,AAC13="Supramax",ACE13,AAC13="Panamax",ABX13,AAC13="NeoPanamax",ABQ13,AAC13="Suezmax",ABJ13,AAC13="Capesize",ABC13,AAC13="VLOC",AAV13)))))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F13" s="136" t="e">
        <f t="array" aca="1" ref="AEF13" ca="1">INDEX(Canals!$U$24:$U$29,MATCH(2,1/((Canals!$F$24:$F$29&lt;=$C13)*(Canals!$G$24:$G$29=_xlfn.IFS(AAC13="Handysize",Main!ACL13,AAC13="Supramax",ACE13,AAC13="Panamax",ABX13,AAC13="NeoPanamax",ABQ13,AAC13="Suezmax",ABJ13,AAC13="Capesize",ABC13,AAC13="VLOC",AAV13)))))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G13" s="136" t="e">
        <f t="array" aca="1" ref="AEG13" ca="1">INDEX(Canals!$V$24:$V$29,MATCH(2,1/((Canals!$F$24:$F$29&lt;=$C13)*(Canals!$G$24:$G$29=_xlfn.IFS(AAC13="Handysize",Main!ACL13,AAC13="Supramax",ACE13,AAC13="Panamax",ABX13,AAC13="NeoPanamax",ABQ13,AAC13="Suezmax",ABJ13,AAC13="Capesize",ABC13,AAC13="VLOC",AAV13)))))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H13" s="136" t="e">
        <f t="array" aca="1" ref="AEH13" ca="1">INDEX(Canals!$W$24:$W$29,MATCH(2,1/((Canals!$F$24:$F$29&lt;=$C13)*(Canals!$G$24:$G$29=_xlfn.IFS(AAC13="Handysize",Main!ACL13,AAC13="Supramax",ACE13,AAC13="Panamax",ABX13,AAC13="NeoPanamax",ABQ13,AAC13="Suezmax",ABJ13,AAC13="Capesize",ABC13,AAC13="VLOC",AAV13)))))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I13" s="136" t="e">
        <f t="array" aca="1" ref="AEI13" ca="1">INDEX(Canals!$X$24:$X$29,MATCH(2,1/((Canals!$F$24:$F$29&lt;=$C13)*(Canals!$G$24:$G$29=_xlfn.IFS(AAC13="Handysize",Main!ACL13,AAC13="Supramax",ACE13,AAC13="Panamax",ABX13,AAC13="NeoPanamax",ABQ13,AAC13="Suezmax",ABJ13,AAC13="Capesize",ABC13,AAC13="VLOC",AAV13)))))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J13" s="136" t="e">
        <f t="array" aca="1" ref="AEJ13" ca="1">INDEX(Canals!$Y$24:$Y$29,MATCH(2,1/((Canals!$F$24:$F$29&lt;=$C13)*(Canals!$G$24:$G$29=_xlfn.IFS(AAC13="Handysize",Main!ACL13,AAC13="Supramax",ACE13,AAC13="Panamax",ABX13,AAC13="NeoPanamax",ABQ13,AAC13="Suezmax",ABJ13,AAC13="Capesize",ABC13,AAC13="VLOC",AAV13)))))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K13" s="136" t="e">
        <f t="array" aca="1" ref="AEK13" ca="1">INDEX(Canals!$Z$24:$Z$29,MATCH(2,1/((Canals!$F$24:$F$29&lt;=$C13)*(Canals!$G$24:$G$29=_xlfn.IFS(AAC13="Handysize",Main!ACL13,AAC13="Supramax",ACE13,AAC13="Panamax",ABX13,AAC13="NeoPanamax",ABQ13,AAC13="Suezmax",ABJ13,AAC13="Capesize",ABC13,AAC13="VLOC",AAV13)))))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L13" s="136" t="e">
        <f t="array" aca="1" ref="AEL13" ca="1">INDEX(Canals!$AA$24:$AA$29,MATCH(2,1/((Canals!$F$24:$F$29&lt;=$C13)*(Canals!$G$24:$G$29=_xlfn.IFS(AAC13="Handysize",Main!ACL13,AAC13="Supramax",ACE13,AAC13="Panamax",ABX13,AAC13="NeoPanamax",ABQ13,AAC13="Suezmax",ABJ13,AAC13="Capesize",ABC13,AAC13="VLOC",AAV13)))))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M13" s="136" t="e">
        <f t="array" aca="1" ref="AEM13" ca="1">INDEX(Canals!$AB$24:$AB$29,MATCH(2,1/((Canals!$F$24:$F$29&lt;=$C13)*(Canals!$G$24:$G$29=_xlfn.IFS(AAC13="Handysize",Main!ACL13,AAC13="Supramax",ACE13,AAC13="Panamax",ABX13,AAC13="NeoPanamax",ABQ13,AAC13="Suezmax",ABJ13,AAC13="Capesize",ABC13,AAC13="VLOC",AAV13)))))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N13" s="75" t="e">
        <f t="array" aca="1" ref="AEN13" ca="1">INDEX(Canals!$AC$24:$AC$29,MATCH(2,1/((Canals!$F$24:$F$29&lt;=$C13)*(Canals!$G$24:$G$29=_xlfn.IFS(AAC13="Handysize",Main!ACL13,AAC13="Supramax",ACE13,AAC13="Panamax",ABX13,AAC13="NeoPanamax",ABQ13,AAC13="Suezmax",ABJ13,AAC13="Capesize",ABC13,AAC13="VLOC",AAV13)))))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O13" s="75" t="e">
        <f t="array" aca="1" ref="AEO13" ca="1">INDEX(Canals!$AD$24:$AD$29,MATCH(2,1/((Canals!$F$24:$F$29&lt;=$C13)*(Canals!$G$24:$G$29=_xlfn.IFS(AAC13="Handysize",Main!ACL13,AAC13="Supramax",ACE13,AAC13="Panamax",ABX13,AAC13="NeoPanamax",ABQ13,AAC13="Suezmax",ABJ13,AAC13="Capesize",ABC13,AAC13="VLOC",AAV13)))))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P13" s="75" t="e">
        <f t="array" aca="1" ref="AEP13" ca="1">INDEX(Canals!$AE$24:$AE$29,MATCH(2,1/((Canals!$F$24:$F$29&lt;=$C13)*(Canals!$G$24:$G$29=_xlfn.IFS(AAC13="Handysize",Main!ACL13,AAC13="Supramax",ACE13,AAC13="Panamax",ABX13,AAC13="NeoPanamax",ABQ13,AAC13="Suezmax",ABJ13,AAC13="Capesize",ABC13,AAC13="VLOC",AAV13)))))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Q13" s="75" t="e">
        <f t="array" aca="1" ref="AEQ13" ca="1">INDEX(Canals!$AF$24:$AF$29,MATCH(2,1/((Canals!$F$24:$F$29&lt;=$C13)*(Canals!$G$24:$G$29=_xlfn.IFS(AAC13="Handysize",Main!ACL13,AAC13="Supramax",ACE13,AAC13="Panamax",ABX13,AAC13="NeoPanamax",ABQ13,AAC13="Suezmax",ABJ13,AAC13="Capesize",ABC13,AAC13="VLOC",AAV13)))))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R13" s="75" t="e">
        <f t="array" aca="1" ref="AER13" ca="1">INDEX(Canals!$AG$24:$AG$29,MATCH(2,1/((Canals!$F$24:$F$29&lt;=$C13)*(Canals!$G$24:$G$29=_xlfn.IFS(AAC13="Handysize",Main!ACL13,AAC13="Supramax",ACE13,AAC13="Panamax",ABX13,AAC13="NeoPanamax",ABQ13,AAC13="Suezmax",ABJ13,AAC13="Capesize",ABC13,AAC13="VLOC",AAV13)))))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S13" s="75" t="e">
        <f t="array" aca="1" ref="AES13" ca="1">INDEX(Canals!$AH$24:$AH$29,MATCH(2,1/((Canals!$F$24:$F$29&lt;=$C13)*(Canals!$G$24:$G$29=_xlfn.IFS(AAC13="Handysize",Main!ACL13,AAC13="Supramax",ACE13,AAC13="Panamax",ABX13,AAC13="NeoPanamax",ABQ13,AAC13="Suezmax",ABJ13,AAC13="Capesize",ABC13,AAC13="VLOC",AAV13)))))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T13" s="75" t="e">
        <f t="array" aca="1" ref="AET13" ca="1">INDEX(Canals!$AI$24:$AI$29,MATCH(2,1/((Canals!$F$24:$F$29&lt;=$C13)*(Canals!$G$24:$G$29=_xlfn.IFS(AAC13="Handysize",Main!ACL13,AAC13="Supramax",ACE13,AAC13="Panamax",ABX13,AAC13="NeoPanamax",ABQ13,AAC13="Suezmax",ABJ13,AAC13="Capesize",ABC13,AAC13="VLOC",AAV13)))))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U13" s="75" t="e">
        <f t="array" aca="1" ref="AEU13" ca="1">INDEX(Canals!$AJ$24:$AJ$29,MATCH(2,1/((Canals!$F$24:$F$29&lt;=$C13)*(Canals!$G$24:$G$29=_xlfn.IFS(AAC13="Handysize",Main!ACL13,AAC13="Supramax",ACE13,AAC13="Panamax",ABX13,AAC13="NeoPanamax",ABQ13,AAC13="Suezmax",ABJ13,AAC13="Capesize",ABC13,AAC13="VLOC",AAV13)))))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V13" s="75" t="e">
        <f t="array" aca="1" ref="AEV13" ca="1">INDEX(Canals!$AK$24:$AK$29,MATCH(2,1/((Canals!$F$24:$F$29&lt;=$C13)*(Canals!$G$24:$G$29=_xlfn.IFS(AAC13="Handysize",Main!ACL13,AAC13="Supramax",ACE13,AAC13="Panamax",ABX13,AAC13="NeoPanamax",ABQ13,AAC13="Suezmax",ABJ13,AAC13="Capesize",ABC13,AAC13="VLOC",AAV13)))))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W13" s="136" t="e">
        <f t="array" aca="1" ref="AEW13" ca="1">INDEX(Canals!$AL$24:$AL$29,MATCH(2,1/((Canals!$F$24:$F$29&lt;=$C13)*(Canals!$G$24:$G$29=_xlfn.IFS(AAC13="Handysize",Main!ACL13,AAC13="Supramax",ACE13,AAC13="Panamax",ABX13,AAC13="NeoPanamax",ABQ13,AAC13="Suezmax",ABJ13,AAC13="Capesize",ABC13,AAC13="VLOC",AAV13)))))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X13" s="136" t="e">
        <f t="array" aca="1" ref="AEX13" ca="1">INDEX(Canals!$AM$24:$AM$29,MATCH(2,1/((Canals!$F$24:$F$29&lt;=$C13)*(Canals!$G$24:$G$29=_xlfn.IFS(AAC13="Handysize",Main!ACL13,AAC13="Supramax",ACE13,AAC13="Panamax",ABX13,AAC13="NeoPanamax",ABQ13,AAC13="Suezmax",ABJ13,AAC13="Capesize",ABC13,AAC13="VLOC",AAV13)))))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Y13" s="136" t="e">
        <f t="array" aca="1" ref="AEY13" ca="1">INDEX(Canals!$AN$24:$AN$29,MATCH(2,1/((Canals!$F$24:$F$29&lt;=$C13)*(Canals!$G$24:$G$29=_xlfn.IFS(AAC13="Handysize",Main!ACL13,AAC13="Supramax",ACE13,AAC13="Panamax",ABX13,AAC13="NeoPanamax",ABQ13,AAC13="Suezmax",ABJ13,AAC13="Capesize",ABC13,AAC13="VLOC",AAV13)))))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EZ13" s="136" t="e">
        <f t="array" aca="1" ref="AEZ13" ca="1">INDEX(Canals!$AO$24:$AO$29,MATCH(2,1/((Canals!$F$24:$F$29&lt;=$C13)*(Canals!$G$24:$G$29=_xlfn.IFS(AAC13="Handysize",Main!ACL13,AAC13="Supramax",ACE13,AAC13="Panamax",ABX13,AAC13="NeoPanamax",ABQ13,AAC13="Suezmax",ABJ13,AAC13="Capesize",ABC13,AAC13="VLOC",AAV13)))))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A13" s="136" t="e">
        <f t="array" aca="1" ref="AFA13" ca="1">INDEX(Canals!$AP$24:$AP$29,MATCH(2,1/((Canals!$F$24:$F$29&lt;=$C13)*(Canals!$G$24:$G$29=_xlfn.IFS(AAC13="Handysize",Main!ACL13,AAC13="Supramax",ACE13,AAC13="Panamax",ABX13,AAC13="NeoPanamax",ABQ13,AAC13="Suezmax",ABJ13,AAC13="Capesize",ABC13,AAC13="VLOC",AAV13)))))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B13" s="136" t="e">
        <f t="array" aca="1" ref="AFB13" ca="1">INDEX(Canals!$AQ$24:$AQ$29,MATCH(2,1/((Canals!$F$24:$F$29&lt;=$C13)*(Canals!$G$24:$G$29=_xlfn.IFS(AAC13="Handysize",Main!ACL13,AAC13="Supramax",ACE13,AAC13="Panamax",ABX13,AAC13="NeoPanamax",ABQ13,AAC13="Suezmax",ABJ13,AAC13="Capesize",ABC13,AAC13="VLOC",AAV13)))))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C13" s="136" t="e">
        <f t="array" aca="1" ref="AFC13" ca="1">INDEX(Canals!$AR$24:$AR$29,MATCH(2,1/((Canals!$F$24:$F$29&lt;=$C13)*(Canals!$G$24:$G$29=_xlfn.IFS(AAC13="Handysize",Main!ACL13,AAC13="Supramax",ACE13,AAC13="Panamax",ABX13,AAC13="NeoPanamax",ABQ13,AAC13="Suezmax",ABJ13,AAC13="Capesize",ABC13,AAC13="VLOC",AAV13)))))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D13" s="136" t="e">
        <f t="array" aca="1" ref="AFD13" ca="1">INDEX(Canals!$AS$24:$AS$29,MATCH(2,1/((Canals!$F$24:$F$29&lt;=$C13)*(Canals!$G$24:$G$29=_xlfn.IFS(AAC13="Handysize",Main!ACL13,AAC13="Supramax",ACE13,AAC13="Panamax",ABX13,AAC13="NeoPanamax",ABQ13,AAC13="Suezmax",ABJ13,AAC13="Capesize",ABC13,AAC13="VLOC",AAV13)))))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E13" s="136" t="e">
        <f t="array" aca="1" ref="AFE13" ca="1">INDEX(Canals!$AT$24:$AT$29,MATCH(2,1/((Canals!$F$24:$F$29&lt;=$C13)*(Canals!$G$24:$G$29=_xlfn.IFS(AAC13="Handysize",Main!ACL13,AAC13="Supramax",ACE13,AAC13="Panamax",ABX13,AAC13="NeoPanamax",ABQ13,AAC13="Suezmax",ABJ13,AAC13="Capesize",ABC13,AAC13="VLOC",AAV13)))))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F13" s="136" t="e">
        <f t="array" aca="1" ref="AFF13" ca="1">INDEX(Canals!$AU$24:$AU$29,MATCH(2,1/((Canals!$F$24:$F$29&lt;=$C13)*(Canals!$G$24:$G$29=_xlfn.IFS(AAC13="Handysize",Main!ACL13,AAC13="Supramax",ACE13,AAC13="Panamax",ABX13,AAC13="NeoPanamax",ABQ13,AAC13="Suezmax",ABJ13,AAC13="Capesize",ABC13,AAC13="VLOC",AAV13)))))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G13" s="136" t="e">
        <f t="array" aca="1" ref="AFG13" ca="1">INDEX(Canals!$AV$24:$AV$29,MATCH(2,1/((Canals!$F$24:$F$29&lt;=$C13)*(Canals!$G$24:$G$29=_xlfn.IFS(AAC13="Handysize",Main!ACL13,AAC13="Supramax",ACE13,AAC13="Panamax",ABX13,AAC13="NeoPanamax",ABQ13,AAC13="Suezmax",ABJ13,AAC13="Capesize",ABC13,AAC13="VLOC",AAV13)))))</f>
        <v>#N/A</v>
      </c>
      <c r="AFI13" s="75" t="e">
        <f t="array" aca="1" ref="AFI13" ca="1">_xlfn.IFS(ADT13="DWT",AAA13,ADT13="NRT",AAE13,ADT13="GRT",AAF13)</f>
        <v>#NAME?</v>
      </c>
      <c r="AFJ13" s="279" t="e">
        <f t="shared" ca="1" si="176"/>
        <v>#NAME?</v>
      </c>
      <c r="AFK13" s="280" t="e">
        <f t="shared" ca="1" si="177"/>
        <v>#NAME?</v>
      </c>
      <c r="AFL13" s="280" t="e">
        <f t="shared" ca="1" si="178"/>
        <v>#NAME?</v>
      </c>
      <c r="AFM13" s="280" t="e">
        <f t="shared" ca="1" si="179"/>
        <v>#NAME?</v>
      </c>
      <c r="AFN13" s="280" t="e">
        <f t="shared" ca="1" si="180"/>
        <v>#NAME?</v>
      </c>
      <c r="AFO13" s="280" t="e">
        <f t="shared" ca="1" si="181"/>
        <v>#NAME?</v>
      </c>
      <c r="AFP13" s="280" t="e">
        <f t="shared" ca="1" si="182"/>
        <v>#NAME?</v>
      </c>
      <c r="AFQ13" s="280" t="e">
        <f t="shared" ca="1" si="183"/>
        <v>#NAME?</v>
      </c>
      <c r="AFR13" s="280" t="e">
        <f t="shared" ca="1" si="184"/>
        <v>#NAME?</v>
      </c>
      <c r="AFS13" s="75">
        <f t="shared" si="185"/>
        <v>92625</v>
      </c>
      <c r="AFT13" s="279" t="e">
        <f t="shared" ca="1" si="186"/>
        <v>#N/A</v>
      </c>
      <c r="AFU13" s="280" t="e">
        <f t="shared" ca="1" si="187"/>
        <v>#N/A</v>
      </c>
      <c r="AFV13" s="280" t="e">
        <f t="shared" ca="1" si="188"/>
        <v>#N/A</v>
      </c>
      <c r="AFW13" s="280" t="e">
        <f t="shared" ca="1" si="189"/>
        <v>#N/A</v>
      </c>
      <c r="AFX13" s="280" t="e">
        <f t="shared" ca="1" si="190"/>
        <v>#N/A</v>
      </c>
      <c r="AFY13" s="280" t="e">
        <f t="shared" ca="1" si="191"/>
        <v>#N/A</v>
      </c>
      <c r="AFZ13" s="280" t="e">
        <f t="shared" ca="1" si="192"/>
        <v>#N/A</v>
      </c>
      <c r="AGA13" s="280" t="e">
        <f t="shared" ca="1" si="193"/>
        <v>#N/A</v>
      </c>
      <c r="AGB13" s="280" t="e">
        <f t="shared" ca="1" si="194"/>
        <v>#N/A</v>
      </c>
      <c r="AGD13" s="75" t="e">
        <f t="array" aca="1" ref="AGD13" ca="1">_xlfn.IFS(AAC13="Handysize",Main!ACF13,AAC13="Supramax",ABY13,AAC13="Panamax",ABR13,AAC13="NeoPanamax",ABK13,AAC13="Suezmax",ABD13,AAC13="Capesize",AAW13,AAC13="VLOC",AAP13)*$JI13</f>
        <v>#NAME?</v>
      </c>
      <c r="AGE13" s="274" t="e">
        <f t="array" aca="1" ref="AGE13" ca="1">_xlfn.IFS(AAC13="Handysize",Main!ACG13,AAC13="Supramax",ABZ13,AAC13="Panamax",ABS13,AAC13="NeoPanamax",ABL13,AAC13="Suezmax",ABE13,AAC13="Capesize",AAX13,AAC13="VLOC",AAQ13)*$JI13</f>
        <v>#NAME?</v>
      </c>
      <c r="AGF13" s="71" t="e">
        <f t="array" aca="1" ref="AGF13" ca="1">_xlfn.IFS(AAC13="Handysize",Main!AAH13,AAC13="Supramax",AAI13,AAC13="Panamax",AAJ13,AAC13="NeoPanamax",AAK13,AAC13="Suezmax",AAL13,AAC13="Capesize",AAM13,AAC13="VLOC",AAN13)</f>
        <v>#NAME?</v>
      </c>
      <c r="AGG13" s="71" t="e">
        <f t="array" aca="1" ref="AGG13" ca="1">_xlfn.IFS(AAC13="Handysize",Main!ACT13,AAC13="Supramax",ACU13,AAC13="Panamax",ACV13,AAC13="NeoPanamax",ACW13,AAC13="Suezmax",ACX13,AAC13="Capesize",ACY13,AAC13="VLOC",ACZ13)</f>
        <v>#NAME?</v>
      </c>
      <c r="AGH13" s="70">
        <f t="array" ref="AGH13">INDEX('Ship Speeds'!$G$11:$G$1011,MATCH(2,1/(('Ship Speeds'!$E$11:$E$1011&lt;=Main!$C13)*('Ship Speeds'!$F$11:$F$1011=Main!AAB13))))</f>
        <v>11</v>
      </c>
      <c r="AGI13" s="403">
        <f t="shared" si="195"/>
        <v>24.0359160073052</v>
      </c>
      <c r="AGJ13" s="401">
        <f t="shared" si="196"/>
        <v>2.2145999999999999</v>
      </c>
      <c r="AGK13" s="70" t="e">
        <f t="shared" ca="1" si="197"/>
        <v>#NAME?</v>
      </c>
      <c r="AGL13" s="70" t="e">
        <f t="shared" ca="1" si="198"/>
        <v>#NAME?</v>
      </c>
      <c r="AGM13" s="70" t="e">
        <f t="shared" ca="1" si="199"/>
        <v>#NAME?</v>
      </c>
      <c r="AGN13" s="70" t="e">
        <f t="shared" ca="1" si="200"/>
        <v>#NAME?</v>
      </c>
      <c r="AGO13" s="72" t="e">
        <f t="shared" ca="1" si="201"/>
        <v>#N/A</v>
      </c>
      <c r="AGP13" s="70" t="e">
        <f t="shared" ca="1" si="202"/>
        <v>#NAME?</v>
      </c>
      <c r="AGQ13" s="70" t="e">
        <f t="array" aca="1" ref="AGQ13" ca="1">INDEX(ACN13:ACR13,MATCH(_xlfn.IFS(AAC13="Handysize",Main!ACJ13,AAC13="Supramax",ACC13,AAC13="Panamax",ABV13,AAC13="NeoPanamax",ABO13,AAC13="Suezmax",ABH13,AAC13="Capesize",ABA13,AAC13="VLOC",AAT13),$ACN$7:$ACR$7,0))</f>
        <v>#NAME?</v>
      </c>
      <c r="AGR13" s="70" t="e">
        <f t="array" aca="1" ref="AGR13" ca="1">INDEX(ACN13:ACR13,MATCH(_xlfn.IFS(AAC13="Handysize",Main!ACK13,AAC13="Supramax",ACD13,AAC13="Panamax",ABW13,AAC13="NeoPanamax",ABP13,AAC13="Suezmax",ABI13,AAC13="Capesize",ABB13,AAC13="VLOC",AAU13),$ACN$7:$ACR$7,0))</f>
        <v>#NAME?</v>
      </c>
      <c r="AGS13" s="71" t="e">
        <f t="shared" ca="1" si="203"/>
        <v>#NAME?</v>
      </c>
      <c r="AGT13" s="71" t="e">
        <f t="shared" ca="1" si="204"/>
        <v>#NAME?</v>
      </c>
      <c r="AGU13" s="281">
        <f t="shared" si="205"/>
        <v>7.0759999999999987</v>
      </c>
      <c r="AGV13" s="71">
        <f t="shared" si="206"/>
        <v>1744.2057659694747</v>
      </c>
      <c r="AGW13" s="71" t="e">
        <f t="shared" ca="1" si="207"/>
        <v>#NAME?</v>
      </c>
      <c r="AGX13" s="71" t="e">
        <f t="shared" ca="1" si="208"/>
        <v>#NAME?</v>
      </c>
      <c r="AGY13" s="71">
        <f t="shared" si="209"/>
        <v>34557.659694742797</v>
      </c>
      <c r="AGZ13" s="71" t="e">
        <f t="shared" ca="1" si="210"/>
        <v>#NAME?</v>
      </c>
      <c r="AHA13" s="71" t="e">
        <f t="shared" ca="1" si="211"/>
        <v>#NAME?</v>
      </c>
      <c r="AHB13" s="71">
        <f t="shared" si="212"/>
        <v>24534.08564160543</v>
      </c>
      <c r="AHC13" s="71" t="e">
        <f t="shared" ca="1" si="213"/>
        <v>#NAME?</v>
      </c>
      <c r="AHD13" s="71" t="e">
        <f t="shared" ca="1" si="214"/>
        <v>#NAME?</v>
      </c>
      <c r="AHE13" s="71">
        <f t="shared" si="215"/>
        <v>0</v>
      </c>
      <c r="AHF13" s="71" t="e">
        <f t="shared" ca="1" si="216"/>
        <v>#NAME?</v>
      </c>
      <c r="AHG13" s="71" t="e">
        <f t="shared" ca="1" si="217"/>
        <v>#NAME?</v>
      </c>
      <c r="AHH13" s="72">
        <f t="shared" si="218"/>
        <v>6370.622526851329</v>
      </c>
      <c r="AHI13" s="72" t="e">
        <f t="shared" ca="1" si="219"/>
        <v>#NAME?</v>
      </c>
      <c r="AHJ13" s="71" t="e">
        <f t="shared" ca="1" si="220"/>
        <v>#NAME?</v>
      </c>
      <c r="AHK13" s="71" t="e">
        <f t="array" aca="1" ref="AHK13" ca="1">INDEX('Ship Time Charter Rates'!$H$22:$H$1021,MATCH(2,1/(('Ship Time Charter Rates'!$G$22:$G$1021=_xlfn.IFS(AAC13="Handysize",Main!ACH13,AAC13="Supramax",ACA13,AAC13="Panamax",ABT13,AAC13="NeoPanamax",ABM13,AAC13="Suezmax",ABF13,AAC13="Capesize",AAY13,AAC13="VLOC",AAR13))*('Ship Time Charter Rates'!$E$22:$E$1021&lt;=Main!$C13)*(NOT(ISBLANK('Ship Time Charter Rates'!$H$22:$H$1021))))))</f>
        <v>#N/A</v>
      </c>
      <c r="AHL13" s="71" t="e">
        <f t="shared" ca="1" si="221"/>
        <v>#NAME?</v>
      </c>
      <c r="AHM13" s="70" t="e">
        <f t="shared" ca="1" si="222"/>
        <v>#N/A</v>
      </c>
      <c r="AHN13" s="71" t="e">
        <f t="shared" ca="1" si="223"/>
        <v>#NAME?</v>
      </c>
      <c r="AHO13" s="71" t="e">
        <f t="shared" ca="1" si="306"/>
        <v>#NAME?</v>
      </c>
      <c r="AHP13" s="72" t="e">
        <f t="shared" ca="1" si="307"/>
        <v>#NAME?</v>
      </c>
      <c r="AHR13" s="25">
        <f>IF($AO13="yes",$AN13,$AR13)/(1-$AL13)/$JN13</f>
        <v>0</v>
      </c>
      <c r="AHS13" s="4" t="str">
        <f>VLOOKUP(AHR13,'Ship Time Charter Rates'!$F$10:$G$17,2,TRUE)</f>
        <v>Handysize</v>
      </c>
      <c r="AHT13" s="4" t="str">
        <f>VLOOKUP(AHR13,Canals!$E$5:$F$12,2,TRUE)</f>
        <v>Handysize</v>
      </c>
      <c r="AHU13" s="25">
        <f t="shared" si="224"/>
        <v>145.88999999999999</v>
      </c>
      <c r="AHV13" s="25">
        <f t="shared" si="225"/>
        <v>0</v>
      </c>
      <c r="AHW13" s="25">
        <f t="shared" si="226"/>
        <v>4797</v>
      </c>
      <c r="AHY13" s="75">
        <f t="array" ref="AHY13">INDEX('Indices Mines Exporting Ports'!$R$20:$R$51,MATCH(2,1/(('Indices Mines Exporting Ports'!$D$20:$D$51&lt;=Main!$C13)*('Indices Mines Exporting Ports'!$Q$20:$Q$51=$AQ13))))</f>
        <v>0</v>
      </c>
      <c r="AHZ13" s="75">
        <f t="array" ref="AHZ13">INDEX('Indices Mines Exporting Ports'!$S$20:$S$51,MATCH(2,1/(('Indices Mines Exporting Ports'!$D$20:$D$51&lt;=Main!$C13)*('Indices Mines Exporting Ports'!$Q$20:$Q$51=$AQ13))))</f>
        <v>0</v>
      </c>
      <c r="AIA13" s="75">
        <f t="array" ref="AIA13">INDEX('Indices Mines Exporting Ports'!$T$20:$T$51,MATCH(2,1/(('Indices Mines Exporting Ports'!$D$20:$D$51&lt;=Main!$C13)*('Indices Mines Exporting Ports'!$Q$20:$Q$51=$AQ13))))</f>
        <v>0</v>
      </c>
      <c r="AIB13" s="75">
        <f t="array" ref="AIB13">INDEX('Indices Mines Exporting Ports'!$U$20:$U$51,MATCH(2,1/(('Indices Mines Exporting Ports'!$D$20:$D$51&lt;=Main!$C13)*('Indices Mines Exporting Ports'!$Q$20:$Q$51=$AQ13))))</f>
        <v>0</v>
      </c>
      <c r="AIC13" s="75">
        <f t="array" ref="AIC13">INDEX('Indices Mines Exporting Ports'!$V$20:$V$51,MATCH(2,1/(('Indices Mines Exporting Ports'!$D$20:$D$51&lt;=Main!$C13)*('Indices Mines Exporting Ports'!$Q$20:$Q$51=$AQ13))))</f>
        <v>0</v>
      </c>
      <c r="AID13" s="75">
        <f t="array" ref="AID13">INDEX('Indices Mines Exporting Ports'!$W$20:$W$51,MATCH(2,1/(('Indices Mines Exporting Ports'!$D$20:$D$51&lt;=Main!$C13)*('Indices Mines Exporting Ports'!$Q$20:$Q$51=$AQ13))))</f>
        <v>0</v>
      </c>
      <c r="AIE13" s="75">
        <f t="array" ref="AIE13">INDEX('Indices Mines Exporting Ports'!$X$20:$X$51,MATCH(2,1/(('Indices Mines Exporting Ports'!$D$20:$D$51&lt;=Main!$C13)*('Indices Mines Exporting Ports'!$Q$20:$Q$51=$AQ13))))</f>
        <v>0</v>
      </c>
      <c r="AIG13" s="75">
        <f t="array" ref="AIG13">INDEX('Port Linkages'!$E$18:$E$157,MATCH(2,1/(('Port Linkages'!$C$18:$C$157=$AQ13)*('Port Linkages'!$D$18:$D$157=IF($AO13="no",$AQ13,$KK13))*('Port Linkages'!$A$18:$A$157&lt;=$C13))))</f>
        <v>0</v>
      </c>
      <c r="AIH13" s="75">
        <f t="array" ref="AIH13">INDEX('Port Linkages'!$F$18:$F$157,MATCH(2,1/(('Port Linkages'!$C$18:$C$157=$AQ13)*('Port Linkages'!$D$18:$D$157=IF($AO13="no",$AQ13,$KK13))*('Port Linkages'!$A$18:$A$157&lt;=$C13))))</f>
        <v>0</v>
      </c>
      <c r="AII13" s="75">
        <f t="array" ref="AII13">INDEX('Port Linkages'!$G$18:$G$157,MATCH(2,1/(('Port Linkages'!$C$18:$C$157=$AQ13)*('Port Linkages'!$D$18:$D$157=IF($AO13="no",$AQ13,$KK13))*('Port Linkages'!$A$18:$A$157&lt;=$C13))))</f>
        <v>0</v>
      </c>
      <c r="AIJ13" s="75">
        <f t="array" ref="AIJ13">INDEX('Port Linkages'!$H$18:$H$157,MATCH(2,1/(('Port Linkages'!$C$18:$C$157=$AQ13)*('Port Linkages'!$D$18:$D$157=IF($AO13="no",$AQ13,$KK13))*('Port Linkages'!$A$18:$A$157&lt;=$C13))))</f>
        <v>0</v>
      </c>
      <c r="AIK13" s="75">
        <f t="array" ref="AIK13">INDEX('Port Linkages'!$I$18:$I$157,MATCH(2,1/(('Port Linkages'!$C$18:$C$157=$AQ13)*('Port Linkages'!$D$18:$D$157=IF($AO13="no",$AQ13,$KK13))*('Port Linkages'!$A$18:$A$157&lt;=$C13))))</f>
        <v>0</v>
      </c>
      <c r="AIL13" s="75">
        <f t="array" ref="AIL13">INDEX('Port Linkages'!$J$18:$J$157,MATCH(2,1/(('Port Linkages'!$C$18:$C$157=$AQ13)*('Port Linkages'!$D$18:$D$157=IF($AO13="no",$AQ13,$KK13))*('Port Linkages'!$A$18:$A$157&lt;=$C13))))</f>
        <v>0</v>
      </c>
      <c r="AIM13" s="75">
        <f t="array" ref="AIM13">INDEX('Port Linkages'!$K$18:$K$157,MATCH(2,1/(('Port Linkages'!$C$18:$C$157=$AQ13)*('Port Linkages'!$D$18:$D$157=IF($AO13="no",$AQ13,$KK13))*('Port Linkages'!$A$18:$A$157&lt;=$C13))))</f>
        <v>0</v>
      </c>
      <c r="AIN13" s="75">
        <f t="array" ref="AIN13">INDEX('Port Linkages'!$L$18:$L$157,MATCH(2,1/(('Port Linkages'!$C$18:$C$157=$AQ13)*('Port Linkages'!$D$18:$D$157=IF($AO13="no",$AQ13,$KK13))*('Port Linkages'!$A$18:$A$157&lt;=$C13))))</f>
        <v>0</v>
      </c>
      <c r="AIO13" s="75">
        <f t="array" ref="AIO13">INDEX('Port Linkages'!$M$18:$M$157,MATCH(2,1/(('Port Linkages'!$C$18:$C$157=$AQ13)*('Port Linkages'!$D$18:$D$157=IF($AO13="no",$AQ13,$KK13))*('Port Linkages'!$A$18:$A$157&lt;=$C13))))</f>
        <v>0</v>
      </c>
      <c r="AIP13" s="75">
        <f t="array" ref="AIP13">INDEX('Port Linkages'!$N$18:$N$157,MATCH(2,1/(('Port Linkages'!$C$18:$C$157=$AQ13)*('Port Linkages'!$D$18:$D$157=IF($AO13="no",$AQ13,$KK13))*('Port Linkages'!$A$18:$A$157&lt;=$C13))))</f>
        <v>0</v>
      </c>
      <c r="AIQ13" s="75">
        <f t="array" ref="AIQ13">INDEX('Port Linkages'!$O$18:$O$157,MATCH(2,1/(('Port Linkages'!$C$18:$C$157=$AQ13)*('Port Linkages'!$D$18:$D$157=IF($AO13="no",$AQ13,$KK13))*('Port Linkages'!$A$18:$A$157&lt;=$C13))))</f>
        <v>0</v>
      </c>
      <c r="AIR13" s="75">
        <f t="array" ref="AIR13">INDEX('Port Linkages'!$P$18:$P$157,MATCH(2,1/(('Port Linkages'!$C$18:$C$157=$AQ13)*('Port Linkages'!$D$18:$D$157=IF($AO13="no",$AQ13,$KK13))*('Port Linkages'!$A$18:$A$157&lt;=$C13))))</f>
        <v>0</v>
      </c>
      <c r="AIS13" s="75">
        <f t="array" ref="AIS13">INDEX('Port Linkages'!$Q$18:$Q$157,MATCH(2,1/(('Port Linkages'!$C$18:$C$157=$AQ13)*('Port Linkages'!$D$18:$D$157=IF($AO13="no",$AQ13,$KK13))*('Port Linkages'!$A$18:$A$157&lt;=$C13))))</f>
        <v>0</v>
      </c>
      <c r="AIT13" s="75">
        <f t="array" ref="AIT13">INDEX('Port Linkages'!$R$18:$R$157,MATCH(2,1/(('Port Linkages'!$C$18:$C$157=$AQ13)*('Port Linkages'!$D$18:$D$157=IF($AO13="no",$AQ13,$KK13))*('Port Linkages'!$A$18:$A$157&lt;=$C13))))</f>
        <v>0</v>
      </c>
      <c r="AIU13" s="75">
        <f t="array" ref="AIU13">INDEX('Port Linkages'!$S$18:$S$157,MATCH(2,1/(('Port Linkages'!$C$18:$C$157=$AQ13)*('Port Linkages'!$D$18:$D$157=IF($AO13="no",$AQ13,$KK13))*('Port Linkages'!$A$18:$A$157&lt;=$C13))))</f>
        <v>0</v>
      </c>
      <c r="AIV13" s="75">
        <f t="array" ref="AIV13">INDEX('Port Linkages'!$T$18:$T$157,MATCH(2,1/(('Port Linkages'!$C$18:$C$157=$AQ13)*('Port Linkages'!$D$18:$D$157=IF($AO13="no",$AQ13,$KK13))*('Port Linkages'!$A$18:$A$157&lt;=$C13))))</f>
        <v>0</v>
      </c>
      <c r="AIW13" s="75">
        <f t="array" ref="AIW13">INDEX('Port Linkages'!$U$18:$U$157,MATCH(2,1/(('Port Linkages'!$C$18:$C$157=$AQ13)*('Port Linkages'!$D$18:$D$157=IF($AO13="no",$AQ13,$KK13))*('Port Linkages'!$A$18:$A$157&lt;=$C13))))</f>
        <v>0</v>
      </c>
      <c r="AIX13" s="75">
        <f t="array" ref="AIX13">INDEX('Port Linkages'!$V$18:$V$157,MATCH(2,1/(('Port Linkages'!$C$18:$C$157=$AQ13)*('Port Linkages'!$D$18:$D$157=IF($AO13="no",$AQ13,$KK13))*('Port Linkages'!$A$18:$A$157&lt;=$C13))))</f>
        <v>0</v>
      </c>
      <c r="AIY13" s="75">
        <f t="array" ref="AIY13">INDEX('Port Linkages'!$W$18:$W$157,MATCH(2,1/(('Port Linkages'!$C$18:$C$157=$AQ13)*('Port Linkages'!$D$18:$D$157=IF($AO13="no",$AQ13,$KK13))*('Port Linkages'!$A$18:$A$157&lt;=$C13))))</f>
        <v>0</v>
      </c>
      <c r="AIZ13" s="75">
        <f t="array" ref="AIZ13">INDEX('Port Linkages'!$X$18:$X$157,MATCH(2,1/(('Port Linkages'!$C$18:$C$157=$AQ13)*('Port Linkages'!$D$18:$D$157=IF($AO13="no",$AQ13,$KK13))*('Port Linkages'!$A$18:$A$157&lt;=$C13))))</f>
        <v>0</v>
      </c>
      <c r="AJA13" s="75">
        <f t="array" ref="AJA13">INDEX('Port Linkages'!$Y$18:$Y$157,MATCH(2,1/(('Port Linkages'!$C$18:$C$157=$AQ13)*('Port Linkages'!$D$18:$D$157=IF($AO13="no",$AQ13,$KK13))*('Port Linkages'!$A$18:$A$157&lt;=$C13))))</f>
        <v>0</v>
      </c>
      <c r="AJB13" s="75">
        <f t="array" ref="AJB13">INDEX('Port Linkages'!$Z$18:$Z$157,MATCH(2,1/(('Port Linkages'!$C$18:$C$157=$AQ13)*('Port Linkages'!$D$18:$D$157=IF($AO13="no",$AQ13,$KK13))*('Port Linkages'!$A$18:$A$157&lt;=$C13))))</f>
        <v>0</v>
      </c>
      <c r="AJC13" s="75">
        <f t="array" ref="AJC13">INDEX('Port Linkages'!$AA$18:$AA$157,MATCH(2,1/(('Port Linkages'!$C$18:$C$157=$AQ13)*('Port Linkages'!$D$18:$D$157=IF($AO13="no",$AQ13,$KK13))*('Port Linkages'!$A$18:$A$157&lt;=$C13))))</f>
        <v>0</v>
      </c>
      <c r="AJD13" s="75">
        <f t="array" ref="AJD13">INDEX('Port Linkages'!$AB$18:$AB$157,MATCH(2,1/(('Port Linkages'!$C$18:$C$157=$AQ13)*('Port Linkages'!$D$18:$D$157=IF($AO13="no",$AQ13,$KK13))*('Port Linkages'!$A$18:$A$157&lt;=$C13))))</f>
        <v>0</v>
      </c>
      <c r="AJE13" s="75">
        <f t="array" ref="AJE13">INDEX('Port Linkages'!$AC$18:$AC$157,MATCH(2,1/(('Port Linkages'!$C$18:$C$157=$AQ13)*('Port Linkages'!$D$18:$D$157=IF($AO13="no",$AQ13,$KK13))*('Port Linkages'!$A$18:$A$157&lt;=$C13))))</f>
        <v>0</v>
      </c>
      <c r="AJF13" s="75">
        <f t="array" ref="AJF13">INDEX('Port Linkages'!$AD$18:$AD$157,MATCH(2,1/(('Port Linkages'!$C$18:$C$157=$AQ13)*('Port Linkages'!$D$18:$D$157=IF($AO13="no",$AQ13,$KK13))*('Port Linkages'!$A$18:$A$157&lt;=$C13))))</f>
        <v>0</v>
      </c>
      <c r="AJG13" s="75">
        <f t="array" ref="AJG13">INDEX('Port Linkages'!$AE$18:$AE$157,MATCH(2,1/(('Port Linkages'!$C$18:$C$157=$AQ13)*('Port Linkages'!$D$18:$D$157=IF($AO13="no",$AQ13,$KK13))*('Port Linkages'!$A$18:$A$157&lt;=$C13))))</f>
        <v>0</v>
      </c>
      <c r="AJH13" s="75">
        <f t="array" ref="AJH13">INDEX('Port Linkages'!$AF$18:$AF$157,MATCH(2,1/(('Port Linkages'!$C$18:$C$157=$AQ13)*('Port Linkages'!$D$18:$D$157=IF($AO13="no",$AQ13,$KK13))*('Port Linkages'!$A$18:$A$157&lt;=$C13))))</f>
        <v>0</v>
      </c>
      <c r="AJI13" s="75">
        <f t="array" ref="AJI13">INDEX('Port Linkages'!$AG$18:$AG$157,MATCH(2,1/(('Port Linkages'!$C$18:$C$157=$AQ13)*('Port Linkages'!$D$18:$D$157=IF($AO13="no",$AQ13,$KK13))*('Port Linkages'!$A$18:$A$157&lt;=$C13))))</f>
        <v>0</v>
      </c>
      <c r="AJJ13" s="75">
        <f t="array" ref="AJJ13">INDEX('Port Linkages'!$AH$18:$AH$157,MATCH(2,1/(('Port Linkages'!$C$18:$C$157=$AQ13)*('Port Linkages'!$D$18:$D$157=IF($AO13="no",$AQ13,$KK13))*('Port Linkages'!$A$18:$A$157&lt;=$C13))))</f>
        <v>0</v>
      </c>
      <c r="AJK13" s="75">
        <f t="array" ref="AJK13">INDEX('Port Linkages'!$AI$18:$AI$157,MATCH(2,1/(('Port Linkages'!$C$18:$C$157=$AQ13)*('Port Linkages'!$D$18:$D$157=IF($AO13="no",$AQ13,$KK13))*('Port Linkages'!$A$18:$A$157&lt;=$C13))))</f>
        <v>0</v>
      </c>
      <c r="AJL13" s="75">
        <f t="array" ref="AJL13">INDEX('Port Linkages'!$AJ$18:$AJ$157,MATCH(2,1/(('Port Linkages'!$C$18:$C$157=$AQ13)*('Port Linkages'!$D$18:$D$157=IF($AO13="no",$AQ13,$KK13))*('Port Linkages'!$A$18:$A$157&lt;=$C13))))</f>
        <v>0</v>
      </c>
      <c r="AJM13" s="75">
        <f t="array" ref="AJM13">INDEX('Port Linkages'!$AK$18:$AK$157,MATCH(2,1/(('Port Linkages'!$C$18:$C$157=$AQ13)*('Port Linkages'!$D$18:$D$157=IF($AO13="no",$AQ13,$KK13))*('Port Linkages'!$A$18:$A$157&lt;=$C13))))</f>
        <v>0</v>
      </c>
      <c r="AJN13" s="75">
        <f t="array" ref="AJN13">INDEX('Port Linkages'!$AL$18:$AL$157,MATCH(2,1/(('Port Linkages'!$C$18:$C$157=$AQ13)*('Port Linkages'!$D$18:$D$157=IF($AO13="no",$AQ13,$KK13))*('Port Linkages'!$A$18:$A$157&lt;=$C13))))</f>
        <v>0</v>
      </c>
      <c r="AJO13" s="75">
        <f t="array" ref="AJO13">INDEX('Port Linkages'!$AM$18:$AM$157,MATCH(2,1/(('Port Linkages'!$C$18:$C$157=$AQ13)*('Port Linkages'!$D$18:$D$157=IF($AO13="no",$AQ13,$KK13))*('Port Linkages'!$A$18:$A$157&lt;=$C13))))</f>
        <v>0</v>
      </c>
      <c r="AJP13" s="75">
        <f t="array" ref="AJP13">INDEX('Port Linkages'!$AN$18:$AN$157,MATCH(2,1/(('Port Linkages'!$C$18:$C$157=$AQ13)*('Port Linkages'!$D$18:$D$157=IF($AO13="no",$AQ13,$KK13))*('Port Linkages'!$A$18:$A$157&lt;=$C13))))</f>
        <v>0</v>
      </c>
      <c r="AJQ13" s="75">
        <f t="array" ref="AJQ13">INDEX('Port Linkages'!$AO$18:$AO$157,MATCH(2,1/(('Port Linkages'!$C$18:$C$157=$AQ13)*('Port Linkages'!$D$18:$D$157=IF($AO13="no",$AQ13,$KK13))*('Port Linkages'!$A$18:$A$157&lt;=$C13))))</f>
        <v>0</v>
      </c>
      <c r="AJR13" s="75">
        <f t="array" ref="AJR13">INDEX('Port Linkages'!$AP$18:$AP$157,MATCH(2,1/(('Port Linkages'!$C$18:$C$157=$AQ13)*('Port Linkages'!$D$18:$D$157=IF($AO13="no",$AQ13,$KK13))*('Port Linkages'!$A$18:$A$157&lt;=$C13))))</f>
        <v>0</v>
      </c>
      <c r="AJS13" s="75">
        <f t="array" ref="AJS13">INDEX('Port Linkages'!$AQ$18:$AQ$157,MATCH(2,1/(('Port Linkages'!$C$18:$C$157=$AQ13)*('Port Linkages'!$D$18:$D$157=IF($AO13="no",$AQ13,$KK13))*('Port Linkages'!$A$18:$A$157&lt;=$C13))))</f>
        <v>0</v>
      </c>
      <c r="AJT13" s="75">
        <f t="array" ref="AJT13">INDEX('Port Linkages'!$AR$18:$AR$157,MATCH(2,1/(('Port Linkages'!$C$18:$C$157=$AQ13)*('Port Linkages'!$D$18:$D$157=IF($AO13="no",$AQ13,$KK13))*('Port Linkages'!$A$18:$A$157&lt;=$C13))))</f>
        <v>0</v>
      </c>
      <c r="AJU13" s="75">
        <f t="array" ref="AJU13">INDEX('Port Linkages'!$AS$18:$AS$157,MATCH(2,1/(('Port Linkages'!$C$18:$C$157=$AQ13)*('Port Linkages'!$D$18:$D$157=IF($AO13="no",$AQ13,$KK13))*('Port Linkages'!$A$18:$A$157&lt;=$C13))))</f>
        <v>0</v>
      </c>
      <c r="AJV13" s="75">
        <f t="array" ref="AJV13">INDEX('Port Linkages'!$AT$18:$AT$157,MATCH(2,1/(('Port Linkages'!$C$18:$C$157=$AQ13)*('Port Linkages'!$D$18:$D$157=IF($AO13="no",$AQ13,$KK13))*('Port Linkages'!$A$18:$A$157&lt;=$C13))))</f>
        <v>0</v>
      </c>
      <c r="AJW13" s="75">
        <f t="array" ref="AJW13">INDEX('Port Linkages'!$AU$18:$AU$157,MATCH(2,1/(('Port Linkages'!$C$18:$C$157=$AQ13)*('Port Linkages'!$D$18:$D$157=IF($AO13="no",$AQ13,$KK13))*('Port Linkages'!$A$18:$A$157&lt;=$C13))))</f>
        <v>0</v>
      </c>
      <c r="AJX13" s="75">
        <f t="array" ref="AJX13">INDEX('Port Linkages'!$AV$18:$AV$157,MATCH(2,1/(('Port Linkages'!$C$18:$C$157=$AQ13)*('Port Linkages'!$D$18:$D$157=IF($AO13="no",$AQ13,$KK13))*('Port Linkages'!$A$18:$A$157&lt;=$C13))))</f>
        <v>0</v>
      </c>
      <c r="AJY13" s="75">
        <f t="array" ref="AJY13">INDEX('Port Linkages'!$AW$18:$AW$157,MATCH(2,1/(('Port Linkages'!$C$18:$C$157=$AQ13)*('Port Linkages'!$D$18:$D$157=IF($AO13="no",$AQ13,$KK13))*('Port Linkages'!$A$18:$A$157&lt;=$C13))))</f>
        <v>0</v>
      </c>
      <c r="AJZ13" s="75">
        <f t="array" ref="AJZ13">INDEX('Port Linkages'!$AX$18:$AX$157,MATCH(2,1/(('Port Linkages'!$C$18:$C$157=$AQ13)*('Port Linkages'!$D$18:$D$157=IF($AO13="no",$AQ13,$KK13))*('Port Linkages'!$A$18:$A$157&lt;=$C13))))</f>
        <v>0</v>
      </c>
      <c r="AKA13" s="75">
        <f t="array" ref="AKA13">INDEX('Port Linkages'!$AY$18:$AY$157,MATCH(2,1/(('Port Linkages'!$C$18:$C$157=$AQ13)*('Port Linkages'!$D$18:$D$157=IF($AO13="no",$AQ13,$KK13))*('Port Linkages'!$A$18:$A$157&lt;=$C13))))</f>
        <v>0</v>
      </c>
      <c r="AKB13" s="75">
        <f t="array" ref="AKB13">INDEX('Port Linkages'!$AZ$18:$AZ$157,MATCH(2,1/(('Port Linkages'!$C$18:$C$157=$AQ13)*('Port Linkages'!$D$18:$D$157=IF($AO13="no",$AQ13,$KK13))*('Port Linkages'!$A$18:$A$157&lt;=$C13))))</f>
        <v>0</v>
      </c>
      <c r="AKC13" s="75">
        <f t="array" ref="AKC13">INDEX('Port Linkages'!$BA$18:$BA$157,MATCH(2,1/(('Port Linkages'!$C$18:$C$157=$AQ13)*('Port Linkages'!$D$18:$D$157=IF($AO13="no",$AQ13,$KK13))*('Port Linkages'!$A$18:$A$157&lt;=$C13))))</f>
        <v>0</v>
      </c>
      <c r="AKE13" s="25" t="e">
        <f t="array" aca="1" ref="AKE13" ca="1">INDEX('Ship Fuel Prices'!$F$5:$F$1004,MATCH(2,1/(('Ship Fuel Prices'!$E$5:$E$1004=_xlfn.IFS(AHT13="Handysize",Main!AJZ13,AHT13="Supramax",AJS13,AHT13="Panamax",AJL13,AHT13="NeoPanamax",AJE13,AHT13="Suezmax",AIX13,AHT13="Capesize",AIQ13,AHT13="VLOC",AIJ13))*('Ship Fuel Prices'!$D$5:$D$1004&lt;=Main!$C13))))</f>
        <v>#N/A</v>
      </c>
      <c r="AKF13" s="25" t="e">
        <f t="array" aca="1" ref="AKF13" ca="1">INDEX('Ship Fuel Prices'!$G$5:$G$1004,MATCH(2,1/(('Ship Fuel Prices'!$E$5:$E$1004=_xlfn.IFS(AHT13="Handysize",Main!AJZ13,AHT13="Supramax",AJS13,AHT13="Panamax",AJL13,AHT13="NeoPanamax",AJE13,AHT13="Suezmax",AIX13,AHT13="Capesize",AIQ13,AHT13="VLOC",AIJ13))*('Ship Fuel Prices'!$D$5:$D$1004&lt;=Main!$C13))))</f>
        <v>#N/A</v>
      </c>
      <c r="AKG13" s="25" t="e">
        <f t="array" aca="1" ref="AKG13" ca="1">INDEX('Ship Fuel Prices'!$H$5:$H$1004,MATCH(2,1/(('Ship Fuel Prices'!$E$5:$E$1004=_xlfn.IFS(AHT13="Handysize",Main!AJZ13,AHT13="Supramax",AJS13,AHT13="Panamax",AJL13,AHT13="NeoPanamax",AJE13,AHT13="Suezmax",AIX13,AHT13="Capesize",AIQ13,AHT13="VLOC",AIJ13))*('Ship Fuel Prices'!$D$5:$D$1004&lt;=Main!$C13))))</f>
        <v>#N/A</v>
      </c>
      <c r="AKH13" s="25" t="e">
        <f t="array" aca="1" ref="AKH13" ca="1">INDEX('Ship Fuel Prices'!$I$5:$I$1004,MATCH(2,1/(('Ship Fuel Prices'!$E$5:$E$1004=_xlfn.IFS(AHT13="Handysize",Main!AJZ13,AHT13="Supramax",AJS13,AHT13="Panamax",AJL13,AHT13="NeoPanamax",AJE13,AHT13="Suezmax",AIX13,AHT13="Capesize",AIQ13,AHT13="VLOC",AIJ13))*('Ship Fuel Prices'!$D$5:$D$1004&lt;=Main!$C13))))</f>
        <v>#N/A</v>
      </c>
      <c r="AKI13" s="25" t="e">
        <f t="array" aca="1" ref="AKI13" ca="1">INDEX('Ship Fuel Prices'!$J$5:$J$1004,MATCH(2,1/(('Ship Fuel Prices'!$E$5:$E$1004=_xlfn.IFS(AHT13="Handysize",Main!AJZ13,AHT13="Supramax",AJS13,AHT13="Panamax",AJL13,AHT13="NeoPanamax",AJE13,AHT13="Suezmax",AIX13,AHT13="Capesize",AIQ13,AHT13="VLOC",AIJ13))*('Ship Fuel Prices'!$D$5:$D$1004&lt;=Main!$C13))))</f>
        <v>#N/A</v>
      </c>
      <c r="AKK13" s="75">
        <f t="array" ref="AKK13">INDEX('China n Importing Ports'!$E$20:$E$41,MATCH(2,1/(('China n Importing Ports'!$D$20:$D$41&lt;=$C13)*('China n Importing Ports'!$C$20:$C$41=IF($AO13="No",$AQ13,$KK13)))))</f>
        <v>0</v>
      </c>
      <c r="AKL13" s="75">
        <f t="array" ref="AKL13">INDEX('China n Importing Ports'!$F$20:$F$41,MATCH(2,1/(('China n Importing Ports'!$D$20:$D$41&lt;=$C13)*('China n Importing Ports'!$C$20:$C$41=IF($AO13="No",$AQ13,$KK13)))))</f>
        <v>0</v>
      </c>
      <c r="AKM13" s="75">
        <f t="array" ref="AKM13">INDEX('China n Importing Ports'!$G$20:$G$41,MATCH(2,1/(('China n Importing Ports'!$D$20:$D$41&lt;=$C13)*('China n Importing Ports'!$C$20:$C$41=IF($AO13="No",$AQ13,$KK13)))))</f>
        <v>0</v>
      </c>
      <c r="AKN13" s="75">
        <f t="array" ref="AKN13">INDEX('China n Importing Ports'!$H$20:$H$41,MATCH(2,1/(('China n Importing Ports'!$D$20:$D$41&lt;=$C13)*('China n Importing Ports'!$C$20:$C$41=IF($AO13="No",$AQ13,$KK13)))))</f>
        <v>0</v>
      </c>
      <c r="AKO13" s="75">
        <f t="array" ref="AKO13">INDEX('China n Importing Ports'!$I$20:$I$41,MATCH(2,1/(('China n Importing Ports'!$D$20:$D$41&lt;=$C13)*('China n Importing Ports'!$C$20:$C$41=IF($AO13="No",$AQ13,$KK13)))))</f>
        <v>0</v>
      </c>
      <c r="AKP13" s="75">
        <f t="array" ref="AKP13">INDEX('China n Importing Ports'!$J$20:$J$41,MATCH(2,1/(('China n Importing Ports'!$D$20:$D$41&lt;=$C13)*('China n Importing Ports'!$C$20:$C$41=IF($AO13="No",$AQ13,$KK13)))))</f>
        <v>0</v>
      </c>
      <c r="AKQ13" s="75">
        <f t="array" ref="AKQ13">INDEX('China n Importing Ports'!$K$20:$K$41,MATCH(2,1/(('China n Importing Ports'!$D$20:$D$41&lt;=$C13)*('China n Importing Ports'!$C$20:$C$41=IF($AO13="No",$AQ13,$KK13)))))</f>
        <v>0</v>
      </c>
      <c r="AKR13" s="75">
        <f t="array" ref="AKR13">INDEX('China n Importing Ports'!$L$20:$L$41,MATCH(2,1/(('China n Importing Ports'!$D$20:$D$41&lt;=$C13)*('China n Importing Ports'!$C$20:$C$41=IF($AO13="No",$AQ13,$KK13)))))</f>
        <v>0</v>
      </c>
      <c r="AKS13" s="75">
        <f t="array" ref="AKS13">INDEX('China n Importing Ports'!$M$20:$M$41,MATCH(2,1/(('China n Importing Ports'!$D$20:$D$41&lt;=$C13)*('China n Importing Ports'!$C$20:$C$41=IF($AO13="No",$AQ13,$KK13)))))</f>
        <v>0</v>
      </c>
      <c r="AKT13" s="75">
        <f t="array" ref="AKT13">INDEX('China n Importing Ports'!$N$20:$N$41,MATCH(2,1/(('China n Importing Ports'!$D$20:$D$41&lt;=$C13)*('China n Importing Ports'!$C$20:$C$41=IF($AO13="No",$AQ13,$KK13)))))</f>
        <v>0</v>
      </c>
      <c r="AKU13" s="75">
        <f t="array" ref="AKU13">INDEX('China n Importing Ports'!$O$20:$O$41,MATCH(2,1/(('China n Importing Ports'!$D$20:$D$41&lt;=$C13)*('China n Importing Ports'!$C$20:$C$41=IF($AO13="No",$AQ13,$KK13)))))</f>
        <v>0</v>
      </c>
      <c r="AKV13" s="136">
        <f t="array" ref="AKV13">INDEX('China n Importing Ports'!$P$20:$P$41,MATCH(2,1/(('China n Importing Ports'!$D$20:$D$41&lt;=$C13)*('China n Importing Ports'!$C$20:$C$41=IF($AO13="No",$AQ13,$KK13)))))</f>
        <v>0</v>
      </c>
      <c r="AKW13" s="136">
        <f t="array" ref="AKW13">INDEX('China n Importing Ports'!$Q$20:$Q$41,MATCH(2,1/(('China n Importing Ports'!$D$20:$D$41&lt;=$C13)*('China n Importing Ports'!$C$20:$C$41=IF($AO13="No",$AQ13,$KK13)))))</f>
        <v>0</v>
      </c>
      <c r="AKX13" s="136">
        <f t="array" ref="AKX13">INDEX('China n Importing Ports'!$R$20:$R$41,MATCH(2,1/(('China n Importing Ports'!$D$20:$D$41&lt;=$C13)*('China n Importing Ports'!$C$20:$C$41=IF($AO13="No",$AQ13,$KK13)))))</f>
        <v>0</v>
      </c>
      <c r="AKY13" s="136">
        <f t="array" ref="AKY13">INDEX('China n Importing Ports'!$S$20:$S$41,MATCH(2,1/(('China n Importing Ports'!$D$20:$D$41&lt;=$C13)*('China n Importing Ports'!$C$20:$C$41=IF($AO13="No",$AQ13,$KK13)))))</f>
        <v>0</v>
      </c>
      <c r="AKZ13" s="136">
        <f t="array" ref="AKZ13">INDEX('China n Importing Ports'!$T$20:$T$41,MATCH(2,1/(('China n Importing Ports'!$D$20:$D$41&lt;=$C13)*('China n Importing Ports'!$C$20:$C$41=IF($AO13="No",$AQ13,$KK13)))))</f>
        <v>0</v>
      </c>
      <c r="ALA13" s="136">
        <f t="array" ref="ALA13">INDEX('China n Importing Ports'!$U$20:$U$41,MATCH(2,1/(('China n Importing Ports'!$D$20:$D$41&lt;=$C13)*('China n Importing Ports'!$C$20:$C$41=IF($AO13="No",$AQ13,$KK13)))))</f>
        <v>0</v>
      </c>
      <c r="ALB13" s="136">
        <f t="array" ref="ALB13">INDEX('China n Importing Ports'!$V$20:$V$41,MATCH(2,1/(('China n Importing Ports'!$D$20:$D$41&lt;=$C13)*('China n Importing Ports'!$C$20:$C$41=IF($AO13="No",$AQ13,$KK13)))))</f>
        <v>0</v>
      </c>
      <c r="ALC13" s="136">
        <f t="array" ref="ALC13">INDEX('China n Importing Ports'!$W$20:$W$41,MATCH(2,1/(('China n Importing Ports'!$D$20:$D$41&lt;=$C13)*('China n Importing Ports'!$C$20:$C$41=IF($AO13="No",$AQ13,$KK13)))))</f>
        <v>0</v>
      </c>
      <c r="ALD13" s="136">
        <f t="array" ref="ALD13">INDEX('China n Importing Ports'!$X$20:$X$41,MATCH(2,1/(('China n Importing Ports'!$D$20:$D$41&lt;=$C13)*('China n Importing Ports'!$C$20:$C$41=IF($AO13="No",$AQ13,$KK13)))))</f>
        <v>0</v>
      </c>
      <c r="ALE13" s="136">
        <f t="array" ref="ALE13">INDEX('China n Importing Ports'!$Y$20:$Y$41,MATCH(2,1/(('China n Importing Ports'!$D$20:$D$41&lt;=$C13)*('China n Importing Ports'!$C$20:$C$41=IF($AO13="No",$AQ13,$KK13)))))</f>
        <v>0</v>
      </c>
      <c r="ALF13" s="136">
        <f t="array" ref="ALF13">INDEX('China n Importing Ports'!$Z$20:$Z$41,MATCH(2,1/(('China n Importing Ports'!$D$20:$D$41&lt;=$C13)*('China n Importing Ports'!$C$20:$C$41=IF($AO13="No",$AQ13,$KK13)))))</f>
        <v>0</v>
      </c>
      <c r="ALG13" s="136">
        <f t="array" ref="ALG13">INDEX('China n Importing Ports'!$AA$20:$AA$41,MATCH(2,1/(('China n Importing Ports'!$D$20:$D$41&lt;=$C13)*('China n Importing Ports'!$C$20:$C$41=IF($AO13="No",$AQ13,$KK13)))))</f>
        <v>0</v>
      </c>
      <c r="ALI13" s="75" t="e">
        <f t="array" aca="1" ref="ALI13" ca="1">INDEX(Canals!$G$24:$G$29,MATCH(2,1/((Canals!$F$24:$F$29&lt;=$C13)*(Canals!$G$24:$G$29=_xlfn.IFS(AHT13="Handysize",AKC13,AHT13="Supramax",AJV13,AHT13="Panamax",AJO13,AHT13="NeoPanamax",AJH13,AHT13="Suezmax",AJA13,AHT13="Capesize",AIT13,AHT13="VLOC",AIM13)))))</f>
        <v>#N/A</v>
      </c>
      <c r="ALJ13" s="75" t="e">
        <f t="array" aca="1" ref="ALJ13" ca="1">INDEX(Canals!$H$24:$H$29,MATCH(2,1/((Canals!$F$24:$F$29&lt;=$C13)*(Canals!$G$24:$G$29=_xlfn.IFS(AHT13="Handysize",AKC13,AHT13="Supramax",AJV13,AHT13="Panamax",AJO13,AHT13="NeoPanamax",AJH13,AHT13="Suezmax",AJA13,AHT13="Capesize",AIT13,AHT13="VLOC",AIM13)))))</f>
        <v>#N/A</v>
      </c>
      <c r="ALK13" s="75" t="e">
        <f t="array" aca="1" ref="ALK13" ca="1">INDEX(Canals!$I$24:$I$29,MATCH(2,1/((Canals!$F$24:$F$29&lt;=$C13)*(Canals!$G$24:$G$29=_xlfn.IFS(AHT13="Handysize",AKC13,AHT13="Supramax",AJV13,AHT13="Panamax",AJO13,AHT13="NeoPanamax",AJH13,AHT13="Suezmax",AJA13,AHT13="Capesize",AIT13,AHT13="VLOC",AIM13)))))</f>
        <v>#N/A</v>
      </c>
      <c r="ALL13" s="75" t="e">
        <f t="array" aca="1" ref="ALL13" ca="1">INDEX(Canals!$J$24:$J$29,MATCH(2,1/((Canals!$F$24:$F$29&lt;=$C13)*(Canals!$G$24:$G$29=_xlfn.IFS(AHT13="Handysize",Main!AKC13,AHT13="Supramax",AJV13,AHT13="Panamax",AJO13,AHT13="NeoPanamax",AJH13,AHT13="Suezmax",AJA13,AHT13="Capesize",AIT13,AHT13="VLOC",AIM13)))))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M13" s="75" t="e">
        <f t="array" aca="1" ref="ALM13" ca="1">INDEX(Canals!$K$24:$K$29,MATCH(2,1/((Canals!$F$24:$F$29&lt;=$C13)*(Canals!$G$24:$G$29=_xlfn.IFS(AHT13="Handysize",Main!AKC13,AHT13="Supramax",AJV13,AHT13="Panamax",AJO13,AHT13="NeoPanamax",AJH13,AHT13="Suezmax",AJA13,AHT13="Capesize",AIT13,AHT13="VLOC",AIM13)))))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N13" s="75" t="e">
        <f t="array" aca="1" ref="ALN13" ca="1">INDEX(Canals!$L$24:$L$29,MATCH(2,1/((Canals!$F$24:$F$29&lt;=$C13)*(Canals!$G$24:$G$29=_xlfn.IFS(AHT13="Handysize",Main!AKC13,AHT13="Supramax",AJV13,AHT13="Panamax",AJO13,AHT13="NeoPanamax",AJH13,AHT13="Suezmax",AJA13,AHT13="Capesize",AIT13,AHT13="VLOC",AIM13)))))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O13" s="75" t="e">
        <f t="array" aca="1" ref="ALO13" ca="1">INDEX(Canals!$M$24:$M$29,MATCH(2,1/((Canals!$F$24:$F$29&lt;=$C13)*(Canals!$G$24:$G$29=_xlfn.IFS(AHT13="Handysize",Main!AKC13,AHT13="Supramax",AJV13,AHT13="Panamax",AJO13,AHT13="NeoPanamax",AJH13,AHT13="Suezmax",AJA13,AHT13="Capesize",AIT13,AHT13="VLOC",AIM13)))))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P13" s="75" t="e">
        <f t="array" aca="1" ref="ALP13" ca="1">INDEX(Canals!$N$24:$N$29,MATCH(2,1/((Canals!$F$24:$F$29&lt;=$C13)*(Canals!$G$24:$G$29=_xlfn.IFS(AHT13="Handysize",Main!AKC13,AHT13="Supramax",AJV13,AHT13="Panamax",AJO13,AHT13="NeoPanamax",AJH13,AHT13="Suezmax",AJA13,AHT13="Capesize",AIT13,AHT13="VLOC",AIM13)))))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Q13" s="75" t="e">
        <f t="array" aca="1" ref="ALQ13" ca="1">INDEX(Canals!$O$24:$O$29,MATCH(2,1/((Canals!$F$24:$F$29&lt;=$C13)*(Canals!$G$24:$G$29=_xlfn.IFS(AHT13="Handysize",Main!AKC13,AHT13="Supramax",AJV13,AHT13="Panamax",AJO13,AHT13="NeoPanamax",AJH13,AHT13="Suezmax",AJA13,AHT13="Capesize",AIT13,AHT13="VLOC",AIM13)))))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R13" s="75" t="e">
        <f t="array" aca="1" ref="ALR13" ca="1">INDEX(Canals!$P$24:$P$29,MATCH(2,1/((Canals!$F$24:$F$29&lt;=$C13)*(Canals!$G$24:$G$29=_xlfn.IFS(AHT13="Handysize",Main!AKC13,AHT13="Supramax",AJV13,AHT13="Panamax",AJO13,AHT13="NeoPanamax",AJH13,AHT13="Suezmax",AJA13,AHT13="Capesize",AIT13,AHT13="VLOC",AIM13)))))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S13" s="75" t="e">
        <f t="array" aca="1" ref="ALS13" ca="1">INDEX(Canals!$Q$24:$Q$29,MATCH(2,1/((Canals!$F$24:$F$29&lt;=$C13)*(Canals!$G$24:$G$29=_xlfn.IFS(AHT13="Handysize",Main!AKC13,AHT13="Supramax",AJV13,AHT13="Panamax",AJO13,AHT13="NeoPanamax",AJH13,AHT13="Suezmax",AJA13,AHT13="Capesize",AIT13,AHT13="VLOC",AIM13)))))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T13" s="75" t="e">
        <f t="array" aca="1" ref="ALT13" ca="1">INDEX(Canals!$R$24:$R$29,MATCH(2,1/((Canals!$F$24:$F$29&lt;=$C13)*(Canals!$G$24:$G$29=_xlfn.IFS(AHT13="Handysize",Main!AKC13,AHT13="Supramax",AJV13,AHT13="Panamax",AJO13,AHT13="NeoPanamax",AJH13,AHT13="Suezmax",AJA13,AHT13="Capesize",AIT13,AHT13="VLOC",AIM13)))))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U13" s="136" t="e">
        <f t="array" aca="1" ref="ALU13" ca="1">INDEX(Canals!$S$24:$S$29,MATCH(2,1/((Canals!$F$24:$F$29&lt;=$C13)*(Canals!$G$24:$G$29=_xlfn.IFS(AHT13="Handysize",Main!AKC13,AHT13="Supramax",AJV13,AHT13="Panamax",AJO13,AHT13="NeoPanamax",AJH13,AHT13="Suezmax",AJA13,AHT13="Capesize",AIT13,AHT13="VLOC",AIM13)))))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V13" s="136" t="e">
        <f t="array" aca="1" ref="ALV13" ca="1">INDEX(Canals!$T$24:$T$29,MATCH(2,1/((Canals!$F$24:$F$29&lt;=$C13)*(Canals!$G$24:$G$29=_xlfn.IFS(AHT13="Handysize",Main!AKC13,AHT13="Supramax",AJV13,AHT13="Panamax",AJO13,AHT13="NeoPanamax",AJH13,AHT13="Suezmax",AJA13,AHT13="Capesize",AIT13,AHT13="VLOC",AIM13)))))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W13" s="136" t="e">
        <f t="array" aca="1" ref="ALW13" ca="1">INDEX(Canals!$U$24:$U$29,MATCH(2,1/((Canals!$F$24:$F$29&lt;=$C13)*(Canals!$G$24:$G$29=_xlfn.IFS(AHT13="Handysize",Main!AKC13,AHT13="Supramax",AJV13,AHT13="Panamax",AJO13,AHT13="NeoPanamax",AJH13,AHT13="Suezmax",AJA13,AHT13="Capesize",AIT13,AHT13="VLOC",AIM13)))))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X13" s="136" t="e">
        <f t="array" aca="1" ref="ALX13" ca="1">INDEX(Canals!$V$24:$V$29,MATCH(2,1/((Canals!$F$24:$F$29&lt;=$C13)*(Canals!$G$24:$G$29=_xlfn.IFS(AHT13="Handysize",Main!AKC13,AHT13="Supramax",AJV13,AHT13="Panamax",AJO13,AHT13="NeoPanamax",AJH13,AHT13="Suezmax",AJA13,AHT13="Capesize",AIT13,AHT13="VLOC",AIM13)))))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Y13" s="136" t="e">
        <f t="array" aca="1" ref="ALY13" ca="1">INDEX(Canals!$W$24:$W$29,MATCH(2,1/((Canals!$F$24:$F$29&lt;=$C13)*(Canals!$G$24:$G$29=_xlfn.IFS(AHT13="Handysize",Main!AKC13,AHT13="Supramax",AJV13,AHT13="Panamax",AJO13,AHT13="NeoPanamax",AJH13,AHT13="Suezmax",AJA13,AHT13="Capesize",AIT13,AHT13="VLOC",AIM13)))))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LZ13" s="136" t="e">
        <f t="array" aca="1" ref="ALZ13" ca="1">INDEX(Canals!$X$24:$X$29,MATCH(2,1/((Canals!$F$24:$F$29&lt;=$C13)*(Canals!$G$24:$G$29=_xlfn.IFS(AHT13="Handysize",Main!AKC13,AHT13="Supramax",AJV13,AHT13="Panamax",AJO13,AHT13="NeoPanamax",AJH13,AHT13="Suezmax",AJA13,AHT13="Capesize",AIT13,AHT13="VLOC",AIM13)))))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A13" s="136" t="e">
        <f t="array" aca="1" ref="AMA13" ca="1">INDEX(Canals!$Y$24:$Y$29,MATCH(2,1/((Canals!$F$24:$F$29&lt;=$C13)*(Canals!$G$24:$G$29=_xlfn.IFS(AHT13="Handysize",Main!AKC13,AHT13="Supramax",AJV13,AHT13="Panamax",AJO13,AHT13="NeoPanamax",AJH13,AHT13="Suezmax",AJA13,AHT13="Capesize",AIT13,AHT13="VLOC",AIM13)))))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B13" s="136" t="e">
        <f t="array" aca="1" ref="AMB13" ca="1">INDEX(Canals!$Z$24:$Z$29,MATCH(2,1/((Canals!$F$24:$F$29&lt;=$C13)*(Canals!$G$24:$G$29=_xlfn.IFS(AHT13="Handysize",Main!AKC13,AHT13="Supramax",AJV13,AHT13="Panamax",AJO13,AHT13="NeoPanamax",AJH13,AHT13="Suezmax",AJA13,AHT13="Capesize",AIT13,AHT13="VLOC",AIM13)))))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C13" s="136" t="e">
        <f t="array" aca="1" ref="AMC13" ca="1">INDEX(Canals!$AA$24:$AA$29,MATCH(2,1/((Canals!$F$24:$F$29&lt;=$C13)*(Canals!$G$24:$G$29=_xlfn.IFS(AHT13="Handysize",Main!AKC13,AHT13="Supramax",AJV13,AHT13="Panamax",AJO13,AHT13="NeoPanamax",AJH13,AHT13="Suezmax",AJA13,AHT13="Capesize",AIT13,AHT13="VLOC",AIM13)))))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D13" s="136" t="e">
        <f t="array" aca="1" ref="AMD13" ca="1">INDEX(Canals!$AB$24:$AB$29,MATCH(2,1/((Canals!$F$24:$F$29&lt;=$C13)*(Canals!$G$24:$G$29=_xlfn.IFS(AHT13="Handysize",Main!AKC13,AHT13="Supramax",AJV13,AHT13="Panamax",AJO13,AHT13="NeoPanamax",AJH13,AHT13="Suezmax",AJA13,AHT13="Capesize",AIT13,AHT13="VLOC",AIM13)))))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E13" s="75" t="e">
        <f t="array" aca="1" ref="AME13" ca="1">INDEX(Canals!$AC$24:$AC$29,MATCH(2,1/((Canals!$F$24:$F$29&lt;=$C13)*(Canals!$G$24:$G$29=_xlfn.IFS(AHT13="Handysize",Main!AKC13,AHT13="Supramax",AJV13,AHT13="Panamax",AJO13,AHT13="NeoPanamax",AJH13,AHT13="Suezmax",AJA13,AHT13="Capesize",AIT13,AHT13="VLOC",AIM13)))))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F13" s="75" t="e">
        <f t="array" aca="1" ref="AMF13" ca="1">INDEX(Canals!$AD$24:$AD$29,MATCH(2,1/((Canals!$F$24:$F$29&lt;=$C13)*(Canals!$G$24:$G$29=_xlfn.IFS(AHT13="Handysize",Main!AKC13,AHT13="Supramax",AJV13,AHT13="Panamax",AJO13,AHT13="NeoPanamax",AJH13,AHT13="Suezmax",AJA13,AHT13="Capesize",AIT13,AHT13="VLOC",AIM13)))))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G13" s="75" t="e">
        <f t="array" aca="1" ref="AMG13" ca="1">INDEX(Canals!$AE$24:$AE$29,MATCH(2,1/((Canals!$F$24:$F$29&lt;=$C13)*(Canals!$G$24:$G$29=_xlfn.IFS(AHT13="Handysize",Main!AKC13,AHT13="Supramax",AJV13,AHT13="Panamax",AJO13,AHT13="NeoPanamax",AJH13,AHT13="Suezmax",AJA13,AHT13="Capesize",AIT13,AHT13="VLOC",AIM13)))))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H13" s="75" t="e">
        <f t="array" aca="1" ref="AMH13" ca="1">INDEX(Canals!$AF$24:$AF$29,MATCH(2,1/((Canals!$F$24:$F$29&lt;=$C13)*(Canals!$G$24:$G$29=_xlfn.IFS(AHT13="Handysize",Main!AKC13,AHT13="Supramax",AJV13,AHT13="Panamax",AJO13,AHT13="NeoPanamax",AJH13,AHT13="Suezmax",AJA13,AHT13="Capesize",AIT13,AHT13="VLOC",AIM13)))))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I13" s="75" t="e">
        <f t="array" aca="1" ref="AMI13" ca="1">INDEX(Canals!$AG$24:$AG$29,MATCH(2,1/((Canals!$F$24:$F$29&lt;=$C13)*(Canals!$G$24:$G$29=_xlfn.IFS(AHT13="Handysize",Main!AKC13,AHT13="Supramax",AJV13,AHT13="Panamax",AJO13,AHT13="NeoPanamax",AJH13,AHT13="Suezmax",AJA13,AHT13="Capesize",AIT13,AHT13="VLOC",AIM13)))))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J13" s="75" t="e">
        <f t="array" aca="1" ref="AMJ13" ca="1">INDEX(Canals!$AH$24:$AH$29,MATCH(2,1/((Canals!$F$24:$F$29&lt;=$C13)*(Canals!$G$24:$G$29=_xlfn.IFS(AHT13="Handysize",Main!AKC13,AHT13="Supramax",AJV13,AHT13="Panamax",AJO13,AHT13="NeoPanamax",AJH13,AHT13="Suezmax",AJA13,AHT13="Capesize",AIT13,AHT13="VLOC",AIM13)))))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K13" s="75" t="e">
        <f t="array" aca="1" ref="AMK13" ca="1">INDEX(Canals!$AI$24:$AI$29,MATCH(2,1/((Canals!$F$24:$F$29&lt;=$C13)*(Canals!$G$24:$G$29=_xlfn.IFS(AHT13="Handysize",Main!AKC13,AHT13="Supramax",AJV13,AHT13="Panamax",AJO13,AHT13="NeoPanamax",AJH13,AHT13="Suezmax",AJA13,AHT13="Capesize",AIT13,AHT13="VLOC",AIM13)))))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L13" s="75" t="e">
        <f t="array" aca="1" ref="AML13" ca="1">INDEX(Canals!$AJ$24:$AJ$29,MATCH(2,1/((Canals!$F$24:$F$29&lt;=$C13)*(Canals!$G$24:$G$29=_xlfn.IFS(AHT13="Handysize",Main!AKC13,AHT13="Supramax",AJV13,AHT13="Panamax",AJO13,AHT13="NeoPanamax",AJH13,AHT13="Suezmax",AJA13,AHT13="Capesize",AIT13,AHT13="VLOC",AIM13)))))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M13" s="75" t="e">
        <f t="array" aca="1" ref="AMM13" ca="1">INDEX(Canals!$AK$24:$AK$29,MATCH(2,1/((Canals!$F$24:$F$29&lt;=$C13)*(Canals!$G$24:$G$29=_xlfn.IFS(AHT13="Handysize",Main!AKC13,AHT13="Supramax",AJV13,AHT13="Panamax",AJO13,AHT13="NeoPanamax",AJH13,AHT13="Suezmax",AJA13,AHT13="Capesize",AIT13,AHT13="VLOC",AIM13)))))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N13" s="136" t="e">
        <f t="array" aca="1" ref="AMN13" ca="1">INDEX(Canals!$AL$24:$AL$29,MATCH(2,1/((Canals!$F$24:$F$29&lt;=$C13)*(Canals!$G$24:$G$29=_xlfn.IFS(AHT13="Handysize",Main!AKC13,AHT13="Supramax",AJV13,AHT13="Panamax",AJO13,AHT13="NeoPanamax",AJH13,AHT13="Suezmax",AJA13,AHT13="Capesize",AIT13,AHT13="VLOC",AIM13)))))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O13" s="136" t="e">
        <f t="array" aca="1" ref="AMO13" ca="1">INDEX(Canals!$AM$24:$AM$29,MATCH(2,1/((Canals!$F$24:$F$29&lt;=$C13)*(Canals!$G$24:$G$29=_xlfn.IFS(AHT13="Handysize",Main!AKC13,AHT13="Supramax",AJV13,AHT13="Panamax",AJO13,AHT13="NeoPanamax",AJH13,AHT13="Suezmax",AJA13,AHT13="Capesize",AIT13,AHT13="VLOC",AIM13)))))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P13" s="136" t="e">
        <f t="array" aca="1" ref="AMP13" ca="1">INDEX(Canals!$AN$24:$AN$29,MATCH(2,1/((Canals!$F$24:$F$29&lt;=$C13)*(Canals!$G$24:$G$29=_xlfn.IFS(AHT13="Handysize",Main!AKC13,AHT13="Supramax",AJV13,AHT13="Panamax",AJO13,AHT13="NeoPanamax",AJH13,AHT13="Suezmax",AJA13,AHT13="Capesize",AIT13,AHT13="VLOC",AIM13)))))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Q13" s="136" t="e">
        <f t="array" aca="1" ref="AMQ13" ca="1">INDEX(Canals!$AO$24:$AO$29,MATCH(2,1/((Canals!$F$24:$F$29&lt;=$C13)*(Canals!$G$24:$G$29=_xlfn.IFS(AHT13="Handysize",Main!AKC13,AHT13="Supramax",AJV13,AHT13="Panamax",AJO13,AHT13="NeoPanamax",AJH13,AHT13="Suezmax",AJA13,AHT13="Capesize",AIT13,AHT13="VLOC",AIM13)))))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R13" s="136" t="e">
        <f t="array" aca="1" ref="AMR13" ca="1">INDEX(Canals!$AP$24:$AP$29,MATCH(2,1/((Canals!$F$24:$F$29&lt;=$C13)*(Canals!$G$24:$G$29=_xlfn.IFS(AHT13="Handysize",Main!AKC13,AHT13="Supramax",AJV13,AHT13="Panamax",AJO13,AHT13="NeoPanamax",AJH13,AHT13="Suezmax",AJA13,AHT13="Capesize",AIT13,AHT13="VLOC",AIM13)))))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S13" s="136" t="e">
        <f t="array" aca="1" ref="AMS13" ca="1">INDEX(Canals!$AQ$24:$AQ$29,MATCH(2,1/((Canals!$F$24:$F$29&lt;=$C13)*(Canals!$G$24:$G$29=_xlfn.IFS(AHT13="Handysize",Main!AKC13,AHT13="Supramax",AJV13,AHT13="Panamax",AJO13,AHT13="NeoPanamax",AJH13,AHT13="Suezmax",AJA13,AHT13="Capesize",AIT13,AHT13="VLOC",AIM13)))))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T13" s="136" t="e">
        <f t="array" aca="1" ref="AMT13" ca="1">INDEX(Canals!$AR$24:$AR$29,MATCH(2,1/((Canals!$F$24:$F$29&lt;=$C13)*(Canals!$G$24:$G$29=_xlfn.IFS(AHT13="Handysize",Main!AKC13,AHT13="Supramax",AJV13,AHT13="Panamax",AJO13,AHT13="NeoPanamax",AJH13,AHT13="Suezmax",AJA13,AHT13="Capesize",AIT13,AHT13="VLOC",AIM13)))))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U13" s="136" t="e">
        <f t="array" aca="1" ref="AMU13" ca="1">INDEX(Canals!$AS$24:$AS$29,MATCH(2,1/((Canals!$F$24:$F$29&lt;=$C13)*(Canals!$G$24:$G$29=_xlfn.IFS(AHT13="Handysize",Main!AKC13,AHT13="Supramax",AJV13,AHT13="Panamax",AJO13,AHT13="NeoPanamax",AJH13,AHT13="Suezmax",AJA13,AHT13="Capesize",AIT13,AHT13="VLOC",AIM13)))))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V13" s="136" t="e">
        <f t="array" aca="1" ref="AMV13" ca="1">INDEX(Canals!$AT$24:$AT$29,MATCH(2,1/((Canals!$F$24:$F$29&lt;=$C13)*(Canals!$G$24:$G$29=_xlfn.IFS(AHT13="Handysize",Main!AKC13,AHT13="Supramax",AJV13,AHT13="Panamax",AJO13,AHT13="NeoPanamax",AJH13,AHT13="Suezmax",AJA13,AHT13="Capesize",AIT13,AHT13="VLOC",AIM13)))))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W13" s="136" t="e">
        <f t="array" aca="1" ref="AMW13" ca="1">INDEX(Canals!$AU$24:$AU$29,MATCH(2,1/((Canals!$F$24:$F$29&lt;=$C13)*(Canals!$G$24:$G$29=_xlfn.IFS(AHT13="Handysize",Main!AKC13,AHT13="Supramax",AJV13,AHT13="Panamax",AJO13,AHT13="NeoPanamax",AJH13,AHT13="Suezmax",AJA13,AHT13="Capesize",AIT13,AHT13="VLOC",AIM13)))))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X13" s="136" t="e">
        <f t="array" aca="1" ref="AMX13" ca="1">INDEX(Canals!$AV$24:$AV$29,MATCH(2,1/((Canals!$F$24:$F$29&lt;=$C13)*(Canals!$G$24:$G$29=_xlfn.IFS(AHT13="Handysize",Main!AKC13,AHT13="Supramax",AJV13,AHT13="Panamax",AJO13,AHT13="NeoPanamax",AJH13,AHT13="Suezmax",AJA13,AHT13="Capesize",AIT13,AHT13="VLOC",AIM13)))))</f>
        <v>#N/A</v>
      </c>
      <c r="AMZ13" s="75" t="e">
        <f t="array" aca="1" ref="AMZ13" ca="1">_xlfn.IFS(ALK13="DWT",AHR13,ALK13="NRT",AHV13,ALK13="GRT",AHW13,ALK13=0,0)</f>
        <v>#NAME?</v>
      </c>
      <c r="ANA13" s="279" t="e">
        <f t="shared" ca="1" si="227"/>
        <v>#NAME?</v>
      </c>
      <c r="ANB13" s="280" t="e">
        <f t="shared" ca="1" si="228"/>
        <v>#NAME?</v>
      </c>
      <c r="ANC13" s="280" t="e">
        <f t="shared" ca="1" si="229"/>
        <v>#NAME?</v>
      </c>
      <c r="AND13" s="280" t="e">
        <f t="shared" ca="1" si="230"/>
        <v>#NAME?</v>
      </c>
      <c r="ANE13" s="280" t="e">
        <f t="shared" ca="1" si="231"/>
        <v>#NAME?</v>
      </c>
      <c r="ANF13" s="280" t="e">
        <f t="shared" ca="1" si="232"/>
        <v>#NAME?</v>
      </c>
      <c r="ANG13" s="280" t="e">
        <f t="shared" ca="1" si="233"/>
        <v>#NAME?</v>
      </c>
      <c r="ANH13" s="280" t="e">
        <f t="shared" ca="1" si="234"/>
        <v>#NAME?</v>
      </c>
      <c r="ANI13" s="280" t="e">
        <f t="shared" ca="1" si="235"/>
        <v>#NAME?</v>
      </c>
      <c r="ANJ13" s="75">
        <f t="shared" si="236"/>
        <v>0</v>
      </c>
      <c r="ANK13" s="279" t="e">
        <f t="shared" ca="1" si="237"/>
        <v>#N/A</v>
      </c>
      <c r="ANL13" s="280" t="e">
        <f t="shared" ca="1" si="238"/>
        <v>#N/A</v>
      </c>
      <c r="ANM13" s="280" t="e">
        <f t="shared" ca="1" si="239"/>
        <v>#N/A</v>
      </c>
      <c r="ANN13" s="280" t="e">
        <f t="shared" ca="1" si="240"/>
        <v>#N/A</v>
      </c>
      <c r="ANO13" s="280" t="e">
        <f t="shared" ca="1" si="241"/>
        <v>#N/A</v>
      </c>
      <c r="ANP13" s="280" t="e">
        <f t="shared" ca="1" si="242"/>
        <v>#N/A</v>
      </c>
      <c r="ANQ13" s="280" t="e">
        <f t="shared" ca="1" si="243"/>
        <v>#N/A</v>
      </c>
      <c r="ANR13" s="280" t="e">
        <f t="shared" ca="1" si="244"/>
        <v>#N/A</v>
      </c>
      <c r="ANS13" s="280" t="e">
        <f t="shared" ca="1" si="245"/>
        <v>#N/A</v>
      </c>
      <c r="ANU13" s="75" t="e">
        <f t="array" aca="1" ref="ANU13" ca="1">_xlfn.IFS(AHT13="Handysize",Main!AJW13,AHT13="Supramax",AJP13,AHT13="Panamax",AJI13,AHT13="NeoPanamax",AJB13,AHT13="Suezmax",AIU13,AHT13="Capesize",AIN13,AHT13="VLOC",AIG13)*$JI13</f>
        <v>#NAME?</v>
      </c>
      <c r="ANV13" s="274" t="e">
        <f t="array" aca="1" ref="ANV13" ca="1">_xlfn.IFS(AHT13="Handysize",Main!AJX13,AHT13="Supramax",AJQ13,AHT13="Panamax",AJJ13,AHT13="NeoPanamax",AJC13,AHT13="Suezmax",AIV13,AHT13="Capesize",AIO13,AHT13="VLOC",AIH13)*$JI13</f>
        <v>#NAME?</v>
      </c>
      <c r="ANW13" s="71" t="e">
        <f t="array" aca="1" ref="ANW13" ca="1">_xlfn.IFS(AHT13="Handysize",Main!AHY13,AHT13="Supramax",AHZ13,AHT13="Panamax",AIA13,AHT13="NeoPanamax",AIB13,AHT13="Suezmax",AIC13,AHT13="Capesize",AID13,AHT13="VLOC",AIE13)</f>
        <v>#NAME?</v>
      </c>
      <c r="ANX13" s="71" t="e">
        <f t="array" aca="1" ref="ANX13" ca="1">_xlfn.IFS(AHT13="Handysize",Main!AKK13,AHT13="Supramax",AKL13,AHT13="Panamax",AKM13,AHT13="NeoPanamax",AKN13,AHT13="Suezmax",AKO13,AHT13="Capesize",AKP13,AHT13="VLOC",AKQ13)</f>
        <v>#NAME?</v>
      </c>
      <c r="ANY13" s="70">
        <f t="array" ref="ANY13">INDEX('Ship Speeds'!$G$11:$G$1011,MATCH(2,1/(('Ship Speeds'!$E$11:$E$1011&lt;=Main!$C13)*('Ship Speeds'!$F$11:$F$1011=Main!AHS13))))</f>
        <v>11</v>
      </c>
      <c r="ANZ13" s="403">
        <f t="shared" si="246"/>
        <v>0</v>
      </c>
      <c r="AOA13" s="401">
        <f t="shared" si="247"/>
        <v>1.2</v>
      </c>
      <c r="AOB13" s="70" t="e">
        <f t="shared" ca="1" si="248"/>
        <v>#NAME?</v>
      </c>
      <c r="AOC13" s="70" t="e">
        <f t="shared" ca="1" si="249"/>
        <v>#NAME?</v>
      </c>
      <c r="AOD13" s="70" t="e">
        <f t="shared" ca="1" si="250"/>
        <v>#NAME?</v>
      </c>
      <c r="AOE13" s="70" t="e">
        <f t="shared" ca="1" si="251"/>
        <v>#NAME?</v>
      </c>
      <c r="AOF13" s="72" t="e">
        <f t="shared" ca="1" si="252"/>
        <v>#N/A</v>
      </c>
      <c r="AOG13" s="70" t="e">
        <f t="shared" ca="1" si="253"/>
        <v>#NAME?</v>
      </c>
      <c r="AOH13" s="70" t="e">
        <f t="array" aca="1" ref="AOH13" ca="1">IF(ANU13=0,0,INDEX(AKE13:AKI13,MATCH(_xlfn.IFS(AHT13="Handysize",Main!AKA13,AHT13="Supramax",AJT13,AHT13="Panamax",AJM13,AHT13="NeoPanamax",AJF13,AHT13="Suezmax",AIY13,AHT13="Capesize",AIR13,AHT13="VLOC",AIK13),$AKE$7:$AKI$7,0)))</f>
        <v>#NAME?</v>
      </c>
      <c r="AOI13" s="70" t="e">
        <f t="array" aca="1" ref="AOI13" ca="1">IF(ANU13=0,0,INDEX(AKE13:AKI13,MATCH(_xlfn.IFS(AHT13="Handysize",Main!AKB13,AHT13="Supramax",AJU13,AHT13="Panamax",AJN13,AHT13="NeoPanamax",AJG13,AHT13="Suezmax",AIZ13,AHT13="Capesize",AIS13,AHT13="VLOC",AIL13),$AKE$7:$AKI$7,0)))</f>
        <v>#NAME?</v>
      </c>
      <c r="AOJ13" s="71" t="e">
        <f t="shared" ca="1" si="254"/>
        <v>#NAME?</v>
      </c>
      <c r="AOK13" s="71" t="e">
        <f t="shared" ca="1" si="255"/>
        <v>#NAME?</v>
      </c>
      <c r="AOL13" s="281" t="e">
        <f t="shared" ca="1" si="256"/>
        <v>#NAME?</v>
      </c>
      <c r="AOM13" s="71" t="e">
        <f t="shared" ca="1" si="257"/>
        <v>#NAME?</v>
      </c>
      <c r="AON13" s="71" t="e">
        <f t="shared" ca="1" si="258"/>
        <v>#NAME?</v>
      </c>
      <c r="AOO13" s="71" t="e">
        <f t="shared" ca="1" si="259"/>
        <v>#NAME?</v>
      </c>
      <c r="AOP13" s="71" t="e">
        <f t="shared" ca="1" si="260"/>
        <v>#NAME?</v>
      </c>
      <c r="AOQ13" s="71" t="e">
        <f t="shared" ca="1" si="261"/>
        <v>#NAME?</v>
      </c>
      <c r="AOR13" s="71" t="e">
        <f t="shared" ca="1" si="262"/>
        <v>#NAME?</v>
      </c>
      <c r="AOS13" s="71" t="e">
        <f t="shared" ca="1" si="263"/>
        <v>#NAME?</v>
      </c>
      <c r="AOT13" s="71" t="e">
        <f t="shared" ca="1" si="264"/>
        <v>#NAME?</v>
      </c>
      <c r="AOU13" s="71" t="e">
        <f t="shared" ca="1" si="265"/>
        <v>#NAME?</v>
      </c>
      <c r="AOV13" s="71" t="e">
        <f t="shared" ca="1" si="266"/>
        <v>#NAME?</v>
      </c>
      <c r="AOW13" s="71" t="e">
        <f t="shared" ca="1" si="267"/>
        <v>#NAME?</v>
      </c>
      <c r="AOX13" s="71" t="e">
        <f t="shared" ca="1" si="268"/>
        <v>#NAME?</v>
      </c>
      <c r="AOY13" s="72" t="e">
        <f t="shared" ca="1" si="269"/>
        <v>#NAME?</v>
      </c>
      <c r="AOZ13" s="72" t="e">
        <f t="shared" ca="1" si="270"/>
        <v>#NAME?</v>
      </c>
      <c r="APA13" s="71" t="e">
        <f t="shared" ca="1" si="271"/>
        <v>#NAME?</v>
      </c>
      <c r="APB13" s="71" t="e">
        <f t="array" aca="1" ref="APB13" ca="1">IF(ANU13=0,0,INDEX('Ship Time Charter Rates'!$H$22:$H$1021,MATCH(2,1/(('Ship Time Charter Rates'!$G$22:$G$1021=_xlfn.IFS(AHT13="Handysize",Main!AJY13,AHT13="Supramax",AJR13,AHT13="Panamax",AJK13,AHT13="NeoPanamax",AJD13,AHT13="Suezmax",AIW13,AHT13="Capesize",AIP13,AHT13="VLOC",AII13))*('Ship Time Charter Rates'!$E$22:$E$1021&lt;=Main!$C13)*(NOT(ISBLANK('Ship Time Charter Rates'!$H$22:$H$1021)))))))</f>
        <v>#NAME?</v>
      </c>
      <c r="APC13" s="71" t="e">
        <f t="shared" ca="1" si="272"/>
        <v>#NAME?</v>
      </c>
      <c r="APD13" s="70" t="e">
        <f t="shared" ca="1" si="273"/>
        <v>#NAME?</v>
      </c>
      <c r="APE13" s="71" t="e">
        <f t="shared" ca="1" si="274"/>
        <v>#NAME?</v>
      </c>
      <c r="APF13" s="71" t="e">
        <f t="shared" ca="1" si="308"/>
        <v>#NAME?</v>
      </c>
      <c r="APG13" s="72" t="e">
        <f t="shared" ca="1" si="309"/>
        <v>#NAME?</v>
      </c>
      <c r="API13" s="287" t="s">
        <v>39</v>
      </c>
      <c r="APK13" s="289" t="e">
        <f t="shared" ca="1" si="275"/>
        <v>#NAME?</v>
      </c>
      <c r="APL13" s="289" t="e">
        <f t="shared" ca="1" si="276"/>
        <v>#NAME?</v>
      </c>
      <c r="APM13" s="289" t="e">
        <f t="shared" ca="1" si="277"/>
        <v>#NAME?</v>
      </c>
      <c r="APO13" s="287" t="s">
        <v>39</v>
      </c>
    </row>
    <row r="14" spans="1:1134">
      <c r="C14" s="5">
        <v>43923</v>
      </c>
      <c r="D14" s="7" t="s">
        <v>20</v>
      </c>
      <c r="E14" s="86" t="s">
        <v>36</v>
      </c>
      <c r="F14" s="6">
        <v>50</v>
      </c>
      <c r="G14" s="1" t="s">
        <v>185</v>
      </c>
      <c r="H14" s="1" t="s">
        <v>5</v>
      </c>
      <c r="I14" s="15"/>
      <c r="J14" s="15"/>
      <c r="K14" s="15"/>
      <c r="L14" s="15"/>
      <c r="M14" s="15"/>
      <c r="N14" s="15"/>
      <c r="O14" s="15"/>
      <c r="P14" s="8"/>
      <c r="Q14" s="98"/>
      <c r="R14" s="7" t="s">
        <v>95</v>
      </c>
      <c r="T14" s="287" t="s">
        <v>39</v>
      </c>
      <c r="V14" s="4"/>
      <c r="W14" s="16" t="str">
        <f t="shared" si="0"/>
        <v>not used yet</v>
      </c>
      <c r="X14" s="16" t="str">
        <f t="shared" si="0"/>
        <v>not used yet</v>
      </c>
      <c r="Y14" s="16" t="str">
        <f t="shared" si="0"/>
        <v>not used yet</v>
      </c>
      <c r="Z14" s="16" t="str">
        <f t="shared" si="0"/>
        <v>not used yet</v>
      </c>
      <c r="AA14" s="16" t="str">
        <f t="shared" si="0"/>
        <v>not used yet</v>
      </c>
      <c r="AB14" s="16" t="str">
        <f t="shared" si="0"/>
        <v>not used yet</v>
      </c>
      <c r="AC14" s="16" t="str">
        <f t="shared" si="0"/>
        <v>not used yet</v>
      </c>
      <c r="AE14" s="88" t="str">
        <f t="shared" si="1"/>
        <v>Alufer Bel Air</v>
      </c>
      <c r="AF14" s="16">
        <f t="shared" ref="AF14:AF23" si="310">IF(NOT(ISBLANK(I14)),I14,IF14)</f>
        <v>0.46</v>
      </c>
      <c r="AG14" s="16">
        <f t="shared" ref="AG14:AG23" si="311">IF(NOT(ISBLANK(J14)),J14,IG14)</f>
        <v>0.40500000000000003</v>
      </c>
      <c r="AH14" s="61">
        <f t="shared" ref="AH14:AH23" si="312">IF(NOT(ISBLANK(K14)),K14,IH14)</f>
        <v>4.8000000000000001E-2</v>
      </c>
      <c r="AI14" s="61">
        <f t="shared" ref="AI14:AI23" si="313">IF(NOT(ISBLANK(L14)),L14,II14)</f>
        <v>1.7000000000000001E-2</v>
      </c>
      <c r="AJ14" s="61">
        <f t="shared" ref="AJ14:AJ23" si="314">IF(NOT(ISBLANK(M14)),M14,IJ14)</f>
        <v>3.1E-2</v>
      </c>
      <c r="AK14" s="16">
        <f t="shared" ref="AK14:AK23" si="315">IF(NOT(ISBLANK(N14)),N14,IK14)</f>
        <v>3.7999999999999992E-2</v>
      </c>
      <c r="AL14" s="16">
        <f t="shared" ref="AL14:AL23" si="316">IF(NOT(ISBLANK(O14)),O14,IL14)</f>
        <v>0.10100000000000001</v>
      </c>
      <c r="AM14" s="24" t="str">
        <f t="shared" si="3"/>
        <v>LT</v>
      </c>
      <c r="AN14" s="427">
        <f t="shared" si="278"/>
        <v>157774.5</v>
      </c>
      <c r="AO14" s="127" t="str">
        <f t="array" ref="AO14">IFERROR(IF(AND(AN14&gt;'Indices Mines Exporting Ports'!$D$11,MATCH(2,1/(('Indices Mines Exporting Ports'!$B$3:$B$10&lt;=C14)*('Indices Mines Exporting Ports'!$C$3:$C$10=E14)))),"Yes","No"),"No")</f>
        <v>No</v>
      </c>
      <c r="AP14" s="126" t="str">
        <f t="array" ref="AP14">IF(AO14="Yes",INDEX('Indices Mines Exporting Ports'!$D$3:$D$10,MATCH(2,1/(('Indices Mines Exporting Ports'!$B$3:$B$10&lt;=Main!C14)*('Indices Mines Exporting Ports'!$C$3:$C$10=Main!AE14)))),IF(NOT(ISBLANK(Q14)),Q14,IP14))</f>
        <v>Alufer_Cape_Verga_Offshore</v>
      </c>
      <c r="AQ14" s="262">
        <f t="array" ref="AQ14">IF(AO14="no",0,INDEX('Indices Mines Exporting Ports'!$E$3:$E$10,MATCH(2,1/(('Indices Mines Exporting Ports'!$B$3:$B$10&lt;=Main!$C14)*('Indices Mines Exporting Ports'!$D$3:$D$10=Main!$AP14)))))</f>
        <v>0</v>
      </c>
      <c r="AR14" s="267">
        <f t="array" ref="AR14">IF(AO14="No",0,AN14/ROUND(AN14/INDEX('Indices Mines Exporting Ports'!$F$3:$F$10,MATCH(2,1/(('Indices Mines Exporting Ports'!$B$3:$B$10&lt;=Main!C14)*('Indices Mines Exporting Ports'!$C$3:$C$10=Main!AE14)))),0))</f>
        <v>0</v>
      </c>
      <c r="AS14" s="127" t="str">
        <f t="shared" si="4"/>
        <v>Qingdao</v>
      </c>
      <c r="AT14" s="100" t="str">
        <f t="shared" ref="AT14:AT23" si="317">IQ14</f>
        <v>Guinea 45/3 LT</v>
      </c>
      <c r="AU14" s="100" t="str">
        <f t="shared" ref="AU14:AU23" si="318">IR14</f>
        <v>CBIX LT</v>
      </c>
      <c r="AV14" s="242" t="s">
        <v>4</v>
      </c>
      <c r="AW14" s="242" t="s">
        <v>5</v>
      </c>
      <c r="AX14" s="292" t="e">
        <f t="shared" ca="1" si="6"/>
        <v>#NAME?</v>
      </c>
      <c r="AY14" s="291" t="e">
        <f t="shared" ca="1" si="7"/>
        <v>#NAME?</v>
      </c>
      <c r="AZ14" s="292" t="e">
        <f t="shared" ca="1" si="8"/>
        <v>#NAME?</v>
      </c>
      <c r="BA14" s="102">
        <f t="shared" si="9"/>
        <v>0.33</v>
      </c>
      <c r="BB14" s="12"/>
      <c r="BC14" s="306" t="s">
        <v>403</v>
      </c>
      <c r="BD14" s="407" t="e">
        <f t="shared" ca="1" si="279"/>
        <v>#NAME?</v>
      </c>
      <c r="BE14" s="407">
        <f t="shared" si="279"/>
        <v>0</v>
      </c>
      <c r="BF14" s="407">
        <f t="shared" si="279"/>
        <v>0</v>
      </c>
      <c r="BG14" s="407" t="e">
        <f t="shared" ca="1" si="280"/>
        <v>#NAME?</v>
      </c>
      <c r="BH14" s="407">
        <f t="shared" si="281"/>
        <v>0</v>
      </c>
      <c r="BI14" s="263" t="e">
        <f t="shared" ca="1" si="282"/>
        <v>#NAME?</v>
      </c>
      <c r="BK14" s="287" t="s">
        <v>39</v>
      </c>
      <c r="BM14" s="291" t="e">
        <f t="shared" ca="1" si="283"/>
        <v>#NAME?</v>
      </c>
      <c r="BN14" s="298">
        <f t="shared" si="284"/>
        <v>0.46</v>
      </c>
      <c r="BO14" s="298">
        <f t="shared" si="285"/>
        <v>0.40500000000000003</v>
      </c>
      <c r="BP14" s="298">
        <f t="shared" si="286"/>
        <v>4.8000000000000001E-2</v>
      </c>
      <c r="BQ14" s="298">
        <f t="shared" si="287"/>
        <v>1.7000000000000001E-2</v>
      </c>
      <c r="BR14" s="298">
        <f t="shared" si="288"/>
        <v>3.1E-2</v>
      </c>
      <c r="BS14" s="298">
        <f t="shared" si="289"/>
        <v>3.7999999999999992E-2</v>
      </c>
      <c r="BT14" s="298">
        <f t="shared" si="290"/>
        <v>0.10100000000000001</v>
      </c>
      <c r="BU14" s="307" t="str">
        <f t="shared" si="291"/>
        <v>LT</v>
      </c>
      <c r="BV14" s="291">
        <f t="shared" si="292"/>
        <v>0.33</v>
      </c>
      <c r="BX14" s="300">
        <f t="array" ref="BX14">INDEX('Processing Factors'!$D$8:$D$29,MATCH(2,1/(('Processing Factors'!$B$8:$B$29&lt;=Main!$C14)*('Processing Factors'!$C$8:$C$29=Main!BU14))))</f>
        <v>0</v>
      </c>
      <c r="BY14" s="299">
        <f t="array" ref="BY14">INDEX('Processing Factors'!$E$8:$E$29,MATCH(2,1/(('Processing Factors'!$B$8:$B$29&lt;=Main!$C14)*('Processing Factors'!$C$8:$C$29=Main!BU14))))</f>
        <v>1</v>
      </c>
      <c r="BZ14" s="299">
        <f t="array" ref="BZ14">INDEX('Processing Factors'!$F$8:$F$29,MATCH(2,1/(('Processing Factors'!$B$8:$B$29&lt;=Main!$C14)*('Processing Factors'!$C$8:$C$29=Main!BU14))))</f>
        <v>0.9</v>
      </c>
      <c r="CA14" s="299">
        <f t="array" ref="CA14">INDEX('Processing Factors'!$G$8:$G$29,MATCH(2,1/(('Processing Factors'!$B$8:$B$29&lt;=Main!$C14)*('Processing Factors'!$C$8:$C$29=Main!BU14))))</f>
        <v>3.5999999999999997E-2</v>
      </c>
      <c r="CB14" s="299">
        <f t="array" ref="CB14">INDEX('Processing Factors'!$H$8:$H$29,MATCH(2,1/(('Processing Factors'!$B$8:$B$29&lt;=Main!$C14)*('Processing Factors'!$C$8:$C$29=Main!BU14))))</f>
        <v>12.15</v>
      </c>
      <c r="CC14" s="300">
        <f t="array" ref="CC14">INDEX('Processing Factors'!$I$8:$I$29,MATCH(2,1/(('Processing Factors'!$B$8:$B$29&lt;=Main!$C14)*('Processing Factors'!$C$8:$C$29=Main!BU14))))</f>
        <v>0</v>
      </c>
      <c r="CD14" s="300">
        <f t="array" ref="CD14">INDEX('Processing Factors'!$J$8:$J$29,MATCH(2,1/(('Processing Factors'!$B$8:$B$29&lt;=Main!$C14)*('Processing Factors'!$C$8:$C$29=Main!BU14))))</f>
        <v>0.9</v>
      </c>
      <c r="CE14" s="299">
        <f t="array" ref="CE14">INDEX('Processing Factors'!$K$8:$K$29,MATCH(2,1/(('Processing Factors'!$B$8:$B$29&lt;=Main!$C14)*('Processing Factors'!$C$8:$C$29=Main!BU14))))</f>
        <v>3.5000000000000003E-2</v>
      </c>
      <c r="CG14" s="302">
        <f t="shared" si="10"/>
        <v>0.42200000000000004</v>
      </c>
      <c r="CH14" s="302">
        <f t="shared" si="11"/>
        <v>1.7000000000000001E-2</v>
      </c>
      <c r="CI14" s="302">
        <f t="shared" si="12"/>
        <v>0.40500000000000003</v>
      </c>
      <c r="CJ14" s="299">
        <f t="shared" si="13"/>
        <v>2.7434842249657061</v>
      </c>
      <c r="CK14" s="281" t="e">
        <f t="shared" ca="1" si="14"/>
        <v>#NAME?</v>
      </c>
      <c r="CL14" s="299">
        <f t="shared" si="15"/>
        <v>7.6975308641975312E-2</v>
      </c>
      <c r="CM14" s="281">
        <f t="shared" si="16"/>
        <v>18.493219995952241</v>
      </c>
      <c r="CN14" s="281">
        <f t="shared" si="17"/>
        <v>50.37416442905598</v>
      </c>
      <c r="CO14" s="281">
        <f t="shared" si="18"/>
        <v>1.2210288298473715</v>
      </c>
      <c r="CP14" s="299">
        <f t="shared" si="19"/>
        <v>1.8564595336076815</v>
      </c>
      <c r="CQ14" s="281">
        <f t="shared" si="20"/>
        <v>7.8708007360416126</v>
      </c>
      <c r="CR14" s="281" t="e">
        <f t="shared" ca="1" si="21"/>
        <v>#NAME?</v>
      </c>
      <c r="CT14" s="287" t="s">
        <v>39</v>
      </c>
      <c r="CV14" s="305" t="e">
        <f t="shared" ca="1" si="22"/>
        <v>#NAME?</v>
      </c>
      <c r="CW14" s="61">
        <f t="array" ref="CW14">INDEX('Indices Mines Exporting Ports'!E$20:E$51, MATCH(2,1/(('Indices Mines Exporting Ports'!$C$20:$C$51=$AT14)*('Indices Mines Exporting Ports'!$D$20:$D$51&lt;=$C14))))</f>
        <v>0.45</v>
      </c>
      <c r="CX14" s="61">
        <f t="array" ref="CX14">INDEX('Indices Mines Exporting Ports'!F$20:F$51, MATCH(2,1/(('Indices Mines Exporting Ports'!$C$20:$C$51=$AT14)*('Indices Mines Exporting Ports'!$D$20:$D$51&lt;=$C14))))</f>
        <v>0.40250000000000002</v>
      </c>
      <c r="CY14" s="61">
        <f t="array" ref="CY14">INDEX('Indices Mines Exporting Ports'!G$20:G$51, MATCH(2,1/(('Indices Mines Exporting Ports'!$C$20:$C$51=$AT14)*('Indices Mines Exporting Ports'!$D$20:$D$51&lt;=$C14))))</f>
        <v>0.03</v>
      </c>
      <c r="CZ14" s="61">
        <f t="array" ref="CZ14">INDEX('Indices Mines Exporting Ports'!H$20:H$51, MATCH(2,1/(('Indices Mines Exporting Ports'!$C$20:$C$51=$AT14)*('Indices Mines Exporting Ports'!$D$20:$D$51&lt;=$C14))))</f>
        <v>1.2500000000000001E-2</v>
      </c>
      <c r="DA14" s="61">
        <f t="array" ref="DA14">INDEX('Indices Mines Exporting Ports'!I$20:I$51, MATCH(2,1/(('Indices Mines Exporting Ports'!$C$20:$C$51=$AT14)*('Indices Mines Exporting Ports'!$D$20:$D$51&lt;=$C14))))</f>
        <v>1.7499999999999998E-2</v>
      </c>
      <c r="DB14" s="61">
        <f t="array" ref="DB14">INDEX('Indices Mines Exporting Ports'!J$20:J$51, MATCH(2,1/(('Indices Mines Exporting Ports'!$C$20:$C$51=$AT14)*('Indices Mines Exporting Ports'!$D$20:$D$51&lt;=$C14))))</f>
        <v>3.5000000000000003E-2</v>
      </c>
      <c r="DC14" s="61">
        <f t="array" ref="DC14">INDEX('Indices Mines Exporting Ports'!K$20:K$51, MATCH(2,1/(('Indices Mines Exporting Ports'!$C$20:$C$51=$AT14)*('Indices Mines Exporting Ports'!$D$20:$D$51&lt;=$C14))))</f>
        <v>0.1</v>
      </c>
      <c r="DD14" s="103" t="str">
        <f t="array" ref="DD14">INDEX('Indices Mines Exporting Ports'!L$20:L$51, MATCH(2,1/(('Indices Mines Exporting Ports'!$C$20:$C$51=$AT14)*('Indices Mines Exporting Ports'!$D$20:$D$51&lt;=$C14))))</f>
        <v>LT</v>
      </c>
      <c r="DE14" s="243">
        <f t="array" ref="DE14">INDEX('Indices Mines Exporting Ports'!M$20:M$51, MATCH(2,1/(('Indices Mines Exporting Ports'!$C$20:$C$51=$AT14)*('Indices Mines Exporting Ports'!$D$20:$D$51&lt;=$C14))))</f>
        <v>0.33</v>
      </c>
      <c r="DG14" s="300">
        <f t="array" ref="DG14">INDEX('Processing Factors'!$D$8:$D$29,MATCH(2,1/(('Processing Factors'!$B$8:$B$29&lt;=Main!$C14)*('Processing Factors'!$C$8:$C$29=Main!DD14))))</f>
        <v>0</v>
      </c>
      <c r="DH14" s="299">
        <f t="array" ref="DH14">INDEX('Processing Factors'!$E$8:$E$29,MATCH(2,1/(('Processing Factors'!$B$8:$B$29&lt;=Main!$C14)*('Processing Factors'!$C$8:$C$29=Main!DD14))))</f>
        <v>1</v>
      </c>
      <c r="DI14" s="299">
        <f t="array" ref="DI14">INDEX('Processing Factors'!$F$8:$F$29,MATCH(2,1/(('Processing Factors'!$B$8:$B$29&lt;=Main!$C14)*('Processing Factors'!$C$8:$C$29=Main!DD14))))</f>
        <v>0.9</v>
      </c>
      <c r="DJ14" s="299">
        <f t="array" ref="DJ14">INDEX('Processing Factors'!$G$8:$G$29,MATCH(2,1/(('Processing Factors'!$B$8:$B$29&lt;=Main!$C14)*('Processing Factors'!$C$8:$C$29=Main!DD14))))</f>
        <v>3.5999999999999997E-2</v>
      </c>
      <c r="DK14" s="299">
        <f t="array" ref="DK14">INDEX('Processing Factors'!$H$8:$H$29,MATCH(2,1/(('Processing Factors'!$B$8:$B$29&lt;=Main!$C14)*('Processing Factors'!$C$8:$C$29=Main!DD14))))</f>
        <v>12.15</v>
      </c>
      <c r="DL14" s="300">
        <f t="array" ref="DL14">INDEX('Processing Factors'!$I$8:$I$29,MATCH(2,1/(('Processing Factors'!$B$8:$B$29&lt;=Main!$C14)*('Processing Factors'!$C$8:$C$29=Main!DD14))))</f>
        <v>0</v>
      </c>
      <c r="DM14" s="300">
        <f t="array" ref="DM14">INDEX('Processing Factors'!$J$8:$J$29,MATCH(2,1/(('Processing Factors'!$B$8:$B$29&lt;=Main!$C14)*('Processing Factors'!$C$8:$C$29=Main!DD14))))</f>
        <v>0.9</v>
      </c>
      <c r="DN14" s="299">
        <f t="array" ref="DN14">INDEX('Processing Factors'!$K$8:$K$29,MATCH(2,1/(('Processing Factors'!$B$8:$B$29&lt;=Main!$C14)*('Processing Factors'!$C$8:$C$29=Main!DD14))))</f>
        <v>3.5000000000000003E-2</v>
      </c>
      <c r="DP14" s="302">
        <f t="shared" si="23"/>
        <v>0.41500000000000004</v>
      </c>
      <c r="DQ14" s="302">
        <f t="shared" si="24"/>
        <v>1.2500000000000001E-2</v>
      </c>
      <c r="DR14" s="302">
        <f t="shared" si="25"/>
        <v>0.40250000000000002</v>
      </c>
      <c r="DS14" s="299">
        <f t="shared" si="26"/>
        <v>2.7605244996549341</v>
      </c>
      <c r="DT14" s="304">
        <v>0</v>
      </c>
      <c r="DU14" s="299">
        <f t="shared" si="27"/>
        <v>6.6055900621118019E-2</v>
      </c>
      <c r="DV14" s="281">
        <f t="shared" si="28"/>
        <v>15.869846107391274</v>
      </c>
      <c r="DW14" s="281">
        <f t="shared" si="29"/>
        <v>50.37416442905598</v>
      </c>
      <c r="DX14" s="281">
        <f t="shared" si="30"/>
        <v>1.2210288298473715</v>
      </c>
      <c r="DY14" s="299">
        <f t="shared" si="31"/>
        <v>1.8625804002760522</v>
      </c>
      <c r="DZ14" s="281">
        <f t="shared" si="32"/>
        <v>7.8967512730754059</v>
      </c>
      <c r="EA14" s="281">
        <f t="shared" si="33"/>
        <v>75.361790639370028</v>
      </c>
      <c r="EC14" s="287" t="s">
        <v>39</v>
      </c>
      <c r="EE14" s="305" t="e">
        <f t="shared" ca="1" si="34"/>
        <v>#NAME?</v>
      </c>
      <c r="EF14" s="16">
        <f t="array" ref="EF14">INDEX('Indices Mines Exporting Ports'!E$20:E$51, MATCH(2,1/(('Indices Mines Exporting Ports'!$C$20:$C$51=$AU14)*('Indices Mines Exporting Ports'!$D$20:$D$51&lt;=$C14))))</f>
        <v>0.5</v>
      </c>
      <c r="EG14" s="16">
        <f t="array" ref="EG14">INDEX('Indices Mines Exporting Ports'!F$20:F$51, MATCH(2,1/(('Indices Mines Exporting Ports'!$C$20:$C$51=$AU14)*('Indices Mines Exporting Ports'!$D$20:$D$51&lt;=$C14))))</f>
        <v>0.45</v>
      </c>
      <c r="EH14" s="16">
        <f t="array" ref="EH14">INDEX('Indices Mines Exporting Ports'!G$20:G$51, MATCH(2,1/(('Indices Mines Exporting Ports'!$C$20:$C$51=$AU14)*('Indices Mines Exporting Ports'!$D$20:$D$51&lt;=$C14))))</f>
        <v>0.05</v>
      </c>
      <c r="EI14" s="16">
        <f t="array" ref="EI14">INDEX('Indices Mines Exporting Ports'!H$20:H$51, MATCH(2,1/(('Indices Mines Exporting Ports'!$C$20:$C$51=$AU14)*('Indices Mines Exporting Ports'!$D$20:$D$51&lt;=$C14))))</f>
        <v>0.05</v>
      </c>
      <c r="EJ14" s="16">
        <f t="array" ref="EJ14">INDEX('Indices Mines Exporting Ports'!I$20:I$51, MATCH(2,1/(('Indices Mines Exporting Ports'!$C$20:$C$51=$AU14)*('Indices Mines Exporting Ports'!$D$20:$D$51&lt;=$C14))))</f>
        <v>0</v>
      </c>
      <c r="EK14" s="16">
        <f t="array" ref="EK14">INDEX('Indices Mines Exporting Ports'!J$20:J$51, MATCH(2,1/(('Indices Mines Exporting Ports'!$C$20:$C$51=$AU14)*('Indices Mines Exporting Ports'!$D$20:$D$51&lt;=$C14))))</f>
        <v>0</v>
      </c>
      <c r="EL14" s="16">
        <f t="array" ref="EL14">INDEX('Indices Mines Exporting Ports'!K$20:K$51, MATCH(2,1/(('Indices Mines Exporting Ports'!$C$20:$C$51=$AU14)*('Indices Mines Exporting Ports'!$D$20:$D$51&lt;=$C14))))</f>
        <v>0.1</v>
      </c>
      <c r="EM14" s="103" t="str">
        <f t="array" ref="EM14">INDEX('Indices Mines Exporting Ports'!L$20:L$51, MATCH(2,1/(('Indices Mines Exporting Ports'!$C$20:$C$51=$AU14)*('Indices Mines Exporting Ports'!$D$20:$D$51&lt;=$C14))))</f>
        <v>LT</v>
      </c>
      <c r="EN14" s="243">
        <f t="array" ref="EN14">INDEX('Indices Mines Exporting Ports'!M$20:M$51, MATCH(2,1/(('Indices Mines Exporting Ports'!$C$20:$C$51=$AU14)*('Indices Mines Exporting Ports'!$D$20:$D$51&lt;=$C14))))</f>
        <v>0</v>
      </c>
      <c r="EP14" s="300">
        <f t="array" ref="EP14">INDEX('Processing Factors'!$D$8:$D$29,MATCH(2,1/(('Processing Factors'!$B$8:$B$29&lt;=Main!$C14)*('Processing Factors'!$C$8:$C$29=Main!EM14))))</f>
        <v>0</v>
      </c>
      <c r="EQ14" s="299">
        <f t="array" ref="EQ14">INDEX('Processing Factors'!$E$8:$E$29,MATCH(2,1/(('Processing Factors'!$B$8:$B$29&lt;=Main!$C14)*('Processing Factors'!$C$8:$C$29=Main!EM14))))</f>
        <v>1</v>
      </c>
      <c r="ER14" s="299">
        <f t="array" ref="ER14">INDEX('Processing Factors'!$F$8:$F$29,MATCH(2,1/(('Processing Factors'!$B$8:$B$29&lt;=Main!$C14)*('Processing Factors'!$C$8:$C$29=Main!EM14))))</f>
        <v>0.9</v>
      </c>
      <c r="ES14" s="299">
        <f t="array" ref="ES14">INDEX('Processing Factors'!$G$8:$G$29,MATCH(2,1/(('Processing Factors'!$B$8:$B$29&lt;=Main!$C14)*('Processing Factors'!$C$8:$C$29=Main!EM14))))</f>
        <v>3.5999999999999997E-2</v>
      </c>
      <c r="ET14" s="299">
        <f t="array" ref="ET14">INDEX('Processing Factors'!$H$8:$H$29,MATCH(2,1/(('Processing Factors'!$B$8:$B$29&lt;=Main!$C14)*('Processing Factors'!$C$8:$C$29=Main!EM14))))</f>
        <v>12.15</v>
      </c>
      <c r="EU14" s="300">
        <f t="array" ref="EU14">INDEX('Processing Factors'!$I$8:$I$29,MATCH(2,1/(('Processing Factors'!$B$8:$B$29&lt;=Main!$C14)*('Processing Factors'!$C$8:$C$29=Main!EM14))))</f>
        <v>0</v>
      </c>
      <c r="EV14" s="300">
        <f t="array" ref="EV14">INDEX('Processing Factors'!$J$8:$J$29,MATCH(2,1/(('Processing Factors'!$B$8:$B$29&lt;=Main!$C14)*('Processing Factors'!$C$8:$C$29=Main!EM14))))</f>
        <v>0.9</v>
      </c>
      <c r="EW14" s="299">
        <f t="array" ref="EW14">INDEX('Processing Factors'!$K$8:$K$29,MATCH(2,1/(('Processing Factors'!$B$8:$B$29&lt;=Main!$C14)*('Processing Factors'!$C$8:$C$29=Main!EM14))))</f>
        <v>3.5000000000000003E-2</v>
      </c>
      <c r="EY14" s="302">
        <f t="shared" si="35"/>
        <v>0.5</v>
      </c>
      <c r="EZ14" s="302">
        <f t="shared" si="36"/>
        <v>0.05</v>
      </c>
      <c r="FA14" s="302">
        <f t="shared" si="37"/>
        <v>0.45</v>
      </c>
      <c r="FB14" s="299">
        <f t="shared" si="38"/>
        <v>2.4691358024691357</v>
      </c>
      <c r="FC14" s="304">
        <v>0</v>
      </c>
      <c r="FD14" s="299">
        <f t="shared" si="39"/>
        <v>0.14611111111111114</v>
      </c>
      <c r="FE14" s="281">
        <f t="shared" si="40"/>
        <v>35.103008604987139</v>
      </c>
      <c r="FF14" s="281">
        <f t="shared" si="41"/>
        <v>50.37416442905598</v>
      </c>
      <c r="FG14" s="281">
        <f t="shared" si="42"/>
        <v>1.2210288298473715</v>
      </c>
      <c r="FH14" s="299">
        <f t="shared" si="43"/>
        <v>1.6512469135802468</v>
      </c>
      <c r="FI14" s="281">
        <f t="shared" si="44"/>
        <v>7.0007641898540713</v>
      </c>
      <c r="FJ14" s="281">
        <f t="shared" si="45"/>
        <v>93.698966053744556</v>
      </c>
      <c r="FL14" s="287" t="s">
        <v>39</v>
      </c>
      <c r="FN14" s="315" t="e">
        <f t="shared" ca="1" si="293"/>
        <v>#NAME?</v>
      </c>
      <c r="FO14" s="316">
        <f t="shared" si="294"/>
        <v>0.46</v>
      </c>
      <c r="FP14" s="316">
        <f t="shared" si="295"/>
        <v>0.40500000000000003</v>
      </c>
      <c r="FQ14" s="316">
        <f t="shared" si="296"/>
        <v>4.8000000000000001E-2</v>
      </c>
      <c r="FR14" s="316">
        <f t="shared" si="297"/>
        <v>1.7000000000000001E-2</v>
      </c>
      <c r="FS14" s="316">
        <f t="shared" si="298"/>
        <v>3.1E-2</v>
      </c>
      <c r="FT14" s="316">
        <f t="shared" si="299"/>
        <v>3.7999999999999992E-2</v>
      </c>
      <c r="FU14" s="316">
        <f t="shared" si="300"/>
        <v>0.10100000000000001</v>
      </c>
      <c r="FV14" s="317" t="str">
        <f t="shared" si="301"/>
        <v>LT</v>
      </c>
      <c r="FW14" s="318">
        <v>0</v>
      </c>
      <c r="FX14" s="237"/>
      <c r="FY14" s="319">
        <f t="array" ref="FY14">INDEX('Processing Factors'!$D$8:$D$29,MATCH(2,1/(('Processing Factors'!$B$8:$B$29&lt;=Main!$C14)*('Processing Factors'!$C$8:$C$29=Main!FV14))))</f>
        <v>0</v>
      </c>
      <c r="FZ14" s="320">
        <f t="array" ref="FZ14">INDEX('Processing Factors'!$E$8:$E$29,MATCH(2,1/(('Processing Factors'!$B$8:$B$29&lt;=Main!$C14)*('Processing Factors'!$C$8:$C$29=Main!FV14))))</f>
        <v>1</v>
      </c>
      <c r="GA14" s="320">
        <f t="array" ref="GA14">INDEX('Processing Factors'!$F$8:$F$29,MATCH(2,1/(('Processing Factors'!$B$8:$B$29&lt;=Main!$C14)*('Processing Factors'!$C$8:$C$29=Main!FV14))))</f>
        <v>0.9</v>
      </c>
      <c r="GB14" s="320">
        <f t="array" ref="GB14">INDEX('Processing Factors'!$G$8:$G$29,MATCH(2,1/(('Processing Factors'!$B$8:$B$29&lt;=Main!$C14)*('Processing Factors'!$C$8:$C$29=Main!FV14))))</f>
        <v>3.5999999999999997E-2</v>
      </c>
      <c r="GC14" s="320">
        <f t="array" ref="GC14">INDEX('Processing Factors'!$H$8:$H$29,MATCH(2,1/(('Processing Factors'!$B$8:$B$29&lt;=Main!$C14)*('Processing Factors'!$C$8:$C$29=Main!FV14))))</f>
        <v>12.15</v>
      </c>
      <c r="GD14" s="319">
        <f t="array" ref="GD14">INDEX('Processing Factors'!$I$8:$I$29,MATCH(2,1/(('Processing Factors'!$B$8:$B$29&lt;=Main!$C14)*('Processing Factors'!$C$8:$C$29=Main!FV14))))</f>
        <v>0</v>
      </c>
      <c r="GE14" s="321">
        <v>0.92</v>
      </c>
      <c r="GF14" s="320">
        <f t="array" ref="GF14">INDEX('Processing Factors'!$K$8:$K$29,MATCH(2,1/(('Processing Factors'!$B$8:$B$29&lt;=Main!$C14)*('Processing Factors'!$C$8:$C$29=Main!FV14))))</f>
        <v>3.5000000000000003E-2</v>
      </c>
      <c r="GG14" s="237"/>
      <c r="GH14" s="322">
        <f t="shared" si="46"/>
        <v>0.42200000000000004</v>
      </c>
      <c r="GI14" s="322">
        <f t="shared" si="47"/>
        <v>1.7000000000000001E-2</v>
      </c>
      <c r="GJ14" s="322">
        <f t="shared" si="48"/>
        <v>0.40500000000000003</v>
      </c>
      <c r="GK14" s="320">
        <f t="shared" si="49"/>
        <v>2.6838432635534084</v>
      </c>
      <c r="GL14" s="323" t="e">
        <f t="shared" ca="1" si="50"/>
        <v>#NAME?</v>
      </c>
      <c r="GM14" s="320">
        <f t="shared" si="51"/>
        <v>7.6062801932367155E-2</v>
      </c>
      <c r="GN14" s="323">
        <f t="shared" si="52"/>
        <v>18.273991419590757</v>
      </c>
      <c r="GO14" s="323">
        <f t="shared" si="53"/>
        <v>50.37416442905598</v>
      </c>
      <c r="GP14" s="323">
        <f t="shared" si="54"/>
        <v>1.2210288298473715</v>
      </c>
      <c r="GQ14" s="320">
        <f t="shared" si="55"/>
        <v>1.7959060654857757</v>
      </c>
      <c r="GR14" s="323">
        <f t="shared" si="56"/>
        <v>7.614073200194075</v>
      </c>
      <c r="GS14" s="323" t="e">
        <f t="shared" ca="1" si="57"/>
        <v>#NAME?</v>
      </c>
      <c r="GT14" s="237"/>
      <c r="GU14" s="324" t="e">
        <f t="shared" ca="1" si="58"/>
        <v>#NAME?</v>
      </c>
      <c r="GV14" s="325">
        <f t="array" ref="GV14">INDEX('Indices Mines Exporting Ports'!E$20:E$51, MATCH(2,1/(('Indices Mines Exporting Ports'!$C$20:$C$51=$BC14)*('Indices Mines Exporting Ports'!$D$20:$D$51&lt;=$C14))))</f>
        <v>0.5</v>
      </c>
      <c r="GW14" s="325">
        <f t="array" ref="GW14">INDEX('Indices Mines Exporting Ports'!F$20:F$51, MATCH(2,1/(('Indices Mines Exporting Ports'!$C$20:$C$51=$BC14)*('Indices Mines Exporting Ports'!$D$20:$D$51&lt;=$C14))))</f>
        <v>0.45</v>
      </c>
      <c r="GX14" s="325">
        <f t="array" ref="GX14">INDEX('Indices Mines Exporting Ports'!G$20:G$51, MATCH(2,1/(('Indices Mines Exporting Ports'!$C$20:$C$51=$BC14)*('Indices Mines Exporting Ports'!$D$20:$D$51&lt;=$C14))))</f>
        <v>0.05</v>
      </c>
      <c r="GY14" s="325">
        <f t="array" ref="GY14">INDEX('Indices Mines Exporting Ports'!H$20:H$51, MATCH(2,1/(('Indices Mines Exporting Ports'!$C$20:$C$51=$BC14)*('Indices Mines Exporting Ports'!$D$20:$D$51&lt;=$C14))))</f>
        <v>0.05</v>
      </c>
      <c r="GZ14" s="325">
        <f t="array" ref="GZ14">INDEX('Indices Mines Exporting Ports'!I$20:I$51, MATCH(2,1/(('Indices Mines Exporting Ports'!$C$20:$C$51=$BC14)*('Indices Mines Exporting Ports'!$D$20:$D$51&lt;=$C14))))</f>
        <v>0</v>
      </c>
      <c r="HA14" s="325">
        <f t="array" ref="HA14">INDEX('Indices Mines Exporting Ports'!J$20:J$51, MATCH(2,1/(('Indices Mines Exporting Ports'!$C$20:$C$51=$BC14)*('Indices Mines Exporting Ports'!$D$20:$D$51&lt;=$C14))))</f>
        <v>0</v>
      </c>
      <c r="HB14" s="325">
        <f t="array" ref="HB14">INDEX('Indices Mines Exporting Ports'!K$20:K$51, MATCH(2,1/(('Indices Mines Exporting Ports'!$C$20:$C$51=$BC14)*('Indices Mines Exporting Ports'!$D$20:$D$51&lt;=$C14))))</f>
        <v>0.1</v>
      </c>
      <c r="HC14" s="326" t="str">
        <f t="array" ref="HC14">INDEX('Indices Mines Exporting Ports'!L$20:L$51, MATCH(2,1/(('Indices Mines Exporting Ports'!$C$20:$C$51=$BC14)*('Indices Mines Exporting Ports'!$D$20:$D$51&lt;=$C14))))</f>
        <v>LT</v>
      </c>
      <c r="HD14" s="262">
        <f t="array" ref="HD14">INDEX('Indices Mines Exporting Ports'!M$20:M$51, MATCH(2,1/(('Indices Mines Exporting Ports'!$C$20:$C$51=$BC14)*('Indices Mines Exporting Ports'!$D$20:$D$51&lt;=$C14))))</f>
        <v>0</v>
      </c>
      <c r="HE14" s="237"/>
      <c r="HF14" s="319">
        <f t="array" ref="HF14">INDEX('Processing Factors'!$D$8:$D$29,MATCH(2,1/(('Processing Factors'!$B$8:$B$29&lt;=Main!$C14)*('Processing Factors'!$C$8:$C$29=Main!HC14))))</f>
        <v>0</v>
      </c>
      <c r="HG14" s="320">
        <f t="array" ref="HG14">INDEX('Processing Factors'!$E$8:$E$29,MATCH(2,1/(('Processing Factors'!$B$8:$B$29&lt;=Main!$C14)*('Processing Factors'!$C$8:$C$29=Main!HC14))))</f>
        <v>1</v>
      </c>
      <c r="HH14" s="320">
        <f t="array" ref="HH14">INDEX('Processing Factors'!$F$8:$F$29,MATCH(2,1/(('Processing Factors'!$B$8:$B$29&lt;=Main!$C14)*('Processing Factors'!$C$8:$C$29=Main!HC14))))</f>
        <v>0.9</v>
      </c>
      <c r="HI14" s="320">
        <f t="array" ref="HI14">INDEX('Processing Factors'!$G$8:$G$29,MATCH(2,1/(('Processing Factors'!$B$8:$B$29&lt;=Main!$C14)*('Processing Factors'!$C$8:$C$29=Main!HC14))))</f>
        <v>3.5999999999999997E-2</v>
      </c>
      <c r="HJ14" s="320">
        <f t="array" ref="HJ14">INDEX('Processing Factors'!$H$8:$H$29,MATCH(2,1/(('Processing Factors'!$B$8:$B$29&lt;=Main!$C14)*('Processing Factors'!$C$8:$C$29=Main!HC14))))</f>
        <v>12.15</v>
      </c>
      <c r="HK14" s="319">
        <f t="array" ref="HK14">INDEX('Processing Factors'!$I$8:$I$29,MATCH(2,1/(('Processing Factors'!$B$8:$B$29&lt;=Main!$C14)*('Processing Factors'!$C$8:$C$29=Main!HC14))))</f>
        <v>0</v>
      </c>
      <c r="HL14" s="321">
        <v>0.92</v>
      </c>
      <c r="HM14" s="320">
        <f t="array" ref="HM14">INDEX('Processing Factors'!$K$8:$K$29,MATCH(2,1/(('Processing Factors'!$B$8:$B$29&lt;=Main!$C14)*('Processing Factors'!$C$8:$C$29=Main!HC14))))</f>
        <v>3.5000000000000003E-2</v>
      </c>
      <c r="HN14" s="237"/>
      <c r="HO14" s="322">
        <f t="shared" si="59"/>
        <v>0.5</v>
      </c>
      <c r="HP14" s="322">
        <f t="shared" si="60"/>
        <v>0.05</v>
      </c>
      <c r="HQ14" s="322">
        <f t="shared" si="61"/>
        <v>0.45</v>
      </c>
      <c r="HR14" s="320">
        <f t="shared" si="62"/>
        <v>2.4154589371980677</v>
      </c>
      <c r="HS14" s="263">
        <v>0</v>
      </c>
      <c r="HT14" s="320">
        <f t="shared" si="63"/>
        <v>0.14369565217391306</v>
      </c>
      <c r="HU14" s="323">
        <f t="shared" si="64"/>
        <v>34.522697667559676</v>
      </c>
      <c r="HV14" s="323">
        <f t="shared" si="65"/>
        <v>50.37416442905598</v>
      </c>
      <c r="HW14" s="323">
        <f t="shared" si="66"/>
        <v>1.2210288298473715</v>
      </c>
      <c r="HX14" s="320">
        <f t="shared" si="67"/>
        <v>1.5951545893719807</v>
      </c>
      <c r="HY14" s="323">
        <f t="shared" si="68"/>
        <v>6.7629504919671319</v>
      </c>
      <c r="HZ14" s="323">
        <f t="shared" si="69"/>
        <v>92.880841418430151</v>
      </c>
      <c r="IB14" s="287" t="s">
        <v>39</v>
      </c>
      <c r="ID14" s="89" t="str">
        <f t="shared" si="70"/>
        <v>Alufer Bel Air</v>
      </c>
      <c r="IE14" s="18">
        <f t="shared" ref="IE14:IE23" si="319">$C14</f>
        <v>43923</v>
      </c>
      <c r="IF14" s="94">
        <f t="array" ref="IF14">INDEX('Indices Mines Exporting Ports'!E$20:E$51, MATCH(2,1/(('Indices Mines Exporting Ports'!$C$20:$C$51=$ID14)*('Indices Mines Exporting Ports'!$D$20:$D$51&lt;=$IE14))))</f>
        <v>0.46</v>
      </c>
      <c r="IG14" s="94">
        <f t="array" ref="IG14">INDEX('Indices Mines Exporting Ports'!F$20:F$51, MATCH(2,1/(('Indices Mines Exporting Ports'!$C$20:$C$51=$ID14)*('Indices Mines Exporting Ports'!$D$20:$D$51&lt;=$IE14))))</f>
        <v>0.40500000000000003</v>
      </c>
      <c r="IH14" s="95">
        <f t="array" ref="IH14">INDEX('Indices Mines Exporting Ports'!G$20:G$51, MATCH(2,1/(('Indices Mines Exporting Ports'!$C$20:$C$51=$ID14)*('Indices Mines Exporting Ports'!$D$20:$D$51&lt;=$IE14))))</f>
        <v>4.8000000000000001E-2</v>
      </c>
      <c r="II14" s="95">
        <f t="array" ref="II14">INDEX('Indices Mines Exporting Ports'!H$20:H$51, MATCH(2,1/(('Indices Mines Exporting Ports'!$C$20:$C$51=$ID14)*('Indices Mines Exporting Ports'!$D$20:$D$51&lt;=$IE14))))</f>
        <v>1.7000000000000001E-2</v>
      </c>
      <c r="IJ14" s="95">
        <f t="array" ref="IJ14">INDEX('Indices Mines Exporting Ports'!I$20:I$51, MATCH(2,1/(('Indices Mines Exporting Ports'!$C$20:$C$51=$ID14)*('Indices Mines Exporting Ports'!$D$20:$D$51&lt;=$IE14))))</f>
        <v>3.1E-2</v>
      </c>
      <c r="IK14" s="94">
        <f t="array" ref="IK14">INDEX('Indices Mines Exporting Ports'!J$20:J$51, MATCH(2,1/(('Indices Mines Exporting Ports'!$C$20:$C$51=$ID14)*('Indices Mines Exporting Ports'!$D$20:$D$51&lt;=$IE14))))</f>
        <v>3.7999999999999992E-2</v>
      </c>
      <c r="IL14" s="94">
        <f t="array" ref="IL14">INDEX('Indices Mines Exporting Ports'!K$20:K$51, MATCH(2,1/(('Indices Mines Exporting Ports'!$C$20:$C$51=$ID14)*('Indices Mines Exporting Ports'!$D$20:$D$51&lt;=$IE14))))</f>
        <v>0.10100000000000001</v>
      </c>
      <c r="IM14" s="93" t="str">
        <f t="array" ref="IM14">INDEX('Indices Mines Exporting Ports'!L$20:L$51, MATCH(2,1/(('Indices Mines Exporting Ports'!$C$20:$C$51=$ID14)*('Indices Mines Exporting Ports'!$D$20:$D$51&lt;=$IE14))))</f>
        <v>LT</v>
      </c>
      <c r="IN14" s="101">
        <f t="array" ref="IN14">INDEX('Indices Mines Exporting Ports'!M$20:M$51, MATCH(2,1/(('Indices Mines Exporting Ports'!$C$20:$C$51=$ID14)*('Indices Mines Exporting Ports'!$D$20:$D$51&lt;=$IE14))))</f>
        <v>0.33</v>
      </c>
      <c r="IO14" s="96">
        <f t="array" ref="IO14">INDEX('Indices Mines Exporting Ports'!N$20:N$51, MATCH(2,1/(('Indices Mines Exporting Ports'!$C$20:$C$51=$ID14)*('Indices Mines Exporting Ports'!$D$20:$D$51&lt;=$IE14))))</f>
        <v>180000</v>
      </c>
      <c r="IP14" s="95" t="str">
        <f t="array" ref="IP14">INDEX('Indices Mines Exporting Ports'!Q$20:Q$51, MATCH(2,1/(('Indices Mines Exporting Ports'!$C$20:$C$51=$ID14)*('Indices Mines Exporting Ports'!$D$20:$D$51&lt;=$IE14))))</f>
        <v>Alufer_Cape_Verga_Offshore</v>
      </c>
      <c r="IQ14" s="95" t="str">
        <f t="array" ref="IQ14">INDEX('Indices Mines Exporting Ports'!O$20:O$51, MATCH(2,1/(('Indices Mines Exporting Ports'!$C$20:$C$51=$ID14)*('Indices Mines Exporting Ports'!$D$20:$D$51&lt;=$IE14))))</f>
        <v>Guinea 45/3 LT</v>
      </c>
      <c r="IR14" s="95" t="str">
        <f t="array" ref="IR14">INDEX('Indices Mines Exporting Ports'!P$20:P$51, MATCH(2,1/(('Indices Mines Exporting Ports'!$C$20:$C$51=$ID14)*('Indices Mines Exporting Ports'!$D$20:$D$51&lt;=$IE14))))</f>
        <v>CBIX LT</v>
      </c>
      <c r="IT14" s="287" t="s">
        <v>39</v>
      </c>
      <c r="IV14" s="292">
        <f>VLOOKUP($C14,'China Price Series'!$C$10:$D$1009,2,TRUE)/$JA14/(VLOOKUP($C14,'China Price Series'!$C$10:$E$1009,3,TRUE)*$JG14/$JF14)</f>
        <v>4.146021763708311</v>
      </c>
      <c r="IW14" s="292">
        <f>VLOOKUP($C14,'China Price Series'!$G$10:$H$1009,2,TRUE)/$JA14/(VLOOKUP($C14,'China Price Series'!$G$10:$I$1009,3,TRUE))</f>
        <v>240.24872809496895</v>
      </c>
      <c r="IX14" s="292">
        <f>VLOOKUP($C14,'China Price Series'!$K$10:$L$1009,2,TRUE)/$JA14</f>
        <v>33.91746749576032</v>
      </c>
      <c r="IY14" s="292">
        <f>VLOOKUP($C14,'China Price Series'!$N$10:$O$1009,2,TRUE)/$JA14</f>
        <v>4.23968343697004</v>
      </c>
      <c r="JA14" s="277">
        <f t="array" ref="JA14">INDEX('FX rates'!E$10:E$1009,MATCH(2,1/(('FX rates'!$D$10:$D$1009&lt;=Main!$C14)*(NOT(ISBLANK('FX rates'!E$10:E$1009))))))</f>
        <v>7.0759999999999987</v>
      </c>
      <c r="JB14" s="277">
        <f t="array" ref="JB14">INDEX('FX rates'!F$10:F$1009,MATCH(2,1/(('FX rates'!$D$10:$D$1009&lt;=Main!$C14)*(NOT(ISBLANK('FX rates'!F$10:F$1009))))))</f>
        <v>0.59156405988048044</v>
      </c>
      <c r="JC14" s="277">
        <f t="array" ref="JC14">INDEX('FX rates'!G$10:G$1009,MATCH(2,1/(('FX rates'!$D$10:$D$1009&lt;=Main!$C14)*(NOT(ISBLANK('FX rates'!G$10:G$1009))))))</f>
        <v>1</v>
      </c>
      <c r="JD14" s="277">
        <f t="array" ref="JD14">INDEX('FX rates'!H$10:H$1009,MATCH(2,1/(('FX rates'!$D$10:$D$1009&lt;=Main!$C14)*(NOT(ISBLANK('FX rates'!H$10:H$1009))))))</f>
        <v>1.35</v>
      </c>
      <c r="JF14" s="111">
        <f t="array" ref="JF14">INDEX('Global factors'!C$5:C$23,MATCH(2,1/(('Global factors'!$B$5:$B$23&lt;=Main!$C14)*(NOT(ISBLANK('Global factors'!C$5:C$23))))))</f>
        <v>239000</v>
      </c>
      <c r="JG14" s="112">
        <f t="array" ref="JG14">INDEX('Global factors'!D$5:D$23,MATCH(2,1/(('Global factors'!$B$5:$B$23&lt;=Main!$C14)*(NOT(ISBLANK('Global factors'!D$5:D$23))))))</f>
        <v>1000</v>
      </c>
      <c r="JH14" s="112">
        <f t="array" ref="JH14">INDEX('Global factors'!E$5:E$23,MATCH(2,1/(('Global factors'!$B$5:$B$23&lt;=Main!$C14)*(NOT(ISBLANK('Global factors'!E$5:E$23))))))</f>
        <v>24</v>
      </c>
      <c r="JI14" s="112">
        <f t="array" ref="JI14">INDEX('Global factors'!F$5:F$23,MATCH(2,1/(('Global factors'!$B$5:$B$23&lt;=Main!$C14)*(NOT(ISBLANK('Global factors'!F$5:F$23))))))</f>
        <v>2</v>
      </c>
      <c r="JJ14" s="117">
        <f t="array" ref="JJ14">INDEX('Global factors'!G$5:G$23,MATCH(2,1/(('Global factors'!$B$5:$B$23&lt;=Main!$C14)*(NOT(ISBLANK('Global factors'!G$5:G$23))))))</f>
        <v>0.08</v>
      </c>
      <c r="JK14" s="113">
        <f t="array" ref="JK14">INDEX('Global factors'!H$5:H$23,MATCH(2,1/(('Global factors'!$B$5:$B$23&lt;=Main!$C14)*(NOT(ISBLANK('Global factors'!H$5:H$23))))))</f>
        <v>101.96</v>
      </c>
      <c r="JL14" s="113">
        <f t="array" ref="JL14">INDEX('Global factors'!I$5:I$23,MATCH(2,1/(('Global factors'!$B$5:$B$23&lt;=Main!$C14)*(NOT(ISBLANK('Global factors'!I$5:I$23))))))</f>
        <v>60.08</v>
      </c>
      <c r="JM14" s="114">
        <f t="array" ref="JM14">INDEX('Global factors'!J$5:J$23,MATCH(2,1/(('Global factors'!$B$5:$B$23&lt;=Main!$C14)*(NOT(ISBLANK('Global factors'!J$5:J$23))))))</f>
        <v>0.84853528628495334</v>
      </c>
      <c r="JN14" s="115">
        <f t="array" ref="JN14">INDEX('Global factors'!K$5:K$23,MATCH(2,1/(('Global factors'!$B$5:$B$23&lt;=Main!$C14)*(NOT(ISBLANK('Global factors'!K$5:K$23))))))</f>
        <v>0.97499999999999998</v>
      </c>
      <c r="JO14" s="116">
        <f t="array" ref="JO14">INDEX('Global factors'!L$5:L$23,MATCH(2,1/(('Global factors'!$B$5:$B$23&lt;=Main!$C14)*(NOT(ISBLANK('Global factors'!L$5:L$23))))))</f>
        <v>8.7299999999999997E-4</v>
      </c>
      <c r="JP14" s="116">
        <f t="array" ref="JP14">INDEX('Global factors'!M$5:M$23,MATCH(2,1/(('Global factors'!$B$5:$B$23&lt;=Main!$C14)*(NOT(ISBLANK('Global factors'!M$5:M$23))))))</f>
        <v>145.88999999999999</v>
      </c>
      <c r="JQ14" s="116">
        <f t="array" ref="JQ14">INDEX('Global factors'!N$5:N$23,MATCH(2,1/(('Global factors'!$B$5:$B$23&lt;=Main!$C14)*(NOT(ISBLANK('Global factors'!N$5:N$23))))))</f>
        <v>0.40339999999999998</v>
      </c>
      <c r="JR14" s="116">
        <f t="array" ref="JR14">INDEX('Global factors'!O$5:O$23,MATCH(2,1/(('Global factors'!$B$5:$B$23&lt;=Main!$C14)*(NOT(ISBLANK('Global factors'!O$5:O$23))))))</f>
        <v>0</v>
      </c>
      <c r="JS14" s="116">
        <f t="array" ref="JS14">INDEX('Global factors'!P$5:P$23,MATCH(2,1/(('Global factors'!$B$5:$B$23&lt;=Main!$C14)*(NOT(ISBLANK('Global factors'!P$5:P$23))))))</f>
        <v>0.51890000000000003</v>
      </c>
      <c r="JT14" s="116">
        <f t="array" ref="JT14">INDEX('Global factors'!Q$5:Q$23,MATCH(2,1/(('Global factors'!$B$5:$B$23&lt;=Main!$C14)*(NOT(ISBLANK('Global factors'!Q$5:Q$23))))))</f>
        <v>4797</v>
      </c>
      <c r="JU14" s="116">
        <f t="array" ref="JU14">INDEX('Global factors'!R$5:R$23,MATCH(2,1/(('Global factors'!$B$5:$B$23&lt;=Main!$C14)*(NOT(ISBLANK('Global factors'!R$5:R$23))))))</f>
        <v>7</v>
      </c>
      <c r="JV14" s="115">
        <f t="array" ref="JV14">INDEX('Global factors'!S$5:S$23,MATCH(2,1/(('Global factors'!$B$5:$B$23&lt;=Main!$C14)*(NOT(ISBLANK('Global factors'!S$5:S$23))))))</f>
        <v>0.12</v>
      </c>
      <c r="JW14" s="115">
        <f t="array" ref="JW14">INDEX('Global factors'!T$5:T$23,MATCH(2,1/(('Global factors'!$B$5:$B$23&lt;=Main!$C14)*(NOT(ISBLANK('Global factors'!T$5:T$23))))))</f>
        <v>0.5</v>
      </c>
      <c r="JX14" s="116">
        <f t="array" ref="JX14">INDEX('Global factors'!U$5:U$23,MATCH(2,1/(('Global factors'!$B$5:$B$23&lt;=Main!$C14)*(NOT(ISBLANK('Global factors'!U$5:U$23))))))</f>
        <v>0.5</v>
      </c>
      <c r="JY14" s="116">
        <f t="array" ref="JY14">INDEX('Global factors'!V$5:V$23,MATCH(2,1/(('Global factors'!$B$5:$B$23&lt;=Main!$C14)*(NOT(ISBLANK('Global factors'!V$5:V$23))))))</f>
        <v>10000</v>
      </c>
      <c r="JZ14" s="116">
        <f t="array" ref="JZ14">INDEX('Global factors'!W$5:W$23,MATCH(2,1/(('Global factors'!$B$5:$B$23&lt;=Main!$C14)*(NOT(ISBLANK('Global factors'!W$5:W$23))))))</f>
        <v>0.10680000000000001</v>
      </c>
      <c r="KA14" s="116">
        <f t="array" ref="KA14">INDEX('Global factors'!X$5:X$23,MATCH(2,1/(('Global factors'!$B$5:$B$23&lt;=Main!$C14)*(NOT(ISBLANK('Global factors'!X$5:X$23))))))</f>
        <v>1.2</v>
      </c>
      <c r="KB14" s="116">
        <v>0</v>
      </c>
      <c r="KC14" s="272">
        <f t="array" ref="KC14">INDEX('Global factors'!Y$5:Y$23,MATCH(2,1/(('Global factors'!$B$5:$B$23&lt;=Main!$C14)*(NOT(ISBLANK('Global factors'!Y$5:Y$23))))))</f>
        <v>23643.7088248818</v>
      </c>
      <c r="KD14" s="273">
        <f t="array" ref="KD14">INDEX('Global factors'!Z$5:Z$23,MATCH(2,1/(('Global factors'!$B$5:$B$23&lt;=Main!$C14)*(NOT(ISBLANK('Global factors'!Z$5:Z$23))))))</f>
        <v>0.62802869915581405</v>
      </c>
      <c r="KE14" s="273">
        <v>0</v>
      </c>
      <c r="KF14" s="273">
        <v>0</v>
      </c>
      <c r="KG14" s="116">
        <v>0</v>
      </c>
      <c r="KH14" s="116">
        <f t="array" ref="KH14">INDEX('Global factors'!AB$5:AB$23,MATCH(2,1/(('Global factors'!$B$5:$B$23&lt;=Main!$C14)*(NOT(ISBLANK('Global factors'!AB$5:AB$23))))))</f>
        <v>6.2556361557795204E-2</v>
      </c>
      <c r="KI14" s="116">
        <f t="array" ref="KI14">INDEX('Global factors'!AC$5:AC$23,MATCH(2,1/(('Global factors'!$B$5:$B$23&lt;=Main!$C14)*(NOT(ISBLANK('Global factors'!AC$5:AC$23))))))</f>
        <v>8.6923129044225601E-4</v>
      </c>
      <c r="KJ14" s="116">
        <f t="array" ref="KJ14">INDEX('Global factors'!AD$5:AD$23,MATCH(2,1/(('Global factors'!$B$5:$B$23&lt;=Main!$C14)*(NOT(ISBLANK('Global factors'!AD$5:AD$23))))))</f>
        <v>1.1499999999999999</v>
      </c>
      <c r="KK14" s="116" t="str">
        <f t="array" ref="KK14">INDEX('Global factors'!AE$5:AE$23,MATCH(2,1/(('Global factors'!$B$5:$B$23&lt;=Main!$C14)*(NOT(ISBLANK('Global factors'!AE$5:AE$23))))))</f>
        <v>Qingdao</v>
      </c>
      <c r="KL14" s="290">
        <f t="array" ref="KL14">INDEX('Global factors'!AF$5:AF$23,MATCH(2,1/(('Global factors'!$B$5:$B$23&lt;=Main!$C14)*(NOT(ISBLANK('Global factors'!AF$5:AF$23))))))</f>
        <v>3.0000000000000001E-3</v>
      </c>
      <c r="KM14" s="290">
        <f t="array" ref="KM14">INDEX('Global factors'!AG$5:AG$23,MATCH(2,1/(('Global factors'!$B$5:$B$23&lt;=Main!$C14)*(NOT(ISBLANK('Global factors'!AG$5:AG$23))))))</f>
        <v>0.05</v>
      </c>
      <c r="KO14" s="287" t="s">
        <v>39</v>
      </c>
      <c r="KQ14" s="25">
        <f t="shared" ref="KQ14:KQ23" si="320">IF($AO14="no",$AN14,$AR14)/(1-$AL14)/$JN14</f>
        <v>180000</v>
      </c>
      <c r="KR14" s="4" t="str">
        <f>VLOOKUP(KQ14,'Ship Time Charter Rates'!$F$10:$G$17,2,TRUE)</f>
        <v>Capesize</v>
      </c>
      <c r="KS14" s="4" t="str">
        <f>VLOOKUP(KQ14,Canals!$E$5:$F$12,2,TRUE)</f>
        <v>Capesize</v>
      </c>
      <c r="KT14" s="25">
        <f t="shared" si="71"/>
        <v>303.02999999999997</v>
      </c>
      <c r="KU14" s="25">
        <f t="shared" si="72"/>
        <v>72612</v>
      </c>
      <c r="KV14" s="25">
        <f t="shared" si="73"/>
        <v>98199</v>
      </c>
      <c r="KX14" s="75">
        <f t="array" ref="KX14">INDEX('Indices Mines Exporting Ports'!$R$20:$R$51,MATCH(2,1/(('Indices Mines Exporting Ports'!$D$20:$D$51&lt;=Main!$C14)*('Indices Mines Exporting Ports'!$Q$20:$Q$51=$AP14))))</f>
        <v>18000</v>
      </c>
      <c r="KY14" s="75">
        <f t="array" ref="KY14">INDEX('Indices Mines Exporting Ports'!$S$20:$S$51,MATCH(2,1/(('Indices Mines Exporting Ports'!$D$20:$D$51&lt;=Main!$C14)*('Indices Mines Exporting Ports'!$Q$20:$Q$51=$AP14))))</f>
        <v>18000</v>
      </c>
      <c r="KZ14" s="75">
        <f t="array" ref="KZ14">INDEX('Indices Mines Exporting Ports'!$T$20:$T$51,MATCH(2,1/(('Indices Mines Exporting Ports'!$D$20:$D$51&lt;=Main!$C14)*('Indices Mines Exporting Ports'!$Q$20:$Q$51=$AP14))))</f>
        <v>18000</v>
      </c>
      <c r="LA14" s="75">
        <f t="array" ref="LA14">INDEX('Indices Mines Exporting Ports'!$U$20:$U$51,MATCH(2,1/(('Indices Mines Exporting Ports'!$D$20:$D$51&lt;=Main!$C14)*('Indices Mines Exporting Ports'!$Q$20:$Q$51=$AP14))))</f>
        <v>18000</v>
      </c>
      <c r="LB14" s="75">
        <f t="array" ref="LB14">INDEX('Indices Mines Exporting Ports'!$V$20:$V$51,MATCH(2,1/(('Indices Mines Exporting Ports'!$D$20:$D$51&lt;=Main!$C14)*('Indices Mines Exporting Ports'!$Q$20:$Q$51=$AP14))))</f>
        <v>18000</v>
      </c>
      <c r="LC14" s="75">
        <f t="array" ref="LC14">INDEX('Indices Mines Exporting Ports'!$W$20:$W$51,MATCH(2,1/(('Indices Mines Exporting Ports'!$D$20:$D$51&lt;=Main!$C14)*('Indices Mines Exporting Ports'!$Q$20:$Q$51=$AP14))))</f>
        <v>18000</v>
      </c>
      <c r="LD14" s="75">
        <f t="array" ref="LD14">INDEX('Indices Mines Exporting Ports'!$X$20:$X$51,MATCH(2,1/(('Indices Mines Exporting Ports'!$D$20:$D$51&lt;=Main!$C14)*('Indices Mines Exporting Ports'!$Q$20:$Q$51=$AP14))))</f>
        <v>18000</v>
      </c>
      <c r="LF14" s="75">
        <f t="array" ref="LF14">INDEX('Port Linkages'!$E$18:$E$157,MATCH(2,1/(('Port Linkages'!$C$18:$C$157=$AP14)*('Port Linkages'!$D$18:$D$157=IF($AO14="Yes",$AQ14,$AS14))*('Port Linkages'!$A$18:$A$157&lt;=$C14))))</f>
        <v>11100</v>
      </c>
      <c r="LG14" s="75">
        <f t="array" ref="LG14">INDEX('Port Linkages'!$F$18:$F$157,MATCH(2,1/(('Port Linkages'!$C$18:$C$157=$AP14)*('Port Linkages'!$D$18:$D$157=IF($AO14="Yes",$AQ14,$AS14))*('Port Linkages'!$A$18:$A$157&lt;=$C14))))</f>
        <v>0</v>
      </c>
      <c r="LH14" s="75" t="str">
        <f t="array" ref="LH14">INDEX('Port Linkages'!$G$18:$G$157,MATCH(2,1/(('Port Linkages'!$C$18:$C$157=$AP14)*('Port Linkages'!$D$18:$D$157=IF($AO14="Yes",$AQ14,$AS14))*('Port Linkages'!$A$18:$A$157&lt;=$C14))))</f>
        <v>VLOC_General</v>
      </c>
      <c r="LI14" s="75" t="str">
        <f t="array" ref="LI14">INDEX('Port Linkages'!$H$18:$H$157,MATCH(2,1/(('Port Linkages'!$C$18:$C$157=$AP14)*('Port Linkages'!$D$18:$D$157=IF($AO14="Yes",$AQ14,$AS14))*('Port Linkages'!$A$18:$A$157&lt;=$C14))))</f>
        <v>Singapore</v>
      </c>
      <c r="LJ14" s="75" t="str">
        <f t="array" ref="LJ14">INDEX('Port Linkages'!$I$18:$I$157,MATCH(2,1/(('Port Linkages'!$C$18:$C$157=$AP14)*('Port Linkages'!$D$18:$D$157=IF($AO14="Yes",$AQ14,$AS14))*('Port Linkages'!$A$18:$A$157&lt;=$C14))))</f>
        <v>VLSFO</v>
      </c>
      <c r="LK14" s="75" t="str">
        <f t="array" ref="LK14">INDEX('Port Linkages'!$J$18:$J$157,MATCH(2,1/(('Port Linkages'!$C$18:$C$157=$AP14)*('Port Linkages'!$D$18:$D$157=IF($AO14="Yes",$AQ14,$AS14))*('Port Linkages'!$A$18:$A$157&lt;=$C14))))</f>
        <v>MGO_Regular</v>
      </c>
      <c r="LL14" s="75" t="str">
        <f t="array" ref="LL14">INDEX('Port Linkages'!$K$18:$K$157,MATCH(2,1/(('Port Linkages'!$C$18:$C$157=$AP14)*('Port Linkages'!$D$18:$D$157=IF($AO14="Yes",$AQ14,$AS14))*('Port Linkages'!$A$18:$A$157&lt;=$C14))))</f>
        <v>none</v>
      </c>
      <c r="LM14" s="75">
        <f t="array" ref="LM14">INDEX('Port Linkages'!$L$18:$L$157,MATCH(2,1/(('Port Linkages'!$C$18:$C$157=$AP14)*('Port Linkages'!$D$18:$D$157=IF($AO14="Yes",$AQ14,$AS14))*('Port Linkages'!$A$18:$A$157&lt;=$C14))))</f>
        <v>11100</v>
      </c>
      <c r="LN14" s="75">
        <f t="array" ref="LN14">INDEX('Port Linkages'!$M$18:$M$157,MATCH(2,1/(('Port Linkages'!$C$18:$C$157=$AP14)*('Port Linkages'!$D$18:$D$157=IF($AO14="Yes",$AQ14,$AS14))*('Port Linkages'!$A$18:$A$157&lt;=$C14))))</f>
        <v>0</v>
      </c>
      <c r="LO14" s="75" t="str">
        <f t="array" ref="LO14">INDEX('Port Linkages'!$N$18:$N$157,MATCH(2,1/(('Port Linkages'!$C$18:$C$157=$AP14)*('Port Linkages'!$D$18:$D$157=IF($AO14="Yes",$AQ14,$AS14))*('Port Linkages'!$A$18:$A$157&lt;=$C14))))</f>
        <v>Capesize_General</v>
      </c>
      <c r="LP14" s="75" t="str">
        <f t="array" ref="LP14">INDEX('Port Linkages'!$O$18:$O$157,MATCH(2,1/(('Port Linkages'!$C$18:$C$157=$AP14)*('Port Linkages'!$D$18:$D$157=IF($AO14="Yes",$AQ14,$AS14))*('Port Linkages'!$A$18:$A$157&lt;=$C14))))</f>
        <v>Singapore</v>
      </c>
      <c r="LQ14" s="75" t="str">
        <f t="array" ref="LQ14">INDEX('Port Linkages'!$P$18:$P$157,MATCH(2,1/(('Port Linkages'!$C$18:$C$157=$AP14)*('Port Linkages'!$D$18:$D$157=IF($AO14="Yes",$AQ14,$AS14))*('Port Linkages'!$A$18:$A$157&lt;=$C14))))</f>
        <v>VLSFO</v>
      </c>
      <c r="LR14" s="75" t="str">
        <f t="array" ref="LR14">INDEX('Port Linkages'!$Q$18:$Q$157,MATCH(2,1/(('Port Linkages'!$C$18:$C$157=$AP14)*('Port Linkages'!$D$18:$D$157=IF($AO14="Yes",$AQ14,$AS14))*('Port Linkages'!$A$18:$A$157&lt;=$C14))))</f>
        <v>MGO_Regular</v>
      </c>
      <c r="LS14" s="75" t="str">
        <f t="array" ref="LS14">INDEX('Port Linkages'!$R$18:$R$157,MATCH(2,1/(('Port Linkages'!$C$18:$C$157=$AP14)*('Port Linkages'!$D$18:$D$157=IF($AO14="Yes",$AQ14,$AS14))*('Port Linkages'!$A$18:$A$157&lt;=$C14))))</f>
        <v>none</v>
      </c>
      <c r="LT14" s="75">
        <f t="array" ref="LT14">INDEX('Port Linkages'!$S$18:$S$157,MATCH(2,1/(('Port Linkages'!$C$18:$C$157=$AP14)*('Port Linkages'!$D$18:$D$157=IF($AO14="Yes",$AQ14,$AS14))*('Port Linkages'!$A$18:$A$157&lt;=$C14))))</f>
        <v>11100</v>
      </c>
      <c r="LU14" s="75">
        <f t="array" ref="LU14">INDEX('Port Linkages'!$T$18:$T$157,MATCH(2,1/(('Port Linkages'!$C$18:$C$157=$AP14)*('Port Linkages'!$D$18:$D$157=IF($AO14="Yes",$AQ14,$AS14))*('Port Linkages'!$A$18:$A$157&lt;=$C14))))</f>
        <v>0</v>
      </c>
      <c r="LV14" s="75" t="str">
        <f t="array" ref="LV14">INDEX('Port Linkages'!$U$18:$U$157,MATCH(2,1/(('Port Linkages'!$C$18:$C$157=$AP14)*('Port Linkages'!$D$18:$D$157=IF($AO14="Yes",$AQ14,$AS14))*('Port Linkages'!$A$18:$A$157&lt;=$C14))))</f>
        <v>Capesize_General</v>
      </c>
      <c r="LW14" s="75" t="str">
        <f t="array" ref="LW14">INDEX('Port Linkages'!$V$18:$V$157,MATCH(2,1/(('Port Linkages'!$C$18:$C$157=$AP14)*('Port Linkages'!$D$18:$D$157=IF($AO14="Yes",$AQ14,$AS14))*('Port Linkages'!$A$18:$A$157&lt;=$C14))))</f>
        <v>Singapore</v>
      </c>
      <c r="LX14" s="75" t="str">
        <f t="array" ref="LX14">INDEX('Port Linkages'!$W$18:$W$157,MATCH(2,1/(('Port Linkages'!$C$18:$C$157=$AP14)*('Port Linkages'!$D$18:$D$157=IF($AO14="Yes",$AQ14,$AS14))*('Port Linkages'!$A$18:$A$157&lt;=$C14))))</f>
        <v>VLSFO</v>
      </c>
      <c r="LY14" s="75" t="str">
        <f t="array" ref="LY14">INDEX('Port Linkages'!$X$18:$X$157,MATCH(2,1/(('Port Linkages'!$C$18:$C$157=$AP14)*('Port Linkages'!$D$18:$D$157=IF($AO14="Yes",$AQ14,$AS14))*('Port Linkages'!$A$18:$A$157&lt;=$C14))))</f>
        <v>MGO_Regular</v>
      </c>
      <c r="LZ14" s="75" t="str">
        <f t="array" ref="LZ14">INDEX('Port Linkages'!$Y$18:$Y$157,MATCH(2,1/(('Port Linkages'!$C$18:$C$157=$AP14)*('Port Linkages'!$D$18:$D$157=IF($AO14="Yes",$AQ14,$AS14))*('Port Linkages'!$A$18:$A$157&lt;=$C14))))</f>
        <v>none</v>
      </c>
      <c r="MA14" s="75">
        <f t="array" ref="MA14">INDEX('Port Linkages'!$Z$18:$Z$157,MATCH(2,1/(('Port Linkages'!$C$18:$C$157=$AP14)*('Port Linkages'!$D$18:$D$157=IF($AO14="Yes",$AQ14,$AS14))*('Port Linkages'!$A$18:$A$157&lt;=$C14))))</f>
        <v>11100</v>
      </c>
      <c r="MB14" s="75">
        <f t="array" ref="MB14">INDEX('Port Linkages'!$AA$18:$AA$157,MATCH(2,1/(('Port Linkages'!$C$18:$C$157=$AP14)*('Port Linkages'!$D$18:$D$157=IF($AO14="Yes",$AQ14,$AS14))*('Port Linkages'!$A$18:$A$157&lt;=$C14))))</f>
        <v>0</v>
      </c>
      <c r="MC14" s="75" t="str">
        <f t="array" ref="MC14">INDEX('Port Linkages'!$AB$18:$AB$157,MATCH(2,1/(('Port Linkages'!$C$18:$C$157=$AP14)*('Port Linkages'!$D$18:$D$157=IF($AO14="Yes",$AQ14,$AS14))*('Port Linkages'!$A$18:$A$157&lt;=$C14))))</f>
        <v>Capesize_General</v>
      </c>
      <c r="MD14" s="75" t="str">
        <f t="array" ref="MD14">INDEX('Port Linkages'!$AC$18:$AC$157,MATCH(2,1/(('Port Linkages'!$C$18:$C$157=$AP14)*('Port Linkages'!$D$18:$D$157=IF($AO14="Yes",$AQ14,$AS14))*('Port Linkages'!$A$18:$A$157&lt;=$C14))))</f>
        <v>Singapore</v>
      </c>
      <c r="ME14" s="75" t="str">
        <f t="array" ref="ME14">INDEX('Port Linkages'!$AD$18:$AD$157,MATCH(2,1/(('Port Linkages'!$C$18:$C$157=$AP14)*('Port Linkages'!$D$18:$D$157=IF($AO14="Yes",$AQ14,$AS14))*('Port Linkages'!$A$18:$A$157&lt;=$C14))))</f>
        <v>VLSFO</v>
      </c>
      <c r="MF14" s="75" t="str">
        <f t="array" ref="MF14">INDEX('Port Linkages'!$AE$18:$AE$157,MATCH(2,1/(('Port Linkages'!$C$18:$C$157=$AP14)*('Port Linkages'!$D$18:$D$157=IF($AO14="Yes",$AQ14,$AS14))*('Port Linkages'!$A$18:$A$157&lt;=$C14))))</f>
        <v>MGO_Regular</v>
      </c>
      <c r="MG14" s="75" t="str">
        <f t="array" ref="MG14">INDEX('Port Linkages'!$AF$18:$AF$157,MATCH(2,1/(('Port Linkages'!$C$18:$C$157=$AP14)*('Port Linkages'!$D$18:$D$157=IF($AO14="Yes",$AQ14,$AS14))*('Port Linkages'!$A$18:$A$157&lt;=$C14))))</f>
        <v>none</v>
      </c>
      <c r="MH14" s="75">
        <f t="array" ref="MH14">INDEX('Port Linkages'!$AG$18:$AG$157,MATCH(2,1/(('Port Linkages'!$C$18:$C$157=$AP14)*('Port Linkages'!$D$18:$D$157=IF($AO14="Yes",$AQ14,$AS14))*('Port Linkages'!$A$18:$A$157&lt;=$C14))))</f>
        <v>11100</v>
      </c>
      <c r="MI14" s="75">
        <f t="array" ref="MI14">INDEX('Port Linkages'!$AH$18:$AH$157,MATCH(2,1/(('Port Linkages'!$C$18:$C$157=$AP14)*('Port Linkages'!$D$18:$D$157=IF($AO14="Yes",$AQ14,$AS14))*('Port Linkages'!$A$18:$A$157&lt;=$C14))))</f>
        <v>0</v>
      </c>
      <c r="MJ14" s="75" t="str">
        <f t="array" ref="MJ14">INDEX('Port Linkages'!$AI$18:$AI$157,MATCH(2,1/(('Port Linkages'!$C$18:$C$157=$AP14)*('Port Linkages'!$D$18:$D$157=IF($AO14="Yes",$AQ14,$AS14))*('Port Linkages'!$A$18:$A$157&lt;=$C14))))</f>
        <v>Panamax_General</v>
      </c>
      <c r="MK14" s="75" t="str">
        <f t="array" ref="MK14">INDEX('Port Linkages'!$AJ$18:$AJ$157,MATCH(2,1/(('Port Linkages'!$C$18:$C$157=$AP14)*('Port Linkages'!$D$18:$D$157=IF($AO14="Yes",$AQ14,$AS14))*('Port Linkages'!$A$18:$A$157&lt;=$C14))))</f>
        <v>Singapore</v>
      </c>
      <c r="ML14" s="75" t="str">
        <f t="array" ref="ML14">INDEX('Port Linkages'!$AK$18:$AK$157,MATCH(2,1/(('Port Linkages'!$C$18:$C$157=$AP14)*('Port Linkages'!$D$18:$D$157=IF($AO14="Yes",$AQ14,$AS14))*('Port Linkages'!$A$18:$A$157&lt;=$C14))))</f>
        <v>VLSFO</v>
      </c>
      <c r="MM14" s="75" t="str">
        <f t="array" ref="MM14">INDEX('Port Linkages'!$AL$18:$AL$157,MATCH(2,1/(('Port Linkages'!$C$18:$C$157=$AP14)*('Port Linkages'!$D$18:$D$157=IF($AO14="Yes",$AQ14,$AS14))*('Port Linkages'!$A$18:$A$157&lt;=$C14))))</f>
        <v>MGO_Regular</v>
      </c>
      <c r="MN14" s="75" t="str">
        <f t="array" ref="MN14">INDEX('Port Linkages'!$AM$18:$AM$157,MATCH(2,1/(('Port Linkages'!$C$18:$C$157=$AP14)*('Port Linkages'!$D$18:$D$157=IF($AO14="Yes",$AQ14,$AS14))*('Port Linkages'!$A$18:$A$157&lt;=$C14))))</f>
        <v>none</v>
      </c>
      <c r="MO14" s="75">
        <f t="array" ref="MO14">INDEX('Port Linkages'!$AN$18:$AN$157,MATCH(2,1/(('Port Linkages'!$C$18:$C$157=$AP14)*('Port Linkages'!$D$18:$D$157=IF($AO14="Yes",$AQ14,$AS14))*('Port Linkages'!$A$18:$A$157&lt;=$C14))))</f>
        <v>11100</v>
      </c>
      <c r="MP14" s="75">
        <f t="array" ref="MP14">INDEX('Port Linkages'!$AO$18:$AO$157,MATCH(2,1/(('Port Linkages'!$C$18:$C$157=$AP14)*('Port Linkages'!$D$18:$D$157=IF($AO14="Yes",$AQ14,$AS14))*('Port Linkages'!$A$18:$A$157&lt;=$C14))))</f>
        <v>0</v>
      </c>
      <c r="MQ14" s="75" t="str">
        <f t="array" ref="MQ14">INDEX('Port Linkages'!$AP$18:$AP$157,MATCH(2,1/(('Port Linkages'!$C$18:$C$157=$AP14)*('Port Linkages'!$D$18:$D$157=IF($AO14="Yes",$AQ14,$AS14))*('Port Linkages'!$A$18:$A$157&lt;=$C14))))</f>
        <v>Supramax_General</v>
      </c>
      <c r="MR14" s="75" t="str">
        <f t="array" ref="MR14">INDEX('Port Linkages'!$AQ$18:$AQ$157,MATCH(2,1/(('Port Linkages'!$C$18:$C$157=$AP14)*('Port Linkages'!$D$18:$D$157=IF($AO14="Yes",$AQ14,$AS14))*('Port Linkages'!$A$18:$A$157&lt;=$C14))))</f>
        <v>Singapore</v>
      </c>
      <c r="MS14" s="75" t="str">
        <f t="array" ref="MS14">INDEX('Port Linkages'!$AR$18:$AR$157,MATCH(2,1/(('Port Linkages'!$C$18:$C$157=$AP14)*('Port Linkages'!$D$18:$D$157=IF($AO14="Yes",$AQ14,$AS14))*('Port Linkages'!$A$18:$A$157&lt;=$C14))))</f>
        <v>VLSFO</v>
      </c>
      <c r="MT14" s="75" t="str">
        <f t="array" ref="MT14">INDEX('Port Linkages'!$AS$18:$AS$157,MATCH(2,1/(('Port Linkages'!$C$18:$C$157=$AP14)*('Port Linkages'!$D$18:$D$157=IF($AO14="Yes",$AQ14,$AS14))*('Port Linkages'!$A$18:$A$157&lt;=$C14))))</f>
        <v>MGO_Regular</v>
      </c>
      <c r="MU14" s="75" t="str">
        <f t="array" ref="MU14">INDEX('Port Linkages'!$AT$18:$AT$157,MATCH(2,1/(('Port Linkages'!$C$18:$C$157=$AP14)*('Port Linkages'!$D$18:$D$157=IF($AO14="Yes",$AQ14,$AS14))*('Port Linkages'!$A$18:$A$157&lt;=$C14))))</f>
        <v>none</v>
      </c>
      <c r="MV14" s="75">
        <f t="array" ref="MV14">INDEX('Port Linkages'!$AU$18:$AU$157,MATCH(2,1/(('Port Linkages'!$C$18:$C$157=$AP14)*('Port Linkages'!$D$18:$D$157=IF($AO14="Yes",$AQ14,$AS14))*('Port Linkages'!$A$18:$A$157&lt;=$C14))))</f>
        <v>11100</v>
      </c>
      <c r="MW14" s="75">
        <f t="array" ref="MW14">INDEX('Port Linkages'!$AV$18:$AV$157,MATCH(2,1/(('Port Linkages'!$C$18:$C$157=$AP14)*('Port Linkages'!$D$18:$D$157=IF($AO14="Yes",$AQ14,$AS14))*('Port Linkages'!$A$18:$A$157&lt;=$C14))))</f>
        <v>0</v>
      </c>
      <c r="MX14" s="75" t="str">
        <f t="array" ref="MX14">INDEX('Port Linkages'!$AW$18:$AW$157,MATCH(2,1/(('Port Linkages'!$C$18:$C$157=$AP14)*('Port Linkages'!$D$18:$D$157=IF($AO14="Yes",$AQ14,$AS14))*('Port Linkages'!$A$18:$A$157&lt;=$C14))))</f>
        <v>Handysize_General</v>
      </c>
      <c r="MY14" s="75" t="str">
        <f t="array" ref="MY14">INDEX('Port Linkages'!$AX$18:$AX$157,MATCH(2,1/(('Port Linkages'!$C$18:$C$157=$AP14)*('Port Linkages'!$D$18:$D$157=IF($AO14="Yes",$AQ14,$AS14))*('Port Linkages'!$A$18:$A$157&lt;=$C14))))</f>
        <v>Singapore</v>
      </c>
      <c r="MZ14" s="75" t="str">
        <f t="array" ref="MZ14">INDEX('Port Linkages'!$AY$18:$AY$157,MATCH(2,1/(('Port Linkages'!$C$18:$C$157=$AP14)*('Port Linkages'!$D$18:$D$157=IF($AO14="Yes",$AQ14,$AS14))*('Port Linkages'!$A$18:$A$157&lt;=$C14))))</f>
        <v>VLSFO</v>
      </c>
      <c r="NA14" s="75" t="str">
        <f t="array" ref="NA14">INDEX('Port Linkages'!$AZ$18:$AZ$157,MATCH(2,1/(('Port Linkages'!$C$18:$C$157=$AP14)*('Port Linkages'!$D$18:$D$157=IF($AO14="Yes",$AQ14,$AS14))*('Port Linkages'!$A$18:$A$157&lt;=$C14))))</f>
        <v>MGO_Regular</v>
      </c>
      <c r="NB14" s="75" t="str">
        <f t="array" ref="NB14">INDEX('Port Linkages'!$BA$18:$BA$157,MATCH(2,1/(('Port Linkages'!$C$18:$C$157=$AP14)*('Port Linkages'!$D$18:$D$157=IF($AO14="Yes",$AQ14,$AS14))*('Port Linkages'!$A$18:$A$157&lt;=$C14))))</f>
        <v>none</v>
      </c>
      <c r="ND14" s="25" t="e">
        <f t="array" aca="1" ref="ND14" ca="1">INDEX('Ship Fuel Prices'!$F$5:$F$1004,MATCH(2,1/(('Ship Fuel Prices'!$E$5:$E$1004=_xlfn.IFS(KS14="Handysize",Main!MY14,KS14="Supramax",MR14,KS14="Panamax",MK14,KS14="NeoPanamax",MD14,KS14="Suezmax",LW14,KS14="Capesize",LP14,KS14="VLOC",LI14))*('Ship Fuel Prices'!$D$5:$D$1004&lt;=Main!$C14))))</f>
        <v>#N/A</v>
      </c>
      <c r="NE14" s="25" t="e">
        <f t="array" aca="1" ref="NE14" ca="1">INDEX('Ship Fuel Prices'!$G$5:$G$1004,MATCH(2,1/(('Ship Fuel Prices'!$E$5:$E$1004=_xlfn.IFS(KS14="Handysize",Main!MY14,KS14="Supramax",MR14,KS14="Panamax",MK14,KS14="NeoPanamax",MD14,KS14="Suezmax",LW14,KS14="Capesize",LP14,KS14="VLOC",LI14))*('Ship Fuel Prices'!$D$5:$D$1004&lt;=Main!$C14))))</f>
        <v>#N/A</v>
      </c>
      <c r="NF14" s="25" t="e">
        <f t="array" aca="1" ref="NF14" ca="1">INDEX('Ship Fuel Prices'!$H$5:$H$1004,MATCH(2,1/(('Ship Fuel Prices'!$E$5:$E$1004=_xlfn.IFS(KS14="Handysize",Main!MY14,KS14="Supramax",MR14,KS14="Panamax",MK14,KS14="NeoPanamax",MD14,KS14="Suezmax",LW14,KS14="Capesize",LP14,KS14="VLOC",LI14))*('Ship Fuel Prices'!$D$5:$D$1004&lt;=Main!$C14))))</f>
        <v>#N/A</v>
      </c>
      <c r="NG14" s="25" t="e">
        <f t="array" aca="1" ref="NG14" ca="1">INDEX('Ship Fuel Prices'!$I$5:$I$1004,MATCH(2,1/(('Ship Fuel Prices'!$E$5:$E$1004=_xlfn.IFS(KS14="Handysize",Main!MY14,KS14="Supramax",MR14,KS14="Panamax",MK14,KS14="NeoPanamax",MD14,KS14="Suezmax",LW14,KS14="Capesize",LP14,KS14="VLOC",LI14))*('Ship Fuel Prices'!$D$5:$D$1004&lt;=Main!$C14))))</f>
        <v>#N/A</v>
      </c>
      <c r="NH14" s="25" t="e">
        <f t="array" aca="1" ref="NH14" ca="1">INDEX('Ship Fuel Prices'!$J$5:$J$1004,MATCH(2,1/(('Ship Fuel Prices'!$E$5:$E$1004=_xlfn.IFS(KS14="Handysize",Main!MY14,KS14="Supramax",MR14,KS14="Panamax",MK14,KS14="NeoPanamax",MD14,KS14="Suezmax",LW14,KS14="Capesize",LP14,KS14="VLOC",LI14))*('Ship Fuel Prices'!$D$5:$D$1004&lt;=Main!$C14))))</f>
        <v>#N/A</v>
      </c>
      <c r="NJ14" s="75">
        <f t="array" ref="NJ14">INDEX('China n Importing Ports'!$E$20:$E$41,MATCH(2,1/(('China n Importing Ports'!$D$20:$D$41&lt;=$C14)*('China n Importing Ports'!$C$20:$C$41=IF($AO14="Yes",$AQ14,$AS14)))))</f>
        <v>42500</v>
      </c>
      <c r="NK14" s="75">
        <f t="array" ref="NK14">INDEX('China n Importing Ports'!$F$20:$F$41,MATCH(2,1/(('China n Importing Ports'!$D$20:$D$41&lt;=$C14)*('China n Importing Ports'!$C$20:$C$41=IF($AO14="Yes",$AQ14,$AS14)))))</f>
        <v>42500</v>
      </c>
      <c r="NL14" s="75">
        <f t="array" ref="NL14">INDEX('China n Importing Ports'!$G$20:$G$41,MATCH(2,1/(('China n Importing Ports'!$D$20:$D$41&lt;=$C14)*('China n Importing Ports'!$C$20:$C$41=IF($AO14="Yes",$AQ14,$AS14)))))</f>
        <v>42500</v>
      </c>
      <c r="NM14" s="75">
        <f t="array" ref="NM14">INDEX('China n Importing Ports'!$H$20:$H$41,MATCH(2,1/(('China n Importing Ports'!$D$20:$D$41&lt;=$C14)*('China n Importing Ports'!$C$20:$C$41=IF($AO14="Yes",$AQ14,$AS14)))))</f>
        <v>42500</v>
      </c>
      <c r="NN14" s="75">
        <f t="array" ref="NN14">INDEX('China n Importing Ports'!$I$20:$I$41,MATCH(2,1/(('China n Importing Ports'!$D$20:$D$41&lt;=$C14)*('China n Importing Ports'!$C$20:$C$41=IF($AO14="Yes",$AQ14,$AS14)))))</f>
        <v>42500</v>
      </c>
      <c r="NO14" s="75">
        <f t="array" ref="NO14">INDEX('China n Importing Ports'!$J$20:$J$41,MATCH(2,1/(('China n Importing Ports'!$D$20:$D$41&lt;=$C14)*('China n Importing Ports'!$C$20:$C$41=IF($AO14="Yes",$AQ14,$AS14)))))</f>
        <v>42500</v>
      </c>
      <c r="NP14" s="75">
        <f t="array" ref="NP14">INDEX('China n Importing Ports'!$K$20:$K$41,MATCH(2,1/(('China n Importing Ports'!$D$20:$D$41&lt;=$C14)*('China n Importing Ports'!$C$20:$C$41=IF($AO14="Yes",$AQ14,$AS14)))))</f>
        <v>42500</v>
      </c>
      <c r="NQ14" s="75" t="str">
        <f t="array" ref="NQ14">INDEX('China n Importing Ports'!$L$20:$L$41,MATCH(2,1/(('China n Importing Ports'!$D$20:$D$41&lt;=$C14)*('China n Importing Ports'!$C$20:$C$41=IF($AO14="Yes",$AQ14,$AS14)))))</f>
        <v>RMB</v>
      </c>
      <c r="NR14" s="75">
        <f t="array" ref="NR14">INDEX('China n Importing Ports'!$M$20:$M$41,MATCH(2,1/(('China n Importing Ports'!$D$20:$D$41&lt;=$C14)*('China n Importing Ports'!$C$20:$C$41=IF($AO14="Yes",$AQ14,$AS14)))))</f>
        <v>12342</v>
      </c>
      <c r="NS14" s="75">
        <f t="array" ref="NS14">INDEX('China n Importing Ports'!$N$20:$N$41,MATCH(2,1/(('China n Importing Ports'!$D$20:$D$41&lt;=$C14)*('China n Importing Ports'!$C$20:$C$41=IF($AO14="Yes",$AQ14,$AS14)))))</f>
        <v>0</v>
      </c>
      <c r="NT14" s="75">
        <f t="array" ref="NT14">INDEX('China n Importing Ports'!$O$20:$O$41,MATCH(2,1/(('China n Importing Ports'!$D$20:$D$41&lt;=$C14)*('China n Importing Ports'!$C$20:$C$41=IF($AO14="Yes",$AQ14,$AS14)))))</f>
        <v>0</v>
      </c>
      <c r="NU14" s="136">
        <f t="array" ref="NU14">INDEX('China n Importing Ports'!$P$20:$P$41,MATCH(2,1/(('China n Importing Ports'!$D$20:$D$41&lt;=$C14)*('China n Importing Ports'!$C$20:$C$41=IF($AO14="Yes",$AQ14,$AS14)))))</f>
        <v>2.64</v>
      </c>
      <c r="NV14" s="136">
        <f t="array" ref="NV14">INDEX('China n Importing Ports'!$Q$20:$Q$41,MATCH(2,1/(('China n Importing Ports'!$D$20:$D$41&lt;=$C14)*('China n Importing Ports'!$C$20:$C$41=IF($AO14="Yes",$AQ14,$AS14)))))</f>
        <v>0</v>
      </c>
      <c r="NW14" s="136">
        <f t="array" ref="NW14">INDEX('China n Importing Ports'!$R$20:$R$41,MATCH(2,1/(('China n Importing Ports'!$D$20:$D$41&lt;=$C14)*('China n Importing Ports'!$C$20:$C$41=IF($AO14="Yes",$AQ14,$AS14)))))</f>
        <v>0</v>
      </c>
      <c r="NX14" s="136">
        <f t="array" ref="NX14">INDEX('China n Importing Ports'!$S$20:$S$41,MATCH(2,1/(('China n Importing Ports'!$D$20:$D$41&lt;=$C14)*('China n Importing Ports'!$C$20:$C$41=IF($AO14="Yes",$AQ14,$AS14)))))</f>
        <v>4.53</v>
      </c>
      <c r="NY14" s="136">
        <f t="array" ref="NY14">INDEX('China n Importing Ports'!$T$20:$T$41,MATCH(2,1/(('China n Importing Ports'!$D$20:$D$41&lt;=$C14)*('China n Importing Ports'!$C$20:$C$41=IF($AO14="Yes",$AQ14,$AS14)))))</f>
        <v>0.36699999999999999</v>
      </c>
      <c r="NZ14" s="136">
        <f t="array" ref="NZ14">INDEX('China n Importing Ports'!$U$20:$U$41,MATCH(2,1/(('China n Importing Ports'!$D$20:$D$41&lt;=$C14)*('China n Importing Ports'!$C$20:$C$41=IF($AO14="Yes",$AQ14,$AS14)))))</f>
        <v>0.05</v>
      </c>
      <c r="OA14" s="136">
        <f t="array" ref="OA14">INDEX('China n Importing Ports'!$V$20:$V$41,MATCH(2,1/(('China n Importing Ports'!$D$20:$D$41&lt;=$C14)*('China n Importing Ports'!$C$20:$C$41=IF($AO14="Yes",$AQ14,$AS14)))))</f>
        <v>0</v>
      </c>
      <c r="OB14" s="136">
        <f t="array" ref="OB14">INDEX('China n Importing Ports'!$W$20:$W$41,MATCH(2,1/(('China n Importing Ports'!$D$20:$D$41&lt;=$C14)*('China n Importing Ports'!$C$20:$C$41=IF($AO14="Yes",$AQ14,$AS14)))))</f>
        <v>0</v>
      </c>
      <c r="OC14" s="136">
        <f t="array" ref="OC14">INDEX('China n Importing Ports'!$X$20:$X$41,MATCH(2,1/(('China n Importing Ports'!$D$20:$D$41&lt;=$C14)*('China n Importing Ports'!$C$20:$C$41=IF($AO14="Yes",$AQ14,$AS14)))))</f>
        <v>0</v>
      </c>
      <c r="OD14" s="136">
        <f t="array" ref="OD14">INDEX('China n Importing Ports'!$Y$20:$Y$41,MATCH(2,1/(('China n Importing Ports'!$D$20:$D$41&lt;=$C14)*('China n Importing Ports'!$C$20:$C$41=IF($AO14="Yes",$AQ14,$AS14)))))</f>
        <v>197</v>
      </c>
      <c r="OE14" s="136">
        <f t="array" ref="OE14">INDEX('China n Importing Ports'!$Z$20:$Z$41,MATCH(2,1/(('China n Importing Ports'!$D$20:$D$41&lt;=$C14)*('China n Importing Ports'!$C$20:$C$41=IF($AO14="Yes",$AQ14,$AS14)))))</f>
        <v>0</v>
      </c>
      <c r="OF14" s="136">
        <f t="array" ref="OF14">INDEX('China n Importing Ports'!$AA$20:$AA$41,MATCH(2,1/(('China n Importing Ports'!$D$20:$D$41&lt;=$C14)*('China n Importing Ports'!$C$20:$C$41=IF($AO14="Yes",$AQ14,$AS14)))))</f>
        <v>0</v>
      </c>
      <c r="OH14" s="75" t="e">
        <f t="array" aca="1" ref="OH14" ca="1">INDEX(Canals!$G$24:$G$29,MATCH(2,1/((Canals!$F$24:$F$29&lt;=$C14)*(Canals!$G$24:$G$29=_xlfn.IFS(KS14="Handysize",Main!NB14,KS14="Supramax",MU14,KS14="Panamax",MN14,KS14="NeoPanamax",MG14,KS14="Suezmax",LZ14,KS14="Capesize",LS14,KS14="VLOC",LL14)))))</f>
        <v>#N/A</v>
      </c>
      <c r="OI14" s="75" t="e">
        <f t="array" aca="1" ref="OI14" ca="1">INDEX(Canals!$H$24:$H$29,MATCH(2,1/((Canals!$F$24:$F$29&lt;=$C14)*(Canals!$G$24:$G$29=_xlfn.IFS(KS14="Handysize",Main!NB14,KS14="Supramax",MU14,KS14="Panamax",MN14,KS14="NeoPanamax",MG14,KS14="Suezmax",LZ14,KS14="Capesize",LS14,KS14="VLOC",LL14)))))</f>
        <v>#N/A</v>
      </c>
      <c r="OJ14" s="75" t="e">
        <f t="array" aca="1" ref="OJ14" ca="1">INDEX(Canals!$I$24:$I$29,MATCH(2,1/((Canals!$F$24:$F$29&lt;=$C14)*(Canals!$G$24:$G$29=_xlfn.IFS(KS14="Handysize",Main!NB14,KS14="Supramax",MU14,KS14="Panamax",MN14,KS14="NeoPanamax",MG14,KS14="Suezmax",LZ14,KS14="Capesize",LS14,KS14="VLOC",LL14)))))</f>
        <v>#N/A</v>
      </c>
      <c r="OK14" s="75" t="e">
        <f t="array" aca="1" ref="OK14" ca="1">INDEX(Canals!$J$24:$J$29,MATCH(2,1/((Canals!$F$24:$F$29&lt;=$C14)*(Canals!$G$24:$G$29=_xlfn.IFS(KS14="Handysize",Main!NB14,KS14="Supramax",MU14,KS14="Panamax",MN14,KS14="NeoPanamax",MG14,KS14="Suezmax",LZ14,KS14="Capesize",LS14,KS14="VLOC",LL14)))))</f>
        <v>#N/A</v>
      </c>
      <c r="OL14" s="75" t="e">
        <f t="array" aca="1" ref="OL14" ca="1">INDEX(Canals!$K$24:$K$29,MATCH(2,1/((Canals!$F$24:$F$29&lt;=$C14)*(Canals!$G$24:$G$29=_xlfn.IFS(KS14="Handysize",Main!NB14,KS14="Supramax",MU14,KS14="Panamax",MN14,KS14="NeoPanamax",MG14,KS14="Suezmax",LZ14,KS14="Capesize",LS14,KS14="VLOC",LL14)))))</f>
        <v>#N/A</v>
      </c>
      <c r="OM14" s="75" t="e">
        <f t="array" aca="1" ref="OM14" ca="1">INDEX(Canals!$L$24:$L$29,MATCH(2,1/((Canals!$F$24:$F$29&lt;=$C14)*(Canals!$G$24:$G$29=_xlfn.IFS(KS14="Handysize",Main!NB14,KS14="Supramax",MU14,KS14="Panamax",MN14,KS14="NeoPanamax",MG14,KS14="Suezmax",LZ14,KS14="Capesize",LS14,KS14="VLOC",LL14)))))</f>
        <v>#N/A</v>
      </c>
      <c r="ON14" s="75" t="e">
        <f t="array" aca="1" ref="ON14" ca="1">INDEX(Canals!$M$24:$M$29,MATCH(2,1/((Canals!$F$24:$F$29&lt;=$C14)*(Canals!$G$24:$G$29=_xlfn.IFS(KS14="Handysize",Main!NB14,KS14="Supramax",MU14,KS14="Panamax",MN14,KS14="NeoPanamax",MG14,KS14="Suezmax",LZ14,KS14="Capesize",LS14,KS14="VLOC",LL14)))))</f>
        <v>#N/A</v>
      </c>
      <c r="OO14" s="75" t="e">
        <f t="array" aca="1" ref="OO14" ca="1">INDEX(Canals!$N$24:$N$29,MATCH(2,1/((Canals!$F$24:$F$29&lt;=$C14)*(Canals!$G$24:$G$29=_xlfn.IFS(KS14="Handysize",Main!NB14,KS14="Supramax",MU14,KS14="Panamax",MN14,KS14="NeoPanamax",MG14,KS14="Suezmax",LZ14,KS14="Capesize",LS14,KS14="VLOC",LL14)))))</f>
        <v>#N/A</v>
      </c>
      <c r="OP14" s="75" t="e">
        <f t="array" aca="1" ref="OP14" ca="1">INDEX(Canals!$O$24:$O$29,MATCH(2,1/((Canals!$F$24:$F$29&lt;=$C14)*(Canals!$G$24:$G$29=_xlfn.IFS(KS14="Handysize",Main!NB14,KS14="Supramax",MU14,KS14="Panamax",MN14,KS14="NeoPanamax",MG14,KS14="Suezmax",LZ14,KS14="Capesize",LS14,KS14="VLOC",LL14)))))</f>
        <v>#N/A</v>
      </c>
      <c r="OQ14" s="75" t="e">
        <f t="array" aca="1" ref="OQ14" ca="1">INDEX(Canals!$P$24:$P$29,MATCH(2,1/((Canals!$F$24:$F$29&lt;=$C14)*(Canals!$G$24:$G$29=_xlfn.IFS(KS14="Handysize",Main!NB14,KS14="Supramax",MU14,KS14="Panamax",MN14,KS14="NeoPanamax",MG14,KS14="Suezmax",LZ14,KS14="Capesize",LS14,KS14="VLOC",LL14)))))</f>
        <v>#N/A</v>
      </c>
      <c r="OR14" s="75" t="e">
        <f t="array" aca="1" ref="OR14" ca="1">INDEX(Canals!$Q$24:$Q$29,MATCH(2,1/((Canals!$F$24:$F$29&lt;=$C14)*(Canals!$G$24:$G$29=_xlfn.IFS(KS14="Handysize",Main!NB14,KS14="Supramax",MU14,KS14="Panamax",MN14,KS14="NeoPanamax",MG14,KS14="Suezmax",LZ14,KS14="Capesize",LS14,KS14="VLOC",LL14)))))</f>
        <v>#N/A</v>
      </c>
      <c r="OS14" s="75" t="e">
        <f t="array" aca="1" ref="OS14" ca="1">INDEX(Canals!$R$24:$R$29,MATCH(2,1/((Canals!$F$24:$F$29&lt;=$C14)*(Canals!$G$24:$G$29=_xlfn.IFS(KS14="Handysize",Main!NB14,KS14="Supramax",MU14,KS14="Panamax",MN14,KS14="NeoPanamax",MG14,KS14="Suezmax",LZ14,KS14="Capesize",LS14,KS14="VLOC",LL14)))))</f>
        <v>#N/A</v>
      </c>
      <c r="OT14" s="136" t="e">
        <f t="array" aca="1" ref="OT14" ca="1">INDEX(Canals!$S$24:$S$29,MATCH(2,1/((Canals!$F$24:$F$29&lt;=$C14)*(Canals!$G$24:$G$29=_xlfn.IFS(KS14="Handysize",Main!NB14,KS14="Supramax",MU14,KS14="Panamax",MN14,KS14="NeoPanamax",MG14,KS14="Suezmax",LZ14,KS14="Capesize",LS14,KS14="VLOC",LL14)))))</f>
        <v>#N/A</v>
      </c>
      <c r="OU14" s="136" t="e">
        <f t="array" aca="1" ref="OU14" ca="1">INDEX(Canals!$T$24:$T$29,MATCH(2,1/((Canals!$F$24:$F$29&lt;=$C14)*(Canals!$G$24:$G$29=_xlfn.IFS(KS14="Handysize",Main!NB14,KS14="Supramax",MU14,KS14="Panamax",MN14,KS14="NeoPanamax",MG14,KS14="Suezmax",LZ14,KS14="Capesize",LS14,KS14="VLOC",LL14)))))</f>
        <v>#N/A</v>
      </c>
      <c r="OV14" s="136" t="e">
        <f t="array" aca="1" ref="OV14" ca="1">INDEX(Canals!$U$24:$U$29,MATCH(2,1/((Canals!$F$24:$F$29&lt;=$C14)*(Canals!$G$24:$G$29=_xlfn.IFS(KS14="Handysize",Main!NB14,KS14="Supramax",MU14,KS14="Panamax",MN14,KS14="NeoPanamax",MG14,KS14="Suezmax",LZ14,KS14="Capesize",LS14,KS14="VLOC",LL14)))))</f>
        <v>#N/A</v>
      </c>
      <c r="OW14" s="136" t="e">
        <f t="array" aca="1" ref="OW14" ca="1">INDEX(Canals!$V$24:$V$29,MATCH(2,1/((Canals!$F$24:$F$29&lt;=$C14)*(Canals!$G$24:$G$29=_xlfn.IFS(KS14="Handysize",Main!NB14,KS14="Supramax",MU14,KS14="Panamax",MN14,KS14="NeoPanamax",MG14,KS14="Suezmax",LZ14,KS14="Capesize",LS14,KS14="VLOC",LL14)))))</f>
        <v>#N/A</v>
      </c>
      <c r="OX14" s="136" t="e">
        <f t="array" aca="1" ref="OX14" ca="1">INDEX(Canals!$W$24:$W$29,MATCH(2,1/((Canals!$F$24:$F$29&lt;=$C14)*(Canals!$G$24:$G$29=_xlfn.IFS(KS14="Handysize",Main!NB14,KS14="Supramax",MU14,KS14="Panamax",MN14,KS14="NeoPanamax",MG14,KS14="Suezmax",LZ14,KS14="Capesize",LS14,KS14="VLOC",LL14)))))</f>
        <v>#N/A</v>
      </c>
      <c r="OY14" s="136" t="e">
        <f t="array" aca="1" ref="OY14" ca="1">INDEX(Canals!$X$24:$X$29,MATCH(2,1/((Canals!$F$24:$F$29&lt;=$C14)*(Canals!$G$24:$G$29=_xlfn.IFS(KS14="Handysize",Main!NB14,KS14="Supramax",MU14,KS14="Panamax",MN14,KS14="NeoPanamax",MG14,KS14="Suezmax",LZ14,KS14="Capesize",LS14,KS14="VLOC",LL14)))))</f>
        <v>#N/A</v>
      </c>
      <c r="OZ14" s="136" t="e">
        <f t="array" aca="1" ref="OZ14" ca="1">INDEX(Canals!$Y$24:$Y$29,MATCH(2,1/((Canals!$F$24:$F$29&lt;=$C14)*(Canals!$G$24:$G$29=_xlfn.IFS(KS14="Handysize",Main!NB14,KS14="Supramax",MU14,KS14="Panamax",MN14,KS14="NeoPanamax",MG14,KS14="Suezmax",LZ14,KS14="Capesize",LS14,KS14="VLOC",LL14)))))</f>
        <v>#N/A</v>
      </c>
      <c r="PA14" s="136" t="e">
        <f t="array" aca="1" ref="PA14" ca="1">INDEX(Canals!$Z$24:$Z$29,MATCH(2,1/((Canals!$F$24:$F$29&lt;=$C14)*(Canals!$G$24:$G$29=_xlfn.IFS(KS14="Handysize",Main!NB14,KS14="Supramax",MU14,KS14="Panamax",MN14,KS14="NeoPanamax",MG14,KS14="Suezmax",LZ14,KS14="Capesize",LS14,KS14="VLOC",LL14)))))</f>
        <v>#N/A</v>
      </c>
      <c r="PB14" s="136" t="e">
        <f t="array" aca="1" ref="PB14" ca="1">INDEX(Canals!$AA$24:$AA$29,MATCH(2,1/((Canals!$F$24:$F$29&lt;=$C14)*(Canals!$G$24:$G$29=_xlfn.IFS(KS14="Handysize",Main!NB14,KS14="Supramax",MU14,KS14="Panamax",MN14,KS14="NeoPanamax",MG14,KS14="Suezmax",LZ14,KS14="Capesize",LS14,KS14="VLOC",LL14)))))</f>
        <v>#N/A</v>
      </c>
      <c r="PC14" s="136" t="e">
        <f t="array" aca="1" ref="PC14" ca="1">INDEX(Canals!$AB$24:$AB$29,MATCH(2,1/((Canals!$F$24:$F$29&lt;=$C14)*(Canals!$G$24:$G$29=_xlfn.IFS(KS14="Handysize",Main!NB14,KS14="Supramax",MU14,KS14="Panamax",MN14,KS14="NeoPanamax",MG14,KS14="Suezmax",LZ14,KS14="Capesize",LS14,KS14="VLOC",LL14)))))</f>
        <v>#N/A</v>
      </c>
      <c r="PD14" s="75" t="e">
        <f t="array" aca="1" ref="PD14" ca="1">INDEX(Canals!$AC$24:$AC$29,MATCH(2,1/((Canals!$F$24:$F$29&lt;=$C14)*(Canals!$G$24:$G$29=_xlfn.IFS(KS14="Handysize",Main!NB14,KS14="Supramax",MU14,KS14="Panamax",MN14,KS14="NeoPanamax",MG14,KS14="Suezmax",LZ14,KS14="Capesize",LS14,KS14="VLOC",LL14)))))</f>
        <v>#N/A</v>
      </c>
      <c r="PE14" s="75" t="e">
        <f t="array" aca="1" ref="PE14" ca="1">INDEX(Canals!$AD$24:$AD$29,MATCH(2,1/((Canals!$F$24:$F$29&lt;=$C14)*(Canals!$G$24:$G$29=_xlfn.IFS(KS14="Handysize",Main!NB14,KS14="Supramax",MU14,KS14="Panamax",MN14,KS14="NeoPanamax",MG14,KS14="Suezmax",LZ14,KS14="Capesize",LS14,KS14="VLOC",LL14)))))</f>
        <v>#N/A</v>
      </c>
      <c r="PF14" s="75" t="e">
        <f t="array" aca="1" ref="PF14" ca="1">INDEX(Canals!$AE$24:$AE$29,MATCH(2,1/((Canals!$F$24:$F$29&lt;=$C14)*(Canals!$G$24:$G$29=_xlfn.IFS(KS14="Handysize",Main!NB14,KS14="Supramax",MU14,KS14="Panamax",MN14,KS14="NeoPanamax",MG14,KS14="Suezmax",LZ14,KS14="Capesize",LS14,KS14="VLOC",LL14)))))</f>
        <v>#N/A</v>
      </c>
      <c r="PG14" s="75" t="e">
        <f t="array" aca="1" ref="PG14" ca="1">INDEX(Canals!$AF$24:$AF$29,MATCH(2,1/((Canals!$F$24:$F$29&lt;=$C14)*(Canals!$G$24:$G$29=_xlfn.IFS(KS14="Handysize",Main!NB14,KS14="Supramax",MU14,KS14="Panamax",MN14,KS14="NeoPanamax",MG14,KS14="Suezmax",LZ14,KS14="Capesize",LS14,KS14="VLOC",LL14)))))</f>
        <v>#N/A</v>
      </c>
      <c r="PH14" s="75" t="e">
        <f t="array" aca="1" ref="PH14" ca="1">INDEX(Canals!$AG$24:$AG$29,MATCH(2,1/((Canals!$F$24:$F$29&lt;=$C14)*(Canals!$G$24:$G$29=_xlfn.IFS(KS14="Handysize",Main!NB14,KS14="Supramax",MU14,KS14="Panamax",MN14,KS14="NeoPanamax",MG14,KS14="Suezmax",LZ14,KS14="Capesize",LS14,KS14="VLOC",LL14)))))</f>
        <v>#N/A</v>
      </c>
      <c r="PI14" s="75" t="e">
        <f t="array" aca="1" ref="PI14" ca="1">INDEX(Canals!$AH$24:$AH$29,MATCH(2,1/((Canals!$F$24:$F$29&lt;=$C14)*(Canals!$G$24:$G$29=_xlfn.IFS(KS14="Handysize",Main!NB14,KS14="Supramax",MU14,KS14="Panamax",MN14,KS14="NeoPanamax",MG14,KS14="Suezmax",LZ14,KS14="Capesize",LS14,KS14="VLOC",LL14)))))</f>
        <v>#N/A</v>
      </c>
      <c r="PJ14" s="75" t="e">
        <f t="array" aca="1" ref="PJ14" ca="1">INDEX(Canals!$AI$24:$AI$29,MATCH(2,1/((Canals!$F$24:$F$29&lt;=$C14)*(Canals!$G$24:$G$29=_xlfn.IFS(KS14="Handysize",Main!NB14,KS14="Supramax",MU14,KS14="Panamax",MN14,KS14="NeoPanamax",MG14,KS14="Suezmax",LZ14,KS14="Capesize",LS14,KS14="VLOC",LL14)))))</f>
        <v>#N/A</v>
      </c>
      <c r="PK14" s="75" t="e">
        <f t="array" aca="1" ref="PK14" ca="1">INDEX(Canals!$AJ$24:$AJ$29,MATCH(2,1/((Canals!$F$24:$F$29&lt;=$C14)*(Canals!$G$24:$G$29=_xlfn.IFS(KS14="Handysize",Main!NB14,KS14="Supramax",MU14,KS14="Panamax",MN14,KS14="NeoPanamax",MG14,KS14="Suezmax",LZ14,KS14="Capesize",LS14,KS14="VLOC",LL14)))))</f>
        <v>#N/A</v>
      </c>
      <c r="PL14" s="75" t="e">
        <f t="array" aca="1" ref="PL14" ca="1">INDEX(Canals!$AK$24:$AK$29,MATCH(2,1/((Canals!$F$24:$F$29&lt;=$C14)*(Canals!$G$24:$G$29=_xlfn.IFS(KS14="Handysize",Main!NB14,KS14="Supramax",MU14,KS14="Panamax",MN14,KS14="NeoPanamax",MG14,KS14="Suezmax",LZ14,KS14="Capesize",LS14,KS14="VLOC",LL14)))))</f>
        <v>#N/A</v>
      </c>
      <c r="PM14" s="136" t="e">
        <f t="array" aca="1" ref="PM14" ca="1">INDEX(Canals!$AL$24:$AL$29,MATCH(2,1/((Canals!$F$24:$F$29&lt;=$C14)*(Canals!$G$24:$G$29=_xlfn.IFS(KS14="Handysize",Main!NB14,KS14="Supramax",MU14,KS14="Panamax",MN14,KS14="NeoPanamax",MG14,KS14="Suezmax",LZ14,KS14="Capesize",LS14,KS14="VLOC",LL14)))))</f>
        <v>#N/A</v>
      </c>
      <c r="PN14" s="136" t="e">
        <f t="array" aca="1" ref="PN14" ca="1">INDEX(Canals!$AM$24:$AM$29,MATCH(2,1/((Canals!$F$24:$F$29&lt;=$C14)*(Canals!$G$24:$G$29=_xlfn.IFS(KS14="Handysize",Main!NB14,KS14="Supramax",MU14,KS14="Panamax",MN14,KS14="NeoPanamax",MG14,KS14="Suezmax",LZ14,KS14="Capesize",LS14,KS14="VLOC",LL14)))))</f>
        <v>#N/A</v>
      </c>
      <c r="PO14" s="136" t="e">
        <f t="array" aca="1" ref="PO14" ca="1">INDEX(Canals!$AN$24:$AN$29,MATCH(2,1/((Canals!$F$24:$F$29&lt;=$C14)*(Canals!$G$24:$G$29=_xlfn.IFS(KS14="Handysize",Main!NB14,KS14="Supramax",MU14,KS14="Panamax",MN14,KS14="NeoPanamax",MG14,KS14="Suezmax",LZ14,KS14="Capesize",LS14,KS14="VLOC",LL14)))))</f>
        <v>#N/A</v>
      </c>
      <c r="PP14" s="136" t="e">
        <f t="array" aca="1" ref="PP14" ca="1">INDEX(Canals!$AO$24:$AO$29,MATCH(2,1/((Canals!$F$24:$F$29&lt;=$C14)*(Canals!$G$24:$G$29=_xlfn.IFS(KS14="Handysize",Main!NB14,KS14="Supramax",MU14,KS14="Panamax",MN14,KS14="NeoPanamax",MG14,KS14="Suezmax",LZ14,KS14="Capesize",LS14,KS14="VLOC",LL14)))))</f>
        <v>#N/A</v>
      </c>
      <c r="PQ14" s="136" t="e">
        <f t="array" aca="1" ref="PQ14" ca="1">INDEX(Canals!$AP$24:$AP$29,MATCH(2,1/((Canals!$F$24:$F$29&lt;=$C14)*(Canals!$G$24:$G$29=_xlfn.IFS(KS14="Handysize",Main!NB14,KS14="Supramax",MU14,KS14="Panamax",MN14,KS14="NeoPanamax",MG14,KS14="Suezmax",LZ14,KS14="Capesize",LS14,KS14="VLOC",LL14)))))</f>
        <v>#N/A</v>
      </c>
      <c r="PR14" s="136" t="e">
        <f t="array" aca="1" ref="PR14" ca="1">INDEX(Canals!$AQ$24:$AQ$29,MATCH(2,1/((Canals!$F$24:$F$29&lt;=$C14)*(Canals!$G$24:$G$29=_xlfn.IFS(KS14="Handysize",Main!NB14,KS14="Supramax",MU14,KS14="Panamax",MN14,KS14="NeoPanamax",MG14,KS14="Suezmax",LZ14,KS14="Capesize",LS14,KS14="VLOC",LL14)))))</f>
        <v>#N/A</v>
      </c>
      <c r="PS14" s="136" t="e">
        <f t="array" aca="1" ref="PS14" ca="1">INDEX(Canals!$AR$24:$AR$29,MATCH(2,1/((Canals!$F$24:$F$29&lt;=$C14)*(Canals!$G$24:$G$29=_xlfn.IFS(KS14="Handysize",Main!NB14,KS14="Supramax",MU14,KS14="Panamax",MN14,KS14="NeoPanamax",MG14,KS14="Suezmax",LZ14,KS14="Capesize",LS14,KS14="VLOC",LL14)))))</f>
        <v>#N/A</v>
      </c>
      <c r="PT14" s="136" t="e">
        <f t="array" aca="1" ref="PT14" ca="1">INDEX(Canals!$AS$24:$AS$29,MATCH(2,1/((Canals!$F$24:$F$29&lt;=$C14)*(Canals!$G$24:$G$29=_xlfn.IFS(KS14="Handysize",Main!NB14,KS14="Supramax",MU14,KS14="Panamax",MN14,KS14="NeoPanamax",MG14,KS14="Suezmax",LZ14,KS14="Capesize",LS14,KS14="VLOC",LL14)))))</f>
        <v>#N/A</v>
      </c>
      <c r="PU14" s="136" t="e">
        <f t="array" aca="1" ref="PU14" ca="1">INDEX(Canals!$AT$24:$AT$29,MATCH(2,1/((Canals!$F$24:$F$29&lt;=$C14)*(Canals!$G$24:$G$29=_xlfn.IFS(KS14="Handysize",Main!NB14,KS14="Supramax",MU14,KS14="Panamax",MN14,KS14="NeoPanamax",MG14,KS14="Suezmax",LZ14,KS14="Capesize",LS14,KS14="VLOC",LL14)))))</f>
        <v>#N/A</v>
      </c>
      <c r="PV14" s="136" t="e">
        <f t="array" aca="1" ref="PV14" ca="1">INDEX(Canals!$AU$24:$AU$29,MATCH(2,1/((Canals!$F$24:$F$29&lt;=$C14)*(Canals!$G$24:$G$29=_xlfn.IFS(KS14="Handysize",Main!NB14,KS14="Supramax",MU14,KS14="Panamax",MN14,KS14="NeoPanamax",MG14,KS14="Suezmax",LZ14,KS14="Capesize",LS14,KS14="VLOC",LL14)))))</f>
        <v>#N/A</v>
      </c>
      <c r="PW14" s="136" t="e">
        <f t="array" aca="1" ref="PW14" ca="1">INDEX(Canals!$AV$24:$AV$29,MATCH(2,1/((Canals!$F$24:$F$29&lt;=$C14)*(Canals!$G$24:$G$29=_xlfn.IFS(KS14="Handysize",Main!NB14,KS14="Supramax",MU14,KS14="Panamax",MN14,KS14="NeoPanamax",MG14,KS14="Suezmax",LZ14,KS14="Capesize",LS14,KS14="VLOC",LL14)))))</f>
        <v>#N/A</v>
      </c>
      <c r="PY14" s="75" t="e">
        <f t="array" aca="1" ref="PY14" ca="1">_xlfn.IFS(OJ14="DWT",KQ14,OJ14="NRT",KU14,OJ14="GRT",KV14)</f>
        <v>#NAME?</v>
      </c>
      <c r="PZ14" s="279" t="e">
        <f t="shared" ca="1" si="74"/>
        <v>#NAME?</v>
      </c>
      <c r="QA14" s="280" t="e">
        <f t="shared" ca="1" si="75"/>
        <v>#NAME?</v>
      </c>
      <c r="QB14" s="280" t="e">
        <f t="shared" ca="1" si="76"/>
        <v>#NAME?</v>
      </c>
      <c r="QC14" s="280" t="e">
        <f t="shared" ca="1" si="77"/>
        <v>#NAME?</v>
      </c>
      <c r="QD14" s="280" t="e">
        <f t="shared" ca="1" si="78"/>
        <v>#NAME?</v>
      </c>
      <c r="QE14" s="280" t="e">
        <f t="shared" ca="1" si="79"/>
        <v>#NAME?</v>
      </c>
      <c r="QF14" s="280" t="e">
        <f t="shared" ca="1" si="80"/>
        <v>#NAME?</v>
      </c>
      <c r="QG14" s="280" t="e">
        <f t="shared" ca="1" si="81"/>
        <v>#NAME?</v>
      </c>
      <c r="QH14" s="280" t="e">
        <f t="shared" ca="1" si="82"/>
        <v>#NAME?</v>
      </c>
      <c r="QI14" s="75">
        <f t="shared" si="83"/>
        <v>175500</v>
      </c>
      <c r="QJ14" s="279" t="e">
        <f t="shared" ca="1" si="84"/>
        <v>#N/A</v>
      </c>
      <c r="QK14" s="280" t="e">
        <f t="shared" ca="1" si="85"/>
        <v>#N/A</v>
      </c>
      <c r="QL14" s="280" t="e">
        <f t="shared" ca="1" si="86"/>
        <v>#N/A</v>
      </c>
      <c r="QM14" s="280" t="e">
        <f t="shared" ca="1" si="87"/>
        <v>#N/A</v>
      </c>
      <c r="QN14" s="280" t="e">
        <f t="shared" ca="1" si="88"/>
        <v>#N/A</v>
      </c>
      <c r="QO14" s="280" t="e">
        <f t="shared" ca="1" si="89"/>
        <v>#N/A</v>
      </c>
      <c r="QP14" s="280" t="e">
        <f t="shared" ca="1" si="90"/>
        <v>#N/A</v>
      </c>
      <c r="QQ14" s="280" t="e">
        <f t="shared" ca="1" si="91"/>
        <v>#N/A</v>
      </c>
      <c r="QR14" s="280" t="e">
        <f t="shared" ca="1" si="92"/>
        <v>#N/A</v>
      </c>
      <c r="QT14" s="75" t="e">
        <f t="array" aca="1" ref="QT14" ca="1">_xlfn.IFS(KS14="Handysize",Main!MV14,KS14="Supramax",MO14,KS14="Panamax",MH14,KS14="NeoPanamax",MA14,KS14="Suezmax",LT14,KS14="Capesize",LM14,KS14="VLOC",LF14)*$JI14</f>
        <v>#NAME?</v>
      </c>
      <c r="QU14" s="274" t="e">
        <f t="array" aca="1" ref="QU14" ca="1">_xlfn.IFS(KS14="Handysize",Main!MW14,KS14="Supramax",MP14,KS14="Panamax",MI14,KS14="NeoPanamax",MB14,KS14="Suezmax",LU14,KS14="Capesize",LN14,KS14="VLOC",LG14)*$JI14</f>
        <v>#NAME?</v>
      </c>
      <c r="QV14" s="71" t="e">
        <f t="array" aca="1" ref="QV14" ca="1">_xlfn.IFS(KS14="Handysize",Main!KX14,KS14="Supramax",KY14,KS14="Panamax",KZ14,KS14="NeoPanamax",LA14,KS14="Suezmax",LB14,KS14="Capesize",LC14,KS14="VLOC",LD14)</f>
        <v>#NAME?</v>
      </c>
      <c r="QW14" s="71" t="e">
        <f t="array" aca="1" ref="QW14" ca="1">_xlfn.IFS(KS14="Handysize",Main!NJ14,KS14="Supramax",NK14,KS14="Panamax",NL14,KS14="NeoPanamax",NM14,KS14="Suezmax",NN14,KS14="Capesize",NO14,KS14="VLOC",NP14)</f>
        <v>#NAME?</v>
      </c>
      <c r="QX14" s="70">
        <f t="array" ref="QX14">INDEX('Ship Speeds'!$G$11:$G$1011,MATCH(2,1/(('Ship Speeds'!$E$11:$E$1011&lt;=Main!$C14)*('Ship Speeds'!$F$11:$F$1011=Main!KR14))))</f>
        <v>11</v>
      </c>
      <c r="QY14" s="403">
        <f t="shared" si="93"/>
        <v>35.906192279020722</v>
      </c>
      <c r="QZ14" s="401">
        <f t="shared" si="94"/>
        <v>3.1223999999999998</v>
      </c>
      <c r="RA14" s="70" t="e">
        <f t="shared" ca="1" si="95"/>
        <v>#NAME?</v>
      </c>
      <c r="RB14" s="70" t="e">
        <f t="shared" ca="1" si="96"/>
        <v>#NAME?</v>
      </c>
      <c r="RC14" s="70" t="e">
        <f t="shared" ca="1" si="97"/>
        <v>#NAME?</v>
      </c>
      <c r="RD14" s="70" t="e">
        <f t="shared" ca="1" si="98"/>
        <v>#NAME?</v>
      </c>
      <c r="RE14" s="72" t="e">
        <f t="shared" ca="1" si="99"/>
        <v>#N/A</v>
      </c>
      <c r="RF14" s="70" t="e">
        <f t="shared" ca="1" si="100"/>
        <v>#NAME?</v>
      </c>
      <c r="RG14" s="70" t="e">
        <f t="array" aca="1" ref="RG14" ca="1">INDEX(ND14:NH14,MATCH(_xlfn.IFS(KS14="Handysize",Main!MZ14,KS14="Supramax",MS14,KS14="Panamax",ML14,KS14="NeoPanamax",ME14,KS14="Suezmax",LX14,KS14="Capesize",LQ14,KS14="VLOC",LJ14),$ND$7:$NH$7,0))</f>
        <v>#NAME?</v>
      </c>
      <c r="RH14" s="70" t="e">
        <f t="array" aca="1" ref="RH14" ca="1">INDEX(ND14:NH14,MATCH(_xlfn.IFS(KS14="Handysize",Main!NA14,KS14="Supramax",MT14,KS14="Panamax",MM14,KS14="NeoPanamax",MF14,KS14="Suezmax",LY14,KS14="Capesize",LR14,KS14="VLOC",LK14),$ND$7:$NH$7,0))</f>
        <v>#NAME?</v>
      </c>
      <c r="RI14" s="71" t="e">
        <f t="shared" ca="1" si="101"/>
        <v>#NAME?</v>
      </c>
      <c r="RJ14" s="71" t="e">
        <f t="shared" ca="1" si="102"/>
        <v>#NAME?</v>
      </c>
      <c r="RK14" s="281">
        <f t="shared" si="103"/>
        <v>7.0759999999999987</v>
      </c>
      <c r="RL14" s="71">
        <f t="shared" si="104"/>
        <v>1744.2057659694747</v>
      </c>
      <c r="RM14" s="71" t="e">
        <f t="shared" ca="1" si="105"/>
        <v>#NAME?</v>
      </c>
      <c r="RN14" s="71" t="e">
        <f t="shared" ca="1" si="106"/>
        <v>#NAME?</v>
      </c>
      <c r="RO14" s="71">
        <f t="shared" si="107"/>
        <v>65477.6710005653</v>
      </c>
      <c r="RP14" s="71" t="e">
        <f t="shared" ca="1" si="108"/>
        <v>#NAME?</v>
      </c>
      <c r="RQ14" s="71" t="e">
        <f t="shared" ca="1" si="109"/>
        <v>#NAME?</v>
      </c>
      <c r="RR14" s="71">
        <f t="shared" si="110"/>
        <v>46485.635952515557</v>
      </c>
      <c r="RS14" s="71" t="e">
        <f t="shared" ca="1" si="111"/>
        <v>#NAME?</v>
      </c>
      <c r="RT14" s="71" t="e">
        <f t="shared" ca="1" si="112"/>
        <v>#NAME?</v>
      </c>
      <c r="RU14" s="71">
        <f t="shared" si="113"/>
        <v>0</v>
      </c>
      <c r="RV14" s="71" t="e">
        <f t="shared" ca="1" si="114"/>
        <v>#NAME?</v>
      </c>
      <c r="RW14" s="71" t="e">
        <f t="shared" ca="1" si="115"/>
        <v>#NAME?</v>
      </c>
      <c r="RX14" s="72">
        <f t="shared" si="116"/>
        <v>8436.5333521763714</v>
      </c>
      <c r="RY14" s="72" t="e">
        <f t="shared" ca="1" si="117"/>
        <v>#NAME?</v>
      </c>
      <c r="RZ14" s="71" t="e">
        <f t="shared" ca="1" si="118"/>
        <v>#NAME?</v>
      </c>
      <c r="SA14" s="71" t="e">
        <f t="array" aca="1" ref="SA14" ca="1">INDEX('Ship Time Charter Rates'!$H$22:$H$1021,MATCH(2,1/(('Ship Time Charter Rates'!$G$22:$G$1021=_xlfn.IFS(KS14="Handysize",Main!MX14,KS14="Supramax",MQ14,KS14="Panamax",MJ14,KS14="NeoPanamax",MC14,KS14="Suezmax",LV14,KS14="Capesize",LO14,KS14="VLOC",LH14))*('Ship Time Charter Rates'!$E$22:$E$1021&lt;=Main!$C14)*(NOT(ISBLANK('Ship Time Charter Rates'!$H$22:$H$1021))))))</f>
        <v>#N/A</v>
      </c>
      <c r="SB14" s="71" t="e">
        <f t="shared" ca="1" si="119"/>
        <v>#NAME?</v>
      </c>
      <c r="SC14" s="70" t="e">
        <f t="shared" ca="1" si="120"/>
        <v>#N/A</v>
      </c>
      <c r="SD14" s="71" t="e">
        <f t="shared" ca="1" si="121"/>
        <v>#NAME?</v>
      </c>
      <c r="SE14" s="71" t="e">
        <f t="shared" ca="1" si="302"/>
        <v>#NAME?</v>
      </c>
      <c r="SF14" s="72" t="e">
        <f t="shared" ca="1" si="303"/>
        <v>#NAME?</v>
      </c>
      <c r="SH14" s="25">
        <f t="shared" ref="SH14:SH23" si="321">IF($AO14="yes",$AN14,$AR14)/(1-$AL14)/$JN14</f>
        <v>0</v>
      </c>
      <c r="SI14" s="4" t="str">
        <f>VLOOKUP(SH14,'Ship Time Charter Rates'!$F$10:$G$17,2,TRUE)</f>
        <v>Handysize</v>
      </c>
      <c r="SJ14" s="4" t="str">
        <f>VLOOKUP(SH14,Canals!$E$5:$F$12,2,TRUE)</f>
        <v>Handysize</v>
      </c>
      <c r="SK14" s="25">
        <f t="shared" si="122"/>
        <v>145.88999999999999</v>
      </c>
      <c r="SL14" s="25">
        <f t="shared" si="123"/>
        <v>0</v>
      </c>
      <c r="SM14" s="25">
        <f t="shared" si="124"/>
        <v>4797</v>
      </c>
      <c r="SO14" s="75">
        <f t="array" ref="SO14">INDEX('Indices Mines Exporting Ports'!$R$20:$R$51,MATCH(2,1/(('Indices Mines Exporting Ports'!$D$20:$D$51&lt;=Main!$C14)*('Indices Mines Exporting Ports'!$Q$20:$Q$51=$AQ14))))</f>
        <v>0</v>
      </c>
      <c r="SP14" s="75">
        <f t="array" ref="SP14">INDEX('Indices Mines Exporting Ports'!$S$20:$S$51,MATCH(2,1/(('Indices Mines Exporting Ports'!$D$20:$D$51&lt;=Main!$C14)*('Indices Mines Exporting Ports'!$Q$20:$Q$51=$AQ14))))</f>
        <v>0</v>
      </c>
      <c r="SQ14" s="75">
        <f t="array" ref="SQ14">INDEX('Indices Mines Exporting Ports'!$T$20:$T$51,MATCH(2,1/(('Indices Mines Exporting Ports'!$D$20:$D$51&lt;=Main!$C14)*('Indices Mines Exporting Ports'!$Q$20:$Q$51=$AQ14))))</f>
        <v>0</v>
      </c>
      <c r="SR14" s="75">
        <f t="array" ref="SR14">INDEX('Indices Mines Exporting Ports'!$U$20:$U$51,MATCH(2,1/(('Indices Mines Exporting Ports'!$D$20:$D$51&lt;=Main!$C14)*('Indices Mines Exporting Ports'!$Q$20:$Q$51=$AQ14))))</f>
        <v>0</v>
      </c>
      <c r="SS14" s="75">
        <f t="array" ref="SS14">INDEX('Indices Mines Exporting Ports'!$V$20:$V$51,MATCH(2,1/(('Indices Mines Exporting Ports'!$D$20:$D$51&lt;=Main!$C14)*('Indices Mines Exporting Ports'!$Q$20:$Q$51=$AQ14))))</f>
        <v>0</v>
      </c>
      <c r="ST14" s="75">
        <f t="array" ref="ST14">INDEX('Indices Mines Exporting Ports'!$W$20:$W$51,MATCH(2,1/(('Indices Mines Exporting Ports'!$D$20:$D$51&lt;=Main!$C14)*('Indices Mines Exporting Ports'!$Q$20:$Q$51=$AQ14))))</f>
        <v>0</v>
      </c>
      <c r="SU14" s="75">
        <f t="array" ref="SU14">INDEX('Indices Mines Exporting Ports'!$X$20:$X$51,MATCH(2,1/(('Indices Mines Exporting Ports'!$D$20:$D$51&lt;=Main!$C14)*('Indices Mines Exporting Ports'!$Q$20:$Q$51=$AQ14))))</f>
        <v>0</v>
      </c>
      <c r="SW14" s="75">
        <f t="array" ref="SW14">INDEX('Port Linkages'!$E$18:$E$157,MATCH(2,1/(('Port Linkages'!$C$18:$C$157=$AQ14)*('Port Linkages'!$D$18:$D$157=IF($AO14="no",$AQ14,$AS14))*('Port Linkages'!$A$18:$A$157&lt;=$C14))))</f>
        <v>0</v>
      </c>
      <c r="SX14" s="75">
        <f t="array" ref="SX14">INDEX('Port Linkages'!$F$18:$F$157,MATCH(2,1/(('Port Linkages'!$C$18:$C$157=$AQ14)*('Port Linkages'!$D$18:$D$157=IF($AO14="no",$AQ14,$AS14))*('Port Linkages'!$A$18:$A$157&lt;=$C14))))</f>
        <v>0</v>
      </c>
      <c r="SY14" s="75">
        <f t="array" ref="SY14">INDEX('Port Linkages'!$G$18:$G$157,MATCH(2,1/(('Port Linkages'!$C$18:$C$157=$AQ14)*('Port Linkages'!$D$18:$D$157=IF($AO14="no",$AQ14,$AS14))*('Port Linkages'!$A$18:$A$157&lt;=$C14))))</f>
        <v>0</v>
      </c>
      <c r="SZ14" s="75">
        <f t="array" ref="SZ14">INDEX('Port Linkages'!$H$18:$H$157,MATCH(2,1/(('Port Linkages'!$C$18:$C$157=$AQ14)*('Port Linkages'!$D$18:$D$157=IF($AO14="no",$AQ14,$AS14))*('Port Linkages'!$A$18:$A$157&lt;=$C14))))</f>
        <v>0</v>
      </c>
      <c r="TA14" s="75">
        <f t="array" ref="TA14">INDEX('Port Linkages'!$I$18:$I$157,MATCH(2,1/(('Port Linkages'!$C$18:$C$157=$AQ14)*('Port Linkages'!$D$18:$D$157=IF($AO14="no",$AQ14,$AS14))*('Port Linkages'!$A$18:$A$157&lt;=$C14))))</f>
        <v>0</v>
      </c>
      <c r="TB14" s="75">
        <f t="array" ref="TB14">INDEX('Port Linkages'!$J$18:$J$157,MATCH(2,1/(('Port Linkages'!$C$18:$C$157=$AQ14)*('Port Linkages'!$D$18:$D$157=IF($AO14="no",$AQ14,$AS14))*('Port Linkages'!$A$18:$A$157&lt;=$C14))))</f>
        <v>0</v>
      </c>
      <c r="TC14" s="75">
        <f t="array" ref="TC14">INDEX('Port Linkages'!$K$18:$K$157,MATCH(2,1/(('Port Linkages'!$C$18:$C$157=$AQ14)*('Port Linkages'!$D$18:$D$157=IF($AO14="no",$AQ14,$AS14))*('Port Linkages'!$A$18:$A$157&lt;=$C14))))</f>
        <v>0</v>
      </c>
      <c r="TD14" s="75">
        <f t="array" ref="TD14">INDEX('Port Linkages'!$L$18:$L$157,MATCH(2,1/(('Port Linkages'!$C$18:$C$157=$AQ14)*('Port Linkages'!$D$18:$D$157=IF($AO14="no",$AQ14,$AS14))*('Port Linkages'!$A$18:$A$157&lt;=$C14))))</f>
        <v>0</v>
      </c>
      <c r="TE14" s="75">
        <f t="array" ref="TE14">INDEX('Port Linkages'!$M$18:$M$157,MATCH(2,1/(('Port Linkages'!$C$18:$C$157=$AQ14)*('Port Linkages'!$D$18:$D$157=IF($AO14="no",$AQ14,$AS14))*('Port Linkages'!$A$18:$A$157&lt;=$C14))))</f>
        <v>0</v>
      </c>
      <c r="TF14" s="75">
        <f t="array" ref="TF14">INDEX('Port Linkages'!$N$18:$N$157,MATCH(2,1/(('Port Linkages'!$C$18:$C$157=$AQ14)*('Port Linkages'!$D$18:$D$157=IF($AO14="no",$AQ14,$AS14))*('Port Linkages'!$A$18:$A$157&lt;=$C14))))</f>
        <v>0</v>
      </c>
      <c r="TG14" s="75">
        <f t="array" ref="TG14">INDEX('Port Linkages'!$O$18:$O$157,MATCH(2,1/(('Port Linkages'!$C$18:$C$157=$AQ14)*('Port Linkages'!$D$18:$D$157=IF($AO14="no",$AQ14,$AS14))*('Port Linkages'!$A$18:$A$157&lt;=$C14))))</f>
        <v>0</v>
      </c>
      <c r="TH14" s="75">
        <f t="array" ref="TH14">INDEX('Port Linkages'!$P$18:$P$157,MATCH(2,1/(('Port Linkages'!$C$18:$C$157=$AQ14)*('Port Linkages'!$D$18:$D$157=IF($AO14="no",$AQ14,$AS14))*('Port Linkages'!$A$18:$A$157&lt;=$C14))))</f>
        <v>0</v>
      </c>
      <c r="TI14" s="75">
        <f t="array" ref="TI14">INDEX('Port Linkages'!$Q$18:$Q$157,MATCH(2,1/(('Port Linkages'!$C$18:$C$157=$AQ14)*('Port Linkages'!$D$18:$D$157=IF($AO14="no",$AQ14,$AS14))*('Port Linkages'!$A$18:$A$157&lt;=$C14))))</f>
        <v>0</v>
      </c>
      <c r="TJ14" s="75">
        <f t="array" ref="TJ14">INDEX('Port Linkages'!$R$18:$R$157,MATCH(2,1/(('Port Linkages'!$C$18:$C$157=$AQ14)*('Port Linkages'!$D$18:$D$157=IF($AO14="no",$AQ14,$AS14))*('Port Linkages'!$A$18:$A$157&lt;=$C14))))</f>
        <v>0</v>
      </c>
      <c r="TK14" s="75">
        <f t="array" ref="TK14">INDEX('Port Linkages'!$S$18:$S$157,MATCH(2,1/(('Port Linkages'!$C$18:$C$157=$AQ14)*('Port Linkages'!$D$18:$D$157=IF($AO14="no",$AQ14,$AS14))*('Port Linkages'!$A$18:$A$157&lt;=$C14))))</f>
        <v>0</v>
      </c>
      <c r="TL14" s="75">
        <f t="array" ref="TL14">INDEX('Port Linkages'!$T$18:$T$157,MATCH(2,1/(('Port Linkages'!$C$18:$C$157=$AQ14)*('Port Linkages'!$D$18:$D$157=IF($AO14="no",$AQ14,$AS14))*('Port Linkages'!$A$18:$A$157&lt;=$C14))))</f>
        <v>0</v>
      </c>
      <c r="TM14" s="75">
        <f t="array" ref="TM14">INDEX('Port Linkages'!$U$18:$U$157,MATCH(2,1/(('Port Linkages'!$C$18:$C$157=$AQ14)*('Port Linkages'!$D$18:$D$157=IF($AO14="no",$AQ14,$AS14))*('Port Linkages'!$A$18:$A$157&lt;=$C14))))</f>
        <v>0</v>
      </c>
      <c r="TN14" s="75">
        <f t="array" ref="TN14">INDEX('Port Linkages'!$V$18:$V$157,MATCH(2,1/(('Port Linkages'!$C$18:$C$157=$AQ14)*('Port Linkages'!$D$18:$D$157=IF($AO14="no",$AQ14,$AS14))*('Port Linkages'!$A$18:$A$157&lt;=$C14))))</f>
        <v>0</v>
      </c>
      <c r="TO14" s="75">
        <f t="array" ref="TO14">INDEX('Port Linkages'!$W$18:$W$157,MATCH(2,1/(('Port Linkages'!$C$18:$C$157=$AQ14)*('Port Linkages'!$D$18:$D$157=IF($AO14="no",$AQ14,$AS14))*('Port Linkages'!$A$18:$A$157&lt;=$C14))))</f>
        <v>0</v>
      </c>
      <c r="TP14" s="75">
        <f t="array" ref="TP14">INDEX('Port Linkages'!$X$18:$X$157,MATCH(2,1/(('Port Linkages'!$C$18:$C$157=$AQ14)*('Port Linkages'!$D$18:$D$157=IF($AO14="no",$AQ14,$AS14))*('Port Linkages'!$A$18:$A$157&lt;=$C14))))</f>
        <v>0</v>
      </c>
      <c r="TQ14" s="75">
        <f t="array" ref="TQ14">INDEX('Port Linkages'!$Y$18:$Y$157,MATCH(2,1/(('Port Linkages'!$C$18:$C$157=$AQ14)*('Port Linkages'!$D$18:$D$157=IF($AO14="no",$AQ14,$AS14))*('Port Linkages'!$A$18:$A$157&lt;=$C14))))</f>
        <v>0</v>
      </c>
      <c r="TR14" s="75">
        <f t="array" ref="TR14">INDEX('Port Linkages'!$Z$18:$Z$157,MATCH(2,1/(('Port Linkages'!$C$18:$C$157=$AQ14)*('Port Linkages'!$D$18:$D$157=IF($AO14="no",$AQ14,$AS14))*('Port Linkages'!$A$18:$A$157&lt;=$C14))))</f>
        <v>0</v>
      </c>
      <c r="TS14" s="75">
        <f t="array" ref="TS14">INDEX('Port Linkages'!$AA$18:$AA$157,MATCH(2,1/(('Port Linkages'!$C$18:$C$157=$AQ14)*('Port Linkages'!$D$18:$D$157=IF($AO14="no",$AQ14,$AS14))*('Port Linkages'!$A$18:$A$157&lt;=$C14))))</f>
        <v>0</v>
      </c>
      <c r="TT14" s="75">
        <f t="array" ref="TT14">INDEX('Port Linkages'!$AB$18:$AB$157,MATCH(2,1/(('Port Linkages'!$C$18:$C$157=$AQ14)*('Port Linkages'!$D$18:$D$157=IF($AO14="no",$AQ14,$AS14))*('Port Linkages'!$A$18:$A$157&lt;=$C14))))</f>
        <v>0</v>
      </c>
      <c r="TU14" s="75">
        <f t="array" ref="TU14">INDEX('Port Linkages'!$AC$18:$AC$157,MATCH(2,1/(('Port Linkages'!$C$18:$C$157=$AQ14)*('Port Linkages'!$D$18:$D$157=IF($AO14="no",$AQ14,$AS14))*('Port Linkages'!$A$18:$A$157&lt;=$C14))))</f>
        <v>0</v>
      </c>
      <c r="TV14" s="75">
        <f t="array" ref="TV14">INDEX('Port Linkages'!$AD$18:$AD$157,MATCH(2,1/(('Port Linkages'!$C$18:$C$157=$AQ14)*('Port Linkages'!$D$18:$D$157=IF($AO14="no",$AQ14,$AS14))*('Port Linkages'!$A$18:$A$157&lt;=$C14))))</f>
        <v>0</v>
      </c>
      <c r="TW14" s="75">
        <f t="array" ref="TW14">INDEX('Port Linkages'!$AE$18:$AE$157,MATCH(2,1/(('Port Linkages'!$C$18:$C$157=$AQ14)*('Port Linkages'!$D$18:$D$157=IF($AO14="no",$AQ14,$AS14))*('Port Linkages'!$A$18:$A$157&lt;=$C14))))</f>
        <v>0</v>
      </c>
      <c r="TX14" s="75">
        <f t="array" ref="TX14">INDEX('Port Linkages'!$AF$18:$AF$157,MATCH(2,1/(('Port Linkages'!$C$18:$C$157=$AQ14)*('Port Linkages'!$D$18:$D$157=IF($AO14="no",$AQ14,$AS14))*('Port Linkages'!$A$18:$A$157&lt;=$C14))))</f>
        <v>0</v>
      </c>
      <c r="TY14" s="75">
        <f t="array" ref="TY14">INDEX('Port Linkages'!$AG$18:$AG$157,MATCH(2,1/(('Port Linkages'!$C$18:$C$157=$AQ14)*('Port Linkages'!$D$18:$D$157=IF($AO14="no",$AQ14,$AS14))*('Port Linkages'!$A$18:$A$157&lt;=$C14))))</f>
        <v>0</v>
      </c>
      <c r="TZ14" s="75">
        <f t="array" ref="TZ14">INDEX('Port Linkages'!$AH$18:$AH$157,MATCH(2,1/(('Port Linkages'!$C$18:$C$157=$AQ14)*('Port Linkages'!$D$18:$D$157=IF($AO14="no",$AQ14,$AS14))*('Port Linkages'!$A$18:$A$157&lt;=$C14))))</f>
        <v>0</v>
      </c>
      <c r="UA14" s="75">
        <f t="array" ref="UA14">INDEX('Port Linkages'!$AI$18:$AI$157,MATCH(2,1/(('Port Linkages'!$C$18:$C$157=$AQ14)*('Port Linkages'!$D$18:$D$157=IF($AO14="no",$AQ14,$AS14))*('Port Linkages'!$A$18:$A$157&lt;=$C14))))</f>
        <v>0</v>
      </c>
      <c r="UB14" s="75">
        <f t="array" ref="UB14">INDEX('Port Linkages'!$AJ$18:$AJ$157,MATCH(2,1/(('Port Linkages'!$C$18:$C$157=$AQ14)*('Port Linkages'!$D$18:$D$157=IF($AO14="no",$AQ14,$AS14))*('Port Linkages'!$A$18:$A$157&lt;=$C14))))</f>
        <v>0</v>
      </c>
      <c r="UC14" s="75">
        <f t="array" ref="UC14">INDEX('Port Linkages'!$AK$18:$AK$157,MATCH(2,1/(('Port Linkages'!$C$18:$C$157=$AQ14)*('Port Linkages'!$D$18:$D$157=IF($AO14="no",$AQ14,$AS14))*('Port Linkages'!$A$18:$A$157&lt;=$C14))))</f>
        <v>0</v>
      </c>
      <c r="UD14" s="75">
        <f t="array" ref="UD14">INDEX('Port Linkages'!$AL$18:$AL$157,MATCH(2,1/(('Port Linkages'!$C$18:$C$157=$AQ14)*('Port Linkages'!$D$18:$D$157=IF($AO14="no",$AQ14,$AS14))*('Port Linkages'!$A$18:$A$157&lt;=$C14))))</f>
        <v>0</v>
      </c>
      <c r="UE14" s="75">
        <f t="array" ref="UE14">INDEX('Port Linkages'!$AM$18:$AM$157,MATCH(2,1/(('Port Linkages'!$C$18:$C$157=$AQ14)*('Port Linkages'!$D$18:$D$157=IF($AO14="no",$AQ14,$AS14))*('Port Linkages'!$A$18:$A$157&lt;=$C14))))</f>
        <v>0</v>
      </c>
      <c r="UF14" s="75">
        <f t="array" ref="UF14">INDEX('Port Linkages'!$AN$18:$AN$157,MATCH(2,1/(('Port Linkages'!$C$18:$C$157=$AQ14)*('Port Linkages'!$D$18:$D$157=IF($AO14="no",$AQ14,$AS14))*('Port Linkages'!$A$18:$A$157&lt;=$C14))))</f>
        <v>0</v>
      </c>
      <c r="UG14" s="75">
        <f t="array" ref="UG14">INDEX('Port Linkages'!$AO$18:$AO$157,MATCH(2,1/(('Port Linkages'!$C$18:$C$157=$AQ14)*('Port Linkages'!$D$18:$D$157=IF($AO14="no",$AQ14,$AS14))*('Port Linkages'!$A$18:$A$157&lt;=$C14))))</f>
        <v>0</v>
      </c>
      <c r="UH14" s="75">
        <f t="array" ref="UH14">INDEX('Port Linkages'!$AP$18:$AP$157,MATCH(2,1/(('Port Linkages'!$C$18:$C$157=$AQ14)*('Port Linkages'!$D$18:$D$157=IF($AO14="no",$AQ14,$AS14))*('Port Linkages'!$A$18:$A$157&lt;=$C14))))</f>
        <v>0</v>
      </c>
      <c r="UI14" s="75">
        <f t="array" ref="UI14">INDEX('Port Linkages'!$AQ$18:$AQ$157,MATCH(2,1/(('Port Linkages'!$C$18:$C$157=$AQ14)*('Port Linkages'!$D$18:$D$157=IF($AO14="no",$AQ14,$AS14))*('Port Linkages'!$A$18:$A$157&lt;=$C14))))</f>
        <v>0</v>
      </c>
      <c r="UJ14" s="75">
        <f t="array" ref="UJ14">INDEX('Port Linkages'!$AR$18:$AR$157,MATCH(2,1/(('Port Linkages'!$C$18:$C$157=$AQ14)*('Port Linkages'!$D$18:$D$157=IF($AO14="no",$AQ14,$AS14))*('Port Linkages'!$A$18:$A$157&lt;=$C14))))</f>
        <v>0</v>
      </c>
      <c r="UK14" s="75">
        <f t="array" ref="UK14">INDEX('Port Linkages'!$AS$18:$AS$157,MATCH(2,1/(('Port Linkages'!$C$18:$C$157=$AQ14)*('Port Linkages'!$D$18:$D$157=IF($AO14="no",$AQ14,$AS14))*('Port Linkages'!$A$18:$A$157&lt;=$C14))))</f>
        <v>0</v>
      </c>
      <c r="UL14" s="75">
        <f t="array" ref="UL14">INDEX('Port Linkages'!$AT$18:$AT$157,MATCH(2,1/(('Port Linkages'!$C$18:$C$157=$AQ14)*('Port Linkages'!$D$18:$D$157=IF($AO14="no",$AQ14,$AS14))*('Port Linkages'!$A$18:$A$157&lt;=$C14))))</f>
        <v>0</v>
      </c>
      <c r="UM14" s="75">
        <f t="array" ref="UM14">INDEX('Port Linkages'!$AU$18:$AU$157,MATCH(2,1/(('Port Linkages'!$C$18:$C$157=$AQ14)*('Port Linkages'!$D$18:$D$157=IF($AO14="no",$AQ14,$AS14))*('Port Linkages'!$A$18:$A$157&lt;=$C14))))</f>
        <v>0</v>
      </c>
      <c r="UN14" s="75">
        <f t="array" ref="UN14">INDEX('Port Linkages'!$AV$18:$AV$157,MATCH(2,1/(('Port Linkages'!$C$18:$C$157=$AQ14)*('Port Linkages'!$D$18:$D$157=IF($AO14="no",$AQ14,$AS14))*('Port Linkages'!$A$18:$A$157&lt;=$C14))))</f>
        <v>0</v>
      </c>
      <c r="UO14" s="75">
        <f t="array" ref="UO14">INDEX('Port Linkages'!$AW$18:$AW$157,MATCH(2,1/(('Port Linkages'!$C$18:$C$157=$AQ14)*('Port Linkages'!$D$18:$D$157=IF($AO14="no",$AQ14,$AS14))*('Port Linkages'!$A$18:$A$157&lt;=$C14))))</f>
        <v>0</v>
      </c>
      <c r="UP14" s="75">
        <f t="array" ref="UP14">INDEX('Port Linkages'!$AX$18:$AX$157,MATCH(2,1/(('Port Linkages'!$C$18:$C$157=$AQ14)*('Port Linkages'!$D$18:$D$157=IF($AO14="no",$AQ14,$AS14))*('Port Linkages'!$A$18:$A$157&lt;=$C14))))</f>
        <v>0</v>
      </c>
      <c r="UQ14" s="75">
        <f t="array" ref="UQ14">INDEX('Port Linkages'!$AY$18:$AY$157,MATCH(2,1/(('Port Linkages'!$C$18:$C$157=$AQ14)*('Port Linkages'!$D$18:$D$157=IF($AO14="no",$AQ14,$AS14))*('Port Linkages'!$A$18:$A$157&lt;=$C14))))</f>
        <v>0</v>
      </c>
      <c r="UR14" s="75">
        <f t="array" ref="UR14">INDEX('Port Linkages'!$AZ$18:$AZ$157,MATCH(2,1/(('Port Linkages'!$C$18:$C$157=$AQ14)*('Port Linkages'!$D$18:$D$157=IF($AO14="no",$AQ14,$AS14))*('Port Linkages'!$A$18:$A$157&lt;=$C14))))</f>
        <v>0</v>
      </c>
      <c r="US14" s="75">
        <f t="array" ref="US14">INDEX('Port Linkages'!$BA$18:$BA$157,MATCH(2,1/(('Port Linkages'!$C$18:$C$157=$AQ14)*('Port Linkages'!$D$18:$D$157=IF($AO14="no",$AQ14,$AS14))*('Port Linkages'!$A$18:$A$157&lt;=$C14))))</f>
        <v>0</v>
      </c>
      <c r="UU14" s="25" t="e">
        <f t="array" aca="1" ref="UU14" ca="1">INDEX('Ship Fuel Prices'!$F$5:$F$1004,MATCH(2,1/(('Ship Fuel Prices'!$E$5:$E$1004=_xlfn.IFS(SJ14="Handysize",Main!UP14,SJ14="Supramax",UI14,SJ14="Panamax",UB14,SJ14="NeoPanamax",TU14,SJ14="Suezmax",TN14,SJ14="Capesize",TG14,SJ14="VLOC",SZ14))*('Ship Fuel Prices'!$D$5:$D$1004&lt;=Main!$C14))))</f>
        <v>#N/A</v>
      </c>
      <c r="UV14" s="25" t="e">
        <f t="array" aca="1" ref="UV14" ca="1">INDEX('Ship Fuel Prices'!$G$5:$G$1004,MATCH(2,1/(('Ship Fuel Prices'!$E$5:$E$1004=_xlfn.IFS(SJ14="Handysize",Main!UP14,SJ14="Supramax",UI14,SJ14="Panamax",UB14,SJ14="NeoPanamax",TU14,SJ14="Suezmax",TN14,SJ14="Capesize",TG14,SJ14="VLOC",SZ14))*('Ship Fuel Prices'!$D$5:$D$1004&lt;=Main!$C14))))</f>
        <v>#N/A</v>
      </c>
      <c r="UW14" s="25" t="e">
        <f t="array" aca="1" ref="UW14" ca="1">INDEX('Ship Fuel Prices'!$H$5:$H$1004,MATCH(2,1/(('Ship Fuel Prices'!$E$5:$E$1004=_xlfn.IFS(SJ14="Handysize",Main!UP14,SJ14="Supramax",UI14,SJ14="Panamax",UB14,SJ14="NeoPanamax",TU14,SJ14="Suezmax",TN14,SJ14="Capesize",TG14,SJ14="VLOC",SZ14))*('Ship Fuel Prices'!$D$5:$D$1004&lt;=Main!$C14))))</f>
        <v>#N/A</v>
      </c>
      <c r="UX14" s="25" t="e">
        <f t="array" aca="1" ref="UX14" ca="1">INDEX('Ship Fuel Prices'!$I$5:$I$1004,MATCH(2,1/(('Ship Fuel Prices'!$E$5:$E$1004=_xlfn.IFS(SJ14="Handysize",Main!UP14,SJ14="Supramax",UI14,SJ14="Panamax",UB14,SJ14="NeoPanamax",TU14,SJ14="Suezmax",TN14,SJ14="Capesize",TG14,SJ14="VLOC",SZ14))*('Ship Fuel Prices'!$D$5:$D$1004&lt;=Main!$C14))))</f>
        <v>#N/A</v>
      </c>
      <c r="UY14" s="25" t="e">
        <f t="array" aca="1" ref="UY14" ca="1">INDEX('Ship Fuel Prices'!$J$5:$J$1004,MATCH(2,1/(('Ship Fuel Prices'!$E$5:$E$1004=_xlfn.IFS(SJ14="Handysize",Main!UP14,SJ14="Supramax",UI14,SJ14="Panamax",UB14,SJ14="NeoPanamax",TU14,SJ14="Suezmax",TN14,SJ14="Capesize",TG14,SJ14="VLOC",SZ14))*('Ship Fuel Prices'!$D$5:$D$1004&lt;=Main!$C14))))</f>
        <v>#N/A</v>
      </c>
      <c r="VA14" s="75">
        <f t="array" ref="VA14">INDEX('China n Importing Ports'!$E$20:$E$41,MATCH(2,1/(('China n Importing Ports'!$D$20:$D$41&lt;=$C14)*('China n Importing Ports'!$C$20:$C$41=IF($AO14="No",$AQ14,$AS14)))))</f>
        <v>0</v>
      </c>
      <c r="VB14" s="75">
        <f t="array" ref="VB14">INDEX('China n Importing Ports'!$F$20:$F$41,MATCH(2,1/(('China n Importing Ports'!$D$20:$D$41&lt;=$C14)*('China n Importing Ports'!$C$20:$C$41=IF($AO14="No",$AQ14,$AS14)))))</f>
        <v>0</v>
      </c>
      <c r="VC14" s="75">
        <f t="array" ref="VC14">INDEX('China n Importing Ports'!$G$20:$G$41,MATCH(2,1/(('China n Importing Ports'!$D$20:$D$41&lt;=$C14)*('China n Importing Ports'!$C$20:$C$41=IF($AO14="No",$AQ14,$AS14)))))</f>
        <v>0</v>
      </c>
      <c r="VD14" s="75">
        <f t="array" ref="VD14">INDEX('China n Importing Ports'!$H$20:$H$41,MATCH(2,1/(('China n Importing Ports'!$D$20:$D$41&lt;=$C14)*('China n Importing Ports'!$C$20:$C$41=IF($AO14="No",$AQ14,$AS14)))))</f>
        <v>0</v>
      </c>
      <c r="VE14" s="75">
        <f t="array" ref="VE14">INDEX('China n Importing Ports'!$I$20:$I$41,MATCH(2,1/(('China n Importing Ports'!$D$20:$D$41&lt;=$C14)*('China n Importing Ports'!$C$20:$C$41=IF($AO14="No",$AQ14,$AS14)))))</f>
        <v>0</v>
      </c>
      <c r="VF14" s="75">
        <f t="array" ref="VF14">INDEX('China n Importing Ports'!$J$20:$J$41,MATCH(2,1/(('China n Importing Ports'!$D$20:$D$41&lt;=$C14)*('China n Importing Ports'!$C$20:$C$41=IF($AO14="No",$AQ14,$AS14)))))</f>
        <v>0</v>
      </c>
      <c r="VG14" s="75">
        <f t="array" ref="VG14">INDEX('China n Importing Ports'!$K$20:$K$41,MATCH(2,1/(('China n Importing Ports'!$D$20:$D$41&lt;=$C14)*('China n Importing Ports'!$C$20:$C$41=IF($AO14="No",$AQ14,$AS14)))))</f>
        <v>0</v>
      </c>
      <c r="VH14" s="75">
        <f t="array" ref="VH14">INDEX('China n Importing Ports'!$L$20:$L$41,MATCH(2,1/(('China n Importing Ports'!$D$20:$D$41&lt;=$C14)*('China n Importing Ports'!$C$20:$C$41=IF($AO14="No",$AQ14,$AS14)))))</f>
        <v>0</v>
      </c>
      <c r="VI14" s="75">
        <f t="array" ref="VI14">INDEX('China n Importing Ports'!$M$20:$M$41,MATCH(2,1/(('China n Importing Ports'!$D$20:$D$41&lt;=$C14)*('China n Importing Ports'!$C$20:$C$41=IF($AO14="No",$AQ14,$AS14)))))</f>
        <v>0</v>
      </c>
      <c r="VJ14" s="75">
        <f t="array" ref="VJ14">INDEX('China n Importing Ports'!$N$20:$N$41,MATCH(2,1/(('China n Importing Ports'!$D$20:$D$41&lt;=$C14)*('China n Importing Ports'!$C$20:$C$41=IF($AO14="No",$AQ14,$AS14)))))</f>
        <v>0</v>
      </c>
      <c r="VK14" s="75">
        <f t="array" ref="VK14">INDEX('China n Importing Ports'!$O$20:$O$41,MATCH(2,1/(('China n Importing Ports'!$D$20:$D$41&lt;=$C14)*('China n Importing Ports'!$C$20:$C$41=IF($AO14="No",$AQ14,$AS14)))))</f>
        <v>0</v>
      </c>
      <c r="VL14" s="136">
        <f t="array" ref="VL14">INDEX('China n Importing Ports'!$P$20:$P$41,MATCH(2,1/(('China n Importing Ports'!$D$20:$D$41&lt;=$C14)*('China n Importing Ports'!$C$20:$C$41=IF($AO14="No",$AQ14,$AS14)))))</f>
        <v>0</v>
      </c>
      <c r="VM14" s="136">
        <f t="array" ref="VM14">INDEX('China n Importing Ports'!$Q$20:$Q$41,MATCH(2,1/(('China n Importing Ports'!$D$20:$D$41&lt;=$C14)*('China n Importing Ports'!$C$20:$C$41=IF($AO14="No",$AQ14,$AS14)))))</f>
        <v>0</v>
      </c>
      <c r="VN14" s="136">
        <f t="array" ref="VN14">INDEX('China n Importing Ports'!$R$20:$R$41,MATCH(2,1/(('China n Importing Ports'!$D$20:$D$41&lt;=$C14)*('China n Importing Ports'!$C$20:$C$41=IF($AO14="No",$AQ14,$AS14)))))</f>
        <v>0</v>
      </c>
      <c r="VO14" s="136">
        <f t="array" ref="VO14">INDEX('China n Importing Ports'!$S$20:$S$41,MATCH(2,1/(('China n Importing Ports'!$D$20:$D$41&lt;=$C14)*('China n Importing Ports'!$C$20:$C$41=IF($AO14="No",$AQ14,$AS14)))))</f>
        <v>0</v>
      </c>
      <c r="VP14" s="136">
        <f t="array" ref="VP14">INDEX('China n Importing Ports'!$T$20:$T$41,MATCH(2,1/(('China n Importing Ports'!$D$20:$D$41&lt;=$C14)*('China n Importing Ports'!$C$20:$C$41=IF($AO14="No",$AQ14,$AS14)))))</f>
        <v>0</v>
      </c>
      <c r="VQ14" s="136">
        <f t="array" ref="VQ14">INDEX('China n Importing Ports'!$U$20:$U$41,MATCH(2,1/(('China n Importing Ports'!$D$20:$D$41&lt;=$C14)*('China n Importing Ports'!$C$20:$C$41=IF($AO14="No",$AQ14,$AS14)))))</f>
        <v>0</v>
      </c>
      <c r="VR14" s="136">
        <f t="array" ref="VR14">INDEX('China n Importing Ports'!$V$20:$V$41,MATCH(2,1/(('China n Importing Ports'!$D$20:$D$41&lt;=$C14)*('China n Importing Ports'!$C$20:$C$41=IF($AO14="No",$AQ14,$AS14)))))</f>
        <v>0</v>
      </c>
      <c r="VS14" s="136">
        <f t="array" ref="VS14">INDEX('China n Importing Ports'!$W$20:$W$41,MATCH(2,1/(('China n Importing Ports'!$D$20:$D$41&lt;=$C14)*('China n Importing Ports'!$C$20:$C$41=IF($AO14="No",$AQ14,$AS14)))))</f>
        <v>0</v>
      </c>
      <c r="VT14" s="136">
        <f t="array" ref="VT14">INDEX('China n Importing Ports'!$X$20:$X$41,MATCH(2,1/(('China n Importing Ports'!$D$20:$D$41&lt;=$C14)*('China n Importing Ports'!$C$20:$C$41=IF($AO14="No",$AQ14,$AS14)))))</f>
        <v>0</v>
      </c>
      <c r="VU14" s="136">
        <f t="array" ref="VU14">INDEX('China n Importing Ports'!$Y$20:$Y$41,MATCH(2,1/(('China n Importing Ports'!$D$20:$D$41&lt;=$C14)*('China n Importing Ports'!$C$20:$C$41=IF($AO14="No",$AQ14,$AS14)))))</f>
        <v>0</v>
      </c>
      <c r="VV14" s="136">
        <f t="array" ref="VV14">INDEX('China n Importing Ports'!$Z$20:$Z$41,MATCH(2,1/(('China n Importing Ports'!$D$20:$D$41&lt;=$C14)*('China n Importing Ports'!$C$20:$C$41=IF($AO14="No",$AQ14,$AS14)))))</f>
        <v>0</v>
      </c>
      <c r="VW14" s="136">
        <f t="array" ref="VW14">INDEX('China n Importing Ports'!$AA$20:$AA$41,MATCH(2,1/(('China n Importing Ports'!$D$20:$D$41&lt;=$C14)*('China n Importing Ports'!$C$20:$C$41=IF($AO14="No",$AQ14,$AS14)))))</f>
        <v>0</v>
      </c>
      <c r="VY14" s="75" t="e">
        <f t="array" aca="1" ref="VY14" ca="1">INDEX(Canals!$G$24:$G$29,MATCH(2,1/((Canals!$F$24:$F$29&lt;=$C14)*(Canals!$G$24:$G$29=_xlfn.IFS(SJ14="Handysize",US14,SJ14="Supramax",UL14,SJ14="Panamax",UE14,SJ14="NeoPanamax",TX14,SJ14="Suezmax",TQ14,SJ14="Capesize",TJ14,SJ14="VLOC",TC14)))))</f>
        <v>#N/A</v>
      </c>
      <c r="VZ14" s="75" t="e">
        <f t="array" aca="1" ref="VZ14" ca="1">INDEX(Canals!$H$24:$H$29,MATCH(2,1/((Canals!$F$24:$F$29&lt;=$C14)*(Canals!$G$24:$G$29=_xlfn.IFS(SJ14="Handysize",US14,SJ14="Supramax",UL14,SJ14="Panamax",UE14,SJ14="NeoPanamax",TX14,SJ14="Suezmax",TQ14,SJ14="Capesize",TJ14,SJ14="VLOC",TC14)))))</f>
        <v>#N/A</v>
      </c>
      <c r="WA14" s="75" t="e">
        <f t="array" aca="1" ref="WA14" ca="1">INDEX(Canals!$I$24:$I$29,MATCH(2,1/((Canals!$F$24:$F$29&lt;=$C14)*(Canals!$G$24:$G$29=_xlfn.IFS(SJ14="Handysize",US14,SJ14="Supramax",UL14,SJ14="Panamax",UE14,SJ14="NeoPanamax",TX14,SJ14="Suezmax",TQ14,SJ14="Capesize",TJ14,SJ14="VLOC",TC14)))))</f>
        <v>#N/A</v>
      </c>
      <c r="WB14" s="75" t="e">
        <f t="array" aca="1" ref="WB14" ca="1">INDEX(Canals!$J$24:$J$29,MATCH(2,1/((Canals!$F$24:$F$29&lt;=$C14)*(Canals!$G$24:$G$29=_xlfn.IFS(SJ14="Handysize",Main!US14,SJ14="Supramax",UL14,SJ14="Panamax",UE14,SJ14="NeoPanamax",TX14,SJ14="Suezmax",TQ14,SJ14="Capesize",TJ14,SJ14="VLOC",TC14)))))</f>
        <v>#N/A</v>
      </c>
      <c r="WC14" s="75" t="e">
        <f t="array" aca="1" ref="WC14" ca="1">INDEX(Canals!$K$24:$K$29,MATCH(2,1/((Canals!$F$24:$F$29&lt;=$C14)*(Canals!$G$24:$G$29=_xlfn.IFS(SJ14="Handysize",Main!US14,SJ14="Supramax",UL14,SJ14="Panamax",UE14,SJ14="NeoPanamax",TX14,SJ14="Suezmax",TQ14,SJ14="Capesize",TJ14,SJ14="VLOC",TC14)))))</f>
        <v>#N/A</v>
      </c>
      <c r="WD14" s="75" t="e">
        <f t="array" aca="1" ref="WD14" ca="1">INDEX(Canals!$L$24:$L$29,MATCH(2,1/((Canals!$F$24:$F$29&lt;=$C14)*(Canals!$G$24:$G$29=_xlfn.IFS(SJ14="Handysize",Main!US14,SJ14="Supramax",UL14,SJ14="Panamax",UE14,SJ14="NeoPanamax",TX14,SJ14="Suezmax",TQ14,SJ14="Capesize",TJ14,SJ14="VLOC",TC14)))))</f>
        <v>#N/A</v>
      </c>
      <c r="WE14" s="75" t="e">
        <f t="array" aca="1" ref="WE14" ca="1">INDEX(Canals!$M$24:$M$29,MATCH(2,1/((Canals!$F$24:$F$29&lt;=$C14)*(Canals!$G$24:$G$29=_xlfn.IFS(SJ14="Handysize",Main!US14,SJ14="Supramax",UL14,SJ14="Panamax",UE14,SJ14="NeoPanamax",TX14,SJ14="Suezmax",TQ14,SJ14="Capesize",TJ14,SJ14="VLOC",TC14)))))</f>
        <v>#N/A</v>
      </c>
      <c r="WF14" s="75" t="e">
        <f t="array" aca="1" ref="WF14" ca="1">INDEX(Canals!$N$24:$N$29,MATCH(2,1/((Canals!$F$24:$F$29&lt;=$C14)*(Canals!$G$24:$G$29=_xlfn.IFS(SJ14="Handysize",Main!US14,SJ14="Supramax",UL14,SJ14="Panamax",UE14,SJ14="NeoPanamax",TX14,SJ14="Suezmax",TQ14,SJ14="Capesize",TJ14,SJ14="VLOC",TC14)))))</f>
        <v>#N/A</v>
      </c>
      <c r="WG14" s="75" t="e">
        <f t="array" aca="1" ref="WG14" ca="1">INDEX(Canals!$O$24:$O$29,MATCH(2,1/((Canals!$F$24:$F$29&lt;=$C14)*(Canals!$G$24:$G$29=_xlfn.IFS(SJ14="Handysize",Main!US14,SJ14="Supramax",UL14,SJ14="Panamax",UE14,SJ14="NeoPanamax",TX14,SJ14="Suezmax",TQ14,SJ14="Capesize",TJ14,SJ14="VLOC",TC14)))))</f>
        <v>#N/A</v>
      </c>
      <c r="WH14" s="75" t="e">
        <f t="array" aca="1" ref="WH14" ca="1">INDEX(Canals!$P$24:$P$29,MATCH(2,1/((Canals!$F$24:$F$29&lt;=$C14)*(Canals!$G$24:$G$29=_xlfn.IFS(SJ14="Handysize",Main!US14,SJ14="Supramax",UL14,SJ14="Panamax",UE14,SJ14="NeoPanamax",TX14,SJ14="Suezmax",TQ14,SJ14="Capesize",TJ14,SJ14="VLOC",TC14)))))</f>
        <v>#N/A</v>
      </c>
      <c r="WI14" s="75" t="e">
        <f t="array" aca="1" ref="WI14" ca="1">INDEX(Canals!$Q$24:$Q$29,MATCH(2,1/((Canals!$F$24:$F$29&lt;=$C14)*(Canals!$G$24:$G$29=_xlfn.IFS(SJ14="Handysize",Main!US14,SJ14="Supramax",UL14,SJ14="Panamax",UE14,SJ14="NeoPanamax",TX14,SJ14="Suezmax",TQ14,SJ14="Capesize",TJ14,SJ14="VLOC",TC14)))))</f>
        <v>#N/A</v>
      </c>
      <c r="WJ14" s="75" t="e">
        <f t="array" aca="1" ref="WJ14" ca="1">INDEX(Canals!$R$24:$R$29,MATCH(2,1/((Canals!$F$24:$F$29&lt;=$C14)*(Canals!$G$24:$G$29=_xlfn.IFS(SJ14="Handysize",Main!US14,SJ14="Supramax",UL14,SJ14="Panamax",UE14,SJ14="NeoPanamax",TX14,SJ14="Suezmax",TQ14,SJ14="Capesize",TJ14,SJ14="VLOC",TC14)))))</f>
        <v>#N/A</v>
      </c>
      <c r="WK14" s="136" t="e">
        <f t="array" aca="1" ref="WK14" ca="1">INDEX(Canals!$S$24:$S$29,MATCH(2,1/((Canals!$F$24:$F$29&lt;=$C14)*(Canals!$G$24:$G$29=_xlfn.IFS(SJ14="Handysize",Main!US14,SJ14="Supramax",UL14,SJ14="Panamax",UE14,SJ14="NeoPanamax",TX14,SJ14="Suezmax",TQ14,SJ14="Capesize",TJ14,SJ14="VLOC",TC14)))))</f>
        <v>#N/A</v>
      </c>
      <c r="WL14" s="136" t="e">
        <f t="array" aca="1" ref="WL14" ca="1">INDEX(Canals!$T$24:$T$29,MATCH(2,1/((Canals!$F$24:$F$29&lt;=$C14)*(Canals!$G$24:$G$29=_xlfn.IFS(SJ14="Handysize",Main!US14,SJ14="Supramax",UL14,SJ14="Panamax",UE14,SJ14="NeoPanamax",TX14,SJ14="Suezmax",TQ14,SJ14="Capesize",TJ14,SJ14="VLOC",TC14)))))</f>
        <v>#N/A</v>
      </c>
      <c r="WM14" s="136" t="e">
        <f t="array" aca="1" ref="WM14" ca="1">INDEX(Canals!$U$24:$U$29,MATCH(2,1/((Canals!$F$24:$F$29&lt;=$C14)*(Canals!$G$24:$G$29=_xlfn.IFS(SJ14="Handysize",Main!US14,SJ14="Supramax",UL14,SJ14="Panamax",UE14,SJ14="NeoPanamax",TX14,SJ14="Suezmax",TQ14,SJ14="Capesize",TJ14,SJ14="VLOC",TC14)))))</f>
        <v>#N/A</v>
      </c>
      <c r="WN14" s="136" t="e">
        <f t="array" aca="1" ref="WN14" ca="1">INDEX(Canals!$V$24:$V$29,MATCH(2,1/((Canals!$F$24:$F$29&lt;=$C14)*(Canals!$G$24:$G$29=_xlfn.IFS(SJ14="Handysize",Main!US14,SJ14="Supramax",UL14,SJ14="Panamax",UE14,SJ14="NeoPanamax",TX14,SJ14="Suezmax",TQ14,SJ14="Capesize",TJ14,SJ14="VLOC",TC14)))))</f>
        <v>#N/A</v>
      </c>
      <c r="WO14" s="136" t="e">
        <f t="array" aca="1" ref="WO14" ca="1">INDEX(Canals!$W$24:$W$29,MATCH(2,1/((Canals!$F$24:$F$29&lt;=$C14)*(Canals!$G$24:$G$29=_xlfn.IFS(SJ14="Handysize",Main!US14,SJ14="Supramax",UL14,SJ14="Panamax",UE14,SJ14="NeoPanamax",TX14,SJ14="Suezmax",TQ14,SJ14="Capesize",TJ14,SJ14="VLOC",TC14)))))</f>
        <v>#N/A</v>
      </c>
      <c r="WP14" s="136" t="e">
        <f t="array" aca="1" ref="WP14" ca="1">INDEX(Canals!$X$24:$X$29,MATCH(2,1/((Canals!$F$24:$F$29&lt;=$C14)*(Canals!$G$24:$G$29=_xlfn.IFS(SJ14="Handysize",Main!US14,SJ14="Supramax",UL14,SJ14="Panamax",UE14,SJ14="NeoPanamax",TX14,SJ14="Suezmax",TQ14,SJ14="Capesize",TJ14,SJ14="VLOC",TC14)))))</f>
        <v>#N/A</v>
      </c>
      <c r="WQ14" s="136" t="e">
        <f t="array" aca="1" ref="WQ14" ca="1">INDEX(Canals!$Y$24:$Y$29,MATCH(2,1/((Canals!$F$24:$F$29&lt;=$C14)*(Canals!$G$24:$G$29=_xlfn.IFS(SJ14="Handysize",Main!US14,SJ14="Supramax",UL14,SJ14="Panamax",UE14,SJ14="NeoPanamax",TX14,SJ14="Suezmax",TQ14,SJ14="Capesize",TJ14,SJ14="VLOC",TC14)))))</f>
        <v>#N/A</v>
      </c>
      <c r="WR14" s="136" t="e">
        <f t="array" aca="1" ref="WR14" ca="1">INDEX(Canals!$Z$24:$Z$29,MATCH(2,1/((Canals!$F$24:$F$29&lt;=$C14)*(Canals!$G$24:$G$29=_xlfn.IFS(SJ14="Handysize",Main!US14,SJ14="Supramax",UL14,SJ14="Panamax",UE14,SJ14="NeoPanamax",TX14,SJ14="Suezmax",TQ14,SJ14="Capesize",TJ14,SJ14="VLOC",TC14)))))</f>
        <v>#N/A</v>
      </c>
      <c r="WS14" s="136" t="e">
        <f t="array" aca="1" ref="WS14" ca="1">INDEX(Canals!$AA$24:$AA$29,MATCH(2,1/((Canals!$F$24:$F$29&lt;=$C14)*(Canals!$G$24:$G$29=_xlfn.IFS(SJ14="Handysize",Main!US14,SJ14="Supramax",UL14,SJ14="Panamax",UE14,SJ14="NeoPanamax",TX14,SJ14="Suezmax",TQ14,SJ14="Capesize",TJ14,SJ14="VLOC",TC14)))))</f>
        <v>#N/A</v>
      </c>
      <c r="WT14" s="136" t="e">
        <f t="array" aca="1" ref="WT14" ca="1">INDEX(Canals!$AB$24:$AB$29,MATCH(2,1/((Canals!$F$24:$F$29&lt;=$C14)*(Canals!$G$24:$G$29=_xlfn.IFS(SJ14="Handysize",Main!US14,SJ14="Supramax",UL14,SJ14="Panamax",UE14,SJ14="NeoPanamax",TX14,SJ14="Suezmax",TQ14,SJ14="Capesize",TJ14,SJ14="VLOC",TC14)))))</f>
        <v>#N/A</v>
      </c>
      <c r="WU14" s="75" t="e">
        <f t="array" aca="1" ref="WU14" ca="1">INDEX(Canals!$AC$24:$AC$29,MATCH(2,1/((Canals!$F$24:$F$29&lt;=$C14)*(Canals!$G$24:$G$29=_xlfn.IFS(SJ14="Handysize",Main!US14,SJ14="Supramax",UL14,SJ14="Panamax",UE14,SJ14="NeoPanamax",TX14,SJ14="Suezmax",TQ14,SJ14="Capesize",TJ14,SJ14="VLOC",TC14)))))</f>
        <v>#N/A</v>
      </c>
      <c r="WV14" s="75" t="e">
        <f t="array" aca="1" ref="WV14" ca="1">INDEX(Canals!$AD$24:$AD$29,MATCH(2,1/((Canals!$F$24:$F$29&lt;=$C14)*(Canals!$G$24:$G$29=_xlfn.IFS(SJ14="Handysize",Main!US14,SJ14="Supramax",UL14,SJ14="Panamax",UE14,SJ14="NeoPanamax",TX14,SJ14="Suezmax",TQ14,SJ14="Capesize",TJ14,SJ14="VLOC",TC14)))))</f>
        <v>#N/A</v>
      </c>
      <c r="WW14" s="75" t="e">
        <f t="array" aca="1" ref="WW14" ca="1">INDEX(Canals!$AE$24:$AE$29,MATCH(2,1/((Canals!$F$24:$F$29&lt;=$C14)*(Canals!$G$24:$G$29=_xlfn.IFS(SJ14="Handysize",Main!US14,SJ14="Supramax",UL14,SJ14="Panamax",UE14,SJ14="NeoPanamax",TX14,SJ14="Suezmax",TQ14,SJ14="Capesize",TJ14,SJ14="VLOC",TC14)))))</f>
        <v>#N/A</v>
      </c>
      <c r="WX14" s="75" t="e">
        <f t="array" aca="1" ref="WX14" ca="1">INDEX(Canals!$AF$24:$AF$29,MATCH(2,1/((Canals!$F$24:$F$29&lt;=$C14)*(Canals!$G$24:$G$29=_xlfn.IFS(SJ14="Handysize",Main!US14,SJ14="Supramax",UL14,SJ14="Panamax",UE14,SJ14="NeoPanamax",TX14,SJ14="Suezmax",TQ14,SJ14="Capesize",TJ14,SJ14="VLOC",TC14)))))</f>
        <v>#N/A</v>
      </c>
      <c r="WY14" s="75" t="e">
        <f t="array" aca="1" ref="WY14" ca="1">INDEX(Canals!$AG$24:$AG$29,MATCH(2,1/((Canals!$F$24:$F$29&lt;=$C14)*(Canals!$G$24:$G$29=_xlfn.IFS(SJ14="Handysize",Main!US14,SJ14="Supramax",UL14,SJ14="Panamax",UE14,SJ14="NeoPanamax",TX14,SJ14="Suezmax",TQ14,SJ14="Capesize",TJ14,SJ14="VLOC",TC14)))))</f>
        <v>#N/A</v>
      </c>
      <c r="WZ14" s="75" t="e">
        <f t="array" aca="1" ref="WZ14" ca="1">INDEX(Canals!$AH$24:$AH$29,MATCH(2,1/((Canals!$F$24:$F$29&lt;=$C14)*(Canals!$G$24:$G$29=_xlfn.IFS(SJ14="Handysize",Main!US14,SJ14="Supramax",UL14,SJ14="Panamax",UE14,SJ14="NeoPanamax",TX14,SJ14="Suezmax",TQ14,SJ14="Capesize",TJ14,SJ14="VLOC",TC14)))))</f>
        <v>#N/A</v>
      </c>
      <c r="XA14" s="75" t="e">
        <f t="array" aca="1" ref="XA14" ca="1">INDEX(Canals!$AI$24:$AI$29,MATCH(2,1/((Canals!$F$24:$F$29&lt;=$C14)*(Canals!$G$24:$G$29=_xlfn.IFS(SJ14="Handysize",Main!US14,SJ14="Supramax",UL14,SJ14="Panamax",UE14,SJ14="NeoPanamax",TX14,SJ14="Suezmax",TQ14,SJ14="Capesize",TJ14,SJ14="VLOC",TC14)))))</f>
        <v>#N/A</v>
      </c>
      <c r="XB14" s="75" t="e">
        <f t="array" aca="1" ref="XB14" ca="1">INDEX(Canals!$AJ$24:$AJ$29,MATCH(2,1/((Canals!$F$24:$F$29&lt;=$C14)*(Canals!$G$24:$G$29=_xlfn.IFS(SJ14="Handysize",Main!US14,SJ14="Supramax",UL14,SJ14="Panamax",UE14,SJ14="NeoPanamax",TX14,SJ14="Suezmax",TQ14,SJ14="Capesize",TJ14,SJ14="VLOC",TC14)))))</f>
        <v>#N/A</v>
      </c>
      <c r="XC14" s="75" t="e">
        <f t="array" aca="1" ref="XC14" ca="1">INDEX(Canals!$AK$24:$AK$29,MATCH(2,1/((Canals!$F$24:$F$29&lt;=$C14)*(Canals!$G$24:$G$29=_xlfn.IFS(SJ14="Handysize",Main!US14,SJ14="Supramax",UL14,SJ14="Panamax",UE14,SJ14="NeoPanamax",TX14,SJ14="Suezmax",TQ14,SJ14="Capesize",TJ14,SJ14="VLOC",TC14)))))</f>
        <v>#N/A</v>
      </c>
      <c r="XD14" s="136" t="e">
        <f t="array" aca="1" ref="XD14" ca="1">INDEX(Canals!$AL$24:$AL$29,MATCH(2,1/((Canals!$F$24:$F$29&lt;=$C14)*(Canals!$G$24:$G$29=_xlfn.IFS(SJ14="Handysize",Main!US14,SJ14="Supramax",UL14,SJ14="Panamax",UE14,SJ14="NeoPanamax",TX14,SJ14="Suezmax",TQ14,SJ14="Capesize",TJ14,SJ14="VLOC",TC14)))))</f>
        <v>#N/A</v>
      </c>
      <c r="XE14" s="136" t="e">
        <f t="array" aca="1" ref="XE14" ca="1">INDEX(Canals!$AM$24:$AM$29,MATCH(2,1/((Canals!$F$24:$F$29&lt;=$C14)*(Canals!$G$24:$G$29=_xlfn.IFS(SJ14="Handysize",Main!US14,SJ14="Supramax",UL14,SJ14="Panamax",UE14,SJ14="NeoPanamax",TX14,SJ14="Suezmax",TQ14,SJ14="Capesize",TJ14,SJ14="VLOC",TC14)))))</f>
        <v>#N/A</v>
      </c>
      <c r="XF14" s="136" t="e">
        <f t="array" aca="1" ref="XF14" ca="1">INDEX(Canals!$AN$24:$AN$29,MATCH(2,1/((Canals!$F$24:$F$29&lt;=$C14)*(Canals!$G$24:$G$29=_xlfn.IFS(SJ14="Handysize",Main!US14,SJ14="Supramax",UL14,SJ14="Panamax",UE14,SJ14="NeoPanamax",TX14,SJ14="Suezmax",TQ14,SJ14="Capesize",TJ14,SJ14="VLOC",TC14)))))</f>
        <v>#N/A</v>
      </c>
      <c r="XG14" s="136" t="e">
        <f t="array" aca="1" ref="XG14" ca="1">INDEX(Canals!$AO$24:$AO$29,MATCH(2,1/((Canals!$F$24:$F$29&lt;=$C14)*(Canals!$G$24:$G$29=_xlfn.IFS(SJ14="Handysize",Main!US14,SJ14="Supramax",UL14,SJ14="Panamax",UE14,SJ14="NeoPanamax",TX14,SJ14="Suezmax",TQ14,SJ14="Capesize",TJ14,SJ14="VLOC",TC14)))))</f>
        <v>#N/A</v>
      </c>
      <c r="XH14" s="136" t="e">
        <f t="array" aca="1" ref="XH14" ca="1">INDEX(Canals!$AP$24:$AP$29,MATCH(2,1/((Canals!$F$24:$F$29&lt;=$C14)*(Canals!$G$24:$G$29=_xlfn.IFS(SJ14="Handysize",Main!US14,SJ14="Supramax",UL14,SJ14="Panamax",UE14,SJ14="NeoPanamax",TX14,SJ14="Suezmax",TQ14,SJ14="Capesize",TJ14,SJ14="VLOC",TC14)))))</f>
        <v>#N/A</v>
      </c>
      <c r="XI14" s="136" t="e">
        <f t="array" aca="1" ref="XI14" ca="1">INDEX(Canals!$AQ$24:$AQ$29,MATCH(2,1/((Canals!$F$24:$F$29&lt;=$C14)*(Canals!$G$24:$G$29=_xlfn.IFS(SJ14="Handysize",Main!US14,SJ14="Supramax",UL14,SJ14="Panamax",UE14,SJ14="NeoPanamax",TX14,SJ14="Suezmax",TQ14,SJ14="Capesize",TJ14,SJ14="VLOC",TC14)))))</f>
        <v>#N/A</v>
      </c>
      <c r="XJ14" s="136" t="e">
        <f t="array" aca="1" ref="XJ14" ca="1">INDEX(Canals!$AR$24:$AR$29,MATCH(2,1/((Canals!$F$24:$F$29&lt;=$C14)*(Canals!$G$24:$G$29=_xlfn.IFS(SJ14="Handysize",Main!US14,SJ14="Supramax",UL14,SJ14="Panamax",UE14,SJ14="NeoPanamax",TX14,SJ14="Suezmax",TQ14,SJ14="Capesize",TJ14,SJ14="VLOC",TC14)))))</f>
        <v>#N/A</v>
      </c>
      <c r="XK14" s="136" t="e">
        <f t="array" aca="1" ref="XK14" ca="1">INDEX(Canals!$AS$24:$AS$29,MATCH(2,1/((Canals!$F$24:$F$29&lt;=$C14)*(Canals!$G$24:$G$29=_xlfn.IFS(SJ14="Handysize",Main!US14,SJ14="Supramax",UL14,SJ14="Panamax",UE14,SJ14="NeoPanamax",TX14,SJ14="Suezmax",TQ14,SJ14="Capesize",TJ14,SJ14="VLOC",TC14)))))</f>
        <v>#N/A</v>
      </c>
      <c r="XL14" s="136" t="e">
        <f t="array" aca="1" ref="XL14" ca="1">INDEX(Canals!$AT$24:$AT$29,MATCH(2,1/((Canals!$F$24:$F$29&lt;=$C14)*(Canals!$G$24:$G$29=_xlfn.IFS(SJ14="Handysize",Main!US14,SJ14="Supramax",UL14,SJ14="Panamax",UE14,SJ14="NeoPanamax",TX14,SJ14="Suezmax",TQ14,SJ14="Capesize",TJ14,SJ14="VLOC",TC14)))))</f>
        <v>#N/A</v>
      </c>
      <c r="XM14" s="136" t="e">
        <f t="array" aca="1" ref="XM14" ca="1">INDEX(Canals!$AU$24:$AU$29,MATCH(2,1/((Canals!$F$24:$F$29&lt;=$C14)*(Canals!$G$24:$G$29=_xlfn.IFS(SJ14="Handysize",Main!US14,SJ14="Supramax",UL14,SJ14="Panamax",UE14,SJ14="NeoPanamax",TX14,SJ14="Suezmax",TQ14,SJ14="Capesize",TJ14,SJ14="VLOC",TC14)))))</f>
        <v>#N/A</v>
      </c>
      <c r="XN14" s="136" t="e">
        <f t="array" aca="1" ref="XN14" ca="1">INDEX(Canals!$AV$24:$AV$29,MATCH(2,1/((Canals!$F$24:$F$29&lt;=$C14)*(Canals!$G$24:$G$29=_xlfn.IFS(SJ14="Handysize",Main!US14,SJ14="Supramax",UL14,SJ14="Panamax",UE14,SJ14="NeoPanamax",TX14,SJ14="Suezmax",TQ14,SJ14="Capesize",TJ14,SJ14="VLOC",TC14)))))</f>
        <v>#N/A</v>
      </c>
      <c r="XP14" s="75" t="e">
        <f t="array" aca="1" ref="XP14" ca="1">_xlfn.IFS(WA14="DWT",SH14,WA14="NRT",SL14,WA14="GRT",SM14,WA14=0,0)</f>
        <v>#NAME?</v>
      </c>
      <c r="XQ14" s="279" t="e">
        <f t="shared" ca="1" si="125"/>
        <v>#NAME?</v>
      </c>
      <c r="XR14" s="280" t="e">
        <f t="shared" ca="1" si="126"/>
        <v>#NAME?</v>
      </c>
      <c r="XS14" s="280" t="e">
        <f t="shared" ca="1" si="127"/>
        <v>#NAME?</v>
      </c>
      <c r="XT14" s="280" t="e">
        <f t="shared" ca="1" si="128"/>
        <v>#NAME?</v>
      </c>
      <c r="XU14" s="280" t="e">
        <f t="shared" ca="1" si="129"/>
        <v>#NAME?</v>
      </c>
      <c r="XV14" s="280" t="e">
        <f t="shared" ca="1" si="130"/>
        <v>#NAME?</v>
      </c>
      <c r="XW14" s="280" t="e">
        <f t="shared" ca="1" si="131"/>
        <v>#NAME?</v>
      </c>
      <c r="XX14" s="280" t="e">
        <f t="shared" ca="1" si="132"/>
        <v>#NAME?</v>
      </c>
      <c r="XY14" s="280" t="e">
        <f t="shared" ca="1" si="133"/>
        <v>#NAME?</v>
      </c>
      <c r="XZ14" s="75">
        <f t="shared" si="134"/>
        <v>0</v>
      </c>
      <c r="YA14" s="279" t="e">
        <f t="shared" ca="1" si="135"/>
        <v>#N/A</v>
      </c>
      <c r="YB14" s="280" t="e">
        <f t="shared" ca="1" si="136"/>
        <v>#N/A</v>
      </c>
      <c r="YC14" s="280" t="e">
        <f t="shared" ca="1" si="137"/>
        <v>#N/A</v>
      </c>
      <c r="YD14" s="280" t="e">
        <f t="shared" ca="1" si="138"/>
        <v>#N/A</v>
      </c>
      <c r="YE14" s="280" t="e">
        <f t="shared" ca="1" si="139"/>
        <v>#N/A</v>
      </c>
      <c r="YF14" s="280" t="e">
        <f t="shared" ca="1" si="140"/>
        <v>#N/A</v>
      </c>
      <c r="YG14" s="280" t="e">
        <f t="shared" ca="1" si="141"/>
        <v>#N/A</v>
      </c>
      <c r="YH14" s="280" t="e">
        <f t="shared" ca="1" si="142"/>
        <v>#N/A</v>
      </c>
      <c r="YI14" s="280" t="e">
        <f t="shared" ca="1" si="143"/>
        <v>#N/A</v>
      </c>
      <c r="YK14" s="75" t="e">
        <f t="array" aca="1" ref="YK14" ca="1">_xlfn.IFS(SJ14="Handysize",Main!UM14,SJ14="Supramax",UF14,SJ14="Panamax",TY14,SJ14="NeoPanamax",TR14,SJ14="Suezmax",TK14,SJ14="Capesize",TD14,SJ14="VLOC",SW14)*$JI14</f>
        <v>#NAME?</v>
      </c>
      <c r="YL14" s="274" t="e">
        <f t="array" aca="1" ref="YL14" ca="1">_xlfn.IFS(SJ14="Handysize",Main!UN14,SJ14="Supramax",UG14,SJ14="Panamax",TZ14,SJ14="NeoPanamax",TS14,SJ14="Suezmax",TL14,SJ14="Capesize",TE14,SJ14="VLOC",SX14)*$JI14</f>
        <v>#NAME?</v>
      </c>
      <c r="YM14" s="71" t="e">
        <f t="array" aca="1" ref="YM14" ca="1">_xlfn.IFS(SJ14="Handysize",Main!SO14,SJ14="Supramax",SP14,SJ14="Panamax",SQ14,SJ14="NeoPanamax",SR14,SJ14="Suezmax",SS14,SJ14="Capesize",ST14,SJ14="VLOC",SU14)</f>
        <v>#NAME?</v>
      </c>
      <c r="YN14" s="71" t="e">
        <f t="array" aca="1" ref="YN14" ca="1">_xlfn.IFS(SJ14="Handysize",Main!VA14,SJ14="Supramax",VB14,SJ14="Panamax",VC14,SJ14="NeoPanamax",VD14,SJ14="Suezmax",VE14,SJ14="Capesize",VF14,SJ14="VLOC",VG14)</f>
        <v>#NAME?</v>
      </c>
      <c r="YO14" s="70">
        <f t="array" ref="YO14">INDEX('Ship Speeds'!$G$11:$G$1011,MATCH(2,1/(('Ship Speeds'!$E$11:$E$1011&lt;=Main!$C14)*('Ship Speeds'!$F$11:$F$1011=Main!SI14))))</f>
        <v>11</v>
      </c>
      <c r="YP14" s="403">
        <f t="shared" si="144"/>
        <v>0</v>
      </c>
      <c r="YQ14" s="401">
        <f t="shared" si="145"/>
        <v>1.2</v>
      </c>
      <c r="YR14" s="70" t="e">
        <f t="shared" ca="1" si="146"/>
        <v>#NAME?</v>
      </c>
      <c r="YS14" s="70" t="e">
        <f t="shared" ca="1" si="147"/>
        <v>#NAME?</v>
      </c>
      <c r="YT14" s="70" t="e">
        <f t="shared" ca="1" si="148"/>
        <v>#NAME?</v>
      </c>
      <c r="YU14" s="70" t="e">
        <f t="shared" ca="1" si="149"/>
        <v>#NAME?</v>
      </c>
      <c r="YV14" s="72" t="e">
        <f t="shared" ca="1" si="150"/>
        <v>#N/A</v>
      </c>
      <c r="YW14" s="70" t="e">
        <f t="shared" ca="1" si="151"/>
        <v>#NAME?</v>
      </c>
      <c r="YX14" s="70" t="e">
        <f t="array" aca="1" ref="YX14" ca="1">IF(YK14=0,0,INDEX(UU14:UY14,MATCH(_xlfn.IFS(SJ14="Handysize",Main!UQ14,SJ14="Supramax",UJ14,SJ14="Panamax",UC14,SJ14="NeoPanamax",TV14,SJ14="Suezmax",TO14,SJ14="Capesize",TH14,SJ14="VLOC",TA14),$UU$7:$UY$7,0)))</f>
        <v>#NAME?</v>
      </c>
      <c r="YY14" s="70" t="e">
        <f t="array" aca="1" ref="YY14" ca="1">IF(YK14=0,0,INDEX(UU14:UY14,MATCH(_xlfn.IFS(SJ14="Handysize",Main!UR14,SJ14="Supramax",UK14,SJ14="Panamax",UD14,SJ14="NeoPanamax",TW14,SJ14="Suezmax",TP14,SJ14="Capesize",TI14,SJ14="VLOC",TB14),$UU$7:$UY$7,0)))</f>
        <v>#NAME?</v>
      </c>
      <c r="YZ14" s="71" t="e">
        <f t="shared" ca="1" si="152"/>
        <v>#NAME?</v>
      </c>
      <c r="ZA14" s="71" t="e">
        <f t="shared" ca="1" si="153"/>
        <v>#NAME?</v>
      </c>
      <c r="ZB14" s="281" t="e">
        <f t="shared" ca="1" si="154"/>
        <v>#NAME?</v>
      </c>
      <c r="ZC14" s="71" t="e">
        <f t="shared" ca="1" si="155"/>
        <v>#NAME?</v>
      </c>
      <c r="ZD14" s="71" t="e">
        <f t="shared" ca="1" si="156"/>
        <v>#NAME?</v>
      </c>
      <c r="ZE14" s="71" t="e">
        <f t="shared" ca="1" si="157"/>
        <v>#NAME?</v>
      </c>
      <c r="ZF14" s="71" t="e">
        <f t="shared" ca="1" si="158"/>
        <v>#NAME?</v>
      </c>
      <c r="ZG14" s="71" t="e">
        <f t="shared" ca="1" si="159"/>
        <v>#NAME?</v>
      </c>
      <c r="ZH14" s="71" t="e">
        <f t="shared" ca="1" si="160"/>
        <v>#NAME?</v>
      </c>
      <c r="ZI14" s="71" t="e">
        <f t="shared" ca="1" si="161"/>
        <v>#NAME?</v>
      </c>
      <c r="ZJ14" s="71" t="e">
        <f t="shared" ca="1" si="162"/>
        <v>#NAME?</v>
      </c>
      <c r="ZK14" s="71" t="e">
        <f t="shared" ca="1" si="163"/>
        <v>#NAME?</v>
      </c>
      <c r="ZL14" s="71" t="e">
        <f t="shared" ca="1" si="164"/>
        <v>#NAME?</v>
      </c>
      <c r="ZM14" s="71" t="e">
        <f t="shared" ca="1" si="165"/>
        <v>#NAME?</v>
      </c>
      <c r="ZN14" s="71" t="e">
        <f t="shared" ca="1" si="166"/>
        <v>#NAME?</v>
      </c>
      <c r="ZO14" s="72" t="e">
        <f t="shared" ca="1" si="167"/>
        <v>#NAME?</v>
      </c>
      <c r="ZP14" s="72" t="e">
        <f t="shared" ca="1" si="168"/>
        <v>#NAME?</v>
      </c>
      <c r="ZQ14" s="71" t="e">
        <f t="shared" ca="1" si="169"/>
        <v>#NAME?</v>
      </c>
      <c r="ZR14" s="71" t="e">
        <f t="array" aca="1" ref="ZR14" ca="1">IF(YK14=0,0,INDEX('Ship Time Charter Rates'!$H$22:$H$1021,MATCH(2,1/(('Ship Time Charter Rates'!$G$22:$G$1021=_xlfn.IFS(SJ14="Handysize",Main!UO14,SJ14="Supramax",UH14,SJ14="Panamax",UA14,SJ14="NeoPanamax",TT14,SJ14="Suezmax",TM14,SJ14="Capesize",TF14,SJ14="VLOC",SY14))*('Ship Time Charter Rates'!$E$22:$E$1021&lt;=Main!$C14)*(NOT(ISBLANK('Ship Time Charter Rates'!$H$22:$H$1021)))))))</f>
        <v>#NAME?</v>
      </c>
      <c r="ZS14" s="71" t="e">
        <f t="shared" ca="1" si="170"/>
        <v>#NAME?</v>
      </c>
      <c r="ZT14" s="70" t="e">
        <f t="shared" ca="1" si="171"/>
        <v>#NAME?</v>
      </c>
      <c r="ZU14" s="71" t="e">
        <f t="shared" ca="1" si="172"/>
        <v>#NAME?</v>
      </c>
      <c r="ZV14" s="71" t="e">
        <f t="shared" ca="1" si="304"/>
        <v>#NAME?</v>
      </c>
      <c r="ZW14" s="72" t="e">
        <f t="shared" ca="1" si="305"/>
        <v>#NAME?</v>
      </c>
      <c r="ZY14" s="287" t="s">
        <v>39</v>
      </c>
      <c r="AAA14" s="25">
        <f t="shared" ref="AAA14:AAA23" si="322">IF($AO14="no",$AN14,$AR14)/(1-$AL14)/$JN14</f>
        <v>180000</v>
      </c>
      <c r="AAB14" s="4" t="str">
        <f>VLOOKUP(AAA14,'Ship Time Charter Rates'!$F$10:$G$17,2,TRUE)</f>
        <v>Capesize</v>
      </c>
      <c r="AAC14" s="4" t="str">
        <f>VLOOKUP(AAA14,Canals!$E$5:$F$12,2,TRUE)</f>
        <v>Capesize</v>
      </c>
      <c r="AAD14" s="25">
        <f t="shared" si="173"/>
        <v>303.02999999999997</v>
      </c>
      <c r="AAE14" s="25">
        <f t="shared" si="174"/>
        <v>72612</v>
      </c>
      <c r="AAF14" s="25">
        <f t="shared" si="175"/>
        <v>98199</v>
      </c>
      <c r="AAH14" s="75">
        <f t="array" ref="AAH14">INDEX('Indices Mines Exporting Ports'!$R$20:$R$51,MATCH(2,1/(('Indices Mines Exporting Ports'!$D$20:$D$51&lt;=Main!$C14)*('Indices Mines Exporting Ports'!$Q$20:$Q$51=$AP14))))</f>
        <v>18000</v>
      </c>
      <c r="AAI14" s="75">
        <f t="array" ref="AAI14">INDEX('Indices Mines Exporting Ports'!$S$20:$S$51,MATCH(2,1/(('Indices Mines Exporting Ports'!$D$20:$D$51&lt;=Main!$C14)*('Indices Mines Exporting Ports'!$Q$20:$Q$51=$AP14))))</f>
        <v>18000</v>
      </c>
      <c r="AAJ14" s="75">
        <f t="array" ref="AAJ14">INDEX('Indices Mines Exporting Ports'!$T$20:$T$51,MATCH(2,1/(('Indices Mines Exporting Ports'!$D$20:$D$51&lt;=Main!$C14)*('Indices Mines Exporting Ports'!$Q$20:$Q$51=$AP14))))</f>
        <v>18000</v>
      </c>
      <c r="AAK14" s="75">
        <f t="array" ref="AAK14">INDEX('Indices Mines Exporting Ports'!$U$20:$U$51,MATCH(2,1/(('Indices Mines Exporting Ports'!$D$20:$D$51&lt;=Main!$C14)*('Indices Mines Exporting Ports'!$Q$20:$Q$51=$AP14))))</f>
        <v>18000</v>
      </c>
      <c r="AAL14" s="75">
        <f t="array" ref="AAL14">INDEX('Indices Mines Exporting Ports'!$V$20:$V$51,MATCH(2,1/(('Indices Mines Exporting Ports'!$D$20:$D$51&lt;=Main!$C14)*('Indices Mines Exporting Ports'!$Q$20:$Q$51=$AP14))))</f>
        <v>18000</v>
      </c>
      <c r="AAM14" s="75">
        <f t="array" ref="AAM14">INDEX('Indices Mines Exporting Ports'!$W$20:$W$51,MATCH(2,1/(('Indices Mines Exporting Ports'!$D$20:$D$51&lt;=Main!$C14)*('Indices Mines Exporting Ports'!$Q$20:$Q$51=$AP14))))</f>
        <v>18000</v>
      </c>
      <c r="AAN14" s="75">
        <f t="array" ref="AAN14">INDEX('Indices Mines Exporting Ports'!$X$20:$X$51,MATCH(2,1/(('Indices Mines Exporting Ports'!$D$20:$D$51&lt;=Main!$C14)*('Indices Mines Exporting Ports'!$Q$20:$Q$51=$AP14))))</f>
        <v>18000</v>
      </c>
      <c r="AAP14" s="75">
        <f t="array" ref="AAP14">INDEX('Port Linkages'!$E$18:$E$157,MATCH(2,1/(('Port Linkages'!$C$18:$C$157=$AP14)*('Port Linkages'!$D$18:$D$157=IF($AO14="Yes",$AQ14,$KK14))*('Port Linkages'!$A$18:$A$157&lt;=$C14))))</f>
        <v>11100</v>
      </c>
      <c r="AAQ14" s="75">
        <f t="array" ref="AAQ14">INDEX('Port Linkages'!$F$18:$F$157,MATCH(2,1/(('Port Linkages'!$C$18:$C$157=$AP14)*('Port Linkages'!$D$18:$D$157=IF($AO14="Yes",$AQ14,$KK14))*('Port Linkages'!$A$18:$A$157&lt;=$C14))))</f>
        <v>0</v>
      </c>
      <c r="AAR14" s="75" t="str">
        <f t="array" ref="AAR14">INDEX('Port Linkages'!$G$18:$G$157,MATCH(2,1/(('Port Linkages'!$C$18:$C$157=$AP14)*('Port Linkages'!$D$18:$D$157=IF($AO14="Yes",$AQ14,$KK14))*('Port Linkages'!$A$18:$A$157&lt;=$C14))))</f>
        <v>VLOC_General</v>
      </c>
      <c r="AAS14" s="75" t="str">
        <f t="array" ref="AAS14">INDEX('Port Linkages'!$H$18:$H$157,MATCH(2,1/(('Port Linkages'!$C$18:$C$157=$AP14)*('Port Linkages'!$D$18:$D$157=IF($AO14="Yes",$AQ14,$KK14))*('Port Linkages'!$A$18:$A$157&lt;=$C14))))</f>
        <v>Singapore</v>
      </c>
      <c r="AAT14" s="75" t="str">
        <f t="array" ref="AAT14">INDEX('Port Linkages'!$I$18:$I$157,MATCH(2,1/(('Port Linkages'!$C$18:$C$157=$AP14)*('Port Linkages'!$D$18:$D$157=IF($AO14="Yes",$AQ14,$KK14))*('Port Linkages'!$A$18:$A$157&lt;=$C14))))</f>
        <v>VLSFO</v>
      </c>
      <c r="AAU14" s="75" t="str">
        <f t="array" ref="AAU14">INDEX('Port Linkages'!$J$18:$J$157,MATCH(2,1/(('Port Linkages'!$C$18:$C$157=$AP14)*('Port Linkages'!$D$18:$D$157=IF($AO14="Yes",$AQ14,$KK14))*('Port Linkages'!$A$18:$A$157&lt;=$C14))))</f>
        <v>MGO_Regular</v>
      </c>
      <c r="AAV14" s="75" t="str">
        <f t="array" ref="AAV14">INDEX('Port Linkages'!$K$18:$K$157,MATCH(2,1/(('Port Linkages'!$C$18:$C$157=$AP14)*('Port Linkages'!$D$18:$D$157=IF($AO14="Yes",$AQ14,$KK14))*('Port Linkages'!$A$18:$A$157&lt;=$C14))))</f>
        <v>none</v>
      </c>
      <c r="AAW14" s="75">
        <f t="array" ref="AAW14">INDEX('Port Linkages'!$L$18:$L$157,MATCH(2,1/(('Port Linkages'!$C$18:$C$157=$AP14)*('Port Linkages'!$D$18:$D$157=IF($AO14="Yes",$AQ14,$KK14))*('Port Linkages'!$A$18:$A$157&lt;=$C14))))</f>
        <v>11100</v>
      </c>
      <c r="AAX14" s="75">
        <f t="array" ref="AAX14">INDEX('Port Linkages'!$M$18:$M$157,MATCH(2,1/(('Port Linkages'!$C$18:$C$157=$AP14)*('Port Linkages'!$D$18:$D$157=IF($AO14="Yes",$AQ14,$KK14))*('Port Linkages'!$A$18:$A$157&lt;=$C14))))</f>
        <v>0</v>
      </c>
      <c r="AAY14" s="75" t="str">
        <f t="array" ref="AAY14">INDEX('Port Linkages'!$N$18:$N$157,MATCH(2,1/(('Port Linkages'!$C$18:$C$157=$AP14)*('Port Linkages'!$D$18:$D$157=IF($AO14="Yes",$AQ14,$KK14))*('Port Linkages'!$A$18:$A$157&lt;=$C14))))</f>
        <v>Capesize_General</v>
      </c>
      <c r="AAZ14" s="75" t="str">
        <f t="array" ref="AAZ14">INDEX('Port Linkages'!$O$18:$O$157,MATCH(2,1/(('Port Linkages'!$C$18:$C$157=$AP14)*('Port Linkages'!$D$18:$D$157=IF($AO14="Yes",$AQ14,$KK14))*('Port Linkages'!$A$18:$A$157&lt;=$C14))))</f>
        <v>Singapore</v>
      </c>
      <c r="ABA14" s="75" t="str">
        <f t="array" ref="ABA14">INDEX('Port Linkages'!$P$18:$P$157,MATCH(2,1/(('Port Linkages'!$C$18:$C$157=$AP14)*('Port Linkages'!$D$18:$D$157=IF($AO14="Yes",$AQ14,$KK14))*('Port Linkages'!$A$18:$A$157&lt;=$C14))))</f>
        <v>VLSFO</v>
      </c>
      <c r="ABB14" s="75" t="str">
        <f t="array" ref="ABB14">INDEX('Port Linkages'!$Q$18:$Q$157,MATCH(2,1/(('Port Linkages'!$C$18:$C$157=$AP14)*('Port Linkages'!$D$18:$D$157=IF($AO14="Yes",$AQ14,$KK14))*('Port Linkages'!$A$18:$A$157&lt;=$C14))))</f>
        <v>MGO_Regular</v>
      </c>
      <c r="ABC14" s="75" t="str">
        <f t="array" ref="ABC14">INDEX('Port Linkages'!$R$18:$R$157,MATCH(2,1/(('Port Linkages'!$C$18:$C$157=$AP14)*('Port Linkages'!$D$18:$D$157=IF($AO14="Yes",$AQ14,$KK14))*('Port Linkages'!$A$18:$A$157&lt;=$C14))))</f>
        <v>none</v>
      </c>
      <c r="ABD14" s="75">
        <f t="array" ref="ABD14">INDEX('Port Linkages'!$S$18:$S$157,MATCH(2,1/(('Port Linkages'!$C$18:$C$157=$AP14)*('Port Linkages'!$D$18:$D$157=IF($AO14="Yes",$AQ14,$KK14))*('Port Linkages'!$A$18:$A$157&lt;=$C14))))</f>
        <v>11100</v>
      </c>
      <c r="ABE14" s="75">
        <f t="array" ref="ABE14">INDEX('Port Linkages'!$T$18:$T$157,MATCH(2,1/(('Port Linkages'!$C$18:$C$157=$AP14)*('Port Linkages'!$D$18:$D$157=IF($AO14="Yes",$AQ14,$KK14))*('Port Linkages'!$A$18:$A$157&lt;=$C14))))</f>
        <v>0</v>
      </c>
      <c r="ABF14" s="75" t="str">
        <f t="array" ref="ABF14">INDEX('Port Linkages'!$U$18:$U$157,MATCH(2,1/(('Port Linkages'!$C$18:$C$157=$AP14)*('Port Linkages'!$D$18:$D$157=IF($AO14="Yes",$AQ14,$KK14))*('Port Linkages'!$A$18:$A$157&lt;=$C14))))</f>
        <v>Capesize_General</v>
      </c>
      <c r="ABG14" s="75" t="str">
        <f t="array" ref="ABG14">INDEX('Port Linkages'!$V$18:$V$157,MATCH(2,1/(('Port Linkages'!$C$18:$C$157=$AP14)*('Port Linkages'!$D$18:$D$157=IF($AO14="Yes",$AQ14,$KK14))*('Port Linkages'!$A$18:$A$157&lt;=$C14))))</f>
        <v>Singapore</v>
      </c>
      <c r="ABH14" s="75" t="str">
        <f t="array" ref="ABH14">INDEX('Port Linkages'!$W$18:$W$157,MATCH(2,1/(('Port Linkages'!$C$18:$C$157=$AP14)*('Port Linkages'!$D$18:$D$157=IF($AO14="Yes",$AQ14,$KK14))*('Port Linkages'!$A$18:$A$157&lt;=$C14))))</f>
        <v>VLSFO</v>
      </c>
      <c r="ABI14" s="75" t="str">
        <f t="array" ref="ABI14">INDEX('Port Linkages'!$X$18:$X$157,MATCH(2,1/(('Port Linkages'!$C$18:$C$157=$AP14)*('Port Linkages'!$D$18:$D$157=IF($AO14="Yes",$AQ14,$KK14))*('Port Linkages'!$A$18:$A$157&lt;=$C14))))</f>
        <v>MGO_Regular</v>
      </c>
      <c r="ABJ14" s="75" t="str">
        <f t="array" ref="ABJ14">INDEX('Port Linkages'!$Y$18:$Y$157,MATCH(2,1/(('Port Linkages'!$C$18:$C$157=$AP14)*('Port Linkages'!$D$18:$D$157=IF($AO14="Yes",$AQ14,$KK14))*('Port Linkages'!$A$18:$A$157&lt;=$C14))))</f>
        <v>none</v>
      </c>
      <c r="ABK14" s="75">
        <f t="array" ref="ABK14">INDEX('Port Linkages'!$Z$18:$Z$157,MATCH(2,1/(('Port Linkages'!$C$18:$C$157=$AP14)*('Port Linkages'!$D$18:$D$157=IF($AO14="Yes",$AQ14,$KK14))*('Port Linkages'!$A$18:$A$157&lt;=$C14))))</f>
        <v>11100</v>
      </c>
      <c r="ABL14" s="75">
        <f t="array" ref="ABL14">INDEX('Port Linkages'!$AA$18:$AA$157,MATCH(2,1/(('Port Linkages'!$C$18:$C$157=$AP14)*('Port Linkages'!$D$18:$D$157=IF($AO14="Yes",$AQ14,$KK14))*('Port Linkages'!$A$18:$A$157&lt;=$C14))))</f>
        <v>0</v>
      </c>
      <c r="ABM14" s="75" t="str">
        <f t="array" ref="ABM14">INDEX('Port Linkages'!$AB$18:$AB$157,MATCH(2,1/(('Port Linkages'!$C$18:$C$157=$AP14)*('Port Linkages'!$D$18:$D$157=IF($AO14="Yes",$AQ14,$KK14))*('Port Linkages'!$A$18:$A$157&lt;=$C14))))</f>
        <v>Capesize_General</v>
      </c>
      <c r="ABN14" s="75" t="str">
        <f t="array" ref="ABN14">INDEX('Port Linkages'!$AC$18:$AC$157,MATCH(2,1/(('Port Linkages'!$C$18:$C$157=$AP14)*('Port Linkages'!$D$18:$D$157=IF($AO14="Yes",$AQ14,$KK14))*('Port Linkages'!$A$18:$A$157&lt;=$C14))))</f>
        <v>Singapore</v>
      </c>
      <c r="ABO14" s="75" t="str">
        <f t="array" ref="ABO14">INDEX('Port Linkages'!$AD$18:$AD$157,MATCH(2,1/(('Port Linkages'!$C$18:$C$157=$AP14)*('Port Linkages'!$D$18:$D$157=IF($AO14="Yes",$AQ14,$KK14))*('Port Linkages'!$A$18:$A$157&lt;=$C14))))</f>
        <v>VLSFO</v>
      </c>
      <c r="ABP14" s="75" t="str">
        <f t="array" ref="ABP14">INDEX('Port Linkages'!$AE$18:$AE$157,MATCH(2,1/(('Port Linkages'!$C$18:$C$157=$AP14)*('Port Linkages'!$D$18:$D$157=IF($AO14="Yes",$AQ14,$KK14))*('Port Linkages'!$A$18:$A$157&lt;=$C14))))</f>
        <v>MGO_Regular</v>
      </c>
      <c r="ABQ14" s="75" t="str">
        <f t="array" ref="ABQ14">INDEX('Port Linkages'!$AF$18:$AF$157,MATCH(2,1/(('Port Linkages'!$C$18:$C$157=$AP14)*('Port Linkages'!$D$18:$D$157=IF($AO14="Yes",$AQ14,$KK14))*('Port Linkages'!$A$18:$A$157&lt;=$C14))))</f>
        <v>none</v>
      </c>
      <c r="ABR14" s="75">
        <f t="array" ref="ABR14">INDEX('Port Linkages'!$AG$18:$AG$157,MATCH(2,1/(('Port Linkages'!$C$18:$C$157=$AP14)*('Port Linkages'!$D$18:$D$157=IF($AO14="Yes",$AQ14,$KK14))*('Port Linkages'!$A$18:$A$157&lt;=$C14))))</f>
        <v>11100</v>
      </c>
      <c r="ABS14" s="75">
        <f t="array" ref="ABS14">INDEX('Port Linkages'!$AH$18:$AH$157,MATCH(2,1/(('Port Linkages'!$C$18:$C$157=$AP14)*('Port Linkages'!$D$18:$D$157=IF($AO14="Yes",$AQ14,$KK14))*('Port Linkages'!$A$18:$A$157&lt;=$C14))))</f>
        <v>0</v>
      </c>
      <c r="ABT14" s="75" t="str">
        <f t="array" ref="ABT14">INDEX('Port Linkages'!$AI$18:$AI$157,MATCH(2,1/(('Port Linkages'!$C$18:$C$157=$AP14)*('Port Linkages'!$D$18:$D$157=IF($AO14="Yes",$AQ14,$KK14))*('Port Linkages'!$A$18:$A$157&lt;=$C14))))</f>
        <v>Panamax_General</v>
      </c>
      <c r="ABU14" s="75" t="str">
        <f t="array" ref="ABU14">INDEX('Port Linkages'!$AJ$18:$AJ$157,MATCH(2,1/(('Port Linkages'!$C$18:$C$157=$AP14)*('Port Linkages'!$D$18:$D$157=IF($AO14="Yes",$AQ14,$KK14))*('Port Linkages'!$A$18:$A$157&lt;=$C14))))</f>
        <v>Singapore</v>
      </c>
      <c r="ABV14" s="75" t="str">
        <f t="array" ref="ABV14">INDEX('Port Linkages'!$AK$18:$AK$157,MATCH(2,1/(('Port Linkages'!$C$18:$C$157=$AP14)*('Port Linkages'!$D$18:$D$157=IF($AO14="Yes",$AQ14,$KK14))*('Port Linkages'!$A$18:$A$157&lt;=$C14))))</f>
        <v>VLSFO</v>
      </c>
      <c r="ABW14" s="75" t="str">
        <f t="array" ref="ABW14">INDEX('Port Linkages'!$AL$18:$AL$157,MATCH(2,1/(('Port Linkages'!$C$18:$C$157=$AP14)*('Port Linkages'!$D$18:$D$157=IF($AO14="Yes",$AQ14,$KK14))*('Port Linkages'!$A$18:$A$157&lt;=$C14))))</f>
        <v>MGO_Regular</v>
      </c>
      <c r="ABX14" s="75" t="str">
        <f t="array" ref="ABX14">INDEX('Port Linkages'!$AM$18:$AM$157,MATCH(2,1/(('Port Linkages'!$C$18:$C$157=$AP14)*('Port Linkages'!$D$18:$D$157=IF($AO14="Yes",$AQ14,$KK14))*('Port Linkages'!$A$18:$A$157&lt;=$C14))))</f>
        <v>none</v>
      </c>
      <c r="ABY14" s="75">
        <f t="array" ref="ABY14">INDEX('Port Linkages'!$AN$18:$AN$157,MATCH(2,1/(('Port Linkages'!$C$18:$C$157=$AP14)*('Port Linkages'!$D$18:$D$157=IF($AO14="Yes",$AQ14,$KK14))*('Port Linkages'!$A$18:$A$157&lt;=$C14))))</f>
        <v>11100</v>
      </c>
      <c r="ABZ14" s="75">
        <f t="array" ref="ABZ14">INDEX('Port Linkages'!$AO$18:$AO$157,MATCH(2,1/(('Port Linkages'!$C$18:$C$157=$AP14)*('Port Linkages'!$D$18:$D$157=IF($AO14="Yes",$AQ14,$KK14))*('Port Linkages'!$A$18:$A$157&lt;=$C14))))</f>
        <v>0</v>
      </c>
      <c r="ACA14" s="75" t="str">
        <f t="array" ref="ACA14">INDEX('Port Linkages'!$AP$18:$AP$157,MATCH(2,1/(('Port Linkages'!$C$18:$C$157=$AP14)*('Port Linkages'!$D$18:$D$157=IF($AO14="Yes",$AQ14,$KK14))*('Port Linkages'!$A$18:$A$157&lt;=$C14))))</f>
        <v>Supramax_General</v>
      </c>
      <c r="ACB14" s="75" t="str">
        <f t="array" ref="ACB14">INDEX('Port Linkages'!$AQ$18:$AQ$157,MATCH(2,1/(('Port Linkages'!$C$18:$C$157=$AP14)*('Port Linkages'!$D$18:$D$157=IF($AO14="Yes",$AQ14,$KK14))*('Port Linkages'!$A$18:$A$157&lt;=$C14))))</f>
        <v>Singapore</v>
      </c>
      <c r="ACC14" s="75" t="str">
        <f t="array" ref="ACC14">INDEX('Port Linkages'!$AR$18:$AR$157,MATCH(2,1/(('Port Linkages'!$C$18:$C$157=$AP14)*('Port Linkages'!$D$18:$D$157=IF($AO14="Yes",$AQ14,$KK14))*('Port Linkages'!$A$18:$A$157&lt;=$C14))))</f>
        <v>VLSFO</v>
      </c>
      <c r="ACD14" s="75" t="str">
        <f t="array" ref="ACD14">INDEX('Port Linkages'!$AS$18:$AS$157,MATCH(2,1/(('Port Linkages'!$C$18:$C$157=$AP14)*('Port Linkages'!$D$18:$D$157=IF($AO14="Yes",$AQ14,$KK14))*('Port Linkages'!$A$18:$A$157&lt;=$C14))))</f>
        <v>MGO_Regular</v>
      </c>
      <c r="ACE14" s="75" t="str">
        <f t="array" ref="ACE14">INDEX('Port Linkages'!$AT$18:$AT$157,MATCH(2,1/(('Port Linkages'!$C$18:$C$157=$AP14)*('Port Linkages'!$D$18:$D$157=IF($AO14="Yes",$AQ14,$KK14))*('Port Linkages'!$A$18:$A$157&lt;=$C14))))</f>
        <v>none</v>
      </c>
      <c r="ACF14" s="75">
        <f t="array" ref="ACF14">INDEX('Port Linkages'!$AU$18:$AU$157,MATCH(2,1/(('Port Linkages'!$C$18:$C$157=$AP14)*('Port Linkages'!$D$18:$D$157=IF($AO14="Yes",$AQ14,$KK14))*('Port Linkages'!$A$18:$A$157&lt;=$C14))))</f>
        <v>11100</v>
      </c>
      <c r="ACG14" s="75">
        <f t="array" ref="ACG14">INDEX('Port Linkages'!$AV$18:$AV$157,MATCH(2,1/(('Port Linkages'!$C$18:$C$157=$AP14)*('Port Linkages'!$D$18:$D$157=IF($AO14="Yes",$AQ14,$KK14))*('Port Linkages'!$A$18:$A$157&lt;=$C14))))</f>
        <v>0</v>
      </c>
      <c r="ACH14" s="75" t="str">
        <f t="array" ref="ACH14">INDEX('Port Linkages'!$AW$18:$AW$157,MATCH(2,1/(('Port Linkages'!$C$18:$C$157=$AP14)*('Port Linkages'!$D$18:$D$157=IF($AO14="Yes",$AQ14,$KK14))*('Port Linkages'!$A$18:$A$157&lt;=$C14))))</f>
        <v>Handysize_General</v>
      </c>
      <c r="ACI14" s="75" t="str">
        <f t="array" ref="ACI14">INDEX('Port Linkages'!$AX$18:$AX$157,MATCH(2,1/(('Port Linkages'!$C$18:$C$157=$AP14)*('Port Linkages'!$D$18:$D$157=IF($AO14="Yes",$AQ14,$KK14))*('Port Linkages'!$A$18:$A$157&lt;=$C14))))</f>
        <v>Singapore</v>
      </c>
      <c r="ACJ14" s="75" t="str">
        <f t="array" ref="ACJ14">INDEX('Port Linkages'!$AY$18:$AY$157,MATCH(2,1/(('Port Linkages'!$C$18:$C$157=$AP14)*('Port Linkages'!$D$18:$D$157=IF($AO14="Yes",$AQ14,$KK14))*('Port Linkages'!$A$18:$A$157&lt;=$C14))))</f>
        <v>VLSFO</v>
      </c>
      <c r="ACK14" s="75" t="str">
        <f t="array" ref="ACK14">INDEX('Port Linkages'!$AZ$18:$AZ$157,MATCH(2,1/(('Port Linkages'!$C$18:$C$157=$AP14)*('Port Linkages'!$D$18:$D$157=IF($AO14="Yes",$AQ14,$KK14))*('Port Linkages'!$A$18:$A$157&lt;=$C14))))</f>
        <v>MGO_Regular</v>
      </c>
      <c r="ACL14" s="75" t="str">
        <f t="array" ref="ACL14">INDEX('Port Linkages'!$BA$18:$BA$157,MATCH(2,1/(('Port Linkages'!$C$18:$C$157=$AP14)*('Port Linkages'!$D$18:$D$157=IF($AO14="Yes",$AQ14,$KK14))*('Port Linkages'!$A$18:$A$157&lt;=$C14))))</f>
        <v>none</v>
      </c>
      <c r="ACN14" s="25" t="e">
        <f t="array" aca="1" ref="ACN14" ca="1">INDEX('Ship Fuel Prices'!$F$5:$F$1004,MATCH(2,1/(('Ship Fuel Prices'!$E$5:$E$1004=_xlfn.IFS(AAC14="Handysize",Main!ACI14,AAC14="Supramax",ACB14,AAC14="Panamax",ABU14,AAC14="NeoPanamax",ABN14,AAC14="Suezmax",ABG14,AAC14="Capesize",AAZ14,AAC14="VLOC",AAS14))*('Ship Fuel Prices'!$D$5:$D$1004&lt;=Main!$C14))))</f>
        <v>#N/A</v>
      </c>
      <c r="ACO14" s="25" t="e">
        <f t="array" aca="1" ref="ACO14" ca="1">INDEX('Ship Fuel Prices'!$G$5:$G$1004,MATCH(2,1/(('Ship Fuel Prices'!$E$5:$E$1004=_xlfn.IFS(AAC14="Handysize",Main!ACI14,AAC14="Supramax",ACB14,AAC14="Panamax",ABU14,AAC14="NeoPanamax",ABN14,AAC14="Suezmax",ABG14,AAC14="Capesize",AAZ14,AAC14="VLOC",AAS14))*('Ship Fuel Prices'!$D$5:$D$1004&lt;=Main!$C14))))</f>
        <v>#N/A</v>
      </c>
      <c r="ACP14" s="25" t="e">
        <f t="array" aca="1" ref="ACP14" ca="1">INDEX('Ship Fuel Prices'!$H$5:$H$1004,MATCH(2,1/(('Ship Fuel Prices'!$E$5:$E$1004=_xlfn.IFS(AAC14="Handysize",Main!ACI14,AAC14="Supramax",ACB14,AAC14="Panamax",ABU14,AAC14="NeoPanamax",ABN14,AAC14="Suezmax",ABG14,AAC14="Capesize",AAZ14,AAC14="VLOC",AAS14))*('Ship Fuel Prices'!$D$5:$D$1004&lt;=Main!$C14))))</f>
        <v>#N/A</v>
      </c>
      <c r="ACQ14" s="25" t="e">
        <f t="array" aca="1" ref="ACQ14" ca="1">INDEX('Ship Fuel Prices'!$I$5:$I$1004,MATCH(2,1/(('Ship Fuel Prices'!$E$5:$E$1004=_xlfn.IFS(AAC14="Handysize",Main!ACI14,AAC14="Supramax",ACB14,AAC14="Panamax",ABU14,AAC14="NeoPanamax",ABN14,AAC14="Suezmax",ABG14,AAC14="Capesize",AAZ14,AAC14="VLOC",AAS14))*('Ship Fuel Prices'!$D$5:$D$1004&lt;=Main!$C14))))</f>
        <v>#N/A</v>
      </c>
      <c r="ACR14" s="25" t="e">
        <f t="array" aca="1" ref="ACR14" ca="1">INDEX('Ship Fuel Prices'!$J$5:$J$1004,MATCH(2,1/(('Ship Fuel Prices'!$E$5:$E$1004=_xlfn.IFS(AAC14="Handysize",Main!ACI14,AAC14="Supramax",ACB14,AAC14="Panamax",ABU14,AAC14="NeoPanamax",ABN14,AAC14="Suezmax",ABG14,AAC14="Capesize",AAZ14,AAC14="VLOC",AAS14))*('Ship Fuel Prices'!$D$5:$D$1004&lt;=Main!$C14))))</f>
        <v>#N/A</v>
      </c>
      <c r="ACT14" s="75">
        <f t="array" ref="ACT14">INDEX('China n Importing Ports'!$E$20:$E$41,MATCH(2,1/(('China n Importing Ports'!$D$20:$D$41&lt;=$C14)*('China n Importing Ports'!$C$20:$C$41=IF($AO14="Yes",$AQ14,$KK14)))))</f>
        <v>42500</v>
      </c>
      <c r="ACU14" s="75">
        <f t="array" ref="ACU14">INDEX('China n Importing Ports'!$F$20:$F$41,MATCH(2,1/(('China n Importing Ports'!$D$20:$D$41&lt;=$C14)*('China n Importing Ports'!$C$20:$C$41=IF($AO14="Yes",$AQ14,$KK14)))))</f>
        <v>42500</v>
      </c>
      <c r="ACV14" s="75">
        <f t="array" ref="ACV14">INDEX('China n Importing Ports'!$G$20:$G$41,MATCH(2,1/(('China n Importing Ports'!$D$20:$D$41&lt;=$C14)*('China n Importing Ports'!$C$20:$C$41=IF($AO14="Yes",$AQ14,$KK14)))))</f>
        <v>42500</v>
      </c>
      <c r="ACW14" s="75">
        <f t="array" ref="ACW14">INDEX('China n Importing Ports'!$H$20:$H$41,MATCH(2,1/(('China n Importing Ports'!$D$20:$D$41&lt;=$C14)*('China n Importing Ports'!$C$20:$C$41=IF($AO14="Yes",$AQ14,$KK14)))))</f>
        <v>42500</v>
      </c>
      <c r="ACX14" s="75">
        <f t="array" ref="ACX14">INDEX('China n Importing Ports'!$I$20:$I$41,MATCH(2,1/(('China n Importing Ports'!$D$20:$D$41&lt;=$C14)*('China n Importing Ports'!$C$20:$C$41=IF($AO14="Yes",$AQ14,$KK14)))))</f>
        <v>42500</v>
      </c>
      <c r="ACY14" s="75">
        <f t="array" ref="ACY14">INDEX('China n Importing Ports'!$J$20:$J$41,MATCH(2,1/(('China n Importing Ports'!$D$20:$D$41&lt;=$C14)*('China n Importing Ports'!$C$20:$C$41=IF($AO14="Yes",$AQ14,$KK14)))))</f>
        <v>42500</v>
      </c>
      <c r="ACZ14" s="75">
        <f t="array" ref="ACZ14">INDEX('China n Importing Ports'!$K$20:$K$41,MATCH(2,1/(('China n Importing Ports'!$D$20:$D$41&lt;=$C14)*('China n Importing Ports'!$C$20:$C$41=IF($AO14="Yes",$AQ14,$KK14)))))</f>
        <v>42500</v>
      </c>
      <c r="ADA14" s="75" t="str">
        <f t="array" ref="ADA14">INDEX('China n Importing Ports'!$L$20:$L$41,MATCH(2,1/(('China n Importing Ports'!$D$20:$D$41&lt;=$C14)*('China n Importing Ports'!$C$20:$C$41=IF($AO14="Yes",$AQ14,$KK14)))))</f>
        <v>RMB</v>
      </c>
      <c r="ADB14" s="75">
        <f t="array" ref="ADB14">INDEX('China n Importing Ports'!$M$20:$M$41,MATCH(2,1/(('China n Importing Ports'!$D$20:$D$41&lt;=$C14)*('China n Importing Ports'!$C$20:$C$41=IF($AO14="Yes",$AQ14,$KK14)))))</f>
        <v>12342</v>
      </c>
      <c r="ADC14" s="75">
        <f t="array" ref="ADC14">INDEX('China n Importing Ports'!$N$20:$N$41,MATCH(2,1/(('China n Importing Ports'!$D$20:$D$41&lt;=$C14)*('China n Importing Ports'!$C$20:$C$41=IF($AO14="Yes",$AQ14,$KK14)))))</f>
        <v>0</v>
      </c>
      <c r="ADD14" s="75">
        <f t="array" ref="ADD14">INDEX('China n Importing Ports'!$O$20:$O$41,MATCH(2,1/(('China n Importing Ports'!$D$20:$D$41&lt;=$C14)*('China n Importing Ports'!$C$20:$C$41=IF($AO14="Yes",$AQ14,$KK14)))))</f>
        <v>0</v>
      </c>
      <c r="ADE14" s="136">
        <f t="array" ref="ADE14">INDEX('China n Importing Ports'!$P$20:$P$41,MATCH(2,1/(('China n Importing Ports'!$D$20:$D$41&lt;=$C14)*('China n Importing Ports'!$C$20:$C$41=IF($AO14="Yes",$AQ14,$KK14)))))</f>
        <v>2.64</v>
      </c>
      <c r="ADF14" s="136">
        <f t="array" ref="ADF14">INDEX('China n Importing Ports'!$Q$20:$Q$41,MATCH(2,1/(('China n Importing Ports'!$D$20:$D$41&lt;=$C14)*('China n Importing Ports'!$C$20:$C$41=IF($AO14="Yes",$AQ14,$KK14)))))</f>
        <v>0</v>
      </c>
      <c r="ADG14" s="136">
        <f t="array" ref="ADG14">INDEX('China n Importing Ports'!$R$20:$R$41,MATCH(2,1/(('China n Importing Ports'!$D$20:$D$41&lt;=$C14)*('China n Importing Ports'!$C$20:$C$41=IF($AO14="Yes",$AQ14,$KK14)))))</f>
        <v>0</v>
      </c>
      <c r="ADH14" s="136">
        <f t="array" ref="ADH14">INDEX('China n Importing Ports'!$S$20:$S$41,MATCH(2,1/(('China n Importing Ports'!$D$20:$D$41&lt;=$C14)*('China n Importing Ports'!$C$20:$C$41=IF($AO14="Yes",$AQ14,$KK14)))))</f>
        <v>4.53</v>
      </c>
      <c r="ADI14" s="136">
        <f t="array" ref="ADI14">INDEX('China n Importing Ports'!$T$20:$T$41,MATCH(2,1/(('China n Importing Ports'!$D$20:$D$41&lt;=$C14)*('China n Importing Ports'!$C$20:$C$41=IF($AO14="Yes",$AQ14,$KK14)))))</f>
        <v>0.36699999999999999</v>
      </c>
      <c r="ADJ14" s="136">
        <f t="array" ref="ADJ14">INDEX('China n Importing Ports'!$U$20:$U$41,MATCH(2,1/(('China n Importing Ports'!$D$20:$D$41&lt;=$C14)*('China n Importing Ports'!$C$20:$C$41=IF($AO14="Yes",$AQ14,$KK14)))))</f>
        <v>0.05</v>
      </c>
      <c r="ADK14" s="136">
        <f t="array" ref="ADK14">INDEX('China n Importing Ports'!$V$20:$V$41,MATCH(2,1/(('China n Importing Ports'!$D$20:$D$41&lt;=$C14)*('China n Importing Ports'!$C$20:$C$41=IF($AO14="Yes",$AQ14,$KK14)))))</f>
        <v>0</v>
      </c>
      <c r="ADL14" s="136">
        <f t="array" ref="ADL14">INDEX('China n Importing Ports'!$W$20:$W$41,MATCH(2,1/(('China n Importing Ports'!$D$20:$D$41&lt;=$C14)*('China n Importing Ports'!$C$20:$C$41=IF($AO14="Yes",$AQ14,$KK14)))))</f>
        <v>0</v>
      </c>
      <c r="ADM14" s="136">
        <f t="array" ref="ADM14">INDEX('China n Importing Ports'!$X$20:$X$41,MATCH(2,1/(('China n Importing Ports'!$D$20:$D$41&lt;=$C14)*('China n Importing Ports'!$C$20:$C$41=IF($AO14="Yes",$AQ14,$KK14)))))</f>
        <v>0</v>
      </c>
      <c r="ADN14" s="136">
        <f t="array" ref="ADN14">INDEX('China n Importing Ports'!$Y$20:$Y$41,MATCH(2,1/(('China n Importing Ports'!$D$20:$D$41&lt;=$C14)*('China n Importing Ports'!$C$20:$C$41=IF($AO14="Yes",$AQ14,$KK14)))))</f>
        <v>197</v>
      </c>
      <c r="ADO14" s="136">
        <f t="array" ref="ADO14">INDEX('China n Importing Ports'!$Z$20:$Z$41,MATCH(2,1/(('China n Importing Ports'!$D$20:$D$41&lt;=$C14)*('China n Importing Ports'!$C$20:$C$41=IF($AO14="Yes",$AQ14,$KK14)))))</f>
        <v>0</v>
      </c>
      <c r="ADP14" s="136">
        <f t="array" ref="ADP14">INDEX('China n Importing Ports'!$AA$20:$AA$41,MATCH(2,1/(('China n Importing Ports'!$D$20:$D$41&lt;=$C14)*('China n Importing Ports'!$C$20:$C$41=IF($AO14="Yes",$AQ14,$KK14)))))</f>
        <v>0</v>
      </c>
      <c r="ADR14" s="75" t="e">
        <f t="array" aca="1" ref="ADR14" ca="1">INDEX(Canals!$G$24:$G$29,MATCH(2,1/((Canals!$F$24:$F$29&lt;=$C14)*(Canals!$G$24:$G$29=_xlfn.IFS(AAC14="Handysize",Main!ACL14,AAC14="Supramax",ACE14,AAC14="Panamax",ABX14,AAC14="NeoPanamax",ABQ14,AAC14="Suezmax",ABJ14,AAC14="Capesize",ABC14,AAC14="VLOC",AAV14)))))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S14" s="75" t="e">
        <f t="array" aca="1" ref="ADS14" ca="1">INDEX(Canals!$H$24:$H$29,MATCH(2,1/((Canals!$F$24:$F$29&lt;=$C14)*(Canals!$G$24:$G$29=_xlfn.IFS(AAC14="Handysize",Main!ACL14,AAC14="Supramax",ACE14,AAC14="Panamax",ABX14,AAC14="NeoPanamax",ABQ14,AAC14="Suezmax",ABJ14,AAC14="Capesize",ABC14,AAC14="VLOC",AAV14)))))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T14" s="75" t="e">
        <f t="array" aca="1" ref="ADT14" ca="1">INDEX(Canals!$I$24:$I$29,MATCH(2,1/((Canals!$F$24:$F$29&lt;=$C14)*(Canals!$G$24:$G$29=_xlfn.IFS(AAC14="Handysize",Main!ACL14,AAC14="Supramax",ACE14,AAC14="Panamax",ABX14,AAC14="NeoPanamax",ABQ14,AAC14="Suezmax",ABJ14,AAC14="Capesize",ABC14,AAC14="VLOC",AAV14)))))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U14" s="75" t="e">
        <f t="array" aca="1" ref="ADU14" ca="1">INDEX(Canals!$J$24:$J$29,MATCH(2,1/((Canals!$F$24:$F$29&lt;=$C14)*(Canals!$G$24:$G$29=_xlfn.IFS(AAC14="Handysize",Main!ACL14,AAC14="Supramax",ACE14,AAC14="Panamax",ABX14,AAC14="NeoPanamax",ABQ14,AAC14="Suezmax",ABJ14,AAC14="Capesize",ABC14,AAC14="VLOC",AAV14)))))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V14" s="75" t="e">
        <f t="array" aca="1" ref="ADV14" ca="1">INDEX(Canals!$K$24:$K$29,MATCH(2,1/((Canals!$F$24:$F$29&lt;=$C14)*(Canals!$G$24:$G$29=_xlfn.IFS(AAC14="Handysize",Main!ACL14,AAC14="Supramax",ACE14,AAC14="Panamax",ABX14,AAC14="NeoPanamax",ABQ14,AAC14="Suezmax",ABJ14,AAC14="Capesize",ABC14,AAC14="VLOC",AAV14)))))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W14" s="75" t="e">
        <f t="array" aca="1" ref="ADW14" ca="1">INDEX(Canals!$L$24:$L$29,MATCH(2,1/((Canals!$F$24:$F$29&lt;=$C14)*(Canals!$G$24:$G$29=_xlfn.IFS(AAC14="Handysize",Main!ACL14,AAC14="Supramax",ACE14,AAC14="Panamax",ABX14,AAC14="NeoPanamax",ABQ14,AAC14="Suezmax",ABJ14,AAC14="Capesize",ABC14,AAC14="VLOC",AAV14)))))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X14" s="75" t="e">
        <f t="array" aca="1" ref="ADX14" ca="1">INDEX(Canals!$M$24:$M$29,MATCH(2,1/((Canals!$F$24:$F$29&lt;=$C14)*(Canals!$G$24:$G$29=_xlfn.IFS(AAC14="Handysize",Main!ACL14,AAC14="Supramax",ACE14,AAC14="Panamax",ABX14,AAC14="NeoPanamax",ABQ14,AAC14="Suezmax",ABJ14,AAC14="Capesize",ABC14,AAC14="VLOC",AAV14)))))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Y14" s="75" t="e">
        <f t="array" aca="1" ref="ADY14" ca="1">INDEX(Canals!$N$24:$N$29,MATCH(2,1/((Canals!$F$24:$F$29&lt;=$C14)*(Canals!$G$24:$G$29=_xlfn.IFS(AAC14="Handysize",Main!ACL14,AAC14="Supramax",ACE14,AAC14="Panamax",ABX14,AAC14="NeoPanamax",ABQ14,AAC14="Suezmax",ABJ14,AAC14="Capesize",ABC14,AAC14="VLOC",AAV14)))))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DZ14" s="75" t="e">
        <f t="array" aca="1" ref="ADZ14" ca="1">INDEX(Canals!$O$24:$O$29,MATCH(2,1/((Canals!$F$24:$F$29&lt;=$C14)*(Canals!$G$24:$G$29=_xlfn.IFS(AAC14="Handysize",Main!ACL14,AAC14="Supramax",ACE14,AAC14="Panamax",ABX14,AAC14="NeoPanamax",ABQ14,AAC14="Suezmax",ABJ14,AAC14="Capesize",ABC14,AAC14="VLOC",AAV14)))))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A14" s="75" t="e">
        <f t="array" aca="1" ref="AEA14" ca="1">INDEX(Canals!$P$24:$P$29,MATCH(2,1/((Canals!$F$24:$F$29&lt;=$C14)*(Canals!$G$24:$G$29=_xlfn.IFS(AAC14="Handysize",Main!ACL14,AAC14="Supramax",ACE14,AAC14="Panamax",ABX14,AAC14="NeoPanamax",ABQ14,AAC14="Suezmax",ABJ14,AAC14="Capesize",ABC14,AAC14="VLOC",AAV14)))))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B14" s="75" t="e">
        <f t="array" aca="1" ref="AEB14" ca="1">INDEX(Canals!$Q$24:$Q$29,MATCH(2,1/((Canals!$F$24:$F$29&lt;=$C14)*(Canals!$G$24:$G$29=_xlfn.IFS(AAC14="Handysize",Main!ACL14,AAC14="Supramax",ACE14,AAC14="Panamax",ABX14,AAC14="NeoPanamax",ABQ14,AAC14="Suezmax",ABJ14,AAC14="Capesize",ABC14,AAC14="VLOC",AAV14)))))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C14" s="75" t="e">
        <f t="array" aca="1" ref="AEC14" ca="1">INDEX(Canals!$R$24:$R$29,MATCH(2,1/((Canals!$F$24:$F$29&lt;=$C14)*(Canals!$G$24:$G$29=_xlfn.IFS(AAC14="Handysize",Main!ACL14,AAC14="Supramax",ACE14,AAC14="Panamax",ABX14,AAC14="NeoPanamax",ABQ14,AAC14="Suezmax",ABJ14,AAC14="Capesize",ABC14,AAC14="VLOC",AAV14)))))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D14" s="136" t="e">
        <f t="array" aca="1" ref="AED14" ca="1">INDEX(Canals!$S$24:$S$29,MATCH(2,1/((Canals!$F$24:$F$29&lt;=$C14)*(Canals!$G$24:$G$29=_xlfn.IFS(AAC14="Handysize",Main!ACL14,AAC14="Supramax",ACE14,AAC14="Panamax",ABX14,AAC14="NeoPanamax",ABQ14,AAC14="Suezmax",ABJ14,AAC14="Capesize",ABC14,AAC14="VLOC",AAV14)))))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E14" s="136" t="e">
        <f t="array" aca="1" ref="AEE14" ca="1">INDEX(Canals!$T$24:$T$29,MATCH(2,1/((Canals!$F$24:$F$29&lt;=$C14)*(Canals!$G$24:$G$29=_xlfn.IFS(AAC14="Handysize",Main!ACL14,AAC14="Supramax",ACE14,AAC14="Panamax",ABX14,AAC14="NeoPanamax",ABQ14,AAC14="Suezmax",ABJ14,AAC14="Capesize",ABC14,AAC14="VLOC",AAV14)))))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F14" s="136" t="e">
        <f t="array" aca="1" ref="AEF14" ca="1">INDEX(Canals!$U$24:$U$29,MATCH(2,1/((Canals!$F$24:$F$29&lt;=$C14)*(Canals!$G$24:$G$29=_xlfn.IFS(AAC14="Handysize",Main!ACL14,AAC14="Supramax",ACE14,AAC14="Panamax",ABX14,AAC14="NeoPanamax",ABQ14,AAC14="Suezmax",ABJ14,AAC14="Capesize",ABC14,AAC14="VLOC",AAV14)))))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G14" s="136" t="e">
        <f t="array" aca="1" ref="AEG14" ca="1">INDEX(Canals!$V$24:$V$29,MATCH(2,1/((Canals!$F$24:$F$29&lt;=$C14)*(Canals!$G$24:$G$29=_xlfn.IFS(AAC14="Handysize",Main!ACL14,AAC14="Supramax",ACE14,AAC14="Panamax",ABX14,AAC14="NeoPanamax",ABQ14,AAC14="Suezmax",ABJ14,AAC14="Capesize",ABC14,AAC14="VLOC",AAV14)))))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H14" s="136" t="e">
        <f t="array" aca="1" ref="AEH14" ca="1">INDEX(Canals!$W$24:$W$29,MATCH(2,1/((Canals!$F$24:$F$29&lt;=$C14)*(Canals!$G$24:$G$29=_xlfn.IFS(AAC14="Handysize",Main!ACL14,AAC14="Supramax",ACE14,AAC14="Panamax",ABX14,AAC14="NeoPanamax",ABQ14,AAC14="Suezmax",ABJ14,AAC14="Capesize",ABC14,AAC14="VLOC",AAV14)))))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I14" s="136" t="e">
        <f t="array" aca="1" ref="AEI14" ca="1">INDEX(Canals!$X$24:$X$29,MATCH(2,1/((Canals!$F$24:$F$29&lt;=$C14)*(Canals!$G$24:$G$29=_xlfn.IFS(AAC14="Handysize",Main!ACL14,AAC14="Supramax",ACE14,AAC14="Panamax",ABX14,AAC14="NeoPanamax",ABQ14,AAC14="Suezmax",ABJ14,AAC14="Capesize",ABC14,AAC14="VLOC",AAV14)))))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J14" s="136" t="e">
        <f t="array" aca="1" ref="AEJ14" ca="1">INDEX(Canals!$Y$24:$Y$29,MATCH(2,1/((Canals!$F$24:$F$29&lt;=$C14)*(Canals!$G$24:$G$29=_xlfn.IFS(AAC14="Handysize",Main!ACL14,AAC14="Supramax",ACE14,AAC14="Panamax",ABX14,AAC14="NeoPanamax",ABQ14,AAC14="Suezmax",ABJ14,AAC14="Capesize",ABC14,AAC14="VLOC",AAV14)))))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K14" s="136" t="e">
        <f t="array" aca="1" ref="AEK14" ca="1">INDEX(Canals!$Z$24:$Z$29,MATCH(2,1/((Canals!$F$24:$F$29&lt;=$C14)*(Canals!$G$24:$G$29=_xlfn.IFS(AAC14="Handysize",Main!ACL14,AAC14="Supramax",ACE14,AAC14="Panamax",ABX14,AAC14="NeoPanamax",ABQ14,AAC14="Suezmax",ABJ14,AAC14="Capesize",ABC14,AAC14="VLOC",AAV14)))))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L14" s="136" t="e">
        <f t="array" aca="1" ref="AEL14" ca="1">INDEX(Canals!$AA$24:$AA$29,MATCH(2,1/((Canals!$F$24:$F$29&lt;=$C14)*(Canals!$G$24:$G$29=_xlfn.IFS(AAC14="Handysize",Main!ACL14,AAC14="Supramax",ACE14,AAC14="Panamax",ABX14,AAC14="NeoPanamax",ABQ14,AAC14="Suezmax",ABJ14,AAC14="Capesize",ABC14,AAC14="VLOC",AAV14)))))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M14" s="136" t="e">
        <f t="array" aca="1" ref="AEM14" ca="1">INDEX(Canals!$AB$24:$AB$29,MATCH(2,1/((Canals!$F$24:$F$29&lt;=$C14)*(Canals!$G$24:$G$29=_xlfn.IFS(AAC14="Handysize",Main!ACL14,AAC14="Supramax",ACE14,AAC14="Panamax",ABX14,AAC14="NeoPanamax",ABQ14,AAC14="Suezmax",ABJ14,AAC14="Capesize",ABC14,AAC14="VLOC",AAV14)))))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N14" s="75" t="e">
        <f t="array" aca="1" ref="AEN14" ca="1">INDEX(Canals!$AC$24:$AC$29,MATCH(2,1/((Canals!$F$24:$F$29&lt;=$C14)*(Canals!$G$24:$G$29=_xlfn.IFS(AAC14="Handysize",Main!ACL14,AAC14="Supramax",ACE14,AAC14="Panamax",ABX14,AAC14="NeoPanamax",ABQ14,AAC14="Suezmax",ABJ14,AAC14="Capesize",ABC14,AAC14="VLOC",AAV14)))))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O14" s="75" t="e">
        <f t="array" aca="1" ref="AEO14" ca="1">INDEX(Canals!$AD$24:$AD$29,MATCH(2,1/((Canals!$F$24:$F$29&lt;=$C14)*(Canals!$G$24:$G$29=_xlfn.IFS(AAC14="Handysize",Main!ACL14,AAC14="Supramax",ACE14,AAC14="Panamax",ABX14,AAC14="NeoPanamax",ABQ14,AAC14="Suezmax",ABJ14,AAC14="Capesize",ABC14,AAC14="VLOC",AAV14)))))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P14" s="75" t="e">
        <f t="array" aca="1" ref="AEP14" ca="1">INDEX(Canals!$AE$24:$AE$29,MATCH(2,1/((Canals!$F$24:$F$29&lt;=$C14)*(Canals!$G$24:$G$29=_xlfn.IFS(AAC14="Handysize",Main!ACL14,AAC14="Supramax",ACE14,AAC14="Panamax",ABX14,AAC14="NeoPanamax",ABQ14,AAC14="Suezmax",ABJ14,AAC14="Capesize",ABC14,AAC14="VLOC",AAV14)))))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Q14" s="75" t="e">
        <f t="array" aca="1" ref="AEQ14" ca="1">INDEX(Canals!$AF$24:$AF$29,MATCH(2,1/((Canals!$F$24:$F$29&lt;=$C14)*(Canals!$G$24:$G$29=_xlfn.IFS(AAC14="Handysize",Main!ACL14,AAC14="Supramax",ACE14,AAC14="Panamax",ABX14,AAC14="NeoPanamax",ABQ14,AAC14="Suezmax",ABJ14,AAC14="Capesize",ABC14,AAC14="VLOC",AAV14)))))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R14" s="75" t="e">
        <f t="array" aca="1" ref="AER14" ca="1">INDEX(Canals!$AG$24:$AG$29,MATCH(2,1/((Canals!$F$24:$F$29&lt;=$C14)*(Canals!$G$24:$G$29=_xlfn.IFS(AAC14="Handysize",Main!ACL14,AAC14="Supramax",ACE14,AAC14="Panamax",ABX14,AAC14="NeoPanamax",ABQ14,AAC14="Suezmax",ABJ14,AAC14="Capesize",ABC14,AAC14="VLOC",AAV14)))))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S14" s="75" t="e">
        <f t="array" aca="1" ref="AES14" ca="1">INDEX(Canals!$AH$24:$AH$29,MATCH(2,1/((Canals!$F$24:$F$29&lt;=$C14)*(Canals!$G$24:$G$29=_xlfn.IFS(AAC14="Handysize",Main!ACL14,AAC14="Supramax",ACE14,AAC14="Panamax",ABX14,AAC14="NeoPanamax",ABQ14,AAC14="Suezmax",ABJ14,AAC14="Capesize",ABC14,AAC14="VLOC",AAV14)))))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T14" s="75" t="e">
        <f t="array" aca="1" ref="AET14" ca="1">INDEX(Canals!$AI$24:$AI$29,MATCH(2,1/((Canals!$F$24:$F$29&lt;=$C14)*(Canals!$G$24:$G$29=_xlfn.IFS(AAC14="Handysize",Main!ACL14,AAC14="Supramax",ACE14,AAC14="Panamax",ABX14,AAC14="NeoPanamax",ABQ14,AAC14="Suezmax",ABJ14,AAC14="Capesize",ABC14,AAC14="VLOC",AAV14)))))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U14" s="75" t="e">
        <f t="array" aca="1" ref="AEU14" ca="1">INDEX(Canals!$AJ$24:$AJ$29,MATCH(2,1/((Canals!$F$24:$F$29&lt;=$C14)*(Canals!$G$24:$G$29=_xlfn.IFS(AAC14="Handysize",Main!ACL14,AAC14="Supramax",ACE14,AAC14="Panamax",ABX14,AAC14="NeoPanamax",ABQ14,AAC14="Suezmax",ABJ14,AAC14="Capesize",ABC14,AAC14="VLOC",AAV14)))))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V14" s="75" t="e">
        <f t="array" aca="1" ref="AEV14" ca="1">INDEX(Canals!$AK$24:$AK$29,MATCH(2,1/((Canals!$F$24:$F$29&lt;=$C14)*(Canals!$G$24:$G$29=_xlfn.IFS(AAC14="Handysize",Main!ACL14,AAC14="Supramax",ACE14,AAC14="Panamax",ABX14,AAC14="NeoPanamax",ABQ14,AAC14="Suezmax",ABJ14,AAC14="Capesize",ABC14,AAC14="VLOC",AAV14)))))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W14" s="136" t="e">
        <f t="array" aca="1" ref="AEW14" ca="1">INDEX(Canals!$AL$24:$AL$29,MATCH(2,1/((Canals!$F$24:$F$29&lt;=$C14)*(Canals!$G$24:$G$29=_xlfn.IFS(AAC14="Handysize",Main!ACL14,AAC14="Supramax",ACE14,AAC14="Panamax",ABX14,AAC14="NeoPanamax",ABQ14,AAC14="Suezmax",ABJ14,AAC14="Capesize",ABC14,AAC14="VLOC",AAV14)))))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X14" s="136" t="e">
        <f t="array" aca="1" ref="AEX14" ca="1">INDEX(Canals!$AM$24:$AM$29,MATCH(2,1/((Canals!$F$24:$F$29&lt;=$C14)*(Canals!$G$24:$G$29=_xlfn.IFS(AAC14="Handysize",Main!ACL14,AAC14="Supramax",ACE14,AAC14="Panamax",ABX14,AAC14="NeoPanamax",ABQ14,AAC14="Suezmax",ABJ14,AAC14="Capesize",ABC14,AAC14="VLOC",AAV14)))))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Y14" s="136" t="e">
        <f t="array" aca="1" ref="AEY14" ca="1">INDEX(Canals!$AN$24:$AN$29,MATCH(2,1/((Canals!$F$24:$F$29&lt;=$C14)*(Canals!$G$24:$G$29=_xlfn.IFS(AAC14="Handysize",Main!ACL14,AAC14="Supramax",ACE14,AAC14="Panamax",ABX14,AAC14="NeoPanamax",ABQ14,AAC14="Suezmax",ABJ14,AAC14="Capesize",ABC14,AAC14="VLOC",AAV14)))))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EZ14" s="136" t="e">
        <f t="array" aca="1" ref="AEZ14" ca="1">INDEX(Canals!$AO$24:$AO$29,MATCH(2,1/((Canals!$F$24:$F$29&lt;=$C14)*(Canals!$G$24:$G$29=_xlfn.IFS(AAC14="Handysize",Main!ACL14,AAC14="Supramax",ACE14,AAC14="Panamax",ABX14,AAC14="NeoPanamax",ABQ14,AAC14="Suezmax",ABJ14,AAC14="Capesize",ABC14,AAC14="VLOC",AAV14)))))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A14" s="136" t="e">
        <f t="array" aca="1" ref="AFA14" ca="1">INDEX(Canals!$AP$24:$AP$29,MATCH(2,1/((Canals!$F$24:$F$29&lt;=$C14)*(Canals!$G$24:$G$29=_xlfn.IFS(AAC14="Handysize",Main!ACL14,AAC14="Supramax",ACE14,AAC14="Panamax",ABX14,AAC14="NeoPanamax",ABQ14,AAC14="Suezmax",ABJ14,AAC14="Capesize",ABC14,AAC14="VLOC",AAV14)))))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B14" s="136" t="e">
        <f t="array" aca="1" ref="AFB14" ca="1">INDEX(Canals!$AQ$24:$AQ$29,MATCH(2,1/((Canals!$F$24:$F$29&lt;=$C14)*(Canals!$G$24:$G$29=_xlfn.IFS(AAC14="Handysize",Main!ACL14,AAC14="Supramax",ACE14,AAC14="Panamax",ABX14,AAC14="NeoPanamax",ABQ14,AAC14="Suezmax",ABJ14,AAC14="Capesize",ABC14,AAC14="VLOC",AAV14)))))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C14" s="136" t="e">
        <f t="array" aca="1" ref="AFC14" ca="1">INDEX(Canals!$AR$24:$AR$29,MATCH(2,1/((Canals!$F$24:$F$29&lt;=$C14)*(Canals!$G$24:$G$29=_xlfn.IFS(AAC14="Handysize",Main!ACL14,AAC14="Supramax",ACE14,AAC14="Panamax",ABX14,AAC14="NeoPanamax",ABQ14,AAC14="Suezmax",ABJ14,AAC14="Capesize",ABC14,AAC14="VLOC",AAV14)))))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D14" s="136" t="e">
        <f t="array" aca="1" ref="AFD14" ca="1">INDEX(Canals!$AS$24:$AS$29,MATCH(2,1/((Canals!$F$24:$F$29&lt;=$C14)*(Canals!$G$24:$G$29=_xlfn.IFS(AAC14="Handysize",Main!ACL14,AAC14="Supramax",ACE14,AAC14="Panamax",ABX14,AAC14="NeoPanamax",ABQ14,AAC14="Suezmax",ABJ14,AAC14="Capesize",ABC14,AAC14="VLOC",AAV14)))))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E14" s="136" t="e">
        <f t="array" aca="1" ref="AFE14" ca="1">INDEX(Canals!$AT$24:$AT$29,MATCH(2,1/((Canals!$F$24:$F$29&lt;=$C14)*(Canals!$G$24:$G$29=_xlfn.IFS(AAC14="Handysize",Main!ACL14,AAC14="Supramax",ACE14,AAC14="Panamax",ABX14,AAC14="NeoPanamax",ABQ14,AAC14="Suezmax",ABJ14,AAC14="Capesize",ABC14,AAC14="VLOC",AAV14)))))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F14" s="136" t="e">
        <f t="array" aca="1" ref="AFF14" ca="1">INDEX(Canals!$AU$24:$AU$29,MATCH(2,1/((Canals!$F$24:$F$29&lt;=$C14)*(Canals!$G$24:$G$29=_xlfn.IFS(AAC14="Handysize",Main!ACL14,AAC14="Supramax",ACE14,AAC14="Panamax",ABX14,AAC14="NeoPanamax",ABQ14,AAC14="Suezmax",ABJ14,AAC14="Capesize",ABC14,AAC14="VLOC",AAV14)))))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G14" s="136" t="e">
        <f t="array" aca="1" ref="AFG14" ca="1">INDEX(Canals!$AV$24:$AV$29,MATCH(2,1/((Canals!$F$24:$F$29&lt;=$C14)*(Canals!$G$24:$G$29=_xlfn.IFS(AAC14="Handysize",Main!ACL14,AAC14="Supramax",ACE14,AAC14="Panamax",ABX14,AAC14="NeoPanamax",ABQ14,AAC14="Suezmax",ABJ14,AAC14="Capesize",ABC14,AAC14="VLOC",AAV14)))))</f>
        <v>#N/A</v>
      </c>
      <c r="AFI14" s="75" t="e">
        <f t="array" aca="1" ref="AFI14" ca="1">_xlfn.IFS(ADT14="DWT",AAA14,ADT14="NRT",AAE14,ADT14="GRT",AAF14)</f>
        <v>#NAME?</v>
      </c>
      <c r="AFJ14" s="279" t="e">
        <f t="shared" ca="1" si="176"/>
        <v>#NAME?</v>
      </c>
      <c r="AFK14" s="280" t="e">
        <f t="shared" ca="1" si="177"/>
        <v>#NAME?</v>
      </c>
      <c r="AFL14" s="280" t="e">
        <f t="shared" ca="1" si="178"/>
        <v>#NAME?</v>
      </c>
      <c r="AFM14" s="280" t="e">
        <f t="shared" ca="1" si="179"/>
        <v>#NAME?</v>
      </c>
      <c r="AFN14" s="280" t="e">
        <f t="shared" ca="1" si="180"/>
        <v>#NAME?</v>
      </c>
      <c r="AFO14" s="280" t="e">
        <f t="shared" ca="1" si="181"/>
        <v>#NAME?</v>
      </c>
      <c r="AFP14" s="280" t="e">
        <f t="shared" ca="1" si="182"/>
        <v>#NAME?</v>
      </c>
      <c r="AFQ14" s="280" t="e">
        <f t="shared" ca="1" si="183"/>
        <v>#NAME?</v>
      </c>
      <c r="AFR14" s="280" t="e">
        <f t="shared" ca="1" si="184"/>
        <v>#NAME?</v>
      </c>
      <c r="AFS14" s="75">
        <f t="shared" si="185"/>
        <v>175500</v>
      </c>
      <c r="AFT14" s="279" t="e">
        <f t="shared" ca="1" si="186"/>
        <v>#N/A</v>
      </c>
      <c r="AFU14" s="280" t="e">
        <f t="shared" ca="1" si="187"/>
        <v>#N/A</v>
      </c>
      <c r="AFV14" s="280" t="e">
        <f t="shared" ca="1" si="188"/>
        <v>#N/A</v>
      </c>
      <c r="AFW14" s="280" t="e">
        <f t="shared" ca="1" si="189"/>
        <v>#N/A</v>
      </c>
      <c r="AFX14" s="280" t="e">
        <f t="shared" ca="1" si="190"/>
        <v>#N/A</v>
      </c>
      <c r="AFY14" s="280" t="e">
        <f t="shared" ca="1" si="191"/>
        <v>#N/A</v>
      </c>
      <c r="AFZ14" s="280" t="e">
        <f t="shared" ca="1" si="192"/>
        <v>#N/A</v>
      </c>
      <c r="AGA14" s="280" t="e">
        <f t="shared" ca="1" si="193"/>
        <v>#N/A</v>
      </c>
      <c r="AGB14" s="280" t="e">
        <f t="shared" ca="1" si="194"/>
        <v>#N/A</v>
      </c>
      <c r="AGD14" s="75" t="e">
        <f t="array" aca="1" ref="AGD14" ca="1">_xlfn.IFS(AAC14="Handysize",Main!ACF14,AAC14="Supramax",ABY14,AAC14="Panamax",ABR14,AAC14="NeoPanamax",ABK14,AAC14="Suezmax",ABD14,AAC14="Capesize",AAW14,AAC14="VLOC",AAP14)*$JI14</f>
        <v>#NAME?</v>
      </c>
      <c r="AGE14" s="274" t="e">
        <f t="array" aca="1" ref="AGE14" ca="1">_xlfn.IFS(AAC14="Handysize",Main!ACG14,AAC14="Supramax",ABZ14,AAC14="Panamax",ABS14,AAC14="NeoPanamax",ABL14,AAC14="Suezmax",ABE14,AAC14="Capesize",AAX14,AAC14="VLOC",AAQ14)*$JI14</f>
        <v>#NAME?</v>
      </c>
      <c r="AGF14" s="71" t="e">
        <f t="array" aca="1" ref="AGF14" ca="1">_xlfn.IFS(AAC14="Handysize",Main!AAH14,AAC14="Supramax",AAI14,AAC14="Panamax",AAJ14,AAC14="NeoPanamax",AAK14,AAC14="Suezmax",AAL14,AAC14="Capesize",AAM14,AAC14="VLOC",AAN14)</f>
        <v>#NAME?</v>
      </c>
      <c r="AGG14" s="71" t="e">
        <f t="array" aca="1" ref="AGG14" ca="1">_xlfn.IFS(AAC14="Handysize",Main!ACT14,AAC14="Supramax",ACU14,AAC14="Panamax",ACV14,AAC14="NeoPanamax",ACW14,AAC14="Suezmax",ACX14,AAC14="Capesize",ACY14,AAC14="VLOC",ACZ14)</f>
        <v>#NAME?</v>
      </c>
      <c r="AGH14" s="70">
        <f t="array" ref="AGH14">INDEX('Ship Speeds'!$G$11:$G$1011,MATCH(2,1/(('Ship Speeds'!$E$11:$E$1011&lt;=Main!$C14)*('Ship Speeds'!$F$11:$F$1011=Main!AAB14))))</f>
        <v>11</v>
      </c>
      <c r="AGI14" s="403">
        <f t="shared" si="195"/>
        <v>35.906192279020722</v>
      </c>
      <c r="AGJ14" s="401">
        <f t="shared" si="196"/>
        <v>3.1223999999999998</v>
      </c>
      <c r="AGK14" s="70" t="e">
        <f t="shared" ca="1" si="197"/>
        <v>#NAME?</v>
      </c>
      <c r="AGL14" s="70" t="e">
        <f t="shared" ca="1" si="198"/>
        <v>#NAME?</v>
      </c>
      <c r="AGM14" s="70" t="e">
        <f t="shared" ca="1" si="199"/>
        <v>#NAME?</v>
      </c>
      <c r="AGN14" s="70" t="e">
        <f t="shared" ca="1" si="200"/>
        <v>#NAME?</v>
      </c>
      <c r="AGO14" s="72" t="e">
        <f t="shared" ca="1" si="201"/>
        <v>#N/A</v>
      </c>
      <c r="AGP14" s="70" t="e">
        <f t="shared" ca="1" si="202"/>
        <v>#NAME?</v>
      </c>
      <c r="AGQ14" s="70" t="e">
        <f t="array" aca="1" ref="AGQ14" ca="1">INDEX(ACN14:ACR14,MATCH(_xlfn.IFS(AAC14="Handysize",Main!ACJ14,AAC14="Supramax",ACC14,AAC14="Panamax",ABV14,AAC14="NeoPanamax",ABO14,AAC14="Suezmax",ABH14,AAC14="Capesize",ABA14,AAC14="VLOC",AAT14),$ACN$7:$ACR$7,0))</f>
        <v>#NAME?</v>
      </c>
      <c r="AGR14" s="70" t="e">
        <f t="array" aca="1" ref="AGR14" ca="1">INDEX(ACN14:ACR14,MATCH(_xlfn.IFS(AAC14="Handysize",Main!ACK14,AAC14="Supramax",ACD14,AAC14="Panamax",ABW14,AAC14="NeoPanamax",ABP14,AAC14="Suezmax",ABI14,AAC14="Capesize",ABB14,AAC14="VLOC",AAU14),$ACN$7:$ACR$7,0))</f>
        <v>#NAME?</v>
      </c>
      <c r="AGS14" s="71" t="e">
        <f t="shared" ca="1" si="203"/>
        <v>#NAME?</v>
      </c>
      <c r="AGT14" s="71" t="e">
        <f t="shared" ca="1" si="204"/>
        <v>#NAME?</v>
      </c>
      <c r="AGU14" s="281">
        <f t="shared" si="205"/>
        <v>7.0759999999999987</v>
      </c>
      <c r="AGV14" s="71">
        <f t="shared" si="206"/>
        <v>1744.2057659694747</v>
      </c>
      <c r="AGW14" s="71" t="e">
        <f t="shared" ca="1" si="207"/>
        <v>#NAME?</v>
      </c>
      <c r="AGX14" s="71" t="e">
        <f t="shared" ca="1" si="208"/>
        <v>#NAME?</v>
      </c>
      <c r="AGY14" s="71">
        <f t="shared" si="209"/>
        <v>65477.6710005653</v>
      </c>
      <c r="AGZ14" s="71" t="e">
        <f t="shared" ca="1" si="210"/>
        <v>#NAME?</v>
      </c>
      <c r="AHA14" s="71" t="e">
        <f t="shared" ca="1" si="211"/>
        <v>#NAME?</v>
      </c>
      <c r="AHB14" s="71">
        <f t="shared" si="212"/>
        <v>46485.635952515557</v>
      </c>
      <c r="AHC14" s="71" t="e">
        <f t="shared" ca="1" si="213"/>
        <v>#NAME?</v>
      </c>
      <c r="AHD14" s="71" t="e">
        <f t="shared" ca="1" si="214"/>
        <v>#NAME?</v>
      </c>
      <c r="AHE14" s="71">
        <f t="shared" si="215"/>
        <v>0</v>
      </c>
      <c r="AHF14" s="71" t="e">
        <f t="shared" ca="1" si="216"/>
        <v>#NAME?</v>
      </c>
      <c r="AHG14" s="71" t="e">
        <f t="shared" ca="1" si="217"/>
        <v>#NAME?</v>
      </c>
      <c r="AHH14" s="72">
        <f t="shared" si="218"/>
        <v>8436.5333521763714</v>
      </c>
      <c r="AHI14" s="72" t="e">
        <f t="shared" ca="1" si="219"/>
        <v>#NAME?</v>
      </c>
      <c r="AHJ14" s="71" t="e">
        <f t="shared" ca="1" si="220"/>
        <v>#NAME?</v>
      </c>
      <c r="AHK14" s="71" t="e">
        <f t="array" aca="1" ref="AHK14" ca="1">INDEX('Ship Time Charter Rates'!$H$22:$H$1021,MATCH(2,1/(('Ship Time Charter Rates'!$G$22:$G$1021=_xlfn.IFS(AAC14="Handysize",Main!ACH14,AAC14="Supramax",ACA14,AAC14="Panamax",ABT14,AAC14="NeoPanamax",ABM14,AAC14="Suezmax",ABF14,AAC14="Capesize",AAY14,AAC14="VLOC",AAR14))*('Ship Time Charter Rates'!$E$22:$E$1021&lt;=Main!$C14)*(NOT(ISBLANK('Ship Time Charter Rates'!$H$22:$H$1021))))))</f>
        <v>#N/A</v>
      </c>
      <c r="AHL14" s="71" t="e">
        <f t="shared" ca="1" si="221"/>
        <v>#NAME?</v>
      </c>
      <c r="AHM14" s="70" t="e">
        <f t="shared" ca="1" si="222"/>
        <v>#N/A</v>
      </c>
      <c r="AHN14" s="71" t="e">
        <f t="shared" ca="1" si="223"/>
        <v>#NAME?</v>
      </c>
      <c r="AHO14" s="71" t="e">
        <f t="shared" ca="1" si="306"/>
        <v>#NAME?</v>
      </c>
      <c r="AHP14" s="72" t="e">
        <f t="shared" ca="1" si="307"/>
        <v>#NAME?</v>
      </c>
      <c r="AHR14" s="25">
        <f t="shared" ref="AHR14:AHR23" si="323">IF($AO14="yes",$AN14,$AR14)/(1-$AL14)/$JN14</f>
        <v>0</v>
      </c>
      <c r="AHS14" s="4" t="str">
        <f>VLOOKUP(AHR14,'Ship Time Charter Rates'!$F$10:$G$17,2,TRUE)</f>
        <v>Handysize</v>
      </c>
      <c r="AHT14" s="4" t="str">
        <f>VLOOKUP(AHR14,Canals!$E$5:$F$12,2,TRUE)</f>
        <v>Handysize</v>
      </c>
      <c r="AHU14" s="25">
        <f t="shared" si="224"/>
        <v>145.88999999999999</v>
      </c>
      <c r="AHV14" s="25">
        <f t="shared" si="225"/>
        <v>0</v>
      </c>
      <c r="AHW14" s="25">
        <f t="shared" si="226"/>
        <v>4797</v>
      </c>
      <c r="AHY14" s="75">
        <f t="array" ref="AHY14">INDEX('Indices Mines Exporting Ports'!$R$20:$R$51,MATCH(2,1/(('Indices Mines Exporting Ports'!$D$20:$D$51&lt;=Main!$C14)*('Indices Mines Exporting Ports'!$Q$20:$Q$51=$AQ14))))</f>
        <v>0</v>
      </c>
      <c r="AHZ14" s="75">
        <f t="array" ref="AHZ14">INDEX('Indices Mines Exporting Ports'!$S$20:$S$51,MATCH(2,1/(('Indices Mines Exporting Ports'!$D$20:$D$51&lt;=Main!$C14)*('Indices Mines Exporting Ports'!$Q$20:$Q$51=$AQ14))))</f>
        <v>0</v>
      </c>
      <c r="AIA14" s="75">
        <f t="array" ref="AIA14">INDEX('Indices Mines Exporting Ports'!$T$20:$T$51,MATCH(2,1/(('Indices Mines Exporting Ports'!$D$20:$D$51&lt;=Main!$C14)*('Indices Mines Exporting Ports'!$Q$20:$Q$51=$AQ14))))</f>
        <v>0</v>
      </c>
      <c r="AIB14" s="75">
        <f t="array" ref="AIB14">INDEX('Indices Mines Exporting Ports'!$U$20:$U$51,MATCH(2,1/(('Indices Mines Exporting Ports'!$D$20:$D$51&lt;=Main!$C14)*('Indices Mines Exporting Ports'!$Q$20:$Q$51=$AQ14))))</f>
        <v>0</v>
      </c>
      <c r="AIC14" s="75">
        <f t="array" ref="AIC14">INDEX('Indices Mines Exporting Ports'!$V$20:$V$51,MATCH(2,1/(('Indices Mines Exporting Ports'!$D$20:$D$51&lt;=Main!$C14)*('Indices Mines Exporting Ports'!$Q$20:$Q$51=$AQ14))))</f>
        <v>0</v>
      </c>
      <c r="AID14" s="75">
        <f t="array" ref="AID14">INDEX('Indices Mines Exporting Ports'!$W$20:$W$51,MATCH(2,1/(('Indices Mines Exporting Ports'!$D$20:$D$51&lt;=Main!$C14)*('Indices Mines Exporting Ports'!$Q$20:$Q$51=$AQ14))))</f>
        <v>0</v>
      </c>
      <c r="AIE14" s="75">
        <f t="array" ref="AIE14">INDEX('Indices Mines Exporting Ports'!$X$20:$X$51,MATCH(2,1/(('Indices Mines Exporting Ports'!$D$20:$D$51&lt;=Main!$C14)*('Indices Mines Exporting Ports'!$Q$20:$Q$51=$AQ14))))</f>
        <v>0</v>
      </c>
      <c r="AIG14" s="75">
        <f t="array" ref="AIG14">INDEX('Port Linkages'!$E$18:$E$157,MATCH(2,1/(('Port Linkages'!$C$18:$C$157=$AQ14)*('Port Linkages'!$D$18:$D$157=IF($AO14="no",$AQ14,$KK14))*('Port Linkages'!$A$18:$A$157&lt;=$C14))))</f>
        <v>0</v>
      </c>
      <c r="AIH14" s="75">
        <f t="array" ref="AIH14">INDEX('Port Linkages'!$F$18:$F$157,MATCH(2,1/(('Port Linkages'!$C$18:$C$157=$AQ14)*('Port Linkages'!$D$18:$D$157=IF($AO14="no",$AQ14,$KK14))*('Port Linkages'!$A$18:$A$157&lt;=$C14))))</f>
        <v>0</v>
      </c>
      <c r="AII14" s="75">
        <f t="array" ref="AII14">INDEX('Port Linkages'!$G$18:$G$157,MATCH(2,1/(('Port Linkages'!$C$18:$C$157=$AQ14)*('Port Linkages'!$D$18:$D$157=IF($AO14="no",$AQ14,$KK14))*('Port Linkages'!$A$18:$A$157&lt;=$C14))))</f>
        <v>0</v>
      </c>
      <c r="AIJ14" s="75">
        <f t="array" ref="AIJ14">INDEX('Port Linkages'!$H$18:$H$157,MATCH(2,1/(('Port Linkages'!$C$18:$C$157=$AQ14)*('Port Linkages'!$D$18:$D$157=IF($AO14="no",$AQ14,$KK14))*('Port Linkages'!$A$18:$A$157&lt;=$C14))))</f>
        <v>0</v>
      </c>
      <c r="AIK14" s="75">
        <f t="array" ref="AIK14">INDEX('Port Linkages'!$I$18:$I$157,MATCH(2,1/(('Port Linkages'!$C$18:$C$157=$AQ14)*('Port Linkages'!$D$18:$D$157=IF($AO14="no",$AQ14,$KK14))*('Port Linkages'!$A$18:$A$157&lt;=$C14))))</f>
        <v>0</v>
      </c>
      <c r="AIL14" s="75">
        <f t="array" ref="AIL14">INDEX('Port Linkages'!$J$18:$J$157,MATCH(2,1/(('Port Linkages'!$C$18:$C$157=$AQ14)*('Port Linkages'!$D$18:$D$157=IF($AO14="no",$AQ14,$KK14))*('Port Linkages'!$A$18:$A$157&lt;=$C14))))</f>
        <v>0</v>
      </c>
      <c r="AIM14" s="75">
        <f t="array" ref="AIM14">INDEX('Port Linkages'!$K$18:$K$157,MATCH(2,1/(('Port Linkages'!$C$18:$C$157=$AQ14)*('Port Linkages'!$D$18:$D$157=IF($AO14="no",$AQ14,$KK14))*('Port Linkages'!$A$18:$A$157&lt;=$C14))))</f>
        <v>0</v>
      </c>
      <c r="AIN14" s="75">
        <f t="array" ref="AIN14">INDEX('Port Linkages'!$L$18:$L$157,MATCH(2,1/(('Port Linkages'!$C$18:$C$157=$AQ14)*('Port Linkages'!$D$18:$D$157=IF($AO14="no",$AQ14,$KK14))*('Port Linkages'!$A$18:$A$157&lt;=$C14))))</f>
        <v>0</v>
      </c>
      <c r="AIO14" s="75">
        <f t="array" ref="AIO14">INDEX('Port Linkages'!$M$18:$M$157,MATCH(2,1/(('Port Linkages'!$C$18:$C$157=$AQ14)*('Port Linkages'!$D$18:$D$157=IF($AO14="no",$AQ14,$KK14))*('Port Linkages'!$A$18:$A$157&lt;=$C14))))</f>
        <v>0</v>
      </c>
      <c r="AIP14" s="75">
        <f t="array" ref="AIP14">INDEX('Port Linkages'!$N$18:$N$157,MATCH(2,1/(('Port Linkages'!$C$18:$C$157=$AQ14)*('Port Linkages'!$D$18:$D$157=IF($AO14="no",$AQ14,$KK14))*('Port Linkages'!$A$18:$A$157&lt;=$C14))))</f>
        <v>0</v>
      </c>
      <c r="AIQ14" s="75">
        <f t="array" ref="AIQ14">INDEX('Port Linkages'!$O$18:$O$157,MATCH(2,1/(('Port Linkages'!$C$18:$C$157=$AQ14)*('Port Linkages'!$D$18:$D$157=IF($AO14="no",$AQ14,$KK14))*('Port Linkages'!$A$18:$A$157&lt;=$C14))))</f>
        <v>0</v>
      </c>
      <c r="AIR14" s="75">
        <f t="array" ref="AIR14">INDEX('Port Linkages'!$P$18:$P$157,MATCH(2,1/(('Port Linkages'!$C$18:$C$157=$AQ14)*('Port Linkages'!$D$18:$D$157=IF($AO14="no",$AQ14,$KK14))*('Port Linkages'!$A$18:$A$157&lt;=$C14))))</f>
        <v>0</v>
      </c>
      <c r="AIS14" s="75">
        <f t="array" ref="AIS14">INDEX('Port Linkages'!$Q$18:$Q$157,MATCH(2,1/(('Port Linkages'!$C$18:$C$157=$AQ14)*('Port Linkages'!$D$18:$D$157=IF($AO14="no",$AQ14,$KK14))*('Port Linkages'!$A$18:$A$157&lt;=$C14))))</f>
        <v>0</v>
      </c>
      <c r="AIT14" s="75">
        <f t="array" ref="AIT14">INDEX('Port Linkages'!$R$18:$R$157,MATCH(2,1/(('Port Linkages'!$C$18:$C$157=$AQ14)*('Port Linkages'!$D$18:$D$157=IF($AO14="no",$AQ14,$KK14))*('Port Linkages'!$A$18:$A$157&lt;=$C14))))</f>
        <v>0</v>
      </c>
      <c r="AIU14" s="75">
        <f t="array" ref="AIU14">INDEX('Port Linkages'!$S$18:$S$157,MATCH(2,1/(('Port Linkages'!$C$18:$C$157=$AQ14)*('Port Linkages'!$D$18:$D$157=IF($AO14="no",$AQ14,$KK14))*('Port Linkages'!$A$18:$A$157&lt;=$C14))))</f>
        <v>0</v>
      </c>
      <c r="AIV14" s="75">
        <f t="array" ref="AIV14">INDEX('Port Linkages'!$T$18:$T$157,MATCH(2,1/(('Port Linkages'!$C$18:$C$157=$AQ14)*('Port Linkages'!$D$18:$D$157=IF($AO14="no",$AQ14,$KK14))*('Port Linkages'!$A$18:$A$157&lt;=$C14))))</f>
        <v>0</v>
      </c>
      <c r="AIW14" s="75">
        <f t="array" ref="AIW14">INDEX('Port Linkages'!$U$18:$U$157,MATCH(2,1/(('Port Linkages'!$C$18:$C$157=$AQ14)*('Port Linkages'!$D$18:$D$157=IF($AO14="no",$AQ14,$KK14))*('Port Linkages'!$A$18:$A$157&lt;=$C14))))</f>
        <v>0</v>
      </c>
      <c r="AIX14" s="75">
        <f t="array" ref="AIX14">INDEX('Port Linkages'!$V$18:$V$157,MATCH(2,1/(('Port Linkages'!$C$18:$C$157=$AQ14)*('Port Linkages'!$D$18:$D$157=IF($AO14="no",$AQ14,$KK14))*('Port Linkages'!$A$18:$A$157&lt;=$C14))))</f>
        <v>0</v>
      </c>
      <c r="AIY14" s="75">
        <f t="array" ref="AIY14">INDEX('Port Linkages'!$W$18:$W$157,MATCH(2,1/(('Port Linkages'!$C$18:$C$157=$AQ14)*('Port Linkages'!$D$18:$D$157=IF($AO14="no",$AQ14,$KK14))*('Port Linkages'!$A$18:$A$157&lt;=$C14))))</f>
        <v>0</v>
      </c>
      <c r="AIZ14" s="75">
        <f t="array" ref="AIZ14">INDEX('Port Linkages'!$X$18:$X$157,MATCH(2,1/(('Port Linkages'!$C$18:$C$157=$AQ14)*('Port Linkages'!$D$18:$D$157=IF($AO14="no",$AQ14,$KK14))*('Port Linkages'!$A$18:$A$157&lt;=$C14))))</f>
        <v>0</v>
      </c>
      <c r="AJA14" s="75">
        <f t="array" ref="AJA14">INDEX('Port Linkages'!$Y$18:$Y$157,MATCH(2,1/(('Port Linkages'!$C$18:$C$157=$AQ14)*('Port Linkages'!$D$18:$D$157=IF($AO14="no",$AQ14,$KK14))*('Port Linkages'!$A$18:$A$157&lt;=$C14))))</f>
        <v>0</v>
      </c>
      <c r="AJB14" s="75">
        <f t="array" ref="AJB14">INDEX('Port Linkages'!$Z$18:$Z$157,MATCH(2,1/(('Port Linkages'!$C$18:$C$157=$AQ14)*('Port Linkages'!$D$18:$D$157=IF($AO14="no",$AQ14,$KK14))*('Port Linkages'!$A$18:$A$157&lt;=$C14))))</f>
        <v>0</v>
      </c>
      <c r="AJC14" s="75">
        <f t="array" ref="AJC14">INDEX('Port Linkages'!$AA$18:$AA$157,MATCH(2,1/(('Port Linkages'!$C$18:$C$157=$AQ14)*('Port Linkages'!$D$18:$D$157=IF($AO14="no",$AQ14,$KK14))*('Port Linkages'!$A$18:$A$157&lt;=$C14))))</f>
        <v>0</v>
      </c>
      <c r="AJD14" s="75">
        <f t="array" ref="AJD14">INDEX('Port Linkages'!$AB$18:$AB$157,MATCH(2,1/(('Port Linkages'!$C$18:$C$157=$AQ14)*('Port Linkages'!$D$18:$D$157=IF($AO14="no",$AQ14,$KK14))*('Port Linkages'!$A$18:$A$157&lt;=$C14))))</f>
        <v>0</v>
      </c>
      <c r="AJE14" s="75">
        <f t="array" ref="AJE14">INDEX('Port Linkages'!$AC$18:$AC$157,MATCH(2,1/(('Port Linkages'!$C$18:$C$157=$AQ14)*('Port Linkages'!$D$18:$D$157=IF($AO14="no",$AQ14,$KK14))*('Port Linkages'!$A$18:$A$157&lt;=$C14))))</f>
        <v>0</v>
      </c>
      <c r="AJF14" s="75">
        <f t="array" ref="AJF14">INDEX('Port Linkages'!$AD$18:$AD$157,MATCH(2,1/(('Port Linkages'!$C$18:$C$157=$AQ14)*('Port Linkages'!$D$18:$D$157=IF($AO14="no",$AQ14,$KK14))*('Port Linkages'!$A$18:$A$157&lt;=$C14))))</f>
        <v>0</v>
      </c>
      <c r="AJG14" s="75">
        <f t="array" ref="AJG14">INDEX('Port Linkages'!$AE$18:$AE$157,MATCH(2,1/(('Port Linkages'!$C$18:$C$157=$AQ14)*('Port Linkages'!$D$18:$D$157=IF($AO14="no",$AQ14,$KK14))*('Port Linkages'!$A$18:$A$157&lt;=$C14))))</f>
        <v>0</v>
      </c>
      <c r="AJH14" s="75">
        <f t="array" ref="AJH14">INDEX('Port Linkages'!$AF$18:$AF$157,MATCH(2,1/(('Port Linkages'!$C$18:$C$157=$AQ14)*('Port Linkages'!$D$18:$D$157=IF($AO14="no",$AQ14,$KK14))*('Port Linkages'!$A$18:$A$157&lt;=$C14))))</f>
        <v>0</v>
      </c>
      <c r="AJI14" s="75">
        <f t="array" ref="AJI14">INDEX('Port Linkages'!$AG$18:$AG$157,MATCH(2,1/(('Port Linkages'!$C$18:$C$157=$AQ14)*('Port Linkages'!$D$18:$D$157=IF($AO14="no",$AQ14,$KK14))*('Port Linkages'!$A$18:$A$157&lt;=$C14))))</f>
        <v>0</v>
      </c>
      <c r="AJJ14" s="75">
        <f t="array" ref="AJJ14">INDEX('Port Linkages'!$AH$18:$AH$157,MATCH(2,1/(('Port Linkages'!$C$18:$C$157=$AQ14)*('Port Linkages'!$D$18:$D$157=IF($AO14="no",$AQ14,$KK14))*('Port Linkages'!$A$18:$A$157&lt;=$C14))))</f>
        <v>0</v>
      </c>
      <c r="AJK14" s="75">
        <f t="array" ref="AJK14">INDEX('Port Linkages'!$AI$18:$AI$157,MATCH(2,1/(('Port Linkages'!$C$18:$C$157=$AQ14)*('Port Linkages'!$D$18:$D$157=IF($AO14="no",$AQ14,$KK14))*('Port Linkages'!$A$18:$A$157&lt;=$C14))))</f>
        <v>0</v>
      </c>
      <c r="AJL14" s="75">
        <f t="array" ref="AJL14">INDEX('Port Linkages'!$AJ$18:$AJ$157,MATCH(2,1/(('Port Linkages'!$C$18:$C$157=$AQ14)*('Port Linkages'!$D$18:$D$157=IF($AO14="no",$AQ14,$KK14))*('Port Linkages'!$A$18:$A$157&lt;=$C14))))</f>
        <v>0</v>
      </c>
      <c r="AJM14" s="75">
        <f t="array" ref="AJM14">INDEX('Port Linkages'!$AK$18:$AK$157,MATCH(2,1/(('Port Linkages'!$C$18:$C$157=$AQ14)*('Port Linkages'!$D$18:$D$157=IF($AO14="no",$AQ14,$KK14))*('Port Linkages'!$A$18:$A$157&lt;=$C14))))</f>
        <v>0</v>
      </c>
      <c r="AJN14" s="75">
        <f t="array" ref="AJN14">INDEX('Port Linkages'!$AL$18:$AL$157,MATCH(2,1/(('Port Linkages'!$C$18:$C$157=$AQ14)*('Port Linkages'!$D$18:$D$157=IF($AO14="no",$AQ14,$KK14))*('Port Linkages'!$A$18:$A$157&lt;=$C14))))</f>
        <v>0</v>
      </c>
      <c r="AJO14" s="75">
        <f t="array" ref="AJO14">INDEX('Port Linkages'!$AM$18:$AM$157,MATCH(2,1/(('Port Linkages'!$C$18:$C$157=$AQ14)*('Port Linkages'!$D$18:$D$157=IF($AO14="no",$AQ14,$KK14))*('Port Linkages'!$A$18:$A$157&lt;=$C14))))</f>
        <v>0</v>
      </c>
      <c r="AJP14" s="75">
        <f t="array" ref="AJP14">INDEX('Port Linkages'!$AN$18:$AN$157,MATCH(2,1/(('Port Linkages'!$C$18:$C$157=$AQ14)*('Port Linkages'!$D$18:$D$157=IF($AO14="no",$AQ14,$KK14))*('Port Linkages'!$A$18:$A$157&lt;=$C14))))</f>
        <v>0</v>
      </c>
      <c r="AJQ14" s="75">
        <f t="array" ref="AJQ14">INDEX('Port Linkages'!$AO$18:$AO$157,MATCH(2,1/(('Port Linkages'!$C$18:$C$157=$AQ14)*('Port Linkages'!$D$18:$D$157=IF($AO14="no",$AQ14,$KK14))*('Port Linkages'!$A$18:$A$157&lt;=$C14))))</f>
        <v>0</v>
      </c>
      <c r="AJR14" s="75">
        <f t="array" ref="AJR14">INDEX('Port Linkages'!$AP$18:$AP$157,MATCH(2,1/(('Port Linkages'!$C$18:$C$157=$AQ14)*('Port Linkages'!$D$18:$D$157=IF($AO14="no",$AQ14,$KK14))*('Port Linkages'!$A$18:$A$157&lt;=$C14))))</f>
        <v>0</v>
      </c>
      <c r="AJS14" s="75">
        <f t="array" ref="AJS14">INDEX('Port Linkages'!$AQ$18:$AQ$157,MATCH(2,1/(('Port Linkages'!$C$18:$C$157=$AQ14)*('Port Linkages'!$D$18:$D$157=IF($AO14="no",$AQ14,$KK14))*('Port Linkages'!$A$18:$A$157&lt;=$C14))))</f>
        <v>0</v>
      </c>
      <c r="AJT14" s="75">
        <f t="array" ref="AJT14">INDEX('Port Linkages'!$AR$18:$AR$157,MATCH(2,1/(('Port Linkages'!$C$18:$C$157=$AQ14)*('Port Linkages'!$D$18:$D$157=IF($AO14="no",$AQ14,$KK14))*('Port Linkages'!$A$18:$A$157&lt;=$C14))))</f>
        <v>0</v>
      </c>
      <c r="AJU14" s="75">
        <f t="array" ref="AJU14">INDEX('Port Linkages'!$AS$18:$AS$157,MATCH(2,1/(('Port Linkages'!$C$18:$C$157=$AQ14)*('Port Linkages'!$D$18:$D$157=IF($AO14="no",$AQ14,$KK14))*('Port Linkages'!$A$18:$A$157&lt;=$C14))))</f>
        <v>0</v>
      </c>
      <c r="AJV14" s="75">
        <f t="array" ref="AJV14">INDEX('Port Linkages'!$AT$18:$AT$157,MATCH(2,1/(('Port Linkages'!$C$18:$C$157=$AQ14)*('Port Linkages'!$D$18:$D$157=IF($AO14="no",$AQ14,$KK14))*('Port Linkages'!$A$18:$A$157&lt;=$C14))))</f>
        <v>0</v>
      </c>
      <c r="AJW14" s="75">
        <f t="array" ref="AJW14">INDEX('Port Linkages'!$AU$18:$AU$157,MATCH(2,1/(('Port Linkages'!$C$18:$C$157=$AQ14)*('Port Linkages'!$D$18:$D$157=IF($AO14="no",$AQ14,$KK14))*('Port Linkages'!$A$18:$A$157&lt;=$C14))))</f>
        <v>0</v>
      </c>
      <c r="AJX14" s="75">
        <f t="array" ref="AJX14">INDEX('Port Linkages'!$AV$18:$AV$157,MATCH(2,1/(('Port Linkages'!$C$18:$C$157=$AQ14)*('Port Linkages'!$D$18:$D$157=IF($AO14="no",$AQ14,$KK14))*('Port Linkages'!$A$18:$A$157&lt;=$C14))))</f>
        <v>0</v>
      </c>
      <c r="AJY14" s="75">
        <f t="array" ref="AJY14">INDEX('Port Linkages'!$AW$18:$AW$157,MATCH(2,1/(('Port Linkages'!$C$18:$C$157=$AQ14)*('Port Linkages'!$D$18:$D$157=IF($AO14="no",$AQ14,$KK14))*('Port Linkages'!$A$18:$A$157&lt;=$C14))))</f>
        <v>0</v>
      </c>
      <c r="AJZ14" s="75">
        <f t="array" ref="AJZ14">INDEX('Port Linkages'!$AX$18:$AX$157,MATCH(2,1/(('Port Linkages'!$C$18:$C$157=$AQ14)*('Port Linkages'!$D$18:$D$157=IF($AO14="no",$AQ14,$KK14))*('Port Linkages'!$A$18:$A$157&lt;=$C14))))</f>
        <v>0</v>
      </c>
      <c r="AKA14" s="75">
        <f t="array" ref="AKA14">INDEX('Port Linkages'!$AY$18:$AY$157,MATCH(2,1/(('Port Linkages'!$C$18:$C$157=$AQ14)*('Port Linkages'!$D$18:$D$157=IF($AO14="no",$AQ14,$KK14))*('Port Linkages'!$A$18:$A$157&lt;=$C14))))</f>
        <v>0</v>
      </c>
      <c r="AKB14" s="75">
        <f t="array" ref="AKB14">INDEX('Port Linkages'!$AZ$18:$AZ$157,MATCH(2,1/(('Port Linkages'!$C$18:$C$157=$AQ14)*('Port Linkages'!$D$18:$D$157=IF($AO14="no",$AQ14,$KK14))*('Port Linkages'!$A$18:$A$157&lt;=$C14))))</f>
        <v>0</v>
      </c>
      <c r="AKC14" s="75">
        <f t="array" ref="AKC14">INDEX('Port Linkages'!$BA$18:$BA$157,MATCH(2,1/(('Port Linkages'!$C$18:$C$157=$AQ14)*('Port Linkages'!$D$18:$D$157=IF($AO14="no",$AQ14,$KK14))*('Port Linkages'!$A$18:$A$157&lt;=$C14))))</f>
        <v>0</v>
      </c>
      <c r="AKE14" s="25" t="e">
        <f t="array" aca="1" ref="AKE14" ca="1">INDEX('Ship Fuel Prices'!$F$5:$F$1004,MATCH(2,1/(('Ship Fuel Prices'!$E$5:$E$1004=_xlfn.IFS(AHT14="Handysize",Main!AJZ14,AHT14="Supramax",AJS14,AHT14="Panamax",AJL14,AHT14="NeoPanamax",AJE14,AHT14="Suezmax",AIX14,AHT14="Capesize",AIQ14,AHT14="VLOC",AIJ14))*('Ship Fuel Prices'!$D$5:$D$1004&lt;=Main!$C14))))</f>
        <v>#N/A</v>
      </c>
      <c r="AKF14" s="25" t="e">
        <f t="array" aca="1" ref="AKF14" ca="1">INDEX('Ship Fuel Prices'!$G$5:$G$1004,MATCH(2,1/(('Ship Fuel Prices'!$E$5:$E$1004=_xlfn.IFS(AHT14="Handysize",Main!AJZ14,AHT14="Supramax",AJS14,AHT14="Panamax",AJL14,AHT14="NeoPanamax",AJE14,AHT14="Suezmax",AIX14,AHT14="Capesize",AIQ14,AHT14="VLOC",AIJ14))*('Ship Fuel Prices'!$D$5:$D$1004&lt;=Main!$C14))))</f>
        <v>#N/A</v>
      </c>
      <c r="AKG14" s="25" t="e">
        <f t="array" aca="1" ref="AKG14" ca="1">INDEX('Ship Fuel Prices'!$H$5:$H$1004,MATCH(2,1/(('Ship Fuel Prices'!$E$5:$E$1004=_xlfn.IFS(AHT14="Handysize",Main!AJZ14,AHT14="Supramax",AJS14,AHT14="Panamax",AJL14,AHT14="NeoPanamax",AJE14,AHT14="Suezmax",AIX14,AHT14="Capesize",AIQ14,AHT14="VLOC",AIJ14))*('Ship Fuel Prices'!$D$5:$D$1004&lt;=Main!$C14))))</f>
        <v>#N/A</v>
      </c>
      <c r="AKH14" s="25" t="e">
        <f t="array" aca="1" ref="AKH14" ca="1">INDEX('Ship Fuel Prices'!$I$5:$I$1004,MATCH(2,1/(('Ship Fuel Prices'!$E$5:$E$1004=_xlfn.IFS(AHT14="Handysize",Main!AJZ14,AHT14="Supramax",AJS14,AHT14="Panamax",AJL14,AHT14="NeoPanamax",AJE14,AHT14="Suezmax",AIX14,AHT14="Capesize",AIQ14,AHT14="VLOC",AIJ14))*('Ship Fuel Prices'!$D$5:$D$1004&lt;=Main!$C14))))</f>
        <v>#N/A</v>
      </c>
      <c r="AKI14" s="25" t="e">
        <f t="array" aca="1" ref="AKI14" ca="1">INDEX('Ship Fuel Prices'!$J$5:$J$1004,MATCH(2,1/(('Ship Fuel Prices'!$E$5:$E$1004=_xlfn.IFS(AHT14="Handysize",Main!AJZ14,AHT14="Supramax",AJS14,AHT14="Panamax",AJL14,AHT14="NeoPanamax",AJE14,AHT14="Suezmax",AIX14,AHT14="Capesize",AIQ14,AHT14="VLOC",AIJ14))*('Ship Fuel Prices'!$D$5:$D$1004&lt;=Main!$C14))))</f>
        <v>#N/A</v>
      </c>
      <c r="AKK14" s="75">
        <f t="array" ref="AKK14">INDEX('China n Importing Ports'!$E$20:$E$41,MATCH(2,1/(('China n Importing Ports'!$D$20:$D$41&lt;=$C14)*('China n Importing Ports'!$C$20:$C$41=IF($AO14="No",$AQ14,$KK14)))))</f>
        <v>0</v>
      </c>
      <c r="AKL14" s="75">
        <f t="array" ref="AKL14">INDEX('China n Importing Ports'!$F$20:$F$41,MATCH(2,1/(('China n Importing Ports'!$D$20:$D$41&lt;=$C14)*('China n Importing Ports'!$C$20:$C$41=IF($AO14="No",$AQ14,$KK14)))))</f>
        <v>0</v>
      </c>
      <c r="AKM14" s="75">
        <f t="array" ref="AKM14">INDEX('China n Importing Ports'!$G$20:$G$41,MATCH(2,1/(('China n Importing Ports'!$D$20:$D$41&lt;=$C14)*('China n Importing Ports'!$C$20:$C$41=IF($AO14="No",$AQ14,$KK14)))))</f>
        <v>0</v>
      </c>
      <c r="AKN14" s="75">
        <f t="array" ref="AKN14">INDEX('China n Importing Ports'!$H$20:$H$41,MATCH(2,1/(('China n Importing Ports'!$D$20:$D$41&lt;=$C14)*('China n Importing Ports'!$C$20:$C$41=IF($AO14="No",$AQ14,$KK14)))))</f>
        <v>0</v>
      </c>
      <c r="AKO14" s="75">
        <f t="array" ref="AKO14">INDEX('China n Importing Ports'!$I$20:$I$41,MATCH(2,1/(('China n Importing Ports'!$D$20:$D$41&lt;=$C14)*('China n Importing Ports'!$C$20:$C$41=IF($AO14="No",$AQ14,$KK14)))))</f>
        <v>0</v>
      </c>
      <c r="AKP14" s="75">
        <f t="array" ref="AKP14">INDEX('China n Importing Ports'!$J$20:$J$41,MATCH(2,1/(('China n Importing Ports'!$D$20:$D$41&lt;=$C14)*('China n Importing Ports'!$C$20:$C$41=IF($AO14="No",$AQ14,$KK14)))))</f>
        <v>0</v>
      </c>
      <c r="AKQ14" s="75">
        <f t="array" ref="AKQ14">INDEX('China n Importing Ports'!$K$20:$K$41,MATCH(2,1/(('China n Importing Ports'!$D$20:$D$41&lt;=$C14)*('China n Importing Ports'!$C$20:$C$41=IF($AO14="No",$AQ14,$KK14)))))</f>
        <v>0</v>
      </c>
      <c r="AKR14" s="75">
        <f t="array" ref="AKR14">INDEX('China n Importing Ports'!$L$20:$L$41,MATCH(2,1/(('China n Importing Ports'!$D$20:$D$41&lt;=$C14)*('China n Importing Ports'!$C$20:$C$41=IF($AO14="No",$AQ14,$KK14)))))</f>
        <v>0</v>
      </c>
      <c r="AKS14" s="75">
        <f t="array" ref="AKS14">INDEX('China n Importing Ports'!$M$20:$M$41,MATCH(2,1/(('China n Importing Ports'!$D$20:$D$41&lt;=$C14)*('China n Importing Ports'!$C$20:$C$41=IF($AO14="No",$AQ14,$KK14)))))</f>
        <v>0</v>
      </c>
      <c r="AKT14" s="75">
        <f t="array" ref="AKT14">INDEX('China n Importing Ports'!$N$20:$N$41,MATCH(2,1/(('China n Importing Ports'!$D$20:$D$41&lt;=$C14)*('China n Importing Ports'!$C$20:$C$41=IF($AO14="No",$AQ14,$KK14)))))</f>
        <v>0</v>
      </c>
      <c r="AKU14" s="75">
        <f t="array" ref="AKU14">INDEX('China n Importing Ports'!$O$20:$O$41,MATCH(2,1/(('China n Importing Ports'!$D$20:$D$41&lt;=$C14)*('China n Importing Ports'!$C$20:$C$41=IF($AO14="No",$AQ14,$KK14)))))</f>
        <v>0</v>
      </c>
      <c r="AKV14" s="136">
        <f t="array" ref="AKV14">INDEX('China n Importing Ports'!$P$20:$P$41,MATCH(2,1/(('China n Importing Ports'!$D$20:$D$41&lt;=$C14)*('China n Importing Ports'!$C$20:$C$41=IF($AO14="No",$AQ14,$KK14)))))</f>
        <v>0</v>
      </c>
      <c r="AKW14" s="136">
        <f t="array" ref="AKW14">INDEX('China n Importing Ports'!$Q$20:$Q$41,MATCH(2,1/(('China n Importing Ports'!$D$20:$D$41&lt;=$C14)*('China n Importing Ports'!$C$20:$C$41=IF($AO14="No",$AQ14,$KK14)))))</f>
        <v>0</v>
      </c>
      <c r="AKX14" s="136">
        <f t="array" ref="AKX14">INDEX('China n Importing Ports'!$R$20:$R$41,MATCH(2,1/(('China n Importing Ports'!$D$20:$D$41&lt;=$C14)*('China n Importing Ports'!$C$20:$C$41=IF($AO14="No",$AQ14,$KK14)))))</f>
        <v>0</v>
      </c>
      <c r="AKY14" s="136">
        <f t="array" ref="AKY14">INDEX('China n Importing Ports'!$S$20:$S$41,MATCH(2,1/(('China n Importing Ports'!$D$20:$D$41&lt;=$C14)*('China n Importing Ports'!$C$20:$C$41=IF($AO14="No",$AQ14,$KK14)))))</f>
        <v>0</v>
      </c>
      <c r="AKZ14" s="136">
        <f t="array" ref="AKZ14">INDEX('China n Importing Ports'!$T$20:$T$41,MATCH(2,1/(('China n Importing Ports'!$D$20:$D$41&lt;=$C14)*('China n Importing Ports'!$C$20:$C$41=IF($AO14="No",$AQ14,$KK14)))))</f>
        <v>0</v>
      </c>
      <c r="ALA14" s="136">
        <f t="array" ref="ALA14">INDEX('China n Importing Ports'!$U$20:$U$41,MATCH(2,1/(('China n Importing Ports'!$D$20:$D$41&lt;=$C14)*('China n Importing Ports'!$C$20:$C$41=IF($AO14="No",$AQ14,$KK14)))))</f>
        <v>0</v>
      </c>
      <c r="ALB14" s="136">
        <f t="array" ref="ALB14">INDEX('China n Importing Ports'!$V$20:$V$41,MATCH(2,1/(('China n Importing Ports'!$D$20:$D$41&lt;=$C14)*('China n Importing Ports'!$C$20:$C$41=IF($AO14="No",$AQ14,$KK14)))))</f>
        <v>0</v>
      </c>
      <c r="ALC14" s="136">
        <f t="array" ref="ALC14">INDEX('China n Importing Ports'!$W$20:$W$41,MATCH(2,1/(('China n Importing Ports'!$D$20:$D$41&lt;=$C14)*('China n Importing Ports'!$C$20:$C$41=IF($AO14="No",$AQ14,$KK14)))))</f>
        <v>0</v>
      </c>
      <c r="ALD14" s="136">
        <f t="array" ref="ALD14">INDEX('China n Importing Ports'!$X$20:$X$41,MATCH(2,1/(('China n Importing Ports'!$D$20:$D$41&lt;=$C14)*('China n Importing Ports'!$C$20:$C$41=IF($AO14="No",$AQ14,$KK14)))))</f>
        <v>0</v>
      </c>
      <c r="ALE14" s="136">
        <f t="array" ref="ALE14">INDEX('China n Importing Ports'!$Y$20:$Y$41,MATCH(2,1/(('China n Importing Ports'!$D$20:$D$41&lt;=$C14)*('China n Importing Ports'!$C$20:$C$41=IF($AO14="No",$AQ14,$KK14)))))</f>
        <v>0</v>
      </c>
      <c r="ALF14" s="136">
        <f t="array" ref="ALF14">INDEX('China n Importing Ports'!$Z$20:$Z$41,MATCH(2,1/(('China n Importing Ports'!$D$20:$D$41&lt;=$C14)*('China n Importing Ports'!$C$20:$C$41=IF($AO14="No",$AQ14,$KK14)))))</f>
        <v>0</v>
      </c>
      <c r="ALG14" s="136">
        <f t="array" ref="ALG14">INDEX('China n Importing Ports'!$AA$20:$AA$41,MATCH(2,1/(('China n Importing Ports'!$D$20:$D$41&lt;=$C14)*('China n Importing Ports'!$C$20:$C$41=IF($AO14="No",$AQ14,$KK14)))))</f>
        <v>0</v>
      </c>
      <c r="ALI14" s="75" t="e">
        <f t="array" aca="1" ref="ALI14" ca="1">INDEX(Canals!$G$24:$G$29,MATCH(2,1/((Canals!$F$24:$F$29&lt;=$C14)*(Canals!$G$24:$G$29=_xlfn.IFS(AHT14="Handysize",AKC14,AHT14="Supramax",AJV14,AHT14="Panamax",AJO14,AHT14="NeoPanamax",AJH14,AHT14="Suezmax",AJA14,AHT14="Capesize",AIT14,AHT14="VLOC",AIM14)))))</f>
        <v>#N/A</v>
      </c>
      <c r="ALJ14" s="75" t="e">
        <f t="array" aca="1" ref="ALJ14" ca="1">INDEX(Canals!$H$24:$H$29,MATCH(2,1/((Canals!$F$24:$F$29&lt;=$C14)*(Canals!$G$24:$G$29=_xlfn.IFS(AHT14="Handysize",AKC14,AHT14="Supramax",AJV14,AHT14="Panamax",AJO14,AHT14="NeoPanamax",AJH14,AHT14="Suezmax",AJA14,AHT14="Capesize",AIT14,AHT14="VLOC",AIM14)))))</f>
        <v>#N/A</v>
      </c>
      <c r="ALK14" s="75" t="e">
        <f t="array" aca="1" ref="ALK14" ca="1">INDEX(Canals!$I$24:$I$29,MATCH(2,1/((Canals!$F$24:$F$29&lt;=$C14)*(Canals!$G$24:$G$29=_xlfn.IFS(AHT14="Handysize",AKC14,AHT14="Supramax",AJV14,AHT14="Panamax",AJO14,AHT14="NeoPanamax",AJH14,AHT14="Suezmax",AJA14,AHT14="Capesize",AIT14,AHT14="VLOC",AIM14)))))</f>
        <v>#N/A</v>
      </c>
      <c r="ALL14" s="75" t="e">
        <f t="array" aca="1" ref="ALL14" ca="1">INDEX(Canals!$J$24:$J$29,MATCH(2,1/((Canals!$F$24:$F$29&lt;=$C14)*(Canals!$G$24:$G$29=_xlfn.IFS(AHT14="Handysize",Main!AKC14,AHT14="Supramax",AJV14,AHT14="Panamax",AJO14,AHT14="NeoPanamax",AJH14,AHT14="Suezmax",AJA14,AHT14="Capesize",AIT14,AHT14="VLOC",AIM14)))))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M14" s="75" t="e">
        <f t="array" aca="1" ref="ALM14" ca="1">INDEX(Canals!$K$24:$K$29,MATCH(2,1/((Canals!$F$24:$F$29&lt;=$C14)*(Canals!$G$24:$G$29=_xlfn.IFS(AHT14="Handysize",Main!AKC14,AHT14="Supramax",AJV14,AHT14="Panamax",AJO14,AHT14="NeoPanamax",AJH14,AHT14="Suezmax",AJA14,AHT14="Capesize",AIT14,AHT14="VLOC",AIM14)))))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N14" s="75" t="e">
        <f t="array" aca="1" ref="ALN14" ca="1">INDEX(Canals!$L$24:$L$29,MATCH(2,1/((Canals!$F$24:$F$29&lt;=$C14)*(Canals!$G$24:$G$29=_xlfn.IFS(AHT14="Handysize",Main!AKC14,AHT14="Supramax",AJV14,AHT14="Panamax",AJO14,AHT14="NeoPanamax",AJH14,AHT14="Suezmax",AJA14,AHT14="Capesize",AIT14,AHT14="VLOC",AIM14)))))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O14" s="75" t="e">
        <f t="array" aca="1" ref="ALO14" ca="1">INDEX(Canals!$M$24:$M$29,MATCH(2,1/((Canals!$F$24:$F$29&lt;=$C14)*(Canals!$G$24:$G$29=_xlfn.IFS(AHT14="Handysize",Main!AKC14,AHT14="Supramax",AJV14,AHT14="Panamax",AJO14,AHT14="NeoPanamax",AJH14,AHT14="Suezmax",AJA14,AHT14="Capesize",AIT14,AHT14="VLOC",AIM14)))))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P14" s="75" t="e">
        <f t="array" aca="1" ref="ALP14" ca="1">INDEX(Canals!$N$24:$N$29,MATCH(2,1/((Canals!$F$24:$F$29&lt;=$C14)*(Canals!$G$24:$G$29=_xlfn.IFS(AHT14="Handysize",Main!AKC14,AHT14="Supramax",AJV14,AHT14="Panamax",AJO14,AHT14="NeoPanamax",AJH14,AHT14="Suezmax",AJA14,AHT14="Capesize",AIT14,AHT14="VLOC",AIM14)))))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Q14" s="75" t="e">
        <f t="array" aca="1" ref="ALQ14" ca="1">INDEX(Canals!$O$24:$O$29,MATCH(2,1/((Canals!$F$24:$F$29&lt;=$C14)*(Canals!$G$24:$G$29=_xlfn.IFS(AHT14="Handysize",Main!AKC14,AHT14="Supramax",AJV14,AHT14="Panamax",AJO14,AHT14="NeoPanamax",AJH14,AHT14="Suezmax",AJA14,AHT14="Capesize",AIT14,AHT14="VLOC",AIM14)))))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R14" s="75" t="e">
        <f t="array" aca="1" ref="ALR14" ca="1">INDEX(Canals!$P$24:$P$29,MATCH(2,1/((Canals!$F$24:$F$29&lt;=$C14)*(Canals!$G$24:$G$29=_xlfn.IFS(AHT14="Handysize",Main!AKC14,AHT14="Supramax",AJV14,AHT14="Panamax",AJO14,AHT14="NeoPanamax",AJH14,AHT14="Suezmax",AJA14,AHT14="Capesize",AIT14,AHT14="VLOC",AIM14)))))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S14" s="75" t="e">
        <f t="array" aca="1" ref="ALS14" ca="1">INDEX(Canals!$Q$24:$Q$29,MATCH(2,1/((Canals!$F$24:$F$29&lt;=$C14)*(Canals!$G$24:$G$29=_xlfn.IFS(AHT14="Handysize",Main!AKC14,AHT14="Supramax",AJV14,AHT14="Panamax",AJO14,AHT14="NeoPanamax",AJH14,AHT14="Suezmax",AJA14,AHT14="Capesize",AIT14,AHT14="VLOC",AIM14)))))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T14" s="75" t="e">
        <f t="array" aca="1" ref="ALT14" ca="1">INDEX(Canals!$R$24:$R$29,MATCH(2,1/((Canals!$F$24:$F$29&lt;=$C14)*(Canals!$G$24:$G$29=_xlfn.IFS(AHT14="Handysize",Main!AKC14,AHT14="Supramax",AJV14,AHT14="Panamax",AJO14,AHT14="NeoPanamax",AJH14,AHT14="Suezmax",AJA14,AHT14="Capesize",AIT14,AHT14="VLOC",AIM14)))))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U14" s="136" t="e">
        <f t="array" aca="1" ref="ALU14" ca="1">INDEX(Canals!$S$24:$S$29,MATCH(2,1/((Canals!$F$24:$F$29&lt;=$C14)*(Canals!$G$24:$G$29=_xlfn.IFS(AHT14="Handysize",Main!AKC14,AHT14="Supramax",AJV14,AHT14="Panamax",AJO14,AHT14="NeoPanamax",AJH14,AHT14="Suezmax",AJA14,AHT14="Capesize",AIT14,AHT14="VLOC",AIM14)))))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V14" s="136" t="e">
        <f t="array" aca="1" ref="ALV14" ca="1">INDEX(Canals!$T$24:$T$29,MATCH(2,1/((Canals!$F$24:$F$29&lt;=$C14)*(Canals!$G$24:$G$29=_xlfn.IFS(AHT14="Handysize",Main!AKC14,AHT14="Supramax",AJV14,AHT14="Panamax",AJO14,AHT14="NeoPanamax",AJH14,AHT14="Suezmax",AJA14,AHT14="Capesize",AIT14,AHT14="VLOC",AIM14)))))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W14" s="136" t="e">
        <f t="array" aca="1" ref="ALW14" ca="1">INDEX(Canals!$U$24:$U$29,MATCH(2,1/((Canals!$F$24:$F$29&lt;=$C14)*(Canals!$G$24:$G$29=_xlfn.IFS(AHT14="Handysize",Main!AKC14,AHT14="Supramax",AJV14,AHT14="Panamax",AJO14,AHT14="NeoPanamax",AJH14,AHT14="Suezmax",AJA14,AHT14="Capesize",AIT14,AHT14="VLOC",AIM14)))))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X14" s="136" t="e">
        <f t="array" aca="1" ref="ALX14" ca="1">INDEX(Canals!$V$24:$V$29,MATCH(2,1/((Canals!$F$24:$F$29&lt;=$C14)*(Canals!$G$24:$G$29=_xlfn.IFS(AHT14="Handysize",Main!AKC14,AHT14="Supramax",AJV14,AHT14="Panamax",AJO14,AHT14="NeoPanamax",AJH14,AHT14="Suezmax",AJA14,AHT14="Capesize",AIT14,AHT14="VLOC",AIM14)))))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Y14" s="136" t="e">
        <f t="array" aca="1" ref="ALY14" ca="1">INDEX(Canals!$W$24:$W$29,MATCH(2,1/((Canals!$F$24:$F$29&lt;=$C14)*(Canals!$G$24:$G$29=_xlfn.IFS(AHT14="Handysize",Main!AKC14,AHT14="Supramax",AJV14,AHT14="Panamax",AJO14,AHT14="NeoPanamax",AJH14,AHT14="Suezmax",AJA14,AHT14="Capesize",AIT14,AHT14="VLOC",AIM14)))))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LZ14" s="136" t="e">
        <f t="array" aca="1" ref="ALZ14" ca="1">INDEX(Canals!$X$24:$X$29,MATCH(2,1/((Canals!$F$24:$F$29&lt;=$C14)*(Canals!$G$24:$G$29=_xlfn.IFS(AHT14="Handysize",Main!AKC14,AHT14="Supramax",AJV14,AHT14="Panamax",AJO14,AHT14="NeoPanamax",AJH14,AHT14="Suezmax",AJA14,AHT14="Capesize",AIT14,AHT14="VLOC",AIM14)))))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A14" s="136" t="e">
        <f t="array" aca="1" ref="AMA14" ca="1">INDEX(Canals!$Y$24:$Y$29,MATCH(2,1/((Canals!$F$24:$F$29&lt;=$C14)*(Canals!$G$24:$G$29=_xlfn.IFS(AHT14="Handysize",Main!AKC14,AHT14="Supramax",AJV14,AHT14="Panamax",AJO14,AHT14="NeoPanamax",AJH14,AHT14="Suezmax",AJA14,AHT14="Capesize",AIT14,AHT14="VLOC",AIM14)))))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B14" s="136" t="e">
        <f t="array" aca="1" ref="AMB14" ca="1">INDEX(Canals!$Z$24:$Z$29,MATCH(2,1/((Canals!$F$24:$F$29&lt;=$C14)*(Canals!$G$24:$G$29=_xlfn.IFS(AHT14="Handysize",Main!AKC14,AHT14="Supramax",AJV14,AHT14="Panamax",AJO14,AHT14="NeoPanamax",AJH14,AHT14="Suezmax",AJA14,AHT14="Capesize",AIT14,AHT14="VLOC",AIM14)))))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C14" s="136" t="e">
        <f t="array" aca="1" ref="AMC14" ca="1">INDEX(Canals!$AA$24:$AA$29,MATCH(2,1/((Canals!$F$24:$F$29&lt;=$C14)*(Canals!$G$24:$G$29=_xlfn.IFS(AHT14="Handysize",Main!AKC14,AHT14="Supramax",AJV14,AHT14="Panamax",AJO14,AHT14="NeoPanamax",AJH14,AHT14="Suezmax",AJA14,AHT14="Capesize",AIT14,AHT14="VLOC",AIM14)))))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D14" s="136" t="e">
        <f t="array" aca="1" ref="AMD14" ca="1">INDEX(Canals!$AB$24:$AB$29,MATCH(2,1/((Canals!$F$24:$F$29&lt;=$C14)*(Canals!$G$24:$G$29=_xlfn.IFS(AHT14="Handysize",Main!AKC14,AHT14="Supramax",AJV14,AHT14="Panamax",AJO14,AHT14="NeoPanamax",AJH14,AHT14="Suezmax",AJA14,AHT14="Capesize",AIT14,AHT14="VLOC",AIM14)))))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E14" s="75" t="e">
        <f t="array" aca="1" ref="AME14" ca="1">INDEX(Canals!$AC$24:$AC$29,MATCH(2,1/((Canals!$F$24:$F$29&lt;=$C14)*(Canals!$G$24:$G$29=_xlfn.IFS(AHT14="Handysize",Main!AKC14,AHT14="Supramax",AJV14,AHT14="Panamax",AJO14,AHT14="NeoPanamax",AJH14,AHT14="Suezmax",AJA14,AHT14="Capesize",AIT14,AHT14="VLOC",AIM14)))))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F14" s="75" t="e">
        <f t="array" aca="1" ref="AMF14" ca="1">INDEX(Canals!$AD$24:$AD$29,MATCH(2,1/((Canals!$F$24:$F$29&lt;=$C14)*(Canals!$G$24:$G$29=_xlfn.IFS(AHT14="Handysize",Main!AKC14,AHT14="Supramax",AJV14,AHT14="Panamax",AJO14,AHT14="NeoPanamax",AJH14,AHT14="Suezmax",AJA14,AHT14="Capesize",AIT14,AHT14="VLOC",AIM14)))))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G14" s="75" t="e">
        <f t="array" aca="1" ref="AMG14" ca="1">INDEX(Canals!$AE$24:$AE$29,MATCH(2,1/((Canals!$F$24:$F$29&lt;=$C14)*(Canals!$G$24:$G$29=_xlfn.IFS(AHT14="Handysize",Main!AKC14,AHT14="Supramax",AJV14,AHT14="Panamax",AJO14,AHT14="NeoPanamax",AJH14,AHT14="Suezmax",AJA14,AHT14="Capesize",AIT14,AHT14="VLOC",AIM14)))))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H14" s="75" t="e">
        <f t="array" aca="1" ref="AMH14" ca="1">INDEX(Canals!$AF$24:$AF$29,MATCH(2,1/((Canals!$F$24:$F$29&lt;=$C14)*(Canals!$G$24:$G$29=_xlfn.IFS(AHT14="Handysize",Main!AKC14,AHT14="Supramax",AJV14,AHT14="Panamax",AJO14,AHT14="NeoPanamax",AJH14,AHT14="Suezmax",AJA14,AHT14="Capesize",AIT14,AHT14="VLOC",AIM14)))))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I14" s="75" t="e">
        <f t="array" aca="1" ref="AMI14" ca="1">INDEX(Canals!$AG$24:$AG$29,MATCH(2,1/((Canals!$F$24:$F$29&lt;=$C14)*(Canals!$G$24:$G$29=_xlfn.IFS(AHT14="Handysize",Main!AKC14,AHT14="Supramax",AJV14,AHT14="Panamax",AJO14,AHT14="NeoPanamax",AJH14,AHT14="Suezmax",AJA14,AHT14="Capesize",AIT14,AHT14="VLOC",AIM14)))))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J14" s="75" t="e">
        <f t="array" aca="1" ref="AMJ14" ca="1">INDEX(Canals!$AH$24:$AH$29,MATCH(2,1/((Canals!$F$24:$F$29&lt;=$C14)*(Canals!$G$24:$G$29=_xlfn.IFS(AHT14="Handysize",Main!AKC14,AHT14="Supramax",AJV14,AHT14="Panamax",AJO14,AHT14="NeoPanamax",AJH14,AHT14="Suezmax",AJA14,AHT14="Capesize",AIT14,AHT14="VLOC",AIM14)))))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K14" s="75" t="e">
        <f t="array" aca="1" ref="AMK14" ca="1">INDEX(Canals!$AI$24:$AI$29,MATCH(2,1/((Canals!$F$24:$F$29&lt;=$C14)*(Canals!$G$24:$G$29=_xlfn.IFS(AHT14="Handysize",Main!AKC14,AHT14="Supramax",AJV14,AHT14="Panamax",AJO14,AHT14="NeoPanamax",AJH14,AHT14="Suezmax",AJA14,AHT14="Capesize",AIT14,AHT14="VLOC",AIM14)))))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L14" s="75" t="e">
        <f t="array" aca="1" ref="AML14" ca="1">INDEX(Canals!$AJ$24:$AJ$29,MATCH(2,1/((Canals!$F$24:$F$29&lt;=$C14)*(Canals!$G$24:$G$29=_xlfn.IFS(AHT14="Handysize",Main!AKC14,AHT14="Supramax",AJV14,AHT14="Panamax",AJO14,AHT14="NeoPanamax",AJH14,AHT14="Suezmax",AJA14,AHT14="Capesize",AIT14,AHT14="VLOC",AIM14)))))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M14" s="75" t="e">
        <f t="array" aca="1" ref="AMM14" ca="1">INDEX(Canals!$AK$24:$AK$29,MATCH(2,1/((Canals!$F$24:$F$29&lt;=$C14)*(Canals!$G$24:$G$29=_xlfn.IFS(AHT14="Handysize",Main!AKC14,AHT14="Supramax",AJV14,AHT14="Panamax",AJO14,AHT14="NeoPanamax",AJH14,AHT14="Suezmax",AJA14,AHT14="Capesize",AIT14,AHT14="VLOC",AIM14)))))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N14" s="136" t="e">
        <f t="array" aca="1" ref="AMN14" ca="1">INDEX(Canals!$AL$24:$AL$29,MATCH(2,1/((Canals!$F$24:$F$29&lt;=$C14)*(Canals!$G$24:$G$29=_xlfn.IFS(AHT14="Handysize",Main!AKC14,AHT14="Supramax",AJV14,AHT14="Panamax",AJO14,AHT14="NeoPanamax",AJH14,AHT14="Suezmax",AJA14,AHT14="Capesize",AIT14,AHT14="VLOC",AIM14)))))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O14" s="136" t="e">
        <f t="array" aca="1" ref="AMO14" ca="1">INDEX(Canals!$AM$24:$AM$29,MATCH(2,1/((Canals!$F$24:$F$29&lt;=$C14)*(Canals!$G$24:$G$29=_xlfn.IFS(AHT14="Handysize",Main!AKC14,AHT14="Supramax",AJV14,AHT14="Panamax",AJO14,AHT14="NeoPanamax",AJH14,AHT14="Suezmax",AJA14,AHT14="Capesize",AIT14,AHT14="VLOC",AIM14)))))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P14" s="136" t="e">
        <f t="array" aca="1" ref="AMP14" ca="1">INDEX(Canals!$AN$24:$AN$29,MATCH(2,1/((Canals!$F$24:$F$29&lt;=$C14)*(Canals!$G$24:$G$29=_xlfn.IFS(AHT14="Handysize",Main!AKC14,AHT14="Supramax",AJV14,AHT14="Panamax",AJO14,AHT14="NeoPanamax",AJH14,AHT14="Suezmax",AJA14,AHT14="Capesize",AIT14,AHT14="VLOC",AIM14)))))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Q14" s="136" t="e">
        <f t="array" aca="1" ref="AMQ14" ca="1">INDEX(Canals!$AO$24:$AO$29,MATCH(2,1/((Canals!$F$24:$F$29&lt;=$C14)*(Canals!$G$24:$G$29=_xlfn.IFS(AHT14="Handysize",Main!AKC14,AHT14="Supramax",AJV14,AHT14="Panamax",AJO14,AHT14="NeoPanamax",AJH14,AHT14="Suezmax",AJA14,AHT14="Capesize",AIT14,AHT14="VLOC",AIM14)))))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R14" s="136" t="e">
        <f t="array" aca="1" ref="AMR14" ca="1">INDEX(Canals!$AP$24:$AP$29,MATCH(2,1/((Canals!$F$24:$F$29&lt;=$C14)*(Canals!$G$24:$G$29=_xlfn.IFS(AHT14="Handysize",Main!AKC14,AHT14="Supramax",AJV14,AHT14="Panamax",AJO14,AHT14="NeoPanamax",AJH14,AHT14="Suezmax",AJA14,AHT14="Capesize",AIT14,AHT14="VLOC",AIM14)))))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S14" s="136" t="e">
        <f t="array" aca="1" ref="AMS14" ca="1">INDEX(Canals!$AQ$24:$AQ$29,MATCH(2,1/((Canals!$F$24:$F$29&lt;=$C14)*(Canals!$G$24:$G$29=_xlfn.IFS(AHT14="Handysize",Main!AKC14,AHT14="Supramax",AJV14,AHT14="Panamax",AJO14,AHT14="NeoPanamax",AJH14,AHT14="Suezmax",AJA14,AHT14="Capesize",AIT14,AHT14="VLOC",AIM14)))))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T14" s="136" t="e">
        <f t="array" aca="1" ref="AMT14" ca="1">INDEX(Canals!$AR$24:$AR$29,MATCH(2,1/((Canals!$F$24:$F$29&lt;=$C14)*(Canals!$G$24:$G$29=_xlfn.IFS(AHT14="Handysize",Main!AKC14,AHT14="Supramax",AJV14,AHT14="Panamax",AJO14,AHT14="NeoPanamax",AJH14,AHT14="Suezmax",AJA14,AHT14="Capesize",AIT14,AHT14="VLOC",AIM14)))))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U14" s="136" t="e">
        <f t="array" aca="1" ref="AMU14" ca="1">INDEX(Canals!$AS$24:$AS$29,MATCH(2,1/((Canals!$F$24:$F$29&lt;=$C14)*(Canals!$G$24:$G$29=_xlfn.IFS(AHT14="Handysize",Main!AKC14,AHT14="Supramax",AJV14,AHT14="Panamax",AJO14,AHT14="NeoPanamax",AJH14,AHT14="Suezmax",AJA14,AHT14="Capesize",AIT14,AHT14="VLOC",AIM14)))))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V14" s="136" t="e">
        <f t="array" aca="1" ref="AMV14" ca="1">INDEX(Canals!$AT$24:$AT$29,MATCH(2,1/((Canals!$F$24:$F$29&lt;=$C14)*(Canals!$G$24:$G$29=_xlfn.IFS(AHT14="Handysize",Main!AKC14,AHT14="Supramax",AJV14,AHT14="Panamax",AJO14,AHT14="NeoPanamax",AJH14,AHT14="Suezmax",AJA14,AHT14="Capesize",AIT14,AHT14="VLOC",AIM14)))))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W14" s="136" t="e">
        <f t="array" aca="1" ref="AMW14" ca="1">INDEX(Canals!$AU$24:$AU$29,MATCH(2,1/((Canals!$F$24:$F$29&lt;=$C14)*(Canals!$G$24:$G$29=_xlfn.IFS(AHT14="Handysize",Main!AKC14,AHT14="Supramax",AJV14,AHT14="Panamax",AJO14,AHT14="NeoPanamax",AJH14,AHT14="Suezmax",AJA14,AHT14="Capesize",AIT14,AHT14="VLOC",AIM14)))))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X14" s="136" t="e">
        <f t="array" aca="1" ref="AMX14" ca="1">INDEX(Canals!$AV$24:$AV$29,MATCH(2,1/((Canals!$F$24:$F$29&lt;=$C14)*(Canals!$G$24:$G$29=_xlfn.IFS(AHT14="Handysize",Main!AKC14,AHT14="Supramax",AJV14,AHT14="Panamax",AJO14,AHT14="NeoPanamax",AJH14,AHT14="Suezmax",AJA14,AHT14="Capesize",AIT14,AHT14="VLOC",AIM14)))))</f>
        <v>#N/A</v>
      </c>
      <c r="AMZ14" s="75" t="e">
        <f t="array" aca="1" ref="AMZ14" ca="1">_xlfn.IFS(ALK14="DWT",AHR14,ALK14="NRT",AHV14,ALK14="GRT",AHW14,ALK14=0,0)</f>
        <v>#NAME?</v>
      </c>
      <c r="ANA14" s="279" t="e">
        <f t="shared" ca="1" si="227"/>
        <v>#NAME?</v>
      </c>
      <c r="ANB14" s="280" t="e">
        <f t="shared" ca="1" si="228"/>
        <v>#NAME?</v>
      </c>
      <c r="ANC14" s="280" t="e">
        <f t="shared" ca="1" si="229"/>
        <v>#NAME?</v>
      </c>
      <c r="AND14" s="280" t="e">
        <f t="shared" ca="1" si="230"/>
        <v>#NAME?</v>
      </c>
      <c r="ANE14" s="280" t="e">
        <f t="shared" ca="1" si="231"/>
        <v>#NAME?</v>
      </c>
      <c r="ANF14" s="280" t="e">
        <f t="shared" ca="1" si="232"/>
        <v>#NAME?</v>
      </c>
      <c r="ANG14" s="280" t="e">
        <f t="shared" ca="1" si="233"/>
        <v>#NAME?</v>
      </c>
      <c r="ANH14" s="280" t="e">
        <f t="shared" ca="1" si="234"/>
        <v>#NAME?</v>
      </c>
      <c r="ANI14" s="280" t="e">
        <f t="shared" ca="1" si="235"/>
        <v>#NAME?</v>
      </c>
      <c r="ANJ14" s="75">
        <f t="shared" si="236"/>
        <v>0</v>
      </c>
      <c r="ANK14" s="279" t="e">
        <f t="shared" ca="1" si="237"/>
        <v>#N/A</v>
      </c>
      <c r="ANL14" s="280" t="e">
        <f t="shared" ca="1" si="238"/>
        <v>#N/A</v>
      </c>
      <c r="ANM14" s="280" t="e">
        <f t="shared" ca="1" si="239"/>
        <v>#N/A</v>
      </c>
      <c r="ANN14" s="280" t="e">
        <f t="shared" ca="1" si="240"/>
        <v>#N/A</v>
      </c>
      <c r="ANO14" s="280" t="e">
        <f t="shared" ca="1" si="241"/>
        <v>#N/A</v>
      </c>
      <c r="ANP14" s="280" t="e">
        <f t="shared" ca="1" si="242"/>
        <v>#N/A</v>
      </c>
      <c r="ANQ14" s="280" t="e">
        <f t="shared" ca="1" si="243"/>
        <v>#N/A</v>
      </c>
      <c r="ANR14" s="280" t="e">
        <f t="shared" ca="1" si="244"/>
        <v>#N/A</v>
      </c>
      <c r="ANS14" s="280" t="e">
        <f t="shared" ca="1" si="245"/>
        <v>#N/A</v>
      </c>
      <c r="ANU14" s="75" t="e">
        <f t="array" aca="1" ref="ANU14" ca="1">_xlfn.IFS(AHT14="Handysize",Main!AJW14,AHT14="Supramax",AJP14,AHT14="Panamax",AJI14,AHT14="NeoPanamax",AJB14,AHT14="Suezmax",AIU14,AHT14="Capesize",AIN14,AHT14="VLOC",AIG14)*$JI14</f>
        <v>#NAME?</v>
      </c>
      <c r="ANV14" s="274" t="e">
        <f t="array" aca="1" ref="ANV14" ca="1">_xlfn.IFS(AHT14="Handysize",Main!AJX14,AHT14="Supramax",AJQ14,AHT14="Panamax",AJJ14,AHT14="NeoPanamax",AJC14,AHT14="Suezmax",AIV14,AHT14="Capesize",AIO14,AHT14="VLOC",AIH14)*$JI14</f>
        <v>#NAME?</v>
      </c>
      <c r="ANW14" s="71" t="e">
        <f t="array" aca="1" ref="ANW14" ca="1">_xlfn.IFS(AHT14="Handysize",Main!AHY14,AHT14="Supramax",AHZ14,AHT14="Panamax",AIA14,AHT14="NeoPanamax",AIB14,AHT14="Suezmax",AIC14,AHT14="Capesize",AID14,AHT14="VLOC",AIE14)</f>
        <v>#NAME?</v>
      </c>
      <c r="ANX14" s="71" t="e">
        <f t="array" aca="1" ref="ANX14" ca="1">_xlfn.IFS(AHT14="Handysize",Main!AKK14,AHT14="Supramax",AKL14,AHT14="Panamax",AKM14,AHT14="NeoPanamax",AKN14,AHT14="Suezmax",AKO14,AHT14="Capesize",AKP14,AHT14="VLOC",AKQ14)</f>
        <v>#NAME?</v>
      </c>
      <c r="ANY14" s="70">
        <f t="array" ref="ANY14">INDEX('Ship Speeds'!$G$11:$G$1011,MATCH(2,1/(('Ship Speeds'!$E$11:$E$1011&lt;=Main!$C14)*('Ship Speeds'!$F$11:$F$1011=Main!AHS14))))</f>
        <v>11</v>
      </c>
      <c r="ANZ14" s="403">
        <f t="shared" si="246"/>
        <v>0</v>
      </c>
      <c r="AOA14" s="401">
        <f t="shared" si="247"/>
        <v>1.2</v>
      </c>
      <c r="AOB14" s="70" t="e">
        <f t="shared" ca="1" si="248"/>
        <v>#NAME?</v>
      </c>
      <c r="AOC14" s="70" t="e">
        <f t="shared" ca="1" si="249"/>
        <v>#NAME?</v>
      </c>
      <c r="AOD14" s="70" t="e">
        <f t="shared" ca="1" si="250"/>
        <v>#NAME?</v>
      </c>
      <c r="AOE14" s="70" t="e">
        <f t="shared" ca="1" si="251"/>
        <v>#NAME?</v>
      </c>
      <c r="AOF14" s="72" t="e">
        <f t="shared" ca="1" si="252"/>
        <v>#N/A</v>
      </c>
      <c r="AOG14" s="70" t="e">
        <f t="shared" ca="1" si="253"/>
        <v>#NAME?</v>
      </c>
      <c r="AOH14" s="70" t="e">
        <f t="array" aca="1" ref="AOH14" ca="1">IF(ANU14=0,0,INDEX(AKE14:AKI14,MATCH(_xlfn.IFS(AHT14="Handysize",Main!AKA14,AHT14="Supramax",AJT14,AHT14="Panamax",AJM14,AHT14="NeoPanamax",AJF14,AHT14="Suezmax",AIY14,AHT14="Capesize",AIR14,AHT14="VLOC",AIK14),$AKE$7:$AKI$7,0)))</f>
        <v>#NAME?</v>
      </c>
      <c r="AOI14" s="70" t="e">
        <f t="array" aca="1" ref="AOI14" ca="1">IF(ANU14=0,0,INDEX(AKE14:AKI14,MATCH(_xlfn.IFS(AHT14="Handysize",Main!AKB14,AHT14="Supramax",AJU14,AHT14="Panamax",AJN14,AHT14="NeoPanamax",AJG14,AHT14="Suezmax",AIZ14,AHT14="Capesize",AIS14,AHT14="VLOC",AIL14),$AKE$7:$AKI$7,0)))</f>
        <v>#NAME?</v>
      </c>
      <c r="AOJ14" s="71" t="e">
        <f t="shared" ca="1" si="254"/>
        <v>#NAME?</v>
      </c>
      <c r="AOK14" s="71" t="e">
        <f t="shared" ca="1" si="255"/>
        <v>#NAME?</v>
      </c>
      <c r="AOL14" s="281" t="e">
        <f t="shared" ca="1" si="256"/>
        <v>#NAME?</v>
      </c>
      <c r="AOM14" s="71" t="e">
        <f t="shared" ca="1" si="257"/>
        <v>#NAME?</v>
      </c>
      <c r="AON14" s="71" t="e">
        <f t="shared" ca="1" si="258"/>
        <v>#NAME?</v>
      </c>
      <c r="AOO14" s="71" t="e">
        <f t="shared" ca="1" si="259"/>
        <v>#NAME?</v>
      </c>
      <c r="AOP14" s="71" t="e">
        <f t="shared" ca="1" si="260"/>
        <v>#NAME?</v>
      </c>
      <c r="AOQ14" s="71" t="e">
        <f t="shared" ca="1" si="261"/>
        <v>#NAME?</v>
      </c>
      <c r="AOR14" s="71" t="e">
        <f t="shared" ca="1" si="262"/>
        <v>#NAME?</v>
      </c>
      <c r="AOS14" s="71" t="e">
        <f t="shared" ca="1" si="263"/>
        <v>#NAME?</v>
      </c>
      <c r="AOT14" s="71" t="e">
        <f t="shared" ca="1" si="264"/>
        <v>#NAME?</v>
      </c>
      <c r="AOU14" s="71" t="e">
        <f t="shared" ca="1" si="265"/>
        <v>#NAME?</v>
      </c>
      <c r="AOV14" s="71" t="e">
        <f t="shared" ca="1" si="266"/>
        <v>#NAME?</v>
      </c>
      <c r="AOW14" s="71" t="e">
        <f t="shared" ca="1" si="267"/>
        <v>#NAME?</v>
      </c>
      <c r="AOX14" s="71" t="e">
        <f t="shared" ca="1" si="268"/>
        <v>#NAME?</v>
      </c>
      <c r="AOY14" s="72" t="e">
        <f t="shared" ca="1" si="269"/>
        <v>#NAME?</v>
      </c>
      <c r="AOZ14" s="72" t="e">
        <f t="shared" ca="1" si="270"/>
        <v>#NAME?</v>
      </c>
      <c r="APA14" s="71" t="e">
        <f t="shared" ca="1" si="271"/>
        <v>#NAME?</v>
      </c>
      <c r="APB14" s="71" t="e">
        <f t="array" aca="1" ref="APB14" ca="1">IF(ANU14=0,0,INDEX('Ship Time Charter Rates'!$H$22:$H$1021,MATCH(2,1/(('Ship Time Charter Rates'!$G$22:$G$1021=_xlfn.IFS(AHT14="Handysize",Main!AJY14,AHT14="Supramax",AJR14,AHT14="Panamax",AJK14,AHT14="NeoPanamax",AJD14,AHT14="Suezmax",AIW14,AHT14="Capesize",AIP14,AHT14="VLOC",AII14))*('Ship Time Charter Rates'!$E$22:$E$1021&lt;=Main!$C14)*(NOT(ISBLANK('Ship Time Charter Rates'!$H$22:$H$1021)))))))</f>
        <v>#NAME?</v>
      </c>
      <c r="APC14" s="71" t="e">
        <f t="shared" ca="1" si="272"/>
        <v>#NAME?</v>
      </c>
      <c r="APD14" s="70" t="e">
        <f t="shared" ca="1" si="273"/>
        <v>#NAME?</v>
      </c>
      <c r="APE14" s="71" t="e">
        <f t="shared" ca="1" si="274"/>
        <v>#NAME?</v>
      </c>
      <c r="APF14" s="71" t="e">
        <f t="shared" ca="1" si="308"/>
        <v>#NAME?</v>
      </c>
      <c r="APG14" s="72" t="e">
        <f t="shared" ca="1" si="309"/>
        <v>#NAME?</v>
      </c>
      <c r="API14" s="287" t="s">
        <v>39</v>
      </c>
      <c r="APK14" s="289" t="e">
        <f t="shared" ca="1" si="275"/>
        <v>#NAME?</v>
      </c>
      <c r="APL14" s="289" t="e">
        <f t="shared" ca="1" si="276"/>
        <v>#NAME?</v>
      </c>
      <c r="APM14" s="289" t="e">
        <f t="shared" ca="1" si="277"/>
        <v>#NAME?</v>
      </c>
      <c r="APO14" s="287" t="s">
        <v>39</v>
      </c>
    </row>
    <row r="15" spans="1:1134">
      <c r="C15" s="5">
        <v>43923</v>
      </c>
      <c r="D15" s="7" t="s">
        <v>20</v>
      </c>
      <c r="E15" s="86" t="s">
        <v>443</v>
      </c>
      <c r="F15" s="6">
        <v>50</v>
      </c>
      <c r="G15" s="1" t="s">
        <v>185</v>
      </c>
      <c r="H15" s="1" t="s">
        <v>5</v>
      </c>
      <c r="I15" s="15"/>
      <c r="J15" s="15"/>
      <c r="K15" s="15"/>
      <c r="L15" s="15"/>
      <c r="M15" s="15"/>
      <c r="N15" s="15"/>
      <c r="O15" s="15"/>
      <c r="P15" s="8"/>
      <c r="Q15" s="98"/>
      <c r="R15" s="7" t="s">
        <v>95</v>
      </c>
      <c r="T15" s="287" t="s">
        <v>39</v>
      </c>
      <c r="V15" s="4"/>
      <c r="W15" s="16" t="str">
        <f t="shared" si="0"/>
        <v>not used yet</v>
      </c>
      <c r="X15" s="16" t="str">
        <f t="shared" si="0"/>
        <v>not used yet</v>
      </c>
      <c r="Y15" s="16" t="str">
        <f t="shared" si="0"/>
        <v>not used yet</v>
      </c>
      <c r="Z15" s="16" t="str">
        <f t="shared" si="0"/>
        <v>not used yet</v>
      </c>
      <c r="AA15" s="16" t="str">
        <f t="shared" si="0"/>
        <v>not used yet</v>
      </c>
      <c r="AB15" s="16" t="str">
        <f t="shared" si="0"/>
        <v>not used yet</v>
      </c>
      <c r="AC15" s="16" t="str">
        <f t="shared" si="0"/>
        <v>not used yet</v>
      </c>
      <c r="AE15" s="88" t="str">
        <f t="shared" si="1"/>
        <v>Central Kalimantan Generic</v>
      </c>
      <c r="AF15" s="16">
        <f t="shared" si="310"/>
        <v>0.48</v>
      </c>
      <c r="AG15" s="16">
        <f t="shared" si="311"/>
        <v>0.44</v>
      </c>
      <c r="AH15" s="61">
        <f t="shared" si="312"/>
        <v>0.08</v>
      </c>
      <c r="AI15" s="61">
        <f t="shared" si="313"/>
        <v>3.5000000000000003E-2</v>
      </c>
      <c r="AJ15" s="61">
        <f t="shared" si="314"/>
        <v>4.4999999999999998E-2</v>
      </c>
      <c r="AK15" s="16">
        <f t="shared" si="315"/>
        <v>5.0000000000000001E-3</v>
      </c>
      <c r="AL15" s="16">
        <f t="shared" si="316"/>
        <v>0.15</v>
      </c>
      <c r="AM15" s="24" t="str">
        <f t="shared" si="3"/>
        <v>LT</v>
      </c>
      <c r="AN15" s="427">
        <f t="shared" si="278"/>
        <v>47238.75</v>
      </c>
      <c r="AO15" s="127" t="str">
        <f t="array" ref="AO15">IFERROR(IF(AND(AN15&gt;'Indices Mines Exporting Ports'!$D$11,MATCH(2,1/(('Indices Mines Exporting Ports'!$B$3:$B$10&lt;=C15)*('Indices Mines Exporting Ports'!$C$3:$C$10=E15)))),"Yes","No"),"No")</f>
        <v>No</v>
      </c>
      <c r="AP15" s="126" t="str">
        <f t="array" ref="AP15">IF(AO15="Yes",INDEX('Indices Mines Exporting Ports'!$D$3:$D$10,MATCH(2,1/(('Indices Mines Exporting Ports'!$B$3:$B$10&lt;=Main!C15)*('Indices Mines Exporting Ports'!$C$3:$C$10=Main!AE15)))),IF(NOT(ISBLANK(Q15)),Q15,IP15))</f>
        <v>Central_Kal_Generic_Offshore</v>
      </c>
      <c r="AQ15" s="262">
        <f t="array" ref="AQ15">IF(AO15="no",0,INDEX('Indices Mines Exporting Ports'!$E$3:$E$10,MATCH(2,1/(('Indices Mines Exporting Ports'!$B$3:$B$10&lt;=Main!$C15)*('Indices Mines Exporting Ports'!$D$3:$D$10=Main!$AP15)))))</f>
        <v>0</v>
      </c>
      <c r="AR15" s="267">
        <f t="array" ref="AR15">IF(AO15="No",0,AN15/ROUND(AN15/INDEX('Indices Mines Exporting Ports'!$F$3:$F$10,MATCH(2,1/(('Indices Mines Exporting Ports'!$B$3:$B$10&lt;=Main!C15)*('Indices Mines Exporting Ports'!$C$3:$C$10=Main!AE15)))),0))</f>
        <v>0</v>
      </c>
      <c r="AS15" s="127" t="str">
        <f t="shared" si="4"/>
        <v>Qingdao</v>
      </c>
      <c r="AT15" s="100" t="str">
        <f t="shared" si="317"/>
        <v>Indonesian LT</v>
      </c>
      <c r="AU15" s="100" t="str">
        <f t="shared" si="318"/>
        <v>CBIX LT</v>
      </c>
      <c r="AV15" s="242" t="s">
        <v>4</v>
      </c>
      <c r="AW15" s="242" t="s">
        <v>5</v>
      </c>
      <c r="AX15" s="292" t="e">
        <f t="shared" ca="1" si="6"/>
        <v>#NAME?</v>
      </c>
      <c r="AY15" s="291" t="e">
        <f t="shared" ca="1" si="7"/>
        <v>#NAME?</v>
      </c>
      <c r="AZ15" s="292" t="e">
        <f t="shared" ca="1" si="8"/>
        <v>#NAME?</v>
      </c>
      <c r="BA15" s="102">
        <f t="shared" si="9"/>
        <v>0.33</v>
      </c>
      <c r="BB15" s="12"/>
      <c r="BC15" s="306" t="s">
        <v>403</v>
      </c>
      <c r="BD15" s="407">
        <f t="shared" si="279"/>
        <v>0</v>
      </c>
      <c r="BE15" s="407" t="e">
        <f t="shared" ca="1" si="279"/>
        <v>#NAME?</v>
      </c>
      <c r="BF15" s="407">
        <f t="shared" si="279"/>
        <v>0</v>
      </c>
      <c r="BG15" s="407" t="e">
        <f t="shared" ca="1" si="280"/>
        <v>#NAME?</v>
      </c>
      <c r="BH15" s="407">
        <f t="shared" si="281"/>
        <v>0</v>
      </c>
      <c r="BI15" s="263" t="e">
        <f t="shared" ca="1" si="282"/>
        <v>#NAME?</v>
      </c>
      <c r="BK15" s="287" t="s">
        <v>39</v>
      </c>
      <c r="BM15" s="291" t="e">
        <f t="shared" ca="1" si="283"/>
        <v>#NAME?</v>
      </c>
      <c r="BN15" s="298">
        <f t="shared" si="284"/>
        <v>0.48</v>
      </c>
      <c r="BO15" s="298">
        <f t="shared" si="285"/>
        <v>0.44</v>
      </c>
      <c r="BP15" s="298">
        <f t="shared" si="286"/>
        <v>0.08</v>
      </c>
      <c r="BQ15" s="298">
        <f t="shared" si="287"/>
        <v>3.5000000000000003E-2</v>
      </c>
      <c r="BR15" s="298">
        <f t="shared" si="288"/>
        <v>4.4999999999999998E-2</v>
      </c>
      <c r="BS15" s="298">
        <f t="shared" si="289"/>
        <v>5.0000000000000001E-3</v>
      </c>
      <c r="BT15" s="298">
        <f t="shared" si="290"/>
        <v>0.15</v>
      </c>
      <c r="BU15" s="307" t="str">
        <f t="shared" si="291"/>
        <v>LT</v>
      </c>
      <c r="BV15" s="291">
        <f t="shared" si="292"/>
        <v>0.33</v>
      </c>
      <c r="BX15" s="300">
        <f t="array" ref="BX15">INDEX('Processing Factors'!$D$8:$D$29,MATCH(2,1/(('Processing Factors'!$B$8:$B$29&lt;=Main!$C15)*('Processing Factors'!$C$8:$C$29=Main!BU15))))</f>
        <v>0</v>
      </c>
      <c r="BY15" s="299">
        <f t="array" ref="BY15">INDEX('Processing Factors'!$E$8:$E$29,MATCH(2,1/(('Processing Factors'!$B$8:$B$29&lt;=Main!$C15)*('Processing Factors'!$C$8:$C$29=Main!BU15))))</f>
        <v>1</v>
      </c>
      <c r="BZ15" s="299">
        <f t="array" ref="BZ15">INDEX('Processing Factors'!$F$8:$F$29,MATCH(2,1/(('Processing Factors'!$B$8:$B$29&lt;=Main!$C15)*('Processing Factors'!$C$8:$C$29=Main!BU15))))</f>
        <v>0.9</v>
      </c>
      <c r="CA15" s="299">
        <f t="array" ref="CA15">INDEX('Processing Factors'!$G$8:$G$29,MATCH(2,1/(('Processing Factors'!$B$8:$B$29&lt;=Main!$C15)*('Processing Factors'!$C$8:$C$29=Main!BU15))))</f>
        <v>3.5999999999999997E-2</v>
      </c>
      <c r="CB15" s="299">
        <f t="array" ref="CB15">INDEX('Processing Factors'!$H$8:$H$29,MATCH(2,1/(('Processing Factors'!$B$8:$B$29&lt;=Main!$C15)*('Processing Factors'!$C$8:$C$29=Main!BU15))))</f>
        <v>12.15</v>
      </c>
      <c r="CC15" s="300">
        <f t="array" ref="CC15">INDEX('Processing Factors'!$I$8:$I$29,MATCH(2,1/(('Processing Factors'!$B$8:$B$29&lt;=Main!$C15)*('Processing Factors'!$C$8:$C$29=Main!BU15))))</f>
        <v>0</v>
      </c>
      <c r="CD15" s="300">
        <f t="array" ref="CD15">INDEX('Processing Factors'!$J$8:$J$29,MATCH(2,1/(('Processing Factors'!$B$8:$B$29&lt;=Main!$C15)*('Processing Factors'!$C$8:$C$29=Main!BU15))))</f>
        <v>0.9</v>
      </c>
      <c r="CE15" s="299">
        <f t="array" ref="CE15">INDEX('Processing Factors'!$K$8:$K$29,MATCH(2,1/(('Processing Factors'!$B$8:$B$29&lt;=Main!$C15)*('Processing Factors'!$C$8:$C$29=Main!BU15))))</f>
        <v>3.5000000000000003E-2</v>
      </c>
      <c r="CG15" s="302">
        <f t="shared" si="10"/>
        <v>0.47499999999999998</v>
      </c>
      <c r="CH15" s="302">
        <f t="shared" si="11"/>
        <v>3.5000000000000003E-2</v>
      </c>
      <c r="CI15" s="302">
        <f t="shared" si="12"/>
        <v>0.43999999999999995</v>
      </c>
      <c r="CJ15" s="299">
        <f t="shared" si="13"/>
        <v>2.5252525252525255</v>
      </c>
      <c r="CK15" s="281" t="e">
        <f t="shared" ca="1" si="14"/>
        <v>#NAME?</v>
      </c>
      <c r="CL15" s="299">
        <f t="shared" si="15"/>
        <v>0.11454545454545458</v>
      </c>
      <c r="CM15" s="281">
        <f t="shared" si="16"/>
        <v>27.519399763605541</v>
      </c>
      <c r="CN15" s="281">
        <f t="shared" si="17"/>
        <v>50.37416442905598</v>
      </c>
      <c r="CO15" s="281">
        <f t="shared" si="18"/>
        <v>1.2210288298473715</v>
      </c>
      <c r="CP15" s="299">
        <f t="shared" si="19"/>
        <v>1.6757979797979801</v>
      </c>
      <c r="CQ15" s="281">
        <f t="shared" si="20"/>
        <v>7.1048529386573502</v>
      </c>
      <c r="CR15" s="281" t="e">
        <f t="shared" ca="1" si="21"/>
        <v>#NAME?</v>
      </c>
      <c r="CT15" s="287" t="s">
        <v>39</v>
      </c>
      <c r="CV15" s="305" t="e">
        <f t="shared" ca="1" si="22"/>
        <v>#NAME?</v>
      </c>
      <c r="CW15" s="61">
        <f t="array" ref="CW15">INDEX('Indices Mines Exporting Ports'!E$20:E$51, MATCH(2,1/(('Indices Mines Exporting Ports'!$C$20:$C$51=$AT15)*('Indices Mines Exporting Ports'!$D$20:$D$51&lt;=$C15))))</f>
        <v>0.48</v>
      </c>
      <c r="CX15" s="61">
        <f t="array" ref="CX15">INDEX('Indices Mines Exporting Ports'!F$20:F$51, MATCH(2,1/(('Indices Mines Exporting Ports'!$C$20:$C$51=$AT15)*('Indices Mines Exporting Ports'!$D$20:$D$51&lt;=$C15))))</f>
        <v>0.44</v>
      </c>
      <c r="CY15" s="61">
        <f t="array" ref="CY15">INDEX('Indices Mines Exporting Ports'!G$20:G$51, MATCH(2,1/(('Indices Mines Exporting Ports'!$C$20:$C$51=$AT15)*('Indices Mines Exporting Ports'!$D$20:$D$51&lt;=$C15))))</f>
        <v>0.08</v>
      </c>
      <c r="CZ15" s="61">
        <f t="array" ref="CZ15">INDEX('Indices Mines Exporting Ports'!H$20:H$51, MATCH(2,1/(('Indices Mines Exporting Ports'!$C$20:$C$51=$AT15)*('Indices Mines Exporting Ports'!$D$20:$D$51&lt;=$C15))))</f>
        <v>3.5000000000000003E-2</v>
      </c>
      <c r="DA15" s="61">
        <f t="array" ref="DA15">INDEX('Indices Mines Exporting Ports'!I$20:I$51, MATCH(2,1/(('Indices Mines Exporting Ports'!$C$20:$C$51=$AT15)*('Indices Mines Exporting Ports'!$D$20:$D$51&lt;=$C15))))</f>
        <v>4.4999999999999998E-2</v>
      </c>
      <c r="DB15" s="61">
        <f t="array" ref="DB15">INDEX('Indices Mines Exporting Ports'!J$20:J$51, MATCH(2,1/(('Indices Mines Exporting Ports'!$C$20:$C$51=$AT15)*('Indices Mines Exporting Ports'!$D$20:$D$51&lt;=$C15))))</f>
        <v>5.0000000000000001E-3</v>
      </c>
      <c r="DC15" s="61">
        <f t="array" ref="DC15">INDEX('Indices Mines Exporting Ports'!K$20:K$51, MATCH(2,1/(('Indices Mines Exporting Ports'!$C$20:$C$51=$AT15)*('Indices Mines Exporting Ports'!$D$20:$D$51&lt;=$C15))))</f>
        <v>0.15</v>
      </c>
      <c r="DD15" s="103" t="str">
        <f t="array" ref="DD15">INDEX('Indices Mines Exporting Ports'!L$20:L$51, MATCH(2,1/(('Indices Mines Exporting Ports'!$C$20:$C$51=$AT15)*('Indices Mines Exporting Ports'!$D$20:$D$51&lt;=$C15))))</f>
        <v>LT</v>
      </c>
      <c r="DE15" s="243">
        <f t="array" ref="DE15">INDEX('Indices Mines Exporting Ports'!M$20:M$51, MATCH(2,1/(('Indices Mines Exporting Ports'!$C$20:$C$51=$AT15)*('Indices Mines Exporting Ports'!$D$20:$D$51&lt;=$C15))))</f>
        <v>0.33</v>
      </c>
      <c r="DG15" s="300">
        <f t="array" ref="DG15">INDEX('Processing Factors'!$D$8:$D$29,MATCH(2,1/(('Processing Factors'!$B$8:$B$29&lt;=Main!$C15)*('Processing Factors'!$C$8:$C$29=Main!DD15))))</f>
        <v>0</v>
      </c>
      <c r="DH15" s="299">
        <f t="array" ref="DH15">INDEX('Processing Factors'!$E$8:$E$29,MATCH(2,1/(('Processing Factors'!$B$8:$B$29&lt;=Main!$C15)*('Processing Factors'!$C$8:$C$29=Main!DD15))))</f>
        <v>1</v>
      </c>
      <c r="DI15" s="299">
        <f t="array" ref="DI15">INDEX('Processing Factors'!$F$8:$F$29,MATCH(2,1/(('Processing Factors'!$B$8:$B$29&lt;=Main!$C15)*('Processing Factors'!$C$8:$C$29=Main!DD15))))</f>
        <v>0.9</v>
      </c>
      <c r="DJ15" s="299">
        <f t="array" ref="DJ15">INDEX('Processing Factors'!$G$8:$G$29,MATCH(2,1/(('Processing Factors'!$B$8:$B$29&lt;=Main!$C15)*('Processing Factors'!$C$8:$C$29=Main!DD15))))</f>
        <v>3.5999999999999997E-2</v>
      </c>
      <c r="DK15" s="299">
        <f t="array" ref="DK15">INDEX('Processing Factors'!$H$8:$H$29,MATCH(2,1/(('Processing Factors'!$B$8:$B$29&lt;=Main!$C15)*('Processing Factors'!$C$8:$C$29=Main!DD15))))</f>
        <v>12.15</v>
      </c>
      <c r="DL15" s="300">
        <f t="array" ref="DL15">INDEX('Processing Factors'!$I$8:$I$29,MATCH(2,1/(('Processing Factors'!$B$8:$B$29&lt;=Main!$C15)*('Processing Factors'!$C$8:$C$29=Main!DD15))))</f>
        <v>0</v>
      </c>
      <c r="DM15" s="300">
        <f t="array" ref="DM15">INDEX('Processing Factors'!$J$8:$J$29,MATCH(2,1/(('Processing Factors'!$B$8:$B$29&lt;=Main!$C15)*('Processing Factors'!$C$8:$C$29=Main!DD15))))</f>
        <v>0.9</v>
      </c>
      <c r="DN15" s="299">
        <f t="array" ref="DN15">INDEX('Processing Factors'!$K$8:$K$29,MATCH(2,1/(('Processing Factors'!$B$8:$B$29&lt;=Main!$C15)*('Processing Factors'!$C$8:$C$29=Main!DD15))))</f>
        <v>3.5000000000000003E-2</v>
      </c>
      <c r="DP15" s="302">
        <f t="shared" si="23"/>
        <v>0.47499999999999998</v>
      </c>
      <c r="DQ15" s="302">
        <f t="shared" si="24"/>
        <v>3.5000000000000003E-2</v>
      </c>
      <c r="DR15" s="302">
        <f t="shared" si="25"/>
        <v>0.43999999999999995</v>
      </c>
      <c r="DS15" s="299">
        <f t="shared" si="26"/>
        <v>2.5252525252525255</v>
      </c>
      <c r="DT15" s="304">
        <v>0</v>
      </c>
      <c r="DU15" s="299">
        <f t="shared" si="27"/>
        <v>0.11454545454545458</v>
      </c>
      <c r="DV15" s="281">
        <f t="shared" si="28"/>
        <v>27.519399763605541</v>
      </c>
      <c r="DW15" s="281">
        <f t="shared" si="29"/>
        <v>50.37416442905598</v>
      </c>
      <c r="DX15" s="281">
        <f t="shared" si="30"/>
        <v>1.2210288298473715</v>
      </c>
      <c r="DY15" s="299">
        <f t="shared" si="31"/>
        <v>1.6757979797979801</v>
      </c>
      <c r="DZ15" s="281">
        <f t="shared" si="32"/>
        <v>7.1048529386573502</v>
      </c>
      <c r="EA15" s="281">
        <f t="shared" si="33"/>
        <v>86.219445961166244</v>
      </c>
      <c r="EC15" s="287" t="s">
        <v>39</v>
      </c>
      <c r="EE15" s="305" t="e">
        <f t="shared" ca="1" si="34"/>
        <v>#NAME?</v>
      </c>
      <c r="EF15" s="16">
        <f t="array" ref="EF15">INDEX('Indices Mines Exporting Ports'!E$20:E$51, MATCH(2,1/(('Indices Mines Exporting Ports'!$C$20:$C$51=$AU15)*('Indices Mines Exporting Ports'!$D$20:$D$51&lt;=$C15))))</f>
        <v>0.5</v>
      </c>
      <c r="EG15" s="16">
        <f t="array" ref="EG15">INDEX('Indices Mines Exporting Ports'!F$20:F$51, MATCH(2,1/(('Indices Mines Exporting Ports'!$C$20:$C$51=$AU15)*('Indices Mines Exporting Ports'!$D$20:$D$51&lt;=$C15))))</f>
        <v>0.45</v>
      </c>
      <c r="EH15" s="16">
        <f t="array" ref="EH15">INDEX('Indices Mines Exporting Ports'!G$20:G$51, MATCH(2,1/(('Indices Mines Exporting Ports'!$C$20:$C$51=$AU15)*('Indices Mines Exporting Ports'!$D$20:$D$51&lt;=$C15))))</f>
        <v>0.05</v>
      </c>
      <c r="EI15" s="16">
        <f t="array" ref="EI15">INDEX('Indices Mines Exporting Ports'!H$20:H$51, MATCH(2,1/(('Indices Mines Exporting Ports'!$C$20:$C$51=$AU15)*('Indices Mines Exporting Ports'!$D$20:$D$51&lt;=$C15))))</f>
        <v>0.05</v>
      </c>
      <c r="EJ15" s="16">
        <f t="array" ref="EJ15">INDEX('Indices Mines Exporting Ports'!I$20:I$51, MATCH(2,1/(('Indices Mines Exporting Ports'!$C$20:$C$51=$AU15)*('Indices Mines Exporting Ports'!$D$20:$D$51&lt;=$C15))))</f>
        <v>0</v>
      </c>
      <c r="EK15" s="16">
        <f t="array" ref="EK15">INDEX('Indices Mines Exporting Ports'!J$20:J$51, MATCH(2,1/(('Indices Mines Exporting Ports'!$C$20:$C$51=$AU15)*('Indices Mines Exporting Ports'!$D$20:$D$51&lt;=$C15))))</f>
        <v>0</v>
      </c>
      <c r="EL15" s="16">
        <f t="array" ref="EL15">INDEX('Indices Mines Exporting Ports'!K$20:K$51, MATCH(2,1/(('Indices Mines Exporting Ports'!$C$20:$C$51=$AU15)*('Indices Mines Exporting Ports'!$D$20:$D$51&lt;=$C15))))</f>
        <v>0.1</v>
      </c>
      <c r="EM15" s="103" t="str">
        <f t="array" ref="EM15">INDEX('Indices Mines Exporting Ports'!L$20:L$51, MATCH(2,1/(('Indices Mines Exporting Ports'!$C$20:$C$51=$AU15)*('Indices Mines Exporting Ports'!$D$20:$D$51&lt;=$C15))))</f>
        <v>LT</v>
      </c>
      <c r="EN15" s="243">
        <f t="array" ref="EN15">INDEX('Indices Mines Exporting Ports'!M$20:M$51, MATCH(2,1/(('Indices Mines Exporting Ports'!$C$20:$C$51=$AU15)*('Indices Mines Exporting Ports'!$D$20:$D$51&lt;=$C15))))</f>
        <v>0</v>
      </c>
      <c r="EP15" s="300">
        <f t="array" ref="EP15">INDEX('Processing Factors'!$D$8:$D$29,MATCH(2,1/(('Processing Factors'!$B$8:$B$29&lt;=Main!$C15)*('Processing Factors'!$C$8:$C$29=Main!EM15))))</f>
        <v>0</v>
      </c>
      <c r="EQ15" s="299">
        <f t="array" ref="EQ15">INDEX('Processing Factors'!$E$8:$E$29,MATCH(2,1/(('Processing Factors'!$B$8:$B$29&lt;=Main!$C15)*('Processing Factors'!$C$8:$C$29=Main!EM15))))</f>
        <v>1</v>
      </c>
      <c r="ER15" s="299">
        <f t="array" ref="ER15">INDEX('Processing Factors'!$F$8:$F$29,MATCH(2,1/(('Processing Factors'!$B$8:$B$29&lt;=Main!$C15)*('Processing Factors'!$C$8:$C$29=Main!EM15))))</f>
        <v>0.9</v>
      </c>
      <c r="ES15" s="299">
        <f t="array" ref="ES15">INDEX('Processing Factors'!$G$8:$G$29,MATCH(2,1/(('Processing Factors'!$B$8:$B$29&lt;=Main!$C15)*('Processing Factors'!$C$8:$C$29=Main!EM15))))</f>
        <v>3.5999999999999997E-2</v>
      </c>
      <c r="ET15" s="299">
        <f t="array" ref="ET15">INDEX('Processing Factors'!$H$8:$H$29,MATCH(2,1/(('Processing Factors'!$B$8:$B$29&lt;=Main!$C15)*('Processing Factors'!$C$8:$C$29=Main!EM15))))</f>
        <v>12.15</v>
      </c>
      <c r="EU15" s="300">
        <f t="array" ref="EU15">INDEX('Processing Factors'!$I$8:$I$29,MATCH(2,1/(('Processing Factors'!$B$8:$B$29&lt;=Main!$C15)*('Processing Factors'!$C$8:$C$29=Main!EM15))))</f>
        <v>0</v>
      </c>
      <c r="EV15" s="300">
        <f t="array" ref="EV15">INDEX('Processing Factors'!$J$8:$J$29,MATCH(2,1/(('Processing Factors'!$B$8:$B$29&lt;=Main!$C15)*('Processing Factors'!$C$8:$C$29=Main!EM15))))</f>
        <v>0.9</v>
      </c>
      <c r="EW15" s="299">
        <f t="array" ref="EW15">INDEX('Processing Factors'!$K$8:$K$29,MATCH(2,1/(('Processing Factors'!$B$8:$B$29&lt;=Main!$C15)*('Processing Factors'!$C$8:$C$29=Main!EM15))))</f>
        <v>3.5000000000000003E-2</v>
      </c>
      <c r="EY15" s="302">
        <f t="shared" si="35"/>
        <v>0.5</v>
      </c>
      <c r="EZ15" s="302">
        <f t="shared" si="36"/>
        <v>0.05</v>
      </c>
      <c r="FA15" s="302">
        <f t="shared" si="37"/>
        <v>0.45</v>
      </c>
      <c r="FB15" s="299">
        <f t="shared" si="38"/>
        <v>2.4691358024691357</v>
      </c>
      <c r="FC15" s="304">
        <v>0</v>
      </c>
      <c r="FD15" s="299">
        <f t="shared" si="39"/>
        <v>0.14611111111111114</v>
      </c>
      <c r="FE15" s="281">
        <f t="shared" si="40"/>
        <v>35.103008604987139</v>
      </c>
      <c r="FF15" s="281">
        <f t="shared" si="41"/>
        <v>50.37416442905598</v>
      </c>
      <c r="FG15" s="281">
        <f t="shared" si="42"/>
        <v>1.2210288298473715</v>
      </c>
      <c r="FH15" s="299">
        <f t="shared" si="43"/>
        <v>1.6512469135802468</v>
      </c>
      <c r="FI15" s="281">
        <f t="shared" si="44"/>
        <v>7.0007641898540713</v>
      </c>
      <c r="FJ15" s="281">
        <f t="shared" si="45"/>
        <v>93.698966053744556</v>
      </c>
      <c r="FL15" s="287" t="s">
        <v>39</v>
      </c>
      <c r="FN15" s="315" t="e">
        <f t="shared" ca="1" si="293"/>
        <v>#NAME?</v>
      </c>
      <c r="FO15" s="316">
        <f t="shared" si="294"/>
        <v>0.48</v>
      </c>
      <c r="FP15" s="316">
        <f t="shared" si="295"/>
        <v>0.44</v>
      </c>
      <c r="FQ15" s="316">
        <f t="shared" si="296"/>
        <v>0.08</v>
      </c>
      <c r="FR15" s="316">
        <f t="shared" si="297"/>
        <v>3.5000000000000003E-2</v>
      </c>
      <c r="FS15" s="316">
        <f t="shared" si="298"/>
        <v>4.4999999999999998E-2</v>
      </c>
      <c r="FT15" s="316">
        <f t="shared" si="299"/>
        <v>5.0000000000000001E-3</v>
      </c>
      <c r="FU15" s="316">
        <f t="shared" si="300"/>
        <v>0.15</v>
      </c>
      <c r="FV15" s="317" t="str">
        <f t="shared" si="301"/>
        <v>LT</v>
      </c>
      <c r="FW15" s="318">
        <v>0</v>
      </c>
      <c r="FX15" s="237"/>
      <c r="FY15" s="319">
        <f t="array" ref="FY15">INDEX('Processing Factors'!$D$8:$D$29,MATCH(2,1/(('Processing Factors'!$B$8:$B$29&lt;=Main!$C15)*('Processing Factors'!$C$8:$C$29=Main!FV15))))</f>
        <v>0</v>
      </c>
      <c r="FZ15" s="320">
        <f t="array" ref="FZ15">INDEX('Processing Factors'!$E$8:$E$29,MATCH(2,1/(('Processing Factors'!$B$8:$B$29&lt;=Main!$C15)*('Processing Factors'!$C$8:$C$29=Main!FV15))))</f>
        <v>1</v>
      </c>
      <c r="GA15" s="320">
        <f t="array" ref="GA15">INDEX('Processing Factors'!$F$8:$F$29,MATCH(2,1/(('Processing Factors'!$B$8:$B$29&lt;=Main!$C15)*('Processing Factors'!$C$8:$C$29=Main!FV15))))</f>
        <v>0.9</v>
      </c>
      <c r="GB15" s="320">
        <f t="array" ref="GB15">INDEX('Processing Factors'!$G$8:$G$29,MATCH(2,1/(('Processing Factors'!$B$8:$B$29&lt;=Main!$C15)*('Processing Factors'!$C$8:$C$29=Main!FV15))))</f>
        <v>3.5999999999999997E-2</v>
      </c>
      <c r="GC15" s="320">
        <f t="array" ref="GC15">INDEX('Processing Factors'!$H$8:$H$29,MATCH(2,1/(('Processing Factors'!$B$8:$B$29&lt;=Main!$C15)*('Processing Factors'!$C$8:$C$29=Main!FV15))))</f>
        <v>12.15</v>
      </c>
      <c r="GD15" s="319">
        <f t="array" ref="GD15">INDEX('Processing Factors'!$I$8:$I$29,MATCH(2,1/(('Processing Factors'!$B$8:$B$29&lt;=Main!$C15)*('Processing Factors'!$C$8:$C$29=Main!FV15))))</f>
        <v>0</v>
      </c>
      <c r="GE15" s="321">
        <v>0.92</v>
      </c>
      <c r="GF15" s="320">
        <f t="array" ref="GF15">INDEX('Processing Factors'!$K$8:$K$29,MATCH(2,1/(('Processing Factors'!$B$8:$B$29&lt;=Main!$C15)*('Processing Factors'!$C$8:$C$29=Main!FV15))))</f>
        <v>3.5000000000000003E-2</v>
      </c>
      <c r="GG15" s="237"/>
      <c r="GH15" s="322">
        <f t="shared" si="46"/>
        <v>0.47499999999999998</v>
      </c>
      <c r="GI15" s="322">
        <f t="shared" si="47"/>
        <v>3.5000000000000003E-2</v>
      </c>
      <c r="GJ15" s="322">
        <f t="shared" si="48"/>
        <v>0.43999999999999995</v>
      </c>
      <c r="GK15" s="320">
        <f t="shared" si="49"/>
        <v>2.4703557312252964</v>
      </c>
      <c r="GL15" s="323" t="e">
        <f t="shared" ca="1" si="50"/>
        <v>#NAME?</v>
      </c>
      <c r="GM15" s="320">
        <f t="shared" si="51"/>
        <v>0.11281620553359686</v>
      </c>
      <c r="GN15" s="323">
        <f t="shared" si="52"/>
        <v>27.103949887947245</v>
      </c>
      <c r="GO15" s="323">
        <f t="shared" si="53"/>
        <v>50.37416442905598</v>
      </c>
      <c r="GP15" s="323">
        <f t="shared" si="54"/>
        <v>1.2210288298473715</v>
      </c>
      <c r="GQ15" s="320">
        <f t="shared" si="55"/>
        <v>1.6191719367588933</v>
      </c>
      <c r="GR15" s="323">
        <f t="shared" si="56"/>
        <v>6.8647764418833805</v>
      </c>
      <c r="GS15" s="323" t="e">
        <f t="shared" ca="1" si="57"/>
        <v>#NAME?</v>
      </c>
      <c r="GT15" s="237"/>
      <c r="GU15" s="324" t="e">
        <f t="shared" ca="1" si="58"/>
        <v>#NAME?</v>
      </c>
      <c r="GV15" s="325">
        <f t="array" ref="GV15">INDEX('Indices Mines Exporting Ports'!E$20:E$51, MATCH(2,1/(('Indices Mines Exporting Ports'!$C$20:$C$51=$BC15)*('Indices Mines Exporting Ports'!$D$20:$D$51&lt;=$C15))))</f>
        <v>0.5</v>
      </c>
      <c r="GW15" s="325">
        <f t="array" ref="GW15">INDEX('Indices Mines Exporting Ports'!F$20:F$51, MATCH(2,1/(('Indices Mines Exporting Ports'!$C$20:$C$51=$BC15)*('Indices Mines Exporting Ports'!$D$20:$D$51&lt;=$C15))))</f>
        <v>0.45</v>
      </c>
      <c r="GX15" s="325">
        <f t="array" ref="GX15">INDEX('Indices Mines Exporting Ports'!G$20:G$51, MATCH(2,1/(('Indices Mines Exporting Ports'!$C$20:$C$51=$BC15)*('Indices Mines Exporting Ports'!$D$20:$D$51&lt;=$C15))))</f>
        <v>0.05</v>
      </c>
      <c r="GY15" s="325">
        <f t="array" ref="GY15">INDEX('Indices Mines Exporting Ports'!H$20:H$51, MATCH(2,1/(('Indices Mines Exporting Ports'!$C$20:$C$51=$BC15)*('Indices Mines Exporting Ports'!$D$20:$D$51&lt;=$C15))))</f>
        <v>0.05</v>
      </c>
      <c r="GZ15" s="325">
        <f t="array" ref="GZ15">INDEX('Indices Mines Exporting Ports'!I$20:I$51, MATCH(2,1/(('Indices Mines Exporting Ports'!$C$20:$C$51=$BC15)*('Indices Mines Exporting Ports'!$D$20:$D$51&lt;=$C15))))</f>
        <v>0</v>
      </c>
      <c r="HA15" s="325">
        <f t="array" ref="HA15">INDEX('Indices Mines Exporting Ports'!J$20:J$51, MATCH(2,1/(('Indices Mines Exporting Ports'!$C$20:$C$51=$BC15)*('Indices Mines Exporting Ports'!$D$20:$D$51&lt;=$C15))))</f>
        <v>0</v>
      </c>
      <c r="HB15" s="325">
        <f t="array" ref="HB15">INDEX('Indices Mines Exporting Ports'!K$20:K$51, MATCH(2,1/(('Indices Mines Exporting Ports'!$C$20:$C$51=$BC15)*('Indices Mines Exporting Ports'!$D$20:$D$51&lt;=$C15))))</f>
        <v>0.1</v>
      </c>
      <c r="HC15" s="326" t="str">
        <f t="array" ref="HC15">INDEX('Indices Mines Exporting Ports'!L$20:L$51, MATCH(2,1/(('Indices Mines Exporting Ports'!$C$20:$C$51=$BC15)*('Indices Mines Exporting Ports'!$D$20:$D$51&lt;=$C15))))</f>
        <v>LT</v>
      </c>
      <c r="HD15" s="262">
        <f t="array" ref="HD15">INDEX('Indices Mines Exporting Ports'!M$20:M$51, MATCH(2,1/(('Indices Mines Exporting Ports'!$C$20:$C$51=$BC15)*('Indices Mines Exporting Ports'!$D$20:$D$51&lt;=$C15))))</f>
        <v>0</v>
      </c>
      <c r="HE15" s="237"/>
      <c r="HF15" s="319">
        <f t="array" ref="HF15">INDEX('Processing Factors'!$D$8:$D$29,MATCH(2,1/(('Processing Factors'!$B$8:$B$29&lt;=Main!$C15)*('Processing Factors'!$C$8:$C$29=Main!HC15))))</f>
        <v>0</v>
      </c>
      <c r="HG15" s="320">
        <f t="array" ref="HG15">INDEX('Processing Factors'!$E$8:$E$29,MATCH(2,1/(('Processing Factors'!$B$8:$B$29&lt;=Main!$C15)*('Processing Factors'!$C$8:$C$29=Main!HC15))))</f>
        <v>1</v>
      </c>
      <c r="HH15" s="320">
        <f t="array" ref="HH15">INDEX('Processing Factors'!$F$8:$F$29,MATCH(2,1/(('Processing Factors'!$B$8:$B$29&lt;=Main!$C15)*('Processing Factors'!$C$8:$C$29=Main!HC15))))</f>
        <v>0.9</v>
      </c>
      <c r="HI15" s="320">
        <f t="array" ref="HI15">INDEX('Processing Factors'!$G$8:$G$29,MATCH(2,1/(('Processing Factors'!$B$8:$B$29&lt;=Main!$C15)*('Processing Factors'!$C$8:$C$29=Main!HC15))))</f>
        <v>3.5999999999999997E-2</v>
      </c>
      <c r="HJ15" s="320">
        <f t="array" ref="HJ15">INDEX('Processing Factors'!$H$8:$H$29,MATCH(2,1/(('Processing Factors'!$B$8:$B$29&lt;=Main!$C15)*('Processing Factors'!$C$8:$C$29=Main!HC15))))</f>
        <v>12.15</v>
      </c>
      <c r="HK15" s="319">
        <f t="array" ref="HK15">INDEX('Processing Factors'!$I$8:$I$29,MATCH(2,1/(('Processing Factors'!$B$8:$B$29&lt;=Main!$C15)*('Processing Factors'!$C$8:$C$29=Main!HC15))))</f>
        <v>0</v>
      </c>
      <c r="HL15" s="321">
        <v>0.92</v>
      </c>
      <c r="HM15" s="320">
        <f t="array" ref="HM15">INDEX('Processing Factors'!$K$8:$K$29,MATCH(2,1/(('Processing Factors'!$B$8:$B$29&lt;=Main!$C15)*('Processing Factors'!$C$8:$C$29=Main!HC15))))</f>
        <v>3.5000000000000003E-2</v>
      </c>
      <c r="HN15" s="237"/>
      <c r="HO15" s="322">
        <f t="shared" si="59"/>
        <v>0.5</v>
      </c>
      <c r="HP15" s="322">
        <f t="shared" si="60"/>
        <v>0.05</v>
      </c>
      <c r="HQ15" s="322">
        <f t="shared" si="61"/>
        <v>0.45</v>
      </c>
      <c r="HR15" s="320">
        <f t="shared" si="62"/>
        <v>2.4154589371980677</v>
      </c>
      <c r="HS15" s="263">
        <v>0</v>
      </c>
      <c r="HT15" s="320">
        <f t="shared" si="63"/>
        <v>0.14369565217391306</v>
      </c>
      <c r="HU15" s="323">
        <f t="shared" si="64"/>
        <v>34.522697667559676</v>
      </c>
      <c r="HV15" s="323">
        <f t="shared" si="65"/>
        <v>50.37416442905598</v>
      </c>
      <c r="HW15" s="323">
        <f t="shared" si="66"/>
        <v>1.2210288298473715</v>
      </c>
      <c r="HX15" s="320">
        <f t="shared" si="67"/>
        <v>1.5951545893719807</v>
      </c>
      <c r="HY15" s="323">
        <f t="shared" si="68"/>
        <v>6.7629504919671319</v>
      </c>
      <c r="HZ15" s="323">
        <f t="shared" si="69"/>
        <v>92.880841418430151</v>
      </c>
      <c r="IB15" s="287" t="s">
        <v>39</v>
      </c>
      <c r="ID15" s="89" t="str">
        <f t="shared" si="70"/>
        <v>Central Kalimantan Generic</v>
      </c>
      <c r="IE15" s="18">
        <f t="shared" si="319"/>
        <v>43923</v>
      </c>
      <c r="IF15" s="94">
        <f t="array" ref="IF15">INDEX('Indices Mines Exporting Ports'!E$20:E$51, MATCH(2,1/(('Indices Mines Exporting Ports'!$C$20:$C$51=$ID15)*('Indices Mines Exporting Ports'!$D$20:$D$51&lt;=$IE15))))</f>
        <v>0.48</v>
      </c>
      <c r="IG15" s="94">
        <f t="array" ref="IG15">INDEX('Indices Mines Exporting Ports'!F$20:F$51, MATCH(2,1/(('Indices Mines Exporting Ports'!$C$20:$C$51=$ID15)*('Indices Mines Exporting Ports'!$D$20:$D$51&lt;=$IE15))))</f>
        <v>0.44</v>
      </c>
      <c r="IH15" s="95">
        <f t="array" ref="IH15">INDEX('Indices Mines Exporting Ports'!G$20:G$51, MATCH(2,1/(('Indices Mines Exporting Ports'!$C$20:$C$51=$ID15)*('Indices Mines Exporting Ports'!$D$20:$D$51&lt;=$IE15))))</f>
        <v>0.08</v>
      </c>
      <c r="II15" s="95">
        <f t="array" ref="II15">INDEX('Indices Mines Exporting Ports'!H$20:H$51, MATCH(2,1/(('Indices Mines Exporting Ports'!$C$20:$C$51=$ID15)*('Indices Mines Exporting Ports'!$D$20:$D$51&lt;=$IE15))))</f>
        <v>3.5000000000000003E-2</v>
      </c>
      <c r="IJ15" s="95">
        <f t="array" ref="IJ15">INDEX('Indices Mines Exporting Ports'!I$20:I$51, MATCH(2,1/(('Indices Mines Exporting Ports'!$C$20:$C$51=$ID15)*('Indices Mines Exporting Ports'!$D$20:$D$51&lt;=$IE15))))</f>
        <v>4.4999999999999998E-2</v>
      </c>
      <c r="IK15" s="94">
        <f t="array" ref="IK15">INDEX('Indices Mines Exporting Ports'!J$20:J$51, MATCH(2,1/(('Indices Mines Exporting Ports'!$C$20:$C$51=$ID15)*('Indices Mines Exporting Ports'!$D$20:$D$51&lt;=$IE15))))</f>
        <v>5.0000000000000001E-3</v>
      </c>
      <c r="IL15" s="94">
        <f t="array" ref="IL15">INDEX('Indices Mines Exporting Ports'!K$20:K$51, MATCH(2,1/(('Indices Mines Exporting Ports'!$C$20:$C$51=$ID15)*('Indices Mines Exporting Ports'!$D$20:$D$51&lt;=$IE15))))</f>
        <v>0.15</v>
      </c>
      <c r="IM15" s="93" t="str">
        <f t="array" ref="IM15">INDEX('Indices Mines Exporting Ports'!L$20:L$51, MATCH(2,1/(('Indices Mines Exporting Ports'!$C$20:$C$51=$ID15)*('Indices Mines Exporting Ports'!$D$20:$D$51&lt;=$IE15))))</f>
        <v>LT</v>
      </c>
      <c r="IN15" s="101">
        <f t="array" ref="IN15">INDEX('Indices Mines Exporting Ports'!M$20:M$51, MATCH(2,1/(('Indices Mines Exporting Ports'!$C$20:$C$51=$ID15)*('Indices Mines Exporting Ports'!$D$20:$D$51&lt;=$IE15))))</f>
        <v>0.33</v>
      </c>
      <c r="IO15" s="96">
        <f t="array" ref="IO15">INDEX('Indices Mines Exporting Ports'!N$20:N$51, MATCH(2,1/(('Indices Mines Exporting Ports'!$C$20:$C$51=$ID15)*('Indices Mines Exporting Ports'!$D$20:$D$51&lt;=$IE15))))</f>
        <v>57000</v>
      </c>
      <c r="IP15" s="95" t="str">
        <f t="array" ref="IP15">INDEX('Indices Mines Exporting Ports'!Q$20:Q$51, MATCH(2,1/(('Indices Mines Exporting Ports'!$C$20:$C$51=$ID15)*('Indices Mines Exporting Ports'!$D$20:$D$51&lt;=$IE15))))</f>
        <v>Central_Kal_Generic_Offshore</v>
      </c>
      <c r="IQ15" s="95" t="str">
        <f t="array" ref="IQ15">INDEX('Indices Mines Exporting Ports'!O$20:O$51, MATCH(2,1/(('Indices Mines Exporting Ports'!$C$20:$C$51=$ID15)*('Indices Mines Exporting Ports'!$D$20:$D$51&lt;=$IE15))))</f>
        <v>Indonesian LT</v>
      </c>
      <c r="IR15" s="95" t="str">
        <f t="array" ref="IR15">INDEX('Indices Mines Exporting Ports'!P$20:P$51, MATCH(2,1/(('Indices Mines Exporting Ports'!$C$20:$C$51=$ID15)*('Indices Mines Exporting Ports'!$D$20:$D$51&lt;=$IE15))))</f>
        <v>CBIX LT</v>
      </c>
      <c r="IT15" s="287" t="s">
        <v>39</v>
      </c>
      <c r="IV15" s="292">
        <f>VLOOKUP($C15,'China Price Series'!$C$10:$D$1009,2,TRUE)/$JA15/(VLOOKUP($C15,'China Price Series'!$C$10:$E$1009,3,TRUE)*$JG15/$JF15)</f>
        <v>4.146021763708311</v>
      </c>
      <c r="IW15" s="292">
        <f>VLOOKUP($C15,'China Price Series'!$G$10:$H$1009,2,TRUE)/$JA15/(VLOOKUP($C15,'China Price Series'!$G$10:$I$1009,3,TRUE))</f>
        <v>240.24872809496895</v>
      </c>
      <c r="IX15" s="292">
        <f>VLOOKUP($C15,'China Price Series'!$K$10:$L$1009,2,TRUE)/$JA15</f>
        <v>33.91746749576032</v>
      </c>
      <c r="IY15" s="292">
        <f>VLOOKUP($C15,'China Price Series'!$N$10:$O$1009,2,TRUE)/$JA15</f>
        <v>4.23968343697004</v>
      </c>
      <c r="JA15" s="277">
        <f t="array" ref="JA15">INDEX('FX rates'!E$10:E$1009,MATCH(2,1/(('FX rates'!$D$10:$D$1009&lt;=Main!$C15)*(NOT(ISBLANK('FX rates'!E$10:E$1009))))))</f>
        <v>7.0759999999999987</v>
      </c>
      <c r="JB15" s="277">
        <f t="array" ref="JB15">INDEX('FX rates'!F$10:F$1009,MATCH(2,1/(('FX rates'!$D$10:$D$1009&lt;=Main!$C15)*(NOT(ISBLANK('FX rates'!F$10:F$1009))))))</f>
        <v>0.59156405988048044</v>
      </c>
      <c r="JC15" s="277">
        <f t="array" ref="JC15">INDEX('FX rates'!G$10:G$1009,MATCH(2,1/(('FX rates'!$D$10:$D$1009&lt;=Main!$C15)*(NOT(ISBLANK('FX rates'!G$10:G$1009))))))</f>
        <v>1</v>
      </c>
      <c r="JD15" s="277">
        <f t="array" ref="JD15">INDEX('FX rates'!H$10:H$1009,MATCH(2,1/(('FX rates'!$D$10:$D$1009&lt;=Main!$C15)*(NOT(ISBLANK('FX rates'!H$10:H$1009))))))</f>
        <v>1.35</v>
      </c>
      <c r="JF15" s="111">
        <f t="array" ref="JF15">INDEX('Global factors'!C$5:C$23,MATCH(2,1/(('Global factors'!$B$5:$B$23&lt;=Main!$C15)*(NOT(ISBLANK('Global factors'!C$5:C$23))))))</f>
        <v>239000</v>
      </c>
      <c r="JG15" s="112">
        <f t="array" ref="JG15">INDEX('Global factors'!D$5:D$23,MATCH(2,1/(('Global factors'!$B$5:$B$23&lt;=Main!$C15)*(NOT(ISBLANK('Global factors'!D$5:D$23))))))</f>
        <v>1000</v>
      </c>
      <c r="JH15" s="112">
        <f t="array" ref="JH15">INDEX('Global factors'!E$5:E$23,MATCH(2,1/(('Global factors'!$B$5:$B$23&lt;=Main!$C15)*(NOT(ISBLANK('Global factors'!E$5:E$23))))))</f>
        <v>24</v>
      </c>
      <c r="JI15" s="112">
        <f t="array" ref="JI15">INDEX('Global factors'!F$5:F$23,MATCH(2,1/(('Global factors'!$B$5:$B$23&lt;=Main!$C15)*(NOT(ISBLANK('Global factors'!F$5:F$23))))))</f>
        <v>2</v>
      </c>
      <c r="JJ15" s="117">
        <f t="array" ref="JJ15">INDEX('Global factors'!G$5:G$23,MATCH(2,1/(('Global factors'!$B$5:$B$23&lt;=Main!$C15)*(NOT(ISBLANK('Global factors'!G$5:G$23))))))</f>
        <v>0.08</v>
      </c>
      <c r="JK15" s="113">
        <f t="array" ref="JK15">INDEX('Global factors'!H$5:H$23,MATCH(2,1/(('Global factors'!$B$5:$B$23&lt;=Main!$C15)*(NOT(ISBLANK('Global factors'!H$5:H$23))))))</f>
        <v>101.96</v>
      </c>
      <c r="JL15" s="113">
        <f t="array" ref="JL15">INDEX('Global factors'!I$5:I$23,MATCH(2,1/(('Global factors'!$B$5:$B$23&lt;=Main!$C15)*(NOT(ISBLANK('Global factors'!I$5:I$23))))))</f>
        <v>60.08</v>
      </c>
      <c r="JM15" s="114">
        <f t="array" ref="JM15">INDEX('Global factors'!J$5:J$23,MATCH(2,1/(('Global factors'!$B$5:$B$23&lt;=Main!$C15)*(NOT(ISBLANK('Global factors'!J$5:J$23))))))</f>
        <v>0.84853528628495334</v>
      </c>
      <c r="JN15" s="115">
        <f t="array" ref="JN15">INDEX('Global factors'!K$5:K$23,MATCH(2,1/(('Global factors'!$B$5:$B$23&lt;=Main!$C15)*(NOT(ISBLANK('Global factors'!K$5:K$23))))))</f>
        <v>0.97499999999999998</v>
      </c>
      <c r="JO15" s="116">
        <f t="array" ref="JO15">INDEX('Global factors'!L$5:L$23,MATCH(2,1/(('Global factors'!$B$5:$B$23&lt;=Main!$C15)*(NOT(ISBLANK('Global factors'!L$5:L$23))))))</f>
        <v>8.7299999999999997E-4</v>
      </c>
      <c r="JP15" s="116">
        <f t="array" ref="JP15">INDEX('Global factors'!M$5:M$23,MATCH(2,1/(('Global factors'!$B$5:$B$23&lt;=Main!$C15)*(NOT(ISBLANK('Global factors'!M$5:M$23))))))</f>
        <v>145.88999999999999</v>
      </c>
      <c r="JQ15" s="116">
        <f t="array" ref="JQ15">INDEX('Global factors'!N$5:N$23,MATCH(2,1/(('Global factors'!$B$5:$B$23&lt;=Main!$C15)*(NOT(ISBLANK('Global factors'!N$5:N$23))))))</f>
        <v>0.40339999999999998</v>
      </c>
      <c r="JR15" s="116">
        <f t="array" ref="JR15">INDEX('Global factors'!O$5:O$23,MATCH(2,1/(('Global factors'!$B$5:$B$23&lt;=Main!$C15)*(NOT(ISBLANK('Global factors'!O$5:O$23))))))</f>
        <v>0</v>
      </c>
      <c r="JS15" s="116">
        <f t="array" ref="JS15">INDEX('Global factors'!P$5:P$23,MATCH(2,1/(('Global factors'!$B$5:$B$23&lt;=Main!$C15)*(NOT(ISBLANK('Global factors'!P$5:P$23))))))</f>
        <v>0.51890000000000003</v>
      </c>
      <c r="JT15" s="116">
        <f t="array" ref="JT15">INDEX('Global factors'!Q$5:Q$23,MATCH(2,1/(('Global factors'!$B$5:$B$23&lt;=Main!$C15)*(NOT(ISBLANK('Global factors'!Q$5:Q$23))))))</f>
        <v>4797</v>
      </c>
      <c r="JU15" s="116">
        <f t="array" ref="JU15">INDEX('Global factors'!R$5:R$23,MATCH(2,1/(('Global factors'!$B$5:$B$23&lt;=Main!$C15)*(NOT(ISBLANK('Global factors'!R$5:R$23))))))</f>
        <v>7</v>
      </c>
      <c r="JV15" s="115">
        <f t="array" ref="JV15">INDEX('Global factors'!S$5:S$23,MATCH(2,1/(('Global factors'!$B$5:$B$23&lt;=Main!$C15)*(NOT(ISBLANK('Global factors'!S$5:S$23))))))</f>
        <v>0.12</v>
      </c>
      <c r="JW15" s="115">
        <f t="array" ref="JW15">INDEX('Global factors'!T$5:T$23,MATCH(2,1/(('Global factors'!$B$5:$B$23&lt;=Main!$C15)*(NOT(ISBLANK('Global factors'!T$5:T$23))))))</f>
        <v>0.5</v>
      </c>
      <c r="JX15" s="116">
        <f t="array" ref="JX15">INDEX('Global factors'!U$5:U$23,MATCH(2,1/(('Global factors'!$B$5:$B$23&lt;=Main!$C15)*(NOT(ISBLANK('Global factors'!U$5:U$23))))))</f>
        <v>0.5</v>
      </c>
      <c r="JY15" s="116">
        <f t="array" ref="JY15">INDEX('Global factors'!V$5:V$23,MATCH(2,1/(('Global factors'!$B$5:$B$23&lt;=Main!$C15)*(NOT(ISBLANK('Global factors'!V$5:V$23))))))</f>
        <v>10000</v>
      </c>
      <c r="JZ15" s="116">
        <f t="array" ref="JZ15">INDEX('Global factors'!W$5:W$23,MATCH(2,1/(('Global factors'!$B$5:$B$23&lt;=Main!$C15)*(NOT(ISBLANK('Global factors'!W$5:W$23))))))</f>
        <v>0.10680000000000001</v>
      </c>
      <c r="KA15" s="116">
        <f t="array" ref="KA15">INDEX('Global factors'!X$5:X$23,MATCH(2,1/(('Global factors'!$B$5:$B$23&lt;=Main!$C15)*(NOT(ISBLANK('Global factors'!X$5:X$23))))))</f>
        <v>1.2</v>
      </c>
      <c r="KB15" s="116">
        <v>0</v>
      </c>
      <c r="KC15" s="272">
        <f t="array" ref="KC15">INDEX('Global factors'!Y$5:Y$23,MATCH(2,1/(('Global factors'!$B$5:$B$23&lt;=Main!$C15)*(NOT(ISBLANK('Global factors'!Y$5:Y$23))))))</f>
        <v>23643.7088248818</v>
      </c>
      <c r="KD15" s="273">
        <f t="array" ref="KD15">INDEX('Global factors'!Z$5:Z$23,MATCH(2,1/(('Global factors'!$B$5:$B$23&lt;=Main!$C15)*(NOT(ISBLANK('Global factors'!Z$5:Z$23))))))</f>
        <v>0.62802869915581405</v>
      </c>
      <c r="KE15" s="273">
        <v>0</v>
      </c>
      <c r="KF15" s="273">
        <v>0</v>
      </c>
      <c r="KG15" s="116">
        <v>0</v>
      </c>
      <c r="KH15" s="116">
        <f t="array" ref="KH15">INDEX('Global factors'!AB$5:AB$23,MATCH(2,1/(('Global factors'!$B$5:$B$23&lt;=Main!$C15)*(NOT(ISBLANK('Global factors'!AB$5:AB$23))))))</f>
        <v>6.2556361557795204E-2</v>
      </c>
      <c r="KI15" s="116">
        <f t="array" ref="KI15">INDEX('Global factors'!AC$5:AC$23,MATCH(2,1/(('Global factors'!$B$5:$B$23&lt;=Main!$C15)*(NOT(ISBLANK('Global factors'!AC$5:AC$23))))))</f>
        <v>8.6923129044225601E-4</v>
      </c>
      <c r="KJ15" s="116">
        <f t="array" ref="KJ15">INDEX('Global factors'!AD$5:AD$23,MATCH(2,1/(('Global factors'!$B$5:$B$23&lt;=Main!$C15)*(NOT(ISBLANK('Global factors'!AD$5:AD$23))))))</f>
        <v>1.1499999999999999</v>
      </c>
      <c r="KK15" s="116" t="str">
        <f t="array" ref="KK15">INDEX('Global factors'!AE$5:AE$23,MATCH(2,1/(('Global factors'!$B$5:$B$23&lt;=Main!$C15)*(NOT(ISBLANK('Global factors'!AE$5:AE$23))))))</f>
        <v>Qingdao</v>
      </c>
      <c r="KL15" s="290">
        <f t="array" ref="KL15">INDEX('Global factors'!AF$5:AF$23,MATCH(2,1/(('Global factors'!$B$5:$B$23&lt;=Main!$C15)*(NOT(ISBLANK('Global factors'!AF$5:AF$23))))))</f>
        <v>3.0000000000000001E-3</v>
      </c>
      <c r="KM15" s="290">
        <f t="array" ref="KM15">INDEX('Global factors'!AG$5:AG$23,MATCH(2,1/(('Global factors'!$B$5:$B$23&lt;=Main!$C15)*(NOT(ISBLANK('Global factors'!AG$5:AG$23))))))</f>
        <v>0.05</v>
      </c>
      <c r="KO15" s="287" t="s">
        <v>39</v>
      </c>
      <c r="KQ15" s="25">
        <f t="shared" si="320"/>
        <v>57000</v>
      </c>
      <c r="KR15" s="4" t="str">
        <f>VLOOKUP(KQ15,'Ship Time Charter Rates'!$F$10:$G$17,2,TRUE)</f>
        <v>Supramax</v>
      </c>
      <c r="KS15" s="4" t="str">
        <f>VLOOKUP(KQ15,Canals!$E$5:$F$12,2,TRUE)</f>
        <v>Supramax</v>
      </c>
      <c r="KT15" s="25">
        <f t="shared" si="71"/>
        <v>195.65099999999998</v>
      </c>
      <c r="KU15" s="25">
        <f t="shared" si="72"/>
        <v>22993.8</v>
      </c>
      <c r="KV15" s="25">
        <f t="shared" si="73"/>
        <v>34374.300000000003</v>
      </c>
      <c r="KX15" s="75">
        <f t="array" ref="KX15">INDEX('Indices Mines Exporting Ports'!$R$20:$R$51,MATCH(2,1/(('Indices Mines Exporting Ports'!$D$20:$D$51&lt;=Main!$C15)*('Indices Mines Exporting Ports'!$Q$20:$Q$51=$AP15))))</f>
        <v>15000</v>
      </c>
      <c r="KY15" s="75">
        <f t="array" ref="KY15">INDEX('Indices Mines Exporting Ports'!$S$20:$S$51,MATCH(2,1/(('Indices Mines Exporting Ports'!$D$20:$D$51&lt;=Main!$C15)*('Indices Mines Exporting Ports'!$Q$20:$Q$51=$AP15))))</f>
        <v>15000</v>
      </c>
      <c r="KZ15" s="75">
        <f t="array" ref="KZ15">INDEX('Indices Mines Exporting Ports'!$T$20:$T$51,MATCH(2,1/(('Indices Mines Exporting Ports'!$D$20:$D$51&lt;=Main!$C15)*('Indices Mines Exporting Ports'!$Q$20:$Q$51=$AP15))))</f>
        <v>15000</v>
      </c>
      <c r="LA15" s="75">
        <f t="array" ref="LA15">INDEX('Indices Mines Exporting Ports'!$U$20:$U$51,MATCH(2,1/(('Indices Mines Exporting Ports'!$D$20:$D$51&lt;=Main!$C15)*('Indices Mines Exporting Ports'!$Q$20:$Q$51=$AP15))))</f>
        <v>15000</v>
      </c>
      <c r="LB15" s="75">
        <f t="array" ref="LB15">INDEX('Indices Mines Exporting Ports'!$V$20:$V$51,MATCH(2,1/(('Indices Mines Exporting Ports'!$D$20:$D$51&lt;=Main!$C15)*('Indices Mines Exporting Ports'!$Q$20:$Q$51=$AP15))))</f>
        <v>15000</v>
      </c>
      <c r="LC15" s="75">
        <f t="array" ref="LC15">INDEX('Indices Mines Exporting Ports'!$W$20:$W$51,MATCH(2,1/(('Indices Mines Exporting Ports'!$D$20:$D$51&lt;=Main!$C15)*('Indices Mines Exporting Ports'!$Q$20:$Q$51=$AP15))))</f>
        <v>15000</v>
      </c>
      <c r="LD15" s="75">
        <f t="array" ref="LD15">INDEX('Indices Mines Exporting Ports'!$X$20:$X$51,MATCH(2,1/(('Indices Mines Exporting Ports'!$D$20:$D$51&lt;=Main!$C15)*('Indices Mines Exporting Ports'!$Q$20:$Q$51=$AP15))))</f>
        <v>15000</v>
      </c>
      <c r="LF15" s="75">
        <f t="array" ref="LF15">INDEX('Port Linkages'!$E$18:$E$157,MATCH(2,1/(('Port Linkages'!$C$18:$C$157=$AP15)*('Port Linkages'!$D$18:$D$157=IF($AO15="Yes",$AQ15,$AS15))*('Port Linkages'!$A$18:$A$157&lt;=$C15))))</f>
        <v>2300</v>
      </c>
      <c r="LG15" s="75">
        <f t="array" ref="LG15">INDEX('Port Linkages'!$F$18:$F$157,MATCH(2,1/(('Port Linkages'!$C$18:$C$157=$AP15)*('Port Linkages'!$D$18:$D$157=IF($AO15="Yes",$AQ15,$AS15))*('Port Linkages'!$A$18:$A$157&lt;=$C15))))</f>
        <v>0</v>
      </c>
      <c r="LH15" s="75" t="str">
        <f t="array" ref="LH15">INDEX('Port Linkages'!$G$18:$G$157,MATCH(2,1/(('Port Linkages'!$C$18:$C$157=$AP15)*('Port Linkages'!$D$18:$D$157=IF($AO15="Yes",$AQ15,$AS15))*('Port Linkages'!$A$18:$A$157&lt;=$C15))))</f>
        <v>VLOC_General</v>
      </c>
      <c r="LI15" s="75" t="str">
        <f t="array" ref="LI15">INDEX('Port Linkages'!$H$18:$H$157,MATCH(2,1/(('Port Linkages'!$C$18:$C$157=$AP15)*('Port Linkages'!$D$18:$D$157=IF($AO15="Yes",$AQ15,$AS15))*('Port Linkages'!$A$18:$A$157&lt;=$C15))))</f>
        <v>Singapore</v>
      </c>
      <c r="LJ15" s="75" t="str">
        <f t="array" ref="LJ15">INDEX('Port Linkages'!$I$18:$I$157,MATCH(2,1/(('Port Linkages'!$C$18:$C$157=$AP15)*('Port Linkages'!$D$18:$D$157=IF($AO15="Yes",$AQ15,$AS15))*('Port Linkages'!$A$18:$A$157&lt;=$C15))))</f>
        <v>VLSFO</v>
      </c>
      <c r="LK15" s="75" t="str">
        <f t="array" ref="LK15">INDEX('Port Linkages'!$J$18:$J$157,MATCH(2,1/(('Port Linkages'!$C$18:$C$157=$AP15)*('Port Linkages'!$D$18:$D$157=IF($AO15="Yes",$AQ15,$AS15))*('Port Linkages'!$A$18:$A$157&lt;=$C15))))</f>
        <v>MGO_Regular</v>
      </c>
      <c r="LL15" s="75" t="str">
        <f t="array" ref="LL15">INDEX('Port Linkages'!$K$18:$K$157,MATCH(2,1/(('Port Linkages'!$C$18:$C$157=$AP15)*('Port Linkages'!$D$18:$D$157=IF($AO15="Yes",$AQ15,$AS15))*('Port Linkages'!$A$18:$A$157&lt;=$C15))))</f>
        <v>none</v>
      </c>
      <c r="LM15" s="75">
        <f t="array" ref="LM15">INDEX('Port Linkages'!$L$18:$L$157,MATCH(2,1/(('Port Linkages'!$C$18:$C$157=$AP15)*('Port Linkages'!$D$18:$D$157=IF($AO15="Yes",$AQ15,$AS15))*('Port Linkages'!$A$18:$A$157&lt;=$C15))))</f>
        <v>2300</v>
      </c>
      <c r="LN15" s="75">
        <f t="array" ref="LN15">INDEX('Port Linkages'!$M$18:$M$157,MATCH(2,1/(('Port Linkages'!$C$18:$C$157=$AP15)*('Port Linkages'!$D$18:$D$157=IF($AO15="Yes",$AQ15,$AS15))*('Port Linkages'!$A$18:$A$157&lt;=$C15))))</f>
        <v>0</v>
      </c>
      <c r="LO15" s="75" t="str">
        <f t="array" ref="LO15">INDEX('Port Linkages'!$N$18:$N$157,MATCH(2,1/(('Port Linkages'!$C$18:$C$157=$AP15)*('Port Linkages'!$D$18:$D$157=IF($AO15="Yes",$AQ15,$AS15))*('Port Linkages'!$A$18:$A$157&lt;=$C15))))</f>
        <v>Capesize_General</v>
      </c>
      <c r="LP15" s="75" t="str">
        <f t="array" ref="LP15">INDEX('Port Linkages'!$O$18:$O$157,MATCH(2,1/(('Port Linkages'!$C$18:$C$157=$AP15)*('Port Linkages'!$D$18:$D$157=IF($AO15="Yes",$AQ15,$AS15))*('Port Linkages'!$A$18:$A$157&lt;=$C15))))</f>
        <v>Singapore</v>
      </c>
      <c r="LQ15" s="75" t="str">
        <f t="array" ref="LQ15">INDEX('Port Linkages'!$P$18:$P$157,MATCH(2,1/(('Port Linkages'!$C$18:$C$157=$AP15)*('Port Linkages'!$D$18:$D$157=IF($AO15="Yes",$AQ15,$AS15))*('Port Linkages'!$A$18:$A$157&lt;=$C15))))</f>
        <v>VLSFO</v>
      </c>
      <c r="LR15" s="75" t="str">
        <f t="array" ref="LR15">INDEX('Port Linkages'!$Q$18:$Q$157,MATCH(2,1/(('Port Linkages'!$C$18:$C$157=$AP15)*('Port Linkages'!$D$18:$D$157=IF($AO15="Yes",$AQ15,$AS15))*('Port Linkages'!$A$18:$A$157&lt;=$C15))))</f>
        <v>MGO_Regular</v>
      </c>
      <c r="LS15" s="75" t="str">
        <f t="array" ref="LS15">INDEX('Port Linkages'!$R$18:$R$157,MATCH(2,1/(('Port Linkages'!$C$18:$C$157=$AP15)*('Port Linkages'!$D$18:$D$157=IF($AO15="Yes",$AQ15,$AS15))*('Port Linkages'!$A$18:$A$157&lt;=$C15))))</f>
        <v>none</v>
      </c>
      <c r="LT15" s="75">
        <f t="array" ref="LT15">INDEX('Port Linkages'!$S$18:$S$157,MATCH(2,1/(('Port Linkages'!$C$18:$C$157=$AP15)*('Port Linkages'!$D$18:$D$157=IF($AO15="Yes",$AQ15,$AS15))*('Port Linkages'!$A$18:$A$157&lt;=$C15))))</f>
        <v>2300</v>
      </c>
      <c r="LU15" s="75">
        <f t="array" ref="LU15">INDEX('Port Linkages'!$T$18:$T$157,MATCH(2,1/(('Port Linkages'!$C$18:$C$157=$AP15)*('Port Linkages'!$D$18:$D$157=IF($AO15="Yes",$AQ15,$AS15))*('Port Linkages'!$A$18:$A$157&lt;=$C15))))</f>
        <v>0</v>
      </c>
      <c r="LV15" s="75" t="str">
        <f t="array" ref="LV15">INDEX('Port Linkages'!$U$18:$U$157,MATCH(2,1/(('Port Linkages'!$C$18:$C$157=$AP15)*('Port Linkages'!$D$18:$D$157=IF($AO15="Yes",$AQ15,$AS15))*('Port Linkages'!$A$18:$A$157&lt;=$C15))))</f>
        <v>Capesize_General</v>
      </c>
      <c r="LW15" s="75" t="str">
        <f t="array" ref="LW15">INDEX('Port Linkages'!$V$18:$V$157,MATCH(2,1/(('Port Linkages'!$C$18:$C$157=$AP15)*('Port Linkages'!$D$18:$D$157=IF($AO15="Yes",$AQ15,$AS15))*('Port Linkages'!$A$18:$A$157&lt;=$C15))))</f>
        <v>Singapore</v>
      </c>
      <c r="LX15" s="75" t="str">
        <f t="array" ref="LX15">INDEX('Port Linkages'!$W$18:$W$157,MATCH(2,1/(('Port Linkages'!$C$18:$C$157=$AP15)*('Port Linkages'!$D$18:$D$157=IF($AO15="Yes",$AQ15,$AS15))*('Port Linkages'!$A$18:$A$157&lt;=$C15))))</f>
        <v>VLSFO</v>
      </c>
      <c r="LY15" s="75" t="str">
        <f t="array" ref="LY15">INDEX('Port Linkages'!$X$18:$X$157,MATCH(2,1/(('Port Linkages'!$C$18:$C$157=$AP15)*('Port Linkages'!$D$18:$D$157=IF($AO15="Yes",$AQ15,$AS15))*('Port Linkages'!$A$18:$A$157&lt;=$C15))))</f>
        <v>MGO_Regular</v>
      </c>
      <c r="LZ15" s="75" t="str">
        <f t="array" ref="LZ15">INDEX('Port Linkages'!$Y$18:$Y$157,MATCH(2,1/(('Port Linkages'!$C$18:$C$157=$AP15)*('Port Linkages'!$D$18:$D$157=IF($AO15="Yes",$AQ15,$AS15))*('Port Linkages'!$A$18:$A$157&lt;=$C15))))</f>
        <v>none</v>
      </c>
      <c r="MA15" s="75">
        <f t="array" ref="MA15">INDEX('Port Linkages'!$Z$18:$Z$157,MATCH(2,1/(('Port Linkages'!$C$18:$C$157=$AP15)*('Port Linkages'!$D$18:$D$157=IF($AO15="Yes",$AQ15,$AS15))*('Port Linkages'!$A$18:$A$157&lt;=$C15))))</f>
        <v>2300</v>
      </c>
      <c r="MB15" s="75">
        <f t="array" ref="MB15">INDEX('Port Linkages'!$AA$18:$AA$157,MATCH(2,1/(('Port Linkages'!$C$18:$C$157=$AP15)*('Port Linkages'!$D$18:$D$157=IF($AO15="Yes",$AQ15,$AS15))*('Port Linkages'!$A$18:$A$157&lt;=$C15))))</f>
        <v>0</v>
      </c>
      <c r="MC15" s="75" t="str">
        <f t="array" ref="MC15">INDEX('Port Linkages'!$AB$18:$AB$157,MATCH(2,1/(('Port Linkages'!$C$18:$C$157=$AP15)*('Port Linkages'!$D$18:$D$157=IF($AO15="Yes",$AQ15,$AS15))*('Port Linkages'!$A$18:$A$157&lt;=$C15))))</f>
        <v>Capesize_General</v>
      </c>
      <c r="MD15" s="75" t="str">
        <f t="array" ref="MD15">INDEX('Port Linkages'!$AC$18:$AC$157,MATCH(2,1/(('Port Linkages'!$C$18:$C$157=$AP15)*('Port Linkages'!$D$18:$D$157=IF($AO15="Yes",$AQ15,$AS15))*('Port Linkages'!$A$18:$A$157&lt;=$C15))))</f>
        <v>Singapore</v>
      </c>
      <c r="ME15" s="75" t="str">
        <f t="array" ref="ME15">INDEX('Port Linkages'!$AD$18:$AD$157,MATCH(2,1/(('Port Linkages'!$C$18:$C$157=$AP15)*('Port Linkages'!$D$18:$D$157=IF($AO15="Yes",$AQ15,$AS15))*('Port Linkages'!$A$18:$A$157&lt;=$C15))))</f>
        <v>VLSFO</v>
      </c>
      <c r="MF15" s="75" t="str">
        <f t="array" ref="MF15">INDEX('Port Linkages'!$AE$18:$AE$157,MATCH(2,1/(('Port Linkages'!$C$18:$C$157=$AP15)*('Port Linkages'!$D$18:$D$157=IF($AO15="Yes",$AQ15,$AS15))*('Port Linkages'!$A$18:$A$157&lt;=$C15))))</f>
        <v>MGO_Regular</v>
      </c>
      <c r="MG15" s="75" t="str">
        <f t="array" ref="MG15">INDEX('Port Linkages'!$AF$18:$AF$157,MATCH(2,1/(('Port Linkages'!$C$18:$C$157=$AP15)*('Port Linkages'!$D$18:$D$157=IF($AO15="Yes",$AQ15,$AS15))*('Port Linkages'!$A$18:$A$157&lt;=$C15))))</f>
        <v>none</v>
      </c>
      <c r="MH15" s="75">
        <f t="array" ref="MH15">INDEX('Port Linkages'!$AG$18:$AG$157,MATCH(2,1/(('Port Linkages'!$C$18:$C$157=$AP15)*('Port Linkages'!$D$18:$D$157=IF($AO15="Yes",$AQ15,$AS15))*('Port Linkages'!$A$18:$A$157&lt;=$C15))))</f>
        <v>2300</v>
      </c>
      <c r="MI15" s="75">
        <f t="array" ref="MI15">INDEX('Port Linkages'!$AH$18:$AH$157,MATCH(2,1/(('Port Linkages'!$C$18:$C$157=$AP15)*('Port Linkages'!$D$18:$D$157=IF($AO15="Yes",$AQ15,$AS15))*('Port Linkages'!$A$18:$A$157&lt;=$C15))))</f>
        <v>0</v>
      </c>
      <c r="MJ15" s="75" t="str">
        <f t="array" ref="MJ15">INDEX('Port Linkages'!$AI$18:$AI$157,MATCH(2,1/(('Port Linkages'!$C$18:$C$157=$AP15)*('Port Linkages'!$D$18:$D$157=IF($AO15="Yes",$AQ15,$AS15))*('Port Linkages'!$A$18:$A$157&lt;=$C15))))</f>
        <v>Panamax_General</v>
      </c>
      <c r="MK15" s="75" t="str">
        <f t="array" ref="MK15">INDEX('Port Linkages'!$AJ$18:$AJ$157,MATCH(2,1/(('Port Linkages'!$C$18:$C$157=$AP15)*('Port Linkages'!$D$18:$D$157=IF($AO15="Yes",$AQ15,$AS15))*('Port Linkages'!$A$18:$A$157&lt;=$C15))))</f>
        <v>Singapore</v>
      </c>
      <c r="ML15" s="75" t="str">
        <f t="array" ref="ML15">INDEX('Port Linkages'!$AK$18:$AK$157,MATCH(2,1/(('Port Linkages'!$C$18:$C$157=$AP15)*('Port Linkages'!$D$18:$D$157=IF($AO15="Yes",$AQ15,$AS15))*('Port Linkages'!$A$18:$A$157&lt;=$C15))))</f>
        <v>VLSFO</v>
      </c>
      <c r="MM15" s="75" t="str">
        <f t="array" ref="MM15">INDEX('Port Linkages'!$AL$18:$AL$157,MATCH(2,1/(('Port Linkages'!$C$18:$C$157=$AP15)*('Port Linkages'!$D$18:$D$157=IF($AO15="Yes",$AQ15,$AS15))*('Port Linkages'!$A$18:$A$157&lt;=$C15))))</f>
        <v>MGO_Regular</v>
      </c>
      <c r="MN15" s="75" t="str">
        <f t="array" ref="MN15">INDEX('Port Linkages'!$AM$18:$AM$157,MATCH(2,1/(('Port Linkages'!$C$18:$C$157=$AP15)*('Port Linkages'!$D$18:$D$157=IF($AO15="Yes",$AQ15,$AS15))*('Port Linkages'!$A$18:$A$157&lt;=$C15))))</f>
        <v>none</v>
      </c>
      <c r="MO15" s="75">
        <f t="array" ref="MO15">INDEX('Port Linkages'!$AN$18:$AN$157,MATCH(2,1/(('Port Linkages'!$C$18:$C$157=$AP15)*('Port Linkages'!$D$18:$D$157=IF($AO15="Yes",$AQ15,$AS15))*('Port Linkages'!$A$18:$A$157&lt;=$C15))))</f>
        <v>2300</v>
      </c>
      <c r="MP15" s="75">
        <f t="array" ref="MP15">INDEX('Port Linkages'!$AO$18:$AO$157,MATCH(2,1/(('Port Linkages'!$C$18:$C$157=$AP15)*('Port Linkages'!$D$18:$D$157=IF($AO15="Yes",$AQ15,$AS15))*('Port Linkages'!$A$18:$A$157&lt;=$C15))))</f>
        <v>0</v>
      </c>
      <c r="MQ15" s="75" t="str">
        <f t="array" ref="MQ15">INDEX('Port Linkages'!$AP$18:$AP$157,MATCH(2,1/(('Port Linkages'!$C$18:$C$157=$AP15)*('Port Linkages'!$D$18:$D$157=IF($AO15="Yes",$AQ15,$AS15))*('Port Linkages'!$A$18:$A$157&lt;=$C15))))</f>
        <v>Supramax_General</v>
      </c>
      <c r="MR15" s="75" t="str">
        <f t="array" ref="MR15">INDEX('Port Linkages'!$AQ$18:$AQ$157,MATCH(2,1/(('Port Linkages'!$C$18:$C$157=$AP15)*('Port Linkages'!$D$18:$D$157=IF($AO15="Yes",$AQ15,$AS15))*('Port Linkages'!$A$18:$A$157&lt;=$C15))))</f>
        <v>Singapore</v>
      </c>
      <c r="MS15" s="75" t="str">
        <f t="array" ref="MS15">INDEX('Port Linkages'!$AR$18:$AR$157,MATCH(2,1/(('Port Linkages'!$C$18:$C$157=$AP15)*('Port Linkages'!$D$18:$D$157=IF($AO15="Yes",$AQ15,$AS15))*('Port Linkages'!$A$18:$A$157&lt;=$C15))))</f>
        <v>VLSFO</v>
      </c>
      <c r="MT15" s="75" t="str">
        <f t="array" ref="MT15">INDEX('Port Linkages'!$AS$18:$AS$157,MATCH(2,1/(('Port Linkages'!$C$18:$C$157=$AP15)*('Port Linkages'!$D$18:$D$157=IF($AO15="Yes",$AQ15,$AS15))*('Port Linkages'!$A$18:$A$157&lt;=$C15))))</f>
        <v>MGO_Regular</v>
      </c>
      <c r="MU15" s="75" t="str">
        <f t="array" ref="MU15">INDEX('Port Linkages'!$AT$18:$AT$157,MATCH(2,1/(('Port Linkages'!$C$18:$C$157=$AP15)*('Port Linkages'!$D$18:$D$157=IF($AO15="Yes",$AQ15,$AS15))*('Port Linkages'!$A$18:$A$157&lt;=$C15))))</f>
        <v>none</v>
      </c>
      <c r="MV15" s="75">
        <f t="array" ref="MV15">INDEX('Port Linkages'!$AU$18:$AU$157,MATCH(2,1/(('Port Linkages'!$C$18:$C$157=$AP15)*('Port Linkages'!$D$18:$D$157=IF($AO15="Yes",$AQ15,$AS15))*('Port Linkages'!$A$18:$A$157&lt;=$C15))))</f>
        <v>2300</v>
      </c>
      <c r="MW15" s="75">
        <f t="array" ref="MW15">INDEX('Port Linkages'!$AV$18:$AV$157,MATCH(2,1/(('Port Linkages'!$C$18:$C$157=$AP15)*('Port Linkages'!$D$18:$D$157=IF($AO15="Yes",$AQ15,$AS15))*('Port Linkages'!$A$18:$A$157&lt;=$C15))))</f>
        <v>0</v>
      </c>
      <c r="MX15" s="75" t="str">
        <f t="array" ref="MX15">INDEX('Port Linkages'!$AW$18:$AW$157,MATCH(2,1/(('Port Linkages'!$C$18:$C$157=$AP15)*('Port Linkages'!$D$18:$D$157=IF($AO15="Yes",$AQ15,$AS15))*('Port Linkages'!$A$18:$A$157&lt;=$C15))))</f>
        <v>Handysize_General</v>
      </c>
      <c r="MY15" s="75" t="str">
        <f t="array" ref="MY15">INDEX('Port Linkages'!$AX$18:$AX$157,MATCH(2,1/(('Port Linkages'!$C$18:$C$157=$AP15)*('Port Linkages'!$D$18:$D$157=IF($AO15="Yes",$AQ15,$AS15))*('Port Linkages'!$A$18:$A$157&lt;=$C15))))</f>
        <v>Singapore</v>
      </c>
      <c r="MZ15" s="75" t="str">
        <f t="array" ref="MZ15">INDEX('Port Linkages'!$AY$18:$AY$157,MATCH(2,1/(('Port Linkages'!$C$18:$C$157=$AP15)*('Port Linkages'!$D$18:$D$157=IF($AO15="Yes",$AQ15,$AS15))*('Port Linkages'!$A$18:$A$157&lt;=$C15))))</f>
        <v>VLSFO</v>
      </c>
      <c r="NA15" s="75" t="str">
        <f t="array" ref="NA15">INDEX('Port Linkages'!$AZ$18:$AZ$157,MATCH(2,1/(('Port Linkages'!$C$18:$C$157=$AP15)*('Port Linkages'!$D$18:$D$157=IF($AO15="Yes",$AQ15,$AS15))*('Port Linkages'!$A$18:$A$157&lt;=$C15))))</f>
        <v>MGO_Regular</v>
      </c>
      <c r="NB15" s="75" t="str">
        <f t="array" ref="NB15">INDEX('Port Linkages'!$BA$18:$BA$157,MATCH(2,1/(('Port Linkages'!$C$18:$C$157=$AP15)*('Port Linkages'!$D$18:$D$157=IF($AO15="Yes",$AQ15,$AS15))*('Port Linkages'!$A$18:$A$157&lt;=$C15))))</f>
        <v>none</v>
      </c>
      <c r="ND15" s="25" t="e">
        <f t="array" aca="1" ref="ND15" ca="1">INDEX('Ship Fuel Prices'!$F$5:$F$1004,MATCH(2,1/(('Ship Fuel Prices'!$E$5:$E$1004=_xlfn.IFS(KS15="Handysize",Main!MY15,KS15="Supramax",MR15,KS15="Panamax",MK15,KS15="NeoPanamax",MD15,KS15="Suezmax",LW15,KS15="Capesize",LP15,KS15="VLOC",LI15))*('Ship Fuel Prices'!$D$5:$D$1004&lt;=Main!$C15))))</f>
        <v>#N/A</v>
      </c>
      <c r="NE15" s="25" t="e">
        <f t="array" aca="1" ref="NE15" ca="1">INDEX('Ship Fuel Prices'!$G$5:$G$1004,MATCH(2,1/(('Ship Fuel Prices'!$E$5:$E$1004=_xlfn.IFS(KS15="Handysize",Main!MY15,KS15="Supramax",MR15,KS15="Panamax",MK15,KS15="NeoPanamax",MD15,KS15="Suezmax",LW15,KS15="Capesize",LP15,KS15="VLOC",LI15))*('Ship Fuel Prices'!$D$5:$D$1004&lt;=Main!$C15))))</f>
        <v>#N/A</v>
      </c>
      <c r="NF15" s="25" t="e">
        <f t="array" aca="1" ref="NF15" ca="1">INDEX('Ship Fuel Prices'!$H$5:$H$1004,MATCH(2,1/(('Ship Fuel Prices'!$E$5:$E$1004=_xlfn.IFS(KS15="Handysize",Main!MY15,KS15="Supramax",MR15,KS15="Panamax",MK15,KS15="NeoPanamax",MD15,KS15="Suezmax",LW15,KS15="Capesize",LP15,KS15="VLOC",LI15))*('Ship Fuel Prices'!$D$5:$D$1004&lt;=Main!$C15))))</f>
        <v>#N/A</v>
      </c>
      <c r="NG15" s="25" t="e">
        <f t="array" aca="1" ref="NG15" ca="1">INDEX('Ship Fuel Prices'!$I$5:$I$1004,MATCH(2,1/(('Ship Fuel Prices'!$E$5:$E$1004=_xlfn.IFS(KS15="Handysize",Main!MY15,KS15="Supramax",MR15,KS15="Panamax",MK15,KS15="NeoPanamax",MD15,KS15="Suezmax",LW15,KS15="Capesize",LP15,KS15="VLOC",LI15))*('Ship Fuel Prices'!$D$5:$D$1004&lt;=Main!$C15))))</f>
        <v>#N/A</v>
      </c>
      <c r="NH15" s="25" t="e">
        <f t="array" aca="1" ref="NH15" ca="1">INDEX('Ship Fuel Prices'!$J$5:$J$1004,MATCH(2,1/(('Ship Fuel Prices'!$E$5:$E$1004=_xlfn.IFS(KS15="Handysize",Main!MY15,KS15="Supramax",MR15,KS15="Panamax",MK15,KS15="NeoPanamax",MD15,KS15="Suezmax",LW15,KS15="Capesize",LP15,KS15="VLOC",LI15))*('Ship Fuel Prices'!$D$5:$D$1004&lt;=Main!$C15))))</f>
        <v>#N/A</v>
      </c>
      <c r="NJ15" s="75">
        <f t="array" ref="NJ15">INDEX('China n Importing Ports'!$E$20:$E$41,MATCH(2,1/(('China n Importing Ports'!$D$20:$D$41&lt;=$C15)*('China n Importing Ports'!$C$20:$C$41=IF($AO15="Yes",$AQ15,$AS15)))))</f>
        <v>42500</v>
      </c>
      <c r="NK15" s="75">
        <f t="array" ref="NK15">INDEX('China n Importing Ports'!$F$20:$F$41,MATCH(2,1/(('China n Importing Ports'!$D$20:$D$41&lt;=$C15)*('China n Importing Ports'!$C$20:$C$41=IF($AO15="Yes",$AQ15,$AS15)))))</f>
        <v>42500</v>
      </c>
      <c r="NL15" s="75">
        <f t="array" ref="NL15">INDEX('China n Importing Ports'!$G$20:$G$41,MATCH(2,1/(('China n Importing Ports'!$D$20:$D$41&lt;=$C15)*('China n Importing Ports'!$C$20:$C$41=IF($AO15="Yes",$AQ15,$AS15)))))</f>
        <v>42500</v>
      </c>
      <c r="NM15" s="75">
        <f t="array" ref="NM15">INDEX('China n Importing Ports'!$H$20:$H$41,MATCH(2,1/(('China n Importing Ports'!$D$20:$D$41&lt;=$C15)*('China n Importing Ports'!$C$20:$C$41=IF($AO15="Yes",$AQ15,$AS15)))))</f>
        <v>42500</v>
      </c>
      <c r="NN15" s="75">
        <f t="array" ref="NN15">INDEX('China n Importing Ports'!$I$20:$I$41,MATCH(2,1/(('China n Importing Ports'!$D$20:$D$41&lt;=$C15)*('China n Importing Ports'!$C$20:$C$41=IF($AO15="Yes",$AQ15,$AS15)))))</f>
        <v>42500</v>
      </c>
      <c r="NO15" s="75">
        <f t="array" ref="NO15">INDEX('China n Importing Ports'!$J$20:$J$41,MATCH(2,1/(('China n Importing Ports'!$D$20:$D$41&lt;=$C15)*('China n Importing Ports'!$C$20:$C$41=IF($AO15="Yes",$AQ15,$AS15)))))</f>
        <v>42500</v>
      </c>
      <c r="NP15" s="75">
        <f t="array" ref="NP15">INDEX('China n Importing Ports'!$K$20:$K$41,MATCH(2,1/(('China n Importing Ports'!$D$20:$D$41&lt;=$C15)*('China n Importing Ports'!$C$20:$C$41=IF($AO15="Yes",$AQ15,$AS15)))))</f>
        <v>42500</v>
      </c>
      <c r="NQ15" s="75" t="str">
        <f t="array" ref="NQ15">INDEX('China n Importing Ports'!$L$20:$L$41,MATCH(2,1/(('China n Importing Ports'!$D$20:$D$41&lt;=$C15)*('China n Importing Ports'!$C$20:$C$41=IF($AO15="Yes",$AQ15,$AS15)))))</f>
        <v>RMB</v>
      </c>
      <c r="NR15" s="75">
        <f t="array" ref="NR15">INDEX('China n Importing Ports'!$M$20:$M$41,MATCH(2,1/(('China n Importing Ports'!$D$20:$D$41&lt;=$C15)*('China n Importing Ports'!$C$20:$C$41=IF($AO15="Yes",$AQ15,$AS15)))))</f>
        <v>12342</v>
      </c>
      <c r="NS15" s="75">
        <f t="array" ref="NS15">INDEX('China n Importing Ports'!$N$20:$N$41,MATCH(2,1/(('China n Importing Ports'!$D$20:$D$41&lt;=$C15)*('China n Importing Ports'!$C$20:$C$41=IF($AO15="Yes",$AQ15,$AS15)))))</f>
        <v>0</v>
      </c>
      <c r="NT15" s="75">
        <f t="array" ref="NT15">INDEX('China n Importing Ports'!$O$20:$O$41,MATCH(2,1/(('China n Importing Ports'!$D$20:$D$41&lt;=$C15)*('China n Importing Ports'!$C$20:$C$41=IF($AO15="Yes",$AQ15,$AS15)))))</f>
        <v>0</v>
      </c>
      <c r="NU15" s="136">
        <f t="array" ref="NU15">INDEX('China n Importing Ports'!$P$20:$P$41,MATCH(2,1/(('China n Importing Ports'!$D$20:$D$41&lt;=$C15)*('China n Importing Ports'!$C$20:$C$41=IF($AO15="Yes",$AQ15,$AS15)))))</f>
        <v>2.64</v>
      </c>
      <c r="NV15" s="136">
        <f t="array" ref="NV15">INDEX('China n Importing Ports'!$Q$20:$Q$41,MATCH(2,1/(('China n Importing Ports'!$D$20:$D$41&lt;=$C15)*('China n Importing Ports'!$C$20:$C$41=IF($AO15="Yes",$AQ15,$AS15)))))</f>
        <v>0</v>
      </c>
      <c r="NW15" s="136">
        <f t="array" ref="NW15">INDEX('China n Importing Ports'!$R$20:$R$41,MATCH(2,1/(('China n Importing Ports'!$D$20:$D$41&lt;=$C15)*('China n Importing Ports'!$C$20:$C$41=IF($AO15="Yes",$AQ15,$AS15)))))</f>
        <v>0</v>
      </c>
      <c r="NX15" s="136">
        <f t="array" ref="NX15">INDEX('China n Importing Ports'!$S$20:$S$41,MATCH(2,1/(('China n Importing Ports'!$D$20:$D$41&lt;=$C15)*('China n Importing Ports'!$C$20:$C$41=IF($AO15="Yes",$AQ15,$AS15)))))</f>
        <v>4.53</v>
      </c>
      <c r="NY15" s="136">
        <f t="array" ref="NY15">INDEX('China n Importing Ports'!$T$20:$T$41,MATCH(2,1/(('China n Importing Ports'!$D$20:$D$41&lt;=$C15)*('China n Importing Ports'!$C$20:$C$41=IF($AO15="Yes",$AQ15,$AS15)))))</f>
        <v>0.36699999999999999</v>
      </c>
      <c r="NZ15" s="136">
        <f t="array" ref="NZ15">INDEX('China n Importing Ports'!$U$20:$U$41,MATCH(2,1/(('China n Importing Ports'!$D$20:$D$41&lt;=$C15)*('China n Importing Ports'!$C$20:$C$41=IF($AO15="Yes",$AQ15,$AS15)))))</f>
        <v>0.05</v>
      </c>
      <c r="OA15" s="136">
        <f t="array" ref="OA15">INDEX('China n Importing Ports'!$V$20:$V$41,MATCH(2,1/(('China n Importing Ports'!$D$20:$D$41&lt;=$C15)*('China n Importing Ports'!$C$20:$C$41=IF($AO15="Yes",$AQ15,$AS15)))))</f>
        <v>0</v>
      </c>
      <c r="OB15" s="136">
        <f t="array" ref="OB15">INDEX('China n Importing Ports'!$W$20:$W$41,MATCH(2,1/(('China n Importing Ports'!$D$20:$D$41&lt;=$C15)*('China n Importing Ports'!$C$20:$C$41=IF($AO15="Yes",$AQ15,$AS15)))))</f>
        <v>0</v>
      </c>
      <c r="OC15" s="136">
        <f t="array" ref="OC15">INDEX('China n Importing Ports'!$X$20:$X$41,MATCH(2,1/(('China n Importing Ports'!$D$20:$D$41&lt;=$C15)*('China n Importing Ports'!$C$20:$C$41=IF($AO15="Yes",$AQ15,$AS15)))))</f>
        <v>0</v>
      </c>
      <c r="OD15" s="136">
        <f t="array" ref="OD15">INDEX('China n Importing Ports'!$Y$20:$Y$41,MATCH(2,1/(('China n Importing Ports'!$D$20:$D$41&lt;=$C15)*('China n Importing Ports'!$C$20:$C$41=IF($AO15="Yes",$AQ15,$AS15)))))</f>
        <v>197</v>
      </c>
      <c r="OE15" s="136">
        <f t="array" ref="OE15">INDEX('China n Importing Ports'!$Z$20:$Z$41,MATCH(2,1/(('China n Importing Ports'!$D$20:$D$41&lt;=$C15)*('China n Importing Ports'!$C$20:$C$41=IF($AO15="Yes",$AQ15,$AS15)))))</f>
        <v>0</v>
      </c>
      <c r="OF15" s="136">
        <f t="array" ref="OF15">INDEX('China n Importing Ports'!$AA$20:$AA$41,MATCH(2,1/(('China n Importing Ports'!$D$20:$D$41&lt;=$C15)*('China n Importing Ports'!$C$20:$C$41=IF($AO15="Yes",$AQ15,$AS15)))))</f>
        <v>0</v>
      </c>
      <c r="OH15" s="75" t="e">
        <f t="array" aca="1" ref="OH15" ca="1">INDEX(Canals!$G$24:$G$29,MATCH(2,1/((Canals!$F$24:$F$29&lt;=$C15)*(Canals!$G$24:$G$29=_xlfn.IFS(KS15="Handysize",Main!NB15,KS15="Supramax",MU15,KS15="Panamax",MN15,KS15="NeoPanamax",MG15,KS15="Suezmax",LZ15,KS15="Capesize",LS15,KS15="VLOC",LL15)))))</f>
        <v>#N/A</v>
      </c>
      <c r="OI15" s="75" t="e">
        <f t="array" aca="1" ref="OI15" ca="1">INDEX(Canals!$H$24:$H$29,MATCH(2,1/((Canals!$F$24:$F$29&lt;=$C15)*(Canals!$G$24:$G$29=_xlfn.IFS(KS15="Handysize",Main!NB15,KS15="Supramax",MU15,KS15="Panamax",MN15,KS15="NeoPanamax",MG15,KS15="Suezmax",LZ15,KS15="Capesize",LS15,KS15="VLOC",LL15)))))</f>
        <v>#N/A</v>
      </c>
      <c r="OJ15" s="75" t="e">
        <f t="array" aca="1" ref="OJ15" ca="1">INDEX(Canals!$I$24:$I$29,MATCH(2,1/((Canals!$F$24:$F$29&lt;=$C15)*(Canals!$G$24:$G$29=_xlfn.IFS(KS15="Handysize",Main!NB15,KS15="Supramax",MU15,KS15="Panamax",MN15,KS15="NeoPanamax",MG15,KS15="Suezmax",LZ15,KS15="Capesize",LS15,KS15="VLOC",LL15)))))</f>
        <v>#N/A</v>
      </c>
      <c r="OK15" s="75" t="e">
        <f t="array" aca="1" ref="OK15" ca="1">INDEX(Canals!$J$24:$J$29,MATCH(2,1/((Canals!$F$24:$F$29&lt;=$C15)*(Canals!$G$24:$G$29=_xlfn.IFS(KS15="Handysize",Main!NB15,KS15="Supramax",MU15,KS15="Panamax",MN15,KS15="NeoPanamax",MG15,KS15="Suezmax",LZ15,KS15="Capesize",LS15,KS15="VLOC",LL15)))))</f>
        <v>#N/A</v>
      </c>
      <c r="OL15" s="75" t="e">
        <f t="array" aca="1" ref="OL15" ca="1">INDEX(Canals!$K$24:$K$29,MATCH(2,1/((Canals!$F$24:$F$29&lt;=$C15)*(Canals!$G$24:$G$29=_xlfn.IFS(KS15="Handysize",Main!NB15,KS15="Supramax",MU15,KS15="Panamax",MN15,KS15="NeoPanamax",MG15,KS15="Suezmax",LZ15,KS15="Capesize",LS15,KS15="VLOC",LL15)))))</f>
        <v>#N/A</v>
      </c>
      <c r="OM15" s="75" t="e">
        <f t="array" aca="1" ref="OM15" ca="1">INDEX(Canals!$L$24:$L$29,MATCH(2,1/((Canals!$F$24:$F$29&lt;=$C15)*(Canals!$G$24:$G$29=_xlfn.IFS(KS15="Handysize",Main!NB15,KS15="Supramax",MU15,KS15="Panamax",MN15,KS15="NeoPanamax",MG15,KS15="Suezmax",LZ15,KS15="Capesize",LS15,KS15="VLOC",LL15)))))</f>
        <v>#N/A</v>
      </c>
      <c r="ON15" s="75" t="e">
        <f t="array" aca="1" ref="ON15" ca="1">INDEX(Canals!$M$24:$M$29,MATCH(2,1/((Canals!$F$24:$F$29&lt;=$C15)*(Canals!$G$24:$G$29=_xlfn.IFS(KS15="Handysize",Main!NB15,KS15="Supramax",MU15,KS15="Panamax",MN15,KS15="NeoPanamax",MG15,KS15="Suezmax",LZ15,KS15="Capesize",LS15,KS15="VLOC",LL15)))))</f>
        <v>#N/A</v>
      </c>
      <c r="OO15" s="75" t="e">
        <f t="array" aca="1" ref="OO15" ca="1">INDEX(Canals!$N$24:$N$29,MATCH(2,1/((Canals!$F$24:$F$29&lt;=$C15)*(Canals!$G$24:$G$29=_xlfn.IFS(KS15="Handysize",Main!NB15,KS15="Supramax",MU15,KS15="Panamax",MN15,KS15="NeoPanamax",MG15,KS15="Suezmax",LZ15,KS15="Capesize",LS15,KS15="VLOC",LL15)))))</f>
        <v>#N/A</v>
      </c>
      <c r="OP15" s="75" t="e">
        <f t="array" aca="1" ref="OP15" ca="1">INDEX(Canals!$O$24:$O$29,MATCH(2,1/((Canals!$F$24:$F$29&lt;=$C15)*(Canals!$G$24:$G$29=_xlfn.IFS(KS15="Handysize",Main!NB15,KS15="Supramax",MU15,KS15="Panamax",MN15,KS15="NeoPanamax",MG15,KS15="Suezmax",LZ15,KS15="Capesize",LS15,KS15="VLOC",LL15)))))</f>
        <v>#N/A</v>
      </c>
      <c r="OQ15" s="75" t="e">
        <f t="array" aca="1" ref="OQ15" ca="1">INDEX(Canals!$P$24:$P$29,MATCH(2,1/((Canals!$F$24:$F$29&lt;=$C15)*(Canals!$G$24:$G$29=_xlfn.IFS(KS15="Handysize",Main!NB15,KS15="Supramax",MU15,KS15="Panamax",MN15,KS15="NeoPanamax",MG15,KS15="Suezmax",LZ15,KS15="Capesize",LS15,KS15="VLOC",LL15)))))</f>
        <v>#N/A</v>
      </c>
      <c r="OR15" s="75" t="e">
        <f t="array" aca="1" ref="OR15" ca="1">INDEX(Canals!$Q$24:$Q$29,MATCH(2,1/((Canals!$F$24:$F$29&lt;=$C15)*(Canals!$G$24:$G$29=_xlfn.IFS(KS15="Handysize",Main!NB15,KS15="Supramax",MU15,KS15="Panamax",MN15,KS15="NeoPanamax",MG15,KS15="Suezmax",LZ15,KS15="Capesize",LS15,KS15="VLOC",LL15)))))</f>
        <v>#N/A</v>
      </c>
      <c r="OS15" s="75" t="e">
        <f t="array" aca="1" ref="OS15" ca="1">INDEX(Canals!$R$24:$R$29,MATCH(2,1/((Canals!$F$24:$F$29&lt;=$C15)*(Canals!$G$24:$G$29=_xlfn.IFS(KS15="Handysize",Main!NB15,KS15="Supramax",MU15,KS15="Panamax",MN15,KS15="NeoPanamax",MG15,KS15="Suezmax",LZ15,KS15="Capesize",LS15,KS15="VLOC",LL15)))))</f>
        <v>#N/A</v>
      </c>
      <c r="OT15" s="136" t="e">
        <f t="array" aca="1" ref="OT15" ca="1">INDEX(Canals!$S$24:$S$29,MATCH(2,1/((Canals!$F$24:$F$29&lt;=$C15)*(Canals!$G$24:$G$29=_xlfn.IFS(KS15="Handysize",Main!NB15,KS15="Supramax",MU15,KS15="Panamax",MN15,KS15="NeoPanamax",MG15,KS15="Suezmax",LZ15,KS15="Capesize",LS15,KS15="VLOC",LL15)))))</f>
        <v>#N/A</v>
      </c>
      <c r="OU15" s="136" t="e">
        <f t="array" aca="1" ref="OU15" ca="1">INDEX(Canals!$T$24:$T$29,MATCH(2,1/((Canals!$F$24:$F$29&lt;=$C15)*(Canals!$G$24:$G$29=_xlfn.IFS(KS15="Handysize",Main!NB15,KS15="Supramax",MU15,KS15="Panamax",MN15,KS15="NeoPanamax",MG15,KS15="Suezmax",LZ15,KS15="Capesize",LS15,KS15="VLOC",LL15)))))</f>
        <v>#N/A</v>
      </c>
      <c r="OV15" s="136" t="e">
        <f t="array" aca="1" ref="OV15" ca="1">INDEX(Canals!$U$24:$U$29,MATCH(2,1/((Canals!$F$24:$F$29&lt;=$C15)*(Canals!$G$24:$G$29=_xlfn.IFS(KS15="Handysize",Main!NB15,KS15="Supramax",MU15,KS15="Panamax",MN15,KS15="NeoPanamax",MG15,KS15="Suezmax",LZ15,KS15="Capesize",LS15,KS15="VLOC",LL15)))))</f>
        <v>#N/A</v>
      </c>
      <c r="OW15" s="136" t="e">
        <f t="array" aca="1" ref="OW15" ca="1">INDEX(Canals!$V$24:$V$29,MATCH(2,1/((Canals!$F$24:$F$29&lt;=$C15)*(Canals!$G$24:$G$29=_xlfn.IFS(KS15="Handysize",Main!NB15,KS15="Supramax",MU15,KS15="Panamax",MN15,KS15="NeoPanamax",MG15,KS15="Suezmax",LZ15,KS15="Capesize",LS15,KS15="VLOC",LL15)))))</f>
        <v>#N/A</v>
      </c>
      <c r="OX15" s="136" t="e">
        <f t="array" aca="1" ref="OX15" ca="1">INDEX(Canals!$W$24:$W$29,MATCH(2,1/((Canals!$F$24:$F$29&lt;=$C15)*(Canals!$G$24:$G$29=_xlfn.IFS(KS15="Handysize",Main!NB15,KS15="Supramax",MU15,KS15="Panamax",MN15,KS15="NeoPanamax",MG15,KS15="Suezmax",LZ15,KS15="Capesize",LS15,KS15="VLOC",LL15)))))</f>
        <v>#N/A</v>
      </c>
      <c r="OY15" s="136" t="e">
        <f t="array" aca="1" ref="OY15" ca="1">INDEX(Canals!$X$24:$X$29,MATCH(2,1/((Canals!$F$24:$F$29&lt;=$C15)*(Canals!$G$24:$G$29=_xlfn.IFS(KS15="Handysize",Main!NB15,KS15="Supramax",MU15,KS15="Panamax",MN15,KS15="NeoPanamax",MG15,KS15="Suezmax",LZ15,KS15="Capesize",LS15,KS15="VLOC",LL15)))))</f>
        <v>#N/A</v>
      </c>
      <c r="OZ15" s="136" t="e">
        <f t="array" aca="1" ref="OZ15" ca="1">INDEX(Canals!$Y$24:$Y$29,MATCH(2,1/((Canals!$F$24:$F$29&lt;=$C15)*(Canals!$G$24:$G$29=_xlfn.IFS(KS15="Handysize",Main!NB15,KS15="Supramax",MU15,KS15="Panamax",MN15,KS15="NeoPanamax",MG15,KS15="Suezmax",LZ15,KS15="Capesize",LS15,KS15="VLOC",LL15)))))</f>
        <v>#N/A</v>
      </c>
      <c r="PA15" s="136" t="e">
        <f t="array" aca="1" ref="PA15" ca="1">INDEX(Canals!$Z$24:$Z$29,MATCH(2,1/((Canals!$F$24:$F$29&lt;=$C15)*(Canals!$G$24:$G$29=_xlfn.IFS(KS15="Handysize",Main!NB15,KS15="Supramax",MU15,KS15="Panamax",MN15,KS15="NeoPanamax",MG15,KS15="Suezmax",LZ15,KS15="Capesize",LS15,KS15="VLOC",LL15)))))</f>
        <v>#N/A</v>
      </c>
      <c r="PB15" s="136" t="e">
        <f t="array" aca="1" ref="PB15" ca="1">INDEX(Canals!$AA$24:$AA$29,MATCH(2,1/((Canals!$F$24:$F$29&lt;=$C15)*(Canals!$G$24:$G$29=_xlfn.IFS(KS15="Handysize",Main!NB15,KS15="Supramax",MU15,KS15="Panamax",MN15,KS15="NeoPanamax",MG15,KS15="Suezmax",LZ15,KS15="Capesize",LS15,KS15="VLOC",LL15)))))</f>
        <v>#N/A</v>
      </c>
      <c r="PC15" s="136" t="e">
        <f t="array" aca="1" ref="PC15" ca="1">INDEX(Canals!$AB$24:$AB$29,MATCH(2,1/((Canals!$F$24:$F$29&lt;=$C15)*(Canals!$G$24:$G$29=_xlfn.IFS(KS15="Handysize",Main!NB15,KS15="Supramax",MU15,KS15="Panamax",MN15,KS15="NeoPanamax",MG15,KS15="Suezmax",LZ15,KS15="Capesize",LS15,KS15="VLOC",LL15)))))</f>
        <v>#N/A</v>
      </c>
      <c r="PD15" s="75" t="e">
        <f t="array" aca="1" ref="PD15" ca="1">INDEX(Canals!$AC$24:$AC$29,MATCH(2,1/((Canals!$F$24:$F$29&lt;=$C15)*(Canals!$G$24:$G$29=_xlfn.IFS(KS15="Handysize",Main!NB15,KS15="Supramax",MU15,KS15="Panamax",MN15,KS15="NeoPanamax",MG15,KS15="Suezmax",LZ15,KS15="Capesize",LS15,KS15="VLOC",LL15)))))</f>
        <v>#N/A</v>
      </c>
      <c r="PE15" s="75" t="e">
        <f t="array" aca="1" ref="PE15" ca="1">INDEX(Canals!$AD$24:$AD$29,MATCH(2,1/((Canals!$F$24:$F$29&lt;=$C15)*(Canals!$G$24:$G$29=_xlfn.IFS(KS15="Handysize",Main!NB15,KS15="Supramax",MU15,KS15="Panamax",MN15,KS15="NeoPanamax",MG15,KS15="Suezmax",LZ15,KS15="Capesize",LS15,KS15="VLOC",LL15)))))</f>
        <v>#N/A</v>
      </c>
      <c r="PF15" s="75" t="e">
        <f t="array" aca="1" ref="PF15" ca="1">INDEX(Canals!$AE$24:$AE$29,MATCH(2,1/((Canals!$F$24:$F$29&lt;=$C15)*(Canals!$G$24:$G$29=_xlfn.IFS(KS15="Handysize",Main!NB15,KS15="Supramax",MU15,KS15="Panamax",MN15,KS15="NeoPanamax",MG15,KS15="Suezmax",LZ15,KS15="Capesize",LS15,KS15="VLOC",LL15)))))</f>
        <v>#N/A</v>
      </c>
      <c r="PG15" s="75" t="e">
        <f t="array" aca="1" ref="PG15" ca="1">INDEX(Canals!$AF$24:$AF$29,MATCH(2,1/((Canals!$F$24:$F$29&lt;=$C15)*(Canals!$G$24:$G$29=_xlfn.IFS(KS15="Handysize",Main!NB15,KS15="Supramax",MU15,KS15="Panamax",MN15,KS15="NeoPanamax",MG15,KS15="Suezmax",LZ15,KS15="Capesize",LS15,KS15="VLOC",LL15)))))</f>
        <v>#N/A</v>
      </c>
      <c r="PH15" s="75" t="e">
        <f t="array" aca="1" ref="PH15" ca="1">INDEX(Canals!$AG$24:$AG$29,MATCH(2,1/((Canals!$F$24:$F$29&lt;=$C15)*(Canals!$G$24:$G$29=_xlfn.IFS(KS15="Handysize",Main!NB15,KS15="Supramax",MU15,KS15="Panamax",MN15,KS15="NeoPanamax",MG15,KS15="Suezmax",LZ15,KS15="Capesize",LS15,KS15="VLOC",LL15)))))</f>
        <v>#N/A</v>
      </c>
      <c r="PI15" s="75" t="e">
        <f t="array" aca="1" ref="PI15" ca="1">INDEX(Canals!$AH$24:$AH$29,MATCH(2,1/((Canals!$F$24:$F$29&lt;=$C15)*(Canals!$G$24:$G$29=_xlfn.IFS(KS15="Handysize",Main!NB15,KS15="Supramax",MU15,KS15="Panamax",MN15,KS15="NeoPanamax",MG15,KS15="Suezmax",LZ15,KS15="Capesize",LS15,KS15="VLOC",LL15)))))</f>
        <v>#N/A</v>
      </c>
      <c r="PJ15" s="75" t="e">
        <f t="array" aca="1" ref="PJ15" ca="1">INDEX(Canals!$AI$24:$AI$29,MATCH(2,1/((Canals!$F$24:$F$29&lt;=$C15)*(Canals!$G$24:$G$29=_xlfn.IFS(KS15="Handysize",Main!NB15,KS15="Supramax",MU15,KS15="Panamax",MN15,KS15="NeoPanamax",MG15,KS15="Suezmax",LZ15,KS15="Capesize",LS15,KS15="VLOC",LL15)))))</f>
        <v>#N/A</v>
      </c>
      <c r="PK15" s="75" t="e">
        <f t="array" aca="1" ref="PK15" ca="1">INDEX(Canals!$AJ$24:$AJ$29,MATCH(2,1/((Canals!$F$24:$F$29&lt;=$C15)*(Canals!$G$24:$G$29=_xlfn.IFS(KS15="Handysize",Main!NB15,KS15="Supramax",MU15,KS15="Panamax",MN15,KS15="NeoPanamax",MG15,KS15="Suezmax",LZ15,KS15="Capesize",LS15,KS15="VLOC",LL15)))))</f>
        <v>#N/A</v>
      </c>
      <c r="PL15" s="75" t="e">
        <f t="array" aca="1" ref="PL15" ca="1">INDEX(Canals!$AK$24:$AK$29,MATCH(2,1/((Canals!$F$24:$F$29&lt;=$C15)*(Canals!$G$24:$G$29=_xlfn.IFS(KS15="Handysize",Main!NB15,KS15="Supramax",MU15,KS15="Panamax",MN15,KS15="NeoPanamax",MG15,KS15="Suezmax",LZ15,KS15="Capesize",LS15,KS15="VLOC",LL15)))))</f>
        <v>#N/A</v>
      </c>
      <c r="PM15" s="136" t="e">
        <f t="array" aca="1" ref="PM15" ca="1">INDEX(Canals!$AL$24:$AL$29,MATCH(2,1/((Canals!$F$24:$F$29&lt;=$C15)*(Canals!$G$24:$G$29=_xlfn.IFS(KS15="Handysize",Main!NB15,KS15="Supramax",MU15,KS15="Panamax",MN15,KS15="NeoPanamax",MG15,KS15="Suezmax",LZ15,KS15="Capesize",LS15,KS15="VLOC",LL15)))))</f>
        <v>#N/A</v>
      </c>
      <c r="PN15" s="136" t="e">
        <f t="array" aca="1" ref="PN15" ca="1">INDEX(Canals!$AM$24:$AM$29,MATCH(2,1/((Canals!$F$24:$F$29&lt;=$C15)*(Canals!$G$24:$G$29=_xlfn.IFS(KS15="Handysize",Main!NB15,KS15="Supramax",MU15,KS15="Panamax",MN15,KS15="NeoPanamax",MG15,KS15="Suezmax",LZ15,KS15="Capesize",LS15,KS15="VLOC",LL15)))))</f>
        <v>#N/A</v>
      </c>
      <c r="PO15" s="136" t="e">
        <f t="array" aca="1" ref="PO15" ca="1">INDEX(Canals!$AN$24:$AN$29,MATCH(2,1/((Canals!$F$24:$F$29&lt;=$C15)*(Canals!$G$24:$G$29=_xlfn.IFS(KS15="Handysize",Main!NB15,KS15="Supramax",MU15,KS15="Panamax",MN15,KS15="NeoPanamax",MG15,KS15="Suezmax",LZ15,KS15="Capesize",LS15,KS15="VLOC",LL15)))))</f>
        <v>#N/A</v>
      </c>
      <c r="PP15" s="136" t="e">
        <f t="array" aca="1" ref="PP15" ca="1">INDEX(Canals!$AO$24:$AO$29,MATCH(2,1/((Canals!$F$24:$F$29&lt;=$C15)*(Canals!$G$24:$G$29=_xlfn.IFS(KS15="Handysize",Main!NB15,KS15="Supramax",MU15,KS15="Panamax",MN15,KS15="NeoPanamax",MG15,KS15="Suezmax",LZ15,KS15="Capesize",LS15,KS15="VLOC",LL15)))))</f>
        <v>#N/A</v>
      </c>
      <c r="PQ15" s="136" t="e">
        <f t="array" aca="1" ref="PQ15" ca="1">INDEX(Canals!$AP$24:$AP$29,MATCH(2,1/((Canals!$F$24:$F$29&lt;=$C15)*(Canals!$G$24:$G$29=_xlfn.IFS(KS15="Handysize",Main!NB15,KS15="Supramax",MU15,KS15="Panamax",MN15,KS15="NeoPanamax",MG15,KS15="Suezmax",LZ15,KS15="Capesize",LS15,KS15="VLOC",LL15)))))</f>
        <v>#N/A</v>
      </c>
      <c r="PR15" s="136" t="e">
        <f t="array" aca="1" ref="PR15" ca="1">INDEX(Canals!$AQ$24:$AQ$29,MATCH(2,1/((Canals!$F$24:$F$29&lt;=$C15)*(Canals!$G$24:$G$29=_xlfn.IFS(KS15="Handysize",Main!NB15,KS15="Supramax",MU15,KS15="Panamax",MN15,KS15="NeoPanamax",MG15,KS15="Suezmax",LZ15,KS15="Capesize",LS15,KS15="VLOC",LL15)))))</f>
        <v>#N/A</v>
      </c>
      <c r="PS15" s="136" t="e">
        <f t="array" aca="1" ref="PS15" ca="1">INDEX(Canals!$AR$24:$AR$29,MATCH(2,1/((Canals!$F$24:$F$29&lt;=$C15)*(Canals!$G$24:$G$29=_xlfn.IFS(KS15="Handysize",Main!NB15,KS15="Supramax",MU15,KS15="Panamax",MN15,KS15="NeoPanamax",MG15,KS15="Suezmax",LZ15,KS15="Capesize",LS15,KS15="VLOC",LL15)))))</f>
        <v>#N/A</v>
      </c>
      <c r="PT15" s="136" t="e">
        <f t="array" aca="1" ref="PT15" ca="1">INDEX(Canals!$AS$24:$AS$29,MATCH(2,1/((Canals!$F$24:$F$29&lt;=$C15)*(Canals!$G$24:$G$29=_xlfn.IFS(KS15="Handysize",Main!NB15,KS15="Supramax",MU15,KS15="Panamax",MN15,KS15="NeoPanamax",MG15,KS15="Suezmax",LZ15,KS15="Capesize",LS15,KS15="VLOC",LL15)))))</f>
        <v>#N/A</v>
      </c>
      <c r="PU15" s="136" t="e">
        <f t="array" aca="1" ref="PU15" ca="1">INDEX(Canals!$AT$24:$AT$29,MATCH(2,1/((Canals!$F$24:$F$29&lt;=$C15)*(Canals!$G$24:$G$29=_xlfn.IFS(KS15="Handysize",Main!NB15,KS15="Supramax",MU15,KS15="Panamax",MN15,KS15="NeoPanamax",MG15,KS15="Suezmax",LZ15,KS15="Capesize",LS15,KS15="VLOC",LL15)))))</f>
        <v>#N/A</v>
      </c>
      <c r="PV15" s="136" t="e">
        <f t="array" aca="1" ref="PV15" ca="1">INDEX(Canals!$AU$24:$AU$29,MATCH(2,1/((Canals!$F$24:$F$29&lt;=$C15)*(Canals!$G$24:$G$29=_xlfn.IFS(KS15="Handysize",Main!NB15,KS15="Supramax",MU15,KS15="Panamax",MN15,KS15="NeoPanamax",MG15,KS15="Suezmax",LZ15,KS15="Capesize",LS15,KS15="VLOC",LL15)))))</f>
        <v>#N/A</v>
      </c>
      <c r="PW15" s="136" t="e">
        <f t="array" aca="1" ref="PW15" ca="1">INDEX(Canals!$AV$24:$AV$29,MATCH(2,1/((Canals!$F$24:$F$29&lt;=$C15)*(Canals!$G$24:$G$29=_xlfn.IFS(KS15="Handysize",Main!NB15,KS15="Supramax",MU15,KS15="Panamax",MN15,KS15="NeoPanamax",MG15,KS15="Suezmax",LZ15,KS15="Capesize",LS15,KS15="VLOC",LL15)))))</f>
        <v>#N/A</v>
      </c>
      <c r="PY15" s="75" t="e">
        <f t="array" aca="1" ref="PY15" ca="1">_xlfn.IFS(OJ15="DWT",KQ15,OJ15="NRT",KU15,OJ15="GRT",KV15)</f>
        <v>#NAME?</v>
      </c>
      <c r="PZ15" s="279" t="e">
        <f t="shared" ca="1" si="74"/>
        <v>#NAME?</v>
      </c>
      <c r="QA15" s="280" t="e">
        <f t="shared" ca="1" si="75"/>
        <v>#NAME?</v>
      </c>
      <c r="QB15" s="280" t="e">
        <f t="shared" ca="1" si="76"/>
        <v>#NAME?</v>
      </c>
      <c r="QC15" s="280" t="e">
        <f t="shared" ca="1" si="77"/>
        <v>#NAME?</v>
      </c>
      <c r="QD15" s="280" t="e">
        <f t="shared" ca="1" si="78"/>
        <v>#NAME?</v>
      </c>
      <c r="QE15" s="280" t="e">
        <f t="shared" ca="1" si="79"/>
        <v>#NAME?</v>
      </c>
      <c r="QF15" s="280" t="e">
        <f t="shared" ca="1" si="80"/>
        <v>#NAME?</v>
      </c>
      <c r="QG15" s="280" t="e">
        <f t="shared" ca="1" si="81"/>
        <v>#NAME?</v>
      </c>
      <c r="QH15" s="280" t="e">
        <f t="shared" ca="1" si="82"/>
        <v>#NAME?</v>
      </c>
      <c r="QI15" s="75">
        <f t="shared" si="83"/>
        <v>55575</v>
      </c>
      <c r="QJ15" s="279" t="e">
        <f t="shared" ca="1" si="84"/>
        <v>#N/A</v>
      </c>
      <c r="QK15" s="280" t="e">
        <f t="shared" ca="1" si="85"/>
        <v>#N/A</v>
      </c>
      <c r="QL15" s="280" t="e">
        <f t="shared" ca="1" si="86"/>
        <v>#N/A</v>
      </c>
      <c r="QM15" s="280" t="e">
        <f t="shared" ca="1" si="87"/>
        <v>#N/A</v>
      </c>
      <c r="QN15" s="280" t="e">
        <f t="shared" ca="1" si="88"/>
        <v>#N/A</v>
      </c>
      <c r="QO15" s="280" t="e">
        <f t="shared" ca="1" si="89"/>
        <v>#N/A</v>
      </c>
      <c r="QP15" s="280" t="e">
        <f t="shared" ca="1" si="90"/>
        <v>#N/A</v>
      </c>
      <c r="QQ15" s="280" t="e">
        <f t="shared" ca="1" si="91"/>
        <v>#N/A</v>
      </c>
      <c r="QR15" s="280" t="e">
        <f t="shared" ca="1" si="92"/>
        <v>#N/A</v>
      </c>
      <c r="QT15" s="75" t="e">
        <f t="array" aca="1" ref="QT15" ca="1">_xlfn.IFS(KS15="Handysize",Main!MV15,KS15="Supramax",MO15,KS15="Panamax",MH15,KS15="NeoPanamax",MA15,KS15="Suezmax",LT15,KS15="Capesize",LM15,KS15="VLOC",LF15)*$JI15</f>
        <v>#NAME?</v>
      </c>
      <c r="QU15" s="274" t="e">
        <f t="array" aca="1" ref="QU15" ca="1">_xlfn.IFS(KS15="Handysize",Main!MW15,KS15="Supramax",MP15,KS15="Panamax",MI15,KS15="NeoPanamax",MB15,KS15="Suezmax",LU15,KS15="Capesize",LN15,KS15="VLOC",LG15)*$JI15</f>
        <v>#NAME?</v>
      </c>
      <c r="QV15" s="71" t="e">
        <f t="array" aca="1" ref="QV15" ca="1">_xlfn.IFS(KS15="Handysize",Main!KX15,KS15="Supramax",KY15,KS15="Panamax",KZ15,KS15="NeoPanamax",LA15,KS15="Suezmax",LB15,KS15="Capesize",LC15,KS15="VLOC",LD15)</f>
        <v>#NAME?</v>
      </c>
      <c r="QW15" s="71" t="e">
        <f t="array" aca="1" ref="QW15" ca="1">_xlfn.IFS(KS15="Handysize",Main!NJ15,KS15="Supramax",NK15,KS15="Panamax",NL15,KS15="NeoPanamax",NM15,KS15="Suezmax",NN15,KS15="Capesize",NO15,KS15="VLOC",NP15)</f>
        <v>#NAME?</v>
      </c>
      <c r="QX15" s="70">
        <f t="array" ref="QX15">INDEX('Ship Speeds'!$G$11:$G$1011,MATCH(2,1/(('Ship Speeds'!$E$11:$E$1011&lt;=Main!$C15)*('Ship Speeds'!$F$11:$F$1011=Main!KR15))))</f>
        <v>11</v>
      </c>
      <c r="QY15" s="403">
        <f t="shared" si="93"/>
        <v>17.439470556521982</v>
      </c>
      <c r="QZ15" s="401">
        <f t="shared" si="94"/>
        <v>1.8087599999999999</v>
      </c>
      <c r="RA15" s="70" t="e">
        <f t="shared" ca="1" si="95"/>
        <v>#NAME?</v>
      </c>
      <c r="RB15" s="70" t="e">
        <f t="shared" ca="1" si="96"/>
        <v>#NAME?</v>
      </c>
      <c r="RC15" s="70" t="e">
        <f t="shared" ca="1" si="97"/>
        <v>#NAME?</v>
      </c>
      <c r="RD15" s="70" t="e">
        <f t="shared" ca="1" si="98"/>
        <v>#NAME?</v>
      </c>
      <c r="RE15" s="72" t="e">
        <f t="shared" ca="1" si="99"/>
        <v>#N/A</v>
      </c>
      <c r="RF15" s="70" t="e">
        <f t="shared" ca="1" si="100"/>
        <v>#NAME?</v>
      </c>
      <c r="RG15" s="70" t="e">
        <f t="array" aca="1" ref="RG15" ca="1">INDEX(ND15:NH15,MATCH(_xlfn.IFS(KS15="Handysize",Main!MZ15,KS15="Supramax",MS15,KS15="Panamax",ML15,KS15="NeoPanamax",ME15,KS15="Suezmax",LX15,KS15="Capesize",LQ15,KS15="VLOC",LJ15),$ND$7:$NH$7,0))</f>
        <v>#NAME?</v>
      </c>
      <c r="RH15" s="70" t="e">
        <f t="array" aca="1" ref="RH15" ca="1">INDEX(ND15:NH15,MATCH(_xlfn.IFS(KS15="Handysize",Main!NA15,KS15="Supramax",MT15,KS15="Panamax",MM15,KS15="NeoPanamax",MF15,KS15="Suezmax",LY15,KS15="Capesize",LR15,KS15="VLOC",LK15),$ND$7:$NH$7,0))</f>
        <v>#NAME?</v>
      </c>
      <c r="RI15" s="71" t="e">
        <f t="shared" ca="1" si="101"/>
        <v>#NAME?</v>
      </c>
      <c r="RJ15" s="71" t="e">
        <f t="shared" ca="1" si="102"/>
        <v>#NAME?</v>
      </c>
      <c r="RK15" s="281">
        <f t="shared" si="103"/>
        <v>7.0759999999999987</v>
      </c>
      <c r="RL15" s="71">
        <f t="shared" si="104"/>
        <v>1744.2057659694747</v>
      </c>
      <c r="RM15" s="71" t="e">
        <f t="shared" ca="1" si="105"/>
        <v>#NAME?</v>
      </c>
      <c r="RN15" s="71" t="e">
        <f t="shared" ca="1" si="106"/>
        <v>#NAME?</v>
      </c>
      <c r="RO15" s="71">
        <f t="shared" si="107"/>
        <v>20734.595816845678</v>
      </c>
      <c r="RP15" s="71" t="e">
        <f t="shared" ca="1" si="108"/>
        <v>#NAME?</v>
      </c>
      <c r="RQ15" s="71" t="e">
        <f t="shared" ca="1" si="109"/>
        <v>#NAME?</v>
      </c>
      <c r="RR15" s="71">
        <f t="shared" si="110"/>
        <v>14720.451384963259</v>
      </c>
      <c r="RS15" s="71" t="e">
        <f t="shared" ca="1" si="111"/>
        <v>#NAME?</v>
      </c>
      <c r="RT15" s="71" t="e">
        <f t="shared" ca="1" si="112"/>
        <v>#NAME?</v>
      </c>
      <c r="RU15" s="71">
        <f t="shared" si="113"/>
        <v>0</v>
      </c>
      <c r="RV15" s="71" t="e">
        <f t="shared" ca="1" si="114"/>
        <v>#NAME?</v>
      </c>
      <c r="RW15" s="71" t="e">
        <f t="shared" ca="1" si="115"/>
        <v>#NAME?</v>
      </c>
      <c r="RX15" s="72">
        <f t="shared" si="116"/>
        <v>5447.0388637648393</v>
      </c>
      <c r="RY15" s="72" t="e">
        <f t="shared" ca="1" si="117"/>
        <v>#NAME?</v>
      </c>
      <c r="RZ15" s="71" t="e">
        <f t="shared" ca="1" si="118"/>
        <v>#NAME?</v>
      </c>
      <c r="SA15" s="71" t="e">
        <f t="array" aca="1" ref="SA15" ca="1">INDEX('Ship Time Charter Rates'!$H$22:$H$1021,MATCH(2,1/(('Ship Time Charter Rates'!$G$22:$G$1021=_xlfn.IFS(KS15="Handysize",Main!MX15,KS15="Supramax",MQ15,KS15="Panamax",MJ15,KS15="NeoPanamax",MC15,KS15="Suezmax",LV15,KS15="Capesize",LO15,KS15="VLOC",LH15))*('Ship Time Charter Rates'!$E$22:$E$1021&lt;=Main!$C15)*(NOT(ISBLANK('Ship Time Charter Rates'!$H$22:$H$1021))))))</f>
        <v>#N/A</v>
      </c>
      <c r="SB15" s="71" t="e">
        <f t="shared" ca="1" si="119"/>
        <v>#NAME?</v>
      </c>
      <c r="SC15" s="70" t="e">
        <f t="shared" ca="1" si="120"/>
        <v>#N/A</v>
      </c>
      <c r="SD15" s="71" t="e">
        <f t="shared" ca="1" si="121"/>
        <v>#NAME?</v>
      </c>
      <c r="SE15" s="71" t="e">
        <f t="shared" ca="1" si="302"/>
        <v>#NAME?</v>
      </c>
      <c r="SF15" s="72" t="e">
        <f t="shared" ca="1" si="303"/>
        <v>#NAME?</v>
      </c>
      <c r="SH15" s="25">
        <f t="shared" si="321"/>
        <v>0</v>
      </c>
      <c r="SI15" s="4" t="str">
        <f>VLOOKUP(SH15,'Ship Time Charter Rates'!$F$10:$G$17,2,TRUE)</f>
        <v>Handysize</v>
      </c>
      <c r="SJ15" s="4" t="str">
        <f>VLOOKUP(SH15,Canals!$E$5:$F$12,2,TRUE)</f>
        <v>Handysize</v>
      </c>
      <c r="SK15" s="25">
        <f t="shared" si="122"/>
        <v>145.88999999999999</v>
      </c>
      <c r="SL15" s="25">
        <f t="shared" si="123"/>
        <v>0</v>
      </c>
      <c r="SM15" s="25">
        <f t="shared" si="124"/>
        <v>4797</v>
      </c>
      <c r="SO15" s="75">
        <f t="array" ref="SO15">INDEX('Indices Mines Exporting Ports'!$R$20:$R$51,MATCH(2,1/(('Indices Mines Exporting Ports'!$D$20:$D$51&lt;=Main!$C15)*('Indices Mines Exporting Ports'!$Q$20:$Q$51=$AQ15))))</f>
        <v>0</v>
      </c>
      <c r="SP15" s="75">
        <f t="array" ref="SP15">INDEX('Indices Mines Exporting Ports'!$S$20:$S$51,MATCH(2,1/(('Indices Mines Exporting Ports'!$D$20:$D$51&lt;=Main!$C15)*('Indices Mines Exporting Ports'!$Q$20:$Q$51=$AQ15))))</f>
        <v>0</v>
      </c>
      <c r="SQ15" s="75">
        <f t="array" ref="SQ15">INDEX('Indices Mines Exporting Ports'!$T$20:$T$51,MATCH(2,1/(('Indices Mines Exporting Ports'!$D$20:$D$51&lt;=Main!$C15)*('Indices Mines Exporting Ports'!$Q$20:$Q$51=$AQ15))))</f>
        <v>0</v>
      </c>
      <c r="SR15" s="75">
        <f t="array" ref="SR15">INDEX('Indices Mines Exporting Ports'!$U$20:$U$51,MATCH(2,1/(('Indices Mines Exporting Ports'!$D$20:$D$51&lt;=Main!$C15)*('Indices Mines Exporting Ports'!$Q$20:$Q$51=$AQ15))))</f>
        <v>0</v>
      </c>
      <c r="SS15" s="75">
        <f t="array" ref="SS15">INDEX('Indices Mines Exporting Ports'!$V$20:$V$51,MATCH(2,1/(('Indices Mines Exporting Ports'!$D$20:$D$51&lt;=Main!$C15)*('Indices Mines Exporting Ports'!$Q$20:$Q$51=$AQ15))))</f>
        <v>0</v>
      </c>
      <c r="ST15" s="75">
        <f t="array" ref="ST15">INDEX('Indices Mines Exporting Ports'!$W$20:$W$51,MATCH(2,1/(('Indices Mines Exporting Ports'!$D$20:$D$51&lt;=Main!$C15)*('Indices Mines Exporting Ports'!$Q$20:$Q$51=$AQ15))))</f>
        <v>0</v>
      </c>
      <c r="SU15" s="75">
        <f t="array" ref="SU15">INDEX('Indices Mines Exporting Ports'!$X$20:$X$51,MATCH(2,1/(('Indices Mines Exporting Ports'!$D$20:$D$51&lt;=Main!$C15)*('Indices Mines Exporting Ports'!$Q$20:$Q$51=$AQ15))))</f>
        <v>0</v>
      </c>
      <c r="SW15" s="75">
        <f t="array" ref="SW15">INDEX('Port Linkages'!$E$18:$E$157,MATCH(2,1/(('Port Linkages'!$C$18:$C$157=$AQ15)*('Port Linkages'!$D$18:$D$157=IF($AO15="no",$AQ15,$AS15))*('Port Linkages'!$A$18:$A$157&lt;=$C15))))</f>
        <v>0</v>
      </c>
      <c r="SX15" s="75">
        <f t="array" ref="SX15">INDEX('Port Linkages'!$F$18:$F$157,MATCH(2,1/(('Port Linkages'!$C$18:$C$157=$AQ15)*('Port Linkages'!$D$18:$D$157=IF($AO15="no",$AQ15,$AS15))*('Port Linkages'!$A$18:$A$157&lt;=$C15))))</f>
        <v>0</v>
      </c>
      <c r="SY15" s="75">
        <f t="array" ref="SY15">INDEX('Port Linkages'!$G$18:$G$157,MATCH(2,1/(('Port Linkages'!$C$18:$C$157=$AQ15)*('Port Linkages'!$D$18:$D$157=IF($AO15="no",$AQ15,$AS15))*('Port Linkages'!$A$18:$A$157&lt;=$C15))))</f>
        <v>0</v>
      </c>
      <c r="SZ15" s="75">
        <f t="array" ref="SZ15">INDEX('Port Linkages'!$H$18:$H$157,MATCH(2,1/(('Port Linkages'!$C$18:$C$157=$AQ15)*('Port Linkages'!$D$18:$D$157=IF($AO15="no",$AQ15,$AS15))*('Port Linkages'!$A$18:$A$157&lt;=$C15))))</f>
        <v>0</v>
      </c>
      <c r="TA15" s="75">
        <f t="array" ref="TA15">INDEX('Port Linkages'!$I$18:$I$157,MATCH(2,1/(('Port Linkages'!$C$18:$C$157=$AQ15)*('Port Linkages'!$D$18:$D$157=IF($AO15="no",$AQ15,$AS15))*('Port Linkages'!$A$18:$A$157&lt;=$C15))))</f>
        <v>0</v>
      </c>
      <c r="TB15" s="75">
        <f t="array" ref="TB15">INDEX('Port Linkages'!$J$18:$J$157,MATCH(2,1/(('Port Linkages'!$C$18:$C$157=$AQ15)*('Port Linkages'!$D$18:$D$157=IF($AO15="no",$AQ15,$AS15))*('Port Linkages'!$A$18:$A$157&lt;=$C15))))</f>
        <v>0</v>
      </c>
      <c r="TC15" s="75">
        <f t="array" ref="TC15">INDEX('Port Linkages'!$K$18:$K$157,MATCH(2,1/(('Port Linkages'!$C$18:$C$157=$AQ15)*('Port Linkages'!$D$18:$D$157=IF($AO15="no",$AQ15,$AS15))*('Port Linkages'!$A$18:$A$157&lt;=$C15))))</f>
        <v>0</v>
      </c>
      <c r="TD15" s="75">
        <f t="array" ref="TD15">INDEX('Port Linkages'!$L$18:$L$157,MATCH(2,1/(('Port Linkages'!$C$18:$C$157=$AQ15)*('Port Linkages'!$D$18:$D$157=IF($AO15="no",$AQ15,$AS15))*('Port Linkages'!$A$18:$A$157&lt;=$C15))))</f>
        <v>0</v>
      </c>
      <c r="TE15" s="75">
        <f t="array" ref="TE15">INDEX('Port Linkages'!$M$18:$M$157,MATCH(2,1/(('Port Linkages'!$C$18:$C$157=$AQ15)*('Port Linkages'!$D$18:$D$157=IF($AO15="no",$AQ15,$AS15))*('Port Linkages'!$A$18:$A$157&lt;=$C15))))</f>
        <v>0</v>
      </c>
      <c r="TF15" s="75">
        <f t="array" ref="TF15">INDEX('Port Linkages'!$N$18:$N$157,MATCH(2,1/(('Port Linkages'!$C$18:$C$157=$AQ15)*('Port Linkages'!$D$18:$D$157=IF($AO15="no",$AQ15,$AS15))*('Port Linkages'!$A$18:$A$157&lt;=$C15))))</f>
        <v>0</v>
      </c>
      <c r="TG15" s="75">
        <f t="array" ref="TG15">INDEX('Port Linkages'!$O$18:$O$157,MATCH(2,1/(('Port Linkages'!$C$18:$C$157=$AQ15)*('Port Linkages'!$D$18:$D$157=IF($AO15="no",$AQ15,$AS15))*('Port Linkages'!$A$18:$A$157&lt;=$C15))))</f>
        <v>0</v>
      </c>
      <c r="TH15" s="75">
        <f t="array" ref="TH15">INDEX('Port Linkages'!$P$18:$P$157,MATCH(2,1/(('Port Linkages'!$C$18:$C$157=$AQ15)*('Port Linkages'!$D$18:$D$157=IF($AO15="no",$AQ15,$AS15))*('Port Linkages'!$A$18:$A$157&lt;=$C15))))</f>
        <v>0</v>
      </c>
      <c r="TI15" s="75">
        <f t="array" ref="TI15">INDEX('Port Linkages'!$Q$18:$Q$157,MATCH(2,1/(('Port Linkages'!$C$18:$C$157=$AQ15)*('Port Linkages'!$D$18:$D$157=IF($AO15="no",$AQ15,$AS15))*('Port Linkages'!$A$18:$A$157&lt;=$C15))))</f>
        <v>0</v>
      </c>
      <c r="TJ15" s="75">
        <f t="array" ref="TJ15">INDEX('Port Linkages'!$R$18:$R$157,MATCH(2,1/(('Port Linkages'!$C$18:$C$157=$AQ15)*('Port Linkages'!$D$18:$D$157=IF($AO15="no",$AQ15,$AS15))*('Port Linkages'!$A$18:$A$157&lt;=$C15))))</f>
        <v>0</v>
      </c>
      <c r="TK15" s="75">
        <f t="array" ref="TK15">INDEX('Port Linkages'!$S$18:$S$157,MATCH(2,1/(('Port Linkages'!$C$18:$C$157=$AQ15)*('Port Linkages'!$D$18:$D$157=IF($AO15="no",$AQ15,$AS15))*('Port Linkages'!$A$18:$A$157&lt;=$C15))))</f>
        <v>0</v>
      </c>
      <c r="TL15" s="75">
        <f t="array" ref="TL15">INDEX('Port Linkages'!$T$18:$T$157,MATCH(2,1/(('Port Linkages'!$C$18:$C$157=$AQ15)*('Port Linkages'!$D$18:$D$157=IF($AO15="no",$AQ15,$AS15))*('Port Linkages'!$A$18:$A$157&lt;=$C15))))</f>
        <v>0</v>
      </c>
      <c r="TM15" s="75">
        <f t="array" ref="TM15">INDEX('Port Linkages'!$U$18:$U$157,MATCH(2,1/(('Port Linkages'!$C$18:$C$157=$AQ15)*('Port Linkages'!$D$18:$D$157=IF($AO15="no",$AQ15,$AS15))*('Port Linkages'!$A$18:$A$157&lt;=$C15))))</f>
        <v>0</v>
      </c>
      <c r="TN15" s="75">
        <f t="array" ref="TN15">INDEX('Port Linkages'!$V$18:$V$157,MATCH(2,1/(('Port Linkages'!$C$18:$C$157=$AQ15)*('Port Linkages'!$D$18:$D$157=IF($AO15="no",$AQ15,$AS15))*('Port Linkages'!$A$18:$A$157&lt;=$C15))))</f>
        <v>0</v>
      </c>
      <c r="TO15" s="75">
        <f t="array" ref="TO15">INDEX('Port Linkages'!$W$18:$W$157,MATCH(2,1/(('Port Linkages'!$C$18:$C$157=$AQ15)*('Port Linkages'!$D$18:$D$157=IF($AO15="no",$AQ15,$AS15))*('Port Linkages'!$A$18:$A$157&lt;=$C15))))</f>
        <v>0</v>
      </c>
      <c r="TP15" s="75">
        <f t="array" ref="TP15">INDEX('Port Linkages'!$X$18:$X$157,MATCH(2,1/(('Port Linkages'!$C$18:$C$157=$AQ15)*('Port Linkages'!$D$18:$D$157=IF($AO15="no",$AQ15,$AS15))*('Port Linkages'!$A$18:$A$157&lt;=$C15))))</f>
        <v>0</v>
      </c>
      <c r="TQ15" s="75">
        <f t="array" ref="TQ15">INDEX('Port Linkages'!$Y$18:$Y$157,MATCH(2,1/(('Port Linkages'!$C$18:$C$157=$AQ15)*('Port Linkages'!$D$18:$D$157=IF($AO15="no",$AQ15,$AS15))*('Port Linkages'!$A$18:$A$157&lt;=$C15))))</f>
        <v>0</v>
      </c>
      <c r="TR15" s="75">
        <f t="array" ref="TR15">INDEX('Port Linkages'!$Z$18:$Z$157,MATCH(2,1/(('Port Linkages'!$C$18:$C$157=$AQ15)*('Port Linkages'!$D$18:$D$157=IF($AO15="no",$AQ15,$AS15))*('Port Linkages'!$A$18:$A$157&lt;=$C15))))</f>
        <v>0</v>
      </c>
      <c r="TS15" s="75">
        <f t="array" ref="TS15">INDEX('Port Linkages'!$AA$18:$AA$157,MATCH(2,1/(('Port Linkages'!$C$18:$C$157=$AQ15)*('Port Linkages'!$D$18:$D$157=IF($AO15="no",$AQ15,$AS15))*('Port Linkages'!$A$18:$A$157&lt;=$C15))))</f>
        <v>0</v>
      </c>
      <c r="TT15" s="75">
        <f t="array" ref="TT15">INDEX('Port Linkages'!$AB$18:$AB$157,MATCH(2,1/(('Port Linkages'!$C$18:$C$157=$AQ15)*('Port Linkages'!$D$18:$D$157=IF($AO15="no",$AQ15,$AS15))*('Port Linkages'!$A$18:$A$157&lt;=$C15))))</f>
        <v>0</v>
      </c>
      <c r="TU15" s="75">
        <f t="array" ref="TU15">INDEX('Port Linkages'!$AC$18:$AC$157,MATCH(2,1/(('Port Linkages'!$C$18:$C$157=$AQ15)*('Port Linkages'!$D$18:$D$157=IF($AO15="no",$AQ15,$AS15))*('Port Linkages'!$A$18:$A$157&lt;=$C15))))</f>
        <v>0</v>
      </c>
      <c r="TV15" s="75">
        <f t="array" ref="TV15">INDEX('Port Linkages'!$AD$18:$AD$157,MATCH(2,1/(('Port Linkages'!$C$18:$C$157=$AQ15)*('Port Linkages'!$D$18:$D$157=IF($AO15="no",$AQ15,$AS15))*('Port Linkages'!$A$18:$A$157&lt;=$C15))))</f>
        <v>0</v>
      </c>
      <c r="TW15" s="75">
        <f t="array" ref="TW15">INDEX('Port Linkages'!$AE$18:$AE$157,MATCH(2,1/(('Port Linkages'!$C$18:$C$157=$AQ15)*('Port Linkages'!$D$18:$D$157=IF($AO15="no",$AQ15,$AS15))*('Port Linkages'!$A$18:$A$157&lt;=$C15))))</f>
        <v>0</v>
      </c>
      <c r="TX15" s="75">
        <f t="array" ref="TX15">INDEX('Port Linkages'!$AF$18:$AF$157,MATCH(2,1/(('Port Linkages'!$C$18:$C$157=$AQ15)*('Port Linkages'!$D$18:$D$157=IF($AO15="no",$AQ15,$AS15))*('Port Linkages'!$A$18:$A$157&lt;=$C15))))</f>
        <v>0</v>
      </c>
      <c r="TY15" s="75">
        <f t="array" ref="TY15">INDEX('Port Linkages'!$AG$18:$AG$157,MATCH(2,1/(('Port Linkages'!$C$18:$C$157=$AQ15)*('Port Linkages'!$D$18:$D$157=IF($AO15="no",$AQ15,$AS15))*('Port Linkages'!$A$18:$A$157&lt;=$C15))))</f>
        <v>0</v>
      </c>
      <c r="TZ15" s="75">
        <f t="array" ref="TZ15">INDEX('Port Linkages'!$AH$18:$AH$157,MATCH(2,1/(('Port Linkages'!$C$18:$C$157=$AQ15)*('Port Linkages'!$D$18:$D$157=IF($AO15="no",$AQ15,$AS15))*('Port Linkages'!$A$18:$A$157&lt;=$C15))))</f>
        <v>0</v>
      </c>
      <c r="UA15" s="75">
        <f t="array" ref="UA15">INDEX('Port Linkages'!$AI$18:$AI$157,MATCH(2,1/(('Port Linkages'!$C$18:$C$157=$AQ15)*('Port Linkages'!$D$18:$D$157=IF($AO15="no",$AQ15,$AS15))*('Port Linkages'!$A$18:$A$157&lt;=$C15))))</f>
        <v>0</v>
      </c>
      <c r="UB15" s="75">
        <f t="array" ref="UB15">INDEX('Port Linkages'!$AJ$18:$AJ$157,MATCH(2,1/(('Port Linkages'!$C$18:$C$157=$AQ15)*('Port Linkages'!$D$18:$D$157=IF($AO15="no",$AQ15,$AS15))*('Port Linkages'!$A$18:$A$157&lt;=$C15))))</f>
        <v>0</v>
      </c>
      <c r="UC15" s="75">
        <f t="array" ref="UC15">INDEX('Port Linkages'!$AK$18:$AK$157,MATCH(2,1/(('Port Linkages'!$C$18:$C$157=$AQ15)*('Port Linkages'!$D$18:$D$157=IF($AO15="no",$AQ15,$AS15))*('Port Linkages'!$A$18:$A$157&lt;=$C15))))</f>
        <v>0</v>
      </c>
      <c r="UD15" s="75">
        <f t="array" ref="UD15">INDEX('Port Linkages'!$AL$18:$AL$157,MATCH(2,1/(('Port Linkages'!$C$18:$C$157=$AQ15)*('Port Linkages'!$D$18:$D$157=IF($AO15="no",$AQ15,$AS15))*('Port Linkages'!$A$18:$A$157&lt;=$C15))))</f>
        <v>0</v>
      </c>
      <c r="UE15" s="75">
        <f t="array" ref="UE15">INDEX('Port Linkages'!$AM$18:$AM$157,MATCH(2,1/(('Port Linkages'!$C$18:$C$157=$AQ15)*('Port Linkages'!$D$18:$D$157=IF($AO15="no",$AQ15,$AS15))*('Port Linkages'!$A$18:$A$157&lt;=$C15))))</f>
        <v>0</v>
      </c>
      <c r="UF15" s="75">
        <f t="array" ref="UF15">INDEX('Port Linkages'!$AN$18:$AN$157,MATCH(2,1/(('Port Linkages'!$C$18:$C$157=$AQ15)*('Port Linkages'!$D$18:$D$157=IF($AO15="no",$AQ15,$AS15))*('Port Linkages'!$A$18:$A$157&lt;=$C15))))</f>
        <v>0</v>
      </c>
      <c r="UG15" s="75">
        <f t="array" ref="UG15">INDEX('Port Linkages'!$AO$18:$AO$157,MATCH(2,1/(('Port Linkages'!$C$18:$C$157=$AQ15)*('Port Linkages'!$D$18:$D$157=IF($AO15="no",$AQ15,$AS15))*('Port Linkages'!$A$18:$A$157&lt;=$C15))))</f>
        <v>0</v>
      </c>
      <c r="UH15" s="75">
        <f t="array" ref="UH15">INDEX('Port Linkages'!$AP$18:$AP$157,MATCH(2,1/(('Port Linkages'!$C$18:$C$157=$AQ15)*('Port Linkages'!$D$18:$D$157=IF($AO15="no",$AQ15,$AS15))*('Port Linkages'!$A$18:$A$157&lt;=$C15))))</f>
        <v>0</v>
      </c>
      <c r="UI15" s="75">
        <f t="array" ref="UI15">INDEX('Port Linkages'!$AQ$18:$AQ$157,MATCH(2,1/(('Port Linkages'!$C$18:$C$157=$AQ15)*('Port Linkages'!$D$18:$D$157=IF($AO15="no",$AQ15,$AS15))*('Port Linkages'!$A$18:$A$157&lt;=$C15))))</f>
        <v>0</v>
      </c>
      <c r="UJ15" s="75">
        <f t="array" ref="UJ15">INDEX('Port Linkages'!$AR$18:$AR$157,MATCH(2,1/(('Port Linkages'!$C$18:$C$157=$AQ15)*('Port Linkages'!$D$18:$D$157=IF($AO15="no",$AQ15,$AS15))*('Port Linkages'!$A$18:$A$157&lt;=$C15))))</f>
        <v>0</v>
      </c>
      <c r="UK15" s="75">
        <f t="array" ref="UK15">INDEX('Port Linkages'!$AS$18:$AS$157,MATCH(2,1/(('Port Linkages'!$C$18:$C$157=$AQ15)*('Port Linkages'!$D$18:$D$157=IF($AO15="no",$AQ15,$AS15))*('Port Linkages'!$A$18:$A$157&lt;=$C15))))</f>
        <v>0</v>
      </c>
      <c r="UL15" s="75">
        <f t="array" ref="UL15">INDEX('Port Linkages'!$AT$18:$AT$157,MATCH(2,1/(('Port Linkages'!$C$18:$C$157=$AQ15)*('Port Linkages'!$D$18:$D$157=IF($AO15="no",$AQ15,$AS15))*('Port Linkages'!$A$18:$A$157&lt;=$C15))))</f>
        <v>0</v>
      </c>
      <c r="UM15" s="75">
        <f t="array" ref="UM15">INDEX('Port Linkages'!$AU$18:$AU$157,MATCH(2,1/(('Port Linkages'!$C$18:$C$157=$AQ15)*('Port Linkages'!$D$18:$D$157=IF($AO15="no",$AQ15,$AS15))*('Port Linkages'!$A$18:$A$157&lt;=$C15))))</f>
        <v>0</v>
      </c>
      <c r="UN15" s="75">
        <f t="array" ref="UN15">INDEX('Port Linkages'!$AV$18:$AV$157,MATCH(2,1/(('Port Linkages'!$C$18:$C$157=$AQ15)*('Port Linkages'!$D$18:$D$157=IF($AO15="no",$AQ15,$AS15))*('Port Linkages'!$A$18:$A$157&lt;=$C15))))</f>
        <v>0</v>
      </c>
      <c r="UO15" s="75">
        <f t="array" ref="UO15">INDEX('Port Linkages'!$AW$18:$AW$157,MATCH(2,1/(('Port Linkages'!$C$18:$C$157=$AQ15)*('Port Linkages'!$D$18:$D$157=IF($AO15="no",$AQ15,$AS15))*('Port Linkages'!$A$18:$A$157&lt;=$C15))))</f>
        <v>0</v>
      </c>
      <c r="UP15" s="75">
        <f t="array" ref="UP15">INDEX('Port Linkages'!$AX$18:$AX$157,MATCH(2,1/(('Port Linkages'!$C$18:$C$157=$AQ15)*('Port Linkages'!$D$18:$D$157=IF($AO15="no",$AQ15,$AS15))*('Port Linkages'!$A$18:$A$157&lt;=$C15))))</f>
        <v>0</v>
      </c>
      <c r="UQ15" s="75">
        <f t="array" ref="UQ15">INDEX('Port Linkages'!$AY$18:$AY$157,MATCH(2,1/(('Port Linkages'!$C$18:$C$157=$AQ15)*('Port Linkages'!$D$18:$D$157=IF($AO15="no",$AQ15,$AS15))*('Port Linkages'!$A$18:$A$157&lt;=$C15))))</f>
        <v>0</v>
      </c>
      <c r="UR15" s="75">
        <f t="array" ref="UR15">INDEX('Port Linkages'!$AZ$18:$AZ$157,MATCH(2,1/(('Port Linkages'!$C$18:$C$157=$AQ15)*('Port Linkages'!$D$18:$D$157=IF($AO15="no",$AQ15,$AS15))*('Port Linkages'!$A$18:$A$157&lt;=$C15))))</f>
        <v>0</v>
      </c>
      <c r="US15" s="75">
        <f t="array" ref="US15">INDEX('Port Linkages'!$BA$18:$BA$157,MATCH(2,1/(('Port Linkages'!$C$18:$C$157=$AQ15)*('Port Linkages'!$D$18:$D$157=IF($AO15="no",$AQ15,$AS15))*('Port Linkages'!$A$18:$A$157&lt;=$C15))))</f>
        <v>0</v>
      </c>
      <c r="UU15" s="25" t="e">
        <f t="array" aca="1" ref="UU15" ca="1">INDEX('Ship Fuel Prices'!$F$5:$F$1004,MATCH(2,1/(('Ship Fuel Prices'!$E$5:$E$1004=_xlfn.IFS(SJ15="Handysize",Main!UP15,SJ15="Supramax",UI15,SJ15="Panamax",UB15,SJ15="NeoPanamax",TU15,SJ15="Suezmax",TN15,SJ15="Capesize",TG15,SJ15="VLOC",SZ15))*('Ship Fuel Prices'!$D$5:$D$1004&lt;=Main!$C15))))</f>
        <v>#N/A</v>
      </c>
      <c r="UV15" s="25" t="e">
        <f t="array" aca="1" ref="UV15" ca="1">INDEX('Ship Fuel Prices'!$G$5:$G$1004,MATCH(2,1/(('Ship Fuel Prices'!$E$5:$E$1004=_xlfn.IFS(SJ15="Handysize",Main!UP15,SJ15="Supramax",UI15,SJ15="Panamax",UB15,SJ15="NeoPanamax",TU15,SJ15="Suezmax",TN15,SJ15="Capesize",TG15,SJ15="VLOC",SZ15))*('Ship Fuel Prices'!$D$5:$D$1004&lt;=Main!$C15))))</f>
        <v>#N/A</v>
      </c>
      <c r="UW15" s="25" t="e">
        <f t="array" aca="1" ref="UW15" ca="1">INDEX('Ship Fuel Prices'!$H$5:$H$1004,MATCH(2,1/(('Ship Fuel Prices'!$E$5:$E$1004=_xlfn.IFS(SJ15="Handysize",Main!UP15,SJ15="Supramax",UI15,SJ15="Panamax",UB15,SJ15="NeoPanamax",TU15,SJ15="Suezmax",TN15,SJ15="Capesize",TG15,SJ15="VLOC",SZ15))*('Ship Fuel Prices'!$D$5:$D$1004&lt;=Main!$C15))))</f>
        <v>#N/A</v>
      </c>
      <c r="UX15" s="25" t="e">
        <f t="array" aca="1" ref="UX15" ca="1">INDEX('Ship Fuel Prices'!$I$5:$I$1004,MATCH(2,1/(('Ship Fuel Prices'!$E$5:$E$1004=_xlfn.IFS(SJ15="Handysize",Main!UP15,SJ15="Supramax",UI15,SJ15="Panamax",UB15,SJ15="NeoPanamax",TU15,SJ15="Suezmax",TN15,SJ15="Capesize",TG15,SJ15="VLOC",SZ15))*('Ship Fuel Prices'!$D$5:$D$1004&lt;=Main!$C15))))</f>
        <v>#N/A</v>
      </c>
      <c r="UY15" s="25" t="e">
        <f t="array" aca="1" ref="UY15" ca="1">INDEX('Ship Fuel Prices'!$J$5:$J$1004,MATCH(2,1/(('Ship Fuel Prices'!$E$5:$E$1004=_xlfn.IFS(SJ15="Handysize",Main!UP15,SJ15="Supramax",UI15,SJ15="Panamax",UB15,SJ15="NeoPanamax",TU15,SJ15="Suezmax",TN15,SJ15="Capesize",TG15,SJ15="VLOC",SZ15))*('Ship Fuel Prices'!$D$5:$D$1004&lt;=Main!$C15))))</f>
        <v>#N/A</v>
      </c>
      <c r="VA15" s="75">
        <f t="array" ref="VA15">INDEX('China n Importing Ports'!$E$20:$E$41,MATCH(2,1/(('China n Importing Ports'!$D$20:$D$41&lt;=$C15)*('China n Importing Ports'!$C$20:$C$41=IF($AO15="No",$AQ15,$AS15)))))</f>
        <v>0</v>
      </c>
      <c r="VB15" s="75">
        <f t="array" ref="VB15">INDEX('China n Importing Ports'!$F$20:$F$41,MATCH(2,1/(('China n Importing Ports'!$D$20:$D$41&lt;=$C15)*('China n Importing Ports'!$C$20:$C$41=IF($AO15="No",$AQ15,$AS15)))))</f>
        <v>0</v>
      </c>
      <c r="VC15" s="75">
        <f t="array" ref="VC15">INDEX('China n Importing Ports'!$G$20:$G$41,MATCH(2,1/(('China n Importing Ports'!$D$20:$D$41&lt;=$C15)*('China n Importing Ports'!$C$20:$C$41=IF($AO15="No",$AQ15,$AS15)))))</f>
        <v>0</v>
      </c>
      <c r="VD15" s="75">
        <f t="array" ref="VD15">INDEX('China n Importing Ports'!$H$20:$H$41,MATCH(2,1/(('China n Importing Ports'!$D$20:$D$41&lt;=$C15)*('China n Importing Ports'!$C$20:$C$41=IF($AO15="No",$AQ15,$AS15)))))</f>
        <v>0</v>
      </c>
      <c r="VE15" s="75">
        <f t="array" ref="VE15">INDEX('China n Importing Ports'!$I$20:$I$41,MATCH(2,1/(('China n Importing Ports'!$D$20:$D$41&lt;=$C15)*('China n Importing Ports'!$C$20:$C$41=IF($AO15="No",$AQ15,$AS15)))))</f>
        <v>0</v>
      </c>
      <c r="VF15" s="75">
        <f t="array" ref="VF15">INDEX('China n Importing Ports'!$J$20:$J$41,MATCH(2,1/(('China n Importing Ports'!$D$20:$D$41&lt;=$C15)*('China n Importing Ports'!$C$20:$C$41=IF($AO15="No",$AQ15,$AS15)))))</f>
        <v>0</v>
      </c>
      <c r="VG15" s="75">
        <f t="array" ref="VG15">INDEX('China n Importing Ports'!$K$20:$K$41,MATCH(2,1/(('China n Importing Ports'!$D$20:$D$41&lt;=$C15)*('China n Importing Ports'!$C$20:$C$41=IF($AO15="No",$AQ15,$AS15)))))</f>
        <v>0</v>
      </c>
      <c r="VH15" s="75">
        <f t="array" ref="VH15">INDEX('China n Importing Ports'!$L$20:$L$41,MATCH(2,1/(('China n Importing Ports'!$D$20:$D$41&lt;=$C15)*('China n Importing Ports'!$C$20:$C$41=IF($AO15="No",$AQ15,$AS15)))))</f>
        <v>0</v>
      </c>
      <c r="VI15" s="75">
        <f t="array" ref="VI15">INDEX('China n Importing Ports'!$M$20:$M$41,MATCH(2,1/(('China n Importing Ports'!$D$20:$D$41&lt;=$C15)*('China n Importing Ports'!$C$20:$C$41=IF($AO15="No",$AQ15,$AS15)))))</f>
        <v>0</v>
      </c>
      <c r="VJ15" s="75">
        <f t="array" ref="VJ15">INDEX('China n Importing Ports'!$N$20:$N$41,MATCH(2,1/(('China n Importing Ports'!$D$20:$D$41&lt;=$C15)*('China n Importing Ports'!$C$20:$C$41=IF($AO15="No",$AQ15,$AS15)))))</f>
        <v>0</v>
      </c>
      <c r="VK15" s="75">
        <f t="array" ref="VK15">INDEX('China n Importing Ports'!$O$20:$O$41,MATCH(2,1/(('China n Importing Ports'!$D$20:$D$41&lt;=$C15)*('China n Importing Ports'!$C$20:$C$41=IF($AO15="No",$AQ15,$AS15)))))</f>
        <v>0</v>
      </c>
      <c r="VL15" s="136">
        <f t="array" ref="VL15">INDEX('China n Importing Ports'!$P$20:$P$41,MATCH(2,1/(('China n Importing Ports'!$D$20:$D$41&lt;=$C15)*('China n Importing Ports'!$C$20:$C$41=IF($AO15="No",$AQ15,$AS15)))))</f>
        <v>0</v>
      </c>
      <c r="VM15" s="136">
        <f t="array" ref="VM15">INDEX('China n Importing Ports'!$Q$20:$Q$41,MATCH(2,1/(('China n Importing Ports'!$D$20:$D$41&lt;=$C15)*('China n Importing Ports'!$C$20:$C$41=IF($AO15="No",$AQ15,$AS15)))))</f>
        <v>0</v>
      </c>
      <c r="VN15" s="136">
        <f t="array" ref="VN15">INDEX('China n Importing Ports'!$R$20:$R$41,MATCH(2,1/(('China n Importing Ports'!$D$20:$D$41&lt;=$C15)*('China n Importing Ports'!$C$20:$C$41=IF($AO15="No",$AQ15,$AS15)))))</f>
        <v>0</v>
      </c>
      <c r="VO15" s="136">
        <f t="array" ref="VO15">INDEX('China n Importing Ports'!$S$20:$S$41,MATCH(2,1/(('China n Importing Ports'!$D$20:$D$41&lt;=$C15)*('China n Importing Ports'!$C$20:$C$41=IF($AO15="No",$AQ15,$AS15)))))</f>
        <v>0</v>
      </c>
      <c r="VP15" s="136">
        <f t="array" ref="VP15">INDEX('China n Importing Ports'!$T$20:$T$41,MATCH(2,1/(('China n Importing Ports'!$D$20:$D$41&lt;=$C15)*('China n Importing Ports'!$C$20:$C$41=IF($AO15="No",$AQ15,$AS15)))))</f>
        <v>0</v>
      </c>
      <c r="VQ15" s="136">
        <f t="array" ref="VQ15">INDEX('China n Importing Ports'!$U$20:$U$41,MATCH(2,1/(('China n Importing Ports'!$D$20:$D$41&lt;=$C15)*('China n Importing Ports'!$C$20:$C$41=IF($AO15="No",$AQ15,$AS15)))))</f>
        <v>0</v>
      </c>
      <c r="VR15" s="136">
        <f t="array" ref="VR15">INDEX('China n Importing Ports'!$V$20:$V$41,MATCH(2,1/(('China n Importing Ports'!$D$20:$D$41&lt;=$C15)*('China n Importing Ports'!$C$20:$C$41=IF($AO15="No",$AQ15,$AS15)))))</f>
        <v>0</v>
      </c>
      <c r="VS15" s="136">
        <f t="array" ref="VS15">INDEX('China n Importing Ports'!$W$20:$W$41,MATCH(2,1/(('China n Importing Ports'!$D$20:$D$41&lt;=$C15)*('China n Importing Ports'!$C$20:$C$41=IF($AO15="No",$AQ15,$AS15)))))</f>
        <v>0</v>
      </c>
      <c r="VT15" s="136">
        <f t="array" ref="VT15">INDEX('China n Importing Ports'!$X$20:$X$41,MATCH(2,1/(('China n Importing Ports'!$D$20:$D$41&lt;=$C15)*('China n Importing Ports'!$C$20:$C$41=IF($AO15="No",$AQ15,$AS15)))))</f>
        <v>0</v>
      </c>
      <c r="VU15" s="136">
        <f t="array" ref="VU15">INDEX('China n Importing Ports'!$Y$20:$Y$41,MATCH(2,1/(('China n Importing Ports'!$D$20:$D$41&lt;=$C15)*('China n Importing Ports'!$C$20:$C$41=IF($AO15="No",$AQ15,$AS15)))))</f>
        <v>0</v>
      </c>
      <c r="VV15" s="136">
        <f t="array" ref="VV15">INDEX('China n Importing Ports'!$Z$20:$Z$41,MATCH(2,1/(('China n Importing Ports'!$D$20:$D$41&lt;=$C15)*('China n Importing Ports'!$C$20:$C$41=IF($AO15="No",$AQ15,$AS15)))))</f>
        <v>0</v>
      </c>
      <c r="VW15" s="136">
        <f t="array" ref="VW15">INDEX('China n Importing Ports'!$AA$20:$AA$41,MATCH(2,1/(('China n Importing Ports'!$D$20:$D$41&lt;=$C15)*('China n Importing Ports'!$C$20:$C$41=IF($AO15="No",$AQ15,$AS15)))))</f>
        <v>0</v>
      </c>
      <c r="VY15" s="75" t="e">
        <f t="array" aca="1" ref="VY15" ca="1">INDEX(Canals!$G$24:$G$29,MATCH(2,1/((Canals!$F$24:$F$29&lt;=$C15)*(Canals!$G$24:$G$29=_xlfn.IFS(SJ15="Handysize",US15,SJ15="Supramax",UL15,SJ15="Panamax",UE15,SJ15="NeoPanamax",TX15,SJ15="Suezmax",TQ15,SJ15="Capesize",TJ15,SJ15="VLOC",TC15)))))</f>
        <v>#N/A</v>
      </c>
      <c r="VZ15" s="75" t="e">
        <f t="array" aca="1" ref="VZ15" ca="1">INDEX(Canals!$H$24:$H$29,MATCH(2,1/((Canals!$F$24:$F$29&lt;=$C15)*(Canals!$G$24:$G$29=_xlfn.IFS(SJ15="Handysize",US15,SJ15="Supramax",UL15,SJ15="Panamax",UE15,SJ15="NeoPanamax",TX15,SJ15="Suezmax",TQ15,SJ15="Capesize",TJ15,SJ15="VLOC",TC15)))))</f>
        <v>#N/A</v>
      </c>
      <c r="WA15" s="75" t="e">
        <f t="array" aca="1" ref="WA15" ca="1">INDEX(Canals!$I$24:$I$29,MATCH(2,1/((Canals!$F$24:$F$29&lt;=$C15)*(Canals!$G$24:$G$29=_xlfn.IFS(SJ15="Handysize",US15,SJ15="Supramax",UL15,SJ15="Panamax",UE15,SJ15="NeoPanamax",TX15,SJ15="Suezmax",TQ15,SJ15="Capesize",TJ15,SJ15="VLOC",TC15)))))</f>
        <v>#N/A</v>
      </c>
      <c r="WB15" s="75" t="e">
        <f t="array" aca="1" ref="WB15" ca="1">INDEX(Canals!$J$24:$J$29,MATCH(2,1/((Canals!$F$24:$F$29&lt;=$C15)*(Canals!$G$24:$G$29=_xlfn.IFS(SJ15="Handysize",Main!US15,SJ15="Supramax",UL15,SJ15="Panamax",UE15,SJ15="NeoPanamax",TX15,SJ15="Suezmax",TQ15,SJ15="Capesize",TJ15,SJ15="VLOC",TC15)))))</f>
        <v>#N/A</v>
      </c>
      <c r="WC15" s="75" t="e">
        <f t="array" aca="1" ref="WC15" ca="1">INDEX(Canals!$K$24:$K$29,MATCH(2,1/((Canals!$F$24:$F$29&lt;=$C15)*(Canals!$G$24:$G$29=_xlfn.IFS(SJ15="Handysize",Main!US15,SJ15="Supramax",UL15,SJ15="Panamax",UE15,SJ15="NeoPanamax",TX15,SJ15="Suezmax",TQ15,SJ15="Capesize",TJ15,SJ15="VLOC",TC15)))))</f>
        <v>#N/A</v>
      </c>
      <c r="WD15" s="75" t="e">
        <f t="array" aca="1" ref="WD15" ca="1">INDEX(Canals!$L$24:$L$29,MATCH(2,1/((Canals!$F$24:$F$29&lt;=$C15)*(Canals!$G$24:$G$29=_xlfn.IFS(SJ15="Handysize",Main!US15,SJ15="Supramax",UL15,SJ15="Panamax",UE15,SJ15="NeoPanamax",TX15,SJ15="Suezmax",TQ15,SJ15="Capesize",TJ15,SJ15="VLOC",TC15)))))</f>
        <v>#N/A</v>
      </c>
      <c r="WE15" s="75" t="e">
        <f t="array" aca="1" ref="WE15" ca="1">INDEX(Canals!$M$24:$M$29,MATCH(2,1/((Canals!$F$24:$F$29&lt;=$C15)*(Canals!$G$24:$G$29=_xlfn.IFS(SJ15="Handysize",Main!US15,SJ15="Supramax",UL15,SJ15="Panamax",UE15,SJ15="NeoPanamax",TX15,SJ15="Suezmax",TQ15,SJ15="Capesize",TJ15,SJ15="VLOC",TC15)))))</f>
        <v>#N/A</v>
      </c>
      <c r="WF15" s="75" t="e">
        <f t="array" aca="1" ref="WF15" ca="1">INDEX(Canals!$N$24:$N$29,MATCH(2,1/((Canals!$F$24:$F$29&lt;=$C15)*(Canals!$G$24:$G$29=_xlfn.IFS(SJ15="Handysize",Main!US15,SJ15="Supramax",UL15,SJ15="Panamax",UE15,SJ15="NeoPanamax",TX15,SJ15="Suezmax",TQ15,SJ15="Capesize",TJ15,SJ15="VLOC",TC15)))))</f>
        <v>#N/A</v>
      </c>
      <c r="WG15" s="75" t="e">
        <f t="array" aca="1" ref="WG15" ca="1">INDEX(Canals!$O$24:$O$29,MATCH(2,1/((Canals!$F$24:$F$29&lt;=$C15)*(Canals!$G$24:$G$29=_xlfn.IFS(SJ15="Handysize",Main!US15,SJ15="Supramax",UL15,SJ15="Panamax",UE15,SJ15="NeoPanamax",TX15,SJ15="Suezmax",TQ15,SJ15="Capesize",TJ15,SJ15="VLOC",TC15)))))</f>
        <v>#N/A</v>
      </c>
      <c r="WH15" s="75" t="e">
        <f t="array" aca="1" ref="WH15" ca="1">INDEX(Canals!$P$24:$P$29,MATCH(2,1/((Canals!$F$24:$F$29&lt;=$C15)*(Canals!$G$24:$G$29=_xlfn.IFS(SJ15="Handysize",Main!US15,SJ15="Supramax",UL15,SJ15="Panamax",UE15,SJ15="NeoPanamax",TX15,SJ15="Suezmax",TQ15,SJ15="Capesize",TJ15,SJ15="VLOC",TC15)))))</f>
        <v>#N/A</v>
      </c>
      <c r="WI15" s="75" t="e">
        <f t="array" aca="1" ref="WI15" ca="1">INDEX(Canals!$Q$24:$Q$29,MATCH(2,1/((Canals!$F$24:$F$29&lt;=$C15)*(Canals!$G$24:$G$29=_xlfn.IFS(SJ15="Handysize",Main!US15,SJ15="Supramax",UL15,SJ15="Panamax",UE15,SJ15="NeoPanamax",TX15,SJ15="Suezmax",TQ15,SJ15="Capesize",TJ15,SJ15="VLOC",TC15)))))</f>
        <v>#N/A</v>
      </c>
      <c r="WJ15" s="75" t="e">
        <f t="array" aca="1" ref="WJ15" ca="1">INDEX(Canals!$R$24:$R$29,MATCH(2,1/((Canals!$F$24:$F$29&lt;=$C15)*(Canals!$G$24:$G$29=_xlfn.IFS(SJ15="Handysize",Main!US15,SJ15="Supramax",UL15,SJ15="Panamax",UE15,SJ15="NeoPanamax",TX15,SJ15="Suezmax",TQ15,SJ15="Capesize",TJ15,SJ15="VLOC",TC15)))))</f>
        <v>#N/A</v>
      </c>
      <c r="WK15" s="136" t="e">
        <f t="array" aca="1" ref="WK15" ca="1">INDEX(Canals!$S$24:$S$29,MATCH(2,1/((Canals!$F$24:$F$29&lt;=$C15)*(Canals!$G$24:$G$29=_xlfn.IFS(SJ15="Handysize",Main!US15,SJ15="Supramax",UL15,SJ15="Panamax",UE15,SJ15="NeoPanamax",TX15,SJ15="Suezmax",TQ15,SJ15="Capesize",TJ15,SJ15="VLOC",TC15)))))</f>
        <v>#N/A</v>
      </c>
      <c r="WL15" s="136" t="e">
        <f t="array" aca="1" ref="WL15" ca="1">INDEX(Canals!$T$24:$T$29,MATCH(2,1/((Canals!$F$24:$F$29&lt;=$C15)*(Canals!$G$24:$G$29=_xlfn.IFS(SJ15="Handysize",Main!US15,SJ15="Supramax",UL15,SJ15="Panamax",UE15,SJ15="NeoPanamax",TX15,SJ15="Suezmax",TQ15,SJ15="Capesize",TJ15,SJ15="VLOC",TC15)))))</f>
        <v>#N/A</v>
      </c>
      <c r="WM15" s="136" t="e">
        <f t="array" aca="1" ref="WM15" ca="1">INDEX(Canals!$U$24:$U$29,MATCH(2,1/((Canals!$F$24:$F$29&lt;=$C15)*(Canals!$G$24:$G$29=_xlfn.IFS(SJ15="Handysize",Main!US15,SJ15="Supramax",UL15,SJ15="Panamax",UE15,SJ15="NeoPanamax",TX15,SJ15="Suezmax",TQ15,SJ15="Capesize",TJ15,SJ15="VLOC",TC15)))))</f>
        <v>#N/A</v>
      </c>
      <c r="WN15" s="136" t="e">
        <f t="array" aca="1" ref="WN15" ca="1">INDEX(Canals!$V$24:$V$29,MATCH(2,1/((Canals!$F$24:$F$29&lt;=$C15)*(Canals!$G$24:$G$29=_xlfn.IFS(SJ15="Handysize",Main!US15,SJ15="Supramax",UL15,SJ15="Panamax",UE15,SJ15="NeoPanamax",TX15,SJ15="Suezmax",TQ15,SJ15="Capesize",TJ15,SJ15="VLOC",TC15)))))</f>
        <v>#N/A</v>
      </c>
      <c r="WO15" s="136" t="e">
        <f t="array" aca="1" ref="WO15" ca="1">INDEX(Canals!$W$24:$W$29,MATCH(2,1/((Canals!$F$24:$F$29&lt;=$C15)*(Canals!$G$24:$G$29=_xlfn.IFS(SJ15="Handysize",Main!US15,SJ15="Supramax",UL15,SJ15="Panamax",UE15,SJ15="NeoPanamax",TX15,SJ15="Suezmax",TQ15,SJ15="Capesize",TJ15,SJ15="VLOC",TC15)))))</f>
        <v>#N/A</v>
      </c>
      <c r="WP15" s="136" t="e">
        <f t="array" aca="1" ref="WP15" ca="1">INDEX(Canals!$X$24:$X$29,MATCH(2,1/((Canals!$F$24:$F$29&lt;=$C15)*(Canals!$G$24:$G$29=_xlfn.IFS(SJ15="Handysize",Main!US15,SJ15="Supramax",UL15,SJ15="Panamax",UE15,SJ15="NeoPanamax",TX15,SJ15="Suezmax",TQ15,SJ15="Capesize",TJ15,SJ15="VLOC",TC15)))))</f>
        <v>#N/A</v>
      </c>
      <c r="WQ15" s="136" t="e">
        <f t="array" aca="1" ref="WQ15" ca="1">INDEX(Canals!$Y$24:$Y$29,MATCH(2,1/((Canals!$F$24:$F$29&lt;=$C15)*(Canals!$G$24:$G$29=_xlfn.IFS(SJ15="Handysize",Main!US15,SJ15="Supramax",UL15,SJ15="Panamax",UE15,SJ15="NeoPanamax",TX15,SJ15="Suezmax",TQ15,SJ15="Capesize",TJ15,SJ15="VLOC",TC15)))))</f>
        <v>#N/A</v>
      </c>
      <c r="WR15" s="136" t="e">
        <f t="array" aca="1" ref="WR15" ca="1">INDEX(Canals!$Z$24:$Z$29,MATCH(2,1/((Canals!$F$24:$F$29&lt;=$C15)*(Canals!$G$24:$G$29=_xlfn.IFS(SJ15="Handysize",Main!US15,SJ15="Supramax",UL15,SJ15="Panamax",UE15,SJ15="NeoPanamax",TX15,SJ15="Suezmax",TQ15,SJ15="Capesize",TJ15,SJ15="VLOC",TC15)))))</f>
        <v>#N/A</v>
      </c>
      <c r="WS15" s="136" t="e">
        <f t="array" aca="1" ref="WS15" ca="1">INDEX(Canals!$AA$24:$AA$29,MATCH(2,1/((Canals!$F$24:$F$29&lt;=$C15)*(Canals!$G$24:$G$29=_xlfn.IFS(SJ15="Handysize",Main!US15,SJ15="Supramax",UL15,SJ15="Panamax",UE15,SJ15="NeoPanamax",TX15,SJ15="Suezmax",TQ15,SJ15="Capesize",TJ15,SJ15="VLOC",TC15)))))</f>
        <v>#N/A</v>
      </c>
      <c r="WT15" s="136" t="e">
        <f t="array" aca="1" ref="WT15" ca="1">INDEX(Canals!$AB$24:$AB$29,MATCH(2,1/((Canals!$F$24:$F$29&lt;=$C15)*(Canals!$G$24:$G$29=_xlfn.IFS(SJ15="Handysize",Main!US15,SJ15="Supramax",UL15,SJ15="Panamax",UE15,SJ15="NeoPanamax",TX15,SJ15="Suezmax",TQ15,SJ15="Capesize",TJ15,SJ15="VLOC",TC15)))))</f>
        <v>#N/A</v>
      </c>
      <c r="WU15" s="75" t="e">
        <f t="array" aca="1" ref="WU15" ca="1">INDEX(Canals!$AC$24:$AC$29,MATCH(2,1/((Canals!$F$24:$F$29&lt;=$C15)*(Canals!$G$24:$G$29=_xlfn.IFS(SJ15="Handysize",Main!US15,SJ15="Supramax",UL15,SJ15="Panamax",UE15,SJ15="NeoPanamax",TX15,SJ15="Suezmax",TQ15,SJ15="Capesize",TJ15,SJ15="VLOC",TC15)))))</f>
        <v>#N/A</v>
      </c>
      <c r="WV15" s="75" t="e">
        <f t="array" aca="1" ref="WV15" ca="1">INDEX(Canals!$AD$24:$AD$29,MATCH(2,1/((Canals!$F$24:$F$29&lt;=$C15)*(Canals!$G$24:$G$29=_xlfn.IFS(SJ15="Handysize",Main!US15,SJ15="Supramax",UL15,SJ15="Panamax",UE15,SJ15="NeoPanamax",TX15,SJ15="Suezmax",TQ15,SJ15="Capesize",TJ15,SJ15="VLOC",TC15)))))</f>
        <v>#N/A</v>
      </c>
      <c r="WW15" s="75" t="e">
        <f t="array" aca="1" ref="WW15" ca="1">INDEX(Canals!$AE$24:$AE$29,MATCH(2,1/((Canals!$F$24:$F$29&lt;=$C15)*(Canals!$G$24:$G$29=_xlfn.IFS(SJ15="Handysize",Main!US15,SJ15="Supramax",UL15,SJ15="Panamax",UE15,SJ15="NeoPanamax",TX15,SJ15="Suezmax",TQ15,SJ15="Capesize",TJ15,SJ15="VLOC",TC15)))))</f>
        <v>#N/A</v>
      </c>
      <c r="WX15" s="75" t="e">
        <f t="array" aca="1" ref="WX15" ca="1">INDEX(Canals!$AF$24:$AF$29,MATCH(2,1/((Canals!$F$24:$F$29&lt;=$C15)*(Canals!$G$24:$G$29=_xlfn.IFS(SJ15="Handysize",Main!US15,SJ15="Supramax",UL15,SJ15="Panamax",UE15,SJ15="NeoPanamax",TX15,SJ15="Suezmax",TQ15,SJ15="Capesize",TJ15,SJ15="VLOC",TC15)))))</f>
        <v>#N/A</v>
      </c>
      <c r="WY15" s="75" t="e">
        <f t="array" aca="1" ref="WY15" ca="1">INDEX(Canals!$AG$24:$AG$29,MATCH(2,1/((Canals!$F$24:$F$29&lt;=$C15)*(Canals!$G$24:$G$29=_xlfn.IFS(SJ15="Handysize",Main!US15,SJ15="Supramax",UL15,SJ15="Panamax",UE15,SJ15="NeoPanamax",TX15,SJ15="Suezmax",TQ15,SJ15="Capesize",TJ15,SJ15="VLOC",TC15)))))</f>
        <v>#N/A</v>
      </c>
      <c r="WZ15" s="75" t="e">
        <f t="array" aca="1" ref="WZ15" ca="1">INDEX(Canals!$AH$24:$AH$29,MATCH(2,1/((Canals!$F$24:$F$29&lt;=$C15)*(Canals!$G$24:$G$29=_xlfn.IFS(SJ15="Handysize",Main!US15,SJ15="Supramax",UL15,SJ15="Panamax",UE15,SJ15="NeoPanamax",TX15,SJ15="Suezmax",TQ15,SJ15="Capesize",TJ15,SJ15="VLOC",TC15)))))</f>
        <v>#N/A</v>
      </c>
      <c r="XA15" s="75" t="e">
        <f t="array" aca="1" ref="XA15" ca="1">INDEX(Canals!$AI$24:$AI$29,MATCH(2,1/((Canals!$F$24:$F$29&lt;=$C15)*(Canals!$G$24:$G$29=_xlfn.IFS(SJ15="Handysize",Main!US15,SJ15="Supramax",UL15,SJ15="Panamax",UE15,SJ15="NeoPanamax",TX15,SJ15="Suezmax",TQ15,SJ15="Capesize",TJ15,SJ15="VLOC",TC15)))))</f>
        <v>#N/A</v>
      </c>
      <c r="XB15" s="75" t="e">
        <f t="array" aca="1" ref="XB15" ca="1">INDEX(Canals!$AJ$24:$AJ$29,MATCH(2,1/((Canals!$F$24:$F$29&lt;=$C15)*(Canals!$G$24:$G$29=_xlfn.IFS(SJ15="Handysize",Main!US15,SJ15="Supramax",UL15,SJ15="Panamax",UE15,SJ15="NeoPanamax",TX15,SJ15="Suezmax",TQ15,SJ15="Capesize",TJ15,SJ15="VLOC",TC15)))))</f>
        <v>#N/A</v>
      </c>
      <c r="XC15" s="75" t="e">
        <f t="array" aca="1" ref="XC15" ca="1">INDEX(Canals!$AK$24:$AK$29,MATCH(2,1/((Canals!$F$24:$F$29&lt;=$C15)*(Canals!$G$24:$G$29=_xlfn.IFS(SJ15="Handysize",Main!US15,SJ15="Supramax",UL15,SJ15="Panamax",UE15,SJ15="NeoPanamax",TX15,SJ15="Suezmax",TQ15,SJ15="Capesize",TJ15,SJ15="VLOC",TC15)))))</f>
        <v>#N/A</v>
      </c>
      <c r="XD15" s="136" t="e">
        <f t="array" aca="1" ref="XD15" ca="1">INDEX(Canals!$AL$24:$AL$29,MATCH(2,1/((Canals!$F$24:$F$29&lt;=$C15)*(Canals!$G$24:$G$29=_xlfn.IFS(SJ15="Handysize",Main!US15,SJ15="Supramax",UL15,SJ15="Panamax",UE15,SJ15="NeoPanamax",TX15,SJ15="Suezmax",TQ15,SJ15="Capesize",TJ15,SJ15="VLOC",TC15)))))</f>
        <v>#N/A</v>
      </c>
      <c r="XE15" s="136" t="e">
        <f t="array" aca="1" ref="XE15" ca="1">INDEX(Canals!$AM$24:$AM$29,MATCH(2,1/((Canals!$F$24:$F$29&lt;=$C15)*(Canals!$G$24:$G$29=_xlfn.IFS(SJ15="Handysize",Main!US15,SJ15="Supramax",UL15,SJ15="Panamax",UE15,SJ15="NeoPanamax",TX15,SJ15="Suezmax",TQ15,SJ15="Capesize",TJ15,SJ15="VLOC",TC15)))))</f>
        <v>#N/A</v>
      </c>
      <c r="XF15" s="136" t="e">
        <f t="array" aca="1" ref="XF15" ca="1">INDEX(Canals!$AN$24:$AN$29,MATCH(2,1/((Canals!$F$24:$F$29&lt;=$C15)*(Canals!$G$24:$G$29=_xlfn.IFS(SJ15="Handysize",Main!US15,SJ15="Supramax",UL15,SJ15="Panamax",UE15,SJ15="NeoPanamax",TX15,SJ15="Suezmax",TQ15,SJ15="Capesize",TJ15,SJ15="VLOC",TC15)))))</f>
        <v>#N/A</v>
      </c>
      <c r="XG15" s="136" t="e">
        <f t="array" aca="1" ref="XG15" ca="1">INDEX(Canals!$AO$24:$AO$29,MATCH(2,1/((Canals!$F$24:$F$29&lt;=$C15)*(Canals!$G$24:$G$29=_xlfn.IFS(SJ15="Handysize",Main!US15,SJ15="Supramax",UL15,SJ15="Panamax",UE15,SJ15="NeoPanamax",TX15,SJ15="Suezmax",TQ15,SJ15="Capesize",TJ15,SJ15="VLOC",TC15)))))</f>
        <v>#N/A</v>
      </c>
      <c r="XH15" s="136" t="e">
        <f t="array" aca="1" ref="XH15" ca="1">INDEX(Canals!$AP$24:$AP$29,MATCH(2,1/((Canals!$F$24:$F$29&lt;=$C15)*(Canals!$G$24:$G$29=_xlfn.IFS(SJ15="Handysize",Main!US15,SJ15="Supramax",UL15,SJ15="Panamax",UE15,SJ15="NeoPanamax",TX15,SJ15="Suezmax",TQ15,SJ15="Capesize",TJ15,SJ15="VLOC",TC15)))))</f>
        <v>#N/A</v>
      </c>
      <c r="XI15" s="136" t="e">
        <f t="array" aca="1" ref="XI15" ca="1">INDEX(Canals!$AQ$24:$AQ$29,MATCH(2,1/((Canals!$F$24:$F$29&lt;=$C15)*(Canals!$G$24:$G$29=_xlfn.IFS(SJ15="Handysize",Main!US15,SJ15="Supramax",UL15,SJ15="Panamax",UE15,SJ15="NeoPanamax",TX15,SJ15="Suezmax",TQ15,SJ15="Capesize",TJ15,SJ15="VLOC",TC15)))))</f>
        <v>#N/A</v>
      </c>
      <c r="XJ15" s="136" t="e">
        <f t="array" aca="1" ref="XJ15" ca="1">INDEX(Canals!$AR$24:$AR$29,MATCH(2,1/((Canals!$F$24:$F$29&lt;=$C15)*(Canals!$G$24:$G$29=_xlfn.IFS(SJ15="Handysize",Main!US15,SJ15="Supramax",UL15,SJ15="Panamax",UE15,SJ15="NeoPanamax",TX15,SJ15="Suezmax",TQ15,SJ15="Capesize",TJ15,SJ15="VLOC",TC15)))))</f>
        <v>#N/A</v>
      </c>
      <c r="XK15" s="136" t="e">
        <f t="array" aca="1" ref="XK15" ca="1">INDEX(Canals!$AS$24:$AS$29,MATCH(2,1/((Canals!$F$24:$F$29&lt;=$C15)*(Canals!$G$24:$G$29=_xlfn.IFS(SJ15="Handysize",Main!US15,SJ15="Supramax",UL15,SJ15="Panamax",UE15,SJ15="NeoPanamax",TX15,SJ15="Suezmax",TQ15,SJ15="Capesize",TJ15,SJ15="VLOC",TC15)))))</f>
        <v>#N/A</v>
      </c>
      <c r="XL15" s="136" t="e">
        <f t="array" aca="1" ref="XL15" ca="1">INDEX(Canals!$AT$24:$AT$29,MATCH(2,1/((Canals!$F$24:$F$29&lt;=$C15)*(Canals!$G$24:$G$29=_xlfn.IFS(SJ15="Handysize",Main!US15,SJ15="Supramax",UL15,SJ15="Panamax",UE15,SJ15="NeoPanamax",TX15,SJ15="Suezmax",TQ15,SJ15="Capesize",TJ15,SJ15="VLOC",TC15)))))</f>
        <v>#N/A</v>
      </c>
      <c r="XM15" s="136" t="e">
        <f t="array" aca="1" ref="XM15" ca="1">INDEX(Canals!$AU$24:$AU$29,MATCH(2,1/((Canals!$F$24:$F$29&lt;=$C15)*(Canals!$G$24:$G$29=_xlfn.IFS(SJ15="Handysize",Main!US15,SJ15="Supramax",UL15,SJ15="Panamax",UE15,SJ15="NeoPanamax",TX15,SJ15="Suezmax",TQ15,SJ15="Capesize",TJ15,SJ15="VLOC",TC15)))))</f>
        <v>#N/A</v>
      </c>
      <c r="XN15" s="136" t="e">
        <f t="array" aca="1" ref="XN15" ca="1">INDEX(Canals!$AV$24:$AV$29,MATCH(2,1/((Canals!$F$24:$F$29&lt;=$C15)*(Canals!$G$24:$G$29=_xlfn.IFS(SJ15="Handysize",Main!US15,SJ15="Supramax",UL15,SJ15="Panamax",UE15,SJ15="NeoPanamax",TX15,SJ15="Suezmax",TQ15,SJ15="Capesize",TJ15,SJ15="VLOC",TC15)))))</f>
        <v>#N/A</v>
      </c>
      <c r="XP15" s="75" t="e">
        <f t="array" aca="1" ref="XP15" ca="1">_xlfn.IFS(WA15="DWT",SH15,WA15="NRT",SL15,WA15="GRT",SM15,WA15=0,0)</f>
        <v>#NAME?</v>
      </c>
      <c r="XQ15" s="279" t="e">
        <f t="shared" ca="1" si="125"/>
        <v>#NAME?</v>
      </c>
      <c r="XR15" s="280" t="e">
        <f t="shared" ca="1" si="126"/>
        <v>#NAME?</v>
      </c>
      <c r="XS15" s="280" t="e">
        <f t="shared" ca="1" si="127"/>
        <v>#NAME?</v>
      </c>
      <c r="XT15" s="280" t="e">
        <f t="shared" ca="1" si="128"/>
        <v>#NAME?</v>
      </c>
      <c r="XU15" s="280" t="e">
        <f t="shared" ca="1" si="129"/>
        <v>#NAME?</v>
      </c>
      <c r="XV15" s="280" t="e">
        <f t="shared" ca="1" si="130"/>
        <v>#NAME?</v>
      </c>
      <c r="XW15" s="280" t="e">
        <f t="shared" ca="1" si="131"/>
        <v>#NAME?</v>
      </c>
      <c r="XX15" s="280" t="e">
        <f t="shared" ca="1" si="132"/>
        <v>#NAME?</v>
      </c>
      <c r="XY15" s="280" t="e">
        <f t="shared" ca="1" si="133"/>
        <v>#NAME?</v>
      </c>
      <c r="XZ15" s="75">
        <f t="shared" si="134"/>
        <v>0</v>
      </c>
      <c r="YA15" s="279" t="e">
        <f t="shared" ca="1" si="135"/>
        <v>#N/A</v>
      </c>
      <c r="YB15" s="280" t="e">
        <f t="shared" ca="1" si="136"/>
        <v>#N/A</v>
      </c>
      <c r="YC15" s="280" t="e">
        <f t="shared" ca="1" si="137"/>
        <v>#N/A</v>
      </c>
      <c r="YD15" s="280" t="e">
        <f t="shared" ca="1" si="138"/>
        <v>#N/A</v>
      </c>
      <c r="YE15" s="280" t="e">
        <f t="shared" ca="1" si="139"/>
        <v>#N/A</v>
      </c>
      <c r="YF15" s="280" t="e">
        <f t="shared" ca="1" si="140"/>
        <v>#N/A</v>
      </c>
      <c r="YG15" s="280" t="e">
        <f t="shared" ca="1" si="141"/>
        <v>#N/A</v>
      </c>
      <c r="YH15" s="280" t="e">
        <f t="shared" ca="1" si="142"/>
        <v>#N/A</v>
      </c>
      <c r="YI15" s="280" t="e">
        <f t="shared" ca="1" si="143"/>
        <v>#N/A</v>
      </c>
      <c r="YK15" s="75" t="e">
        <f t="array" aca="1" ref="YK15" ca="1">_xlfn.IFS(SJ15="Handysize",Main!UM15,SJ15="Supramax",UF15,SJ15="Panamax",TY15,SJ15="NeoPanamax",TR15,SJ15="Suezmax",TK15,SJ15="Capesize",TD15,SJ15="VLOC",SW15)*$JI15</f>
        <v>#NAME?</v>
      </c>
      <c r="YL15" s="274" t="e">
        <f t="array" aca="1" ref="YL15" ca="1">_xlfn.IFS(SJ15="Handysize",Main!UN15,SJ15="Supramax",UG15,SJ15="Panamax",TZ15,SJ15="NeoPanamax",TS15,SJ15="Suezmax",TL15,SJ15="Capesize",TE15,SJ15="VLOC",SX15)*$JI15</f>
        <v>#NAME?</v>
      </c>
      <c r="YM15" s="71" t="e">
        <f t="array" aca="1" ref="YM15" ca="1">_xlfn.IFS(SJ15="Handysize",Main!SO15,SJ15="Supramax",SP15,SJ15="Panamax",SQ15,SJ15="NeoPanamax",SR15,SJ15="Suezmax",SS15,SJ15="Capesize",ST15,SJ15="VLOC",SU15)</f>
        <v>#NAME?</v>
      </c>
      <c r="YN15" s="71" t="e">
        <f t="array" aca="1" ref="YN15" ca="1">_xlfn.IFS(SJ15="Handysize",Main!VA15,SJ15="Supramax",VB15,SJ15="Panamax",VC15,SJ15="NeoPanamax",VD15,SJ15="Suezmax",VE15,SJ15="Capesize",VF15,SJ15="VLOC",VG15)</f>
        <v>#NAME?</v>
      </c>
      <c r="YO15" s="70">
        <f t="array" ref="YO15">INDEX('Ship Speeds'!$G$11:$G$1011,MATCH(2,1/(('Ship Speeds'!$E$11:$E$1011&lt;=Main!$C15)*('Ship Speeds'!$F$11:$F$1011=Main!SI15))))</f>
        <v>11</v>
      </c>
      <c r="YP15" s="403">
        <f t="shared" si="144"/>
        <v>0</v>
      </c>
      <c r="YQ15" s="401">
        <f t="shared" si="145"/>
        <v>1.2</v>
      </c>
      <c r="YR15" s="70" t="e">
        <f t="shared" ca="1" si="146"/>
        <v>#NAME?</v>
      </c>
      <c r="YS15" s="70" t="e">
        <f t="shared" ca="1" si="147"/>
        <v>#NAME?</v>
      </c>
      <c r="YT15" s="70" t="e">
        <f t="shared" ca="1" si="148"/>
        <v>#NAME?</v>
      </c>
      <c r="YU15" s="70" t="e">
        <f t="shared" ca="1" si="149"/>
        <v>#NAME?</v>
      </c>
      <c r="YV15" s="72" t="e">
        <f t="shared" ca="1" si="150"/>
        <v>#N/A</v>
      </c>
      <c r="YW15" s="70" t="e">
        <f t="shared" ca="1" si="151"/>
        <v>#NAME?</v>
      </c>
      <c r="YX15" s="70" t="e">
        <f t="array" aca="1" ref="YX15" ca="1">IF(YK15=0,0,INDEX(UU15:UY15,MATCH(_xlfn.IFS(SJ15="Handysize",Main!UQ15,SJ15="Supramax",UJ15,SJ15="Panamax",UC15,SJ15="NeoPanamax",TV15,SJ15="Suezmax",TO15,SJ15="Capesize",TH15,SJ15="VLOC",TA15),$UU$7:$UY$7,0)))</f>
        <v>#NAME?</v>
      </c>
      <c r="YY15" s="70" t="e">
        <f t="array" aca="1" ref="YY15" ca="1">IF(YK15=0,0,INDEX(UU15:UY15,MATCH(_xlfn.IFS(SJ15="Handysize",Main!UR15,SJ15="Supramax",UK15,SJ15="Panamax",UD15,SJ15="NeoPanamax",TW15,SJ15="Suezmax",TP15,SJ15="Capesize",TI15,SJ15="VLOC",TB15),$UU$7:$UY$7,0)))</f>
        <v>#NAME?</v>
      </c>
      <c r="YZ15" s="71" t="e">
        <f t="shared" ca="1" si="152"/>
        <v>#NAME?</v>
      </c>
      <c r="ZA15" s="71" t="e">
        <f t="shared" ca="1" si="153"/>
        <v>#NAME?</v>
      </c>
      <c r="ZB15" s="281" t="e">
        <f t="shared" ca="1" si="154"/>
        <v>#NAME?</v>
      </c>
      <c r="ZC15" s="71" t="e">
        <f t="shared" ca="1" si="155"/>
        <v>#NAME?</v>
      </c>
      <c r="ZD15" s="71" t="e">
        <f t="shared" ca="1" si="156"/>
        <v>#NAME?</v>
      </c>
      <c r="ZE15" s="71" t="e">
        <f t="shared" ca="1" si="157"/>
        <v>#NAME?</v>
      </c>
      <c r="ZF15" s="71" t="e">
        <f t="shared" ca="1" si="158"/>
        <v>#NAME?</v>
      </c>
      <c r="ZG15" s="71" t="e">
        <f t="shared" ca="1" si="159"/>
        <v>#NAME?</v>
      </c>
      <c r="ZH15" s="71" t="e">
        <f t="shared" ca="1" si="160"/>
        <v>#NAME?</v>
      </c>
      <c r="ZI15" s="71" t="e">
        <f t="shared" ca="1" si="161"/>
        <v>#NAME?</v>
      </c>
      <c r="ZJ15" s="71" t="e">
        <f t="shared" ca="1" si="162"/>
        <v>#NAME?</v>
      </c>
      <c r="ZK15" s="71" t="e">
        <f t="shared" ca="1" si="163"/>
        <v>#NAME?</v>
      </c>
      <c r="ZL15" s="71" t="e">
        <f t="shared" ca="1" si="164"/>
        <v>#NAME?</v>
      </c>
      <c r="ZM15" s="71" t="e">
        <f t="shared" ca="1" si="165"/>
        <v>#NAME?</v>
      </c>
      <c r="ZN15" s="71" t="e">
        <f t="shared" ca="1" si="166"/>
        <v>#NAME?</v>
      </c>
      <c r="ZO15" s="72" t="e">
        <f t="shared" ca="1" si="167"/>
        <v>#NAME?</v>
      </c>
      <c r="ZP15" s="72" t="e">
        <f t="shared" ca="1" si="168"/>
        <v>#NAME?</v>
      </c>
      <c r="ZQ15" s="71" t="e">
        <f t="shared" ca="1" si="169"/>
        <v>#NAME?</v>
      </c>
      <c r="ZR15" s="71" t="e">
        <f t="array" aca="1" ref="ZR15" ca="1">IF(YK15=0,0,INDEX('Ship Time Charter Rates'!$H$22:$H$1021,MATCH(2,1/(('Ship Time Charter Rates'!$G$22:$G$1021=_xlfn.IFS(SJ15="Handysize",Main!UO15,SJ15="Supramax",UH15,SJ15="Panamax",UA15,SJ15="NeoPanamax",TT15,SJ15="Suezmax",TM15,SJ15="Capesize",TF15,SJ15="VLOC",SY15))*('Ship Time Charter Rates'!$E$22:$E$1021&lt;=Main!$C15)*(NOT(ISBLANK('Ship Time Charter Rates'!$H$22:$H$1021)))))))</f>
        <v>#NAME?</v>
      </c>
      <c r="ZS15" s="71" t="e">
        <f t="shared" ca="1" si="170"/>
        <v>#NAME?</v>
      </c>
      <c r="ZT15" s="70" t="e">
        <f t="shared" ca="1" si="171"/>
        <v>#NAME?</v>
      </c>
      <c r="ZU15" s="71" t="e">
        <f t="shared" ca="1" si="172"/>
        <v>#NAME?</v>
      </c>
      <c r="ZV15" s="71" t="e">
        <f t="shared" ca="1" si="304"/>
        <v>#NAME?</v>
      </c>
      <c r="ZW15" s="72" t="e">
        <f t="shared" ca="1" si="305"/>
        <v>#NAME?</v>
      </c>
      <c r="ZY15" s="287" t="s">
        <v>39</v>
      </c>
      <c r="AAA15" s="25">
        <f t="shared" si="322"/>
        <v>57000</v>
      </c>
      <c r="AAB15" s="4" t="str">
        <f>VLOOKUP(AAA15,'Ship Time Charter Rates'!$F$10:$G$17,2,TRUE)</f>
        <v>Supramax</v>
      </c>
      <c r="AAC15" s="4" t="str">
        <f>VLOOKUP(AAA15,Canals!$E$5:$F$12,2,TRUE)</f>
        <v>Supramax</v>
      </c>
      <c r="AAD15" s="25">
        <f t="shared" si="173"/>
        <v>195.65099999999998</v>
      </c>
      <c r="AAE15" s="25">
        <f t="shared" si="174"/>
        <v>22993.8</v>
      </c>
      <c r="AAF15" s="25">
        <f t="shared" si="175"/>
        <v>34374.300000000003</v>
      </c>
      <c r="AAH15" s="75">
        <f t="array" ref="AAH15">INDEX('Indices Mines Exporting Ports'!$R$20:$R$51,MATCH(2,1/(('Indices Mines Exporting Ports'!$D$20:$D$51&lt;=Main!$C15)*('Indices Mines Exporting Ports'!$Q$20:$Q$51=$AP15))))</f>
        <v>15000</v>
      </c>
      <c r="AAI15" s="75">
        <f t="array" ref="AAI15">INDEX('Indices Mines Exporting Ports'!$S$20:$S$51,MATCH(2,1/(('Indices Mines Exporting Ports'!$D$20:$D$51&lt;=Main!$C15)*('Indices Mines Exporting Ports'!$Q$20:$Q$51=$AP15))))</f>
        <v>15000</v>
      </c>
      <c r="AAJ15" s="75">
        <f t="array" ref="AAJ15">INDEX('Indices Mines Exporting Ports'!$T$20:$T$51,MATCH(2,1/(('Indices Mines Exporting Ports'!$D$20:$D$51&lt;=Main!$C15)*('Indices Mines Exporting Ports'!$Q$20:$Q$51=$AP15))))</f>
        <v>15000</v>
      </c>
      <c r="AAK15" s="75">
        <f t="array" ref="AAK15">INDEX('Indices Mines Exporting Ports'!$U$20:$U$51,MATCH(2,1/(('Indices Mines Exporting Ports'!$D$20:$D$51&lt;=Main!$C15)*('Indices Mines Exporting Ports'!$Q$20:$Q$51=$AP15))))</f>
        <v>15000</v>
      </c>
      <c r="AAL15" s="75">
        <f t="array" ref="AAL15">INDEX('Indices Mines Exporting Ports'!$V$20:$V$51,MATCH(2,1/(('Indices Mines Exporting Ports'!$D$20:$D$51&lt;=Main!$C15)*('Indices Mines Exporting Ports'!$Q$20:$Q$51=$AP15))))</f>
        <v>15000</v>
      </c>
      <c r="AAM15" s="75">
        <f t="array" ref="AAM15">INDEX('Indices Mines Exporting Ports'!$W$20:$W$51,MATCH(2,1/(('Indices Mines Exporting Ports'!$D$20:$D$51&lt;=Main!$C15)*('Indices Mines Exporting Ports'!$Q$20:$Q$51=$AP15))))</f>
        <v>15000</v>
      </c>
      <c r="AAN15" s="75">
        <f t="array" ref="AAN15">INDEX('Indices Mines Exporting Ports'!$X$20:$X$51,MATCH(2,1/(('Indices Mines Exporting Ports'!$D$20:$D$51&lt;=Main!$C15)*('Indices Mines Exporting Ports'!$Q$20:$Q$51=$AP15))))</f>
        <v>15000</v>
      </c>
      <c r="AAP15" s="75">
        <f t="array" ref="AAP15">INDEX('Port Linkages'!$E$18:$E$157,MATCH(2,1/(('Port Linkages'!$C$18:$C$157=$AP15)*('Port Linkages'!$D$18:$D$157=IF($AO15="Yes",$AQ15,$KK15))*('Port Linkages'!$A$18:$A$157&lt;=$C15))))</f>
        <v>2300</v>
      </c>
      <c r="AAQ15" s="75">
        <f t="array" ref="AAQ15">INDEX('Port Linkages'!$F$18:$F$157,MATCH(2,1/(('Port Linkages'!$C$18:$C$157=$AP15)*('Port Linkages'!$D$18:$D$157=IF($AO15="Yes",$AQ15,$KK15))*('Port Linkages'!$A$18:$A$157&lt;=$C15))))</f>
        <v>0</v>
      </c>
      <c r="AAR15" s="75" t="str">
        <f t="array" ref="AAR15">INDEX('Port Linkages'!$G$18:$G$157,MATCH(2,1/(('Port Linkages'!$C$18:$C$157=$AP15)*('Port Linkages'!$D$18:$D$157=IF($AO15="Yes",$AQ15,$KK15))*('Port Linkages'!$A$18:$A$157&lt;=$C15))))</f>
        <v>VLOC_General</v>
      </c>
      <c r="AAS15" s="75" t="str">
        <f t="array" ref="AAS15">INDEX('Port Linkages'!$H$18:$H$157,MATCH(2,1/(('Port Linkages'!$C$18:$C$157=$AP15)*('Port Linkages'!$D$18:$D$157=IF($AO15="Yes",$AQ15,$KK15))*('Port Linkages'!$A$18:$A$157&lt;=$C15))))</f>
        <v>Singapore</v>
      </c>
      <c r="AAT15" s="75" t="str">
        <f t="array" ref="AAT15">INDEX('Port Linkages'!$I$18:$I$157,MATCH(2,1/(('Port Linkages'!$C$18:$C$157=$AP15)*('Port Linkages'!$D$18:$D$157=IF($AO15="Yes",$AQ15,$KK15))*('Port Linkages'!$A$18:$A$157&lt;=$C15))))</f>
        <v>VLSFO</v>
      </c>
      <c r="AAU15" s="75" t="str">
        <f t="array" ref="AAU15">INDEX('Port Linkages'!$J$18:$J$157,MATCH(2,1/(('Port Linkages'!$C$18:$C$157=$AP15)*('Port Linkages'!$D$18:$D$157=IF($AO15="Yes",$AQ15,$KK15))*('Port Linkages'!$A$18:$A$157&lt;=$C15))))</f>
        <v>MGO_Regular</v>
      </c>
      <c r="AAV15" s="75" t="str">
        <f t="array" ref="AAV15">INDEX('Port Linkages'!$K$18:$K$157,MATCH(2,1/(('Port Linkages'!$C$18:$C$157=$AP15)*('Port Linkages'!$D$18:$D$157=IF($AO15="Yes",$AQ15,$KK15))*('Port Linkages'!$A$18:$A$157&lt;=$C15))))</f>
        <v>none</v>
      </c>
      <c r="AAW15" s="75">
        <f t="array" ref="AAW15">INDEX('Port Linkages'!$L$18:$L$157,MATCH(2,1/(('Port Linkages'!$C$18:$C$157=$AP15)*('Port Linkages'!$D$18:$D$157=IF($AO15="Yes",$AQ15,$KK15))*('Port Linkages'!$A$18:$A$157&lt;=$C15))))</f>
        <v>2300</v>
      </c>
      <c r="AAX15" s="75">
        <f t="array" ref="AAX15">INDEX('Port Linkages'!$M$18:$M$157,MATCH(2,1/(('Port Linkages'!$C$18:$C$157=$AP15)*('Port Linkages'!$D$18:$D$157=IF($AO15="Yes",$AQ15,$KK15))*('Port Linkages'!$A$18:$A$157&lt;=$C15))))</f>
        <v>0</v>
      </c>
      <c r="AAY15" s="75" t="str">
        <f t="array" ref="AAY15">INDEX('Port Linkages'!$N$18:$N$157,MATCH(2,1/(('Port Linkages'!$C$18:$C$157=$AP15)*('Port Linkages'!$D$18:$D$157=IF($AO15="Yes",$AQ15,$KK15))*('Port Linkages'!$A$18:$A$157&lt;=$C15))))</f>
        <v>Capesize_General</v>
      </c>
      <c r="AAZ15" s="75" t="str">
        <f t="array" ref="AAZ15">INDEX('Port Linkages'!$O$18:$O$157,MATCH(2,1/(('Port Linkages'!$C$18:$C$157=$AP15)*('Port Linkages'!$D$18:$D$157=IF($AO15="Yes",$AQ15,$KK15))*('Port Linkages'!$A$18:$A$157&lt;=$C15))))</f>
        <v>Singapore</v>
      </c>
      <c r="ABA15" s="75" t="str">
        <f t="array" ref="ABA15">INDEX('Port Linkages'!$P$18:$P$157,MATCH(2,1/(('Port Linkages'!$C$18:$C$157=$AP15)*('Port Linkages'!$D$18:$D$157=IF($AO15="Yes",$AQ15,$KK15))*('Port Linkages'!$A$18:$A$157&lt;=$C15))))</f>
        <v>VLSFO</v>
      </c>
      <c r="ABB15" s="75" t="str">
        <f t="array" ref="ABB15">INDEX('Port Linkages'!$Q$18:$Q$157,MATCH(2,1/(('Port Linkages'!$C$18:$C$157=$AP15)*('Port Linkages'!$D$18:$D$157=IF($AO15="Yes",$AQ15,$KK15))*('Port Linkages'!$A$18:$A$157&lt;=$C15))))</f>
        <v>MGO_Regular</v>
      </c>
      <c r="ABC15" s="75" t="str">
        <f t="array" ref="ABC15">INDEX('Port Linkages'!$R$18:$R$157,MATCH(2,1/(('Port Linkages'!$C$18:$C$157=$AP15)*('Port Linkages'!$D$18:$D$157=IF($AO15="Yes",$AQ15,$KK15))*('Port Linkages'!$A$18:$A$157&lt;=$C15))))</f>
        <v>none</v>
      </c>
      <c r="ABD15" s="75">
        <f t="array" ref="ABD15">INDEX('Port Linkages'!$S$18:$S$157,MATCH(2,1/(('Port Linkages'!$C$18:$C$157=$AP15)*('Port Linkages'!$D$18:$D$157=IF($AO15="Yes",$AQ15,$KK15))*('Port Linkages'!$A$18:$A$157&lt;=$C15))))</f>
        <v>2300</v>
      </c>
      <c r="ABE15" s="75">
        <f t="array" ref="ABE15">INDEX('Port Linkages'!$T$18:$T$157,MATCH(2,1/(('Port Linkages'!$C$18:$C$157=$AP15)*('Port Linkages'!$D$18:$D$157=IF($AO15="Yes",$AQ15,$KK15))*('Port Linkages'!$A$18:$A$157&lt;=$C15))))</f>
        <v>0</v>
      </c>
      <c r="ABF15" s="75" t="str">
        <f t="array" ref="ABF15">INDEX('Port Linkages'!$U$18:$U$157,MATCH(2,1/(('Port Linkages'!$C$18:$C$157=$AP15)*('Port Linkages'!$D$18:$D$157=IF($AO15="Yes",$AQ15,$KK15))*('Port Linkages'!$A$18:$A$157&lt;=$C15))))</f>
        <v>Capesize_General</v>
      </c>
      <c r="ABG15" s="75" t="str">
        <f t="array" ref="ABG15">INDEX('Port Linkages'!$V$18:$V$157,MATCH(2,1/(('Port Linkages'!$C$18:$C$157=$AP15)*('Port Linkages'!$D$18:$D$157=IF($AO15="Yes",$AQ15,$KK15))*('Port Linkages'!$A$18:$A$157&lt;=$C15))))</f>
        <v>Singapore</v>
      </c>
      <c r="ABH15" s="75" t="str">
        <f t="array" ref="ABH15">INDEX('Port Linkages'!$W$18:$W$157,MATCH(2,1/(('Port Linkages'!$C$18:$C$157=$AP15)*('Port Linkages'!$D$18:$D$157=IF($AO15="Yes",$AQ15,$KK15))*('Port Linkages'!$A$18:$A$157&lt;=$C15))))</f>
        <v>VLSFO</v>
      </c>
      <c r="ABI15" s="75" t="str">
        <f t="array" ref="ABI15">INDEX('Port Linkages'!$X$18:$X$157,MATCH(2,1/(('Port Linkages'!$C$18:$C$157=$AP15)*('Port Linkages'!$D$18:$D$157=IF($AO15="Yes",$AQ15,$KK15))*('Port Linkages'!$A$18:$A$157&lt;=$C15))))</f>
        <v>MGO_Regular</v>
      </c>
      <c r="ABJ15" s="75" t="str">
        <f t="array" ref="ABJ15">INDEX('Port Linkages'!$Y$18:$Y$157,MATCH(2,1/(('Port Linkages'!$C$18:$C$157=$AP15)*('Port Linkages'!$D$18:$D$157=IF($AO15="Yes",$AQ15,$KK15))*('Port Linkages'!$A$18:$A$157&lt;=$C15))))</f>
        <v>none</v>
      </c>
      <c r="ABK15" s="75">
        <f t="array" ref="ABK15">INDEX('Port Linkages'!$Z$18:$Z$157,MATCH(2,1/(('Port Linkages'!$C$18:$C$157=$AP15)*('Port Linkages'!$D$18:$D$157=IF($AO15="Yes",$AQ15,$KK15))*('Port Linkages'!$A$18:$A$157&lt;=$C15))))</f>
        <v>2300</v>
      </c>
      <c r="ABL15" s="75">
        <f t="array" ref="ABL15">INDEX('Port Linkages'!$AA$18:$AA$157,MATCH(2,1/(('Port Linkages'!$C$18:$C$157=$AP15)*('Port Linkages'!$D$18:$D$157=IF($AO15="Yes",$AQ15,$KK15))*('Port Linkages'!$A$18:$A$157&lt;=$C15))))</f>
        <v>0</v>
      </c>
      <c r="ABM15" s="75" t="str">
        <f t="array" ref="ABM15">INDEX('Port Linkages'!$AB$18:$AB$157,MATCH(2,1/(('Port Linkages'!$C$18:$C$157=$AP15)*('Port Linkages'!$D$18:$D$157=IF($AO15="Yes",$AQ15,$KK15))*('Port Linkages'!$A$18:$A$157&lt;=$C15))))</f>
        <v>Capesize_General</v>
      </c>
      <c r="ABN15" s="75" t="str">
        <f t="array" ref="ABN15">INDEX('Port Linkages'!$AC$18:$AC$157,MATCH(2,1/(('Port Linkages'!$C$18:$C$157=$AP15)*('Port Linkages'!$D$18:$D$157=IF($AO15="Yes",$AQ15,$KK15))*('Port Linkages'!$A$18:$A$157&lt;=$C15))))</f>
        <v>Singapore</v>
      </c>
      <c r="ABO15" s="75" t="str">
        <f t="array" ref="ABO15">INDEX('Port Linkages'!$AD$18:$AD$157,MATCH(2,1/(('Port Linkages'!$C$18:$C$157=$AP15)*('Port Linkages'!$D$18:$D$157=IF($AO15="Yes",$AQ15,$KK15))*('Port Linkages'!$A$18:$A$157&lt;=$C15))))</f>
        <v>VLSFO</v>
      </c>
      <c r="ABP15" s="75" t="str">
        <f t="array" ref="ABP15">INDEX('Port Linkages'!$AE$18:$AE$157,MATCH(2,1/(('Port Linkages'!$C$18:$C$157=$AP15)*('Port Linkages'!$D$18:$D$157=IF($AO15="Yes",$AQ15,$KK15))*('Port Linkages'!$A$18:$A$157&lt;=$C15))))</f>
        <v>MGO_Regular</v>
      </c>
      <c r="ABQ15" s="75" t="str">
        <f t="array" ref="ABQ15">INDEX('Port Linkages'!$AF$18:$AF$157,MATCH(2,1/(('Port Linkages'!$C$18:$C$157=$AP15)*('Port Linkages'!$D$18:$D$157=IF($AO15="Yes",$AQ15,$KK15))*('Port Linkages'!$A$18:$A$157&lt;=$C15))))</f>
        <v>none</v>
      </c>
      <c r="ABR15" s="75">
        <f t="array" ref="ABR15">INDEX('Port Linkages'!$AG$18:$AG$157,MATCH(2,1/(('Port Linkages'!$C$18:$C$157=$AP15)*('Port Linkages'!$D$18:$D$157=IF($AO15="Yes",$AQ15,$KK15))*('Port Linkages'!$A$18:$A$157&lt;=$C15))))</f>
        <v>2300</v>
      </c>
      <c r="ABS15" s="75">
        <f t="array" ref="ABS15">INDEX('Port Linkages'!$AH$18:$AH$157,MATCH(2,1/(('Port Linkages'!$C$18:$C$157=$AP15)*('Port Linkages'!$D$18:$D$157=IF($AO15="Yes",$AQ15,$KK15))*('Port Linkages'!$A$18:$A$157&lt;=$C15))))</f>
        <v>0</v>
      </c>
      <c r="ABT15" s="75" t="str">
        <f t="array" ref="ABT15">INDEX('Port Linkages'!$AI$18:$AI$157,MATCH(2,1/(('Port Linkages'!$C$18:$C$157=$AP15)*('Port Linkages'!$D$18:$D$157=IF($AO15="Yes",$AQ15,$KK15))*('Port Linkages'!$A$18:$A$157&lt;=$C15))))</f>
        <v>Panamax_General</v>
      </c>
      <c r="ABU15" s="75" t="str">
        <f t="array" ref="ABU15">INDEX('Port Linkages'!$AJ$18:$AJ$157,MATCH(2,1/(('Port Linkages'!$C$18:$C$157=$AP15)*('Port Linkages'!$D$18:$D$157=IF($AO15="Yes",$AQ15,$KK15))*('Port Linkages'!$A$18:$A$157&lt;=$C15))))</f>
        <v>Singapore</v>
      </c>
      <c r="ABV15" s="75" t="str">
        <f t="array" ref="ABV15">INDEX('Port Linkages'!$AK$18:$AK$157,MATCH(2,1/(('Port Linkages'!$C$18:$C$157=$AP15)*('Port Linkages'!$D$18:$D$157=IF($AO15="Yes",$AQ15,$KK15))*('Port Linkages'!$A$18:$A$157&lt;=$C15))))</f>
        <v>VLSFO</v>
      </c>
      <c r="ABW15" s="75" t="str">
        <f t="array" ref="ABW15">INDEX('Port Linkages'!$AL$18:$AL$157,MATCH(2,1/(('Port Linkages'!$C$18:$C$157=$AP15)*('Port Linkages'!$D$18:$D$157=IF($AO15="Yes",$AQ15,$KK15))*('Port Linkages'!$A$18:$A$157&lt;=$C15))))</f>
        <v>MGO_Regular</v>
      </c>
      <c r="ABX15" s="75" t="str">
        <f t="array" ref="ABX15">INDEX('Port Linkages'!$AM$18:$AM$157,MATCH(2,1/(('Port Linkages'!$C$18:$C$157=$AP15)*('Port Linkages'!$D$18:$D$157=IF($AO15="Yes",$AQ15,$KK15))*('Port Linkages'!$A$18:$A$157&lt;=$C15))))</f>
        <v>none</v>
      </c>
      <c r="ABY15" s="75">
        <f t="array" ref="ABY15">INDEX('Port Linkages'!$AN$18:$AN$157,MATCH(2,1/(('Port Linkages'!$C$18:$C$157=$AP15)*('Port Linkages'!$D$18:$D$157=IF($AO15="Yes",$AQ15,$KK15))*('Port Linkages'!$A$18:$A$157&lt;=$C15))))</f>
        <v>2300</v>
      </c>
      <c r="ABZ15" s="75">
        <f t="array" ref="ABZ15">INDEX('Port Linkages'!$AO$18:$AO$157,MATCH(2,1/(('Port Linkages'!$C$18:$C$157=$AP15)*('Port Linkages'!$D$18:$D$157=IF($AO15="Yes",$AQ15,$KK15))*('Port Linkages'!$A$18:$A$157&lt;=$C15))))</f>
        <v>0</v>
      </c>
      <c r="ACA15" s="75" t="str">
        <f t="array" ref="ACA15">INDEX('Port Linkages'!$AP$18:$AP$157,MATCH(2,1/(('Port Linkages'!$C$18:$C$157=$AP15)*('Port Linkages'!$D$18:$D$157=IF($AO15="Yes",$AQ15,$KK15))*('Port Linkages'!$A$18:$A$157&lt;=$C15))))</f>
        <v>Supramax_General</v>
      </c>
      <c r="ACB15" s="75" t="str">
        <f t="array" ref="ACB15">INDEX('Port Linkages'!$AQ$18:$AQ$157,MATCH(2,1/(('Port Linkages'!$C$18:$C$157=$AP15)*('Port Linkages'!$D$18:$D$157=IF($AO15="Yes",$AQ15,$KK15))*('Port Linkages'!$A$18:$A$157&lt;=$C15))))</f>
        <v>Singapore</v>
      </c>
      <c r="ACC15" s="75" t="str">
        <f t="array" ref="ACC15">INDEX('Port Linkages'!$AR$18:$AR$157,MATCH(2,1/(('Port Linkages'!$C$18:$C$157=$AP15)*('Port Linkages'!$D$18:$D$157=IF($AO15="Yes",$AQ15,$KK15))*('Port Linkages'!$A$18:$A$157&lt;=$C15))))</f>
        <v>VLSFO</v>
      </c>
      <c r="ACD15" s="75" t="str">
        <f t="array" ref="ACD15">INDEX('Port Linkages'!$AS$18:$AS$157,MATCH(2,1/(('Port Linkages'!$C$18:$C$157=$AP15)*('Port Linkages'!$D$18:$D$157=IF($AO15="Yes",$AQ15,$KK15))*('Port Linkages'!$A$18:$A$157&lt;=$C15))))</f>
        <v>MGO_Regular</v>
      </c>
      <c r="ACE15" s="75" t="str">
        <f t="array" ref="ACE15">INDEX('Port Linkages'!$AT$18:$AT$157,MATCH(2,1/(('Port Linkages'!$C$18:$C$157=$AP15)*('Port Linkages'!$D$18:$D$157=IF($AO15="Yes",$AQ15,$KK15))*('Port Linkages'!$A$18:$A$157&lt;=$C15))))</f>
        <v>none</v>
      </c>
      <c r="ACF15" s="75">
        <f t="array" ref="ACF15">INDEX('Port Linkages'!$AU$18:$AU$157,MATCH(2,1/(('Port Linkages'!$C$18:$C$157=$AP15)*('Port Linkages'!$D$18:$D$157=IF($AO15="Yes",$AQ15,$KK15))*('Port Linkages'!$A$18:$A$157&lt;=$C15))))</f>
        <v>2300</v>
      </c>
      <c r="ACG15" s="75">
        <f t="array" ref="ACG15">INDEX('Port Linkages'!$AV$18:$AV$157,MATCH(2,1/(('Port Linkages'!$C$18:$C$157=$AP15)*('Port Linkages'!$D$18:$D$157=IF($AO15="Yes",$AQ15,$KK15))*('Port Linkages'!$A$18:$A$157&lt;=$C15))))</f>
        <v>0</v>
      </c>
      <c r="ACH15" s="75" t="str">
        <f t="array" ref="ACH15">INDEX('Port Linkages'!$AW$18:$AW$157,MATCH(2,1/(('Port Linkages'!$C$18:$C$157=$AP15)*('Port Linkages'!$D$18:$D$157=IF($AO15="Yes",$AQ15,$KK15))*('Port Linkages'!$A$18:$A$157&lt;=$C15))))</f>
        <v>Handysize_General</v>
      </c>
      <c r="ACI15" s="75" t="str">
        <f t="array" ref="ACI15">INDEX('Port Linkages'!$AX$18:$AX$157,MATCH(2,1/(('Port Linkages'!$C$18:$C$157=$AP15)*('Port Linkages'!$D$18:$D$157=IF($AO15="Yes",$AQ15,$KK15))*('Port Linkages'!$A$18:$A$157&lt;=$C15))))</f>
        <v>Singapore</v>
      </c>
      <c r="ACJ15" s="75" t="str">
        <f t="array" ref="ACJ15">INDEX('Port Linkages'!$AY$18:$AY$157,MATCH(2,1/(('Port Linkages'!$C$18:$C$157=$AP15)*('Port Linkages'!$D$18:$D$157=IF($AO15="Yes",$AQ15,$KK15))*('Port Linkages'!$A$18:$A$157&lt;=$C15))))</f>
        <v>VLSFO</v>
      </c>
      <c r="ACK15" s="75" t="str">
        <f t="array" ref="ACK15">INDEX('Port Linkages'!$AZ$18:$AZ$157,MATCH(2,1/(('Port Linkages'!$C$18:$C$157=$AP15)*('Port Linkages'!$D$18:$D$157=IF($AO15="Yes",$AQ15,$KK15))*('Port Linkages'!$A$18:$A$157&lt;=$C15))))</f>
        <v>MGO_Regular</v>
      </c>
      <c r="ACL15" s="75" t="str">
        <f t="array" ref="ACL15">INDEX('Port Linkages'!$BA$18:$BA$157,MATCH(2,1/(('Port Linkages'!$C$18:$C$157=$AP15)*('Port Linkages'!$D$18:$D$157=IF($AO15="Yes",$AQ15,$KK15))*('Port Linkages'!$A$18:$A$157&lt;=$C15))))</f>
        <v>none</v>
      </c>
      <c r="ACN15" s="25" t="e">
        <f t="array" aca="1" ref="ACN15" ca="1">INDEX('Ship Fuel Prices'!$F$5:$F$1004,MATCH(2,1/(('Ship Fuel Prices'!$E$5:$E$1004=_xlfn.IFS(AAC15="Handysize",Main!ACI15,AAC15="Supramax",ACB15,AAC15="Panamax",ABU15,AAC15="NeoPanamax",ABN15,AAC15="Suezmax",ABG15,AAC15="Capesize",AAZ15,AAC15="VLOC",AAS15))*('Ship Fuel Prices'!$D$5:$D$1004&lt;=Main!$C15))))</f>
        <v>#N/A</v>
      </c>
      <c r="ACO15" s="25" t="e">
        <f t="array" aca="1" ref="ACO15" ca="1">INDEX('Ship Fuel Prices'!$G$5:$G$1004,MATCH(2,1/(('Ship Fuel Prices'!$E$5:$E$1004=_xlfn.IFS(AAC15="Handysize",Main!ACI15,AAC15="Supramax",ACB15,AAC15="Panamax",ABU15,AAC15="NeoPanamax",ABN15,AAC15="Suezmax",ABG15,AAC15="Capesize",AAZ15,AAC15="VLOC",AAS15))*('Ship Fuel Prices'!$D$5:$D$1004&lt;=Main!$C15))))</f>
        <v>#N/A</v>
      </c>
      <c r="ACP15" s="25" t="e">
        <f t="array" aca="1" ref="ACP15" ca="1">INDEX('Ship Fuel Prices'!$H$5:$H$1004,MATCH(2,1/(('Ship Fuel Prices'!$E$5:$E$1004=_xlfn.IFS(AAC15="Handysize",Main!ACI15,AAC15="Supramax",ACB15,AAC15="Panamax",ABU15,AAC15="NeoPanamax",ABN15,AAC15="Suezmax",ABG15,AAC15="Capesize",AAZ15,AAC15="VLOC",AAS15))*('Ship Fuel Prices'!$D$5:$D$1004&lt;=Main!$C15))))</f>
        <v>#N/A</v>
      </c>
      <c r="ACQ15" s="25" t="e">
        <f t="array" aca="1" ref="ACQ15" ca="1">INDEX('Ship Fuel Prices'!$I$5:$I$1004,MATCH(2,1/(('Ship Fuel Prices'!$E$5:$E$1004=_xlfn.IFS(AAC15="Handysize",Main!ACI15,AAC15="Supramax",ACB15,AAC15="Panamax",ABU15,AAC15="NeoPanamax",ABN15,AAC15="Suezmax",ABG15,AAC15="Capesize",AAZ15,AAC15="VLOC",AAS15))*('Ship Fuel Prices'!$D$5:$D$1004&lt;=Main!$C15))))</f>
        <v>#N/A</v>
      </c>
      <c r="ACR15" s="25" t="e">
        <f t="array" aca="1" ref="ACR15" ca="1">INDEX('Ship Fuel Prices'!$J$5:$J$1004,MATCH(2,1/(('Ship Fuel Prices'!$E$5:$E$1004=_xlfn.IFS(AAC15="Handysize",Main!ACI15,AAC15="Supramax",ACB15,AAC15="Panamax",ABU15,AAC15="NeoPanamax",ABN15,AAC15="Suezmax",ABG15,AAC15="Capesize",AAZ15,AAC15="VLOC",AAS15))*('Ship Fuel Prices'!$D$5:$D$1004&lt;=Main!$C15))))</f>
        <v>#N/A</v>
      </c>
      <c r="ACT15" s="75">
        <f t="array" ref="ACT15">INDEX('China n Importing Ports'!$E$20:$E$41,MATCH(2,1/(('China n Importing Ports'!$D$20:$D$41&lt;=$C15)*('China n Importing Ports'!$C$20:$C$41=IF($AO15="Yes",$AQ15,$KK15)))))</f>
        <v>42500</v>
      </c>
      <c r="ACU15" s="75">
        <f t="array" ref="ACU15">INDEX('China n Importing Ports'!$F$20:$F$41,MATCH(2,1/(('China n Importing Ports'!$D$20:$D$41&lt;=$C15)*('China n Importing Ports'!$C$20:$C$41=IF($AO15="Yes",$AQ15,$KK15)))))</f>
        <v>42500</v>
      </c>
      <c r="ACV15" s="75">
        <f t="array" ref="ACV15">INDEX('China n Importing Ports'!$G$20:$G$41,MATCH(2,1/(('China n Importing Ports'!$D$20:$D$41&lt;=$C15)*('China n Importing Ports'!$C$20:$C$41=IF($AO15="Yes",$AQ15,$KK15)))))</f>
        <v>42500</v>
      </c>
      <c r="ACW15" s="75">
        <f t="array" ref="ACW15">INDEX('China n Importing Ports'!$H$20:$H$41,MATCH(2,1/(('China n Importing Ports'!$D$20:$D$41&lt;=$C15)*('China n Importing Ports'!$C$20:$C$41=IF($AO15="Yes",$AQ15,$KK15)))))</f>
        <v>42500</v>
      </c>
      <c r="ACX15" s="75">
        <f t="array" ref="ACX15">INDEX('China n Importing Ports'!$I$20:$I$41,MATCH(2,1/(('China n Importing Ports'!$D$20:$D$41&lt;=$C15)*('China n Importing Ports'!$C$20:$C$41=IF($AO15="Yes",$AQ15,$KK15)))))</f>
        <v>42500</v>
      </c>
      <c r="ACY15" s="75">
        <f t="array" ref="ACY15">INDEX('China n Importing Ports'!$J$20:$J$41,MATCH(2,1/(('China n Importing Ports'!$D$20:$D$41&lt;=$C15)*('China n Importing Ports'!$C$20:$C$41=IF($AO15="Yes",$AQ15,$KK15)))))</f>
        <v>42500</v>
      </c>
      <c r="ACZ15" s="75">
        <f t="array" ref="ACZ15">INDEX('China n Importing Ports'!$K$20:$K$41,MATCH(2,1/(('China n Importing Ports'!$D$20:$D$41&lt;=$C15)*('China n Importing Ports'!$C$20:$C$41=IF($AO15="Yes",$AQ15,$KK15)))))</f>
        <v>42500</v>
      </c>
      <c r="ADA15" s="75" t="str">
        <f t="array" ref="ADA15">INDEX('China n Importing Ports'!$L$20:$L$41,MATCH(2,1/(('China n Importing Ports'!$D$20:$D$41&lt;=$C15)*('China n Importing Ports'!$C$20:$C$41=IF($AO15="Yes",$AQ15,$KK15)))))</f>
        <v>RMB</v>
      </c>
      <c r="ADB15" s="75">
        <f t="array" ref="ADB15">INDEX('China n Importing Ports'!$M$20:$M$41,MATCH(2,1/(('China n Importing Ports'!$D$20:$D$41&lt;=$C15)*('China n Importing Ports'!$C$20:$C$41=IF($AO15="Yes",$AQ15,$KK15)))))</f>
        <v>12342</v>
      </c>
      <c r="ADC15" s="75">
        <f t="array" ref="ADC15">INDEX('China n Importing Ports'!$N$20:$N$41,MATCH(2,1/(('China n Importing Ports'!$D$20:$D$41&lt;=$C15)*('China n Importing Ports'!$C$20:$C$41=IF($AO15="Yes",$AQ15,$KK15)))))</f>
        <v>0</v>
      </c>
      <c r="ADD15" s="75">
        <f t="array" ref="ADD15">INDEX('China n Importing Ports'!$O$20:$O$41,MATCH(2,1/(('China n Importing Ports'!$D$20:$D$41&lt;=$C15)*('China n Importing Ports'!$C$20:$C$41=IF($AO15="Yes",$AQ15,$KK15)))))</f>
        <v>0</v>
      </c>
      <c r="ADE15" s="136">
        <f t="array" ref="ADE15">INDEX('China n Importing Ports'!$P$20:$P$41,MATCH(2,1/(('China n Importing Ports'!$D$20:$D$41&lt;=$C15)*('China n Importing Ports'!$C$20:$C$41=IF($AO15="Yes",$AQ15,$KK15)))))</f>
        <v>2.64</v>
      </c>
      <c r="ADF15" s="136">
        <f t="array" ref="ADF15">INDEX('China n Importing Ports'!$Q$20:$Q$41,MATCH(2,1/(('China n Importing Ports'!$D$20:$D$41&lt;=$C15)*('China n Importing Ports'!$C$20:$C$41=IF($AO15="Yes",$AQ15,$KK15)))))</f>
        <v>0</v>
      </c>
      <c r="ADG15" s="136">
        <f t="array" ref="ADG15">INDEX('China n Importing Ports'!$R$20:$R$41,MATCH(2,1/(('China n Importing Ports'!$D$20:$D$41&lt;=$C15)*('China n Importing Ports'!$C$20:$C$41=IF($AO15="Yes",$AQ15,$KK15)))))</f>
        <v>0</v>
      </c>
      <c r="ADH15" s="136">
        <f t="array" ref="ADH15">INDEX('China n Importing Ports'!$S$20:$S$41,MATCH(2,1/(('China n Importing Ports'!$D$20:$D$41&lt;=$C15)*('China n Importing Ports'!$C$20:$C$41=IF($AO15="Yes",$AQ15,$KK15)))))</f>
        <v>4.53</v>
      </c>
      <c r="ADI15" s="136">
        <f t="array" ref="ADI15">INDEX('China n Importing Ports'!$T$20:$T$41,MATCH(2,1/(('China n Importing Ports'!$D$20:$D$41&lt;=$C15)*('China n Importing Ports'!$C$20:$C$41=IF($AO15="Yes",$AQ15,$KK15)))))</f>
        <v>0.36699999999999999</v>
      </c>
      <c r="ADJ15" s="136">
        <f t="array" ref="ADJ15">INDEX('China n Importing Ports'!$U$20:$U$41,MATCH(2,1/(('China n Importing Ports'!$D$20:$D$41&lt;=$C15)*('China n Importing Ports'!$C$20:$C$41=IF($AO15="Yes",$AQ15,$KK15)))))</f>
        <v>0.05</v>
      </c>
      <c r="ADK15" s="136">
        <f t="array" ref="ADK15">INDEX('China n Importing Ports'!$V$20:$V$41,MATCH(2,1/(('China n Importing Ports'!$D$20:$D$41&lt;=$C15)*('China n Importing Ports'!$C$20:$C$41=IF($AO15="Yes",$AQ15,$KK15)))))</f>
        <v>0</v>
      </c>
      <c r="ADL15" s="136">
        <f t="array" ref="ADL15">INDEX('China n Importing Ports'!$W$20:$W$41,MATCH(2,1/(('China n Importing Ports'!$D$20:$D$41&lt;=$C15)*('China n Importing Ports'!$C$20:$C$41=IF($AO15="Yes",$AQ15,$KK15)))))</f>
        <v>0</v>
      </c>
      <c r="ADM15" s="136">
        <f t="array" ref="ADM15">INDEX('China n Importing Ports'!$X$20:$X$41,MATCH(2,1/(('China n Importing Ports'!$D$20:$D$41&lt;=$C15)*('China n Importing Ports'!$C$20:$C$41=IF($AO15="Yes",$AQ15,$KK15)))))</f>
        <v>0</v>
      </c>
      <c r="ADN15" s="136">
        <f t="array" ref="ADN15">INDEX('China n Importing Ports'!$Y$20:$Y$41,MATCH(2,1/(('China n Importing Ports'!$D$20:$D$41&lt;=$C15)*('China n Importing Ports'!$C$20:$C$41=IF($AO15="Yes",$AQ15,$KK15)))))</f>
        <v>197</v>
      </c>
      <c r="ADO15" s="136">
        <f t="array" ref="ADO15">INDEX('China n Importing Ports'!$Z$20:$Z$41,MATCH(2,1/(('China n Importing Ports'!$D$20:$D$41&lt;=$C15)*('China n Importing Ports'!$C$20:$C$41=IF($AO15="Yes",$AQ15,$KK15)))))</f>
        <v>0</v>
      </c>
      <c r="ADP15" s="136">
        <f t="array" ref="ADP15">INDEX('China n Importing Ports'!$AA$20:$AA$41,MATCH(2,1/(('China n Importing Ports'!$D$20:$D$41&lt;=$C15)*('China n Importing Ports'!$C$20:$C$41=IF($AO15="Yes",$AQ15,$KK15)))))</f>
        <v>0</v>
      </c>
      <c r="ADR15" s="75" t="e">
        <f t="array" aca="1" ref="ADR15" ca="1">INDEX(Canals!$G$24:$G$29,MATCH(2,1/((Canals!$F$24:$F$29&lt;=$C15)*(Canals!$G$24:$G$29=_xlfn.IFS(AAC15="Handysize",Main!ACL15,AAC15="Supramax",ACE15,AAC15="Panamax",ABX15,AAC15="NeoPanamax",ABQ15,AAC15="Suezmax",ABJ15,AAC15="Capesize",ABC15,AAC15="VLOC",AAV15)))))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S15" s="75" t="e">
        <f t="array" aca="1" ref="ADS15" ca="1">INDEX(Canals!$H$24:$H$29,MATCH(2,1/((Canals!$F$24:$F$29&lt;=$C15)*(Canals!$G$24:$G$29=_xlfn.IFS(AAC15="Handysize",Main!ACL15,AAC15="Supramax",ACE15,AAC15="Panamax",ABX15,AAC15="NeoPanamax",ABQ15,AAC15="Suezmax",ABJ15,AAC15="Capesize",ABC15,AAC15="VLOC",AAV15)))))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T15" s="75" t="e">
        <f t="array" aca="1" ref="ADT15" ca="1">INDEX(Canals!$I$24:$I$29,MATCH(2,1/((Canals!$F$24:$F$29&lt;=$C15)*(Canals!$G$24:$G$29=_xlfn.IFS(AAC15="Handysize",Main!ACL15,AAC15="Supramax",ACE15,AAC15="Panamax",ABX15,AAC15="NeoPanamax",ABQ15,AAC15="Suezmax",ABJ15,AAC15="Capesize",ABC15,AAC15="VLOC",AAV15)))))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U15" s="75" t="e">
        <f t="array" aca="1" ref="ADU15" ca="1">INDEX(Canals!$J$24:$J$29,MATCH(2,1/((Canals!$F$24:$F$29&lt;=$C15)*(Canals!$G$24:$G$29=_xlfn.IFS(AAC15="Handysize",Main!ACL15,AAC15="Supramax",ACE15,AAC15="Panamax",ABX15,AAC15="NeoPanamax",ABQ15,AAC15="Suezmax",ABJ15,AAC15="Capesize",ABC15,AAC15="VLOC",AAV15)))))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V15" s="75" t="e">
        <f t="array" aca="1" ref="ADV15" ca="1">INDEX(Canals!$K$24:$K$29,MATCH(2,1/((Canals!$F$24:$F$29&lt;=$C15)*(Canals!$G$24:$G$29=_xlfn.IFS(AAC15="Handysize",Main!ACL15,AAC15="Supramax",ACE15,AAC15="Panamax",ABX15,AAC15="NeoPanamax",ABQ15,AAC15="Suezmax",ABJ15,AAC15="Capesize",ABC15,AAC15="VLOC",AAV15)))))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W15" s="75" t="e">
        <f t="array" aca="1" ref="ADW15" ca="1">INDEX(Canals!$L$24:$L$29,MATCH(2,1/((Canals!$F$24:$F$29&lt;=$C15)*(Canals!$G$24:$G$29=_xlfn.IFS(AAC15="Handysize",Main!ACL15,AAC15="Supramax",ACE15,AAC15="Panamax",ABX15,AAC15="NeoPanamax",ABQ15,AAC15="Suezmax",ABJ15,AAC15="Capesize",ABC15,AAC15="VLOC",AAV15)))))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X15" s="75" t="e">
        <f t="array" aca="1" ref="ADX15" ca="1">INDEX(Canals!$M$24:$M$29,MATCH(2,1/((Canals!$F$24:$F$29&lt;=$C15)*(Canals!$G$24:$G$29=_xlfn.IFS(AAC15="Handysize",Main!ACL15,AAC15="Supramax",ACE15,AAC15="Panamax",ABX15,AAC15="NeoPanamax",ABQ15,AAC15="Suezmax",ABJ15,AAC15="Capesize",ABC15,AAC15="VLOC",AAV15)))))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Y15" s="75" t="e">
        <f t="array" aca="1" ref="ADY15" ca="1">INDEX(Canals!$N$24:$N$29,MATCH(2,1/((Canals!$F$24:$F$29&lt;=$C15)*(Canals!$G$24:$G$29=_xlfn.IFS(AAC15="Handysize",Main!ACL15,AAC15="Supramax",ACE15,AAC15="Panamax",ABX15,AAC15="NeoPanamax",ABQ15,AAC15="Suezmax",ABJ15,AAC15="Capesize",ABC15,AAC15="VLOC",AAV15)))))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DZ15" s="75" t="e">
        <f t="array" aca="1" ref="ADZ15" ca="1">INDEX(Canals!$O$24:$O$29,MATCH(2,1/((Canals!$F$24:$F$29&lt;=$C15)*(Canals!$G$24:$G$29=_xlfn.IFS(AAC15="Handysize",Main!ACL15,AAC15="Supramax",ACE15,AAC15="Panamax",ABX15,AAC15="NeoPanamax",ABQ15,AAC15="Suezmax",ABJ15,AAC15="Capesize",ABC15,AAC15="VLOC",AAV15)))))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A15" s="75" t="e">
        <f t="array" aca="1" ref="AEA15" ca="1">INDEX(Canals!$P$24:$P$29,MATCH(2,1/((Canals!$F$24:$F$29&lt;=$C15)*(Canals!$G$24:$G$29=_xlfn.IFS(AAC15="Handysize",Main!ACL15,AAC15="Supramax",ACE15,AAC15="Panamax",ABX15,AAC15="NeoPanamax",ABQ15,AAC15="Suezmax",ABJ15,AAC15="Capesize",ABC15,AAC15="VLOC",AAV15)))))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B15" s="75" t="e">
        <f t="array" aca="1" ref="AEB15" ca="1">INDEX(Canals!$Q$24:$Q$29,MATCH(2,1/((Canals!$F$24:$F$29&lt;=$C15)*(Canals!$G$24:$G$29=_xlfn.IFS(AAC15="Handysize",Main!ACL15,AAC15="Supramax",ACE15,AAC15="Panamax",ABX15,AAC15="NeoPanamax",ABQ15,AAC15="Suezmax",ABJ15,AAC15="Capesize",ABC15,AAC15="VLOC",AAV15)))))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C15" s="75" t="e">
        <f t="array" aca="1" ref="AEC15" ca="1">INDEX(Canals!$R$24:$R$29,MATCH(2,1/((Canals!$F$24:$F$29&lt;=$C15)*(Canals!$G$24:$G$29=_xlfn.IFS(AAC15="Handysize",Main!ACL15,AAC15="Supramax",ACE15,AAC15="Panamax",ABX15,AAC15="NeoPanamax",ABQ15,AAC15="Suezmax",ABJ15,AAC15="Capesize",ABC15,AAC15="VLOC",AAV15)))))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D15" s="136" t="e">
        <f t="array" aca="1" ref="AED15" ca="1">INDEX(Canals!$S$24:$S$29,MATCH(2,1/((Canals!$F$24:$F$29&lt;=$C15)*(Canals!$G$24:$G$29=_xlfn.IFS(AAC15="Handysize",Main!ACL15,AAC15="Supramax",ACE15,AAC15="Panamax",ABX15,AAC15="NeoPanamax",ABQ15,AAC15="Suezmax",ABJ15,AAC15="Capesize",ABC15,AAC15="VLOC",AAV15)))))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E15" s="136" t="e">
        <f t="array" aca="1" ref="AEE15" ca="1">INDEX(Canals!$T$24:$T$29,MATCH(2,1/((Canals!$F$24:$F$29&lt;=$C15)*(Canals!$G$24:$G$29=_xlfn.IFS(AAC15="Handysize",Main!ACL15,AAC15="Supramax",ACE15,AAC15="Panamax",ABX15,AAC15="NeoPanamax",ABQ15,AAC15="Suezmax",ABJ15,AAC15="Capesize",ABC15,AAC15="VLOC",AAV15)))))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F15" s="136" t="e">
        <f t="array" aca="1" ref="AEF15" ca="1">INDEX(Canals!$U$24:$U$29,MATCH(2,1/((Canals!$F$24:$F$29&lt;=$C15)*(Canals!$G$24:$G$29=_xlfn.IFS(AAC15="Handysize",Main!ACL15,AAC15="Supramax",ACE15,AAC15="Panamax",ABX15,AAC15="NeoPanamax",ABQ15,AAC15="Suezmax",ABJ15,AAC15="Capesize",ABC15,AAC15="VLOC",AAV15)))))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G15" s="136" t="e">
        <f t="array" aca="1" ref="AEG15" ca="1">INDEX(Canals!$V$24:$V$29,MATCH(2,1/((Canals!$F$24:$F$29&lt;=$C15)*(Canals!$G$24:$G$29=_xlfn.IFS(AAC15="Handysize",Main!ACL15,AAC15="Supramax",ACE15,AAC15="Panamax",ABX15,AAC15="NeoPanamax",ABQ15,AAC15="Suezmax",ABJ15,AAC15="Capesize",ABC15,AAC15="VLOC",AAV15)))))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H15" s="136" t="e">
        <f t="array" aca="1" ref="AEH15" ca="1">INDEX(Canals!$W$24:$W$29,MATCH(2,1/((Canals!$F$24:$F$29&lt;=$C15)*(Canals!$G$24:$G$29=_xlfn.IFS(AAC15="Handysize",Main!ACL15,AAC15="Supramax",ACE15,AAC15="Panamax",ABX15,AAC15="NeoPanamax",ABQ15,AAC15="Suezmax",ABJ15,AAC15="Capesize",ABC15,AAC15="VLOC",AAV15)))))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I15" s="136" t="e">
        <f t="array" aca="1" ref="AEI15" ca="1">INDEX(Canals!$X$24:$X$29,MATCH(2,1/((Canals!$F$24:$F$29&lt;=$C15)*(Canals!$G$24:$G$29=_xlfn.IFS(AAC15="Handysize",Main!ACL15,AAC15="Supramax",ACE15,AAC15="Panamax",ABX15,AAC15="NeoPanamax",ABQ15,AAC15="Suezmax",ABJ15,AAC15="Capesize",ABC15,AAC15="VLOC",AAV15)))))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J15" s="136" t="e">
        <f t="array" aca="1" ref="AEJ15" ca="1">INDEX(Canals!$Y$24:$Y$29,MATCH(2,1/((Canals!$F$24:$F$29&lt;=$C15)*(Canals!$G$24:$G$29=_xlfn.IFS(AAC15="Handysize",Main!ACL15,AAC15="Supramax",ACE15,AAC15="Panamax",ABX15,AAC15="NeoPanamax",ABQ15,AAC15="Suezmax",ABJ15,AAC15="Capesize",ABC15,AAC15="VLOC",AAV15)))))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K15" s="136" t="e">
        <f t="array" aca="1" ref="AEK15" ca="1">INDEX(Canals!$Z$24:$Z$29,MATCH(2,1/((Canals!$F$24:$F$29&lt;=$C15)*(Canals!$G$24:$G$29=_xlfn.IFS(AAC15="Handysize",Main!ACL15,AAC15="Supramax",ACE15,AAC15="Panamax",ABX15,AAC15="NeoPanamax",ABQ15,AAC15="Suezmax",ABJ15,AAC15="Capesize",ABC15,AAC15="VLOC",AAV15)))))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L15" s="136" t="e">
        <f t="array" aca="1" ref="AEL15" ca="1">INDEX(Canals!$AA$24:$AA$29,MATCH(2,1/((Canals!$F$24:$F$29&lt;=$C15)*(Canals!$G$24:$G$29=_xlfn.IFS(AAC15="Handysize",Main!ACL15,AAC15="Supramax",ACE15,AAC15="Panamax",ABX15,AAC15="NeoPanamax",ABQ15,AAC15="Suezmax",ABJ15,AAC15="Capesize",ABC15,AAC15="VLOC",AAV15)))))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M15" s="136" t="e">
        <f t="array" aca="1" ref="AEM15" ca="1">INDEX(Canals!$AB$24:$AB$29,MATCH(2,1/((Canals!$F$24:$F$29&lt;=$C15)*(Canals!$G$24:$G$29=_xlfn.IFS(AAC15="Handysize",Main!ACL15,AAC15="Supramax",ACE15,AAC15="Panamax",ABX15,AAC15="NeoPanamax",ABQ15,AAC15="Suezmax",ABJ15,AAC15="Capesize",ABC15,AAC15="VLOC",AAV15)))))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N15" s="75" t="e">
        <f t="array" aca="1" ref="AEN15" ca="1">INDEX(Canals!$AC$24:$AC$29,MATCH(2,1/((Canals!$F$24:$F$29&lt;=$C15)*(Canals!$G$24:$G$29=_xlfn.IFS(AAC15="Handysize",Main!ACL15,AAC15="Supramax",ACE15,AAC15="Panamax",ABX15,AAC15="NeoPanamax",ABQ15,AAC15="Suezmax",ABJ15,AAC15="Capesize",ABC15,AAC15="VLOC",AAV15)))))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O15" s="75" t="e">
        <f t="array" aca="1" ref="AEO15" ca="1">INDEX(Canals!$AD$24:$AD$29,MATCH(2,1/((Canals!$F$24:$F$29&lt;=$C15)*(Canals!$G$24:$G$29=_xlfn.IFS(AAC15="Handysize",Main!ACL15,AAC15="Supramax",ACE15,AAC15="Panamax",ABX15,AAC15="NeoPanamax",ABQ15,AAC15="Suezmax",ABJ15,AAC15="Capesize",ABC15,AAC15="VLOC",AAV15)))))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P15" s="75" t="e">
        <f t="array" aca="1" ref="AEP15" ca="1">INDEX(Canals!$AE$24:$AE$29,MATCH(2,1/((Canals!$F$24:$F$29&lt;=$C15)*(Canals!$G$24:$G$29=_xlfn.IFS(AAC15="Handysize",Main!ACL15,AAC15="Supramax",ACE15,AAC15="Panamax",ABX15,AAC15="NeoPanamax",ABQ15,AAC15="Suezmax",ABJ15,AAC15="Capesize",ABC15,AAC15="VLOC",AAV15)))))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Q15" s="75" t="e">
        <f t="array" aca="1" ref="AEQ15" ca="1">INDEX(Canals!$AF$24:$AF$29,MATCH(2,1/((Canals!$F$24:$F$29&lt;=$C15)*(Canals!$G$24:$G$29=_xlfn.IFS(AAC15="Handysize",Main!ACL15,AAC15="Supramax",ACE15,AAC15="Panamax",ABX15,AAC15="NeoPanamax",ABQ15,AAC15="Suezmax",ABJ15,AAC15="Capesize",ABC15,AAC15="VLOC",AAV15)))))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R15" s="75" t="e">
        <f t="array" aca="1" ref="AER15" ca="1">INDEX(Canals!$AG$24:$AG$29,MATCH(2,1/((Canals!$F$24:$F$29&lt;=$C15)*(Canals!$G$24:$G$29=_xlfn.IFS(AAC15="Handysize",Main!ACL15,AAC15="Supramax",ACE15,AAC15="Panamax",ABX15,AAC15="NeoPanamax",ABQ15,AAC15="Suezmax",ABJ15,AAC15="Capesize",ABC15,AAC15="VLOC",AAV15)))))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S15" s="75" t="e">
        <f t="array" aca="1" ref="AES15" ca="1">INDEX(Canals!$AH$24:$AH$29,MATCH(2,1/((Canals!$F$24:$F$29&lt;=$C15)*(Canals!$G$24:$G$29=_xlfn.IFS(AAC15="Handysize",Main!ACL15,AAC15="Supramax",ACE15,AAC15="Panamax",ABX15,AAC15="NeoPanamax",ABQ15,AAC15="Suezmax",ABJ15,AAC15="Capesize",ABC15,AAC15="VLOC",AAV15)))))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T15" s="75" t="e">
        <f t="array" aca="1" ref="AET15" ca="1">INDEX(Canals!$AI$24:$AI$29,MATCH(2,1/((Canals!$F$24:$F$29&lt;=$C15)*(Canals!$G$24:$G$29=_xlfn.IFS(AAC15="Handysize",Main!ACL15,AAC15="Supramax",ACE15,AAC15="Panamax",ABX15,AAC15="NeoPanamax",ABQ15,AAC15="Suezmax",ABJ15,AAC15="Capesize",ABC15,AAC15="VLOC",AAV15)))))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U15" s="75" t="e">
        <f t="array" aca="1" ref="AEU15" ca="1">INDEX(Canals!$AJ$24:$AJ$29,MATCH(2,1/((Canals!$F$24:$F$29&lt;=$C15)*(Canals!$G$24:$G$29=_xlfn.IFS(AAC15="Handysize",Main!ACL15,AAC15="Supramax",ACE15,AAC15="Panamax",ABX15,AAC15="NeoPanamax",ABQ15,AAC15="Suezmax",ABJ15,AAC15="Capesize",ABC15,AAC15="VLOC",AAV15)))))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V15" s="75" t="e">
        <f t="array" aca="1" ref="AEV15" ca="1">INDEX(Canals!$AK$24:$AK$29,MATCH(2,1/((Canals!$F$24:$F$29&lt;=$C15)*(Canals!$G$24:$G$29=_xlfn.IFS(AAC15="Handysize",Main!ACL15,AAC15="Supramax",ACE15,AAC15="Panamax",ABX15,AAC15="NeoPanamax",ABQ15,AAC15="Suezmax",ABJ15,AAC15="Capesize",ABC15,AAC15="VLOC",AAV15)))))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W15" s="136" t="e">
        <f t="array" aca="1" ref="AEW15" ca="1">INDEX(Canals!$AL$24:$AL$29,MATCH(2,1/((Canals!$F$24:$F$29&lt;=$C15)*(Canals!$G$24:$G$29=_xlfn.IFS(AAC15="Handysize",Main!ACL15,AAC15="Supramax",ACE15,AAC15="Panamax",ABX15,AAC15="NeoPanamax",ABQ15,AAC15="Suezmax",ABJ15,AAC15="Capesize",ABC15,AAC15="VLOC",AAV15)))))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X15" s="136" t="e">
        <f t="array" aca="1" ref="AEX15" ca="1">INDEX(Canals!$AM$24:$AM$29,MATCH(2,1/((Canals!$F$24:$F$29&lt;=$C15)*(Canals!$G$24:$G$29=_xlfn.IFS(AAC15="Handysize",Main!ACL15,AAC15="Supramax",ACE15,AAC15="Panamax",ABX15,AAC15="NeoPanamax",ABQ15,AAC15="Suezmax",ABJ15,AAC15="Capesize",ABC15,AAC15="VLOC",AAV15)))))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Y15" s="136" t="e">
        <f t="array" aca="1" ref="AEY15" ca="1">INDEX(Canals!$AN$24:$AN$29,MATCH(2,1/((Canals!$F$24:$F$29&lt;=$C15)*(Canals!$G$24:$G$29=_xlfn.IFS(AAC15="Handysize",Main!ACL15,AAC15="Supramax",ACE15,AAC15="Panamax",ABX15,AAC15="NeoPanamax",ABQ15,AAC15="Suezmax",ABJ15,AAC15="Capesize",ABC15,AAC15="VLOC",AAV15)))))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EZ15" s="136" t="e">
        <f t="array" aca="1" ref="AEZ15" ca="1">INDEX(Canals!$AO$24:$AO$29,MATCH(2,1/((Canals!$F$24:$F$29&lt;=$C15)*(Canals!$G$24:$G$29=_xlfn.IFS(AAC15="Handysize",Main!ACL15,AAC15="Supramax",ACE15,AAC15="Panamax",ABX15,AAC15="NeoPanamax",ABQ15,AAC15="Suezmax",ABJ15,AAC15="Capesize",ABC15,AAC15="VLOC",AAV15)))))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A15" s="136" t="e">
        <f t="array" aca="1" ref="AFA15" ca="1">INDEX(Canals!$AP$24:$AP$29,MATCH(2,1/((Canals!$F$24:$F$29&lt;=$C15)*(Canals!$G$24:$G$29=_xlfn.IFS(AAC15="Handysize",Main!ACL15,AAC15="Supramax",ACE15,AAC15="Panamax",ABX15,AAC15="NeoPanamax",ABQ15,AAC15="Suezmax",ABJ15,AAC15="Capesize",ABC15,AAC15="VLOC",AAV15)))))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B15" s="136" t="e">
        <f t="array" aca="1" ref="AFB15" ca="1">INDEX(Canals!$AQ$24:$AQ$29,MATCH(2,1/((Canals!$F$24:$F$29&lt;=$C15)*(Canals!$G$24:$G$29=_xlfn.IFS(AAC15="Handysize",Main!ACL15,AAC15="Supramax",ACE15,AAC15="Panamax",ABX15,AAC15="NeoPanamax",ABQ15,AAC15="Suezmax",ABJ15,AAC15="Capesize",ABC15,AAC15="VLOC",AAV15)))))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C15" s="136" t="e">
        <f t="array" aca="1" ref="AFC15" ca="1">INDEX(Canals!$AR$24:$AR$29,MATCH(2,1/((Canals!$F$24:$F$29&lt;=$C15)*(Canals!$G$24:$G$29=_xlfn.IFS(AAC15="Handysize",Main!ACL15,AAC15="Supramax",ACE15,AAC15="Panamax",ABX15,AAC15="NeoPanamax",ABQ15,AAC15="Suezmax",ABJ15,AAC15="Capesize",ABC15,AAC15="VLOC",AAV15)))))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D15" s="136" t="e">
        <f t="array" aca="1" ref="AFD15" ca="1">INDEX(Canals!$AS$24:$AS$29,MATCH(2,1/((Canals!$F$24:$F$29&lt;=$C15)*(Canals!$G$24:$G$29=_xlfn.IFS(AAC15="Handysize",Main!ACL15,AAC15="Supramax",ACE15,AAC15="Panamax",ABX15,AAC15="NeoPanamax",ABQ15,AAC15="Suezmax",ABJ15,AAC15="Capesize",ABC15,AAC15="VLOC",AAV15)))))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E15" s="136" t="e">
        <f t="array" aca="1" ref="AFE15" ca="1">INDEX(Canals!$AT$24:$AT$29,MATCH(2,1/((Canals!$F$24:$F$29&lt;=$C15)*(Canals!$G$24:$G$29=_xlfn.IFS(AAC15="Handysize",Main!ACL15,AAC15="Supramax",ACE15,AAC15="Panamax",ABX15,AAC15="NeoPanamax",ABQ15,AAC15="Suezmax",ABJ15,AAC15="Capesize",ABC15,AAC15="VLOC",AAV15)))))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F15" s="136" t="e">
        <f t="array" aca="1" ref="AFF15" ca="1">INDEX(Canals!$AU$24:$AU$29,MATCH(2,1/((Canals!$F$24:$F$29&lt;=$C15)*(Canals!$G$24:$G$29=_xlfn.IFS(AAC15="Handysize",Main!ACL15,AAC15="Supramax",ACE15,AAC15="Panamax",ABX15,AAC15="NeoPanamax",ABQ15,AAC15="Suezmax",ABJ15,AAC15="Capesize",ABC15,AAC15="VLOC",AAV15)))))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G15" s="136" t="e">
        <f t="array" aca="1" ref="AFG15" ca="1">INDEX(Canals!$AV$24:$AV$29,MATCH(2,1/((Canals!$F$24:$F$29&lt;=$C15)*(Canals!$G$24:$G$29=_xlfn.IFS(AAC15="Handysize",Main!ACL15,AAC15="Supramax",ACE15,AAC15="Panamax",ABX15,AAC15="NeoPanamax",ABQ15,AAC15="Suezmax",ABJ15,AAC15="Capesize",ABC15,AAC15="VLOC",AAV15)))))</f>
        <v>#N/A</v>
      </c>
      <c r="AFI15" s="75" t="e">
        <f t="array" aca="1" ref="AFI15" ca="1">_xlfn.IFS(ADT15="DWT",AAA15,ADT15="NRT",AAE15,ADT15="GRT",AAF15)</f>
        <v>#NAME?</v>
      </c>
      <c r="AFJ15" s="279" t="e">
        <f t="shared" ca="1" si="176"/>
        <v>#NAME?</v>
      </c>
      <c r="AFK15" s="280" t="e">
        <f t="shared" ca="1" si="177"/>
        <v>#NAME?</v>
      </c>
      <c r="AFL15" s="280" t="e">
        <f t="shared" ca="1" si="178"/>
        <v>#NAME?</v>
      </c>
      <c r="AFM15" s="280" t="e">
        <f t="shared" ca="1" si="179"/>
        <v>#NAME?</v>
      </c>
      <c r="AFN15" s="280" t="e">
        <f t="shared" ca="1" si="180"/>
        <v>#NAME?</v>
      </c>
      <c r="AFO15" s="280" t="e">
        <f t="shared" ca="1" si="181"/>
        <v>#NAME?</v>
      </c>
      <c r="AFP15" s="280" t="e">
        <f t="shared" ca="1" si="182"/>
        <v>#NAME?</v>
      </c>
      <c r="AFQ15" s="280" t="e">
        <f t="shared" ca="1" si="183"/>
        <v>#NAME?</v>
      </c>
      <c r="AFR15" s="280" t="e">
        <f t="shared" ca="1" si="184"/>
        <v>#NAME?</v>
      </c>
      <c r="AFS15" s="75">
        <f t="shared" si="185"/>
        <v>55575</v>
      </c>
      <c r="AFT15" s="279" t="e">
        <f t="shared" ca="1" si="186"/>
        <v>#N/A</v>
      </c>
      <c r="AFU15" s="280" t="e">
        <f t="shared" ca="1" si="187"/>
        <v>#N/A</v>
      </c>
      <c r="AFV15" s="280" t="e">
        <f t="shared" ca="1" si="188"/>
        <v>#N/A</v>
      </c>
      <c r="AFW15" s="280" t="e">
        <f t="shared" ca="1" si="189"/>
        <v>#N/A</v>
      </c>
      <c r="AFX15" s="280" t="e">
        <f t="shared" ca="1" si="190"/>
        <v>#N/A</v>
      </c>
      <c r="AFY15" s="280" t="e">
        <f t="shared" ca="1" si="191"/>
        <v>#N/A</v>
      </c>
      <c r="AFZ15" s="280" t="e">
        <f t="shared" ca="1" si="192"/>
        <v>#N/A</v>
      </c>
      <c r="AGA15" s="280" t="e">
        <f t="shared" ca="1" si="193"/>
        <v>#N/A</v>
      </c>
      <c r="AGB15" s="280" t="e">
        <f t="shared" ca="1" si="194"/>
        <v>#N/A</v>
      </c>
      <c r="AGD15" s="75" t="e">
        <f t="array" aca="1" ref="AGD15" ca="1">_xlfn.IFS(AAC15="Handysize",Main!ACF15,AAC15="Supramax",ABY15,AAC15="Panamax",ABR15,AAC15="NeoPanamax",ABK15,AAC15="Suezmax",ABD15,AAC15="Capesize",AAW15,AAC15="VLOC",AAP15)*$JI15</f>
        <v>#NAME?</v>
      </c>
      <c r="AGE15" s="274" t="e">
        <f t="array" aca="1" ref="AGE15" ca="1">_xlfn.IFS(AAC15="Handysize",Main!ACG15,AAC15="Supramax",ABZ15,AAC15="Panamax",ABS15,AAC15="NeoPanamax",ABL15,AAC15="Suezmax",ABE15,AAC15="Capesize",AAX15,AAC15="VLOC",AAQ15)*$JI15</f>
        <v>#NAME?</v>
      </c>
      <c r="AGF15" s="71" t="e">
        <f t="array" aca="1" ref="AGF15" ca="1">_xlfn.IFS(AAC15="Handysize",Main!AAH15,AAC15="Supramax",AAI15,AAC15="Panamax",AAJ15,AAC15="NeoPanamax",AAK15,AAC15="Suezmax",AAL15,AAC15="Capesize",AAM15,AAC15="VLOC",AAN15)</f>
        <v>#NAME?</v>
      </c>
      <c r="AGG15" s="71" t="e">
        <f t="array" aca="1" ref="AGG15" ca="1">_xlfn.IFS(AAC15="Handysize",Main!ACT15,AAC15="Supramax",ACU15,AAC15="Panamax",ACV15,AAC15="NeoPanamax",ACW15,AAC15="Suezmax",ACX15,AAC15="Capesize",ACY15,AAC15="VLOC",ACZ15)</f>
        <v>#NAME?</v>
      </c>
      <c r="AGH15" s="70">
        <f t="array" ref="AGH15">INDEX('Ship Speeds'!$G$11:$G$1011,MATCH(2,1/(('Ship Speeds'!$E$11:$E$1011&lt;=Main!$C15)*('Ship Speeds'!$F$11:$F$1011=Main!AAB15))))</f>
        <v>11</v>
      </c>
      <c r="AGI15" s="403">
        <f t="shared" si="195"/>
        <v>17.439470556521982</v>
      </c>
      <c r="AGJ15" s="401">
        <f t="shared" si="196"/>
        <v>1.8087599999999999</v>
      </c>
      <c r="AGK15" s="70" t="e">
        <f t="shared" ca="1" si="197"/>
        <v>#NAME?</v>
      </c>
      <c r="AGL15" s="70" t="e">
        <f t="shared" ca="1" si="198"/>
        <v>#NAME?</v>
      </c>
      <c r="AGM15" s="70" t="e">
        <f t="shared" ca="1" si="199"/>
        <v>#NAME?</v>
      </c>
      <c r="AGN15" s="70" t="e">
        <f t="shared" ca="1" si="200"/>
        <v>#NAME?</v>
      </c>
      <c r="AGO15" s="72" t="e">
        <f t="shared" ca="1" si="201"/>
        <v>#N/A</v>
      </c>
      <c r="AGP15" s="70" t="e">
        <f t="shared" ca="1" si="202"/>
        <v>#NAME?</v>
      </c>
      <c r="AGQ15" s="70" t="e">
        <f t="array" aca="1" ref="AGQ15" ca="1">INDEX(ACN15:ACR15,MATCH(_xlfn.IFS(AAC15="Handysize",Main!ACJ15,AAC15="Supramax",ACC15,AAC15="Panamax",ABV15,AAC15="NeoPanamax",ABO15,AAC15="Suezmax",ABH15,AAC15="Capesize",ABA15,AAC15="VLOC",AAT15),$ACN$7:$ACR$7,0))</f>
        <v>#NAME?</v>
      </c>
      <c r="AGR15" s="70" t="e">
        <f t="array" aca="1" ref="AGR15" ca="1">INDEX(ACN15:ACR15,MATCH(_xlfn.IFS(AAC15="Handysize",Main!ACK15,AAC15="Supramax",ACD15,AAC15="Panamax",ABW15,AAC15="NeoPanamax",ABP15,AAC15="Suezmax",ABI15,AAC15="Capesize",ABB15,AAC15="VLOC",AAU15),$ACN$7:$ACR$7,0))</f>
        <v>#NAME?</v>
      </c>
      <c r="AGS15" s="71" t="e">
        <f t="shared" ca="1" si="203"/>
        <v>#NAME?</v>
      </c>
      <c r="AGT15" s="71" t="e">
        <f t="shared" ca="1" si="204"/>
        <v>#NAME?</v>
      </c>
      <c r="AGU15" s="281">
        <f t="shared" si="205"/>
        <v>7.0759999999999987</v>
      </c>
      <c r="AGV15" s="71">
        <f t="shared" si="206"/>
        <v>1744.2057659694747</v>
      </c>
      <c r="AGW15" s="71" t="e">
        <f t="shared" ca="1" si="207"/>
        <v>#NAME?</v>
      </c>
      <c r="AGX15" s="71" t="e">
        <f t="shared" ca="1" si="208"/>
        <v>#NAME?</v>
      </c>
      <c r="AGY15" s="71">
        <f t="shared" si="209"/>
        <v>20734.595816845678</v>
      </c>
      <c r="AGZ15" s="71" t="e">
        <f t="shared" ca="1" si="210"/>
        <v>#NAME?</v>
      </c>
      <c r="AHA15" s="71" t="e">
        <f t="shared" ca="1" si="211"/>
        <v>#NAME?</v>
      </c>
      <c r="AHB15" s="71">
        <f t="shared" si="212"/>
        <v>14720.451384963259</v>
      </c>
      <c r="AHC15" s="71" t="e">
        <f t="shared" ca="1" si="213"/>
        <v>#NAME?</v>
      </c>
      <c r="AHD15" s="71" t="e">
        <f t="shared" ca="1" si="214"/>
        <v>#NAME?</v>
      </c>
      <c r="AHE15" s="71">
        <f t="shared" si="215"/>
        <v>0</v>
      </c>
      <c r="AHF15" s="71" t="e">
        <f t="shared" ca="1" si="216"/>
        <v>#NAME?</v>
      </c>
      <c r="AHG15" s="71" t="e">
        <f t="shared" ca="1" si="217"/>
        <v>#NAME?</v>
      </c>
      <c r="AHH15" s="72">
        <f t="shared" si="218"/>
        <v>5447.0388637648393</v>
      </c>
      <c r="AHI15" s="72" t="e">
        <f t="shared" ca="1" si="219"/>
        <v>#NAME?</v>
      </c>
      <c r="AHJ15" s="71" t="e">
        <f t="shared" ca="1" si="220"/>
        <v>#NAME?</v>
      </c>
      <c r="AHK15" s="71" t="e">
        <f t="array" aca="1" ref="AHK15" ca="1">INDEX('Ship Time Charter Rates'!$H$22:$H$1021,MATCH(2,1/(('Ship Time Charter Rates'!$G$22:$G$1021=_xlfn.IFS(AAC15="Handysize",Main!ACH15,AAC15="Supramax",ACA15,AAC15="Panamax",ABT15,AAC15="NeoPanamax",ABM15,AAC15="Suezmax",ABF15,AAC15="Capesize",AAY15,AAC15="VLOC",AAR15))*('Ship Time Charter Rates'!$E$22:$E$1021&lt;=Main!$C15)*(NOT(ISBLANK('Ship Time Charter Rates'!$H$22:$H$1021))))))</f>
        <v>#N/A</v>
      </c>
      <c r="AHL15" s="71" t="e">
        <f t="shared" ca="1" si="221"/>
        <v>#NAME?</v>
      </c>
      <c r="AHM15" s="70" t="e">
        <f t="shared" ca="1" si="222"/>
        <v>#N/A</v>
      </c>
      <c r="AHN15" s="71" t="e">
        <f t="shared" ca="1" si="223"/>
        <v>#NAME?</v>
      </c>
      <c r="AHO15" s="71" t="e">
        <f t="shared" ca="1" si="306"/>
        <v>#NAME?</v>
      </c>
      <c r="AHP15" s="72" t="e">
        <f t="shared" ca="1" si="307"/>
        <v>#NAME?</v>
      </c>
      <c r="AHR15" s="25">
        <f t="shared" si="323"/>
        <v>0</v>
      </c>
      <c r="AHS15" s="4" t="str">
        <f>VLOOKUP(AHR15,'Ship Time Charter Rates'!$F$10:$G$17,2,TRUE)</f>
        <v>Handysize</v>
      </c>
      <c r="AHT15" s="4" t="str">
        <f>VLOOKUP(AHR15,Canals!$E$5:$F$12,2,TRUE)</f>
        <v>Handysize</v>
      </c>
      <c r="AHU15" s="25">
        <f t="shared" si="224"/>
        <v>145.88999999999999</v>
      </c>
      <c r="AHV15" s="25">
        <f t="shared" si="225"/>
        <v>0</v>
      </c>
      <c r="AHW15" s="25">
        <f t="shared" si="226"/>
        <v>4797</v>
      </c>
      <c r="AHY15" s="75">
        <f t="array" ref="AHY15">INDEX('Indices Mines Exporting Ports'!$R$20:$R$51,MATCH(2,1/(('Indices Mines Exporting Ports'!$D$20:$D$51&lt;=Main!$C15)*('Indices Mines Exporting Ports'!$Q$20:$Q$51=$AQ15))))</f>
        <v>0</v>
      </c>
      <c r="AHZ15" s="75">
        <f t="array" ref="AHZ15">INDEX('Indices Mines Exporting Ports'!$S$20:$S$51,MATCH(2,1/(('Indices Mines Exporting Ports'!$D$20:$D$51&lt;=Main!$C15)*('Indices Mines Exporting Ports'!$Q$20:$Q$51=$AQ15))))</f>
        <v>0</v>
      </c>
      <c r="AIA15" s="75">
        <f t="array" ref="AIA15">INDEX('Indices Mines Exporting Ports'!$T$20:$T$51,MATCH(2,1/(('Indices Mines Exporting Ports'!$D$20:$D$51&lt;=Main!$C15)*('Indices Mines Exporting Ports'!$Q$20:$Q$51=$AQ15))))</f>
        <v>0</v>
      </c>
      <c r="AIB15" s="75">
        <f t="array" ref="AIB15">INDEX('Indices Mines Exporting Ports'!$U$20:$U$51,MATCH(2,1/(('Indices Mines Exporting Ports'!$D$20:$D$51&lt;=Main!$C15)*('Indices Mines Exporting Ports'!$Q$20:$Q$51=$AQ15))))</f>
        <v>0</v>
      </c>
      <c r="AIC15" s="75">
        <f t="array" ref="AIC15">INDEX('Indices Mines Exporting Ports'!$V$20:$V$51,MATCH(2,1/(('Indices Mines Exporting Ports'!$D$20:$D$51&lt;=Main!$C15)*('Indices Mines Exporting Ports'!$Q$20:$Q$51=$AQ15))))</f>
        <v>0</v>
      </c>
      <c r="AID15" s="75">
        <f t="array" ref="AID15">INDEX('Indices Mines Exporting Ports'!$W$20:$W$51,MATCH(2,1/(('Indices Mines Exporting Ports'!$D$20:$D$51&lt;=Main!$C15)*('Indices Mines Exporting Ports'!$Q$20:$Q$51=$AQ15))))</f>
        <v>0</v>
      </c>
      <c r="AIE15" s="75">
        <f t="array" ref="AIE15">INDEX('Indices Mines Exporting Ports'!$X$20:$X$51,MATCH(2,1/(('Indices Mines Exporting Ports'!$D$20:$D$51&lt;=Main!$C15)*('Indices Mines Exporting Ports'!$Q$20:$Q$51=$AQ15))))</f>
        <v>0</v>
      </c>
      <c r="AIG15" s="75">
        <f t="array" ref="AIG15">INDEX('Port Linkages'!$E$18:$E$157,MATCH(2,1/(('Port Linkages'!$C$18:$C$157=$AQ15)*('Port Linkages'!$D$18:$D$157=IF($AO15="no",$AQ15,$KK15))*('Port Linkages'!$A$18:$A$157&lt;=$C15))))</f>
        <v>0</v>
      </c>
      <c r="AIH15" s="75">
        <f t="array" ref="AIH15">INDEX('Port Linkages'!$F$18:$F$157,MATCH(2,1/(('Port Linkages'!$C$18:$C$157=$AQ15)*('Port Linkages'!$D$18:$D$157=IF($AO15="no",$AQ15,$KK15))*('Port Linkages'!$A$18:$A$157&lt;=$C15))))</f>
        <v>0</v>
      </c>
      <c r="AII15" s="75">
        <f t="array" ref="AII15">INDEX('Port Linkages'!$G$18:$G$157,MATCH(2,1/(('Port Linkages'!$C$18:$C$157=$AQ15)*('Port Linkages'!$D$18:$D$157=IF($AO15="no",$AQ15,$KK15))*('Port Linkages'!$A$18:$A$157&lt;=$C15))))</f>
        <v>0</v>
      </c>
      <c r="AIJ15" s="75">
        <f t="array" ref="AIJ15">INDEX('Port Linkages'!$H$18:$H$157,MATCH(2,1/(('Port Linkages'!$C$18:$C$157=$AQ15)*('Port Linkages'!$D$18:$D$157=IF($AO15="no",$AQ15,$KK15))*('Port Linkages'!$A$18:$A$157&lt;=$C15))))</f>
        <v>0</v>
      </c>
      <c r="AIK15" s="75">
        <f t="array" ref="AIK15">INDEX('Port Linkages'!$I$18:$I$157,MATCH(2,1/(('Port Linkages'!$C$18:$C$157=$AQ15)*('Port Linkages'!$D$18:$D$157=IF($AO15="no",$AQ15,$KK15))*('Port Linkages'!$A$18:$A$157&lt;=$C15))))</f>
        <v>0</v>
      </c>
      <c r="AIL15" s="75">
        <f t="array" ref="AIL15">INDEX('Port Linkages'!$J$18:$J$157,MATCH(2,1/(('Port Linkages'!$C$18:$C$157=$AQ15)*('Port Linkages'!$D$18:$D$157=IF($AO15="no",$AQ15,$KK15))*('Port Linkages'!$A$18:$A$157&lt;=$C15))))</f>
        <v>0</v>
      </c>
      <c r="AIM15" s="75">
        <f t="array" ref="AIM15">INDEX('Port Linkages'!$K$18:$K$157,MATCH(2,1/(('Port Linkages'!$C$18:$C$157=$AQ15)*('Port Linkages'!$D$18:$D$157=IF($AO15="no",$AQ15,$KK15))*('Port Linkages'!$A$18:$A$157&lt;=$C15))))</f>
        <v>0</v>
      </c>
      <c r="AIN15" s="75">
        <f t="array" ref="AIN15">INDEX('Port Linkages'!$L$18:$L$157,MATCH(2,1/(('Port Linkages'!$C$18:$C$157=$AQ15)*('Port Linkages'!$D$18:$D$157=IF($AO15="no",$AQ15,$KK15))*('Port Linkages'!$A$18:$A$157&lt;=$C15))))</f>
        <v>0</v>
      </c>
      <c r="AIO15" s="75">
        <f t="array" ref="AIO15">INDEX('Port Linkages'!$M$18:$M$157,MATCH(2,1/(('Port Linkages'!$C$18:$C$157=$AQ15)*('Port Linkages'!$D$18:$D$157=IF($AO15="no",$AQ15,$KK15))*('Port Linkages'!$A$18:$A$157&lt;=$C15))))</f>
        <v>0</v>
      </c>
      <c r="AIP15" s="75">
        <f t="array" ref="AIP15">INDEX('Port Linkages'!$N$18:$N$157,MATCH(2,1/(('Port Linkages'!$C$18:$C$157=$AQ15)*('Port Linkages'!$D$18:$D$157=IF($AO15="no",$AQ15,$KK15))*('Port Linkages'!$A$18:$A$157&lt;=$C15))))</f>
        <v>0</v>
      </c>
      <c r="AIQ15" s="75">
        <f t="array" ref="AIQ15">INDEX('Port Linkages'!$O$18:$O$157,MATCH(2,1/(('Port Linkages'!$C$18:$C$157=$AQ15)*('Port Linkages'!$D$18:$D$157=IF($AO15="no",$AQ15,$KK15))*('Port Linkages'!$A$18:$A$157&lt;=$C15))))</f>
        <v>0</v>
      </c>
      <c r="AIR15" s="75">
        <f t="array" ref="AIR15">INDEX('Port Linkages'!$P$18:$P$157,MATCH(2,1/(('Port Linkages'!$C$18:$C$157=$AQ15)*('Port Linkages'!$D$18:$D$157=IF($AO15="no",$AQ15,$KK15))*('Port Linkages'!$A$18:$A$157&lt;=$C15))))</f>
        <v>0</v>
      </c>
      <c r="AIS15" s="75">
        <f t="array" ref="AIS15">INDEX('Port Linkages'!$Q$18:$Q$157,MATCH(2,1/(('Port Linkages'!$C$18:$C$157=$AQ15)*('Port Linkages'!$D$18:$D$157=IF($AO15="no",$AQ15,$KK15))*('Port Linkages'!$A$18:$A$157&lt;=$C15))))</f>
        <v>0</v>
      </c>
      <c r="AIT15" s="75">
        <f t="array" ref="AIT15">INDEX('Port Linkages'!$R$18:$R$157,MATCH(2,1/(('Port Linkages'!$C$18:$C$157=$AQ15)*('Port Linkages'!$D$18:$D$157=IF($AO15="no",$AQ15,$KK15))*('Port Linkages'!$A$18:$A$157&lt;=$C15))))</f>
        <v>0</v>
      </c>
      <c r="AIU15" s="75">
        <f t="array" ref="AIU15">INDEX('Port Linkages'!$S$18:$S$157,MATCH(2,1/(('Port Linkages'!$C$18:$C$157=$AQ15)*('Port Linkages'!$D$18:$D$157=IF($AO15="no",$AQ15,$KK15))*('Port Linkages'!$A$18:$A$157&lt;=$C15))))</f>
        <v>0</v>
      </c>
      <c r="AIV15" s="75">
        <f t="array" ref="AIV15">INDEX('Port Linkages'!$T$18:$T$157,MATCH(2,1/(('Port Linkages'!$C$18:$C$157=$AQ15)*('Port Linkages'!$D$18:$D$157=IF($AO15="no",$AQ15,$KK15))*('Port Linkages'!$A$18:$A$157&lt;=$C15))))</f>
        <v>0</v>
      </c>
      <c r="AIW15" s="75">
        <f t="array" ref="AIW15">INDEX('Port Linkages'!$U$18:$U$157,MATCH(2,1/(('Port Linkages'!$C$18:$C$157=$AQ15)*('Port Linkages'!$D$18:$D$157=IF($AO15="no",$AQ15,$KK15))*('Port Linkages'!$A$18:$A$157&lt;=$C15))))</f>
        <v>0</v>
      </c>
      <c r="AIX15" s="75">
        <f t="array" ref="AIX15">INDEX('Port Linkages'!$V$18:$V$157,MATCH(2,1/(('Port Linkages'!$C$18:$C$157=$AQ15)*('Port Linkages'!$D$18:$D$157=IF($AO15="no",$AQ15,$KK15))*('Port Linkages'!$A$18:$A$157&lt;=$C15))))</f>
        <v>0</v>
      </c>
      <c r="AIY15" s="75">
        <f t="array" ref="AIY15">INDEX('Port Linkages'!$W$18:$W$157,MATCH(2,1/(('Port Linkages'!$C$18:$C$157=$AQ15)*('Port Linkages'!$D$18:$D$157=IF($AO15="no",$AQ15,$KK15))*('Port Linkages'!$A$18:$A$157&lt;=$C15))))</f>
        <v>0</v>
      </c>
      <c r="AIZ15" s="75">
        <f t="array" ref="AIZ15">INDEX('Port Linkages'!$X$18:$X$157,MATCH(2,1/(('Port Linkages'!$C$18:$C$157=$AQ15)*('Port Linkages'!$D$18:$D$157=IF($AO15="no",$AQ15,$KK15))*('Port Linkages'!$A$18:$A$157&lt;=$C15))))</f>
        <v>0</v>
      </c>
      <c r="AJA15" s="75">
        <f t="array" ref="AJA15">INDEX('Port Linkages'!$Y$18:$Y$157,MATCH(2,1/(('Port Linkages'!$C$18:$C$157=$AQ15)*('Port Linkages'!$D$18:$D$157=IF($AO15="no",$AQ15,$KK15))*('Port Linkages'!$A$18:$A$157&lt;=$C15))))</f>
        <v>0</v>
      </c>
      <c r="AJB15" s="75">
        <f t="array" ref="AJB15">INDEX('Port Linkages'!$Z$18:$Z$157,MATCH(2,1/(('Port Linkages'!$C$18:$C$157=$AQ15)*('Port Linkages'!$D$18:$D$157=IF($AO15="no",$AQ15,$KK15))*('Port Linkages'!$A$18:$A$157&lt;=$C15))))</f>
        <v>0</v>
      </c>
      <c r="AJC15" s="75">
        <f t="array" ref="AJC15">INDEX('Port Linkages'!$AA$18:$AA$157,MATCH(2,1/(('Port Linkages'!$C$18:$C$157=$AQ15)*('Port Linkages'!$D$18:$D$157=IF($AO15="no",$AQ15,$KK15))*('Port Linkages'!$A$18:$A$157&lt;=$C15))))</f>
        <v>0</v>
      </c>
      <c r="AJD15" s="75">
        <f t="array" ref="AJD15">INDEX('Port Linkages'!$AB$18:$AB$157,MATCH(2,1/(('Port Linkages'!$C$18:$C$157=$AQ15)*('Port Linkages'!$D$18:$D$157=IF($AO15="no",$AQ15,$KK15))*('Port Linkages'!$A$18:$A$157&lt;=$C15))))</f>
        <v>0</v>
      </c>
      <c r="AJE15" s="75">
        <f t="array" ref="AJE15">INDEX('Port Linkages'!$AC$18:$AC$157,MATCH(2,1/(('Port Linkages'!$C$18:$C$157=$AQ15)*('Port Linkages'!$D$18:$D$157=IF($AO15="no",$AQ15,$KK15))*('Port Linkages'!$A$18:$A$157&lt;=$C15))))</f>
        <v>0</v>
      </c>
      <c r="AJF15" s="75">
        <f t="array" ref="AJF15">INDEX('Port Linkages'!$AD$18:$AD$157,MATCH(2,1/(('Port Linkages'!$C$18:$C$157=$AQ15)*('Port Linkages'!$D$18:$D$157=IF($AO15="no",$AQ15,$KK15))*('Port Linkages'!$A$18:$A$157&lt;=$C15))))</f>
        <v>0</v>
      </c>
      <c r="AJG15" s="75">
        <f t="array" ref="AJG15">INDEX('Port Linkages'!$AE$18:$AE$157,MATCH(2,1/(('Port Linkages'!$C$18:$C$157=$AQ15)*('Port Linkages'!$D$18:$D$157=IF($AO15="no",$AQ15,$KK15))*('Port Linkages'!$A$18:$A$157&lt;=$C15))))</f>
        <v>0</v>
      </c>
      <c r="AJH15" s="75">
        <f t="array" ref="AJH15">INDEX('Port Linkages'!$AF$18:$AF$157,MATCH(2,1/(('Port Linkages'!$C$18:$C$157=$AQ15)*('Port Linkages'!$D$18:$D$157=IF($AO15="no",$AQ15,$KK15))*('Port Linkages'!$A$18:$A$157&lt;=$C15))))</f>
        <v>0</v>
      </c>
      <c r="AJI15" s="75">
        <f t="array" ref="AJI15">INDEX('Port Linkages'!$AG$18:$AG$157,MATCH(2,1/(('Port Linkages'!$C$18:$C$157=$AQ15)*('Port Linkages'!$D$18:$D$157=IF($AO15="no",$AQ15,$KK15))*('Port Linkages'!$A$18:$A$157&lt;=$C15))))</f>
        <v>0</v>
      </c>
      <c r="AJJ15" s="75">
        <f t="array" ref="AJJ15">INDEX('Port Linkages'!$AH$18:$AH$157,MATCH(2,1/(('Port Linkages'!$C$18:$C$157=$AQ15)*('Port Linkages'!$D$18:$D$157=IF($AO15="no",$AQ15,$KK15))*('Port Linkages'!$A$18:$A$157&lt;=$C15))))</f>
        <v>0</v>
      </c>
      <c r="AJK15" s="75">
        <f t="array" ref="AJK15">INDEX('Port Linkages'!$AI$18:$AI$157,MATCH(2,1/(('Port Linkages'!$C$18:$C$157=$AQ15)*('Port Linkages'!$D$18:$D$157=IF($AO15="no",$AQ15,$KK15))*('Port Linkages'!$A$18:$A$157&lt;=$C15))))</f>
        <v>0</v>
      </c>
      <c r="AJL15" s="75">
        <f t="array" ref="AJL15">INDEX('Port Linkages'!$AJ$18:$AJ$157,MATCH(2,1/(('Port Linkages'!$C$18:$C$157=$AQ15)*('Port Linkages'!$D$18:$D$157=IF($AO15="no",$AQ15,$KK15))*('Port Linkages'!$A$18:$A$157&lt;=$C15))))</f>
        <v>0</v>
      </c>
      <c r="AJM15" s="75">
        <f t="array" ref="AJM15">INDEX('Port Linkages'!$AK$18:$AK$157,MATCH(2,1/(('Port Linkages'!$C$18:$C$157=$AQ15)*('Port Linkages'!$D$18:$D$157=IF($AO15="no",$AQ15,$KK15))*('Port Linkages'!$A$18:$A$157&lt;=$C15))))</f>
        <v>0</v>
      </c>
      <c r="AJN15" s="75">
        <f t="array" ref="AJN15">INDEX('Port Linkages'!$AL$18:$AL$157,MATCH(2,1/(('Port Linkages'!$C$18:$C$157=$AQ15)*('Port Linkages'!$D$18:$D$157=IF($AO15="no",$AQ15,$KK15))*('Port Linkages'!$A$18:$A$157&lt;=$C15))))</f>
        <v>0</v>
      </c>
      <c r="AJO15" s="75">
        <f t="array" ref="AJO15">INDEX('Port Linkages'!$AM$18:$AM$157,MATCH(2,1/(('Port Linkages'!$C$18:$C$157=$AQ15)*('Port Linkages'!$D$18:$D$157=IF($AO15="no",$AQ15,$KK15))*('Port Linkages'!$A$18:$A$157&lt;=$C15))))</f>
        <v>0</v>
      </c>
      <c r="AJP15" s="75">
        <f t="array" ref="AJP15">INDEX('Port Linkages'!$AN$18:$AN$157,MATCH(2,1/(('Port Linkages'!$C$18:$C$157=$AQ15)*('Port Linkages'!$D$18:$D$157=IF($AO15="no",$AQ15,$KK15))*('Port Linkages'!$A$18:$A$157&lt;=$C15))))</f>
        <v>0</v>
      </c>
      <c r="AJQ15" s="75">
        <f t="array" ref="AJQ15">INDEX('Port Linkages'!$AO$18:$AO$157,MATCH(2,1/(('Port Linkages'!$C$18:$C$157=$AQ15)*('Port Linkages'!$D$18:$D$157=IF($AO15="no",$AQ15,$KK15))*('Port Linkages'!$A$18:$A$157&lt;=$C15))))</f>
        <v>0</v>
      </c>
      <c r="AJR15" s="75">
        <f t="array" ref="AJR15">INDEX('Port Linkages'!$AP$18:$AP$157,MATCH(2,1/(('Port Linkages'!$C$18:$C$157=$AQ15)*('Port Linkages'!$D$18:$D$157=IF($AO15="no",$AQ15,$KK15))*('Port Linkages'!$A$18:$A$157&lt;=$C15))))</f>
        <v>0</v>
      </c>
      <c r="AJS15" s="75">
        <f t="array" ref="AJS15">INDEX('Port Linkages'!$AQ$18:$AQ$157,MATCH(2,1/(('Port Linkages'!$C$18:$C$157=$AQ15)*('Port Linkages'!$D$18:$D$157=IF($AO15="no",$AQ15,$KK15))*('Port Linkages'!$A$18:$A$157&lt;=$C15))))</f>
        <v>0</v>
      </c>
      <c r="AJT15" s="75">
        <f t="array" ref="AJT15">INDEX('Port Linkages'!$AR$18:$AR$157,MATCH(2,1/(('Port Linkages'!$C$18:$C$157=$AQ15)*('Port Linkages'!$D$18:$D$157=IF($AO15="no",$AQ15,$KK15))*('Port Linkages'!$A$18:$A$157&lt;=$C15))))</f>
        <v>0</v>
      </c>
      <c r="AJU15" s="75">
        <f t="array" ref="AJU15">INDEX('Port Linkages'!$AS$18:$AS$157,MATCH(2,1/(('Port Linkages'!$C$18:$C$157=$AQ15)*('Port Linkages'!$D$18:$D$157=IF($AO15="no",$AQ15,$KK15))*('Port Linkages'!$A$18:$A$157&lt;=$C15))))</f>
        <v>0</v>
      </c>
      <c r="AJV15" s="75">
        <f t="array" ref="AJV15">INDEX('Port Linkages'!$AT$18:$AT$157,MATCH(2,1/(('Port Linkages'!$C$18:$C$157=$AQ15)*('Port Linkages'!$D$18:$D$157=IF($AO15="no",$AQ15,$KK15))*('Port Linkages'!$A$18:$A$157&lt;=$C15))))</f>
        <v>0</v>
      </c>
      <c r="AJW15" s="75">
        <f t="array" ref="AJW15">INDEX('Port Linkages'!$AU$18:$AU$157,MATCH(2,1/(('Port Linkages'!$C$18:$C$157=$AQ15)*('Port Linkages'!$D$18:$D$157=IF($AO15="no",$AQ15,$KK15))*('Port Linkages'!$A$18:$A$157&lt;=$C15))))</f>
        <v>0</v>
      </c>
      <c r="AJX15" s="75">
        <f t="array" ref="AJX15">INDEX('Port Linkages'!$AV$18:$AV$157,MATCH(2,1/(('Port Linkages'!$C$18:$C$157=$AQ15)*('Port Linkages'!$D$18:$D$157=IF($AO15="no",$AQ15,$KK15))*('Port Linkages'!$A$18:$A$157&lt;=$C15))))</f>
        <v>0</v>
      </c>
      <c r="AJY15" s="75">
        <f t="array" ref="AJY15">INDEX('Port Linkages'!$AW$18:$AW$157,MATCH(2,1/(('Port Linkages'!$C$18:$C$157=$AQ15)*('Port Linkages'!$D$18:$D$157=IF($AO15="no",$AQ15,$KK15))*('Port Linkages'!$A$18:$A$157&lt;=$C15))))</f>
        <v>0</v>
      </c>
      <c r="AJZ15" s="75">
        <f t="array" ref="AJZ15">INDEX('Port Linkages'!$AX$18:$AX$157,MATCH(2,1/(('Port Linkages'!$C$18:$C$157=$AQ15)*('Port Linkages'!$D$18:$D$157=IF($AO15="no",$AQ15,$KK15))*('Port Linkages'!$A$18:$A$157&lt;=$C15))))</f>
        <v>0</v>
      </c>
      <c r="AKA15" s="75">
        <f t="array" ref="AKA15">INDEX('Port Linkages'!$AY$18:$AY$157,MATCH(2,1/(('Port Linkages'!$C$18:$C$157=$AQ15)*('Port Linkages'!$D$18:$D$157=IF($AO15="no",$AQ15,$KK15))*('Port Linkages'!$A$18:$A$157&lt;=$C15))))</f>
        <v>0</v>
      </c>
      <c r="AKB15" s="75">
        <f t="array" ref="AKB15">INDEX('Port Linkages'!$AZ$18:$AZ$157,MATCH(2,1/(('Port Linkages'!$C$18:$C$157=$AQ15)*('Port Linkages'!$D$18:$D$157=IF($AO15="no",$AQ15,$KK15))*('Port Linkages'!$A$18:$A$157&lt;=$C15))))</f>
        <v>0</v>
      </c>
      <c r="AKC15" s="75">
        <f t="array" ref="AKC15">INDEX('Port Linkages'!$BA$18:$BA$157,MATCH(2,1/(('Port Linkages'!$C$18:$C$157=$AQ15)*('Port Linkages'!$D$18:$D$157=IF($AO15="no",$AQ15,$KK15))*('Port Linkages'!$A$18:$A$157&lt;=$C15))))</f>
        <v>0</v>
      </c>
      <c r="AKE15" s="25" t="e">
        <f t="array" aca="1" ref="AKE15" ca="1">INDEX('Ship Fuel Prices'!$F$5:$F$1004,MATCH(2,1/(('Ship Fuel Prices'!$E$5:$E$1004=_xlfn.IFS(AHT15="Handysize",Main!AJZ15,AHT15="Supramax",AJS15,AHT15="Panamax",AJL15,AHT15="NeoPanamax",AJE15,AHT15="Suezmax",AIX15,AHT15="Capesize",AIQ15,AHT15="VLOC",AIJ15))*('Ship Fuel Prices'!$D$5:$D$1004&lt;=Main!$C15))))</f>
        <v>#N/A</v>
      </c>
      <c r="AKF15" s="25" t="e">
        <f t="array" aca="1" ref="AKF15" ca="1">INDEX('Ship Fuel Prices'!$G$5:$G$1004,MATCH(2,1/(('Ship Fuel Prices'!$E$5:$E$1004=_xlfn.IFS(AHT15="Handysize",Main!AJZ15,AHT15="Supramax",AJS15,AHT15="Panamax",AJL15,AHT15="NeoPanamax",AJE15,AHT15="Suezmax",AIX15,AHT15="Capesize",AIQ15,AHT15="VLOC",AIJ15))*('Ship Fuel Prices'!$D$5:$D$1004&lt;=Main!$C15))))</f>
        <v>#N/A</v>
      </c>
      <c r="AKG15" s="25" t="e">
        <f t="array" aca="1" ref="AKG15" ca="1">INDEX('Ship Fuel Prices'!$H$5:$H$1004,MATCH(2,1/(('Ship Fuel Prices'!$E$5:$E$1004=_xlfn.IFS(AHT15="Handysize",Main!AJZ15,AHT15="Supramax",AJS15,AHT15="Panamax",AJL15,AHT15="NeoPanamax",AJE15,AHT15="Suezmax",AIX15,AHT15="Capesize",AIQ15,AHT15="VLOC",AIJ15))*('Ship Fuel Prices'!$D$5:$D$1004&lt;=Main!$C15))))</f>
        <v>#N/A</v>
      </c>
      <c r="AKH15" s="25" t="e">
        <f t="array" aca="1" ref="AKH15" ca="1">INDEX('Ship Fuel Prices'!$I$5:$I$1004,MATCH(2,1/(('Ship Fuel Prices'!$E$5:$E$1004=_xlfn.IFS(AHT15="Handysize",Main!AJZ15,AHT15="Supramax",AJS15,AHT15="Panamax",AJL15,AHT15="NeoPanamax",AJE15,AHT15="Suezmax",AIX15,AHT15="Capesize",AIQ15,AHT15="VLOC",AIJ15))*('Ship Fuel Prices'!$D$5:$D$1004&lt;=Main!$C15))))</f>
        <v>#N/A</v>
      </c>
      <c r="AKI15" s="25" t="e">
        <f t="array" aca="1" ref="AKI15" ca="1">INDEX('Ship Fuel Prices'!$J$5:$J$1004,MATCH(2,1/(('Ship Fuel Prices'!$E$5:$E$1004=_xlfn.IFS(AHT15="Handysize",Main!AJZ15,AHT15="Supramax",AJS15,AHT15="Panamax",AJL15,AHT15="NeoPanamax",AJE15,AHT15="Suezmax",AIX15,AHT15="Capesize",AIQ15,AHT15="VLOC",AIJ15))*('Ship Fuel Prices'!$D$5:$D$1004&lt;=Main!$C15))))</f>
        <v>#N/A</v>
      </c>
      <c r="AKK15" s="75">
        <f t="array" ref="AKK15">INDEX('China n Importing Ports'!$E$20:$E$41,MATCH(2,1/(('China n Importing Ports'!$D$20:$D$41&lt;=$C15)*('China n Importing Ports'!$C$20:$C$41=IF($AO15="No",$AQ15,$KK15)))))</f>
        <v>0</v>
      </c>
      <c r="AKL15" s="75">
        <f t="array" ref="AKL15">INDEX('China n Importing Ports'!$F$20:$F$41,MATCH(2,1/(('China n Importing Ports'!$D$20:$D$41&lt;=$C15)*('China n Importing Ports'!$C$20:$C$41=IF($AO15="No",$AQ15,$KK15)))))</f>
        <v>0</v>
      </c>
      <c r="AKM15" s="75">
        <f t="array" ref="AKM15">INDEX('China n Importing Ports'!$G$20:$G$41,MATCH(2,1/(('China n Importing Ports'!$D$20:$D$41&lt;=$C15)*('China n Importing Ports'!$C$20:$C$41=IF($AO15="No",$AQ15,$KK15)))))</f>
        <v>0</v>
      </c>
      <c r="AKN15" s="75">
        <f t="array" ref="AKN15">INDEX('China n Importing Ports'!$H$20:$H$41,MATCH(2,1/(('China n Importing Ports'!$D$20:$D$41&lt;=$C15)*('China n Importing Ports'!$C$20:$C$41=IF($AO15="No",$AQ15,$KK15)))))</f>
        <v>0</v>
      </c>
      <c r="AKO15" s="75">
        <f t="array" ref="AKO15">INDEX('China n Importing Ports'!$I$20:$I$41,MATCH(2,1/(('China n Importing Ports'!$D$20:$D$41&lt;=$C15)*('China n Importing Ports'!$C$20:$C$41=IF($AO15="No",$AQ15,$KK15)))))</f>
        <v>0</v>
      </c>
      <c r="AKP15" s="75">
        <f t="array" ref="AKP15">INDEX('China n Importing Ports'!$J$20:$J$41,MATCH(2,1/(('China n Importing Ports'!$D$20:$D$41&lt;=$C15)*('China n Importing Ports'!$C$20:$C$41=IF($AO15="No",$AQ15,$KK15)))))</f>
        <v>0</v>
      </c>
      <c r="AKQ15" s="75">
        <f t="array" ref="AKQ15">INDEX('China n Importing Ports'!$K$20:$K$41,MATCH(2,1/(('China n Importing Ports'!$D$20:$D$41&lt;=$C15)*('China n Importing Ports'!$C$20:$C$41=IF($AO15="No",$AQ15,$KK15)))))</f>
        <v>0</v>
      </c>
      <c r="AKR15" s="75">
        <f t="array" ref="AKR15">INDEX('China n Importing Ports'!$L$20:$L$41,MATCH(2,1/(('China n Importing Ports'!$D$20:$D$41&lt;=$C15)*('China n Importing Ports'!$C$20:$C$41=IF($AO15="No",$AQ15,$KK15)))))</f>
        <v>0</v>
      </c>
      <c r="AKS15" s="75">
        <f t="array" ref="AKS15">INDEX('China n Importing Ports'!$M$20:$M$41,MATCH(2,1/(('China n Importing Ports'!$D$20:$D$41&lt;=$C15)*('China n Importing Ports'!$C$20:$C$41=IF($AO15="No",$AQ15,$KK15)))))</f>
        <v>0</v>
      </c>
      <c r="AKT15" s="75">
        <f t="array" ref="AKT15">INDEX('China n Importing Ports'!$N$20:$N$41,MATCH(2,1/(('China n Importing Ports'!$D$20:$D$41&lt;=$C15)*('China n Importing Ports'!$C$20:$C$41=IF($AO15="No",$AQ15,$KK15)))))</f>
        <v>0</v>
      </c>
      <c r="AKU15" s="75">
        <f t="array" ref="AKU15">INDEX('China n Importing Ports'!$O$20:$O$41,MATCH(2,1/(('China n Importing Ports'!$D$20:$D$41&lt;=$C15)*('China n Importing Ports'!$C$20:$C$41=IF($AO15="No",$AQ15,$KK15)))))</f>
        <v>0</v>
      </c>
      <c r="AKV15" s="136">
        <f t="array" ref="AKV15">INDEX('China n Importing Ports'!$P$20:$P$41,MATCH(2,1/(('China n Importing Ports'!$D$20:$D$41&lt;=$C15)*('China n Importing Ports'!$C$20:$C$41=IF($AO15="No",$AQ15,$KK15)))))</f>
        <v>0</v>
      </c>
      <c r="AKW15" s="136">
        <f t="array" ref="AKW15">INDEX('China n Importing Ports'!$Q$20:$Q$41,MATCH(2,1/(('China n Importing Ports'!$D$20:$D$41&lt;=$C15)*('China n Importing Ports'!$C$20:$C$41=IF($AO15="No",$AQ15,$KK15)))))</f>
        <v>0</v>
      </c>
      <c r="AKX15" s="136">
        <f t="array" ref="AKX15">INDEX('China n Importing Ports'!$R$20:$R$41,MATCH(2,1/(('China n Importing Ports'!$D$20:$D$41&lt;=$C15)*('China n Importing Ports'!$C$20:$C$41=IF($AO15="No",$AQ15,$KK15)))))</f>
        <v>0</v>
      </c>
      <c r="AKY15" s="136">
        <f t="array" ref="AKY15">INDEX('China n Importing Ports'!$S$20:$S$41,MATCH(2,1/(('China n Importing Ports'!$D$20:$D$41&lt;=$C15)*('China n Importing Ports'!$C$20:$C$41=IF($AO15="No",$AQ15,$KK15)))))</f>
        <v>0</v>
      </c>
      <c r="AKZ15" s="136">
        <f t="array" ref="AKZ15">INDEX('China n Importing Ports'!$T$20:$T$41,MATCH(2,1/(('China n Importing Ports'!$D$20:$D$41&lt;=$C15)*('China n Importing Ports'!$C$20:$C$41=IF($AO15="No",$AQ15,$KK15)))))</f>
        <v>0</v>
      </c>
      <c r="ALA15" s="136">
        <f t="array" ref="ALA15">INDEX('China n Importing Ports'!$U$20:$U$41,MATCH(2,1/(('China n Importing Ports'!$D$20:$D$41&lt;=$C15)*('China n Importing Ports'!$C$20:$C$41=IF($AO15="No",$AQ15,$KK15)))))</f>
        <v>0</v>
      </c>
      <c r="ALB15" s="136">
        <f t="array" ref="ALB15">INDEX('China n Importing Ports'!$V$20:$V$41,MATCH(2,1/(('China n Importing Ports'!$D$20:$D$41&lt;=$C15)*('China n Importing Ports'!$C$20:$C$41=IF($AO15="No",$AQ15,$KK15)))))</f>
        <v>0</v>
      </c>
      <c r="ALC15" s="136">
        <f t="array" ref="ALC15">INDEX('China n Importing Ports'!$W$20:$W$41,MATCH(2,1/(('China n Importing Ports'!$D$20:$D$41&lt;=$C15)*('China n Importing Ports'!$C$20:$C$41=IF($AO15="No",$AQ15,$KK15)))))</f>
        <v>0</v>
      </c>
      <c r="ALD15" s="136">
        <f t="array" ref="ALD15">INDEX('China n Importing Ports'!$X$20:$X$41,MATCH(2,1/(('China n Importing Ports'!$D$20:$D$41&lt;=$C15)*('China n Importing Ports'!$C$20:$C$41=IF($AO15="No",$AQ15,$KK15)))))</f>
        <v>0</v>
      </c>
      <c r="ALE15" s="136">
        <f t="array" ref="ALE15">INDEX('China n Importing Ports'!$Y$20:$Y$41,MATCH(2,1/(('China n Importing Ports'!$D$20:$D$41&lt;=$C15)*('China n Importing Ports'!$C$20:$C$41=IF($AO15="No",$AQ15,$KK15)))))</f>
        <v>0</v>
      </c>
      <c r="ALF15" s="136">
        <f t="array" ref="ALF15">INDEX('China n Importing Ports'!$Z$20:$Z$41,MATCH(2,1/(('China n Importing Ports'!$D$20:$D$41&lt;=$C15)*('China n Importing Ports'!$C$20:$C$41=IF($AO15="No",$AQ15,$KK15)))))</f>
        <v>0</v>
      </c>
      <c r="ALG15" s="136">
        <f t="array" ref="ALG15">INDEX('China n Importing Ports'!$AA$20:$AA$41,MATCH(2,1/(('China n Importing Ports'!$D$20:$D$41&lt;=$C15)*('China n Importing Ports'!$C$20:$C$41=IF($AO15="No",$AQ15,$KK15)))))</f>
        <v>0</v>
      </c>
      <c r="ALI15" s="75" t="e">
        <f t="array" aca="1" ref="ALI15" ca="1">INDEX(Canals!$G$24:$G$29,MATCH(2,1/((Canals!$F$24:$F$29&lt;=$C15)*(Canals!$G$24:$G$29=_xlfn.IFS(AHT15="Handysize",AKC15,AHT15="Supramax",AJV15,AHT15="Panamax",AJO15,AHT15="NeoPanamax",AJH15,AHT15="Suezmax",AJA15,AHT15="Capesize",AIT15,AHT15="VLOC",AIM15)))))</f>
        <v>#N/A</v>
      </c>
      <c r="ALJ15" s="75" t="e">
        <f t="array" aca="1" ref="ALJ15" ca="1">INDEX(Canals!$H$24:$H$29,MATCH(2,1/((Canals!$F$24:$F$29&lt;=$C15)*(Canals!$G$24:$G$29=_xlfn.IFS(AHT15="Handysize",AKC15,AHT15="Supramax",AJV15,AHT15="Panamax",AJO15,AHT15="NeoPanamax",AJH15,AHT15="Suezmax",AJA15,AHT15="Capesize",AIT15,AHT15="VLOC",AIM15)))))</f>
        <v>#N/A</v>
      </c>
      <c r="ALK15" s="75" t="e">
        <f t="array" aca="1" ref="ALK15" ca="1">INDEX(Canals!$I$24:$I$29,MATCH(2,1/((Canals!$F$24:$F$29&lt;=$C15)*(Canals!$G$24:$G$29=_xlfn.IFS(AHT15="Handysize",AKC15,AHT15="Supramax",AJV15,AHT15="Panamax",AJO15,AHT15="NeoPanamax",AJH15,AHT15="Suezmax",AJA15,AHT15="Capesize",AIT15,AHT15="VLOC",AIM15)))))</f>
        <v>#N/A</v>
      </c>
      <c r="ALL15" s="75" t="e">
        <f t="array" aca="1" ref="ALL15" ca="1">INDEX(Canals!$J$24:$J$29,MATCH(2,1/((Canals!$F$24:$F$29&lt;=$C15)*(Canals!$G$24:$G$29=_xlfn.IFS(AHT15="Handysize",Main!AKC15,AHT15="Supramax",AJV15,AHT15="Panamax",AJO15,AHT15="NeoPanamax",AJH15,AHT15="Suezmax",AJA15,AHT15="Capesize",AIT15,AHT15="VLOC",AIM15)))))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M15" s="75" t="e">
        <f t="array" aca="1" ref="ALM15" ca="1">INDEX(Canals!$K$24:$K$29,MATCH(2,1/((Canals!$F$24:$F$29&lt;=$C15)*(Canals!$G$24:$G$29=_xlfn.IFS(AHT15="Handysize",Main!AKC15,AHT15="Supramax",AJV15,AHT15="Panamax",AJO15,AHT15="NeoPanamax",AJH15,AHT15="Suezmax",AJA15,AHT15="Capesize",AIT15,AHT15="VLOC",AIM15)))))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N15" s="75" t="e">
        <f t="array" aca="1" ref="ALN15" ca="1">INDEX(Canals!$L$24:$L$29,MATCH(2,1/((Canals!$F$24:$F$29&lt;=$C15)*(Canals!$G$24:$G$29=_xlfn.IFS(AHT15="Handysize",Main!AKC15,AHT15="Supramax",AJV15,AHT15="Panamax",AJO15,AHT15="NeoPanamax",AJH15,AHT15="Suezmax",AJA15,AHT15="Capesize",AIT15,AHT15="VLOC",AIM15)))))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O15" s="75" t="e">
        <f t="array" aca="1" ref="ALO15" ca="1">INDEX(Canals!$M$24:$M$29,MATCH(2,1/((Canals!$F$24:$F$29&lt;=$C15)*(Canals!$G$24:$G$29=_xlfn.IFS(AHT15="Handysize",Main!AKC15,AHT15="Supramax",AJV15,AHT15="Panamax",AJO15,AHT15="NeoPanamax",AJH15,AHT15="Suezmax",AJA15,AHT15="Capesize",AIT15,AHT15="VLOC",AIM15)))))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P15" s="75" t="e">
        <f t="array" aca="1" ref="ALP15" ca="1">INDEX(Canals!$N$24:$N$29,MATCH(2,1/((Canals!$F$24:$F$29&lt;=$C15)*(Canals!$G$24:$G$29=_xlfn.IFS(AHT15="Handysize",Main!AKC15,AHT15="Supramax",AJV15,AHT15="Panamax",AJO15,AHT15="NeoPanamax",AJH15,AHT15="Suezmax",AJA15,AHT15="Capesize",AIT15,AHT15="VLOC",AIM15)))))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Q15" s="75" t="e">
        <f t="array" aca="1" ref="ALQ15" ca="1">INDEX(Canals!$O$24:$O$29,MATCH(2,1/((Canals!$F$24:$F$29&lt;=$C15)*(Canals!$G$24:$G$29=_xlfn.IFS(AHT15="Handysize",Main!AKC15,AHT15="Supramax",AJV15,AHT15="Panamax",AJO15,AHT15="NeoPanamax",AJH15,AHT15="Suezmax",AJA15,AHT15="Capesize",AIT15,AHT15="VLOC",AIM15)))))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R15" s="75" t="e">
        <f t="array" aca="1" ref="ALR15" ca="1">INDEX(Canals!$P$24:$P$29,MATCH(2,1/((Canals!$F$24:$F$29&lt;=$C15)*(Canals!$G$24:$G$29=_xlfn.IFS(AHT15="Handysize",Main!AKC15,AHT15="Supramax",AJV15,AHT15="Panamax",AJO15,AHT15="NeoPanamax",AJH15,AHT15="Suezmax",AJA15,AHT15="Capesize",AIT15,AHT15="VLOC",AIM15)))))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S15" s="75" t="e">
        <f t="array" aca="1" ref="ALS15" ca="1">INDEX(Canals!$Q$24:$Q$29,MATCH(2,1/((Canals!$F$24:$F$29&lt;=$C15)*(Canals!$G$24:$G$29=_xlfn.IFS(AHT15="Handysize",Main!AKC15,AHT15="Supramax",AJV15,AHT15="Panamax",AJO15,AHT15="NeoPanamax",AJH15,AHT15="Suezmax",AJA15,AHT15="Capesize",AIT15,AHT15="VLOC",AIM15)))))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T15" s="75" t="e">
        <f t="array" aca="1" ref="ALT15" ca="1">INDEX(Canals!$R$24:$R$29,MATCH(2,1/((Canals!$F$24:$F$29&lt;=$C15)*(Canals!$G$24:$G$29=_xlfn.IFS(AHT15="Handysize",Main!AKC15,AHT15="Supramax",AJV15,AHT15="Panamax",AJO15,AHT15="NeoPanamax",AJH15,AHT15="Suezmax",AJA15,AHT15="Capesize",AIT15,AHT15="VLOC",AIM15)))))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U15" s="136" t="e">
        <f t="array" aca="1" ref="ALU15" ca="1">INDEX(Canals!$S$24:$S$29,MATCH(2,1/((Canals!$F$24:$F$29&lt;=$C15)*(Canals!$G$24:$G$29=_xlfn.IFS(AHT15="Handysize",Main!AKC15,AHT15="Supramax",AJV15,AHT15="Panamax",AJO15,AHT15="NeoPanamax",AJH15,AHT15="Suezmax",AJA15,AHT15="Capesize",AIT15,AHT15="VLOC",AIM15)))))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V15" s="136" t="e">
        <f t="array" aca="1" ref="ALV15" ca="1">INDEX(Canals!$T$24:$T$29,MATCH(2,1/((Canals!$F$24:$F$29&lt;=$C15)*(Canals!$G$24:$G$29=_xlfn.IFS(AHT15="Handysize",Main!AKC15,AHT15="Supramax",AJV15,AHT15="Panamax",AJO15,AHT15="NeoPanamax",AJH15,AHT15="Suezmax",AJA15,AHT15="Capesize",AIT15,AHT15="VLOC",AIM15)))))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W15" s="136" t="e">
        <f t="array" aca="1" ref="ALW15" ca="1">INDEX(Canals!$U$24:$U$29,MATCH(2,1/((Canals!$F$24:$F$29&lt;=$C15)*(Canals!$G$24:$G$29=_xlfn.IFS(AHT15="Handysize",Main!AKC15,AHT15="Supramax",AJV15,AHT15="Panamax",AJO15,AHT15="NeoPanamax",AJH15,AHT15="Suezmax",AJA15,AHT15="Capesize",AIT15,AHT15="VLOC",AIM15)))))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X15" s="136" t="e">
        <f t="array" aca="1" ref="ALX15" ca="1">INDEX(Canals!$V$24:$V$29,MATCH(2,1/((Canals!$F$24:$F$29&lt;=$C15)*(Canals!$G$24:$G$29=_xlfn.IFS(AHT15="Handysize",Main!AKC15,AHT15="Supramax",AJV15,AHT15="Panamax",AJO15,AHT15="NeoPanamax",AJH15,AHT15="Suezmax",AJA15,AHT15="Capesize",AIT15,AHT15="VLOC",AIM15)))))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Y15" s="136" t="e">
        <f t="array" aca="1" ref="ALY15" ca="1">INDEX(Canals!$W$24:$W$29,MATCH(2,1/((Canals!$F$24:$F$29&lt;=$C15)*(Canals!$G$24:$G$29=_xlfn.IFS(AHT15="Handysize",Main!AKC15,AHT15="Supramax",AJV15,AHT15="Panamax",AJO15,AHT15="NeoPanamax",AJH15,AHT15="Suezmax",AJA15,AHT15="Capesize",AIT15,AHT15="VLOC",AIM15)))))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LZ15" s="136" t="e">
        <f t="array" aca="1" ref="ALZ15" ca="1">INDEX(Canals!$X$24:$X$29,MATCH(2,1/((Canals!$F$24:$F$29&lt;=$C15)*(Canals!$G$24:$G$29=_xlfn.IFS(AHT15="Handysize",Main!AKC15,AHT15="Supramax",AJV15,AHT15="Panamax",AJO15,AHT15="NeoPanamax",AJH15,AHT15="Suezmax",AJA15,AHT15="Capesize",AIT15,AHT15="VLOC",AIM15)))))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A15" s="136" t="e">
        <f t="array" aca="1" ref="AMA15" ca="1">INDEX(Canals!$Y$24:$Y$29,MATCH(2,1/((Canals!$F$24:$F$29&lt;=$C15)*(Canals!$G$24:$G$29=_xlfn.IFS(AHT15="Handysize",Main!AKC15,AHT15="Supramax",AJV15,AHT15="Panamax",AJO15,AHT15="NeoPanamax",AJH15,AHT15="Suezmax",AJA15,AHT15="Capesize",AIT15,AHT15="VLOC",AIM15)))))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B15" s="136" t="e">
        <f t="array" aca="1" ref="AMB15" ca="1">INDEX(Canals!$Z$24:$Z$29,MATCH(2,1/((Canals!$F$24:$F$29&lt;=$C15)*(Canals!$G$24:$G$29=_xlfn.IFS(AHT15="Handysize",Main!AKC15,AHT15="Supramax",AJV15,AHT15="Panamax",AJO15,AHT15="NeoPanamax",AJH15,AHT15="Suezmax",AJA15,AHT15="Capesize",AIT15,AHT15="VLOC",AIM15)))))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C15" s="136" t="e">
        <f t="array" aca="1" ref="AMC15" ca="1">INDEX(Canals!$AA$24:$AA$29,MATCH(2,1/((Canals!$F$24:$F$29&lt;=$C15)*(Canals!$G$24:$G$29=_xlfn.IFS(AHT15="Handysize",Main!AKC15,AHT15="Supramax",AJV15,AHT15="Panamax",AJO15,AHT15="NeoPanamax",AJH15,AHT15="Suezmax",AJA15,AHT15="Capesize",AIT15,AHT15="VLOC",AIM15)))))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D15" s="136" t="e">
        <f t="array" aca="1" ref="AMD15" ca="1">INDEX(Canals!$AB$24:$AB$29,MATCH(2,1/((Canals!$F$24:$F$29&lt;=$C15)*(Canals!$G$24:$G$29=_xlfn.IFS(AHT15="Handysize",Main!AKC15,AHT15="Supramax",AJV15,AHT15="Panamax",AJO15,AHT15="NeoPanamax",AJH15,AHT15="Suezmax",AJA15,AHT15="Capesize",AIT15,AHT15="VLOC",AIM15)))))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E15" s="75" t="e">
        <f t="array" aca="1" ref="AME15" ca="1">INDEX(Canals!$AC$24:$AC$29,MATCH(2,1/((Canals!$F$24:$F$29&lt;=$C15)*(Canals!$G$24:$G$29=_xlfn.IFS(AHT15="Handysize",Main!AKC15,AHT15="Supramax",AJV15,AHT15="Panamax",AJO15,AHT15="NeoPanamax",AJH15,AHT15="Suezmax",AJA15,AHT15="Capesize",AIT15,AHT15="VLOC",AIM15)))))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F15" s="75" t="e">
        <f t="array" aca="1" ref="AMF15" ca="1">INDEX(Canals!$AD$24:$AD$29,MATCH(2,1/((Canals!$F$24:$F$29&lt;=$C15)*(Canals!$G$24:$G$29=_xlfn.IFS(AHT15="Handysize",Main!AKC15,AHT15="Supramax",AJV15,AHT15="Panamax",AJO15,AHT15="NeoPanamax",AJH15,AHT15="Suezmax",AJA15,AHT15="Capesize",AIT15,AHT15="VLOC",AIM15)))))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G15" s="75" t="e">
        <f t="array" aca="1" ref="AMG15" ca="1">INDEX(Canals!$AE$24:$AE$29,MATCH(2,1/((Canals!$F$24:$F$29&lt;=$C15)*(Canals!$G$24:$G$29=_xlfn.IFS(AHT15="Handysize",Main!AKC15,AHT15="Supramax",AJV15,AHT15="Panamax",AJO15,AHT15="NeoPanamax",AJH15,AHT15="Suezmax",AJA15,AHT15="Capesize",AIT15,AHT15="VLOC",AIM15)))))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H15" s="75" t="e">
        <f t="array" aca="1" ref="AMH15" ca="1">INDEX(Canals!$AF$24:$AF$29,MATCH(2,1/((Canals!$F$24:$F$29&lt;=$C15)*(Canals!$G$24:$G$29=_xlfn.IFS(AHT15="Handysize",Main!AKC15,AHT15="Supramax",AJV15,AHT15="Panamax",AJO15,AHT15="NeoPanamax",AJH15,AHT15="Suezmax",AJA15,AHT15="Capesize",AIT15,AHT15="VLOC",AIM15)))))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I15" s="75" t="e">
        <f t="array" aca="1" ref="AMI15" ca="1">INDEX(Canals!$AG$24:$AG$29,MATCH(2,1/((Canals!$F$24:$F$29&lt;=$C15)*(Canals!$G$24:$G$29=_xlfn.IFS(AHT15="Handysize",Main!AKC15,AHT15="Supramax",AJV15,AHT15="Panamax",AJO15,AHT15="NeoPanamax",AJH15,AHT15="Suezmax",AJA15,AHT15="Capesize",AIT15,AHT15="VLOC",AIM15)))))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J15" s="75" t="e">
        <f t="array" aca="1" ref="AMJ15" ca="1">INDEX(Canals!$AH$24:$AH$29,MATCH(2,1/((Canals!$F$24:$F$29&lt;=$C15)*(Canals!$G$24:$G$29=_xlfn.IFS(AHT15="Handysize",Main!AKC15,AHT15="Supramax",AJV15,AHT15="Panamax",AJO15,AHT15="NeoPanamax",AJH15,AHT15="Suezmax",AJA15,AHT15="Capesize",AIT15,AHT15="VLOC",AIM15)))))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K15" s="75" t="e">
        <f t="array" aca="1" ref="AMK15" ca="1">INDEX(Canals!$AI$24:$AI$29,MATCH(2,1/((Canals!$F$24:$F$29&lt;=$C15)*(Canals!$G$24:$G$29=_xlfn.IFS(AHT15="Handysize",Main!AKC15,AHT15="Supramax",AJV15,AHT15="Panamax",AJO15,AHT15="NeoPanamax",AJH15,AHT15="Suezmax",AJA15,AHT15="Capesize",AIT15,AHT15="VLOC",AIM15)))))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L15" s="75" t="e">
        <f t="array" aca="1" ref="AML15" ca="1">INDEX(Canals!$AJ$24:$AJ$29,MATCH(2,1/((Canals!$F$24:$F$29&lt;=$C15)*(Canals!$G$24:$G$29=_xlfn.IFS(AHT15="Handysize",Main!AKC15,AHT15="Supramax",AJV15,AHT15="Panamax",AJO15,AHT15="NeoPanamax",AJH15,AHT15="Suezmax",AJA15,AHT15="Capesize",AIT15,AHT15="VLOC",AIM15)))))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M15" s="75" t="e">
        <f t="array" aca="1" ref="AMM15" ca="1">INDEX(Canals!$AK$24:$AK$29,MATCH(2,1/((Canals!$F$24:$F$29&lt;=$C15)*(Canals!$G$24:$G$29=_xlfn.IFS(AHT15="Handysize",Main!AKC15,AHT15="Supramax",AJV15,AHT15="Panamax",AJO15,AHT15="NeoPanamax",AJH15,AHT15="Suezmax",AJA15,AHT15="Capesize",AIT15,AHT15="VLOC",AIM15)))))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N15" s="136" t="e">
        <f t="array" aca="1" ref="AMN15" ca="1">INDEX(Canals!$AL$24:$AL$29,MATCH(2,1/((Canals!$F$24:$F$29&lt;=$C15)*(Canals!$G$24:$G$29=_xlfn.IFS(AHT15="Handysize",Main!AKC15,AHT15="Supramax",AJV15,AHT15="Panamax",AJO15,AHT15="NeoPanamax",AJH15,AHT15="Suezmax",AJA15,AHT15="Capesize",AIT15,AHT15="VLOC",AIM15)))))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O15" s="136" t="e">
        <f t="array" aca="1" ref="AMO15" ca="1">INDEX(Canals!$AM$24:$AM$29,MATCH(2,1/((Canals!$F$24:$F$29&lt;=$C15)*(Canals!$G$24:$G$29=_xlfn.IFS(AHT15="Handysize",Main!AKC15,AHT15="Supramax",AJV15,AHT15="Panamax",AJO15,AHT15="NeoPanamax",AJH15,AHT15="Suezmax",AJA15,AHT15="Capesize",AIT15,AHT15="VLOC",AIM15)))))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P15" s="136" t="e">
        <f t="array" aca="1" ref="AMP15" ca="1">INDEX(Canals!$AN$24:$AN$29,MATCH(2,1/((Canals!$F$24:$F$29&lt;=$C15)*(Canals!$G$24:$G$29=_xlfn.IFS(AHT15="Handysize",Main!AKC15,AHT15="Supramax",AJV15,AHT15="Panamax",AJO15,AHT15="NeoPanamax",AJH15,AHT15="Suezmax",AJA15,AHT15="Capesize",AIT15,AHT15="VLOC",AIM15)))))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Q15" s="136" t="e">
        <f t="array" aca="1" ref="AMQ15" ca="1">INDEX(Canals!$AO$24:$AO$29,MATCH(2,1/((Canals!$F$24:$F$29&lt;=$C15)*(Canals!$G$24:$G$29=_xlfn.IFS(AHT15="Handysize",Main!AKC15,AHT15="Supramax",AJV15,AHT15="Panamax",AJO15,AHT15="NeoPanamax",AJH15,AHT15="Suezmax",AJA15,AHT15="Capesize",AIT15,AHT15="VLOC",AIM15)))))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R15" s="136" t="e">
        <f t="array" aca="1" ref="AMR15" ca="1">INDEX(Canals!$AP$24:$AP$29,MATCH(2,1/((Canals!$F$24:$F$29&lt;=$C15)*(Canals!$G$24:$G$29=_xlfn.IFS(AHT15="Handysize",Main!AKC15,AHT15="Supramax",AJV15,AHT15="Panamax",AJO15,AHT15="NeoPanamax",AJH15,AHT15="Suezmax",AJA15,AHT15="Capesize",AIT15,AHT15="VLOC",AIM15)))))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S15" s="136" t="e">
        <f t="array" aca="1" ref="AMS15" ca="1">INDEX(Canals!$AQ$24:$AQ$29,MATCH(2,1/((Canals!$F$24:$F$29&lt;=$C15)*(Canals!$G$24:$G$29=_xlfn.IFS(AHT15="Handysize",Main!AKC15,AHT15="Supramax",AJV15,AHT15="Panamax",AJO15,AHT15="NeoPanamax",AJH15,AHT15="Suezmax",AJA15,AHT15="Capesize",AIT15,AHT15="VLOC",AIM15)))))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T15" s="136" t="e">
        <f t="array" aca="1" ref="AMT15" ca="1">INDEX(Canals!$AR$24:$AR$29,MATCH(2,1/((Canals!$F$24:$F$29&lt;=$C15)*(Canals!$G$24:$G$29=_xlfn.IFS(AHT15="Handysize",Main!AKC15,AHT15="Supramax",AJV15,AHT15="Panamax",AJO15,AHT15="NeoPanamax",AJH15,AHT15="Suezmax",AJA15,AHT15="Capesize",AIT15,AHT15="VLOC",AIM15)))))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U15" s="136" t="e">
        <f t="array" aca="1" ref="AMU15" ca="1">INDEX(Canals!$AS$24:$AS$29,MATCH(2,1/((Canals!$F$24:$F$29&lt;=$C15)*(Canals!$G$24:$G$29=_xlfn.IFS(AHT15="Handysize",Main!AKC15,AHT15="Supramax",AJV15,AHT15="Panamax",AJO15,AHT15="NeoPanamax",AJH15,AHT15="Suezmax",AJA15,AHT15="Capesize",AIT15,AHT15="VLOC",AIM15)))))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V15" s="136" t="e">
        <f t="array" aca="1" ref="AMV15" ca="1">INDEX(Canals!$AT$24:$AT$29,MATCH(2,1/((Canals!$F$24:$F$29&lt;=$C15)*(Canals!$G$24:$G$29=_xlfn.IFS(AHT15="Handysize",Main!AKC15,AHT15="Supramax",AJV15,AHT15="Panamax",AJO15,AHT15="NeoPanamax",AJH15,AHT15="Suezmax",AJA15,AHT15="Capesize",AIT15,AHT15="VLOC",AIM15)))))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W15" s="136" t="e">
        <f t="array" aca="1" ref="AMW15" ca="1">INDEX(Canals!$AU$24:$AU$29,MATCH(2,1/((Canals!$F$24:$F$29&lt;=$C15)*(Canals!$G$24:$G$29=_xlfn.IFS(AHT15="Handysize",Main!AKC15,AHT15="Supramax",AJV15,AHT15="Panamax",AJO15,AHT15="NeoPanamax",AJH15,AHT15="Suezmax",AJA15,AHT15="Capesize",AIT15,AHT15="VLOC",AIM15)))))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X15" s="136" t="e">
        <f t="array" aca="1" ref="AMX15" ca="1">INDEX(Canals!$AV$24:$AV$29,MATCH(2,1/((Canals!$F$24:$F$29&lt;=$C15)*(Canals!$G$24:$G$29=_xlfn.IFS(AHT15="Handysize",Main!AKC15,AHT15="Supramax",AJV15,AHT15="Panamax",AJO15,AHT15="NeoPanamax",AJH15,AHT15="Suezmax",AJA15,AHT15="Capesize",AIT15,AHT15="VLOC",AIM15)))))</f>
        <v>#N/A</v>
      </c>
      <c r="AMZ15" s="75" t="e">
        <f t="array" aca="1" ref="AMZ15" ca="1">_xlfn.IFS(ALK15="DWT",AHR15,ALK15="NRT",AHV15,ALK15="GRT",AHW15,ALK15=0,0)</f>
        <v>#NAME?</v>
      </c>
      <c r="ANA15" s="279" t="e">
        <f t="shared" ca="1" si="227"/>
        <v>#NAME?</v>
      </c>
      <c r="ANB15" s="280" t="e">
        <f t="shared" ca="1" si="228"/>
        <v>#NAME?</v>
      </c>
      <c r="ANC15" s="280" t="e">
        <f t="shared" ca="1" si="229"/>
        <v>#NAME?</v>
      </c>
      <c r="AND15" s="280" t="e">
        <f t="shared" ca="1" si="230"/>
        <v>#NAME?</v>
      </c>
      <c r="ANE15" s="280" t="e">
        <f t="shared" ca="1" si="231"/>
        <v>#NAME?</v>
      </c>
      <c r="ANF15" s="280" t="e">
        <f t="shared" ca="1" si="232"/>
        <v>#NAME?</v>
      </c>
      <c r="ANG15" s="280" t="e">
        <f t="shared" ca="1" si="233"/>
        <v>#NAME?</v>
      </c>
      <c r="ANH15" s="280" t="e">
        <f t="shared" ca="1" si="234"/>
        <v>#NAME?</v>
      </c>
      <c r="ANI15" s="280" t="e">
        <f t="shared" ca="1" si="235"/>
        <v>#NAME?</v>
      </c>
      <c r="ANJ15" s="75">
        <f t="shared" si="236"/>
        <v>0</v>
      </c>
      <c r="ANK15" s="279" t="e">
        <f t="shared" ca="1" si="237"/>
        <v>#N/A</v>
      </c>
      <c r="ANL15" s="280" t="e">
        <f t="shared" ca="1" si="238"/>
        <v>#N/A</v>
      </c>
      <c r="ANM15" s="280" t="e">
        <f t="shared" ca="1" si="239"/>
        <v>#N/A</v>
      </c>
      <c r="ANN15" s="280" t="e">
        <f t="shared" ca="1" si="240"/>
        <v>#N/A</v>
      </c>
      <c r="ANO15" s="280" t="e">
        <f t="shared" ca="1" si="241"/>
        <v>#N/A</v>
      </c>
      <c r="ANP15" s="280" t="e">
        <f t="shared" ca="1" si="242"/>
        <v>#N/A</v>
      </c>
      <c r="ANQ15" s="280" t="e">
        <f t="shared" ca="1" si="243"/>
        <v>#N/A</v>
      </c>
      <c r="ANR15" s="280" t="e">
        <f t="shared" ca="1" si="244"/>
        <v>#N/A</v>
      </c>
      <c r="ANS15" s="280" t="e">
        <f t="shared" ca="1" si="245"/>
        <v>#N/A</v>
      </c>
      <c r="ANU15" s="75" t="e">
        <f t="array" aca="1" ref="ANU15" ca="1">_xlfn.IFS(AHT15="Handysize",Main!AJW15,AHT15="Supramax",AJP15,AHT15="Panamax",AJI15,AHT15="NeoPanamax",AJB15,AHT15="Suezmax",AIU15,AHT15="Capesize",AIN15,AHT15="VLOC",AIG15)*$JI15</f>
        <v>#NAME?</v>
      </c>
      <c r="ANV15" s="274" t="e">
        <f t="array" aca="1" ref="ANV15" ca="1">_xlfn.IFS(AHT15="Handysize",Main!AJX15,AHT15="Supramax",AJQ15,AHT15="Panamax",AJJ15,AHT15="NeoPanamax",AJC15,AHT15="Suezmax",AIV15,AHT15="Capesize",AIO15,AHT15="VLOC",AIH15)*$JI15</f>
        <v>#NAME?</v>
      </c>
      <c r="ANW15" s="71" t="e">
        <f t="array" aca="1" ref="ANW15" ca="1">_xlfn.IFS(AHT15="Handysize",Main!AHY15,AHT15="Supramax",AHZ15,AHT15="Panamax",AIA15,AHT15="NeoPanamax",AIB15,AHT15="Suezmax",AIC15,AHT15="Capesize",AID15,AHT15="VLOC",AIE15)</f>
        <v>#NAME?</v>
      </c>
      <c r="ANX15" s="71" t="e">
        <f t="array" aca="1" ref="ANX15" ca="1">_xlfn.IFS(AHT15="Handysize",Main!AKK15,AHT15="Supramax",AKL15,AHT15="Panamax",AKM15,AHT15="NeoPanamax",AKN15,AHT15="Suezmax",AKO15,AHT15="Capesize",AKP15,AHT15="VLOC",AKQ15)</f>
        <v>#NAME?</v>
      </c>
      <c r="ANY15" s="70">
        <f t="array" ref="ANY15">INDEX('Ship Speeds'!$G$11:$G$1011,MATCH(2,1/(('Ship Speeds'!$E$11:$E$1011&lt;=Main!$C15)*('Ship Speeds'!$F$11:$F$1011=Main!AHS15))))</f>
        <v>11</v>
      </c>
      <c r="ANZ15" s="403">
        <f t="shared" si="246"/>
        <v>0</v>
      </c>
      <c r="AOA15" s="401">
        <f t="shared" si="247"/>
        <v>1.2</v>
      </c>
      <c r="AOB15" s="70" t="e">
        <f t="shared" ca="1" si="248"/>
        <v>#NAME?</v>
      </c>
      <c r="AOC15" s="70" t="e">
        <f t="shared" ca="1" si="249"/>
        <v>#NAME?</v>
      </c>
      <c r="AOD15" s="70" t="e">
        <f t="shared" ca="1" si="250"/>
        <v>#NAME?</v>
      </c>
      <c r="AOE15" s="70" t="e">
        <f t="shared" ca="1" si="251"/>
        <v>#NAME?</v>
      </c>
      <c r="AOF15" s="72" t="e">
        <f t="shared" ca="1" si="252"/>
        <v>#N/A</v>
      </c>
      <c r="AOG15" s="70" t="e">
        <f t="shared" ca="1" si="253"/>
        <v>#NAME?</v>
      </c>
      <c r="AOH15" s="70" t="e">
        <f t="array" aca="1" ref="AOH15" ca="1">IF(ANU15=0,0,INDEX(AKE15:AKI15,MATCH(_xlfn.IFS(AHT15="Handysize",Main!AKA15,AHT15="Supramax",AJT15,AHT15="Panamax",AJM15,AHT15="NeoPanamax",AJF15,AHT15="Suezmax",AIY15,AHT15="Capesize",AIR15,AHT15="VLOC",AIK15),$AKE$7:$AKI$7,0)))</f>
        <v>#NAME?</v>
      </c>
      <c r="AOI15" s="70" t="e">
        <f t="array" aca="1" ref="AOI15" ca="1">IF(ANU15=0,0,INDEX(AKE15:AKI15,MATCH(_xlfn.IFS(AHT15="Handysize",Main!AKB15,AHT15="Supramax",AJU15,AHT15="Panamax",AJN15,AHT15="NeoPanamax",AJG15,AHT15="Suezmax",AIZ15,AHT15="Capesize",AIS15,AHT15="VLOC",AIL15),$AKE$7:$AKI$7,0)))</f>
        <v>#NAME?</v>
      </c>
      <c r="AOJ15" s="71" t="e">
        <f t="shared" ca="1" si="254"/>
        <v>#NAME?</v>
      </c>
      <c r="AOK15" s="71" t="e">
        <f t="shared" ca="1" si="255"/>
        <v>#NAME?</v>
      </c>
      <c r="AOL15" s="281" t="e">
        <f t="shared" ca="1" si="256"/>
        <v>#NAME?</v>
      </c>
      <c r="AOM15" s="71" t="e">
        <f t="shared" ca="1" si="257"/>
        <v>#NAME?</v>
      </c>
      <c r="AON15" s="71" t="e">
        <f t="shared" ca="1" si="258"/>
        <v>#NAME?</v>
      </c>
      <c r="AOO15" s="71" t="e">
        <f t="shared" ca="1" si="259"/>
        <v>#NAME?</v>
      </c>
      <c r="AOP15" s="71" t="e">
        <f t="shared" ca="1" si="260"/>
        <v>#NAME?</v>
      </c>
      <c r="AOQ15" s="71" t="e">
        <f t="shared" ca="1" si="261"/>
        <v>#NAME?</v>
      </c>
      <c r="AOR15" s="71" t="e">
        <f t="shared" ca="1" si="262"/>
        <v>#NAME?</v>
      </c>
      <c r="AOS15" s="71" t="e">
        <f t="shared" ca="1" si="263"/>
        <v>#NAME?</v>
      </c>
      <c r="AOT15" s="71" t="e">
        <f t="shared" ca="1" si="264"/>
        <v>#NAME?</v>
      </c>
      <c r="AOU15" s="71" t="e">
        <f t="shared" ca="1" si="265"/>
        <v>#NAME?</v>
      </c>
      <c r="AOV15" s="71" t="e">
        <f t="shared" ca="1" si="266"/>
        <v>#NAME?</v>
      </c>
      <c r="AOW15" s="71" t="e">
        <f t="shared" ca="1" si="267"/>
        <v>#NAME?</v>
      </c>
      <c r="AOX15" s="71" t="e">
        <f t="shared" ca="1" si="268"/>
        <v>#NAME?</v>
      </c>
      <c r="AOY15" s="72" t="e">
        <f t="shared" ca="1" si="269"/>
        <v>#NAME?</v>
      </c>
      <c r="AOZ15" s="72" t="e">
        <f t="shared" ca="1" si="270"/>
        <v>#NAME?</v>
      </c>
      <c r="APA15" s="71" t="e">
        <f t="shared" ca="1" si="271"/>
        <v>#NAME?</v>
      </c>
      <c r="APB15" s="71" t="e">
        <f t="array" aca="1" ref="APB15" ca="1">IF(ANU15=0,0,INDEX('Ship Time Charter Rates'!$H$22:$H$1021,MATCH(2,1/(('Ship Time Charter Rates'!$G$22:$G$1021=_xlfn.IFS(AHT15="Handysize",Main!AJY15,AHT15="Supramax",AJR15,AHT15="Panamax",AJK15,AHT15="NeoPanamax",AJD15,AHT15="Suezmax",AIW15,AHT15="Capesize",AIP15,AHT15="VLOC",AII15))*('Ship Time Charter Rates'!$E$22:$E$1021&lt;=Main!$C15)*(NOT(ISBLANK('Ship Time Charter Rates'!$H$22:$H$1021)))))))</f>
        <v>#NAME?</v>
      </c>
      <c r="APC15" s="71" t="e">
        <f t="shared" ca="1" si="272"/>
        <v>#NAME?</v>
      </c>
      <c r="APD15" s="70" t="e">
        <f t="shared" ca="1" si="273"/>
        <v>#NAME?</v>
      </c>
      <c r="APE15" s="71" t="e">
        <f t="shared" ca="1" si="274"/>
        <v>#NAME?</v>
      </c>
      <c r="APF15" s="71" t="e">
        <f t="shared" ca="1" si="308"/>
        <v>#NAME?</v>
      </c>
      <c r="APG15" s="72" t="e">
        <f t="shared" ca="1" si="309"/>
        <v>#NAME?</v>
      </c>
      <c r="API15" s="287" t="s">
        <v>39</v>
      </c>
      <c r="APK15" s="289" t="e">
        <f t="shared" ca="1" si="275"/>
        <v>#NAME?</v>
      </c>
      <c r="APL15" s="289" t="e">
        <f t="shared" ca="1" si="276"/>
        <v>#NAME?</v>
      </c>
      <c r="APM15" s="289" t="e">
        <f t="shared" ca="1" si="277"/>
        <v>#NAME?</v>
      </c>
      <c r="APO15" s="287" t="s">
        <v>39</v>
      </c>
    </row>
    <row r="16" spans="1:1134">
      <c r="C16" s="5">
        <v>43923</v>
      </c>
      <c r="D16" s="7" t="s">
        <v>20</v>
      </c>
      <c r="E16" s="86" t="s">
        <v>37</v>
      </c>
      <c r="F16" s="6">
        <v>50</v>
      </c>
      <c r="G16" s="1" t="s">
        <v>185</v>
      </c>
      <c r="H16" s="1" t="s">
        <v>5</v>
      </c>
      <c r="I16" s="15"/>
      <c r="J16" s="15"/>
      <c r="K16" s="15"/>
      <c r="L16" s="15"/>
      <c r="M16" s="15"/>
      <c r="N16" s="15"/>
      <c r="O16" s="15"/>
      <c r="P16" s="8"/>
      <c r="Q16" s="98"/>
      <c r="R16" s="7" t="s">
        <v>95</v>
      </c>
      <c r="T16" s="287" t="s">
        <v>39</v>
      </c>
      <c r="V16" s="4"/>
      <c r="W16" s="16" t="str">
        <f t="shared" si="0"/>
        <v>not used yet</v>
      </c>
      <c r="X16" s="16" t="str">
        <f t="shared" si="0"/>
        <v>not used yet</v>
      </c>
      <c r="Y16" s="16" t="str">
        <f t="shared" si="0"/>
        <v>not used yet</v>
      </c>
      <c r="Z16" s="16" t="str">
        <f t="shared" si="0"/>
        <v>not used yet</v>
      </c>
      <c r="AA16" s="16" t="str">
        <f t="shared" si="0"/>
        <v>not used yet</v>
      </c>
      <c r="AB16" s="16" t="str">
        <f t="shared" si="0"/>
        <v>not used yet</v>
      </c>
      <c r="AC16" s="16" t="str">
        <f t="shared" si="0"/>
        <v>not used yet</v>
      </c>
      <c r="AE16" s="88" t="str">
        <f t="shared" si="1"/>
        <v>CBG LT</v>
      </c>
      <c r="AF16" s="16">
        <f t="shared" si="310"/>
        <v>0.48699999999999999</v>
      </c>
      <c r="AG16" s="16">
        <f t="shared" si="311"/>
        <v>0.43299999999999994</v>
      </c>
      <c r="AH16" s="61">
        <f t="shared" si="312"/>
        <v>2.1999999999999999E-2</v>
      </c>
      <c r="AI16" s="61">
        <f t="shared" si="313"/>
        <v>1.9E-2</v>
      </c>
      <c r="AJ16" s="61">
        <f t="shared" si="314"/>
        <v>2.9999999999999992E-3</v>
      </c>
      <c r="AK16" s="16">
        <f t="shared" si="315"/>
        <v>3.5000000000000003E-2</v>
      </c>
      <c r="AL16" s="16">
        <f t="shared" si="316"/>
        <v>7.0999999999999994E-2</v>
      </c>
      <c r="AM16" s="24" t="str">
        <f t="shared" si="3"/>
        <v>LT</v>
      </c>
      <c r="AN16" s="427">
        <f t="shared" si="278"/>
        <v>59781.15</v>
      </c>
      <c r="AO16" s="127" t="str">
        <f t="array" ref="AO16">IFERROR(IF(AND(AN16&gt;'Indices Mines Exporting Ports'!$D$11,MATCH(2,1/(('Indices Mines Exporting Ports'!$B$3:$B$10&lt;=C16)*('Indices Mines Exporting Ports'!$C$3:$C$10=E16)))),"Yes","No"),"No")</f>
        <v>No</v>
      </c>
      <c r="AP16" s="126" t="str">
        <f t="array" ref="AP16">IF(AO16="Yes",INDEX('Indices Mines Exporting Ports'!$D$3:$D$10,MATCH(2,1/(('Indices Mines Exporting Ports'!$B$3:$B$10&lt;=Main!C16)*('Indices Mines Exporting Ports'!$C$3:$C$10=Main!AE16)))),IF(NOT(ISBLANK(Q16)),Q16,IP16))</f>
        <v>CBG_Wharf</v>
      </c>
      <c r="AQ16" s="262">
        <f t="array" ref="AQ16">IF(AO16="no",0,INDEX('Indices Mines Exporting Ports'!$E$3:$E$10,MATCH(2,1/(('Indices Mines Exporting Ports'!$B$3:$B$10&lt;=Main!$C16)*('Indices Mines Exporting Ports'!$D$3:$D$10=Main!$AP16)))))</f>
        <v>0</v>
      </c>
      <c r="AR16" s="267">
        <f t="array" ref="AR16">IF(AO16="No",0,AN16/ROUND(AN16/INDEX('Indices Mines Exporting Ports'!$F$3:$F$10,MATCH(2,1/(('Indices Mines Exporting Ports'!$B$3:$B$10&lt;=Main!C16)*('Indices Mines Exporting Ports'!$C$3:$C$10=Main!AE16)))),0))</f>
        <v>0</v>
      </c>
      <c r="AS16" s="127" t="str">
        <f t="shared" si="4"/>
        <v>Qingdao</v>
      </c>
      <c r="AT16" s="100" t="str">
        <f t="shared" si="317"/>
        <v>Guinea 45/3 LT</v>
      </c>
      <c r="AU16" s="100" t="str">
        <f t="shared" si="318"/>
        <v>CBIX LT</v>
      </c>
      <c r="AV16" s="242" t="s">
        <v>4</v>
      </c>
      <c r="AW16" s="242" t="s">
        <v>5</v>
      </c>
      <c r="AX16" s="292" t="e">
        <f t="shared" ca="1" si="6"/>
        <v>#NAME?</v>
      </c>
      <c r="AY16" s="291" t="e">
        <f t="shared" ca="1" si="7"/>
        <v>#NAME?</v>
      </c>
      <c r="AZ16" s="292" t="e">
        <f t="shared" ca="1" si="8"/>
        <v>#NAME?</v>
      </c>
      <c r="BA16" s="102">
        <f t="shared" si="9"/>
        <v>0.33</v>
      </c>
      <c r="BB16" s="12"/>
      <c r="BC16" s="306" t="s">
        <v>403</v>
      </c>
      <c r="BD16" s="407" t="e">
        <f t="shared" ca="1" si="279"/>
        <v>#NAME?</v>
      </c>
      <c r="BE16" s="407">
        <f t="shared" si="279"/>
        <v>0</v>
      </c>
      <c r="BF16" s="407">
        <f t="shared" si="279"/>
        <v>0</v>
      </c>
      <c r="BG16" s="407" t="e">
        <f t="shared" ca="1" si="280"/>
        <v>#NAME?</v>
      </c>
      <c r="BH16" s="407">
        <f t="shared" si="281"/>
        <v>0</v>
      </c>
      <c r="BI16" s="263" t="e">
        <f t="shared" ca="1" si="282"/>
        <v>#NAME?</v>
      </c>
      <c r="BK16" s="287" t="s">
        <v>39</v>
      </c>
      <c r="BM16" s="291" t="e">
        <f t="shared" ca="1" si="283"/>
        <v>#NAME?</v>
      </c>
      <c r="BN16" s="298">
        <f t="shared" si="284"/>
        <v>0.48699999999999999</v>
      </c>
      <c r="BO16" s="298">
        <f t="shared" si="285"/>
        <v>0.43299999999999994</v>
      </c>
      <c r="BP16" s="298">
        <f t="shared" si="286"/>
        <v>2.1999999999999999E-2</v>
      </c>
      <c r="BQ16" s="298">
        <f t="shared" si="287"/>
        <v>1.9E-2</v>
      </c>
      <c r="BR16" s="298">
        <f t="shared" si="288"/>
        <v>2.9999999999999992E-3</v>
      </c>
      <c r="BS16" s="298">
        <f t="shared" si="289"/>
        <v>3.5000000000000003E-2</v>
      </c>
      <c r="BT16" s="298">
        <f t="shared" si="290"/>
        <v>7.0999999999999994E-2</v>
      </c>
      <c r="BU16" s="307" t="str">
        <f t="shared" si="291"/>
        <v>LT</v>
      </c>
      <c r="BV16" s="291">
        <f t="shared" si="292"/>
        <v>0.33</v>
      </c>
      <c r="BX16" s="300">
        <f t="array" ref="BX16">INDEX('Processing Factors'!$D$8:$D$29,MATCH(2,1/(('Processing Factors'!$B$8:$B$29&lt;=Main!$C16)*('Processing Factors'!$C$8:$C$29=Main!BU16))))</f>
        <v>0</v>
      </c>
      <c r="BY16" s="299">
        <f t="array" ref="BY16">INDEX('Processing Factors'!$E$8:$E$29,MATCH(2,1/(('Processing Factors'!$B$8:$B$29&lt;=Main!$C16)*('Processing Factors'!$C$8:$C$29=Main!BU16))))</f>
        <v>1</v>
      </c>
      <c r="BZ16" s="299">
        <f t="array" ref="BZ16">INDEX('Processing Factors'!$F$8:$F$29,MATCH(2,1/(('Processing Factors'!$B$8:$B$29&lt;=Main!$C16)*('Processing Factors'!$C$8:$C$29=Main!BU16))))</f>
        <v>0.9</v>
      </c>
      <c r="CA16" s="299">
        <f t="array" ref="CA16">INDEX('Processing Factors'!$G$8:$G$29,MATCH(2,1/(('Processing Factors'!$B$8:$B$29&lt;=Main!$C16)*('Processing Factors'!$C$8:$C$29=Main!BU16))))</f>
        <v>3.5999999999999997E-2</v>
      </c>
      <c r="CB16" s="299">
        <f t="array" ref="CB16">INDEX('Processing Factors'!$H$8:$H$29,MATCH(2,1/(('Processing Factors'!$B$8:$B$29&lt;=Main!$C16)*('Processing Factors'!$C$8:$C$29=Main!BU16))))</f>
        <v>12.15</v>
      </c>
      <c r="CC16" s="300">
        <f t="array" ref="CC16">INDEX('Processing Factors'!$I$8:$I$29,MATCH(2,1/(('Processing Factors'!$B$8:$B$29&lt;=Main!$C16)*('Processing Factors'!$C$8:$C$29=Main!BU16))))</f>
        <v>0</v>
      </c>
      <c r="CD16" s="300">
        <f t="array" ref="CD16">INDEX('Processing Factors'!$J$8:$J$29,MATCH(2,1/(('Processing Factors'!$B$8:$B$29&lt;=Main!$C16)*('Processing Factors'!$C$8:$C$29=Main!BU16))))</f>
        <v>0.9</v>
      </c>
      <c r="CE16" s="299">
        <f t="array" ref="CE16">INDEX('Processing Factors'!$K$8:$K$29,MATCH(2,1/(('Processing Factors'!$B$8:$B$29&lt;=Main!$C16)*('Processing Factors'!$C$8:$C$29=Main!BU16))))</f>
        <v>3.5000000000000003E-2</v>
      </c>
      <c r="CG16" s="302">
        <f t="shared" si="10"/>
        <v>0.45199999999999996</v>
      </c>
      <c r="CH16" s="302">
        <f t="shared" si="11"/>
        <v>1.9E-2</v>
      </c>
      <c r="CI16" s="302">
        <f t="shared" si="12"/>
        <v>0.43299999999999994</v>
      </c>
      <c r="CJ16" s="299">
        <f t="shared" si="13"/>
        <v>2.5660764690787787</v>
      </c>
      <c r="CK16" s="281" t="e">
        <f t="shared" ca="1" si="14"/>
        <v>#NAME?</v>
      </c>
      <c r="CL16" s="299">
        <f t="shared" si="15"/>
        <v>7.8879907621247122E-2</v>
      </c>
      <c r="CM16" s="281">
        <f t="shared" si="16"/>
        <v>18.950797478253268</v>
      </c>
      <c r="CN16" s="281">
        <f t="shared" si="17"/>
        <v>50.37416442905598</v>
      </c>
      <c r="CO16" s="281">
        <f t="shared" si="18"/>
        <v>1.2210288298473715</v>
      </c>
      <c r="CP16" s="299">
        <f t="shared" si="19"/>
        <v>1.680956376700026</v>
      </c>
      <c r="CQ16" s="281">
        <f t="shared" si="20"/>
        <v>7.1267229085642709</v>
      </c>
      <c r="CR16" s="281" t="e">
        <f t="shared" ca="1" si="21"/>
        <v>#NAME?</v>
      </c>
      <c r="CT16" s="287" t="s">
        <v>39</v>
      </c>
      <c r="CV16" s="305" t="e">
        <f t="shared" ca="1" si="22"/>
        <v>#NAME?</v>
      </c>
      <c r="CW16" s="61">
        <f t="array" ref="CW16">INDEX('Indices Mines Exporting Ports'!E$20:E$51, MATCH(2,1/(('Indices Mines Exporting Ports'!$C$20:$C$51=$AT16)*('Indices Mines Exporting Ports'!$D$20:$D$51&lt;=$C16))))</f>
        <v>0.45</v>
      </c>
      <c r="CX16" s="61">
        <f t="array" ref="CX16">INDEX('Indices Mines Exporting Ports'!F$20:F$51, MATCH(2,1/(('Indices Mines Exporting Ports'!$C$20:$C$51=$AT16)*('Indices Mines Exporting Ports'!$D$20:$D$51&lt;=$C16))))</f>
        <v>0.40250000000000002</v>
      </c>
      <c r="CY16" s="61">
        <f t="array" ref="CY16">INDEX('Indices Mines Exporting Ports'!G$20:G$51, MATCH(2,1/(('Indices Mines Exporting Ports'!$C$20:$C$51=$AT16)*('Indices Mines Exporting Ports'!$D$20:$D$51&lt;=$C16))))</f>
        <v>0.03</v>
      </c>
      <c r="CZ16" s="61">
        <f t="array" ref="CZ16">INDEX('Indices Mines Exporting Ports'!H$20:H$51, MATCH(2,1/(('Indices Mines Exporting Ports'!$C$20:$C$51=$AT16)*('Indices Mines Exporting Ports'!$D$20:$D$51&lt;=$C16))))</f>
        <v>1.2500000000000001E-2</v>
      </c>
      <c r="DA16" s="61">
        <f t="array" ref="DA16">INDEX('Indices Mines Exporting Ports'!I$20:I$51, MATCH(2,1/(('Indices Mines Exporting Ports'!$C$20:$C$51=$AT16)*('Indices Mines Exporting Ports'!$D$20:$D$51&lt;=$C16))))</f>
        <v>1.7499999999999998E-2</v>
      </c>
      <c r="DB16" s="61">
        <f t="array" ref="DB16">INDEX('Indices Mines Exporting Ports'!J$20:J$51, MATCH(2,1/(('Indices Mines Exporting Ports'!$C$20:$C$51=$AT16)*('Indices Mines Exporting Ports'!$D$20:$D$51&lt;=$C16))))</f>
        <v>3.5000000000000003E-2</v>
      </c>
      <c r="DC16" s="61">
        <f t="array" ref="DC16">INDEX('Indices Mines Exporting Ports'!K$20:K$51, MATCH(2,1/(('Indices Mines Exporting Ports'!$C$20:$C$51=$AT16)*('Indices Mines Exporting Ports'!$D$20:$D$51&lt;=$C16))))</f>
        <v>0.1</v>
      </c>
      <c r="DD16" s="103" t="str">
        <f t="array" ref="DD16">INDEX('Indices Mines Exporting Ports'!L$20:L$51, MATCH(2,1/(('Indices Mines Exporting Ports'!$C$20:$C$51=$AT16)*('Indices Mines Exporting Ports'!$D$20:$D$51&lt;=$C16))))</f>
        <v>LT</v>
      </c>
      <c r="DE16" s="243">
        <f t="array" ref="DE16">INDEX('Indices Mines Exporting Ports'!M$20:M$51, MATCH(2,1/(('Indices Mines Exporting Ports'!$C$20:$C$51=$AT16)*('Indices Mines Exporting Ports'!$D$20:$D$51&lt;=$C16))))</f>
        <v>0.33</v>
      </c>
      <c r="DG16" s="300">
        <f t="array" ref="DG16">INDEX('Processing Factors'!$D$8:$D$29,MATCH(2,1/(('Processing Factors'!$B$8:$B$29&lt;=Main!$C16)*('Processing Factors'!$C$8:$C$29=Main!DD16))))</f>
        <v>0</v>
      </c>
      <c r="DH16" s="299">
        <f t="array" ref="DH16">INDEX('Processing Factors'!$E$8:$E$29,MATCH(2,1/(('Processing Factors'!$B$8:$B$29&lt;=Main!$C16)*('Processing Factors'!$C$8:$C$29=Main!DD16))))</f>
        <v>1</v>
      </c>
      <c r="DI16" s="299">
        <f t="array" ref="DI16">INDEX('Processing Factors'!$F$8:$F$29,MATCH(2,1/(('Processing Factors'!$B$8:$B$29&lt;=Main!$C16)*('Processing Factors'!$C$8:$C$29=Main!DD16))))</f>
        <v>0.9</v>
      </c>
      <c r="DJ16" s="299">
        <f t="array" ref="DJ16">INDEX('Processing Factors'!$G$8:$G$29,MATCH(2,1/(('Processing Factors'!$B$8:$B$29&lt;=Main!$C16)*('Processing Factors'!$C$8:$C$29=Main!DD16))))</f>
        <v>3.5999999999999997E-2</v>
      </c>
      <c r="DK16" s="299">
        <f t="array" ref="DK16">INDEX('Processing Factors'!$H$8:$H$29,MATCH(2,1/(('Processing Factors'!$B$8:$B$29&lt;=Main!$C16)*('Processing Factors'!$C$8:$C$29=Main!DD16))))</f>
        <v>12.15</v>
      </c>
      <c r="DL16" s="300">
        <f t="array" ref="DL16">INDEX('Processing Factors'!$I$8:$I$29,MATCH(2,1/(('Processing Factors'!$B$8:$B$29&lt;=Main!$C16)*('Processing Factors'!$C$8:$C$29=Main!DD16))))</f>
        <v>0</v>
      </c>
      <c r="DM16" s="300">
        <f t="array" ref="DM16">INDEX('Processing Factors'!$J$8:$J$29,MATCH(2,1/(('Processing Factors'!$B$8:$B$29&lt;=Main!$C16)*('Processing Factors'!$C$8:$C$29=Main!DD16))))</f>
        <v>0.9</v>
      </c>
      <c r="DN16" s="299">
        <f t="array" ref="DN16">INDEX('Processing Factors'!$K$8:$K$29,MATCH(2,1/(('Processing Factors'!$B$8:$B$29&lt;=Main!$C16)*('Processing Factors'!$C$8:$C$29=Main!DD16))))</f>
        <v>3.5000000000000003E-2</v>
      </c>
      <c r="DP16" s="302">
        <f t="shared" si="23"/>
        <v>0.41500000000000004</v>
      </c>
      <c r="DQ16" s="302">
        <f t="shared" si="24"/>
        <v>1.2500000000000001E-2</v>
      </c>
      <c r="DR16" s="302">
        <f t="shared" si="25"/>
        <v>0.40250000000000002</v>
      </c>
      <c r="DS16" s="299">
        <f t="shared" si="26"/>
        <v>2.7605244996549341</v>
      </c>
      <c r="DT16" s="304">
        <v>0</v>
      </c>
      <c r="DU16" s="299">
        <f t="shared" si="27"/>
        <v>6.6055900621118019E-2</v>
      </c>
      <c r="DV16" s="281">
        <f t="shared" si="28"/>
        <v>15.869846107391274</v>
      </c>
      <c r="DW16" s="281">
        <f t="shared" si="29"/>
        <v>50.37416442905598</v>
      </c>
      <c r="DX16" s="281">
        <f t="shared" si="30"/>
        <v>1.2210288298473715</v>
      </c>
      <c r="DY16" s="299">
        <f t="shared" si="31"/>
        <v>1.8625804002760522</v>
      </c>
      <c r="DZ16" s="281">
        <f t="shared" si="32"/>
        <v>7.8967512730754059</v>
      </c>
      <c r="EA16" s="281">
        <f t="shared" si="33"/>
        <v>75.361790639370028</v>
      </c>
      <c r="EC16" s="287" t="s">
        <v>39</v>
      </c>
      <c r="EE16" s="305" t="e">
        <f t="shared" ca="1" si="34"/>
        <v>#NAME?</v>
      </c>
      <c r="EF16" s="16">
        <f t="array" ref="EF16">INDEX('Indices Mines Exporting Ports'!E$20:E$51, MATCH(2,1/(('Indices Mines Exporting Ports'!$C$20:$C$51=$AU16)*('Indices Mines Exporting Ports'!$D$20:$D$51&lt;=$C16))))</f>
        <v>0.5</v>
      </c>
      <c r="EG16" s="16">
        <f t="array" ref="EG16">INDEX('Indices Mines Exporting Ports'!F$20:F$51, MATCH(2,1/(('Indices Mines Exporting Ports'!$C$20:$C$51=$AU16)*('Indices Mines Exporting Ports'!$D$20:$D$51&lt;=$C16))))</f>
        <v>0.45</v>
      </c>
      <c r="EH16" s="16">
        <f t="array" ref="EH16">INDEX('Indices Mines Exporting Ports'!G$20:G$51, MATCH(2,1/(('Indices Mines Exporting Ports'!$C$20:$C$51=$AU16)*('Indices Mines Exporting Ports'!$D$20:$D$51&lt;=$C16))))</f>
        <v>0.05</v>
      </c>
      <c r="EI16" s="16">
        <f t="array" ref="EI16">INDEX('Indices Mines Exporting Ports'!H$20:H$51, MATCH(2,1/(('Indices Mines Exporting Ports'!$C$20:$C$51=$AU16)*('Indices Mines Exporting Ports'!$D$20:$D$51&lt;=$C16))))</f>
        <v>0.05</v>
      </c>
      <c r="EJ16" s="16">
        <f t="array" ref="EJ16">INDEX('Indices Mines Exporting Ports'!I$20:I$51, MATCH(2,1/(('Indices Mines Exporting Ports'!$C$20:$C$51=$AU16)*('Indices Mines Exporting Ports'!$D$20:$D$51&lt;=$C16))))</f>
        <v>0</v>
      </c>
      <c r="EK16" s="16">
        <f t="array" ref="EK16">INDEX('Indices Mines Exporting Ports'!J$20:J$51, MATCH(2,1/(('Indices Mines Exporting Ports'!$C$20:$C$51=$AU16)*('Indices Mines Exporting Ports'!$D$20:$D$51&lt;=$C16))))</f>
        <v>0</v>
      </c>
      <c r="EL16" s="16">
        <f t="array" ref="EL16">INDEX('Indices Mines Exporting Ports'!K$20:K$51, MATCH(2,1/(('Indices Mines Exporting Ports'!$C$20:$C$51=$AU16)*('Indices Mines Exporting Ports'!$D$20:$D$51&lt;=$C16))))</f>
        <v>0.1</v>
      </c>
      <c r="EM16" s="103" t="str">
        <f t="array" ref="EM16">INDEX('Indices Mines Exporting Ports'!L$20:L$51, MATCH(2,1/(('Indices Mines Exporting Ports'!$C$20:$C$51=$AU16)*('Indices Mines Exporting Ports'!$D$20:$D$51&lt;=$C16))))</f>
        <v>LT</v>
      </c>
      <c r="EN16" s="243">
        <f t="array" ref="EN16">INDEX('Indices Mines Exporting Ports'!M$20:M$51, MATCH(2,1/(('Indices Mines Exporting Ports'!$C$20:$C$51=$AU16)*('Indices Mines Exporting Ports'!$D$20:$D$51&lt;=$C16))))</f>
        <v>0</v>
      </c>
      <c r="EP16" s="300">
        <f t="array" ref="EP16">INDEX('Processing Factors'!$D$8:$D$29,MATCH(2,1/(('Processing Factors'!$B$8:$B$29&lt;=Main!$C16)*('Processing Factors'!$C$8:$C$29=Main!EM16))))</f>
        <v>0</v>
      </c>
      <c r="EQ16" s="299">
        <f t="array" ref="EQ16">INDEX('Processing Factors'!$E$8:$E$29,MATCH(2,1/(('Processing Factors'!$B$8:$B$29&lt;=Main!$C16)*('Processing Factors'!$C$8:$C$29=Main!EM16))))</f>
        <v>1</v>
      </c>
      <c r="ER16" s="299">
        <f t="array" ref="ER16">INDEX('Processing Factors'!$F$8:$F$29,MATCH(2,1/(('Processing Factors'!$B$8:$B$29&lt;=Main!$C16)*('Processing Factors'!$C$8:$C$29=Main!EM16))))</f>
        <v>0.9</v>
      </c>
      <c r="ES16" s="299">
        <f t="array" ref="ES16">INDEX('Processing Factors'!$G$8:$G$29,MATCH(2,1/(('Processing Factors'!$B$8:$B$29&lt;=Main!$C16)*('Processing Factors'!$C$8:$C$29=Main!EM16))))</f>
        <v>3.5999999999999997E-2</v>
      </c>
      <c r="ET16" s="299">
        <f t="array" ref="ET16">INDEX('Processing Factors'!$H$8:$H$29,MATCH(2,1/(('Processing Factors'!$B$8:$B$29&lt;=Main!$C16)*('Processing Factors'!$C$8:$C$29=Main!EM16))))</f>
        <v>12.15</v>
      </c>
      <c r="EU16" s="300">
        <f t="array" ref="EU16">INDEX('Processing Factors'!$I$8:$I$29,MATCH(2,1/(('Processing Factors'!$B$8:$B$29&lt;=Main!$C16)*('Processing Factors'!$C$8:$C$29=Main!EM16))))</f>
        <v>0</v>
      </c>
      <c r="EV16" s="300">
        <f t="array" ref="EV16">INDEX('Processing Factors'!$J$8:$J$29,MATCH(2,1/(('Processing Factors'!$B$8:$B$29&lt;=Main!$C16)*('Processing Factors'!$C$8:$C$29=Main!EM16))))</f>
        <v>0.9</v>
      </c>
      <c r="EW16" s="299">
        <f t="array" ref="EW16">INDEX('Processing Factors'!$K$8:$K$29,MATCH(2,1/(('Processing Factors'!$B$8:$B$29&lt;=Main!$C16)*('Processing Factors'!$C$8:$C$29=Main!EM16))))</f>
        <v>3.5000000000000003E-2</v>
      </c>
      <c r="EY16" s="302">
        <f t="shared" si="35"/>
        <v>0.5</v>
      </c>
      <c r="EZ16" s="302">
        <f t="shared" si="36"/>
        <v>0.05</v>
      </c>
      <c r="FA16" s="302">
        <f t="shared" si="37"/>
        <v>0.45</v>
      </c>
      <c r="FB16" s="299">
        <f t="shared" si="38"/>
        <v>2.4691358024691357</v>
      </c>
      <c r="FC16" s="304">
        <v>0</v>
      </c>
      <c r="FD16" s="299">
        <f t="shared" si="39"/>
        <v>0.14611111111111114</v>
      </c>
      <c r="FE16" s="281">
        <f t="shared" si="40"/>
        <v>35.103008604987139</v>
      </c>
      <c r="FF16" s="281">
        <f t="shared" si="41"/>
        <v>50.37416442905598</v>
      </c>
      <c r="FG16" s="281">
        <f t="shared" si="42"/>
        <v>1.2210288298473715</v>
      </c>
      <c r="FH16" s="299">
        <f t="shared" si="43"/>
        <v>1.6512469135802468</v>
      </c>
      <c r="FI16" s="281">
        <f t="shared" si="44"/>
        <v>7.0007641898540713</v>
      </c>
      <c r="FJ16" s="281">
        <f t="shared" si="45"/>
        <v>93.698966053744556</v>
      </c>
      <c r="FL16" s="287" t="s">
        <v>39</v>
      </c>
      <c r="FN16" s="315" t="e">
        <f t="shared" ca="1" si="293"/>
        <v>#NAME?</v>
      </c>
      <c r="FO16" s="316">
        <f t="shared" si="294"/>
        <v>0.48699999999999999</v>
      </c>
      <c r="FP16" s="316">
        <f t="shared" si="295"/>
        <v>0.43299999999999994</v>
      </c>
      <c r="FQ16" s="316">
        <f t="shared" si="296"/>
        <v>2.1999999999999999E-2</v>
      </c>
      <c r="FR16" s="316">
        <f t="shared" si="297"/>
        <v>1.9E-2</v>
      </c>
      <c r="FS16" s="316">
        <f t="shared" si="298"/>
        <v>2.9999999999999992E-3</v>
      </c>
      <c r="FT16" s="316">
        <f t="shared" si="299"/>
        <v>3.5000000000000003E-2</v>
      </c>
      <c r="FU16" s="316">
        <f t="shared" si="300"/>
        <v>7.0999999999999994E-2</v>
      </c>
      <c r="FV16" s="317" t="str">
        <f t="shared" si="301"/>
        <v>LT</v>
      </c>
      <c r="FW16" s="318">
        <v>0</v>
      </c>
      <c r="FX16" s="237"/>
      <c r="FY16" s="319">
        <f t="array" ref="FY16">INDEX('Processing Factors'!$D$8:$D$29,MATCH(2,1/(('Processing Factors'!$B$8:$B$29&lt;=Main!$C16)*('Processing Factors'!$C$8:$C$29=Main!FV16))))</f>
        <v>0</v>
      </c>
      <c r="FZ16" s="320">
        <f t="array" ref="FZ16">INDEX('Processing Factors'!$E$8:$E$29,MATCH(2,1/(('Processing Factors'!$B$8:$B$29&lt;=Main!$C16)*('Processing Factors'!$C$8:$C$29=Main!FV16))))</f>
        <v>1</v>
      </c>
      <c r="GA16" s="320">
        <f t="array" ref="GA16">INDEX('Processing Factors'!$F$8:$F$29,MATCH(2,1/(('Processing Factors'!$B$8:$B$29&lt;=Main!$C16)*('Processing Factors'!$C$8:$C$29=Main!FV16))))</f>
        <v>0.9</v>
      </c>
      <c r="GB16" s="320">
        <f t="array" ref="GB16">INDEX('Processing Factors'!$G$8:$G$29,MATCH(2,1/(('Processing Factors'!$B$8:$B$29&lt;=Main!$C16)*('Processing Factors'!$C$8:$C$29=Main!FV16))))</f>
        <v>3.5999999999999997E-2</v>
      </c>
      <c r="GC16" s="320">
        <f t="array" ref="GC16">INDEX('Processing Factors'!$H$8:$H$29,MATCH(2,1/(('Processing Factors'!$B$8:$B$29&lt;=Main!$C16)*('Processing Factors'!$C$8:$C$29=Main!FV16))))</f>
        <v>12.15</v>
      </c>
      <c r="GD16" s="319">
        <f t="array" ref="GD16">INDEX('Processing Factors'!$I$8:$I$29,MATCH(2,1/(('Processing Factors'!$B$8:$B$29&lt;=Main!$C16)*('Processing Factors'!$C$8:$C$29=Main!FV16))))</f>
        <v>0</v>
      </c>
      <c r="GE16" s="321">
        <v>0.92</v>
      </c>
      <c r="GF16" s="320">
        <f t="array" ref="GF16">INDEX('Processing Factors'!$K$8:$K$29,MATCH(2,1/(('Processing Factors'!$B$8:$B$29&lt;=Main!$C16)*('Processing Factors'!$C$8:$C$29=Main!FV16))))</f>
        <v>3.5000000000000003E-2</v>
      </c>
      <c r="GG16" s="237"/>
      <c r="GH16" s="322">
        <f t="shared" si="46"/>
        <v>0.45199999999999996</v>
      </c>
      <c r="GI16" s="322">
        <f t="shared" si="47"/>
        <v>1.9E-2</v>
      </c>
      <c r="GJ16" s="322">
        <f t="shared" si="48"/>
        <v>0.43299999999999994</v>
      </c>
      <c r="GK16" s="320">
        <f t="shared" si="49"/>
        <v>2.5102921980118489</v>
      </c>
      <c r="GL16" s="323" t="e">
        <f t="shared" ca="1" si="50"/>
        <v>#NAME?</v>
      </c>
      <c r="GM16" s="320">
        <f t="shared" si="51"/>
        <v>7.7925996586002619E-2</v>
      </c>
      <c r="GN16" s="323">
        <f t="shared" si="52"/>
        <v>18.721621565320021</v>
      </c>
      <c r="GO16" s="323">
        <f t="shared" si="53"/>
        <v>50.37416442905598</v>
      </c>
      <c r="GP16" s="323">
        <f t="shared" si="54"/>
        <v>1.2210288298473715</v>
      </c>
      <c r="GQ16" s="320">
        <f t="shared" si="55"/>
        <v>1.6242181945978516</v>
      </c>
      <c r="GR16" s="323">
        <f t="shared" si="56"/>
        <v>6.8861709776618927</v>
      </c>
      <c r="GS16" s="323" t="e">
        <f t="shared" ca="1" si="57"/>
        <v>#NAME?</v>
      </c>
      <c r="GT16" s="237"/>
      <c r="GU16" s="324" t="e">
        <f t="shared" ca="1" si="58"/>
        <v>#NAME?</v>
      </c>
      <c r="GV16" s="325">
        <f t="array" ref="GV16">INDEX('Indices Mines Exporting Ports'!E$20:E$51, MATCH(2,1/(('Indices Mines Exporting Ports'!$C$20:$C$51=$BC16)*('Indices Mines Exporting Ports'!$D$20:$D$51&lt;=$C16))))</f>
        <v>0.5</v>
      </c>
      <c r="GW16" s="325">
        <f t="array" ref="GW16">INDEX('Indices Mines Exporting Ports'!F$20:F$51, MATCH(2,1/(('Indices Mines Exporting Ports'!$C$20:$C$51=$BC16)*('Indices Mines Exporting Ports'!$D$20:$D$51&lt;=$C16))))</f>
        <v>0.45</v>
      </c>
      <c r="GX16" s="325">
        <f t="array" ref="GX16">INDEX('Indices Mines Exporting Ports'!G$20:G$51, MATCH(2,1/(('Indices Mines Exporting Ports'!$C$20:$C$51=$BC16)*('Indices Mines Exporting Ports'!$D$20:$D$51&lt;=$C16))))</f>
        <v>0.05</v>
      </c>
      <c r="GY16" s="325">
        <f t="array" ref="GY16">INDEX('Indices Mines Exporting Ports'!H$20:H$51, MATCH(2,1/(('Indices Mines Exporting Ports'!$C$20:$C$51=$BC16)*('Indices Mines Exporting Ports'!$D$20:$D$51&lt;=$C16))))</f>
        <v>0.05</v>
      </c>
      <c r="GZ16" s="325">
        <f t="array" ref="GZ16">INDEX('Indices Mines Exporting Ports'!I$20:I$51, MATCH(2,1/(('Indices Mines Exporting Ports'!$C$20:$C$51=$BC16)*('Indices Mines Exporting Ports'!$D$20:$D$51&lt;=$C16))))</f>
        <v>0</v>
      </c>
      <c r="HA16" s="325">
        <f t="array" ref="HA16">INDEX('Indices Mines Exporting Ports'!J$20:J$51, MATCH(2,1/(('Indices Mines Exporting Ports'!$C$20:$C$51=$BC16)*('Indices Mines Exporting Ports'!$D$20:$D$51&lt;=$C16))))</f>
        <v>0</v>
      </c>
      <c r="HB16" s="325">
        <f t="array" ref="HB16">INDEX('Indices Mines Exporting Ports'!K$20:K$51, MATCH(2,1/(('Indices Mines Exporting Ports'!$C$20:$C$51=$BC16)*('Indices Mines Exporting Ports'!$D$20:$D$51&lt;=$C16))))</f>
        <v>0.1</v>
      </c>
      <c r="HC16" s="326" t="str">
        <f t="array" ref="HC16">INDEX('Indices Mines Exporting Ports'!L$20:L$51, MATCH(2,1/(('Indices Mines Exporting Ports'!$C$20:$C$51=$BC16)*('Indices Mines Exporting Ports'!$D$20:$D$51&lt;=$C16))))</f>
        <v>LT</v>
      </c>
      <c r="HD16" s="262">
        <f t="array" ref="HD16">INDEX('Indices Mines Exporting Ports'!M$20:M$51, MATCH(2,1/(('Indices Mines Exporting Ports'!$C$20:$C$51=$BC16)*('Indices Mines Exporting Ports'!$D$20:$D$51&lt;=$C16))))</f>
        <v>0</v>
      </c>
      <c r="HE16" s="237"/>
      <c r="HF16" s="319">
        <f t="array" ref="HF16">INDEX('Processing Factors'!$D$8:$D$29,MATCH(2,1/(('Processing Factors'!$B$8:$B$29&lt;=Main!$C16)*('Processing Factors'!$C$8:$C$29=Main!HC16))))</f>
        <v>0</v>
      </c>
      <c r="HG16" s="320">
        <f t="array" ref="HG16">INDEX('Processing Factors'!$E$8:$E$29,MATCH(2,1/(('Processing Factors'!$B$8:$B$29&lt;=Main!$C16)*('Processing Factors'!$C$8:$C$29=Main!HC16))))</f>
        <v>1</v>
      </c>
      <c r="HH16" s="320">
        <f t="array" ref="HH16">INDEX('Processing Factors'!$F$8:$F$29,MATCH(2,1/(('Processing Factors'!$B$8:$B$29&lt;=Main!$C16)*('Processing Factors'!$C$8:$C$29=Main!HC16))))</f>
        <v>0.9</v>
      </c>
      <c r="HI16" s="320">
        <f t="array" ref="HI16">INDEX('Processing Factors'!$G$8:$G$29,MATCH(2,1/(('Processing Factors'!$B$8:$B$29&lt;=Main!$C16)*('Processing Factors'!$C$8:$C$29=Main!HC16))))</f>
        <v>3.5999999999999997E-2</v>
      </c>
      <c r="HJ16" s="320">
        <f t="array" ref="HJ16">INDEX('Processing Factors'!$H$8:$H$29,MATCH(2,1/(('Processing Factors'!$B$8:$B$29&lt;=Main!$C16)*('Processing Factors'!$C$8:$C$29=Main!HC16))))</f>
        <v>12.15</v>
      </c>
      <c r="HK16" s="319">
        <f t="array" ref="HK16">INDEX('Processing Factors'!$I$8:$I$29,MATCH(2,1/(('Processing Factors'!$B$8:$B$29&lt;=Main!$C16)*('Processing Factors'!$C$8:$C$29=Main!HC16))))</f>
        <v>0</v>
      </c>
      <c r="HL16" s="321">
        <v>0.92</v>
      </c>
      <c r="HM16" s="320">
        <f t="array" ref="HM16">INDEX('Processing Factors'!$K$8:$K$29,MATCH(2,1/(('Processing Factors'!$B$8:$B$29&lt;=Main!$C16)*('Processing Factors'!$C$8:$C$29=Main!HC16))))</f>
        <v>3.5000000000000003E-2</v>
      </c>
      <c r="HN16" s="237"/>
      <c r="HO16" s="322">
        <f t="shared" si="59"/>
        <v>0.5</v>
      </c>
      <c r="HP16" s="322">
        <f t="shared" si="60"/>
        <v>0.05</v>
      </c>
      <c r="HQ16" s="322">
        <f t="shared" si="61"/>
        <v>0.45</v>
      </c>
      <c r="HR16" s="320">
        <f t="shared" si="62"/>
        <v>2.4154589371980677</v>
      </c>
      <c r="HS16" s="263">
        <v>0</v>
      </c>
      <c r="HT16" s="320">
        <f t="shared" si="63"/>
        <v>0.14369565217391306</v>
      </c>
      <c r="HU16" s="323">
        <f t="shared" si="64"/>
        <v>34.522697667559676</v>
      </c>
      <c r="HV16" s="323">
        <f t="shared" si="65"/>
        <v>50.37416442905598</v>
      </c>
      <c r="HW16" s="323">
        <f t="shared" si="66"/>
        <v>1.2210288298473715</v>
      </c>
      <c r="HX16" s="320">
        <f t="shared" si="67"/>
        <v>1.5951545893719807</v>
      </c>
      <c r="HY16" s="323">
        <f t="shared" si="68"/>
        <v>6.7629504919671319</v>
      </c>
      <c r="HZ16" s="323">
        <f t="shared" si="69"/>
        <v>92.880841418430151</v>
      </c>
      <c r="IB16" s="287" t="s">
        <v>39</v>
      </c>
      <c r="ID16" s="89" t="str">
        <f t="shared" si="70"/>
        <v>CBG LT</v>
      </c>
      <c r="IE16" s="18">
        <f t="shared" si="319"/>
        <v>43923</v>
      </c>
      <c r="IF16" s="94">
        <f t="array" ref="IF16">INDEX('Indices Mines Exporting Ports'!E$20:E$51, MATCH(2,1/(('Indices Mines Exporting Ports'!$C$20:$C$51=$ID16)*('Indices Mines Exporting Ports'!$D$20:$D$51&lt;=$IE16))))</f>
        <v>0.48699999999999999</v>
      </c>
      <c r="IG16" s="94">
        <f t="array" ref="IG16">INDEX('Indices Mines Exporting Ports'!F$20:F$51, MATCH(2,1/(('Indices Mines Exporting Ports'!$C$20:$C$51=$ID16)*('Indices Mines Exporting Ports'!$D$20:$D$51&lt;=$IE16))))</f>
        <v>0.43299999999999994</v>
      </c>
      <c r="IH16" s="95">
        <f t="array" ref="IH16">INDEX('Indices Mines Exporting Ports'!G$20:G$51, MATCH(2,1/(('Indices Mines Exporting Ports'!$C$20:$C$51=$ID16)*('Indices Mines Exporting Ports'!$D$20:$D$51&lt;=$IE16))))</f>
        <v>2.1999999999999999E-2</v>
      </c>
      <c r="II16" s="95">
        <f t="array" ref="II16">INDEX('Indices Mines Exporting Ports'!H$20:H$51, MATCH(2,1/(('Indices Mines Exporting Ports'!$C$20:$C$51=$ID16)*('Indices Mines Exporting Ports'!$D$20:$D$51&lt;=$IE16))))</f>
        <v>1.9E-2</v>
      </c>
      <c r="IJ16" s="95">
        <f t="array" ref="IJ16">INDEX('Indices Mines Exporting Ports'!I$20:I$51, MATCH(2,1/(('Indices Mines Exporting Ports'!$C$20:$C$51=$ID16)*('Indices Mines Exporting Ports'!$D$20:$D$51&lt;=$IE16))))</f>
        <v>2.9999999999999992E-3</v>
      </c>
      <c r="IK16" s="94">
        <f t="array" ref="IK16">INDEX('Indices Mines Exporting Ports'!J$20:J$51, MATCH(2,1/(('Indices Mines Exporting Ports'!$C$20:$C$51=$ID16)*('Indices Mines Exporting Ports'!$D$20:$D$51&lt;=$IE16))))</f>
        <v>3.5000000000000003E-2</v>
      </c>
      <c r="IL16" s="94">
        <f t="array" ref="IL16">INDEX('Indices Mines Exporting Ports'!K$20:K$51, MATCH(2,1/(('Indices Mines Exporting Ports'!$C$20:$C$51=$ID16)*('Indices Mines Exporting Ports'!$D$20:$D$51&lt;=$IE16))))</f>
        <v>7.0999999999999994E-2</v>
      </c>
      <c r="IM16" s="93" t="str">
        <f t="array" ref="IM16">INDEX('Indices Mines Exporting Ports'!L$20:L$51, MATCH(2,1/(('Indices Mines Exporting Ports'!$C$20:$C$51=$ID16)*('Indices Mines Exporting Ports'!$D$20:$D$51&lt;=$IE16))))</f>
        <v>LT</v>
      </c>
      <c r="IN16" s="101">
        <f t="array" ref="IN16">INDEX('Indices Mines Exporting Ports'!M$20:M$51, MATCH(2,1/(('Indices Mines Exporting Ports'!$C$20:$C$51=$ID16)*('Indices Mines Exporting Ports'!$D$20:$D$51&lt;=$IE16))))</f>
        <v>0.33</v>
      </c>
      <c r="IO16" s="96">
        <f t="array" ref="IO16">INDEX('Indices Mines Exporting Ports'!N$20:N$51, MATCH(2,1/(('Indices Mines Exporting Ports'!$C$20:$C$51=$ID16)*('Indices Mines Exporting Ports'!$D$20:$D$51&lt;=$IE16))))</f>
        <v>66000</v>
      </c>
      <c r="IP16" s="95" t="str">
        <f t="array" ref="IP16">INDEX('Indices Mines Exporting Ports'!Q$20:Q$51, MATCH(2,1/(('Indices Mines Exporting Ports'!$C$20:$C$51=$ID16)*('Indices Mines Exporting Ports'!$D$20:$D$51&lt;=$IE16))))</f>
        <v>CBG_Wharf</v>
      </c>
      <c r="IQ16" s="95" t="str">
        <f t="array" ref="IQ16">INDEX('Indices Mines Exporting Ports'!O$20:O$51, MATCH(2,1/(('Indices Mines Exporting Ports'!$C$20:$C$51=$ID16)*('Indices Mines Exporting Ports'!$D$20:$D$51&lt;=$IE16))))</f>
        <v>Guinea 45/3 LT</v>
      </c>
      <c r="IR16" s="95" t="str">
        <f t="array" ref="IR16">INDEX('Indices Mines Exporting Ports'!P$20:P$51, MATCH(2,1/(('Indices Mines Exporting Ports'!$C$20:$C$51=$ID16)*('Indices Mines Exporting Ports'!$D$20:$D$51&lt;=$IE16))))</f>
        <v>CBIX LT</v>
      </c>
      <c r="IT16" s="287" t="s">
        <v>39</v>
      </c>
      <c r="IV16" s="292">
        <f>VLOOKUP($C16,'China Price Series'!$C$10:$D$1009,2,TRUE)/$JA16/(VLOOKUP($C16,'China Price Series'!$C$10:$E$1009,3,TRUE)*$JG16/$JF16)</f>
        <v>4.146021763708311</v>
      </c>
      <c r="IW16" s="292">
        <f>VLOOKUP($C16,'China Price Series'!$G$10:$H$1009,2,TRUE)/$JA16/(VLOOKUP($C16,'China Price Series'!$G$10:$I$1009,3,TRUE))</f>
        <v>240.24872809496895</v>
      </c>
      <c r="IX16" s="292">
        <f>VLOOKUP($C16,'China Price Series'!$K$10:$L$1009,2,TRUE)/$JA16</f>
        <v>33.91746749576032</v>
      </c>
      <c r="IY16" s="292">
        <f>VLOOKUP($C16,'China Price Series'!$N$10:$O$1009,2,TRUE)/$JA16</f>
        <v>4.23968343697004</v>
      </c>
      <c r="JA16" s="277">
        <f t="array" ref="JA16">INDEX('FX rates'!E$10:E$1009,MATCH(2,1/(('FX rates'!$D$10:$D$1009&lt;=Main!$C16)*(NOT(ISBLANK('FX rates'!E$10:E$1009))))))</f>
        <v>7.0759999999999987</v>
      </c>
      <c r="JB16" s="277">
        <f t="array" ref="JB16">INDEX('FX rates'!F$10:F$1009,MATCH(2,1/(('FX rates'!$D$10:$D$1009&lt;=Main!$C16)*(NOT(ISBLANK('FX rates'!F$10:F$1009))))))</f>
        <v>0.59156405988048044</v>
      </c>
      <c r="JC16" s="277">
        <f t="array" ref="JC16">INDEX('FX rates'!G$10:G$1009,MATCH(2,1/(('FX rates'!$D$10:$D$1009&lt;=Main!$C16)*(NOT(ISBLANK('FX rates'!G$10:G$1009))))))</f>
        <v>1</v>
      </c>
      <c r="JD16" s="277">
        <f t="array" ref="JD16">INDEX('FX rates'!H$10:H$1009,MATCH(2,1/(('FX rates'!$D$10:$D$1009&lt;=Main!$C16)*(NOT(ISBLANK('FX rates'!H$10:H$1009))))))</f>
        <v>1.35</v>
      </c>
      <c r="JF16" s="111">
        <f t="array" ref="JF16">INDEX('Global factors'!C$5:C$23,MATCH(2,1/(('Global factors'!$B$5:$B$23&lt;=Main!$C16)*(NOT(ISBLANK('Global factors'!C$5:C$23))))))</f>
        <v>239000</v>
      </c>
      <c r="JG16" s="112">
        <f t="array" ref="JG16">INDEX('Global factors'!D$5:D$23,MATCH(2,1/(('Global factors'!$B$5:$B$23&lt;=Main!$C16)*(NOT(ISBLANK('Global factors'!D$5:D$23))))))</f>
        <v>1000</v>
      </c>
      <c r="JH16" s="112">
        <f t="array" ref="JH16">INDEX('Global factors'!E$5:E$23,MATCH(2,1/(('Global factors'!$B$5:$B$23&lt;=Main!$C16)*(NOT(ISBLANK('Global factors'!E$5:E$23))))))</f>
        <v>24</v>
      </c>
      <c r="JI16" s="112">
        <f t="array" ref="JI16">INDEX('Global factors'!F$5:F$23,MATCH(2,1/(('Global factors'!$B$5:$B$23&lt;=Main!$C16)*(NOT(ISBLANK('Global factors'!F$5:F$23))))))</f>
        <v>2</v>
      </c>
      <c r="JJ16" s="117">
        <f t="array" ref="JJ16">INDEX('Global factors'!G$5:G$23,MATCH(2,1/(('Global factors'!$B$5:$B$23&lt;=Main!$C16)*(NOT(ISBLANK('Global factors'!G$5:G$23))))))</f>
        <v>0.08</v>
      </c>
      <c r="JK16" s="113">
        <f t="array" ref="JK16">INDEX('Global factors'!H$5:H$23,MATCH(2,1/(('Global factors'!$B$5:$B$23&lt;=Main!$C16)*(NOT(ISBLANK('Global factors'!H$5:H$23))))))</f>
        <v>101.96</v>
      </c>
      <c r="JL16" s="113">
        <f t="array" ref="JL16">INDEX('Global factors'!I$5:I$23,MATCH(2,1/(('Global factors'!$B$5:$B$23&lt;=Main!$C16)*(NOT(ISBLANK('Global factors'!I$5:I$23))))))</f>
        <v>60.08</v>
      </c>
      <c r="JM16" s="114">
        <f t="array" ref="JM16">INDEX('Global factors'!J$5:J$23,MATCH(2,1/(('Global factors'!$B$5:$B$23&lt;=Main!$C16)*(NOT(ISBLANK('Global factors'!J$5:J$23))))))</f>
        <v>0.84853528628495334</v>
      </c>
      <c r="JN16" s="115">
        <f t="array" ref="JN16">INDEX('Global factors'!K$5:K$23,MATCH(2,1/(('Global factors'!$B$5:$B$23&lt;=Main!$C16)*(NOT(ISBLANK('Global factors'!K$5:K$23))))))</f>
        <v>0.97499999999999998</v>
      </c>
      <c r="JO16" s="116">
        <f t="array" ref="JO16">INDEX('Global factors'!L$5:L$23,MATCH(2,1/(('Global factors'!$B$5:$B$23&lt;=Main!$C16)*(NOT(ISBLANK('Global factors'!L$5:L$23))))))</f>
        <v>8.7299999999999997E-4</v>
      </c>
      <c r="JP16" s="116">
        <f t="array" ref="JP16">INDEX('Global factors'!M$5:M$23,MATCH(2,1/(('Global factors'!$B$5:$B$23&lt;=Main!$C16)*(NOT(ISBLANK('Global factors'!M$5:M$23))))))</f>
        <v>145.88999999999999</v>
      </c>
      <c r="JQ16" s="116">
        <f t="array" ref="JQ16">INDEX('Global factors'!N$5:N$23,MATCH(2,1/(('Global factors'!$B$5:$B$23&lt;=Main!$C16)*(NOT(ISBLANK('Global factors'!N$5:N$23))))))</f>
        <v>0.40339999999999998</v>
      </c>
      <c r="JR16" s="116">
        <f t="array" ref="JR16">INDEX('Global factors'!O$5:O$23,MATCH(2,1/(('Global factors'!$B$5:$B$23&lt;=Main!$C16)*(NOT(ISBLANK('Global factors'!O$5:O$23))))))</f>
        <v>0</v>
      </c>
      <c r="JS16" s="116">
        <f t="array" ref="JS16">INDEX('Global factors'!P$5:P$23,MATCH(2,1/(('Global factors'!$B$5:$B$23&lt;=Main!$C16)*(NOT(ISBLANK('Global factors'!P$5:P$23))))))</f>
        <v>0.51890000000000003</v>
      </c>
      <c r="JT16" s="116">
        <f t="array" ref="JT16">INDEX('Global factors'!Q$5:Q$23,MATCH(2,1/(('Global factors'!$B$5:$B$23&lt;=Main!$C16)*(NOT(ISBLANK('Global factors'!Q$5:Q$23))))))</f>
        <v>4797</v>
      </c>
      <c r="JU16" s="116">
        <f t="array" ref="JU16">INDEX('Global factors'!R$5:R$23,MATCH(2,1/(('Global factors'!$B$5:$B$23&lt;=Main!$C16)*(NOT(ISBLANK('Global factors'!R$5:R$23))))))</f>
        <v>7</v>
      </c>
      <c r="JV16" s="115">
        <f t="array" ref="JV16">INDEX('Global factors'!S$5:S$23,MATCH(2,1/(('Global factors'!$B$5:$B$23&lt;=Main!$C16)*(NOT(ISBLANK('Global factors'!S$5:S$23))))))</f>
        <v>0.12</v>
      </c>
      <c r="JW16" s="115">
        <f t="array" ref="JW16">INDEX('Global factors'!T$5:T$23,MATCH(2,1/(('Global factors'!$B$5:$B$23&lt;=Main!$C16)*(NOT(ISBLANK('Global factors'!T$5:T$23))))))</f>
        <v>0.5</v>
      </c>
      <c r="JX16" s="116">
        <f t="array" ref="JX16">INDEX('Global factors'!U$5:U$23,MATCH(2,1/(('Global factors'!$B$5:$B$23&lt;=Main!$C16)*(NOT(ISBLANK('Global factors'!U$5:U$23))))))</f>
        <v>0.5</v>
      </c>
      <c r="JY16" s="116">
        <f t="array" ref="JY16">INDEX('Global factors'!V$5:V$23,MATCH(2,1/(('Global factors'!$B$5:$B$23&lt;=Main!$C16)*(NOT(ISBLANK('Global factors'!V$5:V$23))))))</f>
        <v>10000</v>
      </c>
      <c r="JZ16" s="116">
        <f t="array" ref="JZ16">INDEX('Global factors'!W$5:W$23,MATCH(2,1/(('Global factors'!$B$5:$B$23&lt;=Main!$C16)*(NOT(ISBLANK('Global factors'!W$5:W$23))))))</f>
        <v>0.10680000000000001</v>
      </c>
      <c r="KA16" s="116">
        <f t="array" ref="KA16">INDEX('Global factors'!X$5:X$23,MATCH(2,1/(('Global factors'!$B$5:$B$23&lt;=Main!$C16)*(NOT(ISBLANK('Global factors'!X$5:X$23))))))</f>
        <v>1.2</v>
      </c>
      <c r="KB16" s="116">
        <v>0</v>
      </c>
      <c r="KC16" s="272">
        <f t="array" ref="KC16">INDEX('Global factors'!Y$5:Y$23,MATCH(2,1/(('Global factors'!$B$5:$B$23&lt;=Main!$C16)*(NOT(ISBLANK('Global factors'!Y$5:Y$23))))))</f>
        <v>23643.7088248818</v>
      </c>
      <c r="KD16" s="273">
        <f t="array" ref="KD16">INDEX('Global factors'!Z$5:Z$23,MATCH(2,1/(('Global factors'!$B$5:$B$23&lt;=Main!$C16)*(NOT(ISBLANK('Global factors'!Z$5:Z$23))))))</f>
        <v>0.62802869915581405</v>
      </c>
      <c r="KE16" s="273">
        <v>0</v>
      </c>
      <c r="KF16" s="273">
        <v>0</v>
      </c>
      <c r="KG16" s="116">
        <v>0</v>
      </c>
      <c r="KH16" s="116">
        <f t="array" ref="KH16">INDEX('Global factors'!AB$5:AB$23,MATCH(2,1/(('Global factors'!$B$5:$B$23&lt;=Main!$C16)*(NOT(ISBLANK('Global factors'!AB$5:AB$23))))))</f>
        <v>6.2556361557795204E-2</v>
      </c>
      <c r="KI16" s="116">
        <f t="array" ref="KI16">INDEX('Global factors'!AC$5:AC$23,MATCH(2,1/(('Global factors'!$B$5:$B$23&lt;=Main!$C16)*(NOT(ISBLANK('Global factors'!AC$5:AC$23))))))</f>
        <v>8.6923129044225601E-4</v>
      </c>
      <c r="KJ16" s="116">
        <f t="array" ref="KJ16">INDEX('Global factors'!AD$5:AD$23,MATCH(2,1/(('Global factors'!$B$5:$B$23&lt;=Main!$C16)*(NOT(ISBLANK('Global factors'!AD$5:AD$23))))))</f>
        <v>1.1499999999999999</v>
      </c>
      <c r="KK16" s="116" t="str">
        <f t="array" ref="KK16">INDEX('Global factors'!AE$5:AE$23,MATCH(2,1/(('Global factors'!$B$5:$B$23&lt;=Main!$C16)*(NOT(ISBLANK('Global factors'!AE$5:AE$23))))))</f>
        <v>Qingdao</v>
      </c>
      <c r="KL16" s="290">
        <f t="array" ref="KL16">INDEX('Global factors'!AF$5:AF$23,MATCH(2,1/(('Global factors'!$B$5:$B$23&lt;=Main!$C16)*(NOT(ISBLANK('Global factors'!AF$5:AF$23))))))</f>
        <v>3.0000000000000001E-3</v>
      </c>
      <c r="KM16" s="290">
        <f t="array" ref="KM16">INDEX('Global factors'!AG$5:AG$23,MATCH(2,1/(('Global factors'!$B$5:$B$23&lt;=Main!$C16)*(NOT(ISBLANK('Global factors'!AG$5:AG$23))))))</f>
        <v>0.05</v>
      </c>
      <c r="KO16" s="287" t="s">
        <v>39</v>
      </c>
      <c r="KQ16" s="25">
        <f t="shared" si="320"/>
        <v>66000</v>
      </c>
      <c r="KR16" s="4" t="str">
        <f>VLOOKUP(KQ16,'Ship Time Charter Rates'!$F$10:$G$17,2,TRUE)</f>
        <v>Panamax</v>
      </c>
      <c r="KS16" s="4" t="str">
        <f>VLOOKUP(KQ16,Canals!$E$5:$F$12,2,TRUE)</f>
        <v>Panamax</v>
      </c>
      <c r="KT16" s="25">
        <f t="shared" si="71"/>
        <v>203.50799999999998</v>
      </c>
      <c r="KU16" s="25">
        <f t="shared" si="72"/>
        <v>26624.399999999998</v>
      </c>
      <c r="KV16" s="25">
        <f t="shared" si="73"/>
        <v>39044.400000000001</v>
      </c>
      <c r="KX16" s="75">
        <f t="array" ref="KX16">INDEX('Indices Mines Exporting Ports'!$R$20:$R$51,MATCH(2,1/(('Indices Mines Exporting Ports'!$D$20:$D$51&lt;=Main!$C16)*('Indices Mines Exporting Ports'!$Q$20:$Q$51=$AP16))))</f>
        <v>30000</v>
      </c>
      <c r="KY16" s="75">
        <f t="array" ref="KY16">INDEX('Indices Mines Exporting Ports'!$S$20:$S$51,MATCH(2,1/(('Indices Mines Exporting Ports'!$D$20:$D$51&lt;=Main!$C16)*('Indices Mines Exporting Ports'!$Q$20:$Q$51=$AP16))))</f>
        <v>30000</v>
      </c>
      <c r="KZ16" s="75">
        <f t="array" ref="KZ16">INDEX('Indices Mines Exporting Ports'!$T$20:$T$51,MATCH(2,1/(('Indices Mines Exporting Ports'!$D$20:$D$51&lt;=Main!$C16)*('Indices Mines Exporting Ports'!$Q$20:$Q$51=$AP16))))</f>
        <v>30000</v>
      </c>
      <c r="LA16" s="75">
        <f t="array" ref="LA16">INDEX('Indices Mines Exporting Ports'!$U$20:$U$51,MATCH(2,1/(('Indices Mines Exporting Ports'!$D$20:$D$51&lt;=Main!$C16)*('Indices Mines Exporting Ports'!$Q$20:$Q$51=$AP16))))</f>
        <v>30000</v>
      </c>
      <c r="LB16" s="75">
        <f t="array" ref="LB16">INDEX('Indices Mines Exporting Ports'!$V$20:$V$51,MATCH(2,1/(('Indices Mines Exporting Ports'!$D$20:$D$51&lt;=Main!$C16)*('Indices Mines Exporting Ports'!$Q$20:$Q$51=$AP16))))</f>
        <v>30000</v>
      </c>
      <c r="LC16" s="75">
        <f t="array" ref="LC16">INDEX('Indices Mines Exporting Ports'!$W$20:$W$51,MATCH(2,1/(('Indices Mines Exporting Ports'!$D$20:$D$51&lt;=Main!$C16)*('Indices Mines Exporting Ports'!$Q$20:$Q$51=$AP16))))</f>
        <v>20000</v>
      </c>
      <c r="LD16" s="75">
        <f t="array" ref="LD16">INDEX('Indices Mines Exporting Ports'!$X$20:$X$51,MATCH(2,1/(('Indices Mines Exporting Ports'!$D$20:$D$51&lt;=Main!$C16)*('Indices Mines Exporting Ports'!$Q$20:$Q$51=$AP16))))</f>
        <v>20000</v>
      </c>
      <c r="LF16" s="75">
        <f t="array" ref="LF16">INDEX('Port Linkages'!$E$18:$E$157,MATCH(2,1/(('Port Linkages'!$C$18:$C$157=$AP16)*('Port Linkages'!$D$18:$D$157=IF($AO16="Yes",$AQ16,$AS16))*('Port Linkages'!$A$18:$A$157&lt;=$C16))))</f>
        <v>11170</v>
      </c>
      <c r="LG16" s="75">
        <f t="array" ref="LG16">INDEX('Port Linkages'!$F$18:$F$157,MATCH(2,1/(('Port Linkages'!$C$18:$C$157=$AP16)*('Port Linkages'!$D$18:$D$157=IF($AO16="Yes",$AQ16,$AS16))*('Port Linkages'!$A$18:$A$157&lt;=$C16))))</f>
        <v>0</v>
      </c>
      <c r="LH16" s="75" t="str">
        <f t="array" ref="LH16">INDEX('Port Linkages'!$G$18:$G$157,MATCH(2,1/(('Port Linkages'!$C$18:$C$157=$AP16)*('Port Linkages'!$D$18:$D$157=IF($AO16="Yes",$AQ16,$AS16))*('Port Linkages'!$A$18:$A$157&lt;=$C16))))</f>
        <v>VLOC_General</v>
      </c>
      <c r="LI16" s="75" t="str">
        <f t="array" ref="LI16">INDEX('Port Linkages'!$H$18:$H$157,MATCH(2,1/(('Port Linkages'!$C$18:$C$157=$AP16)*('Port Linkages'!$D$18:$D$157=IF($AO16="Yes",$AQ16,$AS16))*('Port Linkages'!$A$18:$A$157&lt;=$C16))))</f>
        <v>Singapore</v>
      </c>
      <c r="LJ16" s="75" t="str">
        <f t="array" ref="LJ16">INDEX('Port Linkages'!$I$18:$I$157,MATCH(2,1/(('Port Linkages'!$C$18:$C$157=$AP16)*('Port Linkages'!$D$18:$D$157=IF($AO16="Yes",$AQ16,$AS16))*('Port Linkages'!$A$18:$A$157&lt;=$C16))))</f>
        <v>VLSFO</v>
      </c>
      <c r="LK16" s="75" t="str">
        <f t="array" ref="LK16">INDEX('Port Linkages'!$J$18:$J$157,MATCH(2,1/(('Port Linkages'!$C$18:$C$157=$AP16)*('Port Linkages'!$D$18:$D$157=IF($AO16="Yes",$AQ16,$AS16))*('Port Linkages'!$A$18:$A$157&lt;=$C16))))</f>
        <v>MGO_Regular</v>
      </c>
      <c r="LL16" s="75" t="str">
        <f t="array" ref="LL16">INDEX('Port Linkages'!$K$18:$K$157,MATCH(2,1/(('Port Linkages'!$C$18:$C$157=$AP16)*('Port Linkages'!$D$18:$D$157=IF($AO16="Yes",$AQ16,$AS16))*('Port Linkages'!$A$18:$A$157&lt;=$C16))))</f>
        <v>none</v>
      </c>
      <c r="LM16" s="75">
        <f t="array" ref="LM16">INDEX('Port Linkages'!$L$18:$L$157,MATCH(2,1/(('Port Linkages'!$C$18:$C$157=$AP16)*('Port Linkages'!$D$18:$D$157=IF($AO16="Yes",$AQ16,$AS16))*('Port Linkages'!$A$18:$A$157&lt;=$C16))))</f>
        <v>11170</v>
      </c>
      <c r="LN16" s="75">
        <f t="array" ref="LN16">INDEX('Port Linkages'!$M$18:$M$157,MATCH(2,1/(('Port Linkages'!$C$18:$C$157=$AP16)*('Port Linkages'!$D$18:$D$157=IF($AO16="Yes",$AQ16,$AS16))*('Port Linkages'!$A$18:$A$157&lt;=$C16))))</f>
        <v>0</v>
      </c>
      <c r="LO16" s="75" t="str">
        <f t="array" ref="LO16">INDEX('Port Linkages'!$N$18:$N$157,MATCH(2,1/(('Port Linkages'!$C$18:$C$157=$AP16)*('Port Linkages'!$D$18:$D$157=IF($AO16="Yes",$AQ16,$AS16))*('Port Linkages'!$A$18:$A$157&lt;=$C16))))</f>
        <v>Capesize_General</v>
      </c>
      <c r="LP16" s="75" t="str">
        <f t="array" ref="LP16">INDEX('Port Linkages'!$O$18:$O$157,MATCH(2,1/(('Port Linkages'!$C$18:$C$157=$AP16)*('Port Linkages'!$D$18:$D$157=IF($AO16="Yes",$AQ16,$AS16))*('Port Linkages'!$A$18:$A$157&lt;=$C16))))</f>
        <v>Singapore</v>
      </c>
      <c r="LQ16" s="75" t="str">
        <f t="array" ref="LQ16">INDEX('Port Linkages'!$P$18:$P$157,MATCH(2,1/(('Port Linkages'!$C$18:$C$157=$AP16)*('Port Linkages'!$D$18:$D$157=IF($AO16="Yes",$AQ16,$AS16))*('Port Linkages'!$A$18:$A$157&lt;=$C16))))</f>
        <v>VLSFO</v>
      </c>
      <c r="LR16" s="75" t="str">
        <f t="array" ref="LR16">INDEX('Port Linkages'!$Q$18:$Q$157,MATCH(2,1/(('Port Linkages'!$C$18:$C$157=$AP16)*('Port Linkages'!$D$18:$D$157=IF($AO16="Yes",$AQ16,$AS16))*('Port Linkages'!$A$18:$A$157&lt;=$C16))))</f>
        <v>MGO_Regular</v>
      </c>
      <c r="LS16" s="75" t="str">
        <f t="array" ref="LS16">INDEX('Port Linkages'!$R$18:$R$157,MATCH(2,1/(('Port Linkages'!$C$18:$C$157=$AP16)*('Port Linkages'!$D$18:$D$157=IF($AO16="Yes",$AQ16,$AS16))*('Port Linkages'!$A$18:$A$157&lt;=$C16))))</f>
        <v>none</v>
      </c>
      <c r="LT16" s="75">
        <f t="array" ref="LT16">INDEX('Port Linkages'!$S$18:$S$157,MATCH(2,1/(('Port Linkages'!$C$18:$C$157=$AP16)*('Port Linkages'!$D$18:$D$157=IF($AO16="Yes",$AQ16,$AS16))*('Port Linkages'!$A$18:$A$157&lt;=$C16))))</f>
        <v>11170</v>
      </c>
      <c r="LU16" s="75">
        <f t="array" ref="LU16">INDEX('Port Linkages'!$T$18:$T$157,MATCH(2,1/(('Port Linkages'!$C$18:$C$157=$AP16)*('Port Linkages'!$D$18:$D$157=IF($AO16="Yes",$AQ16,$AS16))*('Port Linkages'!$A$18:$A$157&lt;=$C16))))</f>
        <v>0</v>
      </c>
      <c r="LV16" s="75" t="str">
        <f t="array" ref="LV16">INDEX('Port Linkages'!$U$18:$U$157,MATCH(2,1/(('Port Linkages'!$C$18:$C$157=$AP16)*('Port Linkages'!$D$18:$D$157=IF($AO16="Yes",$AQ16,$AS16))*('Port Linkages'!$A$18:$A$157&lt;=$C16))))</f>
        <v>Capesize_General</v>
      </c>
      <c r="LW16" s="75" t="str">
        <f t="array" ref="LW16">INDEX('Port Linkages'!$V$18:$V$157,MATCH(2,1/(('Port Linkages'!$C$18:$C$157=$AP16)*('Port Linkages'!$D$18:$D$157=IF($AO16="Yes",$AQ16,$AS16))*('Port Linkages'!$A$18:$A$157&lt;=$C16))))</f>
        <v>Singapore</v>
      </c>
      <c r="LX16" s="75" t="str">
        <f t="array" ref="LX16">INDEX('Port Linkages'!$W$18:$W$157,MATCH(2,1/(('Port Linkages'!$C$18:$C$157=$AP16)*('Port Linkages'!$D$18:$D$157=IF($AO16="Yes",$AQ16,$AS16))*('Port Linkages'!$A$18:$A$157&lt;=$C16))))</f>
        <v>VLSFO</v>
      </c>
      <c r="LY16" s="75" t="str">
        <f t="array" ref="LY16">INDEX('Port Linkages'!$X$18:$X$157,MATCH(2,1/(('Port Linkages'!$C$18:$C$157=$AP16)*('Port Linkages'!$D$18:$D$157=IF($AO16="Yes",$AQ16,$AS16))*('Port Linkages'!$A$18:$A$157&lt;=$C16))))</f>
        <v>MGO_Regular</v>
      </c>
      <c r="LZ16" s="75" t="str">
        <f t="array" ref="LZ16">INDEX('Port Linkages'!$Y$18:$Y$157,MATCH(2,1/(('Port Linkages'!$C$18:$C$157=$AP16)*('Port Linkages'!$D$18:$D$157=IF($AO16="Yes",$AQ16,$AS16))*('Port Linkages'!$A$18:$A$157&lt;=$C16))))</f>
        <v>none</v>
      </c>
      <c r="MA16" s="75">
        <f t="array" ref="MA16">INDEX('Port Linkages'!$Z$18:$Z$157,MATCH(2,1/(('Port Linkages'!$C$18:$C$157=$AP16)*('Port Linkages'!$D$18:$D$157=IF($AO16="Yes",$AQ16,$AS16))*('Port Linkages'!$A$18:$A$157&lt;=$C16))))</f>
        <v>11170</v>
      </c>
      <c r="MB16" s="75">
        <f t="array" ref="MB16">INDEX('Port Linkages'!$AA$18:$AA$157,MATCH(2,1/(('Port Linkages'!$C$18:$C$157=$AP16)*('Port Linkages'!$D$18:$D$157=IF($AO16="Yes",$AQ16,$AS16))*('Port Linkages'!$A$18:$A$157&lt;=$C16))))</f>
        <v>0</v>
      </c>
      <c r="MC16" s="75" t="str">
        <f t="array" ref="MC16">INDEX('Port Linkages'!$AB$18:$AB$157,MATCH(2,1/(('Port Linkages'!$C$18:$C$157=$AP16)*('Port Linkages'!$D$18:$D$157=IF($AO16="Yes",$AQ16,$AS16))*('Port Linkages'!$A$18:$A$157&lt;=$C16))))</f>
        <v>Capesize_General</v>
      </c>
      <c r="MD16" s="75" t="str">
        <f t="array" ref="MD16">INDEX('Port Linkages'!$AC$18:$AC$157,MATCH(2,1/(('Port Linkages'!$C$18:$C$157=$AP16)*('Port Linkages'!$D$18:$D$157=IF($AO16="Yes",$AQ16,$AS16))*('Port Linkages'!$A$18:$A$157&lt;=$C16))))</f>
        <v>Singapore</v>
      </c>
      <c r="ME16" s="75" t="str">
        <f t="array" ref="ME16">INDEX('Port Linkages'!$AD$18:$AD$157,MATCH(2,1/(('Port Linkages'!$C$18:$C$157=$AP16)*('Port Linkages'!$D$18:$D$157=IF($AO16="Yes",$AQ16,$AS16))*('Port Linkages'!$A$18:$A$157&lt;=$C16))))</f>
        <v>VLSFO</v>
      </c>
      <c r="MF16" s="75" t="str">
        <f t="array" ref="MF16">INDEX('Port Linkages'!$AE$18:$AE$157,MATCH(2,1/(('Port Linkages'!$C$18:$C$157=$AP16)*('Port Linkages'!$D$18:$D$157=IF($AO16="Yes",$AQ16,$AS16))*('Port Linkages'!$A$18:$A$157&lt;=$C16))))</f>
        <v>MGO_Regular</v>
      </c>
      <c r="MG16" s="75" t="str">
        <f t="array" ref="MG16">INDEX('Port Linkages'!$AF$18:$AF$157,MATCH(2,1/(('Port Linkages'!$C$18:$C$157=$AP16)*('Port Linkages'!$D$18:$D$157=IF($AO16="Yes",$AQ16,$AS16))*('Port Linkages'!$A$18:$A$157&lt;=$C16))))</f>
        <v>none</v>
      </c>
      <c r="MH16" s="75">
        <f t="array" ref="MH16">INDEX('Port Linkages'!$AG$18:$AG$157,MATCH(2,1/(('Port Linkages'!$C$18:$C$157=$AP16)*('Port Linkages'!$D$18:$D$157=IF($AO16="Yes",$AQ16,$AS16))*('Port Linkages'!$A$18:$A$157&lt;=$C16))))</f>
        <v>11170</v>
      </c>
      <c r="MI16" s="75">
        <f t="array" ref="MI16">INDEX('Port Linkages'!$AH$18:$AH$157,MATCH(2,1/(('Port Linkages'!$C$18:$C$157=$AP16)*('Port Linkages'!$D$18:$D$157=IF($AO16="Yes",$AQ16,$AS16))*('Port Linkages'!$A$18:$A$157&lt;=$C16))))</f>
        <v>0</v>
      </c>
      <c r="MJ16" s="75" t="str">
        <f t="array" ref="MJ16">INDEX('Port Linkages'!$AI$18:$AI$157,MATCH(2,1/(('Port Linkages'!$C$18:$C$157=$AP16)*('Port Linkages'!$D$18:$D$157=IF($AO16="Yes",$AQ16,$AS16))*('Port Linkages'!$A$18:$A$157&lt;=$C16))))</f>
        <v>Panamax_General</v>
      </c>
      <c r="MK16" s="75" t="str">
        <f t="array" ref="MK16">INDEX('Port Linkages'!$AJ$18:$AJ$157,MATCH(2,1/(('Port Linkages'!$C$18:$C$157=$AP16)*('Port Linkages'!$D$18:$D$157=IF($AO16="Yes",$AQ16,$AS16))*('Port Linkages'!$A$18:$A$157&lt;=$C16))))</f>
        <v>Singapore</v>
      </c>
      <c r="ML16" s="75" t="str">
        <f t="array" ref="ML16">INDEX('Port Linkages'!$AK$18:$AK$157,MATCH(2,1/(('Port Linkages'!$C$18:$C$157=$AP16)*('Port Linkages'!$D$18:$D$157=IF($AO16="Yes",$AQ16,$AS16))*('Port Linkages'!$A$18:$A$157&lt;=$C16))))</f>
        <v>VLSFO</v>
      </c>
      <c r="MM16" s="75" t="str">
        <f t="array" ref="MM16">INDEX('Port Linkages'!$AL$18:$AL$157,MATCH(2,1/(('Port Linkages'!$C$18:$C$157=$AP16)*('Port Linkages'!$D$18:$D$157=IF($AO16="Yes",$AQ16,$AS16))*('Port Linkages'!$A$18:$A$157&lt;=$C16))))</f>
        <v>MGO_Regular</v>
      </c>
      <c r="MN16" s="75" t="str">
        <f t="array" ref="MN16">INDEX('Port Linkages'!$AM$18:$AM$157,MATCH(2,1/(('Port Linkages'!$C$18:$C$157=$AP16)*('Port Linkages'!$D$18:$D$157=IF($AO16="Yes",$AQ16,$AS16))*('Port Linkages'!$A$18:$A$157&lt;=$C16))))</f>
        <v>none</v>
      </c>
      <c r="MO16" s="75">
        <f t="array" ref="MO16">INDEX('Port Linkages'!$AN$18:$AN$157,MATCH(2,1/(('Port Linkages'!$C$18:$C$157=$AP16)*('Port Linkages'!$D$18:$D$157=IF($AO16="Yes",$AQ16,$AS16))*('Port Linkages'!$A$18:$A$157&lt;=$C16))))</f>
        <v>11170</v>
      </c>
      <c r="MP16" s="75">
        <f t="array" ref="MP16">INDEX('Port Linkages'!$AO$18:$AO$157,MATCH(2,1/(('Port Linkages'!$C$18:$C$157=$AP16)*('Port Linkages'!$D$18:$D$157=IF($AO16="Yes",$AQ16,$AS16))*('Port Linkages'!$A$18:$A$157&lt;=$C16))))</f>
        <v>0</v>
      </c>
      <c r="MQ16" s="75" t="str">
        <f t="array" ref="MQ16">INDEX('Port Linkages'!$AP$18:$AP$157,MATCH(2,1/(('Port Linkages'!$C$18:$C$157=$AP16)*('Port Linkages'!$D$18:$D$157=IF($AO16="Yes",$AQ16,$AS16))*('Port Linkages'!$A$18:$A$157&lt;=$C16))))</f>
        <v>Supramax_General</v>
      </c>
      <c r="MR16" s="75" t="str">
        <f t="array" ref="MR16">INDEX('Port Linkages'!$AQ$18:$AQ$157,MATCH(2,1/(('Port Linkages'!$C$18:$C$157=$AP16)*('Port Linkages'!$D$18:$D$157=IF($AO16="Yes",$AQ16,$AS16))*('Port Linkages'!$A$18:$A$157&lt;=$C16))))</f>
        <v>Singapore</v>
      </c>
      <c r="MS16" s="75" t="str">
        <f t="array" ref="MS16">INDEX('Port Linkages'!$AR$18:$AR$157,MATCH(2,1/(('Port Linkages'!$C$18:$C$157=$AP16)*('Port Linkages'!$D$18:$D$157=IF($AO16="Yes",$AQ16,$AS16))*('Port Linkages'!$A$18:$A$157&lt;=$C16))))</f>
        <v>VLSFO</v>
      </c>
      <c r="MT16" s="75" t="str">
        <f t="array" ref="MT16">INDEX('Port Linkages'!$AS$18:$AS$157,MATCH(2,1/(('Port Linkages'!$C$18:$C$157=$AP16)*('Port Linkages'!$D$18:$D$157=IF($AO16="Yes",$AQ16,$AS16))*('Port Linkages'!$A$18:$A$157&lt;=$C16))))</f>
        <v>MGO_Regular</v>
      </c>
      <c r="MU16" s="75" t="str">
        <f t="array" ref="MU16">INDEX('Port Linkages'!$AT$18:$AT$157,MATCH(2,1/(('Port Linkages'!$C$18:$C$157=$AP16)*('Port Linkages'!$D$18:$D$157=IF($AO16="Yes",$AQ16,$AS16))*('Port Linkages'!$A$18:$A$157&lt;=$C16))))</f>
        <v>none</v>
      </c>
      <c r="MV16" s="75">
        <f t="array" ref="MV16">INDEX('Port Linkages'!$AU$18:$AU$157,MATCH(2,1/(('Port Linkages'!$C$18:$C$157=$AP16)*('Port Linkages'!$D$18:$D$157=IF($AO16="Yes",$AQ16,$AS16))*('Port Linkages'!$A$18:$A$157&lt;=$C16))))</f>
        <v>11170</v>
      </c>
      <c r="MW16" s="75">
        <f t="array" ref="MW16">INDEX('Port Linkages'!$AV$18:$AV$157,MATCH(2,1/(('Port Linkages'!$C$18:$C$157=$AP16)*('Port Linkages'!$D$18:$D$157=IF($AO16="Yes",$AQ16,$AS16))*('Port Linkages'!$A$18:$A$157&lt;=$C16))))</f>
        <v>0</v>
      </c>
      <c r="MX16" s="75" t="str">
        <f t="array" ref="MX16">INDEX('Port Linkages'!$AW$18:$AW$157,MATCH(2,1/(('Port Linkages'!$C$18:$C$157=$AP16)*('Port Linkages'!$D$18:$D$157=IF($AO16="Yes",$AQ16,$AS16))*('Port Linkages'!$A$18:$A$157&lt;=$C16))))</f>
        <v>Handysize_General</v>
      </c>
      <c r="MY16" s="75" t="str">
        <f t="array" ref="MY16">INDEX('Port Linkages'!$AX$18:$AX$157,MATCH(2,1/(('Port Linkages'!$C$18:$C$157=$AP16)*('Port Linkages'!$D$18:$D$157=IF($AO16="Yes",$AQ16,$AS16))*('Port Linkages'!$A$18:$A$157&lt;=$C16))))</f>
        <v>Singapore</v>
      </c>
      <c r="MZ16" s="75" t="str">
        <f t="array" ref="MZ16">INDEX('Port Linkages'!$AY$18:$AY$157,MATCH(2,1/(('Port Linkages'!$C$18:$C$157=$AP16)*('Port Linkages'!$D$18:$D$157=IF($AO16="Yes",$AQ16,$AS16))*('Port Linkages'!$A$18:$A$157&lt;=$C16))))</f>
        <v>VLSFO</v>
      </c>
      <c r="NA16" s="75" t="str">
        <f t="array" ref="NA16">INDEX('Port Linkages'!$AZ$18:$AZ$157,MATCH(2,1/(('Port Linkages'!$C$18:$C$157=$AP16)*('Port Linkages'!$D$18:$D$157=IF($AO16="Yes",$AQ16,$AS16))*('Port Linkages'!$A$18:$A$157&lt;=$C16))))</f>
        <v>MGO_Regular</v>
      </c>
      <c r="NB16" s="75" t="str">
        <f t="array" ref="NB16">INDEX('Port Linkages'!$BA$18:$BA$157,MATCH(2,1/(('Port Linkages'!$C$18:$C$157=$AP16)*('Port Linkages'!$D$18:$D$157=IF($AO16="Yes",$AQ16,$AS16))*('Port Linkages'!$A$18:$A$157&lt;=$C16))))</f>
        <v>none</v>
      </c>
      <c r="ND16" s="25" t="e">
        <f t="array" aca="1" ref="ND16" ca="1">INDEX('Ship Fuel Prices'!$F$5:$F$1004,MATCH(2,1/(('Ship Fuel Prices'!$E$5:$E$1004=_xlfn.IFS(KS16="Handysize",Main!MY16,KS16="Supramax",MR16,KS16="Panamax",MK16,KS16="NeoPanamax",MD16,KS16="Suezmax",LW16,KS16="Capesize",LP16,KS16="VLOC",LI16))*('Ship Fuel Prices'!$D$5:$D$1004&lt;=Main!$C16))))</f>
        <v>#N/A</v>
      </c>
      <c r="NE16" s="25" t="e">
        <f t="array" aca="1" ref="NE16" ca="1">INDEX('Ship Fuel Prices'!$G$5:$G$1004,MATCH(2,1/(('Ship Fuel Prices'!$E$5:$E$1004=_xlfn.IFS(KS16="Handysize",Main!MY16,KS16="Supramax",MR16,KS16="Panamax",MK16,KS16="NeoPanamax",MD16,KS16="Suezmax",LW16,KS16="Capesize",LP16,KS16="VLOC",LI16))*('Ship Fuel Prices'!$D$5:$D$1004&lt;=Main!$C16))))</f>
        <v>#N/A</v>
      </c>
      <c r="NF16" s="25" t="e">
        <f t="array" aca="1" ref="NF16" ca="1">INDEX('Ship Fuel Prices'!$H$5:$H$1004,MATCH(2,1/(('Ship Fuel Prices'!$E$5:$E$1004=_xlfn.IFS(KS16="Handysize",Main!MY16,KS16="Supramax",MR16,KS16="Panamax",MK16,KS16="NeoPanamax",MD16,KS16="Suezmax",LW16,KS16="Capesize",LP16,KS16="VLOC",LI16))*('Ship Fuel Prices'!$D$5:$D$1004&lt;=Main!$C16))))</f>
        <v>#N/A</v>
      </c>
      <c r="NG16" s="25" t="e">
        <f t="array" aca="1" ref="NG16" ca="1">INDEX('Ship Fuel Prices'!$I$5:$I$1004,MATCH(2,1/(('Ship Fuel Prices'!$E$5:$E$1004=_xlfn.IFS(KS16="Handysize",Main!MY16,KS16="Supramax",MR16,KS16="Panamax",MK16,KS16="NeoPanamax",MD16,KS16="Suezmax",LW16,KS16="Capesize",LP16,KS16="VLOC",LI16))*('Ship Fuel Prices'!$D$5:$D$1004&lt;=Main!$C16))))</f>
        <v>#N/A</v>
      </c>
      <c r="NH16" s="25" t="e">
        <f t="array" aca="1" ref="NH16" ca="1">INDEX('Ship Fuel Prices'!$J$5:$J$1004,MATCH(2,1/(('Ship Fuel Prices'!$E$5:$E$1004=_xlfn.IFS(KS16="Handysize",Main!MY16,KS16="Supramax",MR16,KS16="Panamax",MK16,KS16="NeoPanamax",MD16,KS16="Suezmax",LW16,KS16="Capesize",LP16,KS16="VLOC",LI16))*('Ship Fuel Prices'!$D$5:$D$1004&lt;=Main!$C16))))</f>
        <v>#N/A</v>
      </c>
      <c r="NJ16" s="75">
        <f t="array" ref="NJ16">INDEX('China n Importing Ports'!$E$20:$E$41,MATCH(2,1/(('China n Importing Ports'!$D$20:$D$41&lt;=$C16)*('China n Importing Ports'!$C$20:$C$41=IF($AO16="Yes",$AQ16,$AS16)))))</f>
        <v>42500</v>
      </c>
      <c r="NK16" s="75">
        <f t="array" ref="NK16">INDEX('China n Importing Ports'!$F$20:$F$41,MATCH(2,1/(('China n Importing Ports'!$D$20:$D$41&lt;=$C16)*('China n Importing Ports'!$C$20:$C$41=IF($AO16="Yes",$AQ16,$AS16)))))</f>
        <v>42500</v>
      </c>
      <c r="NL16" s="75">
        <f t="array" ref="NL16">INDEX('China n Importing Ports'!$G$20:$G$41,MATCH(2,1/(('China n Importing Ports'!$D$20:$D$41&lt;=$C16)*('China n Importing Ports'!$C$20:$C$41=IF($AO16="Yes",$AQ16,$AS16)))))</f>
        <v>42500</v>
      </c>
      <c r="NM16" s="75">
        <f t="array" ref="NM16">INDEX('China n Importing Ports'!$H$20:$H$41,MATCH(2,1/(('China n Importing Ports'!$D$20:$D$41&lt;=$C16)*('China n Importing Ports'!$C$20:$C$41=IF($AO16="Yes",$AQ16,$AS16)))))</f>
        <v>42500</v>
      </c>
      <c r="NN16" s="75">
        <f t="array" ref="NN16">INDEX('China n Importing Ports'!$I$20:$I$41,MATCH(2,1/(('China n Importing Ports'!$D$20:$D$41&lt;=$C16)*('China n Importing Ports'!$C$20:$C$41=IF($AO16="Yes",$AQ16,$AS16)))))</f>
        <v>42500</v>
      </c>
      <c r="NO16" s="75">
        <f t="array" ref="NO16">INDEX('China n Importing Ports'!$J$20:$J$41,MATCH(2,1/(('China n Importing Ports'!$D$20:$D$41&lt;=$C16)*('China n Importing Ports'!$C$20:$C$41=IF($AO16="Yes",$AQ16,$AS16)))))</f>
        <v>42500</v>
      </c>
      <c r="NP16" s="75">
        <f t="array" ref="NP16">INDEX('China n Importing Ports'!$K$20:$K$41,MATCH(2,1/(('China n Importing Ports'!$D$20:$D$41&lt;=$C16)*('China n Importing Ports'!$C$20:$C$41=IF($AO16="Yes",$AQ16,$AS16)))))</f>
        <v>42500</v>
      </c>
      <c r="NQ16" s="75" t="str">
        <f t="array" ref="NQ16">INDEX('China n Importing Ports'!$L$20:$L$41,MATCH(2,1/(('China n Importing Ports'!$D$20:$D$41&lt;=$C16)*('China n Importing Ports'!$C$20:$C$41=IF($AO16="Yes",$AQ16,$AS16)))))</f>
        <v>RMB</v>
      </c>
      <c r="NR16" s="75">
        <f t="array" ref="NR16">INDEX('China n Importing Ports'!$M$20:$M$41,MATCH(2,1/(('China n Importing Ports'!$D$20:$D$41&lt;=$C16)*('China n Importing Ports'!$C$20:$C$41=IF($AO16="Yes",$AQ16,$AS16)))))</f>
        <v>12342</v>
      </c>
      <c r="NS16" s="75">
        <f t="array" ref="NS16">INDEX('China n Importing Ports'!$N$20:$N$41,MATCH(2,1/(('China n Importing Ports'!$D$20:$D$41&lt;=$C16)*('China n Importing Ports'!$C$20:$C$41=IF($AO16="Yes",$AQ16,$AS16)))))</f>
        <v>0</v>
      </c>
      <c r="NT16" s="75">
        <f t="array" ref="NT16">INDEX('China n Importing Ports'!$O$20:$O$41,MATCH(2,1/(('China n Importing Ports'!$D$20:$D$41&lt;=$C16)*('China n Importing Ports'!$C$20:$C$41=IF($AO16="Yes",$AQ16,$AS16)))))</f>
        <v>0</v>
      </c>
      <c r="NU16" s="136">
        <f t="array" ref="NU16">INDEX('China n Importing Ports'!$P$20:$P$41,MATCH(2,1/(('China n Importing Ports'!$D$20:$D$41&lt;=$C16)*('China n Importing Ports'!$C$20:$C$41=IF($AO16="Yes",$AQ16,$AS16)))))</f>
        <v>2.64</v>
      </c>
      <c r="NV16" s="136">
        <f t="array" ref="NV16">INDEX('China n Importing Ports'!$Q$20:$Q$41,MATCH(2,1/(('China n Importing Ports'!$D$20:$D$41&lt;=$C16)*('China n Importing Ports'!$C$20:$C$41=IF($AO16="Yes",$AQ16,$AS16)))))</f>
        <v>0</v>
      </c>
      <c r="NW16" s="136">
        <f t="array" ref="NW16">INDEX('China n Importing Ports'!$R$20:$R$41,MATCH(2,1/(('China n Importing Ports'!$D$20:$D$41&lt;=$C16)*('China n Importing Ports'!$C$20:$C$41=IF($AO16="Yes",$AQ16,$AS16)))))</f>
        <v>0</v>
      </c>
      <c r="NX16" s="136">
        <f t="array" ref="NX16">INDEX('China n Importing Ports'!$S$20:$S$41,MATCH(2,1/(('China n Importing Ports'!$D$20:$D$41&lt;=$C16)*('China n Importing Ports'!$C$20:$C$41=IF($AO16="Yes",$AQ16,$AS16)))))</f>
        <v>4.53</v>
      </c>
      <c r="NY16" s="136">
        <f t="array" ref="NY16">INDEX('China n Importing Ports'!$T$20:$T$41,MATCH(2,1/(('China n Importing Ports'!$D$20:$D$41&lt;=$C16)*('China n Importing Ports'!$C$20:$C$41=IF($AO16="Yes",$AQ16,$AS16)))))</f>
        <v>0.36699999999999999</v>
      </c>
      <c r="NZ16" s="136">
        <f t="array" ref="NZ16">INDEX('China n Importing Ports'!$U$20:$U$41,MATCH(2,1/(('China n Importing Ports'!$D$20:$D$41&lt;=$C16)*('China n Importing Ports'!$C$20:$C$41=IF($AO16="Yes",$AQ16,$AS16)))))</f>
        <v>0.05</v>
      </c>
      <c r="OA16" s="136">
        <f t="array" ref="OA16">INDEX('China n Importing Ports'!$V$20:$V$41,MATCH(2,1/(('China n Importing Ports'!$D$20:$D$41&lt;=$C16)*('China n Importing Ports'!$C$20:$C$41=IF($AO16="Yes",$AQ16,$AS16)))))</f>
        <v>0</v>
      </c>
      <c r="OB16" s="136">
        <f t="array" ref="OB16">INDEX('China n Importing Ports'!$W$20:$W$41,MATCH(2,1/(('China n Importing Ports'!$D$20:$D$41&lt;=$C16)*('China n Importing Ports'!$C$20:$C$41=IF($AO16="Yes",$AQ16,$AS16)))))</f>
        <v>0</v>
      </c>
      <c r="OC16" s="136">
        <f t="array" ref="OC16">INDEX('China n Importing Ports'!$X$20:$X$41,MATCH(2,1/(('China n Importing Ports'!$D$20:$D$41&lt;=$C16)*('China n Importing Ports'!$C$20:$C$41=IF($AO16="Yes",$AQ16,$AS16)))))</f>
        <v>0</v>
      </c>
      <c r="OD16" s="136">
        <f t="array" ref="OD16">INDEX('China n Importing Ports'!$Y$20:$Y$41,MATCH(2,1/(('China n Importing Ports'!$D$20:$D$41&lt;=$C16)*('China n Importing Ports'!$C$20:$C$41=IF($AO16="Yes",$AQ16,$AS16)))))</f>
        <v>197</v>
      </c>
      <c r="OE16" s="136">
        <f t="array" ref="OE16">INDEX('China n Importing Ports'!$Z$20:$Z$41,MATCH(2,1/(('China n Importing Ports'!$D$20:$D$41&lt;=$C16)*('China n Importing Ports'!$C$20:$C$41=IF($AO16="Yes",$AQ16,$AS16)))))</f>
        <v>0</v>
      </c>
      <c r="OF16" s="136">
        <f t="array" ref="OF16">INDEX('China n Importing Ports'!$AA$20:$AA$41,MATCH(2,1/(('China n Importing Ports'!$D$20:$D$41&lt;=$C16)*('China n Importing Ports'!$C$20:$C$41=IF($AO16="Yes",$AQ16,$AS16)))))</f>
        <v>0</v>
      </c>
      <c r="OH16" s="75" t="e">
        <f t="array" aca="1" ref="OH16" ca="1">INDEX(Canals!$G$24:$G$29,MATCH(2,1/((Canals!$F$24:$F$29&lt;=$C16)*(Canals!$G$24:$G$29=_xlfn.IFS(KS16="Handysize",Main!NB16,KS16="Supramax",MU16,KS16="Panamax",MN16,KS16="NeoPanamax",MG16,KS16="Suezmax",LZ16,KS16="Capesize",LS16,KS16="VLOC",LL16)))))</f>
        <v>#N/A</v>
      </c>
      <c r="OI16" s="75" t="e">
        <f t="array" aca="1" ref="OI16" ca="1">INDEX(Canals!$H$24:$H$29,MATCH(2,1/((Canals!$F$24:$F$29&lt;=$C16)*(Canals!$G$24:$G$29=_xlfn.IFS(KS16="Handysize",Main!NB16,KS16="Supramax",MU16,KS16="Panamax",MN16,KS16="NeoPanamax",MG16,KS16="Suezmax",LZ16,KS16="Capesize",LS16,KS16="VLOC",LL16)))))</f>
        <v>#N/A</v>
      </c>
      <c r="OJ16" s="75" t="e">
        <f t="array" aca="1" ref="OJ16" ca="1">INDEX(Canals!$I$24:$I$29,MATCH(2,1/((Canals!$F$24:$F$29&lt;=$C16)*(Canals!$G$24:$G$29=_xlfn.IFS(KS16="Handysize",Main!NB16,KS16="Supramax",MU16,KS16="Panamax",MN16,KS16="NeoPanamax",MG16,KS16="Suezmax",LZ16,KS16="Capesize",LS16,KS16="VLOC",LL16)))))</f>
        <v>#N/A</v>
      </c>
      <c r="OK16" s="75" t="e">
        <f t="array" aca="1" ref="OK16" ca="1">INDEX(Canals!$J$24:$J$29,MATCH(2,1/((Canals!$F$24:$F$29&lt;=$C16)*(Canals!$G$24:$G$29=_xlfn.IFS(KS16="Handysize",Main!NB16,KS16="Supramax",MU16,KS16="Panamax",MN16,KS16="NeoPanamax",MG16,KS16="Suezmax",LZ16,KS16="Capesize",LS16,KS16="VLOC",LL16)))))</f>
        <v>#N/A</v>
      </c>
      <c r="OL16" s="75" t="e">
        <f t="array" aca="1" ref="OL16" ca="1">INDEX(Canals!$K$24:$K$29,MATCH(2,1/((Canals!$F$24:$F$29&lt;=$C16)*(Canals!$G$24:$G$29=_xlfn.IFS(KS16="Handysize",Main!NB16,KS16="Supramax",MU16,KS16="Panamax",MN16,KS16="NeoPanamax",MG16,KS16="Suezmax",LZ16,KS16="Capesize",LS16,KS16="VLOC",LL16)))))</f>
        <v>#N/A</v>
      </c>
      <c r="OM16" s="75" t="e">
        <f t="array" aca="1" ref="OM16" ca="1">INDEX(Canals!$L$24:$L$29,MATCH(2,1/((Canals!$F$24:$F$29&lt;=$C16)*(Canals!$G$24:$G$29=_xlfn.IFS(KS16="Handysize",Main!NB16,KS16="Supramax",MU16,KS16="Panamax",MN16,KS16="NeoPanamax",MG16,KS16="Suezmax",LZ16,KS16="Capesize",LS16,KS16="VLOC",LL16)))))</f>
        <v>#N/A</v>
      </c>
      <c r="ON16" s="75" t="e">
        <f t="array" aca="1" ref="ON16" ca="1">INDEX(Canals!$M$24:$M$29,MATCH(2,1/((Canals!$F$24:$F$29&lt;=$C16)*(Canals!$G$24:$G$29=_xlfn.IFS(KS16="Handysize",Main!NB16,KS16="Supramax",MU16,KS16="Panamax",MN16,KS16="NeoPanamax",MG16,KS16="Suezmax",LZ16,KS16="Capesize",LS16,KS16="VLOC",LL16)))))</f>
        <v>#N/A</v>
      </c>
      <c r="OO16" s="75" t="e">
        <f t="array" aca="1" ref="OO16" ca="1">INDEX(Canals!$N$24:$N$29,MATCH(2,1/((Canals!$F$24:$F$29&lt;=$C16)*(Canals!$G$24:$G$29=_xlfn.IFS(KS16="Handysize",Main!NB16,KS16="Supramax",MU16,KS16="Panamax",MN16,KS16="NeoPanamax",MG16,KS16="Suezmax",LZ16,KS16="Capesize",LS16,KS16="VLOC",LL16)))))</f>
        <v>#N/A</v>
      </c>
      <c r="OP16" s="75" t="e">
        <f t="array" aca="1" ref="OP16" ca="1">INDEX(Canals!$O$24:$O$29,MATCH(2,1/((Canals!$F$24:$F$29&lt;=$C16)*(Canals!$G$24:$G$29=_xlfn.IFS(KS16="Handysize",Main!NB16,KS16="Supramax",MU16,KS16="Panamax",MN16,KS16="NeoPanamax",MG16,KS16="Suezmax",LZ16,KS16="Capesize",LS16,KS16="VLOC",LL16)))))</f>
        <v>#N/A</v>
      </c>
      <c r="OQ16" s="75" t="e">
        <f t="array" aca="1" ref="OQ16" ca="1">INDEX(Canals!$P$24:$P$29,MATCH(2,1/((Canals!$F$24:$F$29&lt;=$C16)*(Canals!$G$24:$G$29=_xlfn.IFS(KS16="Handysize",Main!NB16,KS16="Supramax",MU16,KS16="Panamax",MN16,KS16="NeoPanamax",MG16,KS16="Suezmax",LZ16,KS16="Capesize",LS16,KS16="VLOC",LL16)))))</f>
        <v>#N/A</v>
      </c>
      <c r="OR16" s="75" t="e">
        <f t="array" aca="1" ref="OR16" ca="1">INDEX(Canals!$Q$24:$Q$29,MATCH(2,1/((Canals!$F$24:$F$29&lt;=$C16)*(Canals!$G$24:$G$29=_xlfn.IFS(KS16="Handysize",Main!NB16,KS16="Supramax",MU16,KS16="Panamax",MN16,KS16="NeoPanamax",MG16,KS16="Suezmax",LZ16,KS16="Capesize",LS16,KS16="VLOC",LL16)))))</f>
        <v>#N/A</v>
      </c>
      <c r="OS16" s="75" t="e">
        <f t="array" aca="1" ref="OS16" ca="1">INDEX(Canals!$R$24:$R$29,MATCH(2,1/((Canals!$F$24:$F$29&lt;=$C16)*(Canals!$G$24:$G$29=_xlfn.IFS(KS16="Handysize",Main!NB16,KS16="Supramax",MU16,KS16="Panamax",MN16,KS16="NeoPanamax",MG16,KS16="Suezmax",LZ16,KS16="Capesize",LS16,KS16="VLOC",LL16)))))</f>
        <v>#N/A</v>
      </c>
      <c r="OT16" s="136" t="e">
        <f t="array" aca="1" ref="OT16" ca="1">INDEX(Canals!$S$24:$S$29,MATCH(2,1/((Canals!$F$24:$F$29&lt;=$C16)*(Canals!$G$24:$G$29=_xlfn.IFS(KS16="Handysize",Main!NB16,KS16="Supramax",MU16,KS16="Panamax",MN16,KS16="NeoPanamax",MG16,KS16="Suezmax",LZ16,KS16="Capesize",LS16,KS16="VLOC",LL16)))))</f>
        <v>#N/A</v>
      </c>
      <c r="OU16" s="136" t="e">
        <f t="array" aca="1" ref="OU16" ca="1">INDEX(Canals!$T$24:$T$29,MATCH(2,1/((Canals!$F$24:$F$29&lt;=$C16)*(Canals!$G$24:$G$29=_xlfn.IFS(KS16="Handysize",Main!NB16,KS16="Supramax",MU16,KS16="Panamax",MN16,KS16="NeoPanamax",MG16,KS16="Suezmax",LZ16,KS16="Capesize",LS16,KS16="VLOC",LL16)))))</f>
        <v>#N/A</v>
      </c>
      <c r="OV16" s="136" t="e">
        <f t="array" aca="1" ref="OV16" ca="1">INDEX(Canals!$U$24:$U$29,MATCH(2,1/((Canals!$F$24:$F$29&lt;=$C16)*(Canals!$G$24:$G$29=_xlfn.IFS(KS16="Handysize",Main!NB16,KS16="Supramax",MU16,KS16="Panamax",MN16,KS16="NeoPanamax",MG16,KS16="Suezmax",LZ16,KS16="Capesize",LS16,KS16="VLOC",LL16)))))</f>
        <v>#N/A</v>
      </c>
      <c r="OW16" s="136" t="e">
        <f t="array" aca="1" ref="OW16" ca="1">INDEX(Canals!$V$24:$V$29,MATCH(2,1/((Canals!$F$24:$F$29&lt;=$C16)*(Canals!$G$24:$G$29=_xlfn.IFS(KS16="Handysize",Main!NB16,KS16="Supramax",MU16,KS16="Panamax",MN16,KS16="NeoPanamax",MG16,KS16="Suezmax",LZ16,KS16="Capesize",LS16,KS16="VLOC",LL16)))))</f>
        <v>#N/A</v>
      </c>
      <c r="OX16" s="136" t="e">
        <f t="array" aca="1" ref="OX16" ca="1">INDEX(Canals!$W$24:$W$29,MATCH(2,1/((Canals!$F$24:$F$29&lt;=$C16)*(Canals!$G$24:$G$29=_xlfn.IFS(KS16="Handysize",Main!NB16,KS16="Supramax",MU16,KS16="Panamax",MN16,KS16="NeoPanamax",MG16,KS16="Suezmax",LZ16,KS16="Capesize",LS16,KS16="VLOC",LL16)))))</f>
        <v>#N/A</v>
      </c>
      <c r="OY16" s="136" t="e">
        <f t="array" aca="1" ref="OY16" ca="1">INDEX(Canals!$X$24:$X$29,MATCH(2,1/((Canals!$F$24:$F$29&lt;=$C16)*(Canals!$G$24:$G$29=_xlfn.IFS(KS16="Handysize",Main!NB16,KS16="Supramax",MU16,KS16="Panamax",MN16,KS16="NeoPanamax",MG16,KS16="Suezmax",LZ16,KS16="Capesize",LS16,KS16="VLOC",LL16)))))</f>
        <v>#N/A</v>
      </c>
      <c r="OZ16" s="136" t="e">
        <f t="array" aca="1" ref="OZ16" ca="1">INDEX(Canals!$Y$24:$Y$29,MATCH(2,1/((Canals!$F$24:$F$29&lt;=$C16)*(Canals!$G$24:$G$29=_xlfn.IFS(KS16="Handysize",Main!NB16,KS16="Supramax",MU16,KS16="Panamax",MN16,KS16="NeoPanamax",MG16,KS16="Suezmax",LZ16,KS16="Capesize",LS16,KS16="VLOC",LL16)))))</f>
        <v>#N/A</v>
      </c>
      <c r="PA16" s="136" t="e">
        <f t="array" aca="1" ref="PA16" ca="1">INDEX(Canals!$Z$24:$Z$29,MATCH(2,1/((Canals!$F$24:$F$29&lt;=$C16)*(Canals!$G$24:$G$29=_xlfn.IFS(KS16="Handysize",Main!NB16,KS16="Supramax",MU16,KS16="Panamax",MN16,KS16="NeoPanamax",MG16,KS16="Suezmax",LZ16,KS16="Capesize",LS16,KS16="VLOC",LL16)))))</f>
        <v>#N/A</v>
      </c>
      <c r="PB16" s="136" t="e">
        <f t="array" aca="1" ref="PB16" ca="1">INDEX(Canals!$AA$24:$AA$29,MATCH(2,1/((Canals!$F$24:$F$29&lt;=$C16)*(Canals!$G$24:$G$29=_xlfn.IFS(KS16="Handysize",Main!NB16,KS16="Supramax",MU16,KS16="Panamax",MN16,KS16="NeoPanamax",MG16,KS16="Suezmax",LZ16,KS16="Capesize",LS16,KS16="VLOC",LL16)))))</f>
        <v>#N/A</v>
      </c>
      <c r="PC16" s="136" t="e">
        <f t="array" aca="1" ref="PC16" ca="1">INDEX(Canals!$AB$24:$AB$29,MATCH(2,1/((Canals!$F$24:$F$29&lt;=$C16)*(Canals!$G$24:$G$29=_xlfn.IFS(KS16="Handysize",Main!NB16,KS16="Supramax",MU16,KS16="Panamax",MN16,KS16="NeoPanamax",MG16,KS16="Suezmax",LZ16,KS16="Capesize",LS16,KS16="VLOC",LL16)))))</f>
        <v>#N/A</v>
      </c>
      <c r="PD16" s="75" t="e">
        <f t="array" aca="1" ref="PD16" ca="1">INDEX(Canals!$AC$24:$AC$29,MATCH(2,1/((Canals!$F$24:$F$29&lt;=$C16)*(Canals!$G$24:$G$29=_xlfn.IFS(KS16="Handysize",Main!NB16,KS16="Supramax",MU16,KS16="Panamax",MN16,KS16="NeoPanamax",MG16,KS16="Suezmax",LZ16,KS16="Capesize",LS16,KS16="VLOC",LL16)))))</f>
        <v>#N/A</v>
      </c>
      <c r="PE16" s="75" t="e">
        <f t="array" aca="1" ref="PE16" ca="1">INDEX(Canals!$AD$24:$AD$29,MATCH(2,1/((Canals!$F$24:$F$29&lt;=$C16)*(Canals!$G$24:$G$29=_xlfn.IFS(KS16="Handysize",Main!NB16,KS16="Supramax",MU16,KS16="Panamax",MN16,KS16="NeoPanamax",MG16,KS16="Suezmax",LZ16,KS16="Capesize",LS16,KS16="VLOC",LL16)))))</f>
        <v>#N/A</v>
      </c>
      <c r="PF16" s="75" t="e">
        <f t="array" aca="1" ref="PF16" ca="1">INDEX(Canals!$AE$24:$AE$29,MATCH(2,1/((Canals!$F$24:$F$29&lt;=$C16)*(Canals!$G$24:$G$29=_xlfn.IFS(KS16="Handysize",Main!NB16,KS16="Supramax",MU16,KS16="Panamax",MN16,KS16="NeoPanamax",MG16,KS16="Suezmax",LZ16,KS16="Capesize",LS16,KS16="VLOC",LL16)))))</f>
        <v>#N/A</v>
      </c>
      <c r="PG16" s="75" t="e">
        <f t="array" aca="1" ref="PG16" ca="1">INDEX(Canals!$AF$24:$AF$29,MATCH(2,1/((Canals!$F$24:$F$29&lt;=$C16)*(Canals!$G$24:$G$29=_xlfn.IFS(KS16="Handysize",Main!NB16,KS16="Supramax",MU16,KS16="Panamax",MN16,KS16="NeoPanamax",MG16,KS16="Suezmax",LZ16,KS16="Capesize",LS16,KS16="VLOC",LL16)))))</f>
        <v>#N/A</v>
      </c>
      <c r="PH16" s="75" t="e">
        <f t="array" aca="1" ref="PH16" ca="1">INDEX(Canals!$AG$24:$AG$29,MATCH(2,1/((Canals!$F$24:$F$29&lt;=$C16)*(Canals!$G$24:$G$29=_xlfn.IFS(KS16="Handysize",Main!NB16,KS16="Supramax",MU16,KS16="Panamax",MN16,KS16="NeoPanamax",MG16,KS16="Suezmax",LZ16,KS16="Capesize",LS16,KS16="VLOC",LL16)))))</f>
        <v>#N/A</v>
      </c>
      <c r="PI16" s="75" t="e">
        <f t="array" aca="1" ref="PI16" ca="1">INDEX(Canals!$AH$24:$AH$29,MATCH(2,1/((Canals!$F$24:$F$29&lt;=$C16)*(Canals!$G$24:$G$29=_xlfn.IFS(KS16="Handysize",Main!NB16,KS16="Supramax",MU16,KS16="Panamax",MN16,KS16="NeoPanamax",MG16,KS16="Suezmax",LZ16,KS16="Capesize",LS16,KS16="VLOC",LL16)))))</f>
        <v>#N/A</v>
      </c>
      <c r="PJ16" s="75" t="e">
        <f t="array" aca="1" ref="PJ16" ca="1">INDEX(Canals!$AI$24:$AI$29,MATCH(2,1/((Canals!$F$24:$F$29&lt;=$C16)*(Canals!$G$24:$G$29=_xlfn.IFS(KS16="Handysize",Main!NB16,KS16="Supramax",MU16,KS16="Panamax",MN16,KS16="NeoPanamax",MG16,KS16="Suezmax",LZ16,KS16="Capesize",LS16,KS16="VLOC",LL16)))))</f>
        <v>#N/A</v>
      </c>
      <c r="PK16" s="75" t="e">
        <f t="array" aca="1" ref="PK16" ca="1">INDEX(Canals!$AJ$24:$AJ$29,MATCH(2,1/((Canals!$F$24:$F$29&lt;=$C16)*(Canals!$G$24:$G$29=_xlfn.IFS(KS16="Handysize",Main!NB16,KS16="Supramax",MU16,KS16="Panamax",MN16,KS16="NeoPanamax",MG16,KS16="Suezmax",LZ16,KS16="Capesize",LS16,KS16="VLOC",LL16)))))</f>
        <v>#N/A</v>
      </c>
      <c r="PL16" s="75" t="e">
        <f t="array" aca="1" ref="PL16" ca="1">INDEX(Canals!$AK$24:$AK$29,MATCH(2,1/((Canals!$F$24:$F$29&lt;=$C16)*(Canals!$G$24:$G$29=_xlfn.IFS(KS16="Handysize",Main!NB16,KS16="Supramax",MU16,KS16="Panamax",MN16,KS16="NeoPanamax",MG16,KS16="Suezmax",LZ16,KS16="Capesize",LS16,KS16="VLOC",LL16)))))</f>
        <v>#N/A</v>
      </c>
      <c r="PM16" s="136" t="e">
        <f t="array" aca="1" ref="PM16" ca="1">INDEX(Canals!$AL$24:$AL$29,MATCH(2,1/((Canals!$F$24:$F$29&lt;=$C16)*(Canals!$G$24:$G$29=_xlfn.IFS(KS16="Handysize",Main!NB16,KS16="Supramax",MU16,KS16="Panamax",MN16,KS16="NeoPanamax",MG16,KS16="Suezmax",LZ16,KS16="Capesize",LS16,KS16="VLOC",LL16)))))</f>
        <v>#N/A</v>
      </c>
      <c r="PN16" s="136" t="e">
        <f t="array" aca="1" ref="PN16" ca="1">INDEX(Canals!$AM$24:$AM$29,MATCH(2,1/((Canals!$F$24:$F$29&lt;=$C16)*(Canals!$G$24:$G$29=_xlfn.IFS(KS16="Handysize",Main!NB16,KS16="Supramax",MU16,KS16="Panamax",MN16,KS16="NeoPanamax",MG16,KS16="Suezmax",LZ16,KS16="Capesize",LS16,KS16="VLOC",LL16)))))</f>
        <v>#N/A</v>
      </c>
      <c r="PO16" s="136" t="e">
        <f t="array" aca="1" ref="PO16" ca="1">INDEX(Canals!$AN$24:$AN$29,MATCH(2,1/((Canals!$F$24:$F$29&lt;=$C16)*(Canals!$G$24:$G$29=_xlfn.IFS(KS16="Handysize",Main!NB16,KS16="Supramax",MU16,KS16="Panamax",MN16,KS16="NeoPanamax",MG16,KS16="Suezmax",LZ16,KS16="Capesize",LS16,KS16="VLOC",LL16)))))</f>
        <v>#N/A</v>
      </c>
      <c r="PP16" s="136" t="e">
        <f t="array" aca="1" ref="PP16" ca="1">INDEX(Canals!$AO$24:$AO$29,MATCH(2,1/((Canals!$F$24:$F$29&lt;=$C16)*(Canals!$G$24:$G$29=_xlfn.IFS(KS16="Handysize",Main!NB16,KS16="Supramax",MU16,KS16="Panamax",MN16,KS16="NeoPanamax",MG16,KS16="Suezmax",LZ16,KS16="Capesize",LS16,KS16="VLOC",LL16)))))</f>
        <v>#N/A</v>
      </c>
      <c r="PQ16" s="136" t="e">
        <f t="array" aca="1" ref="PQ16" ca="1">INDEX(Canals!$AP$24:$AP$29,MATCH(2,1/((Canals!$F$24:$F$29&lt;=$C16)*(Canals!$G$24:$G$29=_xlfn.IFS(KS16="Handysize",Main!NB16,KS16="Supramax",MU16,KS16="Panamax",MN16,KS16="NeoPanamax",MG16,KS16="Suezmax",LZ16,KS16="Capesize",LS16,KS16="VLOC",LL16)))))</f>
        <v>#N/A</v>
      </c>
      <c r="PR16" s="136" t="e">
        <f t="array" aca="1" ref="PR16" ca="1">INDEX(Canals!$AQ$24:$AQ$29,MATCH(2,1/((Canals!$F$24:$F$29&lt;=$C16)*(Canals!$G$24:$G$29=_xlfn.IFS(KS16="Handysize",Main!NB16,KS16="Supramax",MU16,KS16="Panamax",MN16,KS16="NeoPanamax",MG16,KS16="Suezmax",LZ16,KS16="Capesize",LS16,KS16="VLOC",LL16)))))</f>
        <v>#N/A</v>
      </c>
      <c r="PS16" s="136" t="e">
        <f t="array" aca="1" ref="PS16" ca="1">INDEX(Canals!$AR$24:$AR$29,MATCH(2,1/((Canals!$F$24:$F$29&lt;=$C16)*(Canals!$G$24:$G$29=_xlfn.IFS(KS16="Handysize",Main!NB16,KS16="Supramax",MU16,KS16="Panamax",MN16,KS16="NeoPanamax",MG16,KS16="Suezmax",LZ16,KS16="Capesize",LS16,KS16="VLOC",LL16)))))</f>
        <v>#N/A</v>
      </c>
      <c r="PT16" s="136" t="e">
        <f t="array" aca="1" ref="PT16" ca="1">INDEX(Canals!$AS$24:$AS$29,MATCH(2,1/((Canals!$F$24:$F$29&lt;=$C16)*(Canals!$G$24:$G$29=_xlfn.IFS(KS16="Handysize",Main!NB16,KS16="Supramax",MU16,KS16="Panamax",MN16,KS16="NeoPanamax",MG16,KS16="Suezmax",LZ16,KS16="Capesize",LS16,KS16="VLOC",LL16)))))</f>
        <v>#N/A</v>
      </c>
      <c r="PU16" s="136" t="e">
        <f t="array" aca="1" ref="PU16" ca="1">INDEX(Canals!$AT$24:$AT$29,MATCH(2,1/((Canals!$F$24:$F$29&lt;=$C16)*(Canals!$G$24:$G$29=_xlfn.IFS(KS16="Handysize",Main!NB16,KS16="Supramax",MU16,KS16="Panamax",MN16,KS16="NeoPanamax",MG16,KS16="Suezmax",LZ16,KS16="Capesize",LS16,KS16="VLOC",LL16)))))</f>
        <v>#N/A</v>
      </c>
      <c r="PV16" s="136" t="e">
        <f t="array" aca="1" ref="PV16" ca="1">INDEX(Canals!$AU$24:$AU$29,MATCH(2,1/((Canals!$F$24:$F$29&lt;=$C16)*(Canals!$G$24:$G$29=_xlfn.IFS(KS16="Handysize",Main!NB16,KS16="Supramax",MU16,KS16="Panamax",MN16,KS16="NeoPanamax",MG16,KS16="Suezmax",LZ16,KS16="Capesize",LS16,KS16="VLOC",LL16)))))</f>
        <v>#N/A</v>
      </c>
      <c r="PW16" s="136" t="e">
        <f t="array" aca="1" ref="PW16" ca="1">INDEX(Canals!$AV$24:$AV$29,MATCH(2,1/((Canals!$F$24:$F$29&lt;=$C16)*(Canals!$G$24:$G$29=_xlfn.IFS(KS16="Handysize",Main!NB16,KS16="Supramax",MU16,KS16="Panamax",MN16,KS16="NeoPanamax",MG16,KS16="Suezmax",LZ16,KS16="Capesize",LS16,KS16="VLOC",LL16)))))</f>
        <v>#N/A</v>
      </c>
      <c r="PY16" s="75" t="e">
        <f t="array" aca="1" ref="PY16" ca="1">_xlfn.IFS(OJ16="DWT",KQ16,OJ16="NRT",KU16,OJ16="GRT",KV16)</f>
        <v>#NAME?</v>
      </c>
      <c r="PZ16" s="279" t="e">
        <f t="shared" ca="1" si="74"/>
        <v>#NAME?</v>
      </c>
      <c r="QA16" s="280" t="e">
        <f t="shared" ca="1" si="75"/>
        <v>#NAME?</v>
      </c>
      <c r="QB16" s="280" t="e">
        <f t="shared" ca="1" si="76"/>
        <v>#NAME?</v>
      </c>
      <c r="QC16" s="280" t="e">
        <f t="shared" ca="1" si="77"/>
        <v>#NAME?</v>
      </c>
      <c r="QD16" s="280" t="e">
        <f t="shared" ca="1" si="78"/>
        <v>#NAME?</v>
      </c>
      <c r="QE16" s="280" t="e">
        <f t="shared" ca="1" si="79"/>
        <v>#NAME?</v>
      </c>
      <c r="QF16" s="280" t="e">
        <f t="shared" ca="1" si="80"/>
        <v>#NAME?</v>
      </c>
      <c r="QG16" s="280" t="e">
        <f t="shared" ca="1" si="81"/>
        <v>#NAME?</v>
      </c>
      <c r="QH16" s="280" t="e">
        <f t="shared" ca="1" si="82"/>
        <v>#NAME?</v>
      </c>
      <c r="QI16" s="75">
        <f t="shared" si="83"/>
        <v>64350</v>
      </c>
      <c r="QJ16" s="279" t="e">
        <f t="shared" ca="1" si="84"/>
        <v>#N/A</v>
      </c>
      <c r="QK16" s="280" t="e">
        <f t="shared" ca="1" si="85"/>
        <v>#N/A</v>
      </c>
      <c r="QL16" s="280" t="e">
        <f t="shared" ca="1" si="86"/>
        <v>#N/A</v>
      </c>
      <c r="QM16" s="280" t="e">
        <f t="shared" ca="1" si="87"/>
        <v>#N/A</v>
      </c>
      <c r="QN16" s="280" t="e">
        <f t="shared" ca="1" si="88"/>
        <v>#N/A</v>
      </c>
      <c r="QO16" s="280" t="e">
        <f t="shared" ca="1" si="89"/>
        <v>#N/A</v>
      </c>
      <c r="QP16" s="280" t="e">
        <f t="shared" ca="1" si="90"/>
        <v>#N/A</v>
      </c>
      <c r="QQ16" s="280" t="e">
        <f t="shared" ca="1" si="91"/>
        <v>#N/A</v>
      </c>
      <c r="QR16" s="280" t="e">
        <f t="shared" ca="1" si="92"/>
        <v>#N/A</v>
      </c>
      <c r="QT16" s="75" t="e">
        <f t="array" aca="1" ref="QT16" ca="1">_xlfn.IFS(KS16="Handysize",Main!MV16,KS16="Supramax",MO16,KS16="Panamax",MH16,KS16="NeoPanamax",MA16,KS16="Suezmax",LT16,KS16="Capesize",LM16,KS16="VLOC",LF16)*$JI16</f>
        <v>#NAME?</v>
      </c>
      <c r="QU16" s="274" t="e">
        <f t="array" aca="1" ref="QU16" ca="1">_xlfn.IFS(KS16="Handysize",Main!MW16,KS16="Supramax",MP16,KS16="Panamax",MI16,KS16="NeoPanamax",MB16,KS16="Suezmax",LU16,KS16="Capesize",LN16,KS16="VLOC",LG16)*$JI16</f>
        <v>#NAME?</v>
      </c>
      <c r="QV16" s="71" t="e">
        <f t="array" aca="1" ref="QV16" ca="1">_xlfn.IFS(KS16="Handysize",Main!KX16,KS16="Supramax",KY16,KS16="Panamax",KZ16,KS16="NeoPanamax",LA16,KS16="Suezmax",LB16,KS16="Capesize",LC16,KS16="VLOC",LD16)</f>
        <v>#NAME?</v>
      </c>
      <c r="QW16" s="71" t="e">
        <f t="array" aca="1" ref="QW16" ca="1">_xlfn.IFS(KS16="Handysize",Main!NJ16,KS16="Supramax",NK16,KS16="Panamax",NL16,KS16="NeoPanamax",NM16,KS16="Suezmax",NN16,KS16="Capesize",NO16,KS16="VLOC",NP16)</f>
        <v>#NAME?</v>
      </c>
      <c r="QX16" s="70">
        <f t="array" ref="QX16">INDEX('Ship Speeds'!$G$11:$G$1011,MATCH(2,1/(('Ship Speeds'!$E$11:$E$1011&lt;=Main!$C16)*('Ship Speeds'!$F$11:$F$1011=Main!KR16))))</f>
        <v>11</v>
      </c>
      <c r="QY16" s="403">
        <f t="shared" si="93"/>
        <v>19.121383221186878</v>
      </c>
      <c r="QZ16" s="401">
        <f t="shared" si="94"/>
        <v>1.9048799999999999</v>
      </c>
      <c r="RA16" s="70" t="e">
        <f t="shared" ca="1" si="95"/>
        <v>#NAME?</v>
      </c>
      <c r="RB16" s="70" t="e">
        <f t="shared" ca="1" si="96"/>
        <v>#NAME?</v>
      </c>
      <c r="RC16" s="70" t="e">
        <f t="shared" ca="1" si="97"/>
        <v>#NAME?</v>
      </c>
      <c r="RD16" s="70" t="e">
        <f t="shared" ca="1" si="98"/>
        <v>#NAME?</v>
      </c>
      <c r="RE16" s="72" t="e">
        <f t="shared" ca="1" si="99"/>
        <v>#N/A</v>
      </c>
      <c r="RF16" s="70" t="e">
        <f t="shared" ca="1" si="100"/>
        <v>#NAME?</v>
      </c>
      <c r="RG16" s="70" t="e">
        <f t="array" aca="1" ref="RG16" ca="1">INDEX(ND16:NH16,MATCH(_xlfn.IFS(KS16="Handysize",Main!MZ16,KS16="Supramax",MS16,KS16="Panamax",ML16,KS16="NeoPanamax",ME16,KS16="Suezmax",LX16,KS16="Capesize",LQ16,KS16="VLOC",LJ16),$ND$7:$NH$7,0))</f>
        <v>#NAME?</v>
      </c>
      <c r="RH16" s="70" t="e">
        <f t="array" aca="1" ref="RH16" ca="1">INDEX(ND16:NH16,MATCH(_xlfn.IFS(KS16="Handysize",Main!NA16,KS16="Supramax",MT16,KS16="Panamax",MM16,KS16="NeoPanamax",MF16,KS16="Suezmax",LY16,KS16="Capesize",LR16,KS16="VLOC",LK16),$ND$7:$NH$7,0))</f>
        <v>#NAME?</v>
      </c>
      <c r="RI16" s="71" t="e">
        <f t="shared" ca="1" si="101"/>
        <v>#NAME?</v>
      </c>
      <c r="RJ16" s="71" t="e">
        <f t="shared" ca="1" si="102"/>
        <v>#NAME?</v>
      </c>
      <c r="RK16" s="281">
        <f t="shared" si="103"/>
        <v>7.0759999999999987</v>
      </c>
      <c r="RL16" s="71">
        <f t="shared" si="104"/>
        <v>1744.2057659694747</v>
      </c>
      <c r="RM16" s="71" t="e">
        <f t="shared" ca="1" si="105"/>
        <v>#NAME?</v>
      </c>
      <c r="RN16" s="71" t="e">
        <f t="shared" ca="1" si="106"/>
        <v>#NAME?</v>
      </c>
      <c r="RO16" s="71">
        <f t="shared" si="107"/>
        <v>24008.479366873944</v>
      </c>
      <c r="RP16" s="71" t="e">
        <f t="shared" ca="1" si="108"/>
        <v>#NAME?</v>
      </c>
      <c r="RQ16" s="71" t="e">
        <f t="shared" ca="1" si="109"/>
        <v>#NAME?</v>
      </c>
      <c r="RR16" s="71">
        <f t="shared" si="110"/>
        <v>17044.733182589036</v>
      </c>
      <c r="RS16" s="71" t="e">
        <f t="shared" ca="1" si="111"/>
        <v>#NAME?</v>
      </c>
      <c r="RT16" s="71" t="e">
        <f t="shared" ca="1" si="112"/>
        <v>#NAME?</v>
      </c>
      <c r="RU16" s="71">
        <f t="shared" si="113"/>
        <v>0</v>
      </c>
      <c r="RV16" s="71" t="e">
        <f t="shared" ca="1" si="114"/>
        <v>#NAME?</v>
      </c>
      <c r="RW16" s="71" t="e">
        <f t="shared" ca="1" si="115"/>
        <v>#NAME?</v>
      </c>
      <c r="RX16" s="72">
        <f t="shared" si="116"/>
        <v>5665.7823629169025</v>
      </c>
      <c r="RY16" s="72" t="e">
        <f t="shared" ca="1" si="117"/>
        <v>#NAME?</v>
      </c>
      <c r="RZ16" s="71" t="e">
        <f t="shared" ca="1" si="118"/>
        <v>#NAME?</v>
      </c>
      <c r="SA16" s="71" t="e">
        <f t="array" aca="1" ref="SA16" ca="1">INDEX('Ship Time Charter Rates'!$H$22:$H$1021,MATCH(2,1/(('Ship Time Charter Rates'!$G$22:$G$1021=_xlfn.IFS(KS16="Handysize",Main!MX16,KS16="Supramax",MQ16,KS16="Panamax",MJ16,KS16="NeoPanamax",MC16,KS16="Suezmax",LV16,KS16="Capesize",LO16,KS16="VLOC",LH16))*('Ship Time Charter Rates'!$E$22:$E$1021&lt;=Main!$C16)*(NOT(ISBLANK('Ship Time Charter Rates'!$H$22:$H$1021))))))</f>
        <v>#N/A</v>
      </c>
      <c r="SB16" s="71" t="e">
        <f t="shared" ca="1" si="119"/>
        <v>#NAME?</v>
      </c>
      <c r="SC16" s="70" t="e">
        <f t="shared" ca="1" si="120"/>
        <v>#N/A</v>
      </c>
      <c r="SD16" s="71" t="e">
        <f t="shared" ca="1" si="121"/>
        <v>#NAME?</v>
      </c>
      <c r="SE16" s="71" t="e">
        <f t="shared" ca="1" si="302"/>
        <v>#NAME?</v>
      </c>
      <c r="SF16" s="72" t="e">
        <f t="shared" ca="1" si="303"/>
        <v>#NAME?</v>
      </c>
      <c r="SH16" s="25">
        <f t="shared" si="321"/>
        <v>0</v>
      </c>
      <c r="SI16" s="4" t="str">
        <f>VLOOKUP(SH16,'Ship Time Charter Rates'!$F$10:$G$17,2,TRUE)</f>
        <v>Handysize</v>
      </c>
      <c r="SJ16" s="4" t="str">
        <f>VLOOKUP(SH16,Canals!$E$5:$F$12,2,TRUE)</f>
        <v>Handysize</v>
      </c>
      <c r="SK16" s="25">
        <f t="shared" si="122"/>
        <v>145.88999999999999</v>
      </c>
      <c r="SL16" s="25">
        <f t="shared" si="123"/>
        <v>0</v>
      </c>
      <c r="SM16" s="25">
        <f t="shared" si="124"/>
        <v>4797</v>
      </c>
      <c r="SO16" s="75">
        <f t="array" ref="SO16">INDEX('Indices Mines Exporting Ports'!$R$20:$R$51,MATCH(2,1/(('Indices Mines Exporting Ports'!$D$20:$D$51&lt;=Main!$C16)*('Indices Mines Exporting Ports'!$Q$20:$Q$51=$AQ16))))</f>
        <v>0</v>
      </c>
      <c r="SP16" s="75">
        <f t="array" ref="SP16">INDEX('Indices Mines Exporting Ports'!$S$20:$S$51,MATCH(2,1/(('Indices Mines Exporting Ports'!$D$20:$D$51&lt;=Main!$C16)*('Indices Mines Exporting Ports'!$Q$20:$Q$51=$AQ16))))</f>
        <v>0</v>
      </c>
      <c r="SQ16" s="75">
        <f t="array" ref="SQ16">INDEX('Indices Mines Exporting Ports'!$T$20:$T$51,MATCH(2,1/(('Indices Mines Exporting Ports'!$D$20:$D$51&lt;=Main!$C16)*('Indices Mines Exporting Ports'!$Q$20:$Q$51=$AQ16))))</f>
        <v>0</v>
      </c>
      <c r="SR16" s="75">
        <f t="array" ref="SR16">INDEX('Indices Mines Exporting Ports'!$U$20:$U$51,MATCH(2,1/(('Indices Mines Exporting Ports'!$D$20:$D$51&lt;=Main!$C16)*('Indices Mines Exporting Ports'!$Q$20:$Q$51=$AQ16))))</f>
        <v>0</v>
      </c>
      <c r="SS16" s="75">
        <f t="array" ref="SS16">INDEX('Indices Mines Exporting Ports'!$V$20:$V$51,MATCH(2,1/(('Indices Mines Exporting Ports'!$D$20:$D$51&lt;=Main!$C16)*('Indices Mines Exporting Ports'!$Q$20:$Q$51=$AQ16))))</f>
        <v>0</v>
      </c>
      <c r="ST16" s="75">
        <f t="array" ref="ST16">INDEX('Indices Mines Exporting Ports'!$W$20:$W$51,MATCH(2,1/(('Indices Mines Exporting Ports'!$D$20:$D$51&lt;=Main!$C16)*('Indices Mines Exporting Ports'!$Q$20:$Q$51=$AQ16))))</f>
        <v>0</v>
      </c>
      <c r="SU16" s="75">
        <f t="array" ref="SU16">INDEX('Indices Mines Exporting Ports'!$X$20:$X$51,MATCH(2,1/(('Indices Mines Exporting Ports'!$D$20:$D$51&lt;=Main!$C16)*('Indices Mines Exporting Ports'!$Q$20:$Q$51=$AQ16))))</f>
        <v>0</v>
      </c>
      <c r="SW16" s="75">
        <f t="array" ref="SW16">INDEX('Port Linkages'!$E$18:$E$157,MATCH(2,1/(('Port Linkages'!$C$18:$C$157=$AQ16)*('Port Linkages'!$D$18:$D$157=IF($AO16="no",$AQ16,$AS16))*('Port Linkages'!$A$18:$A$157&lt;=$C16))))</f>
        <v>0</v>
      </c>
      <c r="SX16" s="75">
        <f t="array" ref="SX16">INDEX('Port Linkages'!$F$18:$F$157,MATCH(2,1/(('Port Linkages'!$C$18:$C$157=$AQ16)*('Port Linkages'!$D$18:$D$157=IF($AO16="no",$AQ16,$AS16))*('Port Linkages'!$A$18:$A$157&lt;=$C16))))</f>
        <v>0</v>
      </c>
      <c r="SY16" s="75">
        <f t="array" ref="SY16">INDEX('Port Linkages'!$G$18:$G$157,MATCH(2,1/(('Port Linkages'!$C$18:$C$157=$AQ16)*('Port Linkages'!$D$18:$D$157=IF($AO16="no",$AQ16,$AS16))*('Port Linkages'!$A$18:$A$157&lt;=$C16))))</f>
        <v>0</v>
      </c>
      <c r="SZ16" s="75">
        <f t="array" ref="SZ16">INDEX('Port Linkages'!$H$18:$H$157,MATCH(2,1/(('Port Linkages'!$C$18:$C$157=$AQ16)*('Port Linkages'!$D$18:$D$157=IF($AO16="no",$AQ16,$AS16))*('Port Linkages'!$A$18:$A$157&lt;=$C16))))</f>
        <v>0</v>
      </c>
      <c r="TA16" s="75">
        <f t="array" ref="TA16">INDEX('Port Linkages'!$I$18:$I$157,MATCH(2,1/(('Port Linkages'!$C$18:$C$157=$AQ16)*('Port Linkages'!$D$18:$D$157=IF($AO16="no",$AQ16,$AS16))*('Port Linkages'!$A$18:$A$157&lt;=$C16))))</f>
        <v>0</v>
      </c>
      <c r="TB16" s="75">
        <f t="array" ref="TB16">INDEX('Port Linkages'!$J$18:$J$157,MATCH(2,1/(('Port Linkages'!$C$18:$C$157=$AQ16)*('Port Linkages'!$D$18:$D$157=IF($AO16="no",$AQ16,$AS16))*('Port Linkages'!$A$18:$A$157&lt;=$C16))))</f>
        <v>0</v>
      </c>
      <c r="TC16" s="75">
        <f t="array" ref="TC16">INDEX('Port Linkages'!$K$18:$K$157,MATCH(2,1/(('Port Linkages'!$C$18:$C$157=$AQ16)*('Port Linkages'!$D$18:$D$157=IF($AO16="no",$AQ16,$AS16))*('Port Linkages'!$A$18:$A$157&lt;=$C16))))</f>
        <v>0</v>
      </c>
      <c r="TD16" s="75">
        <f t="array" ref="TD16">INDEX('Port Linkages'!$L$18:$L$157,MATCH(2,1/(('Port Linkages'!$C$18:$C$157=$AQ16)*('Port Linkages'!$D$18:$D$157=IF($AO16="no",$AQ16,$AS16))*('Port Linkages'!$A$18:$A$157&lt;=$C16))))</f>
        <v>0</v>
      </c>
      <c r="TE16" s="75">
        <f t="array" ref="TE16">INDEX('Port Linkages'!$M$18:$M$157,MATCH(2,1/(('Port Linkages'!$C$18:$C$157=$AQ16)*('Port Linkages'!$D$18:$D$157=IF($AO16="no",$AQ16,$AS16))*('Port Linkages'!$A$18:$A$157&lt;=$C16))))</f>
        <v>0</v>
      </c>
      <c r="TF16" s="75">
        <f t="array" ref="TF16">INDEX('Port Linkages'!$N$18:$N$157,MATCH(2,1/(('Port Linkages'!$C$18:$C$157=$AQ16)*('Port Linkages'!$D$18:$D$157=IF($AO16="no",$AQ16,$AS16))*('Port Linkages'!$A$18:$A$157&lt;=$C16))))</f>
        <v>0</v>
      </c>
      <c r="TG16" s="75">
        <f t="array" ref="TG16">INDEX('Port Linkages'!$O$18:$O$157,MATCH(2,1/(('Port Linkages'!$C$18:$C$157=$AQ16)*('Port Linkages'!$D$18:$D$157=IF($AO16="no",$AQ16,$AS16))*('Port Linkages'!$A$18:$A$157&lt;=$C16))))</f>
        <v>0</v>
      </c>
      <c r="TH16" s="75">
        <f t="array" ref="TH16">INDEX('Port Linkages'!$P$18:$P$157,MATCH(2,1/(('Port Linkages'!$C$18:$C$157=$AQ16)*('Port Linkages'!$D$18:$D$157=IF($AO16="no",$AQ16,$AS16))*('Port Linkages'!$A$18:$A$157&lt;=$C16))))</f>
        <v>0</v>
      </c>
      <c r="TI16" s="75">
        <f t="array" ref="TI16">INDEX('Port Linkages'!$Q$18:$Q$157,MATCH(2,1/(('Port Linkages'!$C$18:$C$157=$AQ16)*('Port Linkages'!$D$18:$D$157=IF($AO16="no",$AQ16,$AS16))*('Port Linkages'!$A$18:$A$157&lt;=$C16))))</f>
        <v>0</v>
      </c>
      <c r="TJ16" s="75">
        <f t="array" ref="TJ16">INDEX('Port Linkages'!$R$18:$R$157,MATCH(2,1/(('Port Linkages'!$C$18:$C$157=$AQ16)*('Port Linkages'!$D$18:$D$157=IF($AO16="no",$AQ16,$AS16))*('Port Linkages'!$A$18:$A$157&lt;=$C16))))</f>
        <v>0</v>
      </c>
      <c r="TK16" s="75">
        <f t="array" ref="TK16">INDEX('Port Linkages'!$S$18:$S$157,MATCH(2,1/(('Port Linkages'!$C$18:$C$157=$AQ16)*('Port Linkages'!$D$18:$D$157=IF($AO16="no",$AQ16,$AS16))*('Port Linkages'!$A$18:$A$157&lt;=$C16))))</f>
        <v>0</v>
      </c>
      <c r="TL16" s="75">
        <f t="array" ref="TL16">INDEX('Port Linkages'!$T$18:$T$157,MATCH(2,1/(('Port Linkages'!$C$18:$C$157=$AQ16)*('Port Linkages'!$D$18:$D$157=IF($AO16="no",$AQ16,$AS16))*('Port Linkages'!$A$18:$A$157&lt;=$C16))))</f>
        <v>0</v>
      </c>
      <c r="TM16" s="75">
        <f t="array" ref="TM16">INDEX('Port Linkages'!$U$18:$U$157,MATCH(2,1/(('Port Linkages'!$C$18:$C$157=$AQ16)*('Port Linkages'!$D$18:$D$157=IF($AO16="no",$AQ16,$AS16))*('Port Linkages'!$A$18:$A$157&lt;=$C16))))</f>
        <v>0</v>
      </c>
      <c r="TN16" s="75">
        <f t="array" ref="TN16">INDEX('Port Linkages'!$V$18:$V$157,MATCH(2,1/(('Port Linkages'!$C$18:$C$157=$AQ16)*('Port Linkages'!$D$18:$D$157=IF($AO16="no",$AQ16,$AS16))*('Port Linkages'!$A$18:$A$157&lt;=$C16))))</f>
        <v>0</v>
      </c>
      <c r="TO16" s="75">
        <f t="array" ref="TO16">INDEX('Port Linkages'!$W$18:$W$157,MATCH(2,1/(('Port Linkages'!$C$18:$C$157=$AQ16)*('Port Linkages'!$D$18:$D$157=IF($AO16="no",$AQ16,$AS16))*('Port Linkages'!$A$18:$A$157&lt;=$C16))))</f>
        <v>0</v>
      </c>
      <c r="TP16" s="75">
        <f t="array" ref="TP16">INDEX('Port Linkages'!$X$18:$X$157,MATCH(2,1/(('Port Linkages'!$C$18:$C$157=$AQ16)*('Port Linkages'!$D$18:$D$157=IF($AO16="no",$AQ16,$AS16))*('Port Linkages'!$A$18:$A$157&lt;=$C16))))</f>
        <v>0</v>
      </c>
      <c r="TQ16" s="75">
        <f t="array" ref="TQ16">INDEX('Port Linkages'!$Y$18:$Y$157,MATCH(2,1/(('Port Linkages'!$C$18:$C$157=$AQ16)*('Port Linkages'!$D$18:$D$157=IF($AO16="no",$AQ16,$AS16))*('Port Linkages'!$A$18:$A$157&lt;=$C16))))</f>
        <v>0</v>
      </c>
      <c r="TR16" s="75">
        <f t="array" ref="TR16">INDEX('Port Linkages'!$Z$18:$Z$157,MATCH(2,1/(('Port Linkages'!$C$18:$C$157=$AQ16)*('Port Linkages'!$D$18:$D$157=IF($AO16="no",$AQ16,$AS16))*('Port Linkages'!$A$18:$A$157&lt;=$C16))))</f>
        <v>0</v>
      </c>
      <c r="TS16" s="75">
        <f t="array" ref="TS16">INDEX('Port Linkages'!$AA$18:$AA$157,MATCH(2,1/(('Port Linkages'!$C$18:$C$157=$AQ16)*('Port Linkages'!$D$18:$D$157=IF($AO16="no",$AQ16,$AS16))*('Port Linkages'!$A$18:$A$157&lt;=$C16))))</f>
        <v>0</v>
      </c>
      <c r="TT16" s="75">
        <f t="array" ref="TT16">INDEX('Port Linkages'!$AB$18:$AB$157,MATCH(2,1/(('Port Linkages'!$C$18:$C$157=$AQ16)*('Port Linkages'!$D$18:$D$157=IF($AO16="no",$AQ16,$AS16))*('Port Linkages'!$A$18:$A$157&lt;=$C16))))</f>
        <v>0</v>
      </c>
      <c r="TU16" s="75">
        <f t="array" ref="TU16">INDEX('Port Linkages'!$AC$18:$AC$157,MATCH(2,1/(('Port Linkages'!$C$18:$C$157=$AQ16)*('Port Linkages'!$D$18:$D$157=IF($AO16="no",$AQ16,$AS16))*('Port Linkages'!$A$18:$A$157&lt;=$C16))))</f>
        <v>0</v>
      </c>
      <c r="TV16" s="75">
        <f t="array" ref="TV16">INDEX('Port Linkages'!$AD$18:$AD$157,MATCH(2,1/(('Port Linkages'!$C$18:$C$157=$AQ16)*('Port Linkages'!$D$18:$D$157=IF($AO16="no",$AQ16,$AS16))*('Port Linkages'!$A$18:$A$157&lt;=$C16))))</f>
        <v>0</v>
      </c>
      <c r="TW16" s="75">
        <f t="array" ref="TW16">INDEX('Port Linkages'!$AE$18:$AE$157,MATCH(2,1/(('Port Linkages'!$C$18:$C$157=$AQ16)*('Port Linkages'!$D$18:$D$157=IF($AO16="no",$AQ16,$AS16))*('Port Linkages'!$A$18:$A$157&lt;=$C16))))</f>
        <v>0</v>
      </c>
      <c r="TX16" s="75">
        <f t="array" ref="TX16">INDEX('Port Linkages'!$AF$18:$AF$157,MATCH(2,1/(('Port Linkages'!$C$18:$C$157=$AQ16)*('Port Linkages'!$D$18:$D$157=IF($AO16="no",$AQ16,$AS16))*('Port Linkages'!$A$18:$A$157&lt;=$C16))))</f>
        <v>0</v>
      </c>
      <c r="TY16" s="75">
        <f t="array" ref="TY16">INDEX('Port Linkages'!$AG$18:$AG$157,MATCH(2,1/(('Port Linkages'!$C$18:$C$157=$AQ16)*('Port Linkages'!$D$18:$D$157=IF($AO16="no",$AQ16,$AS16))*('Port Linkages'!$A$18:$A$157&lt;=$C16))))</f>
        <v>0</v>
      </c>
      <c r="TZ16" s="75">
        <f t="array" ref="TZ16">INDEX('Port Linkages'!$AH$18:$AH$157,MATCH(2,1/(('Port Linkages'!$C$18:$C$157=$AQ16)*('Port Linkages'!$D$18:$D$157=IF($AO16="no",$AQ16,$AS16))*('Port Linkages'!$A$18:$A$157&lt;=$C16))))</f>
        <v>0</v>
      </c>
      <c r="UA16" s="75">
        <f t="array" ref="UA16">INDEX('Port Linkages'!$AI$18:$AI$157,MATCH(2,1/(('Port Linkages'!$C$18:$C$157=$AQ16)*('Port Linkages'!$D$18:$D$157=IF($AO16="no",$AQ16,$AS16))*('Port Linkages'!$A$18:$A$157&lt;=$C16))))</f>
        <v>0</v>
      </c>
      <c r="UB16" s="75">
        <f t="array" ref="UB16">INDEX('Port Linkages'!$AJ$18:$AJ$157,MATCH(2,1/(('Port Linkages'!$C$18:$C$157=$AQ16)*('Port Linkages'!$D$18:$D$157=IF($AO16="no",$AQ16,$AS16))*('Port Linkages'!$A$18:$A$157&lt;=$C16))))</f>
        <v>0</v>
      </c>
      <c r="UC16" s="75">
        <f t="array" ref="UC16">INDEX('Port Linkages'!$AK$18:$AK$157,MATCH(2,1/(('Port Linkages'!$C$18:$C$157=$AQ16)*('Port Linkages'!$D$18:$D$157=IF($AO16="no",$AQ16,$AS16))*('Port Linkages'!$A$18:$A$157&lt;=$C16))))</f>
        <v>0</v>
      </c>
      <c r="UD16" s="75">
        <f t="array" ref="UD16">INDEX('Port Linkages'!$AL$18:$AL$157,MATCH(2,1/(('Port Linkages'!$C$18:$C$157=$AQ16)*('Port Linkages'!$D$18:$D$157=IF($AO16="no",$AQ16,$AS16))*('Port Linkages'!$A$18:$A$157&lt;=$C16))))</f>
        <v>0</v>
      </c>
      <c r="UE16" s="75">
        <f t="array" ref="UE16">INDEX('Port Linkages'!$AM$18:$AM$157,MATCH(2,1/(('Port Linkages'!$C$18:$C$157=$AQ16)*('Port Linkages'!$D$18:$D$157=IF($AO16="no",$AQ16,$AS16))*('Port Linkages'!$A$18:$A$157&lt;=$C16))))</f>
        <v>0</v>
      </c>
      <c r="UF16" s="75">
        <f t="array" ref="UF16">INDEX('Port Linkages'!$AN$18:$AN$157,MATCH(2,1/(('Port Linkages'!$C$18:$C$157=$AQ16)*('Port Linkages'!$D$18:$D$157=IF($AO16="no",$AQ16,$AS16))*('Port Linkages'!$A$18:$A$157&lt;=$C16))))</f>
        <v>0</v>
      </c>
      <c r="UG16" s="75">
        <f t="array" ref="UG16">INDEX('Port Linkages'!$AO$18:$AO$157,MATCH(2,1/(('Port Linkages'!$C$18:$C$157=$AQ16)*('Port Linkages'!$D$18:$D$157=IF($AO16="no",$AQ16,$AS16))*('Port Linkages'!$A$18:$A$157&lt;=$C16))))</f>
        <v>0</v>
      </c>
      <c r="UH16" s="75">
        <f t="array" ref="UH16">INDEX('Port Linkages'!$AP$18:$AP$157,MATCH(2,1/(('Port Linkages'!$C$18:$C$157=$AQ16)*('Port Linkages'!$D$18:$D$157=IF($AO16="no",$AQ16,$AS16))*('Port Linkages'!$A$18:$A$157&lt;=$C16))))</f>
        <v>0</v>
      </c>
      <c r="UI16" s="75">
        <f t="array" ref="UI16">INDEX('Port Linkages'!$AQ$18:$AQ$157,MATCH(2,1/(('Port Linkages'!$C$18:$C$157=$AQ16)*('Port Linkages'!$D$18:$D$157=IF($AO16="no",$AQ16,$AS16))*('Port Linkages'!$A$18:$A$157&lt;=$C16))))</f>
        <v>0</v>
      </c>
      <c r="UJ16" s="75">
        <f t="array" ref="UJ16">INDEX('Port Linkages'!$AR$18:$AR$157,MATCH(2,1/(('Port Linkages'!$C$18:$C$157=$AQ16)*('Port Linkages'!$D$18:$D$157=IF($AO16="no",$AQ16,$AS16))*('Port Linkages'!$A$18:$A$157&lt;=$C16))))</f>
        <v>0</v>
      </c>
      <c r="UK16" s="75">
        <f t="array" ref="UK16">INDEX('Port Linkages'!$AS$18:$AS$157,MATCH(2,1/(('Port Linkages'!$C$18:$C$157=$AQ16)*('Port Linkages'!$D$18:$D$157=IF($AO16="no",$AQ16,$AS16))*('Port Linkages'!$A$18:$A$157&lt;=$C16))))</f>
        <v>0</v>
      </c>
      <c r="UL16" s="75">
        <f t="array" ref="UL16">INDEX('Port Linkages'!$AT$18:$AT$157,MATCH(2,1/(('Port Linkages'!$C$18:$C$157=$AQ16)*('Port Linkages'!$D$18:$D$157=IF($AO16="no",$AQ16,$AS16))*('Port Linkages'!$A$18:$A$157&lt;=$C16))))</f>
        <v>0</v>
      </c>
      <c r="UM16" s="75">
        <f t="array" ref="UM16">INDEX('Port Linkages'!$AU$18:$AU$157,MATCH(2,1/(('Port Linkages'!$C$18:$C$157=$AQ16)*('Port Linkages'!$D$18:$D$157=IF($AO16="no",$AQ16,$AS16))*('Port Linkages'!$A$18:$A$157&lt;=$C16))))</f>
        <v>0</v>
      </c>
      <c r="UN16" s="75">
        <f t="array" ref="UN16">INDEX('Port Linkages'!$AV$18:$AV$157,MATCH(2,1/(('Port Linkages'!$C$18:$C$157=$AQ16)*('Port Linkages'!$D$18:$D$157=IF($AO16="no",$AQ16,$AS16))*('Port Linkages'!$A$18:$A$157&lt;=$C16))))</f>
        <v>0</v>
      </c>
      <c r="UO16" s="75">
        <f t="array" ref="UO16">INDEX('Port Linkages'!$AW$18:$AW$157,MATCH(2,1/(('Port Linkages'!$C$18:$C$157=$AQ16)*('Port Linkages'!$D$18:$D$157=IF($AO16="no",$AQ16,$AS16))*('Port Linkages'!$A$18:$A$157&lt;=$C16))))</f>
        <v>0</v>
      </c>
      <c r="UP16" s="75">
        <f t="array" ref="UP16">INDEX('Port Linkages'!$AX$18:$AX$157,MATCH(2,1/(('Port Linkages'!$C$18:$C$157=$AQ16)*('Port Linkages'!$D$18:$D$157=IF($AO16="no",$AQ16,$AS16))*('Port Linkages'!$A$18:$A$157&lt;=$C16))))</f>
        <v>0</v>
      </c>
      <c r="UQ16" s="75">
        <f t="array" ref="UQ16">INDEX('Port Linkages'!$AY$18:$AY$157,MATCH(2,1/(('Port Linkages'!$C$18:$C$157=$AQ16)*('Port Linkages'!$D$18:$D$157=IF($AO16="no",$AQ16,$AS16))*('Port Linkages'!$A$18:$A$157&lt;=$C16))))</f>
        <v>0</v>
      </c>
      <c r="UR16" s="75">
        <f t="array" ref="UR16">INDEX('Port Linkages'!$AZ$18:$AZ$157,MATCH(2,1/(('Port Linkages'!$C$18:$C$157=$AQ16)*('Port Linkages'!$D$18:$D$157=IF($AO16="no",$AQ16,$AS16))*('Port Linkages'!$A$18:$A$157&lt;=$C16))))</f>
        <v>0</v>
      </c>
      <c r="US16" s="75">
        <f t="array" ref="US16">INDEX('Port Linkages'!$BA$18:$BA$157,MATCH(2,1/(('Port Linkages'!$C$18:$C$157=$AQ16)*('Port Linkages'!$D$18:$D$157=IF($AO16="no",$AQ16,$AS16))*('Port Linkages'!$A$18:$A$157&lt;=$C16))))</f>
        <v>0</v>
      </c>
      <c r="UU16" s="25" t="e">
        <f t="array" aca="1" ref="UU16" ca="1">INDEX('Ship Fuel Prices'!$F$5:$F$1004,MATCH(2,1/(('Ship Fuel Prices'!$E$5:$E$1004=_xlfn.IFS(SJ16="Handysize",Main!UP16,SJ16="Supramax",UI16,SJ16="Panamax",UB16,SJ16="NeoPanamax",TU16,SJ16="Suezmax",TN16,SJ16="Capesize",TG16,SJ16="VLOC",SZ16))*('Ship Fuel Prices'!$D$5:$D$1004&lt;=Main!$C16))))</f>
        <v>#N/A</v>
      </c>
      <c r="UV16" s="25" t="e">
        <f t="array" aca="1" ref="UV16" ca="1">INDEX('Ship Fuel Prices'!$G$5:$G$1004,MATCH(2,1/(('Ship Fuel Prices'!$E$5:$E$1004=_xlfn.IFS(SJ16="Handysize",Main!UP16,SJ16="Supramax",UI16,SJ16="Panamax",UB16,SJ16="NeoPanamax",TU16,SJ16="Suezmax",TN16,SJ16="Capesize",TG16,SJ16="VLOC",SZ16))*('Ship Fuel Prices'!$D$5:$D$1004&lt;=Main!$C16))))</f>
        <v>#N/A</v>
      </c>
      <c r="UW16" s="25" t="e">
        <f t="array" aca="1" ref="UW16" ca="1">INDEX('Ship Fuel Prices'!$H$5:$H$1004,MATCH(2,1/(('Ship Fuel Prices'!$E$5:$E$1004=_xlfn.IFS(SJ16="Handysize",Main!UP16,SJ16="Supramax",UI16,SJ16="Panamax",UB16,SJ16="NeoPanamax",TU16,SJ16="Suezmax",TN16,SJ16="Capesize",TG16,SJ16="VLOC",SZ16))*('Ship Fuel Prices'!$D$5:$D$1004&lt;=Main!$C16))))</f>
        <v>#N/A</v>
      </c>
      <c r="UX16" s="25" t="e">
        <f t="array" aca="1" ref="UX16" ca="1">INDEX('Ship Fuel Prices'!$I$5:$I$1004,MATCH(2,1/(('Ship Fuel Prices'!$E$5:$E$1004=_xlfn.IFS(SJ16="Handysize",Main!UP16,SJ16="Supramax",UI16,SJ16="Panamax",UB16,SJ16="NeoPanamax",TU16,SJ16="Suezmax",TN16,SJ16="Capesize",TG16,SJ16="VLOC",SZ16))*('Ship Fuel Prices'!$D$5:$D$1004&lt;=Main!$C16))))</f>
        <v>#N/A</v>
      </c>
      <c r="UY16" s="25" t="e">
        <f t="array" aca="1" ref="UY16" ca="1">INDEX('Ship Fuel Prices'!$J$5:$J$1004,MATCH(2,1/(('Ship Fuel Prices'!$E$5:$E$1004=_xlfn.IFS(SJ16="Handysize",Main!UP16,SJ16="Supramax",UI16,SJ16="Panamax",UB16,SJ16="NeoPanamax",TU16,SJ16="Suezmax",TN16,SJ16="Capesize",TG16,SJ16="VLOC",SZ16))*('Ship Fuel Prices'!$D$5:$D$1004&lt;=Main!$C16))))</f>
        <v>#N/A</v>
      </c>
      <c r="VA16" s="75">
        <f t="array" ref="VA16">INDEX('China n Importing Ports'!$E$20:$E$41,MATCH(2,1/(('China n Importing Ports'!$D$20:$D$41&lt;=$C16)*('China n Importing Ports'!$C$20:$C$41=IF($AO16="No",$AQ16,$AS16)))))</f>
        <v>0</v>
      </c>
      <c r="VB16" s="75">
        <f t="array" ref="VB16">INDEX('China n Importing Ports'!$F$20:$F$41,MATCH(2,1/(('China n Importing Ports'!$D$20:$D$41&lt;=$C16)*('China n Importing Ports'!$C$20:$C$41=IF($AO16="No",$AQ16,$AS16)))))</f>
        <v>0</v>
      </c>
      <c r="VC16" s="75">
        <f t="array" ref="VC16">INDEX('China n Importing Ports'!$G$20:$G$41,MATCH(2,1/(('China n Importing Ports'!$D$20:$D$41&lt;=$C16)*('China n Importing Ports'!$C$20:$C$41=IF($AO16="No",$AQ16,$AS16)))))</f>
        <v>0</v>
      </c>
      <c r="VD16" s="75">
        <f t="array" ref="VD16">INDEX('China n Importing Ports'!$H$20:$H$41,MATCH(2,1/(('China n Importing Ports'!$D$20:$D$41&lt;=$C16)*('China n Importing Ports'!$C$20:$C$41=IF($AO16="No",$AQ16,$AS16)))))</f>
        <v>0</v>
      </c>
      <c r="VE16" s="75">
        <f t="array" ref="VE16">INDEX('China n Importing Ports'!$I$20:$I$41,MATCH(2,1/(('China n Importing Ports'!$D$20:$D$41&lt;=$C16)*('China n Importing Ports'!$C$20:$C$41=IF($AO16="No",$AQ16,$AS16)))))</f>
        <v>0</v>
      </c>
      <c r="VF16" s="75">
        <f t="array" ref="VF16">INDEX('China n Importing Ports'!$J$20:$J$41,MATCH(2,1/(('China n Importing Ports'!$D$20:$D$41&lt;=$C16)*('China n Importing Ports'!$C$20:$C$41=IF($AO16="No",$AQ16,$AS16)))))</f>
        <v>0</v>
      </c>
      <c r="VG16" s="75">
        <f t="array" ref="VG16">INDEX('China n Importing Ports'!$K$20:$K$41,MATCH(2,1/(('China n Importing Ports'!$D$20:$D$41&lt;=$C16)*('China n Importing Ports'!$C$20:$C$41=IF($AO16="No",$AQ16,$AS16)))))</f>
        <v>0</v>
      </c>
      <c r="VH16" s="75">
        <f t="array" ref="VH16">INDEX('China n Importing Ports'!$L$20:$L$41,MATCH(2,1/(('China n Importing Ports'!$D$20:$D$41&lt;=$C16)*('China n Importing Ports'!$C$20:$C$41=IF($AO16="No",$AQ16,$AS16)))))</f>
        <v>0</v>
      </c>
      <c r="VI16" s="75">
        <f t="array" ref="VI16">INDEX('China n Importing Ports'!$M$20:$M$41,MATCH(2,1/(('China n Importing Ports'!$D$20:$D$41&lt;=$C16)*('China n Importing Ports'!$C$20:$C$41=IF($AO16="No",$AQ16,$AS16)))))</f>
        <v>0</v>
      </c>
      <c r="VJ16" s="75">
        <f t="array" ref="VJ16">INDEX('China n Importing Ports'!$N$20:$N$41,MATCH(2,1/(('China n Importing Ports'!$D$20:$D$41&lt;=$C16)*('China n Importing Ports'!$C$20:$C$41=IF($AO16="No",$AQ16,$AS16)))))</f>
        <v>0</v>
      </c>
      <c r="VK16" s="75">
        <f t="array" ref="VK16">INDEX('China n Importing Ports'!$O$20:$O$41,MATCH(2,1/(('China n Importing Ports'!$D$20:$D$41&lt;=$C16)*('China n Importing Ports'!$C$20:$C$41=IF($AO16="No",$AQ16,$AS16)))))</f>
        <v>0</v>
      </c>
      <c r="VL16" s="136">
        <f t="array" ref="VL16">INDEX('China n Importing Ports'!$P$20:$P$41,MATCH(2,1/(('China n Importing Ports'!$D$20:$D$41&lt;=$C16)*('China n Importing Ports'!$C$20:$C$41=IF($AO16="No",$AQ16,$AS16)))))</f>
        <v>0</v>
      </c>
      <c r="VM16" s="136">
        <f t="array" ref="VM16">INDEX('China n Importing Ports'!$Q$20:$Q$41,MATCH(2,1/(('China n Importing Ports'!$D$20:$D$41&lt;=$C16)*('China n Importing Ports'!$C$20:$C$41=IF($AO16="No",$AQ16,$AS16)))))</f>
        <v>0</v>
      </c>
      <c r="VN16" s="136">
        <f t="array" ref="VN16">INDEX('China n Importing Ports'!$R$20:$R$41,MATCH(2,1/(('China n Importing Ports'!$D$20:$D$41&lt;=$C16)*('China n Importing Ports'!$C$20:$C$41=IF($AO16="No",$AQ16,$AS16)))))</f>
        <v>0</v>
      </c>
      <c r="VO16" s="136">
        <f t="array" ref="VO16">INDEX('China n Importing Ports'!$S$20:$S$41,MATCH(2,1/(('China n Importing Ports'!$D$20:$D$41&lt;=$C16)*('China n Importing Ports'!$C$20:$C$41=IF($AO16="No",$AQ16,$AS16)))))</f>
        <v>0</v>
      </c>
      <c r="VP16" s="136">
        <f t="array" ref="VP16">INDEX('China n Importing Ports'!$T$20:$T$41,MATCH(2,1/(('China n Importing Ports'!$D$20:$D$41&lt;=$C16)*('China n Importing Ports'!$C$20:$C$41=IF($AO16="No",$AQ16,$AS16)))))</f>
        <v>0</v>
      </c>
      <c r="VQ16" s="136">
        <f t="array" ref="VQ16">INDEX('China n Importing Ports'!$U$20:$U$41,MATCH(2,1/(('China n Importing Ports'!$D$20:$D$41&lt;=$C16)*('China n Importing Ports'!$C$20:$C$41=IF($AO16="No",$AQ16,$AS16)))))</f>
        <v>0</v>
      </c>
      <c r="VR16" s="136">
        <f t="array" ref="VR16">INDEX('China n Importing Ports'!$V$20:$V$41,MATCH(2,1/(('China n Importing Ports'!$D$20:$D$41&lt;=$C16)*('China n Importing Ports'!$C$20:$C$41=IF($AO16="No",$AQ16,$AS16)))))</f>
        <v>0</v>
      </c>
      <c r="VS16" s="136">
        <f t="array" ref="VS16">INDEX('China n Importing Ports'!$W$20:$W$41,MATCH(2,1/(('China n Importing Ports'!$D$20:$D$41&lt;=$C16)*('China n Importing Ports'!$C$20:$C$41=IF($AO16="No",$AQ16,$AS16)))))</f>
        <v>0</v>
      </c>
      <c r="VT16" s="136">
        <f t="array" ref="VT16">INDEX('China n Importing Ports'!$X$20:$X$41,MATCH(2,1/(('China n Importing Ports'!$D$20:$D$41&lt;=$C16)*('China n Importing Ports'!$C$20:$C$41=IF($AO16="No",$AQ16,$AS16)))))</f>
        <v>0</v>
      </c>
      <c r="VU16" s="136">
        <f t="array" ref="VU16">INDEX('China n Importing Ports'!$Y$20:$Y$41,MATCH(2,1/(('China n Importing Ports'!$D$20:$D$41&lt;=$C16)*('China n Importing Ports'!$C$20:$C$41=IF($AO16="No",$AQ16,$AS16)))))</f>
        <v>0</v>
      </c>
      <c r="VV16" s="136">
        <f t="array" ref="VV16">INDEX('China n Importing Ports'!$Z$20:$Z$41,MATCH(2,1/(('China n Importing Ports'!$D$20:$D$41&lt;=$C16)*('China n Importing Ports'!$C$20:$C$41=IF($AO16="No",$AQ16,$AS16)))))</f>
        <v>0</v>
      </c>
      <c r="VW16" s="136">
        <f t="array" ref="VW16">INDEX('China n Importing Ports'!$AA$20:$AA$41,MATCH(2,1/(('China n Importing Ports'!$D$20:$D$41&lt;=$C16)*('China n Importing Ports'!$C$20:$C$41=IF($AO16="No",$AQ16,$AS16)))))</f>
        <v>0</v>
      </c>
      <c r="VY16" s="75" t="e">
        <f t="array" aca="1" ref="VY16" ca="1">INDEX(Canals!$G$24:$G$29,MATCH(2,1/((Canals!$F$24:$F$29&lt;=$C16)*(Canals!$G$24:$G$29=_xlfn.IFS(SJ16="Handysize",US16,SJ16="Supramax",UL16,SJ16="Panamax",UE16,SJ16="NeoPanamax",TX16,SJ16="Suezmax",TQ16,SJ16="Capesize",TJ16,SJ16="VLOC",TC16)))))</f>
        <v>#N/A</v>
      </c>
      <c r="VZ16" s="75" t="e">
        <f t="array" aca="1" ref="VZ16" ca="1">INDEX(Canals!$H$24:$H$29,MATCH(2,1/((Canals!$F$24:$F$29&lt;=$C16)*(Canals!$G$24:$G$29=_xlfn.IFS(SJ16="Handysize",US16,SJ16="Supramax",UL16,SJ16="Panamax",UE16,SJ16="NeoPanamax",TX16,SJ16="Suezmax",TQ16,SJ16="Capesize",TJ16,SJ16="VLOC",TC16)))))</f>
        <v>#N/A</v>
      </c>
      <c r="WA16" s="75" t="e">
        <f t="array" aca="1" ref="WA16" ca="1">INDEX(Canals!$I$24:$I$29,MATCH(2,1/((Canals!$F$24:$F$29&lt;=$C16)*(Canals!$G$24:$G$29=_xlfn.IFS(SJ16="Handysize",US16,SJ16="Supramax",UL16,SJ16="Panamax",UE16,SJ16="NeoPanamax",TX16,SJ16="Suezmax",TQ16,SJ16="Capesize",TJ16,SJ16="VLOC",TC16)))))</f>
        <v>#N/A</v>
      </c>
      <c r="WB16" s="75" t="e">
        <f t="array" aca="1" ref="WB16" ca="1">INDEX(Canals!$J$24:$J$29,MATCH(2,1/((Canals!$F$24:$F$29&lt;=$C16)*(Canals!$G$24:$G$29=_xlfn.IFS(SJ16="Handysize",Main!US16,SJ16="Supramax",UL16,SJ16="Panamax",UE16,SJ16="NeoPanamax",TX16,SJ16="Suezmax",TQ16,SJ16="Capesize",TJ16,SJ16="VLOC",TC16)))))</f>
        <v>#N/A</v>
      </c>
      <c r="WC16" s="75" t="e">
        <f t="array" aca="1" ref="WC16" ca="1">INDEX(Canals!$K$24:$K$29,MATCH(2,1/((Canals!$F$24:$F$29&lt;=$C16)*(Canals!$G$24:$G$29=_xlfn.IFS(SJ16="Handysize",Main!US16,SJ16="Supramax",UL16,SJ16="Panamax",UE16,SJ16="NeoPanamax",TX16,SJ16="Suezmax",TQ16,SJ16="Capesize",TJ16,SJ16="VLOC",TC16)))))</f>
        <v>#N/A</v>
      </c>
      <c r="WD16" s="75" t="e">
        <f t="array" aca="1" ref="WD16" ca="1">INDEX(Canals!$L$24:$L$29,MATCH(2,1/((Canals!$F$24:$F$29&lt;=$C16)*(Canals!$G$24:$G$29=_xlfn.IFS(SJ16="Handysize",Main!US16,SJ16="Supramax",UL16,SJ16="Panamax",UE16,SJ16="NeoPanamax",TX16,SJ16="Suezmax",TQ16,SJ16="Capesize",TJ16,SJ16="VLOC",TC16)))))</f>
        <v>#N/A</v>
      </c>
      <c r="WE16" s="75" t="e">
        <f t="array" aca="1" ref="WE16" ca="1">INDEX(Canals!$M$24:$M$29,MATCH(2,1/((Canals!$F$24:$F$29&lt;=$C16)*(Canals!$G$24:$G$29=_xlfn.IFS(SJ16="Handysize",Main!US16,SJ16="Supramax",UL16,SJ16="Panamax",UE16,SJ16="NeoPanamax",TX16,SJ16="Suezmax",TQ16,SJ16="Capesize",TJ16,SJ16="VLOC",TC16)))))</f>
        <v>#N/A</v>
      </c>
      <c r="WF16" s="75" t="e">
        <f t="array" aca="1" ref="WF16" ca="1">INDEX(Canals!$N$24:$N$29,MATCH(2,1/((Canals!$F$24:$F$29&lt;=$C16)*(Canals!$G$24:$G$29=_xlfn.IFS(SJ16="Handysize",Main!US16,SJ16="Supramax",UL16,SJ16="Panamax",UE16,SJ16="NeoPanamax",TX16,SJ16="Suezmax",TQ16,SJ16="Capesize",TJ16,SJ16="VLOC",TC16)))))</f>
        <v>#N/A</v>
      </c>
      <c r="WG16" s="75" t="e">
        <f t="array" aca="1" ref="WG16" ca="1">INDEX(Canals!$O$24:$O$29,MATCH(2,1/((Canals!$F$24:$F$29&lt;=$C16)*(Canals!$G$24:$G$29=_xlfn.IFS(SJ16="Handysize",Main!US16,SJ16="Supramax",UL16,SJ16="Panamax",UE16,SJ16="NeoPanamax",TX16,SJ16="Suezmax",TQ16,SJ16="Capesize",TJ16,SJ16="VLOC",TC16)))))</f>
        <v>#N/A</v>
      </c>
      <c r="WH16" s="75" t="e">
        <f t="array" aca="1" ref="WH16" ca="1">INDEX(Canals!$P$24:$P$29,MATCH(2,1/((Canals!$F$24:$F$29&lt;=$C16)*(Canals!$G$24:$G$29=_xlfn.IFS(SJ16="Handysize",Main!US16,SJ16="Supramax",UL16,SJ16="Panamax",UE16,SJ16="NeoPanamax",TX16,SJ16="Suezmax",TQ16,SJ16="Capesize",TJ16,SJ16="VLOC",TC16)))))</f>
        <v>#N/A</v>
      </c>
      <c r="WI16" s="75" t="e">
        <f t="array" aca="1" ref="WI16" ca="1">INDEX(Canals!$Q$24:$Q$29,MATCH(2,1/((Canals!$F$24:$F$29&lt;=$C16)*(Canals!$G$24:$G$29=_xlfn.IFS(SJ16="Handysize",Main!US16,SJ16="Supramax",UL16,SJ16="Panamax",UE16,SJ16="NeoPanamax",TX16,SJ16="Suezmax",TQ16,SJ16="Capesize",TJ16,SJ16="VLOC",TC16)))))</f>
        <v>#N/A</v>
      </c>
      <c r="WJ16" s="75" t="e">
        <f t="array" aca="1" ref="WJ16" ca="1">INDEX(Canals!$R$24:$R$29,MATCH(2,1/((Canals!$F$24:$F$29&lt;=$C16)*(Canals!$G$24:$G$29=_xlfn.IFS(SJ16="Handysize",Main!US16,SJ16="Supramax",UL16,SJ16="Panamax",UE16,SJ16="NeoPanamax",TX16,SJ16="Suezmax",TQ16,SJ16="Capesize",TJ16,SJ16="VLOC",TC16)))))</f>
        <v>#N/A</v>
      </c>
      <c r="WK16" s="136" t="e">
        <f t="array" aca="1" ref="WK16" ca="1">INDEX(Canals!$S$24:$S$29,MATCH(2,1/((Canals!$F$24:$F$29&lt;=$C16)*(Canals!$G$24:$G$29=_xlfn.IFS(SJ16="Handysize",Main!US16,SJ16="Supramax",UL16,SJ16="Panamax",UE16,SJ16="NeoPanamax",TX16,SJ16="Suezmax",TQ16,SJ16="Capesize",TJ16,SJ16="VLOC",TC16)))))</f>
        <v>#N/A</v>
      </c>
      <c r="WL16" s="136" t="e">
        <f t="array" aca="1" ref="WL16" ca="1">INDEX(Canals!$T$24:$T$29,MATCH(2,1/((Canals!$F$24:$F$29&lt;=$C16)*(Canals!$G$24:$G$29=_xlfn.IFS(SJ16="Handysize",Main!US16,SJ16="Supramax",UL16,SJ16="Panamax",UE16,SJ16="NeoPanamax",TX16,SJ16="Suezmax",TQ16,SJ16="Capesize",TJ16,SJ16="VLOC",TC16)))))</f>
        <v>#N/A</v>
      </c>
      <c r="WM16" s="136" t="e">
        <f t="array" aca="1" ref="WM16" ca="1">INDEX(Canals!$U$24:$U$29,MATCH(2,1/((Canals!$F$24:$F$29&lt;=$C16)*(Canals!$G$24:$G$29=_xlfn.IFS(SJ16="Handysize",Main!US16,SJ16="Supramax",UL16,SJ16="Panamax",UE16,SJ16="NeoPanamax",TX16,SJ16="Suezmax",TQ16,SJ16="Capesize",TJ16,SJ16="VLOC",TC16)))))</f>
        <v>#N/A</v>
      </c>
      <c r="WN16" s="136" t="e">
        <f t="array" aca="1" ref="WN16" ca="1">INDEX(Canals!$V$24:$V$29,MATCH(2,1/((Canals!$F$24:$F$29&lt;=$C16)*(Canals!$G$24:$G$29=_xlfn.IFS(SJ16="Handysize",Main!US16,SJ16="Supramax",UL16,SJ16="Panamax",UE16,SJ16="NeoPanamax",TX16,SJ16="Suezmax",TQ16,SJ16="Capesize",TJ16,SJ16="VLOC",TC16)))))</f>
        <v>#N/A</v>
      </c>
      <c r="WO16" s="136" t="e">
        <f t="array" aca="1" ref="WO16" ca="1">INDEX(Canals!$W$24:$W$29,MATCH(2,1/((Canals!$F$24:$F$29&lt;=$C16)*(Canals!$G$24:$G$29=_xlfn.IFS(SJ16="Handysize",Main!US16,SJ16="Supramax",UL16,SJ16="Panamax",UE16,SJ16="NeoPanamax",TX16,SJ16="Suezmax",TQ16,SJ16="Capesize",TJ16,SJ16="VLOC",TC16)))))</f>
        <v>#N/A</v>
      </c>
      <c r="WP16" s="136" t="e">
        <f t="array" aca="1" ref="WP16" ca="1">INDEX(Canals!$X$24:$X$29,MATCH(2,1/((Canals!$F$24:$F$29&lt;=$C16)*(Canals!$G$24:$G$29=_xlfn.IFS(SJ16="Handysize",Main!US16,SJ16="Supramax",UL16,SJ16="Panamax",UE16,SJ16="NeoPanamax",TX16,SJ16="Suezmax",TQ16,SJ16="Capesize",TJ16,SJ16="VLOC",TC16)))))</f>
        <v>#N/A</v>
      </c>
      <c r="WQ16" s="136" t="e">
        <f t="array" aca="1" ref="WQ16" ca="1">INDEX(Canals!$Y$24:$Y$29,MATCH(2,1/((Canals!$F$24:$F$29&lt;=$C16)*(Canals!$G$24:$G$29=_xlfn.IFS(SJ16="Handysize",Main!US16,SJ16="Supramax",UL16,SJ16="Panamax",UE16,SJ16="NeoPanamax",TX16,SJ16="Suezmax",TQ16,SJ16="Capesize",TJ16,SJ16="VLOC",TC16)))))</f>
        <v>#N/A</v>
      </c>
      <c r="WR16" s="136" t="e">
        <f t="array" aca="1" ref="WR16" ca="1">INDEX(Canals!$Z$24:$Z$29,MATCH(2,1/((Canals!$F$24:$F$29&lt;=$C16)*(Canals!$G$24:$G$29=_xlfn.IFS(SJ16="Handysize",Main!US16,SJ16="Supramax",UL16,SJ16="Panamax",UE16,SJ16="NeoPanamax",TX16,SJ16="Suezmax",TQ16,SJ16="Capesize",TJ16,SJ16="VLOC",TC16)))))</f>
        <v>#N/A</v>
      </c>
      <c r="WS16" s="136" t="e">
        <f t="array" aca="1" ref="WS16" ca="1">INDEX(Canals!$AA$24:$AA$29,MATCH(2,1/((Canals!$F$24:$F$29&lt;=$C16)*(Canals!$G$24:$G$29=_xlfn.IFS(SJ16="Handysize",Main!US16,SJ16="Supramax",UL16,SJ16="Panamax",UE16,SJ16="NeoPanamax",TX16,SJ16="Suezmax",TQ16,SJ16="Capesize",TJ16,SJ16="VLOC",TC16)))))</f>
        <v>#N/A</v>
      </c>
      <c r="WT16" s="136" t="e">
        <f t="array" aca="1" ref="WT16" ca="1">INDEX(Canals!$AB$24:$AB$29,MATCH(2,1/((Canals!$F$24:$F$29&lt;=$C16)*(Canals!$G$24:$G$29=_xlfn.IFS(SJ16="Handysize",Main!US16,SJ16="Supramax",UL16,SJ16="Panamax",UE16,SJ16="NeoPanamax",TX16,SJ16="Suezmax",TQ16,SJ16="Capesize",TJ16,SJ16="VLOC",TC16)))))</f>
        <v>#N/A</v>
      </c>
      <c r="WU16" s="75" t="e">
        <f t="array" aca="1" ref="WU16" ca="1">INDEX(Canals!$AC$24:$AC$29,MATCH(2,1/((Canals!$F$24:$F$29&lt;=$C16)*(Canals!$G$24:$G$29=_xlfn.IFS(SJ16="Handysize",Main!US16,SJ16="Supramax",UL16,SJ16="Panamax",UE16,SJ16="NeoPanamax",TX16,SJ16="Suezmax",TQ16,SJ16="Capesize",TJ16,SJ16="VLOC",TC16)))))</f>
        <v>#N/A</v>
      </c>
      <c r="WV16" s="75" t="e">
        <f t="array" aca="1" ref="WV16" ca="1">INDEX(Canals!$AD$24:$AD$29,MATCH(2,1/((Canals!$F$24:$F$29&lt;=$C16)*(Canals!$G$24:$G$29=_xlfn.IFS(SJ16="Handysize",Main!US16,SJ16="Supramax",UL16,SJ16="Panamax",UE16,SJ16="NeoPanamax",TX16,SJ16="Suezmax",TQ16,SJ16="Capesize",TJ16,SJ16="VLOC",TC16)))))</f>
        <v>#N/A</v>
      </c>
      <c r="WW16" s="75" t="e">
        <f t="array" aca="1" ref="WW16" ca="1">INDEX(Canals!$AE$24:$AE$29,MATCH(2,1/((Canals!$F$24:$F$29&lt;=$C16)*(Canals!$G$24:$G$29=_xlfn.IFS(SJ16="Handysize",Main!US16,SJ16="Supramax",UL16,SJ16="Panamax",UE16,SJ16="NeoPanamax",TX16,SJ16="Suezmax",TQ16,SJ16="Capesize",TJ16,SJ16="VLOC",TC16)))))</f>
        <v>#N/A</v>
      </c>
      <c r="WX16" s="75" t="e">
        <f t="array" aca="1" ref="WX16" ca="1">INDEX(Canals!$AF$24:$AF$29,MATCH(2,1/((Canals!$F$24:$F$29&lt;=$C16)*(Canals!$G$24:$G$29=_xlfn.IFS(SJ16="Handysize",Main!US16,SJ16="Supramax",UL16,SJ16="Panamax",UE16,SJ16="NeoPanamax",TX16,SJ16="Suezmax",TQ16,SJ16="Capesize",TJ16,SJ16="VLOC",TC16)))))</f>
        <v>#N/A</v>
      </c>
      <c r="WY16" s="75" t="e">
        <f t="array" aca="1" ref="WY16" ca="1">INDEX(Canals!$AG$24:$AG$29,MATCH(2,1/((Canals!$F$24:$F$29&lt;=$C16)*(Canals!$G$24:$G$29=_xlfn.IFS(SJ16="Handysize",Main!US16,SJ16="Supramax",UL16,SJ16="Panamax",UE16,SJ16="NeoPanamax",TX16,SJ16="Suezmax",TQ16,SJ16="Capesize",TJ16,SJ16="VLOC",TC16)))))</f>
        <v>#N/A</v>
      </c>
      <c r="WZ16" s="75" t="e">
        <f t="array" aca="1" ref="WZ16" ca="1">INDEX(Canals!$AH$24:$AH$29,MATCH(2,1/((Canals!$F$24:$F$29&lt;=$C16)*(Canals!$G$24:$G$29=_xlfn.IFS(SJ16="Handysize",Main!US16,SJ16="Supramax",UL16,SJ16="Panamax",UE16,SJ16="NeoPanamax",TX16,SJ16="Suezmax",TQ16,SJ16="Capesize",TJ16,SJ16="VLOC",TC16)))))</f>
        <v>#N/A</v>
      </c>
      <c r="XA16" s="75" t="e">
        <f t="array" aca="1" ref="XA16" ca="1">INDEX(Canals!$AI$24:$AI$29,MATCH(2,1/((Canals!$F$24:$F$29&lt;=$C16)*(Canals!$G$24:$G$29=_xlfn.IFS(SJ16="Handysize",Main!US16,SJ16="Supramax",UL16,SJ16="Panamax",UE16,SJ16="NeoPanamax",TX16,SJ16="Suezmax",TQ16,SJ16="Capesize",TJ16,SJ16="VLOC",TC16)))))</f>
        <v>#N/A</v>
      </c>
      <c r="XB16" s="75" t="e">
        <f t="array" aca="1" ref="XB16" ca="1">INDEX(Canals!$AJ$24:$AJ$29,MATCH(2,1/((Canals!$F$24:$F$29&lt;=$C16)*(Canals!$G$24:$G$29=_xlfn.IFS(SJ16="Handysize",Main!US16,SJ16="Supramax",UL16,SJ16="Panamax",UE16,SJ16="NeoPanamax",TX16,SJ16="Suezmax",TQ16,SJ16="Capesize",TJ16,SJ16="VLOC",TC16)))))</f>
        <v>#N/A</v>
      </c>
      <c r="XC16" s="75" t="e">
        <f t="array" aca="1" ref="XC16" ca="1">INDEX(Canals!$AK$24:$AK$29,MATCH(2,1/((Canals!$F$24:$F$29&lt;=$C16)*(Canals!$G$24:$G$29=_xlfn.IFS(SJ16="Handysize",Main!US16,SJ16="Supramax",UL16,SJ16="Panamax",UE16,SJ16="NeoPanamax",TX16,SJ16="Suezmax",TQ16,SJ16="Capesize",TJ16,SJ16="VLOC",TC16)))))</f>
        <v>#N/A</v>
      </c>
      <c r="XD16" s="136" t="e">
        <f t="array" aca="1" ref="XD16" ca="1">INDEX(Canals!$AL$24:$AL$29,MATCH(2,1/((Canals!$F$24:$F$29&lt;=$C16)*(Canals!$G$24:$G$29=_xlfn.IFS(SJ16="Handysize",Main!US16,SJ16="Supramax",UL16,SJ16="Panamax",UE16,SJ16="NeoPanamax",TX16,SJ16="Suezmax",TQ16,SJ16="Capesize",TJ16,SJ16="VLOC",TC16)))))</f>
        <v>#N/A</v>
      </c>
      <c r="XE16" s="136" t="e">
        <f t="array" aca="1" ref="XE16" ca="1">INDEX(Canals!$AM$24:$AM$29,MATCH(2,1/((Canals!$F$24:$F$29&lt;=$C16)*(Canals!$G$24:$G$29=_xlfn.IFS(SJ16="Handysize",Main!US16,SJ16="Supramax",UL16,SJ16="Panamax",UE16,SJ16="NeoPanamax",TX16,SJ16="Suezmax",TQ16,SJ16="Capesize",TJ16,SJ16="VLOC",TC16)))))</f>
        <v>#N/A</v>
      </c>
      <c r="XF16" s="136" t="e">
        <f t="array" aca="1" ref="XF16" ca="1">INDEX(Canals!$AN$24:$AN$29,MATCH(2,1/((Canals!$F$24:$F$29&lt;=$C16)*(Canals!$G$24:$G$29=_xlfn.IFS(SJ16="Handysize",Main!US16,SJ16="Supramax",UL16,SJ16="Panamax",UE16,SJ16="NeoPanamax",TX16,SJ16="Suezmax",TQ16,SJ16="Capesize",TJ16,SJ16="VLOC",TC16)))))</f>
        <v>#N/A</v>
      </c>
      <c r="XG16" s="136" t="e">
        <f t="array" aca="1" ref="XG16" ca="1">INDEX(Canals!$AO$24:$AO$29,MATCH(2,1/((Canals!$F$24:$F$29&lt;=$C16)*(Canals!$G$24:$G$29=_xlfn.IFS(SJ16="Handysize",Main!US16,SJ16="Supramax",UL16,SJ16="Panamax",UE16,SJ16="NeoPanamax",TX16,SJ16="Suezmax",TQ16,SJ16="Capesize",TJ16,SJ16="VLOC",TC16)))))</f>
        <v>#N/A</v>
      </c>
      <c r="XH16" s="136" t="e">
        <f t="array" aca="1" ref="XH16" ca="1">INDEX(Canals!$AP$24:$AP$29,MATCH(2,1/((Canals!$F$24:$F$29&lt;=$C16)*(Canals!$G$24:$G$29=_xlfn.IFS(SJ16="Handysize",Main!US16,SJ16="Supramax",UL16,SJ16="Panamax",UE16,SJ16="NeoPanamax",TX16,SJ16="Suezmax",TQ16,SJ16="Capesize",TJ16,SJ16="VLOC",TC16)))))</f>
        <v>#N/A</v>
      </c>
      <c r="XI16" s="136" t="e">
        <f t="array" aca="1" ref="XI16" ca="1">INDEX(Canals!$AQ$24:$AQ$29,MATCH(2,1/((Canals!$F$24:$F$29&lt;=$C16)*(Canals!$G$24:$G$29=_xlfn.IFS(SJ16="Handysize",Main!US16,SJ16="Supramax",UL16,SJ16="Panamax",UE16,SJ16="NeoPanamax",TX16,SJ16="Suezmax",TQ16,SJ16="Capesize",TJ16,SJ16="VLOC",TC16)))))</f>
        <v>#N/A</v>
      </c>
      <c r="XJ16" s="136" t="e">
        <f t="array" aca="1" ref="XJ16" ca="1">INDEX(Canals!$AR$24:$AR$29,MATCH(2,1/((Canals!$F$24:$F$29&lt;=$C16)*(Canals!$G$24:$G$29=_xlfn.IFS(SJ16="Handysize",Main!US16,SJ16="Supramax",UL16,SJ16="Panamax",UE16,SJ16="NeoPanamax",TX16,SJ16="Suezmax",TQ16,SJ16="Capesize",TJ16,SJ16="VLOC",TC16)))))</f>
        <v>#N/A</v>
      </c>
      <c r="XK16" s="136" t="e">
        <f t="array" aca="1" ref="XK16" ca="1">INDEX(Canals!$AS$24:$AS$29,MATCH(2,1/((Canals!$F$24:$F$29&lt;=$C16)*(Canals!$G$24:$G$29=_xlfn.IFS(SJ16="Handysize",Main!US16,SJ16="Supramax",UL16,SJ16="Panamax",UE16,SJ16="NeoPanamax",TX16,SJ16="Suezmax",TQ16,SJ16="Capesize",TJ16,SJ16="VLOC",TC16)))))</f>
        <v>#N/A</v>
      </c>
      <c r="XL16" s="136" t="e">
        <f t="array" aca="1" ref="XL16" ca="1">INDEX(Canals!$AT$24:$AT$29,MATCH(2,1/((Canals!$F$24:$F$29&lt;=$C16)*(Canals!$G$24:$G$29=_xlfn.IFS(SJ16="Handysize",Main!US16,SJ16="Supramax",UL16,SJ16="Panamax",UE16,SJ16="NeoPanamax",TX16,SJ16="Suezmax",TQ16,SJ16="Capesize",TJ16,SJ16="VLOC",TC16)))))</f>
        <v>#N/A</v>
      </c>
      <c r="XM16" s="136" t="e">
        <f t="array" aca="1" ref="XM16" ca="1">INDEX(Canals!$AU$24:$AU$29,MATCH(2,1/((Canals!$F$24:$F$29&lt;=$C16)*(Canals!$G$24:$G$29=_xlfn.IFS(SJ16="Handysize",Main!US16,SJ16="Supramax",UL16,SJ16="Panamax",UE16,SJ16="NeoPanamax",TX16,SJ16="Suezmax",TQ16,SJ16="Capesize",TJ16,SJ16="VLOC",TC16)))))</f>
        <v>#N/A</v>
      </c>
      <c r="XN16" s="136" t="e">
        <f t="array" aca="1" ref="XN16" ca="1">INDEX(Canals!$AV$24:$AV$29,MATCH(2,1/((Canals!$F$24:$F$29&lt;=$C16)*(Canals!$G$24:$G$29=_xlfn.IFS(SJ16="Handysize",Main!US16,SJ16="Supramax",UL16,SJ16="Panamax",UE16,SJ16="NeoPanamax",TX16,SJ16="Suezmax",TQ16,SJ16="Capesize",TJ16,SJ16="VLOC",TC16)))))</f>
        <v>#N/A</v>
      </c>
      <c r="XP16" s="75" t="e">
        <f t="array" aca="1" ref="XP16" ca="1">_xlfn.IFS(WA16="DWT",SH16,WA16="NRT",SL16,WA16="GRT",SM16,WA16=0,0)</f>
        <v>#NAME?</v>
      </c>
      <c r="XQ16" s="279" t="e">
        <f t="shared" ca="1" si="125"/>
        <v>#NAME?</v>
      </c>
      <c r="XR16" s="280" t="e">
        <f t="shared" ca="1" si="126"/>
        <v>#NAME?</v>
      </c>
      <c r="XS16" s="280" t="e">
        <f t="shared" ca="1" si="127"/>
        <v>#NAME?</v>
      </c>
      <c r="XT16" s="280" t="e">
        <f t="shared" ca="1" si="128"/>
        <v>#NAME?</v>
      </c>
      <c r="XU16" s="280" t="e">
        <f t="shared" ca="1" si="129"/>
        <v>#NAME?</v>
      </c>
      <c r="XV16" s="280" t="e">
        <f t="shared" ca="1" si="130"/>
        <v>#NAME?</v>
      </c>
      <c r="XW16" s="280" t="e">
        <f t="shared" ca="1" si="131"/>
        <v>#NAME?</v>
      </c>
      <c r="XX16" s="280" t="e">
        <f t="shared" ca="1" si="132"/>
        <v>#NAME?</v>
      </c>
      <c r="XY16" s="280" t="e">
        <f t="shared" ca="1" si="133"/>
        <v>#NAME?</v>
      </c>
      <c r="XZ16" s="75">
        <f t="shared" si="134"/>
        <v>0</v>
      </c>
      <c r="YA16" s="279" t="e">
        <f t="shared" ca="1" si="135"/>
        <v>#N/A</v>
      </c>
      <c r="YB16" s="280" t="e">
        <f t="shared" ca="1" si="136"/>
        <v>#N/A</v>
      </c>
      <c r="YC16" s="280" t="e">
        <f t="shared" ca="1" si="137"/>
        <v>#N/A</v>
      </c>
      <c r="YD16" s="280" t="e">
        <f t="shared" ca="1" si="138"/>
        <v>#N/A</v>
      </c>
      <c r="YE16" s="280" t="e">
        <f t="shared" ca="1" si="139"/>
        <v>#N/A</v>
      </c>
      <c r="YF16" s="280" t="e">
        <f t="shared" ca="1" si="140"/>
        <v>#N/A</v>
      </c>
      <c r="YG16" s="280" t="e">
        <f t="shared" ca="1" si="141"/>
        <v>#N/A</v>
      </c>
      <c r="YH16" s="280" t="e">
        <f t="shared" ca="1" si="142"/>
        <v>#N/A</v>
      </c>
      <c r="YI16" s="280" t="e">
        <f t="shared" ca="1" si="143"/>
        <v>#N/A</v>
      </c>
      <c r="YK16" s="75" t="e">
        <f t="array" aca="1" ref="YK16" ca="1">_xlfn.IFS(SJ16="Handysize",Main!UM16,SJ16="Supramax",UF16,SJ16="Panamax",TY16,SJ16="NeoPanamax",TR16,SJ16="Suezmax",TK16,SJ16="Capesize",TD16,SJ16="VLOC",SW16)*$JI16</f>
        <v>#NAME?</v>
      </c>
      <c r="YL16" s="274" t="e">
        <f t="array" aca="1" ref="YL16" ca="1">_xlfn.IFS(SJ16="Handysize",Main!UN16,SJ16="Supramax",UG16,SJ16="Panamax",TZ16,SJ16="NeoPanamax",TS16,SJ16="Suezmax",TL16,SJ16="Capesize",TE16,SJ16="VLOC",SX16)*$JI16</f>
        <v>#NAME?</v>
      </c>
      <c r="YM16" s="71" t="e">
        <f t="array" aca="1" ref="YM16" ca="1">_xlfn.IFS(SJ16="Handysize",Main!SO16,SJ16="Supramax",SP16,SJ16="Panamax",SQ16,SJ16="NeoPanamax",SR16,SJ16="Suezmax",SS16,SJ16="Capesize",ST16,SJ16="VLOC",SU16)</f>
        <v>#NAME?</v>
      </c>
      <c r="YN16" s="71" t="e">
        <f t="array" aca="1" ref="YN16" ca="1">_xlfn.IFS(SJ16="Handysize",Main!VA16,SJ16="Supramax",VB16,SJ16="Panamax",VC16,SJ16="NeoPanamax",VD16,SJ16="Suezmax",VE16,SJ16="Capesize",VF16,SJ16="VLOC",VG16)</f>
        <v>#NAME?</v>
      </c>
      <c r="YO16" s="70">
        <f t="array" ref="YO16">INDEX('Ship Speeds'!$G$11:$G$1011,MATCH(2,1/(('Ship Speeds'!$E$11:$E$1011&lt;=Main!$C16)*('Ship Speeds'!$F$11:$F$1011=Main!SI16))))</f>
        <v>11</v>
      </c>
      <c r="YP16" s="403">
        <f t="shared" si="144"/>
        <v>0</v>
      </c>
      <c r="YQ16" s="401">
        <f t="shared" si="145"/>
        <v>1.2</v>
      </c>
      <c r="YR16" s="70" t="e">
        <f t="shared" ca="1" si="146"/>
        <v>#NAME?</v>
      </c>
      <c r="YS16" s="70" t="e">
        <f t="shared" ca="1" si="147"/>
        <v>#NAME?</v>
      </c>
      <c r="YT16" s="70" t="e">
        <f t="shared" ca="1" si="148"/>
        <v>#NAME?</v>
      </c>
      <c r="YU16" s="70" t="e">
        <f t="shared" ca="1" si="149"/>
        <v>#NAME?</v>
      </c>
      <c r="YV16" s="72" t="e">
        <f t="shared" ca="1" si="150"/>
        <v>#N/A</v>
      </c>
      <c r="YW16" s="70" t="e">
        <f t="shared" ca="1" si="151"/>
        <v>#NAME?</v>
      </c>
      <c r="YX16" s="70" t="e">
        <f t="array" aca="1" ref="YX16" ca="1">IF(YK16=0,0,INDEX(UU16:UY16,MATCH(_xlfn.IFS(SJ16="Handysize",Main!UQ16,SJ16="Supramax",UJ16,SJ16="Panamax",UC16,SJ16="NeoPanamax",TV16,SJ16="Suezmax",TO16,SJ16="Capesize",TH16,SJ16="VLOC",TA16),$UU$7:$UY$7,0)))</f>
        <v>#NAME?</v>
      </c>
      <c r="YY16" s="70" t="e">
        <f t="array" aca="1" ref="YY16" ca="1">IF(YK16=0,0,INDEX(UU16:UY16,MATCH(_xlfn.IFS(SJ16="Handysize",Main!UR16,SJ16="Supramax",UK16,SJ16="Panamax",UD16,SJ16="NeoPanamax",TW16,SJ16="Suezmax",TP16,SJ16="Capesize",TI16,SJ16="VLOC",TB16),$UU$7:$UY$7,0)))</f>
        <v>#NAME?</v>
      </c>
      <c r="YZ16" s="71" t="e">
        <f t="shared" ca="1" si="152"/>
        <v>#NAME?</v>
      </c>
      <c r="ZA16" s="71" t="e">
        <f t="shared" ca="1" si="153"/>
        <v>#NAME?</v>
      </c>
      <c r="ZB16" s="281" t="e">
        <f t="shared" ca="1" si="154"/>
        <v>#NAME?</v>
      </c>
      <c r="ZC16" s="71" t="e">
        <f t="shared" ca="1" si="155"/>
        <v>#NAME?</v>
      </c>
      <c r="ZD16" s="71" t="e">
        <f t="shared" ca="1" si="156"/>
        <v>#NAME?</v>
      </c>
      <c r="ZE16" s="71" t="e">
        <f t="shared" ca="1" si="157"/>
        <v>#NAME?</v>
      </c>
      <c r="ZF16" s="71" t="e">
        <f t="shared" ca="1" si="158"/>
        <v>#NAME?</v>
      </c>
      <c r="ZG16" s="71" t="e">
        <f t="shared" ca="1" si="159"/>
        <v>#NAME?</v>
      </c>
      <c r="ZH16" s="71" t="e">
        <f t="shared" ca="1" si="160"/>
        <v>#NAME?</v>
      </c>
      <c r="ZI16" s="71" t="e">
        <f t="shared" ca="1" si="161"/>
        <v>#NAME?</v>
      </c>
      <c r="ZJ16" s="71" t="e">
        <f t="shared" ca="1" si="162"/>
        <v>#NAME?</v>
      </c>
      <c r="ZK16" s="71" t="e">
        <f t="shared" ca="1" si="163"/>
        <v>#NAME?</v>
      </c>
      <c r="ZL16" s="71" t="e">
        <f t="shared" ca="1" si="164"/>
        <v>#NAME?</v>
      </c>
      <c r="ZM16" s="71" t="e">
        <f t="shared" ca="1" si="165"/>
        <v>#NAME?</v>
      </c>
      <c r="ZN16" s="71" t="e">
        <f t="shared" ca="1" si="166"/>
        <v>#NAME?</v>
      </c>
      <c r="ZO16" s="72" t="e">
        <f t="shared" ca="1" si="167"/>
        <v>#NAME?</v>
      </c>
      <c r="ZP16" s="72" t="e">
        <f t="shared" ca="1" si="168"/>
        <v>#NAME?</v>
      </c>
      <c r="ZQ16" s="71" t="e">
        <f t="shared" ca="1" si="169"/>
        <v>#NAME?</v>
      </c>
      <c r="ZR16" s="71" t="e">
        <f t="array" aca="1" ref="ZR16" ca="1">IF(YK16=0,0,INDEX('Ship Time Charter Rates'!$H$22:$H$1021,MATCH(2,1/(('Ship Time Charter Rates'!$G$22:$G$1021=_xlfn.IFS(SJ16="Handysize",Main!UO16,SJ16="Supramax",UH16,SJ16="Panamax",UA16,SJ16="NeoPanamax",TT16,SJ16="Suezmax",TM16,SJ16="Capesize",TF16,SJ16="VLOC",SY16))*('Ship Time Charter Rates'!$E$22:$E$1021&lt;=Main!$C16)*(NOT(ISBLANK('Ship Time Charter Rates'!$H$22:$H$1021)))))))</f>
        <v>#NAME?</v>
      </c>
      <c r="ZS16" s="71" t="e">
        <f t="shared" ca="1" si="170"/>
        <v>#NAME?</v>
      </c>
      <c r="ZT16" s="70" t="e">
        <f t="shared" ca="1" si="171"/>
        <v>#NAME?</v>
      </c>
      <c r="ZU16" s="71" t="e">
        <f t="shared" ca="1" si="172"/>
        <v>#NAME?</v>
      </c>
      <c r="ZV16" s="71" t="e">
        <f t="shared" ca="1" si="304"/>
        <v>#NAME?</v>
      </c>
      <c r="ZW16" s="72" t="e">
        <f t="shared" ca="1" si="305"/>
        <v>#NAME?</v>
      </c>
      <c r="ZY16" s="287" t="s">
        <v>39</v>
      </c>
      <c r="AAA16" s="25">
        <f t="shared" si="322"/>
        <v>66000</v>
      </c>
      <c r="AAB16" s="4" t="str">
        <f>VLOOKUP(AAA16,'Ship Time Charter Rates'!$F$10:$G$17,2,TRUE)</f>
        <v>Panamax</v>
      </c>
      <c r="AAC16" s="4" t="str">
        <f>VLOOKUP(AAA16,Canals!$E$5:$F$12,2,TRUE)</f>
        <v>Panamax</v>
      </c>
      <c r="AAD16" s="25">
        <f t="shared" si="173"/>
        <v>203.50799999999998</v>
      </c>
      <c r="AAE16" s="25">
        <f t="shared" si="174"/>
        <v>26624.399999999998</v>
      </c>
      <c r="AAF16" s="25">
        <f t="shared" si="175"/>
        <v>39044.400000000001</v>
      </c>
      <c r="AAH16" s="75">
        <f t="array" ref="AAH16">INDEX('Indices Mines Exporting Ports'!$R$20:$R$51,MATCH(2,1/(('Indices Mines Exporting Ports'!$D$20:$D$51&lt;=Main!$C16)*('Indices Mines Exporting Ports'!$Q$20:$Q$51=$AP16))))</f>
        <v>30000</v>
      </c>
      <c r="AAI16" s="75">
        <f t="array" ref="AAI16">INDEX('Indices Mines Exporting Ports'!$S$20:$S$51,MATCH(2,1/(('Indices Mines Exporting Ports'!$D$20:$D$51&lt;=Main!$C16)*('Indices Mines Exporting Ports'!$Q$20:$Q$51=$AP16))))</f>
        <v>30000</v>
      </c>
      <c r="AAJ16" s="75">
        <f t="array" ref="AAJ16">INDEX('Indices Mines Exporting Ports'!$T$20:$T$51,MATCH(2,1/(('Indices Mines Exporting Ports'!$D$20:$D$51&lt;=Main!$C16)*('Indices Mines Exporting Ports'!$Q$20:$Q$51=$AP16))))</f>
        <v>30000</v>
      </c>
      <c r="AAK16" s="75">
        <f t="array" ref="AAK16">INDEX('Indices Mines Exporting Ports'!$U$20:$U$51,MATCH(2,1/(('Indices Mines Exporting Ports'!$D$20:$D$51&lt;=Main!$C16)*('Indices Mines Exporting Ports'!$Q$20:$Q$51=$AP16))))</f>
        <v>30000</v>
      </c>
      <c r="AAL16" s="75">
        <f t="array" ref="AAL16">INDEX('Indices Mines Exporting Ports'!$V$20:$V$51,MATCH(2,1/(('Indices Mines Exporting Ports'!$D$20:$D$51&lt;=Main!$C16)*('Indices Mines Exporting Ports'!$Q$20:$Q$51=$AP16))))</f>
        <v>30000</v>
      </c>
      <c r="AAM16" s="75">
        <f t="array" ref="AAM16">INDEX('Indices Mines Exporting Ports'!$W$20:$W$51,MATCH(2,1/(('Indices Mines Exporting Ports'!$D$20:$D$51&lt;=Main!$C16)*('Indices Mines Exporting Ports'!$Q$20:$Q$51=$AP16))))</f>
        <v>20000</v>
      </c>
      <c r="AAN16" s="75">
        <f t="array" ref="AAN16">INDEX('Indices Mines Exporting Ports'!$X$20:$X$51,MATCH(2,1/(('Indices Mines Exporting Ports'!$D$20:$D$51&lt;=Main!$C16)*('Indices Mines Exporting Ports'!$Q$20:$Q$51=$AP16))))</f>
        <v>20000</v>
      </c>
      <c r="AAP16" s="75">
        <f t="array" ref="AAP16">INDEX('Port Linkages'!$E$18:$E$157,MATCH(2,1/(('Port Linkages'!$C$18:$C$157=$AP16)*('Port Linkages'!$D$18:$D$157=IF($AO16="Yes",$AQ16,$KK16))*('Port Linkages'!$A$18:$A$157&lt;=$C16))))</f>
        <v>11170</v>
      </c>
      <c r="AAQ16" s="75">
        <f t="array" ref="AAQ16">INDEX('Port Linkages'!$F$18:$F$157,MATCH(2,1/(('Port Linkages'!$C$18:$C$157=$AP16)*('Port Linkages'!$D$18:$D$157=IF($AO16="Yes",$AQ16,$KK16))*('Port Linkages'!$A$18:$A$157&lt;=$C16))))</f>
        <v>0</v>
      </c>
      <c r="AAR16" s="75" t="str">
        <f t="array" ref="AAR16">INDEX('Port Linkages'!$G$18:$G$157,MATCH(2,1/(('Port Linkages'!$C$18:$C$157=$AP16)*('Port Linkages'!$D$18:$D$157=IF($AO16="Yes",$AQ16,$KK16))*('Port Linkages'!$A$18:$A$157&lt;=$C16))))</f>
        <v>VLOC_General</v>
      </c>
      <c r="AAS16" s="75" t="str">
        <f t="array" ref="AAS16">INDEX('Port Linkages'!$H$18:$H$157,MATCH(2,1/(('Port Linkages'!$C$18:$C$157=$AP16)*('Port Linkages'!$D$18:$D$157=IF($AO16="Yes",$AQ16,$KK16))*('Port Linkages'!$A$18:$A$157&lt;=$C16))))</f>
        <v>Singapore</v>
      </c>
      <c r="AAT16" s="75" t="str">
        <f t="array" ref="AAT16">INDEX('Port Linkages'!$I$18:$I$157,MATCH(2,1/(('Port Linkages'!$C$18:$C$157=$AP16)*('Port Linkages'!$D$18:$D$157=IF($AO16="Yes",$AQ16,$KK16))*('Port Linkages'!$A$18:$A$157&lt;=$C16))))</f>
        <v>VLSFO</v>
      </c>
      <c r="AAU16" s="75" t="str">
        <f t="array" ref="AAU16">INDEX('Port Linkages'!$J$18:$J$157,MATCH(2,1/(('Port Linkages'!$C$18:$C$157=$AP16)*('Port Linkages'!$D$18:$D$157=IF($AO16="Yes",$AQ16,$KK16))*('Port Linkages'!$A$18:$A$157&lt;=$C16))))</f>
        <v>MGO_Regular</v>
      </c>
      <c r="AAV16" s="75" t="str">
        <f t="array" ref="AAV16">INDEX('Port Linkages'!$K$18:$K$157,MATCH(2,1/(('Port Linkages'!$C$18:$C$157=$AP16)*('Port Linkages'!$D$18:$D$157=IF($AO16="Yes",$AQ16,$KK16))*('Port Linkages'!$A$18:$A$157&lt;=$C16))))</f>
        <v>none</v>
      </c>
      <c r="AAW16" s="75">
        <f t="array" ref="AAW16">INDEX('Port Linkages'!$L$18:$L$157,MATCH(2,1/(('Port Linkages'!$C$18:$C$157=$AP16)*('Port Linkages'!$D$18:$D$157=IF($AO16="Yes",$AQ16,$KK16))*('Port Linkages'!$A$18:$A$157&lt;=$C16))))</f>
        <v>11170</v>
      </c>
      <c r="AAX16" s="75">
        <f t="array" ref="AAX16">INDEX('Port Linkages'!$M$18:$M$157,MATCH(2,1/(('Port Linkages'!$C$18:$C$157=$AP16)*('Port Linkages'!$D$18:$D$157=IF($AO16="Yes",$AQ16,$KK16))*('Port Linkages'!$A$18:$A$157&lt;=$C16))))</f>
        <v>0</v>
      </c>
      <c r="AAY16" s="75" t="str">
        <f t="array" ref="AAY16">INDEX('Port Linkages'!$N$18:$N$157,MATCH(2,1/(('Port Linkages'!$C$18:$C$157=$AP16)*('Port Linkages'!$D$18:$D$157=IF($AO16="Yes",$AQ16,$KK16))*('Port Linkages'!$A$18:$A$157&lt;=$C16))))</f>
        <v>Capesize_General</v>
      </c>
      <c r="AAZ16" s="75" t="str">
        <f t="array" ref="AAZ16">INDEX('Port Linkages'!$O$18:$O$157,MATCH(2,1/(('Port Linkages'!$C$18:$C$157=$AP16)*('Port Linkages'!$D$18:$D$157=IF($AO16="Yes",$AQ16,$KK16))*('Port Linkages'!$A$18:$A$157&lt;=$C16))))</f>
        <v>Singapore</v>
      </c>
      <c r="ABA16" s="75" t="str">
        <f t="array" ref="ABA16">INDEX('Port Linkages'!$P$18:$P$157,MATCH(2,1/(('Port Linkages'!$C$18:$C$157=$AP16)*('Port Linkages'!$D$18:$D$157=IF($AO16="Yes",$AQ16,$KK16))*('Port Linkages'!$A$18:$A$157&lt;=$C16))))</f>
        <v>VLSFO</v>
      </c>
      <c r="ABB16" s="75" t="str">
        <f t="array" ref="ABB16">INDEX('Port Linkages'!$Q$18:$Q$157,MATCH(2,1/(('Port Linkages'!$C$18:$C$157=$AP16)*('Port Linkages'!$D$18:$D$157=IF($AO16="Yes",$AQ16,$KK16))*('Port Linkages'!$A$18:$A$157&lt;=$C16))))</f>
        <v>MGO_Regular</v>
      </c>
      <c r="ABC16" s="75" t="str">
        <f t="array" ref="ABC16">INDEX('Port Linkages'!$R$18:$R$157,MATCH(2,1/(('Port Linkages'!$C$18:$C$157=$AP16)*('Port Linkages'!$D$18:$D$157=IF($AO16="Yes",$AQ16,$KK16))*('Port Linkages'!$A$18:$A$157&lt;=$C16))))</f>
        <v>none</v>
      </c>
      <c r="ABD16" s="75">
        <f t="array" ref="ABD16">INDEX('Port Linkages'!$S$18:$S$157,MATCH(2,1/(('Port Linkages'!$C$18:$C$157=$AP16)*('Port Linkages'!$D$18:$D$157=IF($AO16="Yes",$AQ16,$KK16))*('Port Linkages'!$A$18:$A$157&lt;=$C16))))</f>
        <v>11170</v>
      </c>
      <c r="ABE16" s="75">
        <f t="array" ref="ABE16">INDEX('Port Linkages'!$T$18:$T$157,MATCH(2,1/(('Port Linkages'!$C$18:$C$157=$AP16)*('Port Linkages'!$D$18:$D$157=IF($AO16="Yes",$AQ16,$KK16))*('Port Linkages'!$A$18:$A$157&lt;=$C16))))</f>
        <v>0</v>
      </c>
      <c r="ABF16" s="75" t="str">
        <f t="array" ref="ABF16">INDEX('Port Linkages'!$U$18:$U$157,MATCH(2,1/(('Port Linkages'!$C$18:$C$157=$AP16)*('Port Linkages'!$D$18:$D$157=IF($AO16="Yes",$AQ16,$KK16))*('Port Linkages'!$A$18:$A$157&lt;=$C16))))</f>
        <v>Capesize_General</v>
      </c>
      <c r="ABG16" s="75" t="str">
        <f t="array" ref="ABG16">INDEX('Port Linkages'!$V$18:$V$157,MATCH(2,1/(('Port Linkages'!$C$18:$C$157=$AP16)*('Port Linkages'!$D$18:$D$157=IF($AO16="Yes",$AQ16,$KK16))*('Port Linkages'!$A$18:$A$157&lt;=$C16))))</f>
        <v>Singapore</v>
      </c>
      <c r="ABH16" s="75" t="str">
        <f t="array" ref="ABH16">INDEX('Port Linkages'!$W$18:$W$157,MATCH(2,1/(('Port Linkages'!$C$18:$C$157=$AP16)*('Port Linkages'!$D$18:$D$157=IF($AO16="Yes",$AQ16,$KK16))*('Port Linkages'!$A$18:$A$157&lt;=$C16))))</f>
        <v>VLSFO</v>
      </c>
      <c r="ABI16" s="75" t="str">
        <f t="array" ref="ABI16">INDEX('Port Linkages'!$X$18:$X$157,MATCH(2,1/(('Port Linkages'!$C$18:$C$157=$AP16)*('Port Linkages'!$D$18:$D$157=IF($AO16="Yes",$AQ16,$KK16))*('Port Linkages'!$A$18:$A$157&lt;=$C16))))</f>
        <v>MGO_Regular</v>
      </c>
      <c r="ABJ16" s="75" t="str">
        <f t="array" ref="ABJ16">INDEX('Port Linkages'!$Y$18:$Y$157,MATCH(2,1/(('Port Linkages'!$C$18:$C$157=$AP16)*('Port Linkages'!$D$18:$D$157=IF($AO16="Yes",$AQ16,$KK16))*('Port Linkages'!$A$18:$A$157&lt;=$C16))))</f>
        <v>none</v>
      </c>
      <c r="ABK16" s="75">
        <f t="array" ref="ABK16">INDEX('Port Linkages'!$Z$18:$Z$157,MATCH(2,1/(('Port Linkages'!$C$18:$C$157=$AP16)*('Port Linkages'!$D$18:$D$157=IF($AO16="Yes",$AQ16,$KK16))*('Port Linkages'!$A$18:$A$157&lt;=$C16))))</f>
        <v>11170</v>
      </c>
      <c r="ABL16" s="75">
        <f t="array" ref="ABL16">INDEX('Port Linkages'!$AA$18:$AA$157,MATCH(2,1/(('Port Linkages'!$C$18:$C$157=$AP16)*('Port Linkages'!$D$18:$D$157=IF($AO16="Yes",$AQ16,$KK16))*('Port Linkages'!$A$18:$A$157&lt;=$C16))))</f>
        <v>0</v>
      </c>
      <c r="ABM16" s="75" t="str">
        <f t="array" ref="ABM16">INDEX('Port Linkages'!$AB$18:$AB$157,MATCH(2,1/(('Port Linkages'!$C$18:$C$157=$AP16)*('Port Linkages'!$D$18:$D$157=IF($AO16="Yes",$AQ16,$KK16))*('Port Linkages'!$A$18:$A$157&lt;=$C16))))</f>
        <v>Capesize_General</v>
      </c>
      <c r="ABN16" s="75" t="str">
        <f t="array" ref="ABN16">INDEX('Port Linkages'!$AC$18:$AC$157,MATCH(2,1/(('Port Linkages'!$C$18:$C$157=$AP16)*('Port Linkages'!$D$18:$D$157=IF($AO16="Yes",$AQ16,$KK16))*('Port Linkages'!$A$18:$A$157&lt;=$C16))))</f>
        <v>Singapore</v>
      </c>
      <c r="ABO16" s="75" t="str">
        <f t="array" ref="ABO16">INDEX('Port Linkages'!$AD$18:$AD$157,MATCH(2,1/(('Port Linkages'!$C$18:$C$157=$AP16)*('Port Linkages'!$D$18:$D$157=IF($AO16="Yes",$AQ16,$KK16))*('Port Linkages'!$A$18:$A$157&lt;=$C16))))</f>
        <v>VLSFO</v>
      </c>
      <c r="ABP16" s="75" t="str">
        <f t="array" ref="ABP16">INDEX('Port Linkages'!$AE$18:$AE$157,MATCH(2,1/(('Port Linkages'!$C$18:$C$157=$AP16)*('Port Linkages'!$D$18:$D$157=IF($AO16="Yes",$AQ16,$KK16))*('Port Linkages'!$A$18:$A$157&lt;=$C16))))</f>
        <v>MGO_Regular</v>
      </c>
      <c r="ABQ16" s="75" t="str">
        <f t="array" ref="ABQ16">INDEX('Port Linkages'!$AF$18:$AF$157,MATCH(2,1/(('Port Linkages'!$C$18:$C$157=$AP16)*('Port Linkages'!$D$18:$D$157=IF($AO16="Yes",$AQ16,$KK16))*('Port Linkages'!$A$18:$A$157&lt;=$C16))))</f>
        <v>none</v>
      </c>
      <c r="ABR16" s="75">
        <f t="array" ref="ABR16">INDEX('Port Linkages'!$AG$18:$AG$157,MATCH(2,1/(('Port Linkages'!$C$18:$C$157=$AP16)*('Port Linkages'!$D$18:$D$157=IF($AO16="Yes",$AQ16,$KK16))*('Port Linkages'!$A$18:$A$157&lt;=$C16))))</f>
        <v>11170</v>
      </c>
      <c r="ABS16" s="75">
        <f t="array" ref="ABS16">INDEX('Port Linkages'!$AH$18:$AH$157,MATCH(2,1/(('Port Linkages'!$C$18:$C$157=$AP16)*('Port Linkages'!$D$18:$D$157=IF($AO16="Yes",$AQ16,$KK16))*('Port Linkages'!$A$18:$A$157&lt;=$C16))))</f>
        <v>0</v>
      </c>
      <c r="ABT16" s="75" t="str">
        <f t="array" ref="ABT16">INDEX('Port Linkages'!$AI$18:$AI$157,MATCH(2,1/(('Port Linkages'!$C$18:$C$157=$AP16)*('Port Linkages'!$D$18:$D$157=IF($AO16="Yes",$AQ16,$KK16))*('Port Linkages'!$A$18:$A$157&lt;=$C16))))</f>
        <v>Panamax_General</v>
      </c>
      <c r="ABU16" s="75" t="str">
        <f t="array" ref="ABU16">INDEX('Port Linkages'!$AJ$18:$AJ$157,MATCH(2,1/(('Port Linkages'!$C$18:$C$157=$AP16)*('Port Linkages'!$D$18:$D$157=IF($AO16="Yes",$AQ16,$KK16))*('Port Linkages'!$A$18:$A$157&lt;=$C16))))</f>
        <v>Singapore</v>
      </c>
      <c r="ABV16" s="75" t="str">
        <f t="array" ref="ABV16">INDEX('Port Linkages'!$AK$18:$AK$157,MATCH(2,1/(('Port Linkages'!$C$18:$C$157=$AP16)*('Port Linkages'!$D$18:$D$157=IF($AO16="Yes",$AQ16,$KK16))*('Port Linkages'!$A$18:$A$157&lt;=$C16))))</f>
        <v>VLSFO</v>
      </c>
      <c r="ABW16" s="75" t="str">
        <f t="array" ref="ABW16">INDEX('Port Linkages'!$AL$18:$AL$157,MATCH(2,1/(('Port Linkages'!$C$18:$C$157=$AP16)*('Port Linkages'!$D$18:$D$157=IF($AO16="Yes",$AQ16,$KK16))*('Port Linkages'!$A$18:$A$157&lt;=$C16))))</f>
        <v>MGO_Regular</v>
      </c>
      <c r="ABX16" s="75" t="str">
        <f t="array" ref="ABX16">INDEX('Port Linkages'!$AM$18:$AM$157,MATCH(2,1/(('Port Linkages'!$C$18:$C$157=$AP16)*('Port Linkages'!$D$18:$D$157=IF($AO16="Yes",$AQ16,$KK16))*('Port Linkages'!$A$18:$A$157&lt;=$C16))))</f>
        <v>none</v>
      </c>
      <c r="ABY16" s="75">
        <f t="array" ref="ABY16">INDEX('Port Linkages'!$AN$18:$AN$157,MATCH(2,1/(('Port Linkages'!$C$18:$C$157=$AP16)*('Port Linkages'!$D$18:$D$157=IF($AO16="Yes",$AQ16,$KK16))*('Port Linkages'!$A$18:$A$157&lt;=$C16))))</f>
        <v>11170</v>
      </c>
      <c r="ABZ16" s="75">
        <f t="array" ref="ABZ16">INDEX('Port Linkages'!$AO$18:$AO$157,MATCH(2,1/(('Port Linkages'!$C$18:$C$157=$AP16)*('Port Linkages'!$D$18:$D$157=IF($AO16="Yes",$AQ16,$KK16))*('Port Linkages'!$A$18:$A$157&lt;=$C16))))</f>
        <v>0</v>
      </c>
      <c r="ACA16" s="75" t="str">
        <f t="array" ref="ACA16">INDEX('Port Linkages'!$AP$18:$AP$157,MATCH(2,1/(('Port Linkages'!$C$18:$C$157=$AP16)*('Port Linkages'!$D$18:$D$157=IF($AO16="Yes",$AQ16,$KK16))*('Port Linkages'!$A$18:$A$157&lt;=$C16))))</f>
        <v>Supramax_General</v>
      </c>
      <c r="ACB16" s="75" t="str">
        <f t="array" ref="ACB16">INDEX('Port Linkages'!$AQ$18:$AQ$157,MATCH(2,1/(('Port Linkages'!$C$18:$C$157=$AP16)*('Port Linkages'!$D$18:$D$157=IF($AO16="Yes",$AQ16,$KK16))*('Port Linkages'!$A$18:$A$157&lt;=$C16))))</f>
        <v>Singapore</v>
      </c>
      <c r="ACC16" s="75" t="str">
        <f t="array" ref="ACC16">INDEX('Port Linkages'!$AR$18:$AR$157,MATCH(2,1/(('Port Linkages'!$C$18:$C$157=$AP16)*('Port Linkages'!$D$18:$D$157=IF($AO16="Yes",$AQ16,$KK16))*('Port Linkages'!$A$18:$A$157&lt;=$C16))))</f>
        <v>VLSFO</v>
      </c>
      <c r="ACD16" s="75" t="str">
        <f t="array" ref="ACD16">INDEX('Port Linkages'!$AS$18:$AS$157,MATCH(2,1/(('Port Linkages'!$C$18:$C$157=$AP16)*('Port Linkages'!$D$18:$D$157=IF($AO16="Yes",$AQ16,$KK16))*('Port Linkages'!$A$18:$A$157&lt;=$C16))))</f>
        <v>MGO_Regular</v>
      </c>
      <c r="ACE16" s="75" t="str">
        <f t="array" ref="ACE16">INDEX('Port Linkages'!$AT$18:$AT$157,MATCH(2,1/(('Port Linkages'!$C$18:$C$157=$AP16)*('Port Linkages'!$D$18:$D$157=IF($AO16="Yes",$AQ16,$KK16))*('Port Linkages'!$A$18:$A$157&lt;=$C16))))</f>
        <v>none</v>
      </c>
      <c r="ACF16" s="75">
        <f t="array" ref="ACF16">INDEX('Port Linkages'!$AU$18:$AU$157,MATCH(2,1/(('Port Linkages'!$C$18:$C$157=$AP16)*('Port Linkages'!$D$18:$D$157=IF($AO16="Yes",$AQ16,$KK16))*('Port Linkages'!$A$18:$A$157&lt;=$C16))))</f>
        <v>11170</v>
      </c>
      <c r="ACG16" s="75">
        <f t="array" ref="ACG16">INDEX('Port Linkages'!$AV$18:$AV$157,MATCH(2,1/(('Port Linkages'!$C$18:$C$157=$AP16)*('Port Linkages'!$D$18:$D$157=IF($AO16="Yes",$AQ16,$KK16))*('Port Linkages'!$A$18:$A$157&lt;=$C16))))</f>
        <v>0</v>
      </c>
      <c r="ACH16" s="75" t="str">
        <f t="array" ref="ACH16">INDEX('Port Linkages'!$AW$18:$AW$157,MATCH(2,1/(('Port Linkages'!$C$18:$C$157=$AP16)*('Port Linkages'!$D$18:$D$157=IF($AO16="Yes",$AQ16,$KK16))*('Port Linkages'!$A$18:$A$157&lt;=$C16))))</f>
        <v>Handysize_General</v>
      </c>
      <c r="ACI16" s="75" t="str">
        <f t="array" ref="ACI16">INDEX('Port Linkages'!$AX$18:$AX$157,MATCH(2,1/(('Port Linkages'!$C$18:$C$157=$AP16)*('Port Linkages'!$D$18:$D$157=IF($AO16="Yes",$AQ16,$KK16))*('Port Linkages'!$A$18:$A$157&lt;=$C16))))</f>
        <v>Singapore</v>
      </c>
      <c r="ACJ16" s="75" t="str">
        <f t="array" ref="ACJ16">INDEX('Port Linkages'!$AY$18:$AY$157,MATCH(2,1/(('Port Linkages'!$C$18:$C$157=$AP16)*('Port Linkages'!$D$18:$D$157=IF($AO16="Yes",$AQ16,$KK16))*('Port Linkages'!$A$18:$A$157&lt;=$C16))))</f>
        <v>VLSFO</v>
      </c>
      <c r="ACK16" s="75" t="str">
        <f t="array" ref="ACK16">INDEX('Port Linkages'!$AZ$18:$AZ$157,MATCH(2,1/(('Port Linkages'!$C$18:$C$157=$AP16)*('Port Linkages'!$D$18:$D$157=IF($AO16="Yes",$AQ16,$KK16))*('Port Linkages'!$A$18:$A$157&lt;=$C16))))</f>
        <v>MGO_Regular</v>
      </c>
      <c r="ACL16" s="75" t="str">
        <f t="array" ref="ACL16">INDEX('Port Linkages'!$BA$18:$BA$157,MATCH(2,1/(('Port Linkages'!$C$18:$C$157=$AP16)*('Port Linkages'!$D$18:$D$157=IF($AO16="Yes",$AQ16,$KK16))*('Port Linkages'!$A$18:$A$157&lt;=$C16))))</f>
        <v>none</v>
      </c>
      <c r="ACN16" s="25" t="e">
        <f t="array" aca="1" ref="ACN16" ca="1">INDEX('Ship Fuel Prices'!$F$5:$F$1004,MATCH(2,1/(('Ship Fuel Prices'!$E$5:$E$1004=_xlfn.IFS(AAC16="Handysize",Main!ACI16,AAC16="Supramax",ACB16,AAC16="Panamax",ABU16,AAC16="NeoPanamax",ABN16,AAC16="Suezmax",ABG16,AAC16="Capesize",AAZ16,AAC16="VLOC",AAS16))*('Ship Fuel Prices'!$D$5:$D$1004&lt;=Main!$C16))))</f>
        <v>#N/A</v>
      </c>
      <c r="ACO16" s="25" t="e">
        <f t="array" aca="1" ref="ACO16" ca="1">INDEX('Ship Fuel Prices'!$G$5:$G$1004,MATCH(2,1/(('Ship Fuel Prices'!$E$5:$E$1004=_xlfn.IFS(AAC16="Handysize",Main!ACI16,AAC16="Supramax",ACB16,AAC16="Panamax",ABU16,AAC16="NeoPanamax",ABN16,AAC16="Suezmax",ABG16,AAC16="Capesize",AAZ16,AAC16="VLOC",AAS16))*('Ship Fuel Prices'!$D$5:$D$1004&lt;=Main!$C16))))</f>
        <v>#N/A</v>
      </c>
      <c r="ACP16" s="25" t="e">
        <f t="array" aca="1" ref="ACP16" ca="1">INDEX('Ship Fuel Prices'!$H$5:$H$1004,MATCH(2,1/(('Ship Fuel Prices'!$E$5:$E$1004=_xlfn.IFS(AAC16="Handysize",Main!ACI16,AAC16="Supramax",ACB16,AAC16="Panamax",ABU16,AAC16="NeoPanamax",ABN16,AAC16="Suezmax",ABG16,AAC16="Capesize",AAZ16,AAC16="VLOC",AAS16))*('Ship Fuel Prices'!$D$5:$D$1004&lt;=Main!$C16))))</f>
        <v>#N/A</v>
      </c>
      <c r="ACQ16" s="25" t="e">
        <f t="array" aca="1" ref="ACQ16" ca="1">INDEX('Ship Fuel Prices'!$I$5:$I$1004,MATCH(2,1/(('Ship Fuel Prices'!$E$5:$E$1004=_xlfn.IFS(AAC16="Handysize",Main!ACI16,AAC16="Supramax",ACB16,AAC16="Panamax",ABU16,AAC16="NeoPanamax",ABN16,AAC16="Suezmax",ABG16,AAC16="Capesize",AAZ16,AAC16="VLOC",AAS16))*('Ship Fuel Prices'!$D$5:$D$1004&lt;=Main!$C16))))</f>
        <v>#N/A</v>
      </c>
      <c r="ACR16" s="25" t="e">
        <f t="array" aca="1" ref="ACR16" ca="1">INDEX('Ship Fuel Prices'!$J$5:$J$1004,MATCH(2,1/(('Ship Fuel Prices'!$E$5:$E$1004=_xlfn.IFS(AAC16="Handysize",Main!ACI16,AAC16="Supramax",ACB16,AAC16="Panamax",ABU16,AAC16="NeoPanamax",ABN16,AAC16="Suezmax",ABG16,AAC16="Capesize",AAZ16,AAC16="VLOC",AAS16))*('Ship Fuel Prices'!$D$5:$D$1004&lt;=Main!$C16))))</f>
        <v>#N/A</v>
      </c>
      <c r="ACT16" s="75">
        <f t="array" ref="ACT16">INDEX('China n Importing Ports'!$E$20:$E$41,MATCH(2,1/(('China n Importing Ports'!$D$20:$D$41&lt;=$C16)*('China n Importing Ports'!$C$20:$C$41=IF($AO16="Yes",$AQ16,$KK16)))))</f>
        <v>42500</v>
      </c>
      <c r="ACU16" s="75">
        <f t="array" ref="ACU16">INDEX('China n Importing Ports'!$F$20:$F$41,MATCH(2,1/(('China n Importing Ports'!$D$20:$D$41&lt;=$C16)*('China n Importing Ports'!$C$20:$C$41=IF($AO16="Yes",$AQ16,$KK16)))))</f>
        <v>42500</v>
      </c>
      <c r="ACV16" s="75">
        <f t="array" ref="ACV16">INDEX('China n Importing Ports'!$G$20:$G$41,MATCH(2,1/(('China n Importing Ports'!$D$20:$D$41&lt;=$C16)*('China n Importing Ports'!$C$20:$C$41=IF($AO16="Yes",$AQ16,$KK16)))))</f>
        <v>42500</v>
      </c>
      <c r="ACW16" s="75">
        <f t="array" ref="ACW16">INDEX('China n Importing Ports'!$H$20:$H$41,MATCH(2,1/(('China n Importing Ports'!$D$20:$D$41&lt;=$C16)*('China n Importing Ports'!$C$20:$C$41=IF($AO16="Yes",$AQ16,$KK16)))))</f>
        <v>42500</v>
      </c>
      <c r="ACX16" s="75">
        <f t="array" ref="ACX16">INDEX('China n Importing Ports'!$I$20:$I$41,MATCH(2,1/(('China n Importing Ports'!$D$20:$D$41&lt;=$C16)*('China n Importing Ports'!$C$20:$C$41=IF($AO16="Yes",$AQ16,$KK16)))))</f>
        <v>42500</v>
      </c>
      <c r="ACY16" s="75">
        <f t="array" ref="ACY16">INDEX('China n Importing Ports'!$J$20:$J$41,MATCH(2,1/(('China n Importing Ports'!$D$20:$D$41&lt;=$C16)*('China n Importing Ports'!$C$20:$C$41=IF($AO16="Yes",$AQ16,$KK16)))))</f>
        <v>42500</v>
      </c>
      <c r="ACZ16" s="75">
        <f t="array" ref="ACZ16">INDEX('China n Importing Ports'!$K$20:$K$41,MATCH(2,1/(('China n Importing Ports'!$D$20:$D$41&lt;=$C16)*('China n Importing Ports'!$C$20:$C$41=IF($AO16="Yes",$AQ16,$KK16)))))</f>
        <v>42500</v>
      </c>
      <c r="ADA16" s="75" t="str">
        <f t="array" ref="ADA16">INDEX('China n Importing Ports'!$L$20:$L$41,MATCH(2,1/(('China n Importing Ports'!$D$20:$D$41&lt;=$C16)*('China n Importing Ports'!$C$20:$C$41=IF($AO16="Yes",$AQ16,$KK16)))))</f>
        <v>RMB</v>
      </c>
      <c r="ADB16" s="75">
        <f t="array" ref="ADB16">INDEX('China n Importing Ports'!$M$20:$M$41,MATCH(2,1/(('China n Importing Ports'!$D$20:$D$41&lt;=$C16)*('China n Importing Ports'!$C$20:$C$41=IF($AO16="Yes",$AQ16,$KK16)))))</f>
        <v>12342</v>
      </c>
      <c r="ADC16" s="75">
        <f t="array" ref="ADC16">INDEX('China n Importing Ports'!$N$20:$N$41,MATCH(2,1/(('China n Importing Ports'!$D$20:$D$41&lt;=$C16)*('China n Importing Ports'!$C$20:$C$41=IF($AO16="Yes",$AQ16,$KK16)))))</f>
        <v>0</v>
      </c>
      <c r="ADD16" s="75">
        <f t="array" ref="ADD16">INDEX('China n Importing Ports'!$O$20:$O$41,MATCH(2,1/(('China n Importing Ports'!$D$20:$D$41&lt;=$C16)*('China n Importing Ports'!$C$20:$C$41=IF($AO16="Yes",$AQ16,$KK16)))))</f>
        <v>0</v>
      </c>
      <c r="ADE16" s="136">
        <f t="array" ref="ADE16">INDEX('China n Importing Ports'!$P$20:$P$41,MATCH(2,1/(('China n Importing Ports'!$D$20:$D$41&lt;=$C16)*('China n Importing Ports'!$C$20:$C$41=IF($AO16="Yes",$AQ16,$KK16)))))</f>
        <v>2.64</v>
      </c>
      <c r="ADF16" s="136">
        <f t="array" ref="ADF16">INDEX('China n Importing Ports'!$Q$20:$Q$41,MATCH(2,1/(('China n Importing Ports'!$D$20:$D$41&lt;=$C16)*('China n Importing Ports'!$C$20:$C$41=IF($AO16="Yes",$AQ16,$KK16)))))</f>
        <v>0</v>
      </c>
      <c r="ADG16" s="136">
        <f t="array" ref="ADG16">INDEX('China n Importing Ports'!$R$20:$R$41,MATCH(2,1/(('China n Importing Ports'!$D$20:$D$41&lt;=$C16)*('China n Importing Ports'!$C$20:$C$41=IF($AO16="Yes",$AQ16,$KK16)))))</f>
        <v>0</v>
      </c>
      <c r="ADH16" s="136">
        <f t="array" ref="ADH16">INDEX('China n Importing Ports'!$S$20:$S$41,MATCH(2,1/(('China n Importing Ports'!$D$20:$D$41&lt;=$C16)*('China n Importing Ports'!$C$20:$C$41=IF($AO16="Yes",$AQ16,$KK16)))))</f>
        <v>4.53</v>
      </c>
      <c r="ADI16" s="136">
        <f t="array" ref="ADI16">INDEX('China n Importing Ports'!$T$20:$T$41,MATCH(2,1/(('China n Importing Ports'!$D$20:$D$41&lt;=$C16)*('China n Importing Ports'!$C$20:$C$41=IF($AO16="Yes",$AQ16,$KK16)))))</f>
        <v>0.36699999999999999</v>
      </c>
      <c r="ADJ16" s="136">
        <f t="array" ref="ADJ16">INDEX('China n Importing Ports'!$U$20:$U$41,MATCH(2,1/(('China n Importing Ports'!$D$20:$D$41&lt;=$C16)*('China n Importing Ports'!$C$20:$C$41=IF($AO16="Yes",$AQ16,$KK16)))))</f>
        <v>0.05</v>
      </c>
      <c r="ADK16" s="136">
        <f t="array" ref="ADK16">INDEX('China n Importing Ports'!$V$20:$V$41,MATCH(2,1/(('China n Importing Ports'!$D$20:$D$41&lt;=$C16)*('China n Importing Ports'!$C$20:$C$41=IF($AO16="Yes",$AQ16,$KK16)))))</f>
        <v>0</v>
      </c>
      <c r="ADL16" s="136">
        <f t="array" ref="ADL16">INDEX('China n Importing Ports'!$W$20:$W$41,MATCH(2,1/(('China n Importing Ports'!$D$20:$D$41&lt;=$C16)*('China n Importing Ports'!$C$20:$C$41=IF($AO16="Yes",$AQ16,$KK16)))))</f>
        <v>0</v>
      </c>
      <c r="ADM16" s="136">
        <f t="array" ref="ADM16">INDEX('China n Importing Ports'!$X$20:$X$41,MATCH(2,1/(('China n Importing Ports'!$D$20:$D$41&lt;=$C16)*('China n Importing Ports'!$C$20:$C$41=IF($AO16="Yes",$AQ16,$KK16)))))</f>
        <v>0</v>
      </c>
      <c r="ADN16" s="136">
        <f t="array" ref="ADN16">INDEX('China n Importing Ports'!$Y$20:$Y$41,MATCH(2,1/(('China n Importing Ports'!$D$20:$D$41&lt;=$C16)*('China n Importing Ports'!$C$20:$C$41=IF($AO16="Yes",$AQ16,$KK16)))))</f>
        <v>197</v>
      </c>
      <c r="ADO16" s="136">
        <f t="array" ref="ADO16">INDEX('China n Importing Ports'!$Z$20:$Z$41,MATCH(2,1/(('China n Importing Ports'!$D$20:$D$41&lt;=$C16)*('China n Importing Ports'!$C$20:$C$41=IF($AO16="Yes",$AQ16,$KK16)))))</f>
        <v>0</v>
      </c>
      <c r="ADP16" s="136">
        <f t="array" ref="ADP16">INDEX('China n Importing Ports'!$AA$20:$AA$41,MATCH(2,1/(('China n Importing Ports'!$D$20:$D$41&lt;=$C16)*('China n Importing Ports'!$C$20:$C$41=IF($AO16="Yes",$AQ16,$KK16)))))</f>
        <v>0</v>
      </c>
      <c r="ADR16" s="75" t="e">
        <f t="array" aca="1" ref="ADR16" ca="1">INDEX(Canals!$G$24:$G$29,MATCH(2,1/((Canals!$F$24:$F$29&lt;=$C16)*(Canals!$G$24:$G$29=_xlfn.IFS(AAC16="Handysize",Main!ACL16,AAC16="Supramax",ACE16,AAC16="Panamax",ABX16,AAC16="NeoPanamax",ABQ16,AAC16="Suezmax",ABJ16,AAC16="Capesize",ABC16,AAC16="VLOC",AAV16)))))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S16" s="75" t="e">
        <f t="array" aca="1" ref="ADS16" ca="1">INDEX(Canals!$H$24:$H$29,MATCH(2,1/((Canals!$F$24:$F$29&lt;=$C16)*(Canals!$G$24:$G$29=_xlfn.IFS(AAC16="Handysize",Main!ACL16,AAC16="Supramax",ACE16,AAC16="Panamax",ABX16,AAC16="NeoPanamax",ABQ16,AAC16="Suezmax",ABJ16,AAC16="Capesize",ABC16,AAC16="VLOC",AAV16)))))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T16" s="75" t="e">
        <f t="array" aca="1" ref="ADT16" ca="1">INDEX(Canals!$I$24:$I$29,MATCH(2,1/((Canals!$F$24:$F$29&lt;=$C16)*(Canals!$G$24:$G$29=_xlfn.IFS(AAC16="Handysize",Main!ACL16,AAC16="Supramax",ACE16,AAC16="Panamax",ABX16,AAC16="NeoPanamax",ABQ16,AAC16="Suezmax",ABJ16,AAC16="Capesize",ABC16,AAC16="VLOC",AAV16)))))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U16" s="75" t="e">
        <f t="array" aca="1" ref="ADU16" ca="1">INDEX(Canals!$J$24:$J$29,MATCH(2,1/((Canals!$F$24:$F$29&lt;=$C16)*(Canals!$G$24:$G$29=_xlfn.IFS(AAC16="Handysize",Main!ACL16,AAC16="Supramax",ACE16,AAC16="Panamax",ABX16,AAC16="NeoPanamax",ABQ16,AAC16="Suezmax",ABJ16,AAC16="Capesize",ABC16,AAC16="VLOC",AAV16)))))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V16" s="75" t="e">
        <f t="array" aca="1" ref="ADV16" ca="1">INDEX(Canals!$K$24:$K$29,MATCH(2,1/((Canals!$F$24:$F$29&lt;=$C16)*(Canals!$G$24:$G$29=_xlfn.IFS(AAC16="Handysize",Main!ACL16,AAC16="Supramax",ACE16,AAC16="Panamax",ABX16,AAC16="NeoPanamax",ABQ16,AAC16="Suezmax",ABJ16,AAC16="Capesize",ABC16,AAC16="VLOC",AAV16)))))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W16" s="75" t="e">
        <f t="array" aca="1" ref="ADW16" ca="1">INDEX(Canals!$L$24:$L$29,MATCH(2,1/((Canals!$F$24:$F$29&lt;=$C16)*(Canals!$G$24:$G$29=_xlfn.IFS(AAC16="Handysize",Main!ACL16,AAC16="Supramax",ACE16,AAC16="Panamax",ABX16,AAC16="NeoPanamax",ABQ16,AAC16="Suezmax",ABJ16,AAC16="Capesize",ABC16,AAC16="VLOC",AAV16)))))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X16" s="75" t="e">
        <f t="array" aca="1" ref="ADX16" ca="1">INDEX(Canals!$M$24:$M$29,MATCH(2,1/((Canals!$F$24:$F$29&lt;=$C16)*(Canals!$G$24:$G$29=_xlfn.IFS(AAC16="Handysize",Main!ACL16,AAC16="Supramax",ACE16,AAC16="Panamax",ABX16,AAC16="NeoPanamax",ABQ16,AAC16="Suezmax",ABJ16,AAC16="Capesize",ABC16,AAC16="VLOC",AAV16)))))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Y16" s="75" t="e">
        <f t="array" aca="1" ref="ADY16" ca="1">INDEX(Canals!$N$24:$N$29,MATCH(2,1/((Canals!$F$24:$F$29&lt;=$C16)*(Canals!$G$24:$G$29=_xlfn.IFS(AAC16="Handysize",Main!ACL16,AAC16="Supramax",ACE16,AAC16="Panamax",ABX16,AAC16="NeoPanamax",ABQ16,AAC16="Suezmax",ABJ16,AAC16="Capesize",ABC16,AAC16="VLOC",AAV16)))))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DZ16" s="75" t="e">
        <f t="array" aca="1" ref="ADZ16" ca="1">INDEX(Canals!$O$24:$O$29,MATCH(2,1/((Canals!$F$24:$F$29&lt;=$C16)*(Canals!$G$24:$G$29=_xlfn.IFS(AAC16="Handysize",Main!ACL16,AAC16="Supramax",ACE16,AAC16="Panamax",ABX16,AAC16="NeoPanamax",ABQ16,AAC16="Suezmax",ABJ16,AAC16="Capesize",ABC16,AAC16="VLOC",AAV16)))))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A16" s="75" t="e">
        <f t="array" aca="1" ref="AEA16" ca="1">INDEX(Canals!$P$24:$P$29,MATCH(2,1/((Canals!$F$24:$F$29&lt;=$C16)*(Canals!$G$24:$G$29=_xlfn.IFS(AAC16="Handysize",Main!ACL16,AAC16="Supramax",ACE16,AAC16="Panamax",ABX16,AAC16="NeoPanamax",ABQ16,AAC16="Suezmax",ABJ16,AAC16="Capesize",ABC16,AAC16="VLOC",AAV16)))))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B16" s="75" t="e">
        <f t="array" aca="1" ref="AEB16" ca="1">INDEX(Canals!$Q$24:$Q$29,MATCH(2,1/((Canals!$F$24:$F$29&lt;=$C16)*(Canals!$G$24:$G$29=_xlfn.IFS(AAC16="Handysize",Main!ACL16,AAC16="Supramax",ACE16,AAC16="Panamax",ABX16,AAC16="NeoPanamax",ABQ16,AAC16="Suezmax",ABJ16,AAC16="Capesize",ABC16,AAC16="VLOC",AAV16)))))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C16" s="75" t="e">
        <f t="array" aca="1" ref="AEC16" ca="1">INDEX(Canals!$R$24:$R$29,MATCH(2,1/((Canals!$F$24:$F$29&lt;=$C16)*(Canals!$G$24:$G$29=_xlfn.IFS(AAC16="Handysize",Main!ACL16,AAC16="Supramax",ACE16,AAC16="Panamax",ABX16,AAC16="NeoPanamax",ABQ16,AAC16="Suezmax",ABJ16,AAC16="Capesize",ABC16,AAC16="VLOC",AAV16)))))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D16" s="136" t="e">
        <f t="array" aca="1" ref="AED16" ca="1">INDEX(Canals!$S$24:$S$29,MATCH(2,1/((Canals!$F$24:$F$29&lt;=$C16)*(Canals!$G$24:$G$29=_xlfn.IFS(AAC16="Handysize",Main!ACL16,AAC16="Supramax",ACE16,AAC16="Panamax",ABX16,AAC16="NeoPanamax",ABQ16,AAC16="Suezmax",ABJ16,AAC16="Capesize",ABC16,AAC16="VLOC",AAV16)))))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E16" s="136" t="e">
        <f t="array" aca="1" ref="AEE16" ca="1">INDEX(Canals!$T$24:$T$29,MATCH(2,1/((Canals!$F$24:$F$29&lt;=$C16)*(Canals!$G$24:$G$29=_xlfn.IFS(AAC16="Handysize",Main!ACL16,AAC16="Supramax",ACE16,AAC16="Panamax",ABX16,AAC16="NeoPanamax",ABQ16,AAC16="Suezmax",ABJ16,AAC16="Capesize",ABC16,AAC16="VLOC",AAV16)))))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F16" s="136" t="e">
        <f t="array" aca="1" ref="AEF16" ca="1">INDEX(Canals!$U$24:$U$29,MATCH(2,1/((Canals!$F$24:$F$29&lt;=$C16)*(Canals!$G$24:$G$29=_xlfn.IFS(AAC16="Handysize",Main!ACL16,AAC16="Supramax",ACE16,AAC16="Panamax",ABX16,AAC16="NeoPanamax",ABQ16,AAC16="Suezmax",ABJ16,AAC16="Capesize",ABC16,AAC16="VLOC",AAV16)))))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G16" s="136" t="e">
        <f t="array" aca="1" ref="AEG16" ca="1">INDEX(Canals!$V$24:$V$29,MATCH(2,1/((Canals!$F$24:$F$29&lt;=$C16)*(Canals!$G$24:$G$29=_xlfn.IFS(AAC16="Handysize",Main!ACL16,AAC16="Supramax",ACE16,AAC16="Panamax",ABX16,AAC16="NeoPanamax",ABQ16,AAC16="Suezmax",ABJ16,AAC16="Capesize",ABC16,AAC16="VLOC",AAV16)))))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H16" s="136" t="e">
        <f t="array" aca="1" ref="AEH16" ca="1">INDEX(Canals!$W$24:$W$29,MATCH(2,1/((Canals!$F$24:$F$29&lt;=$C16)*(Canals!$G$24:$G$29=_xlfn.IFS(AAC16="Handysize",Main!ACL16,AAC16="Supramax",ACE16,AAC16="Panamax",ABX16,AAC16="NeoPanamax",ABQ16,AAC16="Suezmax",ABJ16,AAC16="Capesize",ABC16,AAC16="VLOC",AAV16)))))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I16" s="136" t="e">
        <f t="array" aca="1" ref="AEI16" ca="1">INDEX(Canals!$X$24:$X$29,MATCH(2,1/((Canals!$F$24:$F$29&lt;=$C16)*(Canals!$G$24:$G$29=_xlfn.IFS(AAC16="Handysize",Main!ACL16,AAC16="Supramax",ACE16,AAC16="Panamax",ABX16,AAC16="NeoPanamax",ABQ16,AAC16="Suezmax",ABJ16,AAC16="Capesize",ABC16,AAC16="VLOC",AAV16)))))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J16" s="136" t="e">
        <f t="array" aca="1" ref="AEJ16" ca="1">INDEX(Canals!$Y$24:$Y$29,MATCH(2,1/((Canals!$F$24:$F$29&lt;=$C16)*(Canals!$G$24:$G$29=_xlfn.IFS(AAC16="Handysize",Main!ACL16,AAC16="Supramax",ACE16,AAC16="Panamax",ABX16,AAC16="NeoPanamax",ABQ16,AAC16="Suezmax",ABJ16,AAC16="Capesize",ABC16,AAC16="VLOC",AAV16)))))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K16" s="136" t="e">
        <f t="array" aca="1" ref="AEK16" ca="1">INDEX(Canals!$Z$24:$Z$29,MATCH(2,1/((Canals!$F$24:$F$29&lt;=$C16)*(Canals!$G$24:$G$29=_xlfn.IFS(AAC16="Handysize",Main!ACL16,AAC16="Supramax",ACE16,AAC16="Panamax",ABX16,AAC16="NeoPanamax",ABQ16,AAC16="Suezmax",ABJ16,AAC16="Capesize",ABC16,AAC16="VLOC",AAV16)))))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L16" s="136" t="e">
        <f t="array" aca="1" ref="AEL16" ca="1">INDEX(Canals!$AA$24:$AA$29,MATCH(2,1/((Canals!$F$24:$F$29&lt;=$C16)*(Canals!$G$24:$G$29=_xlfn.IFS(AAC16="Handysize",Main!ACL16,AAC16="Supramax",ACE16,AAC16="Panamax",ABX16,AAC16="NeoPanamax",ABQ16,AAC16="Suezmax",ABJ16,AAC16="Capesize",ABC16,AAC16="VLOC",AAV16)))))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M16" s="136" t="e">
        <f t="array" aca="1" ref="AEM16" ca="1">INDEX(Canals!$AB$24:$AB$29,MATCH(2,1/((Canals!$F$24:$F$29&lt;=$C16)*(Canals!$G$24:$G$29=_xlfn.IFS(AAC16="Handysize",Main!ACL16,AAC16="Supramax",ACE16,AAC16="Panamax",ABX16,AAC16="NeoPanamax",ABQ16,AAC16="Suezmax",ABJ16,AAC16="Capesize",ABC16,AAC16="VLOC",AAV16)))))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N16" s="75" t="e">
        <f t="array" aca="1" ref="AEN16" ca="1">INDEX(Canals!$AC$24:$AC$29,MATCH(2,1/((Canals!$F$24:$F$29&lt;=$C16)*(Canals!$G$24:$G$29=_xlfn.IFS(AAC16="Handysize",Main!ACL16,AAC16="Supramax",ACE16,AAC16="Panamax",ABX16,AAC16="NeoPanamax",ABQ16,AAC16="Suezmax",ABJ16,AAC16="Capesize",ABC16,AAC16="VLOC",AAV16)))))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O16" s="75" t="e">
        <f t="array" aca="1" ref="AEO16" ca="1">INDEX(Canals!$AD$24:$AD$29,MATCH(2,1/((Canals!$F$24:$F$29&lt;=$C16)*(Canals!$G$24:$G$29=_xlfn.IFS(AAC16="Handysize",Main!ACL16,AAC16="Supramax",ACE16,AAC16="Panamax",ABX16,AAC16="NeoPanamax",ABQ16,AAC16="Suezmax",ABJ16,AAC16="Capesize",ABC16,AAC16="VLOC",AAV16)))))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P16" s="75" t="e">
        <f t="array" aca="1" ref="AEP16" ca="1">INDEX(Canals!$AE$24:$AE$29,MATCH(2,1/((Canals!$F$24:$F$29&lt;=$C16)*(Canals!$G$24:$G$29=_xlfn.IFS(AAC16="Handysize",Main!ACL16,AAC16="Supramax",ACE16,AAC16="Panamax",ABX16,AAC16="NeoPanamax",ABQ16,AAC16="Suezmax",ABJ16,AAC16="Capesize",ABC16,AAC16="VLOC",AAV16)))))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Q16" s="75" t="e">
        <f t="array" aca="1" ref="AEQ16" ca="1">INDEX(Canals!$AF$24:$AF$29,MATCH(2,1/((Canals!$F$24:$F$29&lt;=$C16)*(Canals!$G$24:$G$29=_xlfn.IFS(AAC16="Handysize",Main!ACL16,AAC16="Supramax",ACE16,AAC16="Panamax",ABX16,AAC16="NeoPanamax",ABQ16,AAC16="Suezmax",ABJ16,AAC16="Capesize",ABC16,AAC16="VLOC",AAV16)))))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R16" s="75" t="e">
        <f t="array" aca="1" ref="AER16" ca="1">INDEX(Canals!$AG$24:$AG$29,MATCH(2,1/((Canals!$F$24:$F$29&lt;=$C16)*(Canals!$G$24:$G$29=_xlfn.IFS(AAC16="Handysize",Main!ACL16,AAC16="Supramax",ACE16,AAC16="Panamax",ABX16,AAC16="NeoPanamax",ABQ16,AAC16="Suezmax",ABJ16,AAC16="Capesize",ABC16,AAC16="VLOC",AAV16)))))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S16" s="75" t="e">
        <f t="array" aca="1" ref="AES16" ca="1">INDEX(Canals!$AH$24:$AH$29,MATCH(2,1/((Canals!$F$24:$F$29&lt;=$C16)*(Canals!$G$24:$G$29=_xlfn.IFS(AAC16="Handysize",Main!ACL16,AAC16="Supramax",ACE16,AAC16="Panamax",ABX16,AAC16="NeoPanamax",ABQ16,AAC16="Suezmax",ABJ16,AAC16="Capesize",ABC16,AAC16="VLOC",AAV16)))))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T16" s="75" t="e">
        <f t="array" aca="1" ref="AET16" ca="1">INDEX(Canals!$AI$24:$AI$29,MATCH(2,1/((Canals!$F$24:$F$29&lt;=$C16)*(Canals!$G$24:$G$29=_xlfn.IFS(AAC16="Handysize",Main!ACL16,AAC16="Supramax",ACE16,AAC16="Panamax",ABX16,AAC16="NeoPanamax",ABQ16,AAC16="Suezmax",ABJ16,AAC16="Capesize",ABC16,AAC16="VLOC",AAV16)))))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U16" s="75" t="e">
        <f t="array" aca="1" ref="AEU16" ca="1">INDEX(Canals!$AJ$24:$AJ$29,MATCH(2,1/((Canals!$F$24:$F$29&lt;=$C16)*(Canals!$G$24:$G$29=_xlfn.IFS(AAC16="Handysize",Main!ACL16,AAC16="Supramax",ACE16,AAC16="Panamax",ABX16,AAC16="NeoPanamax",ABQ16,AAC16="Suezmax",ABJ16,AAC16="Capesize",ABC16,AAC16="VLOC",AAV16)))))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V16" s="75" t="e">
        <f t="array" aca="1" ref="AEV16" ca="1">INDEX(Canals!$AK$24:$AK$29,MATCH(2,1/((Canals!$F$24:$F$29&lt;=$C16)*(Canals!$G$24:$G$29=_xlfn.IFS(AAC16="Handysize",Main!ACL16,AAC16="Supramax",ACE16,AAC16="Panamax",ABX16,AAC16="NeoPanamax",ABQ16,AAC16="Suezmax",ABJ16,AAC16="Capesize",ABC16,AAC16="VLOC",AAV16)))))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W16" s="136" t="e">
        <f t="array" aca="1" ref="AEW16" ca="1">INDEX(Canals!$AL$24:$AL$29,MATCH(2,1/((Canals!$F$24:$F$29&lt;=$C16)*(Canals!$G$24:$G$29=_xlfn.IFS(AAC16="Handysize",Main!ACL16,AAC16="Supramax",ACE16,AAC16="Panamax",ABX16,AAC16="NeoPanamax",ABQ16,AAC16="Suezmax",ABJ16,AAC16="Capesize",ABC16,AAC16="VLOC",AAV16)))))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X16" s="136" t="e">
        <f t="array" aca="1" ref="AEX16" ca="1">INDEX(Canals!$AM$24:$AM$29,MATCH(2,1/((Canals!$F$24:$F$29&lt;=$C16)*(Canals!$G$24:$G$29=_xlfn.IFS(AAC16="Handysize",Main!ACL16,AAC16="Supramax",ACE16,AAC16="Panamax",ABX16,AAC16="NeoPanamax",ABQ16,AAC16="Suezmax",ABJ16,AAC16="Capesize",ABC16,AAC16="VLOC",AAV16)))))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Y16" s="136" t="e">
        <f t="array" aca="1" ref="AEY16" ca="1">INDEX(Canals!$AN$24:$AN$29,MATCH(2,1/((Canals!$F$24:$F$29&lt;=$C16)*(Canals!$G$24:$G$29=_xlfn.IFS(AAC16="Handysize",Main!ACL16,AAC16="Supramax",ACE16,AAC16="Panamax",ABX16,AAC16="NeoPanamax",ABQ16,AAC16="Suezmax",ABJ16,AAC16="Capesize",ABC16,AAC16="VLOC",AAV16)))))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EZ16" s="136" t="e">
        <f t="array" aca="1" ref="AEZ16" ca="1">INDEX(Canals!$AO$24:$AO$29,MATCH(2,1/((Canals!$F$24:$F$29&lt;=$C16)*(Canals!$G$24:$G$29=_xlfn.IFS(AAC16="Handysize",Main!ACL16,AAC16="Supramax",ACE16,AAC16="Panamax",ABX16,AAC16="NeoPanamax",ABQ16,AAC16="Suezmax",ABJ16,AAC16="Capesize",ABC16,AAC16="VLOC",AAV16)))))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A16" s="136" t="e">
        <f t="array" aca="1" ref="AFA16" ca="1">INDEX(Canals!$AP$24:$AP$29,MATCH(2,1/((Canals!$F$24:$F$29&lt;=$C16)*(Canals!$G$24:$G$29=_xlfn.IFS(AAC16="Handysize",Main!ACL16,AAC16="Supramax",ACE16,AAC16="Panamax",ABX16,AAC16="NeoPanamax",ABQ16,AAC16="Suezmax",ABJ16,AAC16="Capesize",ABC16,AAC16="VLOC",AAV16)))))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B16" s="136" t="e">
        <f t="array" aca="1" ref="AFB16" ca="1">INDEX(Canals!$AQ$24:$AQ$29,MATCH(2,1/((Canals!$F$24:$F$29&lt;=$C16)*(Canals!$G$24:$G$29=_xlfn.IFS(AAC16="Handysize",Main!ACL16,AAC16="Supramax",ACE16,AAC16="Panamax",ABX16,AAC16="NeoPanamax",ABQ16,AAC16="Suezmax",ABJ16,AAC16="Capesize",ABC16,AAC16="VLOC",AAV16)))))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C16" s="136" t="e">
        <f t="array" aca="1" ref="AFC16" ca="1">INDEX(Canals!$AR$24:$AR$29,MATCH(2,1/((Canals!$F$24:$F$29&lt;=$C16)*(Canals!$G$24:$G$29=_xlfn.IFS(AAC16="Handysize",Main!ACL16,AAC16="Supramax",ACE16,AAC16="Panamax",ABX16,AAC16="NeoPanamax",ABQ16,AAC16="Suezmax",ABJ16,AAC16="Capesize",ABC16,AAC16="VLOC",AAV16)))))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D16" s="136" t="e">
        <f t="array" aca="1" ref="AFD16" ca="1">INDEX(Canals!$AS$24:$AS$29,MATCH(2,1/((Canals!$F$24:$F$29&lt;=$C16)*(Canals!$G$24:$G$29=_xlfn.IFS(AAC16="Handysize",Main!ACL16,AAC16="Supramax",ACE16,AAC16="Panamax",ABX16,AAC16="NeoPanamax",ABQ16,AAC16="Suezmax",ABJ16,AAC16="Capesize",ABC16,AAC16="VLOC",AAV16)))))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E16" s="136" t="e">
        <f t="array" aca="1" ref="AFE16" ca="1">INDEX(Canals!$AT$24:$AT$29,MATCH(2,1/((Canals!$F$24:$F$29&lt;=$C16)*(Canals!$G$24:$G$29=_xlfn.IFS(AAC16="Handysize",Main!ACL16,AAC16="Supramax",ACE16,AAC16="Panamax",ABX16,AAC16="NeoPanamax",ABQ16,AAC16="Suezmax",ABJ16,AAC16="Capesize",ABC16,AAC16="VLOC",AAV16)))))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F16" s="136" t="e">
        <f t="array" aca="1" ref="AFF16" ca="1">INDEX(Canals!$AU$24:$AU$29,MATCH(2,1/((Canals!$F$24:$F$29&lt;=$C16)*(Canals!$G$24:$G$29=_xlfn.IFS(AAC16="Handysize",Main!ACL16,AAC16="Supramax",ACE16,AAC16="Panamax",ABX16,AAC16="NeoPanamax",ABQ16,AAC16="Suezmax",ABJ16,AAC16="Capesize",ABC16,AAC16="VLOC",AAV16)))))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G16" s="136" t="e">
        <f t="array" aca="1" ref="AFG16" ca="1">INDEX(Canals!$AV$24:$AV$29,MATCH(2,1/((Canals!$F$24:$F$29&lt;=$C16)*(Canals!$G$24:$G$29=_xlfn.IFS(AAC16="Handysize",Main!ACL16,AAC16="Supramax",ACE16,AAC16="Panamax",ABX16,AAC16="NeoPanamax",ABQ16,AAC16="Suezmax",ABJ16,AAC16="Capesize",ABC16,AAC16="VLOC",AAV16)))))</f>
        <v>#N/A</v>
      </c>
      <c r="AFI16" s="75" t="e">
        <f t="array" aca="1" ref="AFI16" ca="1">_xlfn.IFS(ADT16="DWT",AAA16,ADT16="NRT",AAE16,ADT16="GRT",AAF16)</f>
        <v>#NAME?</v>
      </c>
      <c r="AFJ16" s="279" t="e">
        <f t="shared" ca="1" si="176"/>
        <v>#NAME?</v>
      </c>
      <c r="AFK16" s="280" t="e">
        <f t="shared" ca="1" si="177"/>
        <v>#NAME?</v>
      </c>
      <c r="AFL16" s="280" t="e">
        <f t="shared" ca="1" si="178"/>
        <v>#NAME?</v>
      </c>
      <c r="AFM16" s="280" t="e">
        <f t="shared" ca="1" si="179"/>
        <v>#NAME?</v>
      </c>
      <c r="AFN16" s="280" t="e">
        <f t="shared" ca="1" si="180"/>
        <v>#NAME?</v>
      </c>
      <c r="AFO16" s="280" t="e">
        <f t="shared" ca="1" si="181"/>
        <v>#NAME?</v>
      </c>
      <c r="AFP16" s="280" t="e">
        <f t="shared" ca="1" si="182"/>
        <v>#NAME?</v>
      </c>
      <c r="AFQ16" s="280" t="e">
        <f t="shared" ca="1" si="183"/>
        <v>#NAME?</v>
      </c>
      <c r="AFR16" s="280" t="e">
        <f t="shared" ca="1" si="184"/>
        <v>#NAME?</v>
      </c>
      <c r="AFS16" s="75">
        <f t="shared" si="185"/>
        <v>64350</v>
      </c>
      <c r="AFT16" s="279" t="e">
        <f t="shared" ca="1" si="186"/>
        <v>#N/A</v>
      </c>
      <c r="AFU16" s="280" t="e">
        <f t="shared" ca="1" si="187"/>
        <v>#N/A</v>
      </c>
      <c r="AFV16" s="280" t="e">
        <f t="shared" ca="1" si="188"/>
        <v>#N/A</v>
      </c>
      <c r="AFW16" s="280" t="e">
        <f t="shared" ca="1" si="189"/>
        <v>#N/A</v>
      </c>
      <c r="AFX16" s="280" t="e">
        <f t="shared" ca="1" si="190"/>
        <v>#N/A</v>
      </c>
      <c r="AFY16" s="280" t="e">
        <f t="shared" ca="1" si="191"/>
        <v>#N/A</v>
      </c>
      <c r="AFZ16" s="280" t="e">
        <f t="shared" ca="1" si="192"/>
        <v>#N/A</v>
      </c>
      <c r="AGA16" s="280" t="e">
        <f t="shared" ca="1" si="193"/>
        <v>#N/A</v>
      </c>
      <c r="AGB16" s="280" t="e">
        <f t="shared" ca="1" si="194"/>
        <v>#N/A</v>
      </c>
      <c r="AGD16" s="75" t="e">
        <f t="array" aca="1" ref="AGD16" ca="1">_xlfn.IFS(AAC16="Handysize",Main!ACF16,AAC16="Supramax",ABY16,AAC16="Panamax",ABR16,AAC16="NeoPanamax",ABK16,AAC16="Suezmax",ABD16,AAC16="Capesize",AAW16,AAC16="VLOC",AAP16)*$JI16</f>
        <v>#NAME?</v>
      </c>
      <c r="AGE16" s="274" t="e">
        <f t="array" aca="1" ref="AGE16" ca="1">_xlfn.IFS(AAC16="Handysize",Main!ACG16,AAC16="Supramax",ABZ16,AAC16="Panamax",ABS16,AAC16="NeoPanamax",ABL16,AAC16="Suezmax",ABE16,AAC16="Capesize",AAX16,AAC16="VLOC",AAQ16)*$JI16</f>
        <v>#NAME?</v>
      </c>
      <c r="AGF16" s="71" t="e">
        <f t="array" aca="1" ref="AGF16" ca="1">_xlfn.IFS(AAC16="Handysize",Main!AAH16,AAC16="Supramax",AAI16,AAC16="Panamax",AAJ16,AAC16="NeoPanamax",AAK16,AAC16="Suezmax",AAL16,AAC16="Capesize",AAM16,AAC16="VLOC",AAN16)</f>
        <v>#NAME?</v>
      </c>
      <c r="AGG16" s="71" t="e">
        <f t="array" aca="1" ref="AGG16" ca="1">_xlfn.IFS(AAC16="Handysize",Main!ACT16,AAC16="Supramax",ACU16,AAC16="Panamax",ACV16,AAC16="NeoPanamax",ACW16,AAC16="Suezmax",ACX16,AAC16="Capesize",ACY16,AAC16="VLOC",ACZ16)</f>
        <v>#NAME?</v>
      </c>
      <c r="AGH16" s="70">
        <f t="array" ref="AGH16">INDEX('Ship Speeds'!$G$11:$G$1011,MATCH(2,1/(('Ship Speeds'!$E$11:$E$1011&lt;=Main!$C16)*('Ship Speeds'!$F$11:$F$1011=Main!AAB16))))</f>
        <v>11</v>
      </c>
      <c r="AGI16" s="403">
        <f t="shared" si="195"/>
        <v>19.121383221186878</v>
      </c>
      <c r="AGJ16" s="401">
        <f t="shared" si="196"/>
        <v>1.9048799999999999</v>
      </c>
      <c r="AGK16" s="70" t="e">
        <f t="shared" ca="1" si="197"/>
        <v>#NAME?</v>
      </c>
      <c r="AGL16" s="70" t="e">
        <f t="shared" ca="1" si="198"/>
        <v>#NAME?</v>
      </c>
      <c r="AGM16" s="70" t="e">
        <f t="shared" ca="1" si="199"/>
        <v>#NAME?</v>
      </c>
      <c r="AGN16" s="70" t="e">
        <f t="shared" ca="1" si="200"/>
        <v>#NAME?</v>
      </c>
      <c r="AGO16" s="72" t="e">
        <f t="shared" ca="1" si="201"/>
        <v>#N/A</v>
      </c>
      <c r="AGP16" s="70" t="e">
        <f t="shared" ca="1" si="202"/>
        <v>#NAME?</v>
      </c>
      <c r="AGQ16" s="70" t="e">
        <f t="array" aca="1" ref="AGQ16" ca="1">INDEX(ACN16:ACR16,MATCH(_xlfn.IFS(AAC16="Handysize",Main!ACJ16,AAC16="Supramax",ACC16,AAC16="Panamax",ABV16,AAC16="NeoPanamax",ABO16,AAC16="Suezmax",ABH16,AAC16="Capesize",ABA16,AAC16="VLOC",AAT16),$ACN$7:$ACR$7,0))</f>
        <v>#NAME?</v>
      </c>
      <c r="AGR16" s="70" t="e">
        <f t="array" aca="1" ref="AGR16" ca="1">INDEX(ACN16:ACR16,MATCH(_xlfn.IFS(AAC16="Handysize",Main!ACK16,AAC16="Supramax",ACD16,AAC16="Panamax",ABW16,AAC16="NeoPanamax",ABP16,AAC16="Suezmax",ABI16,AAC16="Capesize",ABB16,AAC16="VLOC",AAU16),$ACN$7:$ACR$7,0))</f>
        <v>#NAME?</v>
      </c>
      <c r="AGS16" s="71" t="e">
        <f t="shared" ca="1" si="203"/>
        <v>#NAME?</v>
      </c>
      <c r="AGT16" s="71" t="e">
        <f t="shared" ca="1" si="204"/>
        <v>#NAME?</v>
      </c>
      <c r="AGU16" s="281">
        <f t="shared" si="205"/>
        <v>7.0759999999999987</v>
      </c>
      <c r="AGV16" s="71">
        <f t="shared" si="206"/>
        <v>1744.2057659694747</v>
      </c>
      <c r="AGW16" s="71" t="e">
        <f t="shared" ca="1" si="207"/>
        <v>#NAME?</v>
      </c>
      <c r="AGX16" s="71" t="e">
        <f t="shared" ca="1" si="208"/>
        <v>#NAME?</v>
      </c>
      <c r="AGY16" s="71">
        <f t="shared" si="209"/>
        <v>24008.479366873944</v>
      </c>
      <c r="AGZ16" s="71" t="e">
        <f t="shared" ca="1" si="210"/>
        <v>#NAME?</v>
      </c>
      <c r="AHA16" s="71" t="e">
        <f t="shared" ca="1" si="211"/>
        <v>#NAME?</v>
      </c>
      <c r="AHB16" s="71">
        <f t="shared" si="212"/>
        <v>17044.733182589036</v>
      </c>
      <c r="AHC16" s="71" t="e">
        <f t="shared" ca="1" si="213"/>
        <v>#NAME?</v>
      </c>
      <c r="AHD16" s="71" t="e">
        <f t="shared" ca="1" si="214"/>
        <v>#NAME?</v>
      </c>
      <c r="AHE16" s="71">
        <f t="shared" si="215"/>
        <v>0</v>
      </c>
      <c r="AHF16" s="71" t="e">
        <f t="shared" ca="1" si="216"/>
        <v>#NAME?</v>
      </c>
      <c r="AHG16" s="71" t="e">
        <f t="shared" ca="1" si="217"/>
        <v>#NAME?</v>
      </c>
      <c r="AHH16" s="72">
        <f t="shared" si="218"/>
        <v>5665.7823629169025</v>
      </c>
      <c r="AHI16" s="72" t="e">
        <f t="shared" ca="1" si="219"/>
        <v>#NAME?</v>
      </c>
      <c r="AHJ16" s="71" t="e">
        <f t="shared" ca="1" si="220"/>
        <v>#NAME?</v>
      </c>
      <c r="AHK16" s="71" t="e">
        <f t="array" aca="1" ref="AHK16" ca="1">INDEX('Ship Time Charter Rates'!$H$22:$H$1021,MATCH(2,1/(('Ship Time Charter Rates'!$G$22:$G$1021=_xlfn.IFS(AAC16="Handysize",Main!ACH16,AAC16="Supramax",ACA16,AAC16="Panamax",ABT16,AAC16="NeoPanamax",ABM16,AAC16="Suezmax",ABF16,AAC16="Capesize",AAY16,AAC16="VLOC",AAR16))*('Ship Time Charter Rates'!$E$22:$E$1021&lt;=Main!$C16)*(NOT(ISBLANK('Ship Time Charter Rates'!$H$22:$H$1021))))))</f>
        <v>#N/A</v>
      </c>
      <c r="AHL16" s="71" t="e">
        <f t="shared" ca="1" si="221"/>
        <v>#NAME?</v>
      </c>
      <c r="AHM16" s="70" t="e">
        <f t="shared" ca="1" si="222"/>
        <v>#N/A</v>
      </c>
      <c r="AHN16" s="71" t="e">
        <f t="shared" ca="1" si="223"/>
        <v>#NAME?</v>
      </c>
      <c r="AHO16" s="71" t="e">
        <f t="shared" ca="1" si="306"/>
        <v>#NAME?</v>
      </c>
      <c r="AHP16" s="72" t="e">
        <f t="shared" ca="1" si="307"/>
        <v>#NAME?</v>
      </c>
      <c r="AHR16" s="25">
        <f t="shared" si="323"/>
        <v>0</v>
      </c>
      <c r="AHS16" s="4" t="str">
        <f>VLOOKUP(AHR16,'Ship Time Charter Rates'!$F$10:$G$17,2,TRUE)</f>
        <v>Handysize</v>
      </c>
      <c r="AHT16" s="4" t="str">
        <f>VLOOKUP(AHR16,Canals!$E$5:$F$12,2,TRUE)</f>
        <v>Handysize</v>
      </c>
      <c r="AHU16" s="25">
        <f t="shared" si="224"/>
        <v>145.88999999999999</v>
      </c>
      <c r="AHV16" s="25">
        <f t="shared" si="225"/>
        <v>0</v>
      </c>
      <c r="AHW16" s="25">
        <f t="shared" si="226"/>
        <v>4797</v>
      </c>
      <c r="AHY16" s="75">
        <f t="array" ref="AHY16">INDEX('Indices Mines Exporting Ports'!$R$20:$R$51,MATCH(2,1/(('Indices Mines Exporting Ports'!$D$20:$D$51&lt;=Main!$C16)*('Indices Mines Exporting Ports'!$Q$20:$Q$51=$AQ16))))</f>
        <v>0</v>
      </c>
      <c r="AHZ16" s="75">
        <f t="array" ref="AHZ16">INDEX('Indices Mines Exporting Ports'!$S$20:$S$51,MATCH(2,1/(('Indices Mines Exporting Ports'!$D$20:$D$51&lt;=Main!$C16)*('Indices Mines Exporting Ports'!$Q$20:$Q$51=$AQ16))))</f>
        <v>0</v>
      </c>
      <c r="AIA16" s="75">
        <f t="array" ref="AIA16">INDEX('Indices Mines Exporting Ports'!$T$20:$T$51,MATCH(2,1/(('Indices Mines Exporting Ports'!$D$20:$D$51&lt;=Main!$C16)*('Indices Mines Exporting Ports'!$Q$20:$Q$51=$AQ16))))</f>
        <v>0</v>
      </c>
      <c r="AIB16" s="75">
        <f t="array" ref="AIB16">INDEX('Indices Mines Exporting Ports'!$U$20:$U$51,MATCH(2,1/(('Indices Mines Exporting Ports'!$D$20:$D$51&lt;=Main!$C16)*('Indices Mines Exporting Ports'!$Q$20:$Q$51=$AQ16))))</f>
        <v>0</v>
      </c>
      <c r="AIC16" s="75">
        <f t="array" ref="AIC16">INDEX('Indices Mines Exporting Ports'!$V$20:$V$51,MATCH(2,1/(('Indices Mines Exporting Ports'!$D$20:$D$51&lt;=Main!$C16)*('Indices Mines Exporting Ports'!$Q$20:$Q$51=$AQ16))))</f>
        <v>0</v>
      </c>
      <c r="AID16" s="75">
        <f t="array" ref="AID16">INDEX('Indices Mines Exporting Ports'!$W$20:$W$51,MATCH(2,1/(('Indices Mines Exporting Ports'!$D$20:$D$51&lt;=Main!$C16)*('Indices Mines Exporting Ports'!$Q$20:$Q$51=$AQ16))))</f>
        <v>0</v>
      </c>
      <c r="AIE16" s="75">
        <f t="array" ref="AIE16">INDEX('Indices Mines Exporting Ports'!$X$20:$X$51,MATCH(2,1/(('Indices Mines Exporting Ports'!$D$20:$D$51&lt;=Main!$C16)*('Indices Mines Exporting Ports'!$Q$20:$Q$51=$AQ16))))</f>
        <v>0</v>
      </c>
      <c r="AIG16" s="75">
        <f t="array" ref="AIG16">INDEX('Port Linkages'!$E$18:$E$157,MATCH(2,1/(('Port Linkages'!$C$18:$C$157=$AQ16)*('Port Linkages'!$D$18:$D$157=IF($AO16="no",$AQ16,$KK16))*('Port Linkages'!$A$18:$A$157&lt;=$C16))))</f>
        <v>0</v>
      </c>
      <c r="AIH16" s="75">
        <f t="array" ref="AIH16">INDEX('Port Linkages'!$F$18:$F$157,MATCH(2,1/(('Port Linkages'!$C$18:$C$157=$AQ16)*('Port Linkages'!$D$18:$D$157=IF($AO16="no",$AQ16,$KK16))*('Port Linkages'!$A$18:$A$157&lt;=$C16))))</f>
        <v>0</v>
      </c>
      <c r="AII16" s="75">
        <f t="array" ref="AII16">INDEX('Port Linkages'!$G$18:$G$157,MATCH(2,1/(('Port Linkages'!$C$18:$C$157=$AQ16)*('Port Linkages'!$D$18:$D$157=IF($AO16="no",$AQ16,$KK16))*('Port Linkages'!$A$18:$A$157&lt;=$C16))))</f>
        <v>0</v>
      </c>
      <c r="AIJ16" s="75">
        <f t="array" ref="AIJ16">INDEX('Port Linkages'!$H$18:$H$157,MATCH(2,1/(('Port Linkages'!$C$18:$C$157=$AQ16)*('Port Linkages'!$D$18:$D$157=IF($AO16="no",$AQ16,$KK16))*('Port Linkages'!$A$18:$A$157&lt;=$C16))))</f>
        <v>0</v>
      </c>
      <c r="AIK16" s="75">
        <f t="array" ref="AIK16">INDEX('Port Linkages'!$I$18:$I$157,MATCH(2,1/(('Port Linkages'!$C$18:$C$157=$AQ16)*('Port Linkages'!$D$18:$D$157=IF($AO16="no",$AQ16,$KK16))*('Port Linkages'!$A$18:$A$157&lt;=$C16))))</f>
        <v>0</v>
      </c>
      <c r="AIL16" s="75">
        <f t="array" ref="AIL16">INDEX('Port Linkages'!$J$18:$J$157,MATCH(2,1/(('Port Linkages'!$C$18:$C$157=$AQ16)*('Port Linkages'!$D$18:$D$157=IF($AO16="no",$AQ16,$KK16))*('Port Linkages'!$A$18:$A$157&lt;=$C16))))</f>
        <v>0</v>
      </c>
      <c r="AIM16" s="75">
        <f t="array" ref="AIM16">INDEX('Port Linkages'!$K$18:$K$157,MATCH(2,1/(('Port Linkages'!$C$18:$C$157=$AQ16)*('Port Linkages'!$D$18:$D$157=IF($AO16="no",$AQ16,$KK16))*('Port Linkages'!$A$18:$A$157&lt;=$C16))))</f>
        <v>0</v>
      </c>
      <c r="AIN16" s="75">
        <f t="array" ref="AIN16">INDEX('Port Linkages'!$L$18:$L$157,MATCH(2,1/(('Port Linkages'!$C$18:$C$157=$AQ16)*('Port Linkages'!$D$18:$D$157=IF($AO16="no",$AQ16,$KK16))*('Port Linkages'!$A$18:$A$157&lt;=$C16))))</f>
        <v>0</v>
      </c>
      <c r="AIO16" s="75">
        <f t="array" ref="AIO16">INDEX('Port Linkages'!$M$18:$M$157,MATCH(2,1/(('Port Linkages'!$C$18:$C$157=$AQ16)*('Port Linkages'!$D$18:$D$157=IF($AO16="no",$AQ16,$KK16))*('Port Linkages'!$A$18:$A$157&lt;=$C16))))</f>
        <v>0</v>
      </c>
      <c r="AIP16" s="75">
        <f t="array" ref="AIP16">INDEX('Port Linkages'!$N$18:$N$157,MATCH(2,1/(('Port Linkages'!$C$18:$C$157=$AQ16)*('Port Linkages'!$D$18:$D$157=IF($AO16="no",$AQ16,$KK16))*('Port Linkages'!$A$18:$A$157&lt;=$C16))))</f>
        <v>0</v>
      </c>
      <c r="AIQ16" s="75">
        <f t="array" ref="AIQ16">INDEX('Port Linkages'!$O$18:$O$157,MATCH(2,1/(('Port Linkages'!$C$18:$C$157=$AQ16)*('Port Linkages'!$D$18:$D$157=IF($AO16="no",$AQ16,$KK16))*('Port Linkages'!$A$18:$A$157&lt;=$C16))))</f>
        <v>0</v>
      </c>
      <c r="AIR16" s="75">
        <f t="array" ref="AIR16">INDEX('Port Linkages'!$P$18:$P$157,MATCH(2,1/(('Port Linkages'!$C$18:$C$157=$AQ16)*('Port Linkages'!$D$18:$D$157=IF($AO16="no",$AQ16,$KK16))*('Port Linkages'!$A$18:$A$157&lt;=$C16))))</f>
        <v>0</v>
      </c>
      <c r="AIS16" s="75">
        <f t="array" ref="AIS16">INDEX('Port Linkages'!$Q$18:$Q$157,MATCH(2,1/(('Port Linkages'!$C$18:$C$157=$AQ16)*('Port Linkages'!$D$18:$D$157=IF($AO16="no",$AQ16,$KK16))*('Port Linkages'!$A$18:$A$157&lt;=$C16))))</f>
        <v>0</v>
      </c>
      <c r="AIT16" s="75">
        <f t="array" ref="AIT16">INDEX('Port Linkages'!$R$18:$R$157,MATCH(2,1/(('Port Linkages'!$C$18:$C$157=$AQ16)*('Port Linkages'!$D$18:$D$157=IF($AO16="no",$AQ16,$KK16))*('Port Linkages'!$A$18:$A$157&lt;=$C16))))</f>
        <v>0</v>
      </c>
      <c r="AIU16" s="75">
        <f t="array" ref="AIU16">INDEX('Port Linkages'!$S$18:$S$157,MATCH(2,1/(('Port Linkages'!$C$18:$C$157=$AQ16)*('Port Linkages'!$D$18:$D$157=IF($AO16="no",$AQ16,$KK16))*('Port Linkages'!$A$18:$A$157&lt;=$C16))))</f>
        <v>0</v>
      </c>
      <c r="AIV16" s="75">
        <f t="array" ref="AIV16">INDEX('Port Linkages'!$T$18:$T$157,MATCH(2,1/(('Port Linkages'!$C$18:$C$157=$AQ16)*('Port Linkages'!$D$18:$D$157=IF($AO16="no",$AQ16,$KK16))*('Port Linkages'!$A$18:$A$157&lt;=$C16))))</f>
        <v>0</v>
      </c>
      <c r="AIW16" s="75">
        <f t="array" ref="AIW16">INDEX('Port Linkages'!$U$18:$U$157,MATCH(2,1/(('Port Linkages'!$C$18:$C$157=$AQ16)*('Port Linkages'!$D$18:$D$157=IF($AO16="no",$AQ16,$KK16))*('Port Linkages'!$A$18:$A$157&lt;=$C16))))</f>
        <v>0</v>
      </c>
      <c r="AIX16" s="75">
        <f t="array" ref="AIX16">INDEX('Port Linkages'!$V$18:$V$157,MATCH(2,1/(('Port Linkages'!$C$18:$C$157=$AQ16)*('Port Linkages'!$D$18:$D$157=IF($AO16="no",$AQ16,$KK16))*('Port Linkages'!$A$18:$A$157&lt;=$C16))))</f>
        <v>0</v>
      </c>
      <c r="AIY16" s="75">
        <f t="array" ref="AIY16">INDEX('Port Linkages'!$W$18:$W$157,MATCH(2,1/(('Port Linkages'!$C$18:$C$157=$AQ16)*('Port Linkages'!$D$18:$D$157=IF($AO16="no",$AQ16,$KK16))*('Port Linkages'!$A$18:$A$157&lt;=$C16))))</f>
        <v>0</v>
      </c>
      <c r="AIZ16" s="75">
        <f t="array" ref="AIZ16">INDEX('Port Linkages'!$X$18:$X$157,MATCH(2,1/(('Port Linkages'!$C$18:$C$157=$AQ16)*('Port Linkages'!$D$18:$D$157=IF($AO16="no",$AQ16,$KK16))*('Port Linkages'!$A$18:$A$157&lt;=$C16))))</f>
        <v>0</v>
      </c>
      <c r="AJA16" s="75">
        <f t="array" ref="AJA16">INDEX('Port Linkages'!$Y$18:$Y$157,MATCH(2,1/(('Port Linkages'!$C$18:$C$157=$AQ16)*('Port Linkages'!$D$18:$D$157=IF($AO16="no",$AQ16,$KK16))*('Port Linkages'!$A$18:$A$157&lt;=$C16))))</f>
        <v>0</v>
      </c>
      <c r="AJB16" s="75">
        <f t="array" ref="AJB16">INDEX('Port Linkages'!$Z$18:$Z$157,MATCH(2,1/(('Port Linkages'!$C$18:$C$157=$AQ16)*('Port Linkages'!$D$18:$D$157=IF($AO16="no",$AQ16,$KK16))*('Port Linkages'!$A$18:$A$157&lt;=$C16))))</f>
        <v>0</v>
      </c>
      <c r="AJC16" s="75">
        <f t="array" ref="AJC16">INDEX('Port Linkages'!$AA$18:$AA$157,MATCH(2,1/(('Port Linkages'!$C$18:$C$157=$AQ16)*('Port Linkages'!$D$18:$D$157=IF($AO16="no",$AQ16,$KK16))*('Port Linkages'!$A$18:$A$157&lt;=$C16))))</f>
        <v>0</v>
      </c>
      <c r="AJD16" s="75">
        <f t="array" ref="AJD16">INDEX('Port Linkages'!$AB$18:$AB$157,MATCH(2,1/(('Port Linkages'!$C$18:$C$157=$AQ16)*('Port Linkages'!$D$18:$D$157=IF($AO16="no",$AQ16,$KK16))*('Port Linkages'!$A$18:$A$157&lt;=$C16))))</f>
        <v>0</v>
      </c>
      <c r="AJE16" s="75">
        <f t="array" ref="AJE16">INDEX('Port Linkages'!$AC$18:$AC$157,MATCH(2,1/(('Port Linkages'!$C$18:$C$157=$AQ16)*('Port Linkages'!$D$18:$D$157=IF($AO16="no",$AQ16,$KK16))*('Port Linkages'!$A$18:$A$157&lt;=$C16))))</f>
        <v>0</v>
      </c>
      <c r="AJF16" s="75">
        <f t="array" ref="AJF16">INDEX('Port Linkages'!$AD$18:$AD$157,MATCH(2,1/(('Port Linkages'!$C$18:$C$157=$AQ16)*('Port Linkages'!$D$18:$D$157=IF($AO16="no",$AQ16,$KK16))*('Port Linkages'!$A$18:$A$157&lt;=$C16))))</f>
        <v>0</v>
      </c>
      <c r="AJG16" s="75">
        <f t="array" ref="AJG16">INDEX('Port Linkages'!$AE$18:$AE$157,MATCH(2,1/(('Port Linkages'!$C$18:$C$157=$AQ16)*('Port Linkages'!$D$18:$D$157=IF($AO16="no",$AQ16,$KK16))*('Port Linkages'!$A$18:$A$157&lt;=$C16))))</f>
        <v>0</v>
      </c>
      <c r="AJH16" s="75">
        <f t="array" ref="AJH16">INDEX('Port Linkages'!$AF$18:$AF$157,MATCH(2,1/(('Port Linkages'!$C$18:$C$157=$AQ16)*('Port Linkages'!$D$18:$D$157=IF($AO16="no",$AQ16,$KK16))*('Port Linkages'!$A$18:$A$157&lt;=$C16))))</f>
        <v>0</v>
      </c>
      <c r="AJI16" s="75">
        <f t="array" ref="AJI16">INDEX('Port Linkages'!$AG$18:$AG$157,MATCH(2,1/(('Port Linkages'!$C$18:$C$157=$AQ16)*('Port Linkages'!$D$18:$D$157=IF($AO16="no",$AQ16,$KK16))*('Port Linkages'!$A$18:$A$157&lt;=$C16))))</f>
        <v>0</v>
      </c>
      <c r="AJJ16" s="75">
        <f t="array" ref="AJJ16">INDEX('Port Linkages'!$AH$18:$AH$157,MATCH(2,1/(('Port Linkages'!$C$18:$C$157=$AQ16)*('Port Linkages'!$D$18:$D$157=IF($AO16="no",$AQ16,$KK16))*('Port Linkages'!$A$18:$A$157&lt;=$C16))))</f>
        <v>0</v>
      </c>
      <c r="AJK16" s="75">
        <f t="array" ref="AJK16">INDEX('Port Linkages'!$AI$18:$AI$157,MATCH(2,1/(('Port Linkages'!$C$18:$C$157=$AQ16)*('Port Linkages'!$D$18:$D$157=IF($AO16="no",$AQ16,$KK16))*('Port Linkages'!$A$18:$A$157&lt;=$C16))))</f>
        <v>0</v>
      </c>
      <c r="AJL16" s="75">
        <f t="array" ref="AJL16">INDEX('Port Linkages'!$AJ$18:$AJ$157,MATCH(2,1/(('Port Linkages'!$C$18:$C$157=$AQ16)*('Port Linkages'!$D$18:$D$157=IF($AO16="no",$AQ16,$KK16))*('Port Linkages'!$A$18:$A$157&lt;=$C16))))</f>
        <v>0</v>
      </c>
      <c r="AJM16" s="75">
        <f t="array" ref="AJM16">INDEX('Port Linkages'!$AK$18:$AK$157,MATCH(2,1/(('Port Linkages'!$C$18:$C$157=$AQ16)*('Port Linkages'!$D$18:$D$157=IF($AO16="no",$AQ16,$KK16))*('Port Linkages'!$A$18:$A$157&lt;=$C16))))</f>
        <v>0</v>
      </c>
      <c r="AJN16" s="75">
        <f t="array" ref="AJN16">INDEX('Port Linkages'!$AL$18:$AL$157,MATCH(2,1/(('Port Linkages'!$C$18:$C$157=$AQ16)*('Port Linkages'!$D$18:$D$157=IF($AO16="no",$AQ16,$KK16))*('Port Linkages'!$A$18:$A$157&lt;=$C16))))</f>
        <v>0</v>
      </c>
      <c r="AJO16" s="75">
        <f t="array" ref="AJO16">INDEX('Port Linkages'!$AM$18:$AM$157,MATCH(2,1/(('Port Linkages'!$C$18:$C$157=$AQ16)*('Port Linkages'!$D$18:$D$157=IF($AO16="no",$AQ16,$KK16))*('Port Linkages'!$A$18:$A$157&lt;=$C16))))</f>
        <v>0</v>
      </c>
      <c r="AJP16" s="75">
        <f t="array" ref="AJP16">INDEX('Port Linkages'!$AN$18:$AN$157,MATCH(2,1/(('Port Linkages'!$C$18:$C$157=$AQ16)*('Port Linkages'!$D$18:$D$157=IF($AO16="no",$AQ16,$KK16))*('Port Linkages'!$A$18:$A$157&lt;=$C16))))</f>
        <v>0</v>
      </c>
      <c r="AJQ16" s="75">
        <f t="array" ref="AJQ16">INDEX('Port Linkages'!$AO$18:$AO$157,MATCH(2,1/(('Port Linkages'!$C$18:$C$157=$AQ16)*('Port Linkages'!$D$18:$D$157=IF($AO16="no",$AQ16,$KK16))*('Port Linkages'!$A$18:$A$157&lt;=$C16))))</f>
        <v>0</v>
      </c>
      <c r="AJR16" s="75">
        <f t="array" ref="AJR16">INDEX('Port Linkages'!$AP$18:$AP$157,MATCH(2,1/(('Port Linkages'!$C$18:$C$157=$AQ16)*('Port Linkages'!$D$18:$D$157=IF($AO16="no",$AQ16,$KK16))*('Port Linkages'!$A$18:$A$157&lt;=$C16))))</f>
        <v>0</v>
      </c>
      <c r="AJS16" s="75">
        <f t="array" ref="AJS16">INDEX('Port Linkages'!$AQ$18:$AQ$157,MATCH(2,1/(('Port Linkages'!$C$18:$C$157=$AQ16)*('Port Linkages'!$D$18:$D$157=IF($AO16="no",$AQ16,$KK16))*('Port Linkages'!$A$18:$A$157&lt;=$C16))))</f>
        <v>0</v>
      </c>
      <c r="AJT16" s="75">
        <f t="array" ref="AJT16">INDEX('Port Linkages'!$AR$18:$AR$157,MATCH(2,1/(('Port Linkages'!$C$18:$C$157=$AQ16)*('Port Linkages'!$D$18:$D$157=IF($AO16="no",$AQ16,$KK16))*('Port Linkages'!$A$18:$A$157&lt;=$C16))))</f>
        <v>0</v>
      </c>
      <c r="AJU16" s="75">
        <f t="array" ref="AJU16">INDEX('Port Linkages'!$AS$18:$AS$157,MATCH(2,1/(('Port Linkages'!$C$18:$C$157=$AQ16)*('Port Linkages'!$D$18:$D$157=IF($AO16="no",$AQ16,$KK16))*('Port Linkages'!$A$18:$A$157&lt;=$C16))))</f>
        <v>0</v>
      </c>
      <c r="AJV16" s="75">
        <f t="array" ref="AJV16">INDEX('Port Linkages'!$AT$18:$AT$157,MATCH(2,1/(('Port Linkages'!$C$18:$C$157=$AQ16)*('Port Linkages'!$D$18:$D$157=IF($AO16="no",$AQ16,$KK16))*('Port Linkages'!$A$18:$A$157&lt;=$C16))))</f>
        <v>0</v>
      </c>
      <c r="AJW16" s="75">
        <f t="array" ref="AJW16">INDEX('Port Linkages'!$AU$18:$AU$157,MATCH(2,1/(('Port Linkages'!$C$18:$C$157=$AQ16)*('Port Linkages'!$D$18:$D$157=IF($AO16="no",$AQ16,$KK16))*('Port Linkages'!$A$18:$A$157&lt;=$C16))))</f>
        <v>0</v>
      </c>
      <c r="AJX16" s="75">
        <f t="array" ref="AJX16">INDEX('Port Linkages'!$AV$18:$AV$157,MATCH(2,1/(('Port Linkages'!$C$18:$C$157=$AQ16)*('Port Linkages'!$D$18:$D$157=IF($AO16="no",$AQ16,$KK16))*('Port Linkages'!$A$18:$A$157&lt;=$C16))))</f>
        <v>0</v>
      </c>
      <c r="AJY16" s="75">
        <f t="array" ref="AJY16">INDEX('Port Linkages'!$AW$18:$AW$157,MATCH(2,1/(('Port Linkages'!$C$18:$C$157=$AQ16)*('Port Linkages'!$D$18:$D$157=IF($AO16="no",$AQ16,$KK16))*('Port Linkages'!$A$18:$A$157&lt;=$C16))))</f>
        <v>0</v>
      </c>
      <c r="AJZ16" s="75">
        <f t="array" ref="AJZ16">INDEX('Port Linkages'!$AX$18:$AX$157,MATCH(2,1/(('Port Linkages'!$C$18:$C$157=$AQ16)*('Port Linkages'!$D$18:$D$157=IF($AO16="no",$AQ16,$KK16))*('Port Linkages'!$A$18:$A$157&lt;=$C16))))</f>
        <v>0</v>
      </c>
      <c r="AKA16" s="75">
        <f t="array" ref="AKA16">INDEX('Port Linkages'!$AY$18:$AY$157,MATCH(2,1/(('Port Linkages'!$C$18:$C$157=$AQ16)*('Port Linkages'!$D$18:$D$157=IF($AO16="no",$AQ16,$KK16))*('Port Linkages'!$A$18:$A$157&lt;=$C16))))</f>
        <v>0</v>
      </c>
      <c r="AKB16" s="75">
        <f t="array" ref="AKB16">INDEX('Port Linkages'!$AZ$18:$AZ$157,MATCH(2,1/(('Port Linkages'!$C$18:$C$157=$AQ16)*('Port Linkages'!$D$18:$D$157=IF($AO16="no",$AQ16,$KK16))*('Port Linkages'!$A$18:$A$157&lt;=$C16))))</f>
        <v>0</v>
      </c>
      <c r="AKC16" s="75">
        <f t="array" ref="AKC16">INDEX('Port Linkages'!$BA$18:$BA$157,MATCH(2,1/(('Port Linkages'!$C$18:$C$157=$AQ16)*('Port Linkages'!$D$18:$D$157=IF($AO16="no",$AQ16,$KK16))*('Port Linkages'!$A$18:$A$157&lt;=$C16))))</f>
        <v>0</v>
      </c>
      <c r="AKE16" s="25" t="e">
        <f t="array" aca="1" ref="AKE16" ca="1">INDEX('Ship Fuel Prices'!$F$5:$F$1004,MATCH(2,1/(('Ship Fuel Prices'!$E$5:$E$1004=_xlfn.IFS(AHT16="Handysize",Main!AJZ16,AHT16="Supramax",AJS16,AHT16="Panamax",AJL16,AHT16="NeoPanamax",AJE16,AHT16="Suezmax",AIX16,AHT16="Capesize",AIQ16,AHT16="VLOC",AIJ16))*('Ship Fuel Prices'!$D$5:$D$1004&lt;=Main!$C16))))</f>
        <v>#N/A</v>
      </c>
      <c r="AKF16" s="25" t="e">
        <f t="array" aca="1" ref="AKF16" ca="1">INDEX('Ship Fuel Prices'!$G$5:$G$1004,MATCH(2,1/(('Ship Fuel Prices'!$E$5:$E$1004=_xlfn.IFS(AHT16="Handysize",Main!AJZ16,AHT16="Supramax",AJS16,AHT16="Panamax",AJL16,AHT16="NeoPanamax",AJE16,AHT16="Suezmax",AIX16,AHT16="Capesize",AIQ16,AHT16="VLOC",AIJ16))*('Ship Fuel Prices'!$D$5:$D$1004&lt;=Main!$C16))))</f>
        <v>#N/A</v>
      </c>
      <c r="AKG16" s="25" t="e">
        <f t="array" aca="1" ref="AKG16" ca="1">INDEX('Ship Fuel Prices'!$H$5:$H$1004,MATCH(2,1/(('Ship Fuel Prices'!$E$5:$E$1004=_xlfn.IFS(AHT16="Handysize",Main!AJZ16,AHT16="Supramax",AJS16,AHT16="Panamax",AJL16,AHT16="NeoPanamax",AJE16,AHT16="Suezmax",AIX16,AHT16="Capesize",AIQ16,AHT16="VLOC",AIJ16))*('Ship Fuel Prices'!$D$5:$D$1004&lt;=Main!$C16))))</f>
        <v>#N/A</v>
      </c>
      <c r="AKH16" s="25" t="e">
        <f t="array" aca="1" ref="AKH16" ca="1">INDEX('Ship Fuel Prices'!$I$5:$I$1004,MATCH(2,1/(('Ship Fuel Prices'!$E$5:$E$1004=_xlfn.IFS(AHT16="Handysize",Main!AJZ16,AHT16="Supramax",AJS16,AHT16="Panamax",AJL16,AHT16="NeoPanamax",AJE16,AHT16="Suezmax",AIX16,AHT16="Capesize",AIQ16,AHT16="VLOC",AIJ16))*('Ship Fuel Prices'!$D$5:$D$1004&lt;=Main!$C16))))</f>
        <v>#N/A</v>
      </c>
      <c r="AKI16" s="25" t="e">
        <f t="array" aca="1" ref="AKI16" ca="1">INDEX('Ship Fuel Prices'!$J$5:$J$1004,MATCH(2,1/(('Ship Fuel Prices'!$E$5:$E$1004=_xlfn.IFS(AHT16="Handysize",Main!AJZ16,AHT16="Supramax",AJS16,AHT16="Panamax",AJL16,AHT16="NeoPanamax",AJE16,AHT16="Suezmax",AIX16,AHT16="Capesize",AIQ16,AHT16="VLOC",AIJ16))*('Ship Fuel Prices'!$D$5:$D$1004&lt;=Main!$C16))))</f>
        <v>#N/A</v>
      </c>
      <c r="AKK16" s="75">
        <f t="array" ref="AKK16">INDEX('China n Importing Ports'!$E$20:$E$41,MATCH(2,1/(('China n Importing Ports'!$D$20:$D$41&lt;=$C16)*('China n Importing Ports'!$C$20:$C$41=IF($AO16="No",$AQ16,$KK16)))))</f>
        <v>0</v>
      </c>
      <c r="AKL16" s="75">
        <f t="array" ref="AKL16">INDEX('China n Importing Ports'!$F$20:$F$41,MATCH(2,1/(('China n Importing Ports'!$D$20:$D$41&lt;=$C16)*('China n Importing Ports'!$C$20:$C$41=IF($AO16="No",$AQ16,$KK16)))))</f>
        <v>0</v>
      </c>
      <c r="AKM16" s="75">
        <f t="array" ref="AKM16">INDEX('China n Importing Ports'!$G$20:$G$41,MATCH(2,1/(('China n Importing Ports'!$D$20:$D$41&lt;=$C16)*('China n Importing Ports'!$C$20:$C$41=IF($AO16="No",$AQ16,$KK16)))))</f>
        <v>0</v>
      </c>
      <c r="AKN16" s="75">
        <f t="array" ref="AKN16">INDEX('China n Importing Ports'!$H$20:$H$41,MATCH(2,1/(('China n Importing Ports'!$D$20:$D$41&lt;=$C16)*('China n Importing Ports'!$C$20:$C$41=IF($AO16="No",$AQ16,$KK16)))))</f>
        <v>0</v>
      </c>
      <c r="AKO16" s="75">
        <f t="array" ref="AKO16">INDEX('China n Importing Ports'!$I$20:$I$41,MATCH(2,1/(('China n Importing Ports'!$D$20:$D$41&lt;=$C16)*('China n Importing Ports'!$C$20:$C$41=IF($AO16="No",$AQ16,$KK16)))))</f>
        <v>0</v>
      </c>
      <c r="AKP16" s="75">
        <f t="array" ref="AKP16">INDEX('China n Importing Ports'!$J$20:$J$41,MATCH(2,1/(('China n Importing Ports'!$D$20:$D$41&lt;=$C16)*('China n Importing Ports'!$C$20:$C$41=IF($AO16="No",$AQ16,$KK16)))))</f>
        <v>0</v>
      </c>
      <c r="AKQ16" s="75">
        <f t="array" ref="AKQ16">INDEX('China n Importing Ports'!$K$20:$K$41,MATCH(2,1/(('China n Importing Ports'!$D$20:$D$41&lt;=$C16)*('China n Importing Ports'!$C$20:$C$41=IF($AO16="No",$AQ16,$KK16)))))</f>
        <v>0</v>
      </c>
      <c r="AKR16" s="75">
        <f t="array" ref="AKR16">INDEX('China n Importing Ports'!$L$20:$L$41,MATCH(2,1/(('China n Importing Ports'!$D$20:$D$41&lt;=$C16)*('China n Importing Ports'!$C$20:$C$41=IF($AO16="No",$AQ16,$KK16)))))</f>
        <v>0</v>
      </c>
      <c r="AKS16" s="75">
        <f t="array" ref="AKS16">INDEX('China n Importing Ports'!$M$20:$M$41,MATCH(2,1/(('China n Importing Ports'!$D$20:$D$41&lt;=$C16)*('China n Importing Ports'!$C$20:$C$41=IF($AO16="No",$AQ16,$KK16)))))</f>
        <v>0</v>
      </c>
      <c r="AKT16" s="75">
        <f t="array" ref="AKT16">INDEX('China n Importing Ports'!$N$20:$N$41,MATCH(2,1/(('China n Importing Ports'!$D$20:$D$41&lt;=$C16)*('China n Importing Ports'!$C$20:$C$41=IF($AO16="No",$AQ16,$KK16)))))</f>
        <v>0</v>
      </c>
      <c r="AKU16" s="75">
        <f t="array" ref="AKU16">INDEX('China n Importing Ports'!$O$20:$O$41,MATCH(2,1/(('China n Importing Ports'!$D$20:$D$41&lt;=$C16)*('China n Importing Ports'!$C$20:$C$41=IF($AO16="No",$AQ16,$KK16)))))</f>
        <v>0</v>
      </c>
      <c r="AKV16" s="136">
        <f t="array" ref="AKV16">INDEX('China n Importing Ports'!$P$20:$P$41,MATCH(2,1/(('China n Importing Ports'!$D$20:$D$41&lt;=$C16)*('China n Importing Ports'!$C$20:$C$41=IF($AO16="No",$AQ16,$KK16)))))</f>
        <v>0</v>
      </c>
      <c r="AKW16" s="136">
        <f t="array" ref="AKW16">INDEX('China n Importing Ports'!$Q$20:$Q$41,MATCH(2,1/(('China n Importing Ports'!$D$20:$D$41&lt;=$C16)*('China n Importing Ports'!$C$20:$C$41=IF($AO16="No",$AQ16,$KK16)))))</f>
        <v>0</v>
      </c>
      <c r="AKX16" s="136">
        <f t="array" ref="AKX16">INDEX('China n Importing Ports'!$R$20:$R$41,MATCH(2,1/(('China n Importing Ports'!$D$20:$D$41&lt;=$C16)*('China n Importing Ports'!$C$20:$C$41=IF($AO16="No",$AQ16,$KK16)))))</f>
        <v>0</v>
      </c>
      <c r="AKY16" s="136">
        <f t="array" ref="AKY16">INDEX('China n Importing Ports'!$S$20:$S$41,MATCH(2,1/(('China n Importing Ports'!$D$20:$D$41&lt;=$C16)*('China n Importing Ports'!$C$20:$C$41=IF($AO16="No",$AQ16,$KK16)))))</f>
        <v>0</v>
      </c>
      <c r="AKZ16" s="136">
        <f t="array" ref="AKZ16">INDEX('China n Importing Ports'!$T$20:$T$41,MATCH(2,1/(('China n Importing Ports'!$D$20:$D$41&lt;=$C16)*('China n Importing Ports'!$C$20:$C$41=IF($AO16="No",$AQ16,$KK16)))))</f>
        <v>0</v>
      </c>
      <c r="ALA16" s="136">
        <f t="array" ref="ALA16">INDEX('China n Importing Ports'!$U$20:$U$41,MATCH(2,1/(('China n Importing Ports'!$D$20:$D$41&lt;=$C16)*('China n Importing Ports'!$C$20:$C$41=IF($AO16="No",$AQ16,$KK16)))))</f>
        <v>0</v>
      </c>
      <c r="ALB16" s="136">
        <f t="array" ref="ALB16">INDEX('China n Importing Ports'!$V$20:$V$41,MATCH(2,1/(('China n Importing Ports'!$D$20:$D$41&lt;=$C16)*('China n Importing Ports'!$C$20:$C$41=IF($AO16="No",$AQ16,$KK16)))))</f>
        <v>0</v>
      </c>
      <c r="ALC16" s="136">
        <f t="array" ref="ALC16">INDEX('China n Importing Ports'!$W$20:$W$41,MATCH(2,1/(('China n Importing Ports'!$D$20:$D$41&lt;=$C16)*('China n Importing Ports'!$C$20:$C$41=IF($AO16="No",$AQ16,$KK16)))))</f>
        <v>0</v>
      </c>
      <c r="ALD16" s="136">
        <f t="array" ref="ALD16">INDEX('China n Importing Ports'!$X$20:$X$41,MATCH(2,1/(('China n Importing Ports'!$D$20:$D$41&lt;=$C16)*('China n Importing Ports'!$C$20:$C$41=IF($AO16="No",$AQ16,$KK16)))))</f>
        <v>0</v>
      </c>
      <c r="ALE16" s="136">
        <f t="array" ref="ALE16">INDEX('China n Importing Ports'!$Y$20:$Y$41,MATCH(2,1/(('China n Importing Ports'!$D$20:$D$41&lt;=$C16)*('China n Importing Ports'!$C$20:$C$41=IF($AO16="No",$AQ16,$KK16)))))</f>
        <v>0</v>
      </c>
      <c r="ALF16" s="136">
        <f t="array" ref="ALF16">INDEX('China n Importing Ports'!$Z$20:$Z$41,MATCH(2,1/(('China n Importing Ports'!$D$20:$D$41&lt;=$C16)*('China n Importing Ports'!$C$20:$C$41=IF($AO16="No",$AQ16,$KK16)))))</f>
        <v>0</v>
      </c>
      <c r="ALG16" s="136">
        <f t="array" ref="ALG16">INDEX('China n Importing Ports'!$AA$20:$AA$41,MATCH(2,1/(('China n Importing Ports'!$D$20:$D$41&lt;=$C16)*('China n Importing Ports'!$C$20:$C$41=IF($AO16="No",$AQ16,$KK16)))))</f>
        <v>0</v>
      </c>
      <c r="ALI16" s="75" t="e">
        <f t="array" aca="1" ref="ALI16" ca="1">INDEX(Canals!$G$24:$G$29,MATCH(2,1/((Canals!$F$24:$F$29&lt;=$C16)*(Canals!$G$24:$G$29=_xlfn.IFS(AHT16="Handysize",AKC16,AHT16="Supramax",AJV16,AHT16="Panamax",AJO16,AHT16="NeoPanamax",AJH16,AHT16="Suezmax",AJA16,AHT16="Capesize",AIT16,AHT16="VLOC",AIM16)))))</f>
        <v>#N/A</v>
      </c>
      <c r="ALJ16" s="75" t="e">
        <f t="array" aca="1" ref="ALJ16" ca="1">INDEX(Canals!$H$24:$H$29,MATCH(2,1/((Canals!$F$24:$F$29&lt;=$C16)*(Canals!$G$24:$G$29=_xlfn.IFS(AHT16="Handysize",AKC16,AHT16="Supramax",AJV16,AHT16="Panamax",AJO16,AHT16="NeoPanamax",AJH16,AHT16="Suezmax",AJA16,AHT16="Capesize",AIT16,AHT16="VLOC",AIM16)))))</f>
        <v>#N/A</v>
      </c>
      <c r="ALK16" s="75" t="e">
        <f t="array" aca="1" ref="ALK16" ca="1">INDEX(Canals!$I$24:$I$29,MATCH(2,1/((Canals!$F$24:$F$29&lt;=$C16)*(Canals!$G$24:$G$29=_xlfn.IFS(AHT16="Handysize",AKC16,AHT16="Supramax",AJV16,AHT16="Panamax",AJO16,AHT16="NeoPanamax",AJH16,AHT16="Suezmax",AJA16,AHT16="Capesize",AIT16,AHT16="VLOC",AIM16)))))</f>
        <v>#N/A</v>
      </c>
      <c r="ALL16" s="75" t="e">
        <f t="array" aca="1" ref="ALL16" ca="1">INDEX(Canals!$J$24:$J$29,MATCH(2,1/((Canals!$F$24:$F$29&lt;=$C16)*(Canals!$G$24:$G$29=_xlfn.IFS(AHT16="Handysize",Main!AKC16,AHT16="Supramax",AJV16,AHT16="Panamax",AJO16,AHT16="NeoPanamax",AJH16,AHT16="Suezmax",AJA16,AHT16="Capesize",AIT16,AHT16="VLOC",AIM16)))))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M16" s="75" t="e">
        <f t="array" aca="1" ref="ALM16" ca="1">INDEX(Canals!$K$24:$K$29,MATCH(2,1/((Canals!$F$24:$F$29&lt;=$C16)*(Canals!$G$24:$G$29=_xlfn.IFS(AHT16="Handysize",Main!AKC16,AHT16="Supramax",AJV16,AHT16="Panamax",AJO16,AHT16="NeoPanamax",AJH16,AHT16="Suezmax",AJA16,AHT16="Capesize",AIT16,AHT16="VLOC",AIM16)))))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N16" s="75" t="e">
        <f t="array" aca="1" ref="ALN16" ca="1">INDEX(Canals!$L$24:$L$29,MATCH(2,1/((Canals!$F$24:$F$29&lt;=$C16)*(Canals!$G$24:$G$29=_xlfn.IFS(AHT16="Handysize",Main!AKC16,AHT16="Supramax",AJV16,AHT16="Panamax",AJO16,AHT16="NeoPanamax",AJH16,AHT16="Suezmax",AJA16,AHT16="Capesize",AIT16,AHT16="VLOC",AIM16)))))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O16" s="75" t="e">
        <f t="array" aca="1" ref="ALO16" ca="1">INDEX(Canals!$M$24:$M$29,MATCH(2,1/((Canals!$F$24:$F$29&lt;=$C16)*(Canals!$G$24:$G$29=_xlfn.IFS(AHT16="Handysize",Main!AKC16,AHT16="Supramax",AJV16,AHT16="Panamax",AJO16,AHT16="NeoPanamax",AJH16,AHT16="Suezmax",AJA16,AHT16="Capesize",AIT16,AHT16="VLOC",AIM16)))))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P16" s="75" t="e">
        <f t="array" aca="1" ref="ALP16" ca="1">INDEX(Canals!$N$24:$N$29,MATCH(2,1/((Canals!$F$24:$F$29&lt;=$C16)*(Canals!$G$24:$G$29=_xlfn.IFS(AHT16="Handysize",Main!AKC16,AHT16="Supramax",AJV16,AHT16="Panamax",AJO16,AHT16="NeoPanamax",AJH16,AHT16="Suezmax",AJA16,AHT16="Capesize",AIT16,AHT16="VLOC",AIM16)))))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Q16" s="75" t="e">
        <f t="array" aca="1" ref="ALQ16" ca="1">INDEX(Canals!$O$24:$O$29,MATCH(2,1/((Canals!$F$24:$F$29&lt;=$C16)*(Canals!$G$24:$G$29=_xlfn.IFS(AHT16="Handysize",Main!AKC16,AHT16="Supramax",AJV16,AHT16="Panamax",AJO16,AHT16="NeoPanamax",AJH16,AHT16="Suezmax",AJA16,AHT16="Capesize",AIT16,AHT16="VLOC",AIM16)))))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R16" s="75" t="e">
        <f t="array" aca="1" ref="ALR16" ca="1">INDEX(Canals!$P$24:$P$29,MATCH(2,1/((Canals!$F$24:$F$29&lt;=$C16)*(Canals!$G$24:$G$29=_xlfn.IFS(AHT16="Handysize",Main!AKC16,AHT16="Supramax",AJV16,AHT16="Panamax",AJO16,AHT16="NeoPanamax",AJH16,AHT16="Suezmax",AJA16,AHT16="Capesize",AIT16,AHT16="VLOC",AIM16)))))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S16" s="75" t="e">
        <f t="array" aca="1" ref="ALS16" ca="1">INDEX(Canals!$Q$24:$Q$29,MATCH(2,1/((Canals!$F$24:$F$29&lt;=$C16)*(Canals!$G$24:$G$29=_xlfn.IFS(AHT16="Handysize",Main!AKC16,AHT16="Supramax",AJV16,AHT16="Panamax",AJO16,AHT16="NeoPanamax",AJH16,AHT16="Suezmax",AJA16,AHT16="Capesize",AIT16,AHT16="VLOC",AIM16)))))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T16" s="75" t="e">
        <f t="array" aca="1" ref="ALT16" ca="1">INDEX(Canals!$R$24:$R$29,MATCH(2,1/((Canals!$F$24:$F$29&lt;=$C16)*(Canals!$G$24:$G$29=_xlfn.IFS(AHT16="Handysize",Main!AKC16,AHT16="Supramax",AJV16,AHT16="Panamax",AJO16,AHT16="NeoPanamax",AJH16,AHT16="Suezmax",AJA16,AHT16="Capesize",AIT16,AHT16="VLOC",AIM16)))))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U16" s="136" t="e">
        <f t="array" aca="1" ref="ALU16" ca="1">INDEX(Canals!$S$24:$S$29,MATCH(2,1/((Canals!$F$24:$F$29&lt;=$C16)*(Canals!$G$24:$G$29=_xlfn.IFS(AHT16="Handysize",Main!AKC16,AHT16="Supramax",AJV16,AHT16="Panamax",AJO16,AHT16="NeoPanamax",AJH16,AHT16="Suezmax",AJA16,AHT16="Capesize",AIT16,AHT16="VLOC",AIM16)))))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V16" s="136" t="e">
        <f t="array" aca="1" ref="ALV16" ca="1">INDEX(Canals!$T$24:$T$29,MATCH(2,1/((Canals!$F$24:$F$29&lt;=$C16)*(Canals!$G$24:$G$29=_xlfn.IFS(AHT16="Handysize",Main!AKC16,AHT16="Supramax",AJV16,AHT16="Panamax",AJO16,AHT16="NeoPanamax",AJH16,AHT16="Suezmax",AJA16,AHT16="Capesize",AIT16,AHT16="VLOC",AIM16)))))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W16" s="136" t="e">
        <f t="array" aca="1" ref="ALW16" ca="1">INDEX(Canals!$U$24:$U$29,MATCH(2,1/((Canals!$F$24:$F$29&lt;=$C16)*(Canals!$G$24:$G$29=_xlfn.IFS(AHT16="Handysize",Main!AKC16,AHT16="Supramax",AJV16,AHT16="Panamax",AJO16,AHT16="NeoPanamax",AJH16,AHT16="Suezmax",AJA16,AHT16="Capesize",AIT16,AHT16="VLOC",AIM16)))))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X16" s="136" t="e">
        <f t="array" aca="1" ref="ALX16" ca="1">INDEX(Canals!$V$24:$V$29,MATCH(2,1/((Canals!$F$24:$F$29&lt;=$C16)*(Canals!$G$24:$G$29=_xlfn.IFS(AHT16="Handysize",Main!AKC16,AHT16="Supramax",AJV16,AHT16="Panamax",AJO16,AHT16="NeoPanamax",AJH16,AHT16="Suezmax",AJA16,AHT16="Capesize",AIT16,AHT16="VLOC",AIM16)))))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Y16" s="136" t="e">
        <f t="array" aca="1" ref="ALY16" ca="1">INDEX(Canals!$W$24:$W$29,MATCH(2,1/((Canals!$F$24:$F$29&lt;=$C16)*(Canals!$G$24:$G$29=_xlfn.IFS(AHT16="Handysize",Main!AKC16,AHT16="Supramax",AJV16,AHT16="Panamax",AJO16,AHT16="NeoPanamax",AJH16,AHT16="Suezmax",AJA16,AHT16="Capesize",AIT16,AHT16="VLOC",AIM16)))))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LZ16" s="136" t="e">
        <f t="array" aca="1" ref="ALZ16" ca="1">INDEX(Canals!$X$24:$X$29,MATCH(2,1/((Canals!$F$24:$F$29&lt;=$C16)*(Canals!$G$24:$G$29=_xlfn.IFS(AHT16="Handysize",Main!AKC16,AHT16="Supramax",AJV16,AHT16="Panamax",AJO16,AHT16="NeoPanamax",AJH16,AHT16="Suezmax",AJA16,AHT16="Capesize",AIT16,AHT16="VLOC",AIM16)))))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A16" s="136" t="e">
        <f t="array" aca="1" ref="AMA16" ca="1">INDEX(Canals!$Y$24:$Y$29,MATCH(2,1/((Canals!$F$24:$F$29&lt;=$C16)*(Canals!$G$24:$G$29=_xlfn.IFS(AHT16="Handysize",Main!AKC16,AHT16="Supramax",AJV16,AHT16="Panamax",AJO16,AHT16="NeoPanamax",AJH16,AHT16="Suezmax",AJA16,AHT16="Capesize",AIT16,AHT16="VLOC",AIM16)))))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B16" s="136" t="e">
        <f t="array" aca="1" ref="AMB16" ca="1">INDEX(Canals!$Z$24:$Z$29,MATCH(2,1/((Canals!$F$24:$F$29&lt;=$C16)*(Canals!$G$24:$G$29=_xlfn.IFS(AHT16="Handysize",Main!AKC16,AHT16="Supramax",AJV16,AHT16="Panamax",AJO16,AHT16="NeoPanamax",AJH16,AHT16="Suezmax",AJA16,AHT16="Capesize",AIT16,AHT16="VLOC",AIM16)))))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C16" s="136" t="e">
        <f t="array" aca="1" ref="AMC16" ca="1">INDEX(Canals!$AA$24:$AA$29,MATCH(2,1/((Canals!$F$24:$F$29&lt;=$C16)*(Canals!$G$24:$G$29=_xlfn.IFS(AHT16="Handysize",Main!AKC16,AHT16="Supramax",AJV16,AHT16="Panamax",AJO16,AHT16="NeoPanamax",AJH16,AHT16="Suezmax",AJA16,AHT16="Capesize",AIT16,AHT16="VLOC",AIM16)))))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D16" s="136" t="e">
        <f t="array" aca="1" ref="AMD16" ca="1">INDEX(Canals!$AB$24:$AB$29,MATCH(2,1/((Canals!$F$24:$F$29&lt;=$C16)*(Canals!$G$24:$G$29=_xlfn.IFS(AHT16="Handysize",Main!AKC16,AHT16="Supramax",AJV16,AHT16="Panamax",AJO16,AHT16="NeoPanamax",AJH16,AHT16="Suezmax",AJA16,AHT16="Capesize",AIT16,AHT16="VLOC",AIM16)))))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E16" s="75" t="e">
        <f t="array" aca="1" ref="AME16" ca="1">INDEX(Canals!$AC$24:$AC$29,MATCH(2,1/((Canals!$F$24:$F$29&lt;=$C16)*(Canals!$G$24:$G$29=_xlfn.IFS(AHT16="Handysize",Main!AKC16,AHT16="Supramax",AJV16,AHT16="Panamax",AJO16,AHT16="NeoPanamax",AJH16,AHT16="Suezmax",AJA16,AHT16="Capesize",AIT16,AHT16="VLOC",AIM16)))))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F16" s="75" t="e">
        <f t="array" aca="1" ref="AMF16" ca="1">INDEX(Canals!$AD$24:$AD$29,MATCH(2,1/((Canals!$F$24:$F$29&lt;=$C16)*(Canals!$G$24:$G$29=_xlfn.IFS(AHT16="Handysize",Main!AKC16,AHT16="Supramax",AJV16,AHT16="Panamax",AJO16,AHT16="NeoPanamax",AJH16,AHT16="Suezmax",AJA16,AHT16="Capesize",AIT16,AHT16="VLOC",AIM16)))))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G16" s="75" t="e">
        <f t="array" aca="1" ref="AMG16" ca="1">INDEX(Canals!$AE$24:$AE$29,MATCH(2,1/((Canals!$F$24:$F$29&lt;=$C16)*(Canals!$G$24:$G$29=_xlfn.IFS(AHT16="Handysize",Main!AKC16,AHT16="Supramax",AJV16,AHT16="Panamax",AJO16,AHT16="NeoPanamax",AJH16,AHT16="Suezmax",AJA16,AHT16="Capesize",AIT16,AHT16="VLOC",AIM16)))))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H16" s="75" t="e">
        <f t="array" aca="1" ref="AMH16" ca="1">INDEX(Canals!$AF$24:$AF$29,MATCH(2,1/((Canals!$F$24:$F$29&lt;=$C16)*(Canals!$G$24:$G$29=_xlfn.IFS(AHT16="Handysize",Main!AKC16,AHT16="Supramax",AJV16,AHT16="Panamax",AJO16,AHT16="NeoPanamax",AJH16,AHT16="Suezmax",AJA16,AHT16="Capesize",AIT16,AHT16="VLOC",AIM16)))))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I16" s="75" t="e">
        <f t="array" aca="1" ref="AMI16" ca="1">INDEX(Canals!$AG$24:$AG$29,MATCH(2,1/((Canals!$F$24:$F$29&lt;=$C16)*(Canals!$G$24:$G$29=_xlfn.IFS(AHT16="Handysize",Main!AKC16,AHT16="Supramax",AJV16,AHT16="Panamax",AJO16,AHT16="NeoPanamax",AJH16,AHT16="Suezmax",AJA16,AHT16="Capesize",AIT16,AHT16="VLOC",AIM16)))))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J16" s="75" t="e">
        <f t="array" aca="1" ref="AMJ16" ca="1">INDEX(Canals!$AH$24:$AH$29,MATCH(2,1/((Canals!$F$24:$F$29&lt;=$C16)*(Canals!$G$24:$G$29=_xlfn.IFS(AHT16="Handysize",Main!AKC16,AHT16="Supramax",AJV16,AHT16="Panamax",AJO16,AHT16="NeoPanamax",AJH16,AHT16="Suezmax",AJA16,AHT16="Capesize",AIT16,AHT16="VLOC",AIM16)))))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K16" s="75" t="e">
        <f t="array" aca="1" ref="AMK16" ca="1">INDEX(Canals!$AI$24:$AI$29,MATCH(2,1/((Canals!$F$24:$F$29&lt;=$C16)*(Canals!$G$24:$G$29=_xlfn.IFS(AHT16="Handysize",Main!AKC16,AHT16="Supramax",AJV16,AHT16="Panamax",AJO16,AHT16="NeoPanamax",AJH16,AHT16="Suezmax",AJA16,AHT16="Capesize",AIT16,AHT16="VLOC",AIM16)))))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L16" s="75" t="e">
        <f t="array" aca="1" ref="AML16" ca="1">INDEX(Canals!$AJ$24:$AJ$29,MATCH(2,1/((Canals!$F$24:$F$29&lt;=$C16)*(Canals!$G$24:$G$29=_xlfn.IFS(AHT16="Handysize",Main!AKC16,AHT16="Supramax",AJV16,AHT16="Panamax",AJO16,AHT16="NeoPanamax",AJH16,AHT16="Suezmax",AJA16,AHT16="Capesize",AIT16,AHT16="VLOC",AIM16)))))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M16" s="75" t="e">
        <f t="array" aca="1" ref="AMM16" ca="1">INDEX(Canals!$AK$24:$AK$29,MATCH(2,1/((Canals!$F$24:$F$29&lt;=$C16)*(Canals!$G$24:$G$29=_xlfn.IFS(AHT16="Handysize",Main!AKC16,AHT16="Supramax",AJV16,AHT16="Panamax",AJO16,AHT16="NeoPanamax",AJH16,AHT16="Suezmax",AJA16,AHT16="Capesize",AIT16,AHT16="VLOC",AIM16)))))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N16" s="136" t="e">
        <f t="array" aca="1" ref="AMN16" ca="1">INDEX(Canals!$AL$24:$AL$29,MATCH(2,1/((Canals!$F$24:$F$29&lt;=$C16)*(Canals!$G$24:$G$29=_xlfn.IFS(AHT16="Handysize",Main!AKC16,AHT16="Supramax",AJV16,AHT16="Panamax",AJO16,AHT16="NeoPanamax",AJH16,AHT16="Suezmax",AJA16,AHT16="Capesize",AIT16,AHT16="VLOC",AIM16)))))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O16" s="136" t="e">
        <f t="array" aca="1" ref="AMO16" ca="1">INDEX(Canals!$AM$24:$AM$29,MATCH(2,1/((Canals!$F$24:$F$29&lt;=$C16)*(Canals!$G$24:$G$29=_xlfn.IFS(AHT16="Handysize",Main!AKC16,AHT16="Supramax",AJV16,AHT16="Panamax",AJO16,AHT16="NeoPanamax",AJH16,AHT16="Suezmax",AJA16,AHT16="Capesize",AIT16,AHT16="VLOC",AIM16)))))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P16" s="136" t="e">
        <f t="array" aca="1" ref="AMP16" ca="1">INDEX(Canals!$AN$24:$AN$29,MATCH(2,1/((Canals!$F$24:$F$29&lt;=$C16)*(Canals!$G$24:$G$29=_xlfn.IFS(AHT16="Handysize",Main!AKC16,AHT16="Supramax",AJV16,AHT16="Panamax",AJO16,AHT16="NeoPanamax",AJH16,AHT16="Suezmax",AJA16,AHT16="Capesize",AIT16,AHT16="VLOC",AIM16)))))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Q16" s="136" t="e">
        <f t="array" aca="1" ref="AMQ16" ca="1">INDEX(Canals!$AO$24:$AO$29,MATCH(2,1/((Canals!$F$24:$F$29&lt;=$C16)*(Canals!$G$24:$G$29=_xlfn.IFS(AHT16="Handysize",Main!AKC16,AHT16="Supramax",AJV16,AHT16="Panamax",AJO16,AHT16="NeoPanamax",AJH16,AHT16="Suezmax",AJA16,AHT16="Capesize",AIT16,AHT16="VLOC",AIM16)))))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R16" s="136" t="e">
        <f t="array" aca="1" ref="AMR16" ca="1">INDEX(Canals!$AP$24:$AP$29,MATCH(2,1/((Canals!$F$24:$F$29&lt;=$C16)*(Canals!$G$24:$G$29=_xlfn.IFS(AHT16="Handysize",Main!AKC16,AHT16="Supramax",AJV16,AHT16="Panamax",AJO16,AHT16="NeoPanamax",AJH16,AHT16="Suezmax",AJA16,AHT16="Capesize",AIT16,AHT16="VLOC",AIM16)))))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S16" s="136" t="e">
        <f t="array" aca="1" ref="AMS16" ca="1">INDEX(Canals!$AQ$24:$AQ$29,MATCH(2,1/((Canals!$F$24:$F$29&lt;=$C16)*(Canals!$G$24:$G$29=_xlfn.IFS(AHT16="Handysize",Main!AKC16,AHT16="Supramax",AJV16,AHT16="Panamax",AJO16,AHT16="NeoPanamax",AJH16,AHT16="Suezmax",AJA16,AHT16="Capesize",AIT16,AHT16="VLOC",AIM16)))))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T16" s="136" t="e">
        <f t="array" aca="1" ref="AMT16" ca="1">INDEX(Canals!$AR$24:$AR$29,MATCH(2,1/((Canals!$F$24:$F$29&lt;=$C16)*(Canals!$G$24:$G$29=_xlfn.IFS(AHT16="Handysize",Main!AKC16,AHT16="Supramax",AJV16,AHT16="Panamax",AJO16,AHT16="NeoPanamax",AJH16,AHT16="Suezmax",AJA16,AHT16="Capesize",AIT16,AHT16="VLOC",AIM16)))))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U16" s="136" t="e">
        <f t="array" aca="1" ref="AMU16" ca="1">INDEX(Canals!$AS$24:$AS$29,MATCH(2,1/((Canals!$F$24:$F$29&lt;=$C16)*(Canals!$G$24:$G$29=_xlfn.IFS(AHT16="Handysize",Main!AKC16,AHT16="Supramax",AJV16,AHT16="Panamax",AJO16,AHT16="NeoPanamax",AJH16,AHT16="Suezmax",AJA16,AHT16="Capesize",AIT16,AHT16="VLOC",AIM16)))))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V16" s="136" t="e">
        <f t="array" aca="1" ref="AMV16" ca="1">INDEX(Canals!$AT$24:$AT$29,MATCH(2,1/((Canals!$F$24:$F$29&lt;=$C16)*(Canals!$G$24:$G$29=_xlfn.IFS(AHT16="Handysize",Main!AKC16,AHT16="Supramax",AJV16,AHT16="Panamax",AJO16,AHT16="NeoPanamax",AJH16,AHT16="Suezmax",AJA16,AHT16="Capesize",AIT16,AHT16="VLOC",AIM16)))))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W16" s="136" t="e">
        <f t="array" aca="1" ref="AMW16" ca="1">INDEX(Canals!$AU$24:$AU$29,MATCH(2,1/((Canals!$F$24:$F$29&lt;=$C16)*(Canals!$G$24:$G$29=_xlfn.IFS(AHT16="Handysize",Main!AKC16,AHT16="Supramax",AJV16,AHT16="Panamax",AJO16,AHT16="NeoPanamax",AJH16,AHT16="Suezmax",AJA16,AHT16="Capesize",AIT16,AHT16="VLOC",AIM16)))))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X16" s="136" t="e">
        <f t="array" aca="1" ref="AMX16" ca="1">INDEX(Canals!$AV$24:$AV$29,MATCH(2,1/((Canals!$F$24:$F$29&lt;=$C16)*(Canals!$G$24:$G$29=_xlfn.IFS(AHT16="Handysize",Main!AKC16,AHT16="Supramax",AJV16,AHT16="Panamax",AJO16,AHT16="NeoPanamax",AJH16,AHT16="Suezmax",AJA16,AHT16="Capesize",AIT16,AHT16="VLOC",AIM16)))))</f>
        <v>#N/A</v>
      </c>
      <c r="AMZ16" s="75" t="e">
        <f t="array" aca="1" ref="AMZ16" ca="1">_xlfn.IFS(ALK16="DWT",AHR16,ALK16="NRT",AHV16,ALK16="GRT",AHW16,ALK16=0,0)</f>
        <v>#NAME?</v>
      </c>
      <c r="ANA16" s="279" t="e">
        <f t="shared" ca="1" si="227"/>
        <v>#NAME?</v>
      </c>
      <c r="ANB16" s="280" t="e">
        <f t="shared" ca="1" si="228"/>
        <v>#NAME?</v>
      </c>
      <c r="ANC16" s="280" t="e">
        <f t="shared" ca="1" si="229"/>
        <v>#NAME?</v>
      </c>
      <c r="AND16" s="280" t="e">
        <f t="shared" ca="1" si="230"/>
        <v>#NAME?</v>
      </c>
      <c r="ANE16" s="280" t="e">
        <f t="shared" ca="1" si="231"/>
        <v>#NAME?</v>
      </c>
      <c r="ANF16" s="280" t="e">
        <f t="shared" ca="1" si="232"/>
        <v>#NAME?</v>
      </c>
      <c r="ANG16" s="280" t="e">
        <f t="shared" ca="1" si="233"/>
        <v>#NAME?</v>
      </c>
      <c r="ANH16" s="280" t="e">
        <f t="shared" ca="1" si="234"/>
        <v>#NAME?</v>
      </c>
      <c r="ANI16" s="280" t="e">
        <f t="shared" ca="1" si="235"/>
        <v>#NAME?</v>
      </c>
      <c r="ANJ16" s="75">
        <f t="shared" si="236"/>
        <v>0</v>
      </c>
      <c r="ANK16" s="279" t="e">
        <f t="shared" ca="1" si="237"/>
        <v>#N/A</v>
      </c>
      <c r="ANL16" s="280" t="e">
        <f t="shared" ca="1" si="238"/>
        <v>#N/A</v>
      </c>
      <c r="ANM16" s="280" t="e">
        <f t="shared" ca="1" si="239"/>
        <v>#N/A</v>
      </c>
      <c r="ANN16" s="280" t="e">
        <f t="shared" ca="1" si="240"/>
        <v>#N/A</v>
      </c>
      <c r="ANO16" s="280" t="e">
        <f t="shared" ca="1" si="241"/>
        <v>#N/A</v>
      </c>
      <c r="ANP16" s="280" t="e">
        <f t="shared" ca="1" si="242"/>
        <v>#N/A</v>
      </c>
      <c r="ANQ16" s="280" t="e">
        <f t="shared" ca="1" si="243"/>
        <v>#N/A</v>
      </c>
      <c r="ANR16" s="280" t="e">
        <f t="shared" ca="1" si="244"/>
        <v>#N/A</v>
      </c>
      <c r="ANS16" s="280" t="e">
        <f t="shared" ca="1" si="245"/>
        <v>#N/A</v>
      </c>
      <c r="ANU16" s="75" t="e">
        <f t="array" aca="1" ref="ANU16" ca="1">_xlfn.IFS(AHT16="Handysize",Main!AJW16,AHT16="Supramax",AJP16,AHT16="Panamax",AJI16,AHT16="NeoPanamax",AJB16,AHT16="Suezmax",AIU16,AHT16="Capesize",AIN16,AHT16="VLOC",AIG16)*$JI16</f>
        <v>#NAME?</v>
      </c>
      <c r="ANV16" s="274" t="e">
        <f t="array" aca="1" ref="ANV16" ca="1">_xlfn.IFS(AHT16="Handysize",Main!AJX16,AHT16="Supramax",AJQ16,AHT16="Panamax",AJJ16,AHT16="NeoPanamax",AJC16,AHT16="Suezmax",AIV16,AHT16="Capesize",AIO16,AHT16="VLOC",AIH16)*$JI16</f>
        <v>#NAME?</v>
      </c>
      <c r="ANW16" s="71" t="e">
        <f t="array" aca="1" ref="ANW16" ca="1">_xlfn.IFS(AHT16="Handysize",Main!AHY16,AHT16="Supramax",AHZ16,AHT16="Panamax",AIA16,AHT16="NeoPanamax",AIB16,AHT16="Suezmax",AIC16,AHT16="Capesize",AID16,AHT16="VLOC",AIE16)</f>
        <v>#NAME?</v>
      </c>
      <c r="ANX16" s="71" t="e">
        <f t="array" aca="1" ref="ANX16" ca="1">_xlfn.IFS(AHT16="Handysize",Main!AKK16,AHT16="Supramax",AKL16,AHT16="Panamax",AKM16,AHT16="NeoPanamax",AKN16,AHT16="Suezmax",AKO16,AHT16="Capesize",AKP16,AHT16="VLOC",AKQ16)</f>
        <v>#NAME?</v>
      </c>
      <c r="ANY16" s="70">
        <f t="array" ref="ANY16">INDEX('Ship Speeds'!$G$11:$G$1011,MATCH(2,1/(('Ship Speeds'!$E$11:$E$1011&lt;=Main!$C16)*('Ship Speeds'!$F$11:$F$1011=Main!AHS16))))</f>
        <v>11</v>
      </c>
      <c r="ANZ16" s="403">
        <f t="shared" si="246"/>
        <v>0</v>
      </c>
      <c r="AOA16" s="401">
        <f t="shared" si="247"/>
        <v>1.2</v>
      </c>
      <c r="AOB16" s="70" t="e">
        <f t="shared" ca="1" si="248"/>
        <v>#NAME?</v>
      </c>
      <c r="AOC16" s="70" t="e">
        <f t="shared" ca="1" si="249"/>
        <v>#NAME?</v>
      </c>
      <c r="AOD16" s="70" t="e">
        <f t="shared" ca="1" si="250"/>
        <v>#NAME?</v>
      </c>
      <c r="AOE16" s="70" t="e">
        <f t="shared" ca="1" si="251"/>
        <v>#NAME?</v>
      </c>
      <c r="AOF16" s="72" t="e">
        <f t="shared" ca="1" si="252"/>
        <v>#N/A</v>
      </c>
      <c r="AOG16" s="70" t="e">
        <f t="shared" ca="1" si="253"/>
        <v>#NAME?</v>
      </c>
      <c r="AOH16" s="70" t="e">
        <f t="array" aca="1" ref="AOH16" ca="1">IF(ANU16=0,0,INDEX(AKE16:AKI16,MATCH(_xlfn.IFS(AHT16="Handysize",Main!AKA16,AHT16="Supramax",AJT16,AHT16="Panamax",AJM16,AHT16="NeoPanamax",AJF16,AHT16="Suezmax",AIY16,AHT16="Capesize",AIR16,AHT16="VLOC",AIK16),$AKE$7:$AKI$7,0)))</f>
        <v>#NAME?</v>
      </c>
      <c r="AOI16" s="70" t="e">
        <f t="array" aca="1" ref="AOI16" ca="1">IF(ANU16=0,0,INDEX(AKE16:AKI16,MATCH(_xlfn.IFS(AHT16="Handysize",Main!AKB16,AHT16="Supramax",AJU16,AHT16="Panamax",AJN16,AHT16="NeoPanamax",AJG16,AHT16="Suezmax",AIZ16,AHT16="Capesize",AIS16,AHT16="VLOC",AIL16),$AKE$7:$AKI$7,0)))</f>
        <v>#NAME?</v>
      </c>
      <c r="AOJ16" s="71" t="e">
        <f t="shared" ca="1" si="254"/>
        <v>#NAME?</v>
      </c>
      <c r="AOK16" s="71" t="e">
        <f t="shared" ca="1" si="255"/>
        <v>#NAME?</v>
      </c>
      <c r="AOL16" s="281" t="e">
        <f t="shared" ca="1" si="256"/>
        <v>#NAME?</v>
      </c>
      <c r="AOM16" s="71" t="e">
        <f t="shared" ca="1" si="257"/>
        <v>#NAME?</v>
      </c>
      <c r="AON16" s="71" t="e">
        <f t="shared" ca="1" si="258"/>
        <v>#NAME?</v>
      </c>
      <c r="AOO16" s="71" t="e">
        <f t="shared" ca="1" si="259"/>
        <v>#NAME?</v>
      </c>
      <c r="AOP16" s="71" t="e">
        <f t="shared" ca="1" si="260"/>
        <v>#NAME?</v>
      </c>
      <c r="AOQ16" s="71" t="e">
        <f t="shared" ca="1" si="261"/>
        <v>#NAME?</v>
      </c>
      <c r="AOR16" s="71" t="e">
        <f t="shared" ca="1" si="262"/>
        <v>#NAME?</v>
      </c>
      <c r="AOS16" s="71" t="e">
        <f t="shared" ca="1" si="263"/>
        <v>#NAME?</v>
      </c>
      <c r="AOT16" s="71" t="e">
        <f t="shared" ca="1" si="264"/>
        <v>#NAME?</v>
      </c>
      <c r="AOU16" s="71" t="e">
        <f t="shared" ca="1" si="265"/>
        <v>#NAME?</v>
      </c>
      <c r="AOV16" s="71" t="e">
        <f t="shared" ca="1" si="266"/>
        <v>#NAME?</v>
      </c>
      <c r="AOW16" s="71" t="e">
        <f t="shared" ca="1" si="267"/>
        <v>#NAME?</v>
      </c>
      <c r="AOX16" s="71" t="e">
        <f t="shared" ca="1" si="268"/>
        <v>#NAME?</v>
      </c>
      <c r="AOY16" s="72" t="e">
        <f t="shared" ca="1" si="269"/>
        <v>#NAME?</v>
      </c>
      <c r="AOZ16" s="72" t="e">
        <f t="shared" ca="1" si="270"/>
        <v>#NAME?</v>
      </c>
      <c r="APA16" s="71" t="e">
        <f t="shared" ca="1" si="271"/>
        <v>#NAME?</v>
      </c>
      <c r="APB16" s="71" t="e">
        <f t="array" aca="1" ref="APB16" ca="1">IF(ANU16=0,0,INDEX('Ship Time Charter Rates'!$H$22:$H$1021,MATCH(2,1/(('Ship Time Charter Rates'!$G$22:$G$1021=_xlfn.IFS(AHT16="Handysize",Main!AJY16,AHT16="Supramax",AJR16,AHT16="Panamax",AJK16,AHT16="NeoPanamax",AJD16,AHT16="Suezmax",AIW16,AHT16="Capesize",AIP16,AHT16="VLOC",AII16))*('Ship Time Charter Rates'!$E$22:$E$1021&lt;=Main!$C16)*(NOT(ISBLANK('Ship Time Charter Rates'!$H$22:$H$1021)))))))</f>
        <v>#NAME?</v>
      </c>
      <c r="APC16" s="71" t="e">
        <f t="shared" ca="1" si="272"/>
        <v>#NAME?</v>
      </c>
      <c r="APD16" s="70" t="e">
        <f t="shared" ca="1" si="273"/>
        <v>#NAME?</v>
      </c>
      <c r="APE16" s="71" t="e">
        <f t="shared" ca="1" si="274"/>
        <v>#NAME?</v>
      </c>
      <c r="APF16" s="71" t="e">
        <f t="shared" ca="1" si="308"/>
        <v>#NAME?</v>
      </c>
      <c r="APG16" s="72" t="e">
        <f t="shared" ca="1" si="309"/>
        <v>#NAME?</v>
      </c>
      <c r="API16" s="287" t="s">
        <v>39</v>
      </c>
      <c r="APK16" s="289" t="e">
        <f t="shared" ca="1" si="275"/>
        <v>#NAME?</v>
      </c>
      <c r="APL16" s="289" t="e">
        <f t="shared" ca="1" si="276"/>
        <v>#NAME?</v>
      </c>
      <c r="APM16" s="289" t="e">
        <f t="shared" ca="1" si="277"/>
        <v>#NAME?</v>
      </c>
      <c r="APO16" s="287" t="s">
        <v>39</v>
      </c>
    </row>
    <row r="17" spans="2:1107">
      <c r="C17" s="5">
        <v>43923</v>
      </c>
      <c r="D17" s="7" t="s">
        <v>20</v>
      </c>
      <c r="E17" s="86" t="s">
        <v>444</v>
      </c>
      <c r="F17" s="6">
        <v>50</v>
      </c>
      <c r="G17" s="1" t="s">
        <v>185</v>
      </c>
      <c r="H17" s="1" t="s">
        <v>5</v>
      </c>
      <c r="I17" s="15"/>
      <c r="J17" s="15"/>
      <c r="K17" s="15"/>
      <c r="L17" s="15"/>
      <c r="M17" s="15"/>
      <c r="N17" s="15"/>
      <c r="O17" s="15"/>
      <c r="P17" s="8"/>
      <c r="Q17" s="98"/>
      <c r="R17" s="7" t="s">
        <v>95</v>
      </c>
      <c r="T17" s="287" t="s">
        <v>39</v>
      </c>
      <c r="V17" s="4"/>
      <c r="W17" s="16" t="str">
        <f t="shared" si="0"/>
        <v>not used yet</v>
      </c>
      <c r="X17" s="16" t="str">
        <f t="shared" si="0"/>
        <v>not used yet</v>
      </c>
      <c r="Y17" s="16" t="str">
        <f t="shared" si="0"/>
        <v>not used yet</v>
      </c>
      <c r="Z17" s="16" t="str">
        <f t="shared" si="0"/>
        <v>not used yet</v>
      </c>
      <c r="AA17" s="16" t="str">
        <f t="shared" si="0"/>
        <v>not used yet</v>
      </c>
      <c r="AB17" s="16" t="str">
        <f t="shared" si="0"/>
        <v>not used yet</v>
      </c>
      <c r="AC17" s="16" t="str">
        <f t="shared" si="0"/>
        <v>not used yet</v>
      </c>
      <c r="AE17" s="88" t="str">
        <f t="shared" si="1"/>
        <v>Huntly</v>
      </c>
      <c r="AF17" s="16">
        <f t="shared" si="310"/>
        <v>0.35</v>
      </c>
      <c r="AG17" s="16">
        <f t="shared" si="311"/>
        <v>0.33</v>
      </c>
      <c r="AH17" s="61">
        <f t="shared" si="312"/>
        <v>0.2</v>
      </c>
      <c r="AI17" s="61">
        <f t="shared" si="313"/>
        <v>1.0999999999999999E-2</v>
      </c>
      <c r="AJ17" s="61">
        <f t="shared" si="314"/>
        <v>0.189</v>
      </c>
      <c r="AK17" s="16">
        <f t="shared" si="315"/>
        <v>8.9999999999999629E-3</v>
      </c>
      <c r="AL17" s="16">
        <f t="shared" si="316"/>
        <v>0.08</v>
      </c>
      <c r="AM17" s="24" t="str">
        <f t="shared" si="3"/>
        <v>LT</v>
      </c>
      <c r="AN17" s="427">
        <f t="shared" si="278"/>
        <v>42607.5</v>
      </c>
      <c r="AO17" s="127" t="str">
        <f t="array" ref="AO17">IFERROR(IF(AND(AN17&gt;'Indices Mines Exporting Ports'!$D$11,MATCH(2,1/(('Indices Mines Exporting Ports'!$B$3:$B$10&lt;=C17)*('Indices Mines Exporting Ports'!$C$3:$C$10=E17)))),"Yes","No"),"No")</f>
        <v>No</v>
      </c>
      <c r="AP17" s="126" t="str">
        <f t="array" ref="AP17">IF(AO17="Yes",INDEX('Indices Mines Exporting Ports'!$D$3:$D$10,MATCH(2,1/(('Indices Mines Exporting Ports'!$B$3:$B$10&lt;=Main!C17)*('Indices Mines Exporting Ports'!$C$3:$C$10=Main!AE17)))),IF(NOT(ISBLANK(Q17)),Q17,IP17))</f>
        <v>Kwinana_wharf</v>
      </c>
      <c r="AQ17" s="262">
        <f t="array" ref="AQ17">IF(AO17="no",0,INDEX('Indices Mines Exporting Ports'!$E$3:$E$10,MATCH(2,1/(('Indices Mines Exporting Ports'!$B$3:$B$10&lt;=Main!$C17)*('Indices Mines Exporting Ports'!$D$3:$D$10=Main!$AP17)))))</f>
        <v>0</v>
      </c>
      <c r="AR17" s="267">
        <f t="array" ref="AR17">IF(AO17="No",0,AN17/ROUND(AN17/INDEX('Indices Mines Exporting Ports'!$F$3:$F$10,MATCH(2,1/(('Indices Mines Exporting Ports'!$B$3:$B$10&lt;=Main!C17)*('Indices Mines Exporting Ports'!$C$3:$C$10=Main!AE17)))),0))</f>
        <v>0</v>
      </c>
      <c r="AS17" s="127" t="str">
        <f t="shared" si="4"/>
        <v>Qingdao</v>
      </c>
      <c r="AT17" s="100" t="str">
        <f t="shared" si="317"/>
        <v>CBIX LT</v>
      </c>
      <c r="AU17" s="100" t="str">
        <f t="shared" si="318"/>
        <v>CBIX LT</v>
      </c>
      <c r="AV17" s="242" t="s">
        <v>4</v>
      </c>
      <c r="AW17" s="242" t="s">
        <v>5</v>
      </c>
      <c r="AX17" s="292" t="e">
        <f t="shared" ca="1" si="6"/>
        <v>#NAME?</v>
      </c>
      <c r="AY17" s="291" t="e">
        <f t="shared" ca="1" si="7"/>
        <v>#NAME?</v>
      </c>
      <c r="AZ17" s="292" t="e">
        <f t="shared" ca="1" si="8"/>
        <v>#NAME?</v>
      </c>
      <c r="BA17" s="102">
        <f t="shared" si="9"/>
        <v>1</v>
      </c>
      <c r="BB17" s="12"/>
      <c r="BC17" s="306" t="s">
        <v>403</v>
      </c>
      <c r="BD17" s="407">
        <f t="shared" si="279"/>
        <v>0</v>
      </c>
      <c r="BE17" s="407">
        <f t="shared" si="279"/>
        <v>0</v>
      </c>
      <c r="BF17" s="407">
        <f t="shared" si="279"/>
        <v>0</v>
      </c>
      <c r="BG17" s="407" t="e">
        <f t="shared" ca="1" si="280"/>
        <v>#NAME?</v>
      </c>
      <c r="BH17" s="407">
        <f t="shared" si="281"/>
        <v>0</v>
      </c>
      <c r="BI17" s="263" t="e">
        <f t="shared" ca="1" si="282"/>
        <v>#NAME?</v>
      </c>
      <c r="BK17" s="287" t="s">
        <v>39</v>
      </c>
      <c r="BM17" s="291" t="e">
        <f t="shared" ca="1" si="283"/>
        <v>#NAME?</v>
      </c>
      <c r="BN17" s="298">
        <f t="shared" si="284"/>
        <v>0.35</v>
      </c>
      <c r="BO17" s="298">
        <f t="shared" si="285"/>
        <v>0.33</v>
      </c>
      <c r="BP17" s="298">
        <f t="shared" si="286"/>
        <v>0.2</v>
      </c>
      <c r="BQ17" s="298">
        <f t="shared" si="287"/>
        <v>1.0999999999999999E-2</v>
      </c>
      <c r="BR17" s="298">
        <f t="shared" si="288"/>
        <v>0.189</v>
      </c>
      <c r="BS17" s="298">
        <f t="shared" si="289"/>
        <v>8.9999999999999629E-3</v>
      </c>
      <c r="BT17" s="298">
        <f t="shared" si="290"/>
        <v>0.08</v>
      </c>
      <c r="BU17" s="307" t="str">
        <f t="shared" si="291"/>
        <v>LT</v>
      </c>
      <c r="BV17" s="291">
        <f t="shared" si="292"/>
        <v>1</v>
      </c>
      <c r="BX17" s="300">
        <f t="array" ref="BX17">INDEX('Processing Factors'!$D$8:$D$29,MATCH(2,1/(('Processing Factors'!$B$8:$B$29&lt;=Main!$C17)*('Processing Factors'!$C$8:$C$29=Main!BU17))))</f>
        <v>0</v>
      </c>
      <c r="BY17" s="299">
        <f t="array" ref="BY17">INDEX('Processing Factors'!$E$8:$E$29,MATCH(2,1/(('Processing Factors'!$B$8:$B$29&lt;=Main!$C17)*('Processing Factors'!$C$8:$C$29=Main!BU17))))</f>
        <v>1</v>
      </c>
      <c r="BZ17" s="299">
        <f t="array" ref="BZ17">INDEX('Processing Factors'!$F$8:$F$29,MATCH(2,1/(('Processing Factors'!$B$8:$B$29&lt;=Main!$C17)*('Processing Factors'!$C$8:$C$29=Main!BU17))))</f>
        <v>0.9</v>
      </c>
      <c r="CA17" s="299">
        <f t="array" ref="CA17">INDEX('Processing Factors'!$G$8:$G$29,MATCH(2,1/(('Processing Factors'!$B$8:$B$29&lt;=Main!$C17)*('Processing Factors'!$C$8:$C$29=Main!BU17))))</f>
        <v>3.5999999999999997E-2</v>
      </c>
      <c r="CB17" s="299">
        <f t="array" ref="CB17">INDEX('Processing Factors'!$H$8:$H$29,MATCH(2,1/(('Processing Factors'!$B$8:$B$29&lt;=Main!$C17)*('Processing Factors'!$C$8:$C$29=Main!BU17))))</f>
        <v>12.15</v>
      </c>
      <c r="CC17" s="300">
        <f t="array" ref="CC17">INDEX('Processing Factors'!$I$8:$I$29,MATCH(2,1/(('Processing Factors'!$B$8:$B$29&lt;=Main!$C17)*('Processing Factors'!$C$8:$C$29=Main!BU17))))</f>
        <v>0</v>
      </c>
      <c r="CD17" s="300">
        <f t="array" ref="CD17">INDEX('Processing Factors'!$J$8:$J$29,MATCH(2,1/(('Processing Factors'!$B$8:$B$29&lt;=Main!$C17)*('Processing Factors'!$C$8:$C$29=Main!BU17))))</f>
        <v>0.9</v>
      </c>
      <c r="CE17" s="299">
        <f t="array" ref="CE17">INDEX('Processing Factors'!$K$8:$K$29,MATCH(2,1/(('Processing Factors'!$B$8:$B$29&lt;=Main!$C17)*('Processing Factors'!$C$8:$C$29=Main!BU17))))</f>
        <v>3.5000000000000003E-2</v>
      </c>
      <c r="CG17" s="302">
        <f t="shared" si="10"/>
        <v>0.34100000000000003</v>
      </c>
      <c r="CH17" s="302">
        <f t="shared" si="11"/>
        <v>1.0999999999999999E-2</v>
      </c>
      <c r="CI17" s="302">
        <f t="shared" si="12"/>
        <v>0.33</v>
      </c>
      <c r="CJ17" s="299">
        <f t="shared" si="13"/>
        <v>3.3670033670033668</v>
      </c>
      <c r="CK17" s="281" t="e">
        <f t="shared" ca="1" si="14"/>
        <v>#NAME?</v>
      </c>
      <c r="CL17" s="299">
        <f t="shared" si="15"/>
        <v>6.8333333333333329E-2</v>
      </c>
      <c r="CM17" s="281">
        <f t="shared" si="16"/>
        <v>16.416996419822876</v>
      </c>
      <c r="CN17" s="281">
        <f t="shared" si="17"/>
        <v>50.37416442905598</v>
      </c>
      <c r="CO17" s="281">
        <f t="shared" si="18"/>
        <v>1.2210288298473715</v>
      </c>
      <c r="CP17" s="299">
        <f t="shared" si="19"/>
        <v>2.4713367003367002</v>
      </c>
      <c r="CQ17" s="281">
        <f t="shared" si="20"/>
        <v>10.477685275593698</v>
      </c>
      <c r="CR17" s="281" t="e">
        <f t="shared" ca="1" si="21"/>
        <v>#NAME?</v>
      </c>
      <c r="CT17" s="287" t="s">
        <v>39</v>
      </c>
      <c r="CV17" s="305" t="e">
        <f t="shared" ca="1" si="22"/>
        <v>#NAME?</v>
      </c>
      <c r="CW17" s="61">
        <f t="array" ref="CW17">INDEX('Indices Mines Exporting Ports'!E$20:E$51, MATCH(2,1/(('Indices Mines Exporting Ports'!$C$20:$C$51=$AT17)*('Indices Mines Exporting Ports'!$D$20:$D$51&lt;=$C17))))</f>
        <v>0.5</v>
      </c>
      <c r="CX17" s="61">
        <f t="array" ref="CX17">INDEX('Indices Mines Exporting Ports'!F$20:F$51, MATCH(2,1/(('Indices Mines Exporting Ports'!$C$20:$C$51=$AT17)*('Indices Mines Exporting Ports'!$D$20:$D$51&lt;=$C17))))</f>
        <v>0.45</v>
      </c>
      <c r="CY17" s="61">
        <f t="array" ref="CY17">INDEX('Indices Mines Exporting Ports'!G$20:G$51, MATCH(2,1/(('Indices Mines Exporting Ports'!$C$20:$C$51=$AT17)*('Indices Mines Exporting Ports'!$D$20:$D$51&lt;=$C17))))</f>
        <v>0.05</v>
      </c>
      <c r="CZ17" s="61">
        <f t="array" ref="CZ17">INDEX('Indices Mines Exporting Ports'!H$20:H$51, MATCH(2,1/(('Indices Mines Exporting Ports'!$C$20:$C$51=$AT17)*('Indices Mines Exporting Ports'!$D$20:$D$51&lt;=$C17))))</f>
        <v>0.05</v>
      </c>
      <c r="DA17" s="61">
        <f t="array" ref="DA17">INDEX('Indices Mines Exporting Ports'!I$20:I$51, MATCH(2,1/(('Indices Mines Exporting Ports'!$C$20:$C$51=$AT17)*('Indices Mines Exporting Ports'!$D$20:$D$51&lt;=$C17))))</f>
        <v>0</v>
      </c>
      <c r="DB17" s="61">
        <f t="array" ref="DB17">INDEX('Indices Mines Exporting Ports'!J$20:J$51, MATCH(2,1/(('Indices Mines Exporting Ports'!$C$20:$C$51=$AT17)*('Indices Mines Exporting Ports'!$D$20:$D$51&lt;=$C17))))</f>
        <v>0</v>
      </c>
      <c r="DC17" s="61">
        <f t="array" ref="DC17">INDEX('Indices Mines Exporting Ports'!K$20:K$51, MATCH(2,1/(('Indices Mines Exporting Ports'!$C$20:$C$51=$AT17)*('Indices Mines Exporting Ports'!$D$20:$D$51&lt;=$C17))))</f>
        <v>0.1</v>
      </c>
      <c r="DD17" s="103" t="str">
        <f t="array" ref="DD17">INDEX('Indices Mines Exporting Ports'!L$20:L$51, MATCH(2,1/(('Indices Mines Exporting Ports'!$C$20:$C$51=$AT17)*('Indices Mines Exporting Ports'!$D$20:$D$51&lt;=$C17))))</f>
        <v>LT</v>
      </c>
      <c r="DE17" s="243">
        <f t="array" ref="DE17">INDEX('Indices Mines Exporting Ports'!M$20:M$51, MATCH(2,1/(('Indices Mines Exporting Ports'!$C$20:$C$51=$AT17)*('Indices Mines Exporting Ports'!$D$20:$D$51&lt;=$C17))))</f>
        <v>0</v>
      </c>
      <c r="DG17" s="300">
        <f t="array" ref="DG17">INDEX('Processing Factors'!$D$8:$D$29,MATCH(2,1/(('Processing Factors'!$B$8:$B$29&lt;=Main!$C17)*('Processing Factors'!$C$8:$C$29=Main!DD17))))</f>
        <v>0</v>
      </c>
      <c r="DH17" s="299">
        <f t="array" ref="DH17">INDEX('Processing Factors'!$E$8:$E$29,MATCH(2,1/(('Processing Factors'!$B$8:$B$29&lt;=Main!$C17)*('Processing Factors'!$C$8:$C$29=Main!DD17))))</f>
        <v>1</v>
      </c>
      <c r="DI17" s="299">
        <f t="array" ref="DI17">INDEX('Processing Factors'!$F$8:$F$29,MATCH(2,1/(('Processing Factors'!$B$8:$B$29&lt;=Main!$C17)*('Processing Factors'!$C$8:$C$29=Main!DD17))))</f>
        <v>0.9</v>
      </c>
      <c r="DJ17" s="299">
        <f t="array" ref="DJ17">INDEX('Processing Factors'!$G$8:$G$29,MATCH(2,1/(('Processing Factors'!$B$8:$B$29&lt;=Main!$C17)*('Processing Factors'!$C$8:$C$29=Main!DD17))))</f>
        <v>3.5999999999999997E-2</v>
      </c>
      <c r="DK17" s="299">
        <f t="array" ref="DK17">INDEX('Processing Factors'!$H$8:$H$29,MATCH(2,1/(('Processing Factors'!$B$8:$B$29&lt;=Main!$C17)*('Processing Factors'!$C$8:$C$29=Main!DD17))))</f>
        <v>12.15</v>
      </c>
      <c r="DL17" s="300">
        <f t="array" ref="DL17">INDEX('Processing Factors'!$I$8:$I$29,MATCH(2,1/(('Processing Factors'!$B$8:$B$29&lt;=Main!$C17)*('Processing Factors'!$C$8:$C$29=Main!DD17))))</f>
        <v>0</v>
      </c>
      <c r="DM17" s="300">
        <f t="array" ref="DM17">INDEX('Processing Factors'!$J$8:$J$29,MATCH(2,1/(('Processing Factors'!$B$8:$B$29&lt;=Main!$C17)*('Processing Factors'!$C$8:$C$29=Main!DD17))))</f>
        <v>0.9</v>
      </c>
      <c r="DN17" s="299">
        <f t="array" ref="DN17">INDEX('Processing Factors'!$K$8:$K$29,MATCH(2,1/(('Processing Factors'!$B$8:$B$29&lt;=Main!$C17)*('Processing Factors'!$C$8:$C$29=Main!DD17))))</f>
        <v>3.5000000000000003E-2</v>
      </c>
      <c r="DP17" s="302">
        <f t="shared" si="23"/>
        <v>0.5</v>
      </c>
      <c r="DQ17" s="302">
        <f t="shared" si="24"/>
        <v>0.05</v>
      </c>
      <c r="DR17" s="302">
        <f t="shared" si="25"/>
        <v>0.45</v>
      </c>
      <c r="DS17" s="299">
        <f t="shared" si="26"/>
        <v>2.4691358024691357</v>
      </c>
      <c r="DT17" s="304">
        <v>0</v>
      </c>
      <c r="DU17" s="299">
        <f t="shared" si="27"/>
        <v>0.14611111111111114</v>
      </c>
      <c r="DV17" s="281">
        <f t="shared" si="28"/>
        <v>35.103008604987139</v>
      </c>
      <c r="DW17" s="281">
        <f t="shared" si="29"/>
        <v>50.37416442905598</v>
      </c>
      <c r="DX17" s="281">
        <f t="shared" si="30"/>
        <v>1.2210288298473715</v>
      </c>
      <c r="DY17" s="299">
        <f t="shared" si="31"/>
        <v>1.6512469135802468</v>
      </c>
      <c r="DZ17" s="281">
        <f t="shared" si="32"/>
        <v>7.0007641898540713</v>
      </c>
      <c r="EA17" s="281">
        <f t="shared" si="33"/>
        <v>93.698966053744556</v>
      </c>
      <c r="EC17" s="287" t="s">
        <v>39</v>
      </c>
      <c r="EE17" s="305" t="e">
        <f t="shared" ca="1" si="34"/>
        <v>#NAME?</v>
      </c>
      <c r="EF17" s="16">
        <f t="array" ref="EF17">INDEX('Indices Mines Exporting Ports'!E$20:E$51, MATCH(2,1/(('Indices Mines Exporting Ports'!$C$20:$C$51=$AU17)*('Indices Mines Exporting Ports'!$D$20:$D$51&lt;=$C17))))</f>
        <v>0.5</v>
      </c>
      <c r="EG17" s="16">
        <f t="array" ref="EG17">INDEX('Indices Mines Exporting Ports'!F$20:F$51, MATCH(2,1/(('Indices Mines Exporting Ports'!$C$20:$C$51=$AU17)*('Indices Mines Exporting Ports'!$D$20:$D$51&lt;=$C17))))</f>
        <v>0.45</v>
      </c>
      <c r="EH17" s="16">
        <f t="array" ref="EH17">INDEX('Indices Mines Exporting Ports'!G$20:G$51, MATCH(2,1/(('Indices Mines Exporting Ports'!$C$20:$C$51=$AU17)*('Indices Mines Exporting Ports'!$D$20:$D$51&lt;=$C17))))</f>
        <v>0.05</v>
      </c>
      <c r="EI17" s="16">
        <f t="array" ref="EI17">INDEX('Indices Mines Exporting Ports'!H$20:H$51, MATCH(2,1/(('Indices Mines Exporting Ports'!$C$20:$C$51=$AU17)*('Indices Mines Exporting Ports'!$D$20:$D$51&lt;=$C17))))</f>
        <v>0.05</v>
      </c>
      <c r="EJ17" s="16">
        <f t="array" ref="EJ17">INDEX('Indices Mines Exporting Ports'!I$20:I$51, MATCH(2,1/(('Indices Mines Exporting Ports'!$C$20:$C$51=$AU17)*('Indices Mines Exporting Ports'!$D$20:$D$51&lt;=$C17))))</f>
        <v>0</v>
      </c>
      <c r="EK17" s="16">
        <f t="array" ref="EK17">INDEX('Indices Mines Exporting Ports'!J$20:J$51, MATCH(2,1/(('Indices Mines Exporting Ports'!$C$20:$C$51=$AU17)*('Indices Mines Exporting Ports'!$D$20:$D$51&lt;=$C17))))</f>
        <v>0</v>
      </c>
      <c r="EL17" s="16">
        <f t="array" ref="EL17">INDEX('Indices Mines Exporting Ports'!K$20:K$51, MATCH(2,1/(('Indices Mines Exporting Ports'!$C$20:$C$51=$AU17)*('Indices Mines Exporting Ports'!$D$20:$D$51&lt;=$C17))))</f>
        <v>0.1</v>
      </c>
      <c r="EM17" s="103" t="str">
        <f t="array" ref="EM17">INDEX('Indices Mines Exporting Ports'!L$20:L$51, MATCH(2,1/(('Indices Mines Exporting Ports'!$C$20:$C$51=$AU17)*('Indices Mines Exporting Ports'!$D$20:$D$51&lt;=$C17))))</f>
        <v>LT</v>
      </c>
      <c r="EN17" s="243">
        <f t="array" ref="EN17">INDEX('Indices Mines Exporting Ports'!M$20:M$51, MATCH(2,1/(('Indices Mines Exporting Ports'!$C$20:$C$51=$AU17)*('Indices Mines Exporting Ports'!$D$20:$D$51&lt;=$C17))))</f>
        <v>0</v>
      </c>
      <c r="EP17" s="300">
        <f t="array" ref="EP17">INDEX('Processing Factors'!$D$8:$D$29,MATCH(2,1/(('Processing Factors'!$B$8:$B$29&lt;=Main!$C17)*('Processing Factors'!$C$8:$C$29=Main!EM17))))</f>
        <v>0</v>
      </c>
      <c r="EQ17" s="299">
        <f t="array" ref="EQ17">INDEX('Processing Factors'!$E$8:$E$29,MATCH(2,1/(('Processing Factors'!$B$8:$B$29&lt;=Main!$C17)*('Processing Factors'!$C$8:$C$29=Main!EM17))))</f>
        <v>1</v>
      </c>
      <c r="ER17" s="299">
        <f t="array" ref="ER17">INDEX('Processing Factors'!$F$8:$F$29,MATCH(2,1/(('Processing Factors'!$B$8:$B$29&lt;=Main!$C17)*('Processing Factors'!$C$8:$C$29=Main!EM17))))</f>
        <v>0.9</v>
      </c>
      <c r="ES17" s="299">
        <f t="array" ref="ES17">INDEX('Processing Factors'!$G$8:$G$29,MATCH(2,1/(('Processing Factors'!$B$8:$B$29&lt;=Main!$C17)*('Processing Factors'!$C$8:$C$29=Main!EM17))))</f>
        <v>3.5999999999999997E-2</v>
      </c>
      <c r="ET17" s="299">
        <f t="array" ref="ET17">INDEX('Processing Factors'!$H$8:$H$29,MATCH(2,1/(('Processing Factors'!$B$8:$B$29&lt;=Main!$C17)*('Processing Factors'!$C$8:$C$29=Main!EM17))))</f>
        <v>12.15</v>
      </c>
      <c r="EU17" s="300">
        <f t="array" ref="EU17">INDEX('Processing Factors'!$I$8:$I$29,MATCH(2,1/(('Processing Factors'!$B$8:$B$29&lt;=Main!$C17)*('Processing Factors'!$C$8:$C$29=Main!EM17))))</f>
        <v>0</v>
      </c>
      <c r="EV17" s="300">
        <f t="array" ref="EV17">INDEX('Processing Factors'!$J$8:$J$29,MATCH(2,1/(('Processing Factors'!$B$8:$B$29&lt;=Main!$C17)*('Processing Factors'!$C$8:$C$29=Main!EM17))))</f>
        <v>0.9</v>
      </c>
      <c r="EW17" s="299">
        <f t="array" ref="EW17">INDEX('Processing Factors'!$K$8:$K$29,MATCH(2,1/(('Processing Factors'!$B$8:$B$29&lt;=Main!$C17)*('Processing Factors'!$C$8:$C$29=Main!EM17))))</f>
        <v>3.5000000000000003E-2</v>
      </c>
      <c r="EY17" s="302">
        <f t="shared" si="35"/>
        <v>0.5</v>
      </c>
      <c r="EZ17" s="302">
        <f t="shared" si="36"/>
        <v>0.05</v>
      </c>
      <c r="FA17" s="302">
        <f t="shared" si="37"/>
        <v>0.45</v>
      </c>
      <c r="FB17" s="299">
        <f t="shared" si="38"/>
        <v>2.4691358024691357</v>
      </c>
      <c r="FC17" s="304">
        <v>0</v>
      </c>
      <c r="FD17" s="299">
        <f t="shared" si="39"/>
        <v>0.14611111111111114</v>
      </c>
      <c r="FE17" s="281">
        <f t="shared" si="40"/>
        <v>35.103008604987139</v>
      </c>
      <c r="FF17" s="281">
        <f t="shared" si="41"/>
        <v>50.37416442905598</v>
      </c>
      <c r="FG17" s="281">
        <f t="shared" si="42"/>
        <v>1.2210288298473715</v>
      </c>
      <c r="FH17" s="299">
        <f t="shared" si="43"/>
        <v>1.6512469135802468</v>
      </c>
      <c r="FI17" s="281">
        <f t="shared" si="44"/>
        <v>7.0007641898540713</v>
      </c>
      <c r="FJ17" s="281">
        <f t="shared" si="45"/>
        <v>93.698966053744556</v>
      </c>
      <c r="FL17" s="287" t="s">
        <v>39</v>
      </c>
      <c r="FN17" s="315" t="e">
        <f t="shared" ca="1" si="293"/>
        <v>#NAME?</v>
      </c>
      <c r="FO17" s="316">
        <f t="shared" si="294"/>
        <v>0.35</v>
      </c>
      <c r="FP17" s="316">
        <f t="shared" si="295"/>
        <v>0.33</v>
      </c>
      <c r="FQ17" s="316">
        <f t="shared" si="296"/>
        <v>0.2</v>
      </c>
      <c r="FR17" s="316">
        <f t="shared" si="297"/>
        <v>1.0999999999999999E-2</v>
      </c>
      <c r="FS17" s="316">
        <f t="shared" si="298"/>
        <v>0.189</v>
      </c>
      <c r="FT17" s="316">
        <f t="shared" si="299"/>
        <v>8.9999999999999629E-3</v>
      </c>
      <c r="FU17" s="316">
        <f t="shared" si="300"/>
        <v>0.08</v>
      </c>
      <c r="FV17" s="317" t="str">
        <f t="shared" si="301"/>
        <v>LT</v>
      </c>
      <c r="FW17" s="318">
        <v>0</v>
      </c>
      <c r="FX17" s="237"/>
      <c r="FY17" s="319">
        <f t="array" ref="FY17">INDEX('Processing Factors'!$D$8:$D$29,MATCH(2,1/(('Processing Factors'!$B$8:$B$29&lt;=Main!$C17)*('Processing Factors'!$C$8:$C$29=Main!FV17))))</f>
        <v>0</v>
      </c>
      <c r="FZ17" s="320">
        <f t="array" ref="FZ17">INDEX('Processing Factors'!$E$8:$E$29,MATCH(2,1/(('Processing Factors'!$B$8:$B$29&lt;=Main!$C17)*('Processing Factors'!$C$8:$C$29=Main!FV17))))</f>
        <v>1</v>
      </c>
      <c r="GA17" s="320">
        <f t="array" ref="GA17">INDEX('Processing Factors'!$F$8:$F$29,MATCH(2,1/(('Processing Factors'!$B$8:$B$29&lt;=Main!$C17)*('Processing Factors'!$C$8:$C$29=Main!FV17))))</f>
        <v>0.9</v>
      </c>
      <c r="GB17" s="320">
        <f t="array" ref="GB17">INDEX('Processing Factors'!$G$8:$G$29,MATCH(2,1/(('Processing Factors'!$B$8:$B$29&lt;=Main!$C17)*('Processing Factors'!$C$8:$C$29=Main!FV17))))</f>
        <v>3.5999999999999997E-2</v>
      </c>
      <c r="GC17" s="320">
        <f t="array" ref="GC17">INDEX('Processing Factors'!$H$8:$H$29,MATCH(2,1/(('Processing Factors'!$B$8:$B$29&lt;=Main!$C17)*('Processing Factors'!$C$8:$C$29=Main!FV17))))</f>
        <v>12.15</v>
      </c>
      <c r="GD17" s="319">
        <f t="array" ref="GD17">INDEX('Processing Factors'!$I$8:$I$29,MATCH(2,1/(('Processing Factors'!$B$8:$B$29&lt;=Main!$C17)*('Processing Factors'!$C$8:$C$29=Main!FV17))))</f>
        <v>0</v>
      </c>
      <c r="GE17" s="321">
        <v>0.92</v>
      </c>
      <c r="GF17" s="320">
        <f t="array" ref="GF17">INDEX('Processing Factors'!$K$8:$K$29,MATCH(2,1/(('Processing Factors'!$B$8:$B$29&lt;=Main!$C17)*('Processing Factors'!$C$8:$C$29=Main!FV17))))</f>
        <v>3.5000000000000003E-2</v>
      </c>
      <c r="GG17" s="237"/>
      <c r="GH17" s="322">
        <f t="shared" si="46"/>
        <v>0.34100000000000003</v>
      </c>
      <c r="GI17" s="322">
        <f t="shared" si="47"/>
        <v>1.0999999999999999E-2</v>
      </c>
      <c r="GJ17" s="322">
        <f t="shared" si="48"/>
        <v>0.33</v>
      </c>
      <c r="GK17" s="320">
        <f t="shared" si="49"/>
        <v>3.2938076416337285</v>
      </c>
      <c r="GL17" s="323" t="e">
        <f t="shared" ca="1" si="50"/>
        <v>#NAME?</v>
      </c>
      <c r="GM17" s="320">
        <f t="shared" si="51"/>
        <v>6.7608695652173922E-2</v>
      </c>
      <c r="GN17" s="323">
        <f t="shared" si="52"/>
        <v>16.242903138594642</v>
      </c>
      <c r="GO17" s="323">
        <f t="shared" si="53"/>
        <v>50.37416442905598</v>
      </c>
      <c r="GP17" s="323">
        <f t="shared" si="54"/>
        <v>1.2210288298473715</v>
      </c>
      <c r="GQ17" s="320">
        <f t="shared" si="55"/>
        <v>2.3974163372859025</v>
      </c>
      <c r="GR17" s="323">
        <f t="shared" si="56"/>
        <v>10.16428633671242</v>
      </c>
      <c r="GS17" s="323" t="e">
        <f t="shared" ca="1" si="57"/>
        <v>#NAME?</v>
      </c>
      <c r="GT17" s="237"/>
      <c r="GU17" s="324" t="e">
        <f t="shared" ca="1" si="58"/>
        <v>#NAME?</v>
      </c>
      <c r="GV17" s="325">
        <f t="array" ref="GV17">INDEX('Indices Mines Exporting Ports'!E$20:E$51, MATCH(2,1/(('Indices Mines Exporting Ports'!$C$20:$C$51=$BC17)*('Indices Mines Exporting Ports'!$D$20:$D$51&lt;=$C17))))</f>
        <v>0.5</v>
      </c>
      <c r="GW17" s="325">
        <f t="array" ref="GW17">INDEX('Indices Mines Exporting Ports'!F$20:F$51, MATCH(2,1/(('Indices Mines Exporting Ports'!$C$20:$C$51=$BC17)*('Indices Mines Exporting Ports'!$D$20:$D$51&lt;=$C17))))</f>
        <v>0.45</v>
      </c>
      <c r="GX17" s="325">
        <f t="array" ref="GX17">INDEX('Indices Mines Exporting Ports'!G$20:G$51, MATCH(2,1/(('Indices Mines Exporting Ports'!$C$20:$C$51=$BC17)*('Indices Mines Exporting Ports'!$D$20:$D$51&lt;=$C17))))</f>
        <v>0.05</v>
      </c>
      <c r="GY17" s="325">
        <f t="array" ref="GY17">INDEX('Indices Mines Exporting Ports'!H$20:H$51, MATCH(2,1/(('Indices Mines Exporting Ports'!$C$20:$C$51=$BC17)*('Indices Mines Exporting Ports'!$D$20:$D$51&lt;=$C17))))</f>
        <v>0.05</v>
      </c>
      <c r="GZ17" s="325">
        <f t="array" ref="GZ17">INDEX('Indices Mines Exporting Ports'!I$20:I$51, MATCH(2,1/(('Indices Mines Exporting Ports'!$C$20:$C$51=$BC17)*('Indices Mines Exporting Ports'!$D$20:$D$51&lt;=$C17))))</f>
        <v>0</v>
      </c>
      <c r="HA17" s="325">
        <f t="array" ref="HA17">INDEX('Indices Mines Exporting Ports'!J$20:J$51, MATCH(2,1/(('Indices Mines Exporting Ports'!$C$20:$C$51=$BC17)*('Indices Mines Exporting Ports'!$D$20:$D$51&lt;=$C17))))</f>
        <v>0</v>
      </c>
      <c r="HB17" s="325">
        <f t="array" ref="HB17">INDEX('Indices Mines Exporting Ports'!K$20:K$51, MATCH(2,1/(('Indices Mines Exporting Ports'!$C$20:$C$51=$BC17)*('Indices Mines Exporting Ports'!$D$20:$D$51&lt;=$C17))))</f>
        <v>0.1</v>
      </c>
      <c r="HC17" s="326" t="str">
        <f t="array" ref="HC17">INDEX('Indices Mines Exporting Ports'!L$20:L$51, MATCH(2,1/(('Indices Mines Exporting Ports'!$C$20:$C$51=$BC17)*('Indices Mines Exporting Ports'!$D$20:$D$51&lt;=$C17))))</f>
        <v>LT</v>
      </c>
      <c r="HD17" s="262">
        <f t="array" ref="HD17">INDEX('Indices Mines Exporting Ports'!M$20:M$51, MATCH(2,1/(('Indices Mines Exporting Ports'!$C$20:$C$51=$BC17)*('Indices Mines Exporting Ports'!$D$20:$D$51&lt;=$C17))))</f>
        <v>0</v>
      </c>
      <c r="HE17" s="237"/>
      <c r="HF17" s="319">
        <f t="array" ref="HF17">INDEX('Processing Factors'!$D$8:$D$29,MATCH(2,1/(('Processing Factors'!$B$8:$B$29&lt;=Main!$C17)*('Processing Factors'!$C$8:$C$29=Main!HC17))))</f>
        <v>0</v>
      </c>
      <c r="HG17" s="320">
        <f t="array" ref="HG17">INDEX('Processing Factors'!$E$8:$E$29,MATCH(2,1/(('Processing Factors'!$B$8:$B$29&lt;=Main!$C17)*('Processing Factors'!$C$8:$C$29=Main!HC17))))</f>
        <v>1</v>
      </c>
      <c r="HH17" s="320">
        <f t="array" ref="HH17">INDEX('Processing Factors'!$F$8:$F$29,MATCH(2,1/(('Processing Factors'!$B$8:$B$29&lt;=Main!$C17)*('Processing Factors'!$C$8:$C$29=Main!HC17))))</f>
        <v>0.9</v>
      </c>
      <c r="HI17" s="320">
        <f t="array" ref="HI17">INDEX('Processing Factors'!$G$8:$G$29,MATCH(2,1/(('Processing Factors'!$B$8:$B$29&lt;=Main!$C17)*('Processing Factors'!$C$8:$C$29=Main!HC17))))</f>
        <v>3.5999999999999997E-2</v>
      </c>
      <c r="HJ17" s="320">
        <f t="array" ref="HJ17">INDEX('Processing Factors'!$H$8:$H$29,MATCH(2,1/(('Processing Factors'!$B$8:$B$29&lt;=Main!$C17)*('Processing Factors'!$C$8:$C$29=Main!HC17))))</f>
        <v>12.15</v>
      </c>
      <c r="HK17" s="319">
        <f t="array" ref="HK17">INDEX('Processing Factors'!$I$8:$I$29,MATCH(2,1/(('Processing Factors'!$B$8:$B$29&lt;=Main!$C17)*('Processing Factors'!$C$8:$C$29=Main!HC17))))</f>
        <v>0</v>
      </c>
      <c r="HL17" s="321">
        <v>0.92</v>
      </c>
      <c r="HM17" s="320">
        <f t="array" ref="HM17">INDEX('Processing Factors'!$K$8:$K$29,MATCH(2,1/(('Processing Factors'!$B$8:$B$29&lt;=Main!$C17)*('Processing Factors'!$C$8:$C$29=Main!HC17))))</f>
        <v>3.5000000000000003E-2</v>
      </c>
      <c r="HN17" s="237"/>
      <c r="HO17" s="322">
        <f t="shared" si="59"/>
        <v>0.5</v>
      </c>
      <c r="HP17" s="322">
        <f t="shared" si="60"/>
        <v>0.05</v>
      </c>
      <c r="HQ17" s="322">
        <f t="shared" si="61"/>
        <v>0.45</v>
      </c>
      <c r="HR17" s="320">
        <f t="shared" si="62"/>
        <v>2.4154589371980677</v>
      </c>
      <c r="HS17" s="263">
        <v>0</v>
      </c>
      <c r="HT17" s="320">
        <f t="shared" si="63"/>
        <v>0.14369565217391306</v>
      </c>
      <c r="HU17" s="323">
        <f t="shared" si="64"/>
        <v>34.522697667559676</v>
      </c>
      <c r="HV17" s="323">
        <f t="shared" si="65"/>
        <v>50.37416442905598</v>
      </c>
      <c r="HW17" s="323">
        <f t="shared" si="66"/>
        <v>1.2210288298473715</v>
      </c>
      <c r="HX17" s="320">
        <f t="shared" si="67"/>
        <v>1.5951545893719807</v>
      </c>
      <c r="HY17" s="323">
        <f t="shared" si="68"/>
        <v>6.7629504919671319</v>
      </c>
      <c r="HZ17" s="323">
        <f t="shared" si="69"/>
        <v>92.880841418430151</v>
      </c>
      <c r="IB17" s="287" t="s">
        <v>39</v>
      </c>
      <c r="ID17" s="89" t="str">
        <f t="shared" si="70"/>
        <v>Huntly</v>
      </c>
      <c r="IE17" s="18">
        <f t="shared" si="319"/>
        <v>43923</v>
      </c>
      <c r="IF17" s="94">
        <f t="array" ref="IF17">INDEX('Indices Mines Exporting Ports'!E$20:E$51, MATCH(2,1/(('Indices Mines Exporting Ports'!$C$20:$C$51=$ID17)*('Indices Mines Exporting Ports'!$D$20:$D$51&lt;=$IE17))))</f>
        <v>0.35</v>
      </c>
      <c r="IG17" s="94">
        <f t="array" ref="IG17">INDEX('Indices Mines Exporting Ports'!F$20:F$51, MATCH(2,1/(('Indices Mines Exporting Ports'!$C$20:$C$51=$ID17)*('Indices Mines Exporting Ports'!$D$20:$D$51&lt;=$IE17))))</f>
        <v>0.33</v>
      </c>
      <c r="IH17" s="95">
        <f t="array" ref="IH17">INDEX('Indices Mines Exporting Ports'!G$20:G$51, MATCH(2,1/(('Indices Mines Exporting Ports'!$C$20:$C$51=$ID17)*('Indices Mines Exporting Ports'!$D$20:$D$51&lt;=$IE17))))</f>
        <v>0.2</v>
      </c>
      <c r="II17" s="95">
        <f t="array" ref="II17">INDEX('Indices Mines Exporting Ports'!H$20:H$51, MATCH(2,1/(('Indices Mines Exporting Ports'!$C$20:$C$51=$ID17)*('Indices Mines Exporting Ports'!$D$20:$D$51&lt;=$IE17))))</f>
        <v>1.0999999999999999E-2</v>
      </c>
      <c r="IJ17" s="95">
        <f t="array" ref="IJ17">INDEX('Indices Mines Exporting Ports'!I$20:I$51, MATCH(2,1/(('Indices Mines Exporting Ports'!$C$20:$C$51=$ID17)*('Indices Mines Exporting Ports'!$D$20:$D$51&lt;=$IE17))))</f>
        <v>0.189</v>
      </c>
      <c r="IK17" s="94">
        <f t="array" ref="IK17">INDEX('Indices Mines Exporting Ports'!J$20:J$51, MATCH(2,1/(('Indices Mines Exporting Ports'!$C$20:$C$51=$ID17)*('Indices Mines Exporting Ports'!$D$20:$D$51&lt;=$IE17))))</f>
        <v>8.9999999999999629E-3</v>
      </c>
      <c r="IL17" s="94">
        <f t="array" ref="IL17">INDEX('Indices Mines Exporting Ports'!K$20:K$51, MATCH(2,1/(('Indices Mines Exporting Ports'!$C$20:$C$51=$ID17)*('Indices Mines Exporting Ports'!$D$20:$D$51&lt;=$IE17))))</f>
        <v>0.08</v>
      </c>
      <c r="IM17" s="93" t="str">
        <f t="array" ref="IM17">INDEX('Indices Mines Exporting Ports'!L$20:L$51, MATCH(2,1/(('Indices Mines Exporting Ports'!$C$20:$C$51=$ID17)*('Indices Mines Exporting Ports'!$D$20:$D$51&lt;=$IE17))))</f>
        <v>LT</v>
      </c>
      <c r="IN17" s="101">
        <f t="array" ref="IN17">INDEX('Indices Mines Exporting Ports'!M$20:M$51, MATCH(2,1/(('Indices Mines Exporting Ports'!$C$20:$C$51=$ID17)*('Indices Mines Exporting Ports'!$D$20:$D$51&lt;=$IE17))))</f>
        <v>1</v>
      </c>
      <c r="IO17" s="96">
        <f t="array" ref="IO17">INDEX('Indices Mines Exporting Ports'!N$20:N$51, MATCH(2,1/(('Indices Mines Exporting Ports'!$C$20:$C$51=$ID17)*('Indices Mines Exporting Ports'!$D$20:$D$51&lt;=$IE17))))</f>
        <v>47500</v>
      </c>
      <c r="IP17" s="95" t="str">
        <f t="array" ref="IP17">INDEX('Indices Mines Exporting Ports'!Q$20:Q$51, MATCH(2,1/(('Indices Mines Exporting Ports'!$C$20:$C$51=$ID17)*('Indices Mines Exporting Ports'!$D$20:$D$51&lt;=$IE17))))</f>
        <v>Kwinana_wharf</v>
      </c>
      <c r="IQ17" s="95" t="str">
        <f t="array" ref="IQ17">INDEX('Indices Mines Exporting Ports'!O$20:O$51, MATCH(2,1/(('Indices Mines Exporting Ports'!$C$20:$C$51=$ID17)*('Indices Mines Exporting Ports'!$D$20:$D$51&lt;=$IE17))))</f>
        <v>CBIX LT</v>
      </c>
      <c r="IR17" s="95" t="str">
        <f t="array" ref="IR17">INDEX('Indices Mines Exporting Ports'!P$20:P$51, MATCH(2,1/(('Indices Mines Exporting Ports'!$C$20:$C$51=$ID17)*('Indices Mines Exporting Ports'!$D$20:$D$51&lt;=$IE17))))</f>
        <v>CBIX LT</v>
      </c>
      <c r="IT17" s="287" t="s">
        <v>39</v>
      </c>
      <c r="IV17" s="292">
        <f>VLOOKUP($C17,'China Price Series'!$C$10:$D$1009,2,TRUE)/$JA17/(VLOOKUP($C17,'China Price Series'!$C$10:$E$1009,3,TRUE)*$JG17/$JF17)</f>
        <v>4.146021763708311</v>
      </c>
      <c r="IW17" s="292">
        <f>VLOOKUP($C17,'China Price Series'!$G$10:$H$1009,2,TRUE)/$JA17/(VLOOKUP($C17,'China Price Series'!$G$10:$I$1009,3,TRUE))</f>
        <v>240.24872809496895</v>
      </c>
      <c r="IX17" s="292">
        <f>VLOOKUP($C17,'China Price Series'!$K$10:$L$1009,2,TRUE)/$JA17</f>
        <v>33.91746749576032</v>
      </c>
      <c r="IY17" s="292">
        <f>VLOOKUP($C17,'China Price Series'!$N$10:$O$1009,2,TRUE)/$JA17</f>
        <v>4.23968343697004</v>
      </c>
      <c r="JA17" s="277">
        <f t="array" ref="JA17">INDEX('FX rates'!E$10:E$1009,MATCH(2,1/(('FX rates'!$D$10:$D$1009&lt;=Main!$C17)*(NOT(ISBLANK('FX rates'!E$10:E$1009))))))</f>
        <v>7.0759999999999987</v>
      </c>
      <c r="JB17" s="277">
        <f t="array" ref="JB17">INDEX('FX rates'!F$10:F$1009,MATCH(2,1/(('FX rates'!$D$10:$D$1009&lt;=Main!$C17)*(NOT(ISBLANK('FX rates'!F$10:F$1009))))))</f>
        <v>0.59156405988048044</v>
      </c>
      <c r="JC17" s="277">
        <f t="array" ref="JC17">INDEX('FX rates'!G$10:G$1009,MATCH(2,1/(('FX rates'!$D$10:$D$1009&lt;=Main!$C17)*(NOT(ISBLANK('FX rates'!G$10:G$1009))))))</f>
        <v>1</v>
      </c>
      <c r="JD17" s="277">
        <f t="array" ref="JD17">INDEX('FX rates'!H$10:H$1009,MATCH(2,1/(('FX rates'!$D$10:$D$1009&lt;=Main!$C17)*(NOT(ISBLANK('FX rates'!H$10:H$1009))))))</f>
        <v>1.35</v>
      </c>
      <c r="JF17" s="111">
        <f t="array" ref="JF17">INDEX('Global factors'!C$5:C$23,MATCH(2,1/(('Global factors'!$B$5:$B$23&lt;=Main!$C17)*(NOT(ISBLANK('Global factors'!C$5:C$23))))))</f>
        <v>239000</v>
      </c>
      <c r="JG17" s="112">
        <f t="array" ref="JG17">INDEX('Global factors'!D$5:D$23,MATCH(2,1/(('Global factors'!$B$5:$B$23&lt;=Main!$C17)*(NOT(ISBLANK('Global factors'!D$5:D$23))))))</f>
        <v>1000</v>
      </c>
      <c r="JH17" s="112">
        <f t="array" ref="JH17">INDEX('Global factors'!E$5:E$23,MATCH(2,1/(('Global factors'!$B$5:$B$23&lt;=Main!$C17)*(NOT(ISBLANK('Global factors'!E$5:E$23))))))</f>
        <v>24</v>
      </c>
      <c r="JI17" s="112">
        <f t="array" ref="JI17">INDEX('Global factors'!F$5:F$23,MATCH(2,1/(('Global factors'!$B$5:$B$23&lt;=Main!$C17)*(NOT(ISBLANK('Global factors'!F$5:F$23))))))</f>
        <v>2</v>
      </c>
      <c r="JJ17" s="117">
        <f t="array" ref="JJ17">INDEX('Global factors'!G$5:G$23,MATCH(2,1/(('Global factors'!$B$5:$B$23&lt;=Main!$C17)*(NOT(ISBLANK('Global factors'!G$5:G$23))))))</f>
        <v>0.08</v>
      </c>
      <c r="JK17" s="113">
        <f t="array" ref="JK17">INDEX('Global factors'!H$5:H$23,MATCH(2,1/(('Global factors'!$B$5:$B$23&lt;=Main!$C17)*(NOT(ISBLANK('Global factors'!H$5:H$23))))))</f>
        <v>101.96</v>
      </c>
      <c r="JL17" s="113">
        <f t="array" ref="JL17">INDEX('Global factors'!I$5:I$23,MATCH(2,1/(('Global factors'!$B$5:$B$23&lt;=Main!$C17)*(NOT(ISBLANK('Global factors'!I$5:I$23))))))</f>
        <v>60.08</v>
      </c>
      <c r="JM17" s="114">
        <f t="array" ref="JM17">INDEX('Global factors'!J$5:J$23,MATCH(2,1/(('Global factors'!$B$5:$B$23&lt;=Main!$C17)*(NOT(ISBLANK('Global factors'!J$5:J$23))))))</f>
        <v>0.84853528628495334</v>
      </c>
      <c r="JN17" s="115">
        <f t="array" ref="JN17">INDEX('Global factors'!K$5:K$23,MATCH(2,1/(('Global factors'!$B$5:$B$23&lt;=Main!$C17)*(NOT(ISBLANK('Global factors'!K$5:K$23))))))</f>
        <v>0.97499999999999998</v>
      </c>
      <c r="JO17" s="116">
        <f t="array" ref="JO17">INDEX('Global factors'!L$5:L$23,MATCH(2,1/(('Global factors'!$B$5:$B$23&lt;=Main!$C17)*(NOT(ISBLANK('Global factors'!L$5:L$23))))))</f>
        <v>8.7299999999999997E-4</v>
      </c>
      <c r="JP17" s="116">
        <f t="array" ref="JP17">INDEX('Global factors'!M$5:M$23,MATCH(2,1/(('Global factors'!$B$5:$B$23&lt;=Main!$C17)*(NOT(ISBLANK('Global factors'!M$5:M$23))))))</f>
        <v>145.88999999999999</v>
      </c>
      <c r="JQ17" s="116">
        <f t="array" ref="JQ17">INDEX('Global factors'!N$5:N$23,MATCH(2,1/(('Global factors'!$B$5:$B$23&lt;=Main!$C17)*(NOT(ISBLANK('Global factors'!N$5:N$23))))))</f>
        <v>0.40339999999999998</v>
      </c>
      <c r="JR17" s="116">
        <f t="array" ref="JR17">INDEX('Global factors'!O$5:O$23,MATCH(2,1/(('Global factors'!$B$5:$B$23&lt;=Main!$C17)*(NOT(ISBLANK('Global factors'!O$5:O$23))))))</f>
        <v>0</v>
      </c>
      <c r="JS17" s="116">
        <f t="array" ref="JS17">INDEX('Global factors'!P$5:P$23,MATCH(2,1/(('Global factors'!$B$5:$B$23&lt;=Main!$C17)*(NOT(ISBLANK('Global factors'!P$5:P$23))))))</f>
        <v>0.51890000000000003</v>
      </c>
      <c r="JT17" s="116">
        <f t="array" ref="JT17">INDEX('Global factors'!Q$5:Q$23,MATCH(2,1/(('Global factors'!$B$5:$B$23&lt;=Main!$C17)*(NOT(ISBLANK('Global factors'!Q$5:Q$23))))))</f>
        <v>4797</v>
      </c>
      <c r="JU17" s="116">
        <f t="array" ref="JU17">INDEX('Global factors'!R$5:R$23,MATCH(2,1/(('Global factors'!$B$5:$B$23&lt;=Main!$C17)*(NOT(ISBLANK('Global factors'!R$5:R$23))))))</f>
        <v>7</v>
      </c>
      <c r="JV17" s="115">
        <f t="array" ref="JV17">INDEX('Global factors'!S$5:S$23,MATCH(2,1/(('Global factors'!$B$5:$B$23&lt;=Main!$C17)*(NOT(ISBLANK('Global factors'!S$5:S$23))))))</f>
        <v>0.12</v>
      </c>
      <c r="JW17" s="115">
        <f t="array" ref="JW17">INDEX('Global factors'!T$5:T$23,MATCH(2,1/(('Global factors'!$B$5:$B$23&lt;=Main!$C17)*(NOT(ISBLANK('Global factors'!T$5:T$23))))))</f>
        <v>0.5</v>
      </c>
      <c r="JX17" s="116">
        <f t="array" ref="JX17">INDEX('Global factors'!U$5:U$23,MATCH(2,1/(('Global factors'!$B$5:$B$23&lt;=Main!$C17)*(NOT(ISBLANK('Global factors'!U$5:U$23))))))</f>
        <v>0.5</v>
      </c>
      <c r="JY17" s="116">
        <f t="array" ref="JY17">INDEX('Global factors'!V$5:V$23,MATCH(2,1/(('Global factors'!$B$5:$B$23&lt;=Main!$C17)*(NOT(ISBLANK('Global factors'!V$5:V$23))))))</f>
        <v>10000</v>
      </c>
      <c r="JZ17" s="116">
        <f t="array" ref="JZ17">INDEX('Global factors'!W$5:W$23,MATCH(2,1/(('Global factors'!$B$5:$B$23&lt;=Main!$C17)*(NOT(ISBLANK('Global factors'!W$5:W$23))))))</f>
        <v>0.10680000000000001</v>
      </c>
      <c r="KA17" s="116">
        <f t="array" ref="KA17">INDEX('Global factors'!X$5:X$23,MATCH(2,1/(('Global factors'!$B$5:$B$23&lt;=Main!$C17)*(NOT(ISBLANK('Global factors'!X$5:X$23))))))</f>
        <v>1.2</v>
      </c>
      <c r="KB17" s="116">
        <v>0</v>
      </c>
      <c r="KC17" s="272">
        <f t="array" ref="KC17">INDEX('Global factors'!Y$5:Y$23,MATCH(2,1/(('Global factors'!$B$5:$B$23&lt;=Main!$C17)*(NOT(ISBLANK('Global factors'!Y$5:Y$23))))))</f>
        <v>23643.7088248818</v>
      </c>
      <c r="KD17" s="273">
        <f t="array" ref="KD17">INDEX('Global factors'!Z$5:Z$23,MATCH(2,1/(('Global factors'!$B$5:$B$23&lt;=Main!$C17)*(NOT(ISBLANK('Global factors'!Z$5:Z$23))))))</f>
        <v>0.62802869915581405</v>
      </c>
      <c r="KE17" s="273">
        <v>0</v>
      </c>
      <c r="KF17" s="273">
        <v>0</v>
      </c>
      <c r="KG17" s="116">
        <v>0</v>
      </c>
      <c r="KH17" s="116">
        <f t="array" ref="KH17">INDEX('Global factors'!AB$5:AB$23,MATCH(2,1/(('Global factors'!$B$5:$B$23&lt;=Main!$C17)*(NOT(ISBLANK('Global factors'!AB$5:AB$23))))))</f>
        <v>6.2556361557795204E-2</v>
      </c>
      <c r="KI17" s="116">
        <f t="array" ref="KI17">INDEX('Global factors'!AC$5:AC$23,MATCH(2,1/(('Global factors'!$B$5:$B$23&lt;=Main!$C17)*(NOT(ISBLANK('Global factors'!AC$5:AC$23))))))</f>
        <v>8.6923129044225601E-4</v>
      </c>
      <c r="KJ17" s="116">
        <f t="array" ref="KJ17">INDEX('Global factors'!AD$5:AD$23,MATCH(2,1/(('Global factors'!$B$5:$B$23&lt;=Main!$C17)*(NOT(ISBLANK('Global factors'!AD$5:AD$23))))))</f>
        <v>1.1499999999999999</v>
      </c>
      <c r="KK17" s="116" t="str">
        <f t="array" ref="KK17">INDEX('Global factors'!AE$5:AE$23,MATCH(2,1/(('Global factors'!$B$5:$B$23&lt;=Main!$C17)*(NOT(ISBLANK('Global factors'!AE$5:AE$23))))))</f>
        <v>Qingdao</v>
      </c>
      <c r="KL17" s="290">
        <f t="array" ref="KL17">INDEX('Global factors'!AF$5:AF$23,MATCH(2,1/(('Global factors'!$B$5:$B$23&lt;=Main!$C17)*(NOT(ISBLANK('Global factors'!AF$5:AF$23))))))</f>
        <v>3.0000000000000001E-3</v>
      </c>
      <c r="KM17" s="290">
        <f t="array" ref="KM17">INDEX('Global factors'!AG$5:AG$23,MATCH(2,1/(('Global factors'!$B$5:$B$23&lt;=Main!$C17)*(NOT(ISBLANK('Global factors'!AG$5:AG$23))))))</f>
        <v>0.05</v>
      </c>
      <c r="KO17" s="287" t="s">
        <v>39</v>
      </c>
      <c r="KQ17" s="25">
        <f t="shared" si="320"/>
        <v>47500</v>
      </c>
      <c r="KR17" s="4" t="str">
        <f>VLOOKUP(KQ17,'Ship Time Charter Rates'!$F$10:$G$17,2,TRUE)</f>
        <v>Supramax</v>
      </c>
      <c r="KS17" s="4" t="str">
        <f>VLOOKUP(KQ17,Canals!$E$5:$F$12,2,TRUE)</f>
        <v>Supramax</v>
      </c>
      <c r="KT17" s="25">
        <f t="shared" si="71"/>
        <v>187.35749999999999</v>
      </c>
      <c r="KU17" s="25">
        <f t="shared" si="72"/>
        <v>19161.5</v>
      </c>
      <c r="KV17" s="25">
        <f t="shared" si="73"/>
        <v>29444.75</v>
      </c>
      <c r="KX17" s="75">
        <f t="array" ref="KX17">INDEX('Indices Mines Exporting Ports'!$R$20:$R$51,MATCH(2,1/(('Indices Mines Exporting Ports'!$D$20:$D$51&lt;=Main!$C17)*('Indices Mines Exporting Ports'!$Q$20:$Q$51=$AP17))))</f>
        <v>30000</v>
      </c>
      <c r="KY17" s="75">
        <f t="array" ref="KY17">INDEX('Indices Mines Exporting Ports'!$S$20:$S$51,MATCH(2,1/(('Indices Mines Exporting Ports'!$D$20:$D$51&lt;=Main!$C17)*('Indices Mines Exporting Ports'!$Q$20:$Q$51=$AP17))))</f>
        <v>30000</v>
      </c>
      <c r="KZ17" s="75">
        <f t="array" ref="KZ17">INDEX('Indices Mines Exporting Ports'!$T$20:$T$51,MATCH(2,1/(('Indices Mines Exporting Ports'!$D$20:$D$51&lt;=Main!$C17)*('Indices Mines Exporting Ports'!$Q$20:$Q$51=$AP17))))</f>
        <v>30000</v>
      </c>
      <c r="LA17" s="75">
        <f t="array" ref="LA17">INDEX('Indices Mines Exporting Ports'!$U$20:$U$51,MATCH(2,1/(('Indices Mines Exporting Ports'!$D$20:$D$51&lt;=Main!$C17)*('Indices Mines Exporting Ports'!$Q$20:$Q$51=$AP17))))</f>
        <v>30000</v>
      </c>
      <c r="LB17" s="75">
        <f t="array" ref="LB17">INDEX('Indices Mines Exporting Ports'!$V$20:$V$51,MATCH(2,1/(('Indices Mines Exporting Ports'!$D$20:$D$51&lt;=Main!$C17)*('Indices Mines Exporting Ports'!$Q$20:$Q$51=$AP17))))</f>
        <v>30000</v>
      </c>
      <c r="LC17" s="75">
        <f t="array" ref="LC17">INDEX('Indices Mines Exporting Ports'!$W$20:$W$51,MATCH(2,1/(('Indices Mines Exporting Ports'!$D$20:$D$51&lt;=Main!$C17)*('Indices Mines Exporting Ports'!$Q$20:$Q$51=$AP17))))</f>
        <v>30000</v>
      </c>
      <c r="LD17" s="75">
        <f t="array" ref="LD17">INDEX('Indices Mines Exporting Ports'!$X$20:$X$51,MATCH(2,1/(('Indices Mines Exporting Ports'!$D$20:$D$51&lt;=Main!$C17)*('Indices Mines Exporting Ports'!$Q$20:$Q$51=$AP17))))</f>
        <v>30000</v>
      </c>
      <c r="LF17" s="75" t="e">
        <f t="array" ref="LF17">INDEX('Port Linkages'!$E$18:$E$157,MATCH(2,1/(('Port Linkages'!$C$18:$C$157=$AP17)*('Port Linkages'!$D$18:$D$157=IF($AO17="Yes",$AQ17,$AS17))*('Port Linkages'!$A$18:$A$157&lt;=$C17))))</f>
        <v>#N/A</v>
      </c>
      <c r="LG17" s="75">
        <f t="array" ref="LG17">INDEX('Port Linkages'!$F$18:$F$157,MATCH(2,1/(('Port Linkages'!$C$18:$C$157=$AP17)*('Port Linkages'!$D$18:$D$157=IF($AO17="Yes",$AQ17,$AS17))*('Port Linkages'!$A$18:$A$157&lt;=$C17))))</f>
        <v>0</v>
      </c>
      <c r="LH17" s="75" t="str">
        <f t="array" ref="LH17">INDEX('Port Linkages'!$G$18:$G$157,MATCH(2,1/(('Port Linkages'!$C$18:$C$157=$AP17)*('Port Linkages'!$D$18:$D$157=IF($AO17="Yes",$AQ17,$AS17))*('Port Linkages'!$A$18:$A$157&lt;=$C17))))</f>
        <v>VLOC_General</v>
      </c>
      <c r="LI17" s="75" t="str">
        <f t="array" ref="LI17">INDEX('Port Linkages'!$H$18:$H$157,MATCH(2,1/(('Port Linkages'!$C$18:$C$157=$AP17)*('Port Linkages'!$D$18:$D$157=IF($AO17="Yes",$AQ17,$AS17))*('Port Linkages'!$A$18:$A$157&lt;=$C17))))</f>
        <v>Singapore</v>
      </c>
      <c r="LJ17" s="75" t="str">
        <f t="array" ref="LJ17">INDEX('Port Linkages'!$I$18:$I$157,MATCH(2,1/(('Port Linkages'!$C$18:$C$157=$AP17)*('Port Linkages'!$D$18:$D$157=IF($AO17="Yes",$AQ17,$AS17))*('Port Linkages'!$A$18:$A$157&lt;=$C17))))</f>
        <v>VLSFO</v>
      </c>
      <c r="LK17" s="75" t="str">
        <f t="array" ref="LK17">INDEX('Port Linkages'!$J$18:$J$157,MATCH(2,1/(('Port Linkages'!$C$18:$C$157=$AP17)*('Port Linkages'!$D$18:$D$157=IF($AO17="Yes",$AQ17,$AS17))*('Port Linkages'!$A$18:$A$157&lt;=$C17))))</f>
        <v>MGO_Regular</v>
      </c>
      <c r="LL17" s="75" t="str">
        <f t="array" ref="LL17">INDEX('Port Linkages'!$K$18:$K$157,MATCH(2,1/(('Port Linkages'!$C$18:$C$157=$AP17)*('Port Linkages'!$D$18:$D$157=IF($AO17="Yes",$AQ17,$AS17))*('Port Linkages'!$A$18:$A$157&lt;=$C17))))</f>
        <v>none</v>
      </c>
      <c r="LM17" s="75" t="e">
        <f t="array" ref="LM17">INDEX('Port Linkages'!$L$18:$L$157,MATCH(2,1/(('Port Linkages'!$C$18:$C$157=$AP17)*('Port Linkages'!$D$18:$D$157=IF($AO17="Yes",$AQ17,$AS17))*('Port Linkages'!$A$18:$A$157&lt;=$C17))))</f>
        <v>#N/A</v>
      </c>
      <c r="LN17" s="75">
        <f t="array" ref="LN17">INDEX('Port Linkages'!$M$18:$M$157,MATCH(2,1/(('Port Linkages'!$C$18:$C$157=$AP17)*('Port Linkages'!$D$18:$D$157=IF($AO17="Yes",$AQ17,$AS17))*('Port Linkages'!$A$18:$A$157&lt;=$C17))))</f>
        <v>0</v>
      </c>
      <c r="LO17" s="75" t="str">
        <f t="array" ref="LO17">INDEX('Port Linkages'!$N$18:$N$157,MATCH(2,1/(('Port Linkages'!$C$18:$C$157=$AP17)*('Port Linkages'!$D$18:$D$157=IF($AO17="Yes",$AQ17,$AS17))*('Port Linkages'!$A$18:$A$157&lt;=$C17))))</f>
        <v>Capesize_General</v>
      </c>
      <c r="LP17" s="75" t="str">
        <f t="array" ref="LP17">INDEX('Port Linkages'!$O$18:$O$157,MATCH(2,1/(('Port Linkages'!$C$18:$C$157=$AP17)*('Port Linkages'!$D$18:$D$157=IF($AO17="Yes",$AQ17,$AS17))*('Port Linkages'!$A$18:$A$157&lt;=$C17))))</f>
        <v>Singapore</v>
      </c>
      <c r="LQ17" s="75" t="str">
        <f t="array" ref="LQ17">INDEX('Port Linkages'!$P$18:$P$157,MATCH(2,1/(('Port Linkages'!$C$18:$C$157=$AP17)*('Port Linkages'!$D$18:$D$157=IF($AO17="Yes",$AQ17,$AS17))*('Port Linkages'!$A$18:$A$157&lt;=$C17))))</f>
        <v>VLSFO</v>
      </c>
      <c r="LR17" s="75" t="str">
        <f t="array" ref="LR17">INDEX('Port Linkages'!$Q$18:$Q$157,MATCH(2,1/(('Port Linkages'!$C$18:$C$157=$AP17)*('Port Linkages'!$D$18:$D$157=IF($AO17="Yes",$AQ17,$AS17))*('Port Linkages'!$A$18:$A$157&lt;=$C17))))</f>
        <v>MGO_Regular</v>
      </c>
      <c r="LS17" s="75" t="str">
        <f t="array" ref="LS17">INDEX('Port Linkages'!$R$18:$R$157,MATCH(2,1/(('Port Linkages'!$C$18:$C$157=$AP17)*('Port Linkages'!$D$18:$D$157=IF($AO17="Yes",$AQ17,$AS17))*('Port Linkages'!$A$18:$A$157&lt;=$C17))))</f>
        <v>none</v>
      </c>
      <c r="LT17" s="75" t="e">
        <f t="array" ref="LT17">INDEX('Port Linkages'!$S$18:$S$157,MATCH(2,1/(('Port Linkages'!$C$18:$C$157=$AP17)*('Port Linkages'!$D$18:$D$157=IF($AO17="Yes",$AQ17,$AS17))*('Port Linkages'!$A$18:$A$157&lt;=$C17))))</f>
        <v>#N/A</v>
      </c>
      <c r="LU17" s="75">
        <f t="array" ref="LU17">INDEX('Port Linkages'!$T$18:$T$157,MATCH(2,1/(('Port Linkages'!$C$18:$C$157=$AP17)*('Port Linkages'!$D$18:$D$157=IF($AO17="Yes",$AQ17,$AS17))*('Port Linkages'!$A$18:$A$157&lt;=$C17))))</f>
        <v>0</v>
      </c>
      <c r="LV17" s="75" t="str">
        <f t="array" ref="LV17">INDEX('Port Linkages'!$U$18:$U$157,MATCH(2,1/(('Port Linkages'!$C$18:$C$157=$AP17)*('Port Linkages'!$D$18:$D$157=IF($AO17="Yes",$AQ17,$AS17))*('Port Linkages'!$A$18:$A$157&lt;=$C17))))</f>
        <v>Capesize_General</v>
      </c>
      <c r="LW17" s="75" t="str">
        <f t="array" ref="LW17">INDEX('Port Linkages'!$V$18:$V$157,MATCH(2,1/(('Port Linkages'!$C$18:$C$157=$AP17)*('Port Linkages'!$D$18:$D$157=IF($AO17="Yes",$AQ17,$AS17))*('Port Linkages'!$A$18:$A$157&lt;=$C17))))</f>
        <v>Singapore</v>
      </c>
      <c r="LX17" s="75" t="str">
        <f t="array" ref="LX17">INDEX('Port Linkages'!$W$18:$W$157,MATCH(2,1/(('Port Linkages'!$C$18:$C$157=$AP17)*('Port Linkages'!$D$18:$D$157=IF($AO17="Yes",$AQ17,$AS17))*('Port Linkages'!$A$18:$A$157&lt;=$C17))))</f>
        <v>VLSFO</v>
      </c>
      <c r="LY17" s="75" t="str">
        <f t="array" ref="LY17">INDEX('Port Linkages'!$X$18:$X$157,MATCH(2,1/(('Port Linkages'!$C$18:$C$157=$AP17)*('Port Linkages'!$D$18:$D$157=IF($AO17="Yes",$AQ17,$AS17))*('Port Linkages'!$A$18:$A$157&lt;=$C17))))</f>
        <v>MGO_Regular</v>
      </c>
      <c r="LZ17" s="75" t="str">
        <f t="array" ref="LZ17">INDEX('Port Linkages'!$Y$18:$Y$157,MATCH(2,1/(('Port Linkages'!$C$18:$C$157=$AP17)*('Port Linkages'!$D$18:$D$157=IF($AO17="Yes",$AQ17,$AS17))*('Port Linkages'!$A$18:$A$157&lt;=$C17))))</f>
        <v>none</v>
      </c>
      <c r="MA17" s="75" t="e">
        <f t="array" ref="MA17">INDEX('Port Linkages'!$Z$18:$Z$157,MATCH(2,1/(('Port Linkages'!$C$18:$C$157=$AP17)*('Port Linkages'!$D$18:$D$157=IF($AO17="Yes",$AQ17,$AS17))*('Port Linkages'!$A$18:$A$157&lt;=$C17))))</f>
        <v>#N/A</v>
      </c>
      <c r="MB17" s="75">
        <f t="array" ref="MB17">INDEX('Port Linkages'!$AA$18:$AA$157,MATCH(2,1/(('Port Linkages'!$C$18:$C$157=$AP17)*('Port Linkages'!$D$18:$D$157=IF($AO17="Yes",$AQ17,$AS17))*('Port Linkages'!$A$18:$A$157&lt;=$C17))))</f>
        <v>0</v>
      </c>
      <c r="MC17" s="75" t="str">
        <f t="array" ref="MC17">INDEX('Port Linkages'!$AB$18:$AB$157,MATCH(2,1/(('Port Linkages'!$C$18:$C$157=$AP17)*('Port Linkages'!$D$18:$D$157=IF($AO17="Yes",$AQ17,$AS17))*('Port Linkages'!$A$18:$A$157&lt;=$C17))))</f>
        <v>Capesize_General</v>
      </c>
      <c r="MD17" s="75" t="str">
        <f t="array" ref="MD17">INDEX('Port Linkages'!$AC$18:$AC$157,MATCH(2,1/(('Port Linkages'!$C$18:$C$157=$AP17)*('Port Linkages'!$D$18:$D$157=IF($AO17="Yes",$AQ17,$AS17))*('Port Linkages'!$A$18:$A$157&lt;=$C17))))</f>
        <v>Singapore</v>
      </c>
      <c r="ME17" s="75" t="str">
        <f t="array" ref="ME17">INDEX('Port Linkages'!$AD$18:$AD$157,MATCH(2,1/(('Port Linkages'!$C$18:$C$157=$AP17)*('Port Linkages'!$D$18:$D$157=IF($AO17="Yes",$AQ17,$AS17))*('Port Linkages'!$A$18:$A$157&lt;=$C17))))</f>
        <v>VLSFO</v>
      </c>
      <c r="MF17" s="75" t="str">
        <f t="array" ref="MF17">INDEX('Port Linkages'!$AE$18:$AE$157,MATCH(2,1/(('Port Linkages'!$C$18:$C$157=$AP17)*('Port Linkages'!$D$18:$D$157=IF($AO17="Yes",$AQ17,$AS17))*('Port Linkages'!$A$18:$A$157&lt;=$C17))))</f>
        <v>MGO_Regular</v>
      </c>
      <c r="MG17" s="75" t="str">
        <f t="array" ref="MG17">INDEX('Port Linkages'!$AF$18:$AF$157,MATCH(2,1/(('Port Linkages'!$C$18:$C$157=$AP17)*('Port Linkages'!$D$18:$D$157=IF($AO17="Yes",$AQ17,$AS17))*('Port Linkages'!$A$18:$A$157&lt;=$C17))))</f>
        <v>none</v>
      </c>
      <c r="MH17" s="75">
        <f t="array" ref="MH17">INDEX('Port Linkages'!$AG$18:$AG$157,MATCH(2,1/(('Port Linkages'!$C$18:$C$157=$AP17)*('Port Linkages'!$D$18:$D$157=IF($AO17="Yes",$AQ17,$AS17))*('Port Linkages'!$A$18:$A$157&lt;=$C17))))</f>
        <v>4250</v>
      </c>
      <c r="MI17" s="75">
        <f t="array" ref="MI17">INDEX('Port Linkages'!$AH$18:$AH$157,MATCH(2,1/(('Port Linkages'!$C$18:$C$157=$AP17)*('Port Linkages'!$D$18:$D$157=IF($AO17="Yes",$AQ17,$AS17))*('Port Linkages'!$A$18:$A$157&lt;=$C17))))</f>
        <v>0</v>
      </c>
      <c r="MJ17" s="75" t="str">
        <f t="array" ref="MJ17">INDEX('Port Linkages'!$AI$18:$AI$157,MATCH(2,1/(('Port Linkages'!$C$18:$C$157=$AP17)*('Port Linkages'!$D$18:$D$157=IF($AO17="Yes",$AQ17,$AS17))*('Port Linkages'!$A$18:$A$157&lt;=$C17))))</f>
        <v>Panamax_General</v>
      </c>
      <c r="MK17" s="75" t="str">
        <f t="array" ref="MK17">INDEX('Port Linkages'!$AJ$18:$AJ$157,MATCH(2,1/(('Port Linkages'!$C$18:$C$157=$AP17)*('Port Linkages'!$D$18:$D$157=IF($AO17="Yes",$AQ17,$AS17))*('Port Linkages'!$A$18:$A$157&lt;=$C17))))</f>
        <v>Singapore</v>
      </c>
      <c r="ML17" s="75" t="str">
        <f t="array" ref="ML17">INDEX('Port Linkages'!$AK$18:$AK$157,MATCH(2,1/(('Port Linkages'!$C$18:$C$157=$AP17)*('Port Linkages'!$D$18:$D$157=IF($AO17="Yes",$AQ17,$AS17))*('Port Linkages'!$A$18:$A$157&lt;=$C17))))</f>
        <v>VLSFO</v>
      </c>
      <c r="MM17" s="75" t="str">
        <f t="array" ref="MM17">INDEX('Port Linkages'!$AL$18:$AL$157,MATCH(2,1/(('Port Linkages'!$C$18:$C$157=$AP17)*('Port Linkages'!$D$18:$D$157=IF($AO17="Yes",$AQ17,$AS17))*('Port Linkages'!$A$18:$A$157&lt;=$C17))))</f>
        <v>MGO_Regular</v>
      </c>
      <c r="MN17" s="75" t="str">
        <f t="array" ref="MN17">INDEX('Port Linkages'!$AM$18:$AM$157,MATCH(2,1/(('Port Linkages'!$C$18:$C$157=$AP17)*('Port Linkages'!$D$18:$D$157=IF($AO17="Yes",$AQ17,$AS17))*('Port Linkages'!$A$18:$A$157&lt;=$C17))))</f>
        <v>none</v>
      </c>
      <c r="MO17" s="75">
        <f t="array" ref="MO17">INDEX('Port Linkages'!$AN$18:$AN$157,MATCH(2,1/(('Port Linkages'!$C$18:$C$157=$AP17)*('Port Linkages'!$D$18:$D$157=IF($AO17="Yes",$AQ17,$AS17))*('Port Linkages'!$A$18:$A$157&lt;=$C17))))</f>
        <v>4250</v>
      </c>
      <c r="MP17" s="75">
        <f t="array" ref="MP17">INDEX('Port Linkages'!$AO$18:$AO$157,MATCH(2,1/(('Port Linkages'!$C$18:$C$157=$AP17)*('Port Linkages'!$D$18:$D$157=IF($AO17="Yes",$AQ17,$AS17))*('Port Linkages'!$A$18:$A$157&lt;=$C17))))</f>
        <v>0</v>
      </c>
      <c r="MQ17" s="75" t="str">
        <f t="array" ref="MQ17">INDEX('Port Linkages'!$AP$18:$AP$157,MATCH(2,1/(('Port Linkages'!$C$18:$C$157=$AP17)*('Port Linkages'!$D$18:$D$157=IF($AO17="Yes",$AQ17,$AS17))*('Port Linkages'!$A$18:$A$157&lt;=$C17))))</f>
        <v>Supramax_General</v>
      </c>
      <c r="MR17" s="75" t="str">
        <f t="array" ref="MR17">INDEX('Port Linkages'!$AQ$18:$AQ$157,MATCH(2,1/(('Port Linkages'!$C$18:$C$157=$AP17)*('Port Linkages'!$D$18:$D$157=IF($AO17="Yes",$AQ17,$AS17))*('Port Linkages'!$A$18:$A$157&lt;=$C17))))</f>
        <v>Singapore</v>
      </c>
      <c r="MS17" s="75" t="str">
        <f t="array" ref="MS17">INDEX('Port Linkages'!$AR$18:$AR$157,MATCH(2,1/(('Port Linkages'!$C$18:$C$157=$AP17)*('Port Linkages'!$D$18:$D$157=IF($AO17="Yes",$AQ17,$AS17))*('Port Linkages'!$A$18:$A$157&lt;=$C17))))</f>
        <v>VLSFO</v>
      </c>
      <c r="MT17" s="75" t="str">
        <f t="array" ref="MT17">INDEX('Port Linkages'!$AS$18:$AS$157,MATCH(2,1/(('Port Linkages'!$C$18:$C$157=$AP17)*('Port Linkages'!$D$18:$D$157=IF($AO17="Yes",$AQ17,$AS17))*('Port Linkages'!$A$18:$A$157&lt;=$C17))))</f>
        <v>MGO_Regular</v>
      </c>
      <c r="MU17" s="75" t="str">
        <f t="array" ref="MU17">INDEX('Port Linkages'!$AT$18:$AT$157,MATCH(2,1/(('Port Linkages'!$C$18:$C$157=$AP17)*('Port Linkages'!$D$18:$D$157=IF($AO17="Yes",$AQ17,$AS17))*('Port Linkages'!$A$18:$A$157&lt;=$C17))))</f>
        <v>none</v>
      </c>
      <c r="MV17" s="75">
        <f t="array" ref="MV17">INDEX('Port Linkages'!$AU$18:$AU$157,MATCH(2,1/(('Port Linkages'!$C$18:$C$157=$AP17)*('Port Linkages'!$D$18:$D$157=IF($AO17="Yes",$AQ17,$AS17))*('Port Linkages'!$A$18:$A$157&lt;=$C17))))</f>
        <v>4250</v>
      </c>
      <c r="MW17" s="75">
        <f t="array" ref="MW17">INDEX('Port Linkages'!$AV$18:$AV$157,MATCH(2,1/(('Port Linkages'!$C$18:$C$157=$AP17)*('Port Linkages'!$D$18:$D$157=IF($AO17="Yes",$AQ17,$AS17))*('Port Linkages'!$A$18:$A$157&lt;=$C17))))</f>
        <v>0</v>
      </c>
      <c r="MX17" s="75" t="str">
        <f t="array" ref="MX17">INDEX('Port Linkages'!$AW$18:$AW$157,MATCH(2,1/(('Port Linkages'!$C$18:$C$157=$AP17)*('Port Linkages'!$D$18:$D$157=IF($AO17="Yes",$AQ17,$AS17))*('Port Linkages'!$A$18:$A$157&lt;=$C17))))</f>
        <v>Handysize_General</v>
      </c>
      <c r="MY17" s="75" t="str">
        <f t="array" ref="MY17">INDEX('Port Linkages'!$AX$18:$AX$157,MATCH(2,1/(('Port Linkages'!$C$18:$C$157=$AP17)*('Port Linkages'!$D$18:$D$157=IF($AO17="Yes",$AQ17,$AS17))*('Port Linkages'!$A$18:$A$157&lt;=$C17))))</f>
        <v>Singapore</v>
      </c>
      <c r="MZ17" s="75" t="str">
        <f t="array" ref="MZ17">INDEX('Port Linkages'!$AY$18:$AY$157,MATCH(2,1/(('Port Linkages'!$C$18:$C$157=$AP17)*('Port Linkages'!$D$18:$D$157=IF($AO17="Yes",$AQ17,$AS17))*('Port Linkages'!$A$18:$A$157&lt;=$C17))))</f>
        <v>VLSFO</v>
      </c>
      <c r="NA17" s="75" t="str">
        <f t="array" ref="NA17">INDEX('Port Linkages'!$AZ$18:$AZ$157,MATCH(2,1/(('Port Linkages'!$C$18:$C$157=$AP17)*('Port Linkages'!$D$18:$D$157=IF($AO17="Yes",$AQ17,$AS17))*('Port Linkages'!$A$18:$A$157&lt;=$C17))))</f>
        <v>MGO_Regular</v>
      </c>
      <c r="NB17" s="75" t="str">
        <f t="array" ref="NB17">INDEX('Port Linkages'!$BA$18:$BA$157,MATCH(2,1/(('Port Linkages'!$C$18:$C$157=$AP17)*('Port Linkages'!$D$18:$D$157=IF($AO17="Yes",$AQ17,$AS17))*('Port Linkages'!$A$18:$A$157&lt;=$C17))))</f>
        <v>none</v>
      </c>
      <c r="ND17" s="25" t="e">
        <f t="array" aca="1" ref="ND17" ca="1">INDEX('Ship Fuel Prices'!$F$5:$F$1004,MATCH(2,1/(('Ship Fuel Prices'!$E$5:$E$1004=_xlfn.IFS(KS17="Handysize",Main!MY17,KS17="Supramax",MR17,KS17="Panamax",MK17,KS17="NeoPanamax",MD17,KS17="Suezmax",LW17,KS17="Capesize",LP17,KS17="VLOC",LI17))*('Ship Fuel Prices'!$D$5:$D$1004&lt;=Main!$C17))))</f>
        <v>#N/A</v>
      </c>
      <c r="NE17" s="25" t="e">
        <f t="array" aca="1" ref="NE17" ca="1">INDEX('Ship Fuel Prices'!$G$5:$G$1004,MATCH(2,1/(('Ship Fuel Prices'!$E$5:$E$1004=_xlfn.IFS(KS17="Handysize",Main!MY17,KS17="Supramax",MR17,KS17="Panamax",MK17,KS17="NeoPanamax",MD17,KS17="Suezmax",LW17,KS17="Capesize",LP17,KS17="VLOC",LI17))*('Ship Fuel Prices'!$D$5:$D$1004&lt;=Main!$C17))))</f>
        <v>#N/A</v>
      </c>
      <c r="NF17" s="25" t="e">
        <f t="array" aca="1" ref="NF17" ca="1">INDEX('Ship Fuel Prices'!$H$5:$H$1004,MATCH(2,1/(('Ship Fuel Prices'!$E$5:$E$1004=_xlfn.IFS(KS17="Handysize",Main!MY17,KS17="Supramax",MR17,KS17="Panamax",MK17,KS17="NeoPanamax",MD17,KS17="Suezmax",LW17,KS17="Capesize",LP17,KS17="VLOC",LI17))*('Ship Fuel Prices'!$D$5:$D$1004&lt;=Main!$C17))))</f>
        <v>#N/A</v>
      </c>
      <c r="NG17" s="25" t="e">
        <f t="array" aca="1" ref="NG17" ca="1">INDEX('Ship Fuel Prices'!$I$5:$I$1004,MATCH(2,1/(('Ship Fuel Prices'!$E$5:$E$1004=_xlfn.IFS(KS17="Handysize",Main!MY17,KS17="Supramax",MR17,KS17="Panamax",MK17,KS17="NeoPanamax",MD17,KS17="Suezmax",LW17,KS17="Capesize",LP17,KS17="VLOC",LI17))*('Ship Fuel Prices'!$D$5:$D$1004&lt;=Main!$C17))))</f>
        <v>#N/A</v>
      </c>
      <c r="NH17" s="25" t="e">
        <f t="array" aca="1" ref="NH17" ca="1">INDEX('Ship Fuel Prices'!$J$5:$J$1004,MATCH(2,1/(('Ship Fuel Prices'!$E$5:$E$1004=_xlfn.IFS(KS17="Handysize",Main!MY17,KS17="Supramax",MR17,KS17="Panamax",MK17,KS17="NeoPanamax",MD17,KS17="Suezmax",LW17,KS17="Capesize",LP17,KS17="VLOC",LI17))*('Ship Fuel Prices'!$D$5:$D$1004&lt;=Main!$C17))))</f>
        <v>#N/A</v>
      </c>
      <c r="NJ17" s="75">
        <f t="array" ref="NJ17">INDEX('China n Importing Ports'!$E$20:$E$41,MATCH(2,1/(('China n Importing Ports'!$D$20:$D$41&lt;=$C17)*('China n Importing Ports'!$C$20:$C$41=IF($AO17="Yes",$AQ17,$AS17)))))</f>
        <v>42500</v>
      </c>
      <c r="NK17" s="75">
        <f t="array" ref="NK17">INDEX('China n Importing Ports'!$F$20:$F$41,MATCH(2,1/(('China n Importing Ports'!$D$20:$D$41&lt;=$C17)*('China n Importing Ports'!$C$20:$C$41=IF($AO17="Yes",$AQ17,$AS17)))))</f>
        <v>42500</v>
      </c>
      <c r="NL17" s="75">
        <f t="array" ref="NL17">INDEX('China n Importing Ports'!$G$20:$G$41,MATCH(2,1/(('China n Importing Ports'!$D$20:$D$41&lt;=$C17)*('China n Importing Ports'!$C$20:$C$41=IF($AO17="Yes",$AQ17,$AS17)))))</f>
        <v>42500</v>
      </c>
      <c r="NM17" s="75">
        <f t="array" ref="NM17">INDEX('China n Importing Ports'!$H$20:$H$41,MATCH(2,1/(('China n Importing Ports'!$D$20:$D$41&lt;=$C17)*('China n Importing Ports'!$C$20:$C$41=IF($AO17="Yes",$AQ17,$AS17)))))</f>
        <v>42500</v>
      </c>
      <c r="NN17" s="75">
        <f t="array" ref="NN17">INDEX('China n Importing Ports'!$I$20:$I$41,MATCH(2,1/(('China n Importing Ports'!$D$20:$D$41&lt;=$C17)*('China n Importing Ports'!$C$20:$C$41=IF($AO17="Yes",$AQ17,$AS17)))))</f>
        <v>42500</v>
      </c>
      <c r="NO17" s="75">
        <f t="array" ref="NO17">INDEX('China n Importing Ports'!$J$20:$J$41,MATCH(2,1/(('China n Importing Ports'!$D$20:$D$41&lt;=$C17)*('China n Importing Ports'!$C$20:$C$41=IF($AO17="Yes",$AQ17,$AS17)))))</f>
        <v>42500</v>
      </c>
      <c r="NP17" s="75">
        <f t="array" ref="NP17">INDEX('China n Importing Ports'!$K$20:$K$41,MATCH(2,1/(('China n Importing Ports'!$D$20:$D$41&lt;=$C17)*('China n Importing Ports'!$C$20:$C$41=IF($AO17="Yes",$AQ17,$AS17)))))</f>
        <v>42500</v>
      </c>
      <c r="NQ17" s="75" t="str">
        <f t="array" ref="NQ17">INDEX('China n Importing Ports'!$L$20:$L$41,MATCH(2,1/(('China n Importing Ports'!$D$20:$D$41&lt;=$C17)*('China n Importing Ports'!$C$20:$C$41=IF($AO17="Yes",$AQ17,$AS17)))))</f>
        <v>RMB</v>
      </c>
      <c r="NR17" s="75">
        <f t="array" ref="NR17">INDEX('China n Importing Ports'!$M$20:$M$41,MATCH(2,1/(('China n Importing Ports'!$D$20:$D$41&lt;=$C17)*('China n Importing Ports'!$C$20:$C$41=IF($AO17="Yes",$AQ17,$AS17)))))</f>
        <v>12342</v>
      </c>
      <c r="NS17" s="75">
        <f t="array" ref="NS17">INDEX('China n Importing Ports'!$N$20:$N$41,MATCH(2,1/(('China n Importing Ports'!$D$20:$D$41&lt;=$C17)*('China n Importing Ports'!$C$20:$C$41=IF($AO17="Yes",$AQ17,$AS17)))))</f>
        <v>0</v>
      </c>
      <c r="NT17" s="75">
        <f t="array" ref="NT17">INDEX('China n Importing Ports'!$O$20:$O$41,MATCH(2,1/(('China n Importing Ports'!$D$20:$D$41&lt;=$C17)*('China n Importing Ports'!$C$20:$C$41=IF($AO17="Yes",$AQ17,$AS17)))))</f>
        <v>0</v>
      </c>
      <c r="NU17" s="136">
        <f t="array" ref="NU17">INDEX('China n Importing Ports'!$P$20:$P$41,MATCH(2,1/(('China n Importing Ports'!$D$20:$D$41&lt;=$C17)*('China n Importing Ports'!$C$20:$C$41=IF($AO17="Yes",$AQ17,$AS17)))))</f>
        <v>2.64</v>
      </c>
      <c r="NV17" s="136">
        <f t="array" ref="NV17">INDEX('China n Importing Ports'!$Q$20:$Q$41,MATCH(2,1/(('China n Importing Ports'!$D$20:$D$41&lt;=$C17)*('China n Importing Ports'!$C$20:$C$41=IF($AO17="Yes",$AQ17,$AS17)))))</f>
        <v>0</v>
      </c>
      <c r="NW17" s="136">
        <f t="array" ref="NW17">INDEX('China n Importing Ports'!$R$20:$R$41,MATCH(2,1/(('China n Importing Ports'!$D$20:$D$41&lt;=$C17)*('China n Importing Ports'!$C$20:$C$41=IF($AO17="Yes",$AQ17,$AS17)))))</f>
        <v>0</v>
      </c>
      <c r="NX17" s="136">
        <f t="array" ref="NX17">INDEX('China n Importing Ports'!$S$20:$S$41,MATCH(2,1/(('China n Importing Ports'!$D$20:$D$41&lt;=$C17)*('China n Importing Ports'!$C$20:$C$41=IF($AO17="Yes",$AQ17,$AS17)))))</f>
        <v>4.53</v>
      </c>
      <c r="NY17" s="136">
        <f t="array" ref="NY17">INDEX('China n Importing Ports'!$T$20:$T$41,MATCH(2,1/(('China n Importing Ports'!$D$20:$D$41&lt;=$C17)*('China n Importing Ports'!$C$20:$C$41=IF($AO17="Yes",$AQ17,$AS17)))))</f>
        <v>0.36699999999999999</v>
      </c>
      <c r="NZ17" s="136">
        <f t="array" ref="NZ17">INDEX('China n Importing Ports'!$U$20:$U$41,MATCH(2,1/(('China n Importing Ports'!$D$20:$D$41&lt;=$C17)*('China n Importing Ports'!$C$20:$C$41=IF($AO17="Yes",$AQ17,$AS17)))))</f>
        <v>0.05</v>
      </c>
      <c r="OA17" s="136">
        <f t="array" ref="OA17">INDEX('China n Importing Ports'!$V$20:$V$41,MATCH(2,1/(('China n Importing Ports'!$D$20:$D$41&lt;=$C17)*('China n Importing Ports'!$C$20:$C$41=IF($AO17="Yes",$AQ17,$AS17)))))</f>
        <v>0</v>
      </c>
      <c r="OB17" s="136">
        <f t="array" ref="OB17">INDEX('China n Importing Ports'!$W$20:$W$41,MATCH(2,1/(('China n Importing Ports'!$D$20:$D$41&lt;=$C17)*('China n Importing Ports'!$C$20:$C$41=IF($AO17="Yes",$AQ17,$AS17)))))</f>
        <v>0</v>
      </c>
      <c r="OC17" s="136">
        <f t="array" ref="OC17">INDEX('China n Importing Ports'!$X$20:$X$41,MATCH(2,1/(('China n Importing Ports'!$D$20:$D$41&lt;=$C17)*('China n Importing Ports'!$C$20:$C$41=IF($AO17="Yes",$AQ17,$AS17)))))</f>
        <v>0</v>
      </c>
      <c r="OD17" s="136">
        <f t="array" ref="OD17">INDEX('China n Importing Ports'!$Y$20:$Y$41,MATCH(2,1/(('China n Importing Ports'!$D$20:$D$41&lt;=$C17)*('China n Importing Ports'!$C$20:$C$41=IF($AO17="Yes",$AQ17,$AS17)))))</f>
        <v>197</v>
      </c>
      <c r="OE17" s="136">
        <f t="array" ref="OE17">INDEX('China n Importing Ports'!$Z$20:$Z$41,MATCH(2,1/(('China n Importing Ports'!$D$20:$D$41&lt;=$C17)*('China n Importing Ports'!$C$20:$C$41=IF($AO17="Yes",$AQ17,$AS17)))))</f>
        <v>0</v>
      </c>
      <c r="OF17" s="136">
        <f t="array" ref="OF17">INDEX('China n Importing Ports'!$AA$20:$AA$41,MATCH(2,1/(('China n Importing Ports'!$D$20:$D$41&lt;=$C17)*('China n Importing Ports'!$C$20:$C$41=IF($AO17="Yes",$AQ17,$AS17)))))</f>
        <v>0</v>
      </c>
      <c r="OH17" s="75" t="e">
        <f t="array" aca="1" ref="OH17" ca="1">INDEX(Canals!$G$24:$G$29,MATCH(2,1/((Canals!$F$24:$F$29&lt;=$C17)*(Canals!$G$24:$G$29=_xlfn.IFS(KS17="Handysize",Main!NB17,KS17="Supramax",MU17,KS17="Panamax",MN17,KS17="NeoPanamax",MG17,KS17="Suezmax",LZ17,KS17="Capesize",LS17,KS17="VLOC",LL17)))))</f>
        <v>#N/A</v>
      </c>
      <c r="OI17" s="75" t="e">
        <f t="array" aca="1" ref="OI17" ca="1">INDEX(Canals!$H$24:$H$29,MATCH(2,1/((Canals!$F$24:$F$29&lt;=$C17)*(Canals!$G$24:$G$29=_xlfn.IFS(KS17="Handysize",Main!NB17,KS17="Supramax",MU17,KS17="Panamax",MN17,KS17="NeoPanamax",MG17,KS17="Suezmax",LZ17,KS17="Capesize",LS17,KS17="VLOC",LL17)))))</f>
        <v>#N/A</v>
      </c>
      <c r="OJ17" s="75" t="e">
        <f t="array" aca="1" ref="OJ17" ca="1">INDEX(Canals!$I$24:$I$29,MATCH(2,1/((Canals!$F$24:$F$29&lt;=$C17)*(Canals!$G$24:$G$29=_xlfn.IFS(KS17="Handysize",Main!NB17,KS17="Supramax",MU17,KS17="Panamax",MN17,KS17="NeoPanamax",MG17,KS17="Suezmax",LZ17,KS17="Capesize",LS17,KS17="VLOC",LL17)))))</f>
        <v>#N/A</v>
      </c>
      <c r="OK17" s="75" t="e">
        <f t="array" aca="1" ref="OK17" ca="1">INDEX(Canals!$J$24:$J$29,MATCH(2,1/((Canals!$F$24:$F$29&lt;=$C17)*(Canals!$G$24:$G$29=_xlfn.IFS(KS17="Handysize",Main!NB17,KS17="Supramax",MU17,KS17="Panamax",MN17,KS17="NeoPanamax",MG17,KS17="Suezmax",LZ17,KS17="Capesize",LS17,KS17="VLOC",LL17)))))</f>
        <v>#N/A</v>
      </c>
      <c r="OL17" s="75" t="e">
        <f t="array" aca="1" ref="OL17" ca="1">INDEX(Canals!$K$24:$K$29,MATCH(2,1/((Canals!$F$24:$F$29&lt;=$C17)*(Canals!$G$24:$G$29=_xlfn.IFS(KS17="Handysize",Main!NB17,KS17="Supramax",MU17,KS17="Panamax",MN17,KS17="NeoPanamax",MG17,KS17="Suezmax",LZ17,KS17="Capesize",LS17,KS17="VLOC",LL17)))))</f>
        <v>#N/A</v>
      </c>
      <c r="OM17" s="75" t="e">
        <f t="array" aca="1" ref="OM17" ca="1">INDEX(Canals!$L$24:$L$29,MATCH(2,1/((Canals!$F$24:$F$29&lt;=$C17)*(Canals!$G$24:$G$29=_xlfn.IFS(KS17="Handysize",Main!NB17,KS17="Supramax",MU17,KS17="Panamax",MN17,KS17="NeoPanamax",MG17,KS17="Suezmax",LZ17,KS17="Capesize",LS17,KS17="VLOC",LL17)))))</f>
        <v>#N/A</v>
      </c>
      <c r="ON17" s="75" t="e">
        <f t="array" aca="1" ref="ON17" ca="1">INDEX(Canals!$M$24:$M$29,MATCH(2,1/((Canals!$F$24:$F$29&lt;=$C17)*(Canals!$G$24:$G$29=_xlfn.IFS(KS17="Handysize",Main!NB17,KS17="Supramax",MU17,KS17="Panamax",MN17,KS17="NeoPanamax",MG17,KS17="Suezmax",LZ17,KS17="Capesize",LS17,KS17="VLOC",LL17)))))</f>
        <v>#N/A</v>
      </c>
      <c r="OO17" s="75" t="e">
        <f t="array" aca="1" ref="OO17" ca="1">INDEX(Canals!$N$24:$N$29,MATCH(2,1/((Canals!$F$24:$F$29&lt;=$C17)*(Canals!$G$24:$G$29=_xlfn.IFS(KS17="Handysize",Main!NB17,KS17="Supramax",MU17,KS17="Panamax",MN17,KS17="NeoPanamax",MG17,KS17="Suezmax",LZ17,KS17="Capesize",LS17,KS17="VLOC",LL17)))))</f>
        <v>#N/A</v>
      </c>
      <c r="OP17" s="75" t="e">
        <f t="array" aca="1" ref="OP17" ca="1">INDEX(Canals!$O$24:$O$29,MATCH(2,1/((Canals!$F$24:$F$29&lt;=$C17)*(Canals!$G$24:$G$29=_xlfn.IFS(KS17="Handysize",Main!NB17,KS17="Supramax",MU17,KS17="Panamax",MN17,KS17="NeoPanamax",MG17,KS17="Suezmax",LZ17,KS17="Capesize",LS17,KS17="VLOC",LL17)))))</f>
        <v>#N/A</v>
      </c>
      <c r="OQ17" s="75" t="e">
        <f t="array" aca="1" ref="OQ17" ca="1">INDEX(Canals!$P$24:$P$29,MATCH(2,1/((Canals!$F$24:$F$29&lt;=$C17)*(Canals!$G$24:$G$29=_xlfn.IFS(KS17="Handysize",Main!NB17,KS17="Supramax",MU17,KS17="Panamax",MN17,KS17="NeoPanamax",MG17,KS17="Suezmax",LZ17,KS17="Capesize",LS17,KS17="VLOC",LL17)))))</f>
        <v>#N/A</v>
      </c>
      <c r="OR17" s="75" t="e">
        <f t="array" aca="1" ref="OR17" ca="1">INDEX(Canals!$Q$24:$Q$29,MATCH(2,1/((Canals!$F$24:$F$29&lt;=$C17)*(Canals!$G$24:$G$29=_xlfn.IFS(KS17="Handysize",Main!NB17,KS17="Supramax",MU17,KS17="Panamax",MN17,KS17="NeoPanamax",MG17,KS17="Suezmax",LZ17,KS17="Capesize",LS17,KS17="VLOC",LL17)))))</f>
        <v>#N/A</v>
      </c>
      <c r="OS17" s="75" t="e">
        <f t="array" aca="1" ref="OS17" ca="1">INDEX(Canals!$R$24:$R$29,MATCH(2,1/((Canals!$F$24:$F$29&lt;=$C17)*(Canals!$G$24:$G$29=_xlfn.IFS(KS17="Handysize",Main!NB17,KS17="Supramax",MU17,KS17="Panamax",MN17,KS17="NeoPanamax",MG17,KS17="Suezmax",LZ17,KS17="Capesize",LS17,KS17="VLOC",LL17)))))</f>
        <v>#N/A</v>
      </c>
      <c r="OT17" s="136" t="e">
        <f t="array" aca="1" ref="OT17" ca="1">INDEX(Canals!$S$24:$S$29,MATCH(2,1/((Canals!$F$24:$F$29&lt;=$C17)*(Canals!$G$24:$G$29=_xlfn.IFS(KS17="Handysize",Main!NB17,KS17="Supramax",MU17,KS17="Panamax",MN17,KS17="NeoPanamax",MG17,KS17="Suezmax",LZ17,KS17="Capesize",LS17,KS17="VLOC",LL17)))))</f>
        <v>#N/A</v>
      </c>
      <c r="OU17" s="136" t="e">
        <f t="array" aca="1" ref="OU17" ca="1">INDEX(Canals!$T$24:$T$29,MATCH(2,1/((Canals!$F$24:$F$29&lt;=$C17)*(Canals!$G$24:$G$29=_xlfn.IFS(KS17="Handysize",Main!NB17,KS17="Supramax",MU17,KS17="Panamax",MN17,KS17="NeoPanamax",MG17,KS17="Suezmax",LZ17,KS17="Capesize",LS17,KS17="VLOC",LL17)))))</f>
        <v>#N/A</v>
      </c>
      <c r="OV17" s="136" t="e">
        <f t="array" aca="1" ref="OV17" ca="1">INDEX(Canals!$U$24:$U$29,MATCH(2,1/((Canals!$F$24:$F$29&lt;=$C17)*(Canals!$G$24:$G$29=_xlfn.IFS(KS17="Handysize",Main!NB17,KS17="Supramax",MU17,KS17="Panamax",MN17,KS17="NeoPanamax",MG17,KS17="Suezmax",LZ17,KS17="Capesize",LS17,KS17="VLOC",LL17)))))</f>
        <v>#N/A</v>
      </c>
      <c r="OW17" s="136" t="e">
        <f t="array" aca="1" ref="OW17" ca="1">INDEX(Canals!$V$24:$V$29,MATCH(2,1/((Canals!$F$24:$F$29&lt;=$C17)*(Canals!$G$24:$G$29=_xlfn.IFS(KS17="Handysize",Main!NB17,KS17="Supramax",MU17,KS17="Panamax",MN17,KS17="NeoPanamax",MG17,KS17="Suezmax",LZ17,KS17="Capesize",LS17,KS17="VLOC",LL17)))))</f>
        <v>#N/A</v>
      </c>
      <c r="OX17" s="136" t="e">
        <f t="array" aca="1" ref="OX17" ca="1">INDEX(Canals!$W$24:$W$29,MATCH(2,1/((Canals!$F$24:$F$29&lt;=$C17)*(Canals!$G$24:$G$29=_xlfn.IFS(KS17="Handysize",Main!NB17,KS17="Supramax",MU17,KS17="Panamax",MN17,KS17="NeoPanamax",MG17,KS17="Suezmax",LZ17,KS17="Capesize",LS17,KS17="VLOC",LL17)))))</f>
        <v>#N/A</v>
      </c>
      <c r="OY17" s="136" t="e">
        <f t="array" aca="1" ref="OY17" ca="1">INDEX(Canals!$X$24:$X$29,MATCH(2,1/((Canals!$F$24:$F$29&lt;=$C17)*(Canals!$G$24:$G$29=_xlfn.IFS(KS17="Handysize",Main!NB17,KS17="Supramax",MU17,KS17="Panamax",MN17,KS17="NeoPanamax",MG17,KS17="Suezmax",LZ17,KS17="Capesize",LS17,KS17="VLOC",LL17)))))</f>
        <v>#N/A</v>
      </c>
      <c r="OZ17" s="136" t="e">
        <f t="array" aca="1" ref="OZ17" ca="1">INDEX(Canals!$Y$24:$Y$29,MATCH(2,1/((Canals!$F$24:$F$29&lt;=$C17)*(Canals!$G$24:$G$29=_xlfn.IFS(KS17="Handysize",Main!NB17,KS17="Supramax",MU17,KS17="Panamax",MN17,KS17="NeoPanamax",MG17,KS17="Suezmax",LZ17,KS17="Capesize",LS17,KS17="VLOC",LL17)))))</f>
        <v>#N/A</v>
      </c>
      <c r="PA17" s="136" t="e">
        <f t="array" aca="1" ref="PA17" ca="1">INDEX(Canals!$Z$24:$Z$29,MATCH(2,1/((Canals!$F$24:$F$29&lt;=$C17)*(Canals!$G$24:$G$29=_xlfn.IFS(KS17="Handysize",Main!NB17,KS17="Supramax",MU17,KS17="Panamax",MN17,KS17="NeoPanamax",MG17,KS17="Suezmax",LZ17,KS17="Capesize",LS17,KS17="VLOC",LL17)))))</f>
        <v>#N/A</v>
      </c>
      <c r="PB17" s="136" t="e">
        <f t="array" aca="1" ref="PB17" ca="1">INDEX(Canals!$AA$24:$AA$29,MATCH(2,1/((Canals!$F$24:$F$29&lt;=$C17)*(Canals!$G$24:$G$29=_xlfn.IFS(KS17="Handysize",Main!NB17,KS17="Supramax",MU17,KS17="Panamax",MN17,KS17="NeoPanamax",MG17,KS17="Suezmax",LZ17,KS17="Capesize",LS17,KS17="VLOC",LL17)))))</f>
        <v>#N/A</v>
      </c>
      <c r="PC17" s="136" t="e">
        <f t="array" aca="1" ref="PC17" ca="1">INDEX(Canals!$AB$24:$AB$29,MATCH(2,1/((Canals!$F$24:$F$29&lt;=$C17)*(Canals!$G$24:$G$29=_xlfn.IFS(KS17="Handysize",Main!NB17,KS17="Supramax",MU17,KS17="Panamax",MN17,KS17="NeoPanamax",MG17,KS17="Suezmax",LZ17,KS17="Capesize",LS17,KS17="VLOC",LL17)))))</f>
        <v>#N/A</v>
      </c>
      <c r="PD17" s="75" t="e">
        <f t="array" aca="1" ref="PD17" ca="1">INDEX(Canals!$AC$24:$AC$29,MATCH(2,1/((Canals!$F$24:$F$29&lt;=$C17)*(Canals!$G$24:$G$29=_xlfn.IFS(KS17="Handysize",Main!NB17,KS17="Supramax",MU17,KS17="Panamax",MN17,KS17="NeoPanamax",MG17,KS17="Suezmax",LZ17,KS17="Capesize",LS17,KS17="VLOC",LL17)))))</f>
        <v>#N/A</v>
      </c>
      <c r="PE17" s="75" t="e">
        <f t="array" aca="1" ref="PE17" ca="1">INDEX(Canals!$AD$24:$AD$29,MATCH(2,1/((Canals!$F$24:$F$29&lt;=$C17)*(Canals!$G$24:$G$29=_xlfn.IFS(KS17="Handysize",Main!NB17,KS17="Supramax",MU17,KS17="Panamax",MN17,KS17="NeoPanamax",MG17,KS17="Suezmax",LZ17,KS17="Capesize",LS17,KS17="VLOC",LL17)))))</f>
        <v>#N/A</v>
      </c>
      <c r="PF17" s="75" t="e">
        <f t="array" aca="1" ref="PF17" ca="1">INDEX(Canals!$AE$24:$AE$29,MATCH(2,1/((Canals!$F$24:$F$29&lt;=$C17)*(Canals!$G$24:$G$29=_xlfn.IFS(KS17="Handysize",Main!NB17,KS17="Supramax",MU17,KS17="Panamax",MN17,KS17="NeoPanamax",MG17,KS17="Suezmax",LZ17,KS17="Capesize",LS17,KS17="VLOC",LL17)))))</f>
        <v>#N/A</v>
      </c>
      <c r="PG17" s="75" t="e">
        <f t="array" aca="1" ref="PG17" ca="1">INDEX(Canals!$AF$24:$AF$29,MATCH(2,1/((Canals!$F$24:$F$29&lt;=$C17)*(Canals!$G$24:$G$29=_xlfn.IFS(KS17="Handysize",Main!NB17,KS17="Supramax",MU17,KS17="Panamax",MN17,KS17="NeoPanamax",MG17,KS17="Suezmax",LZ17,KS17="Capesize",LS17,KS17="VLOC",LL17)))))</f>
        <v>#N/A</v>
      </c>
      <c r="PH17" s="75" t="e">
        <f t="array" aca="1" ref="PH17" ca="1">INDEX(Canals!$AG$24:$AG$29,MATCH(2,1/((Canals!$F$24:$F$29&lt;=$C17)*(Canals!$G$24:$G$29=_xlfn.IFS(KS17="Handysize",Main!NB17,KS17="Supramax",MU17,KS17="Panamax",MN17,KS17="NeoPanamax",MG17,KS17="Suezmax",LZ17,KS17="Capesize",LS17,KS17="VLOC",LL17)))))</f>
        <v>#N/A</v>
      </c>
      <c r="PI17" s="75" t="e">
        <f t="array" aca="1" ref="PI17" ca="1">INDEX(Canals!$AH$24:$AH$29,MATCH(2,1/((Canals!$F$24:$F$29&lt;=$C17)*(Canals!$G$24:$G$29=_xlfn.IFS(KS17="Handysize",Main!NB17,KS17="Supramax",MU17,KS17="Panamax",MN17,KS17="NeoPanamax",MG17,KS17="Suezmax",LZ17,KS17="Capesize",LS17,KS17="VLOC",LL17)))))</f>
        <v>#N/A</v>
      </c>
      <c r="PJ17" s="75" t="e">
        <f t="array" aca="1" ref="PJ17" ca="1">INDEX(Canals!$AI$24:$AI$29,MATCH(2,1/((Canals!$F$24:$F$29&lt;=$C17)*(Canals!$G$24:$G$29=_xlfn.IFS(KS17="Handysize",Main!NB17,KS17="Supramax",MU17,KS17="Panamax",MN17,KS17="NeoPanamax",MG17,KS17="Suezmax",LZ17,KS17="Capesize",LS17,KS17="VLOC",LL17)))))</f>
        <v>#N/A</v>
      </c>
      <c r="PK17" s="75" t="e">
        <f t="array" aca="1" ref="PK17" ca="1">INDEX(Canals!$AJ$24:$AJ$29,MATCH(2,1/((Canals!$F$24:$F$29&lt;=$C17)*(Canals!$G$24:$G$29=_xlfn.IFS(KS17="Handysize",Main!NB17,KS17="Supramax",MU17,KS17="Panamax",MN17,KS17="NeoPanamax",MG17,KS17="Suezmax",LZ17,KS17="Capesize",LS17,KS17="VLOC",LL17)))))</f>
        <v>#N/A</v>
      </c>
      <c r="PL17" s="75" t="e">
        <f t="array" aca="1" ref="PL17" ca="1">INDEX(Canals!$AK$24:$AK$29,MATCH(2,1/((Canals!$F$24:$F$29&lt;=$C17)*(Canals!$G$24:$G$29=_xlfn.IFS(KS17="Handysize",Main!NB17,KS17="Supramax",MU17,KS17="Panamax",MN17,KS17="NeoPanamax",MG17,KS17="Suezmax",LZ17,KS17="Capesize",LS17,KS17="VLOC",LL17)))))</f>
        <v>#N/A</v>
      </c>
      <c r="PM17" s="136" t="e">
        <f t="array" aca="1" ref="PM17" ca="1">INDEX(Canals!$AL$24:$AL$29,MATCH(2,1/((Canals!$F$24:$F$29&lt;=$C17)*(Canals!$G$24:$G$29=_xlfn.IFS(KS17="Handysize",Main!NB17,KS17="Supramax",MU17,KS17="Panamax",MN17,KS17="NeoPanamax",MG17,KS17="Suezmax",LZ17,KS17="Capesize",LS17,KS17="VLOC",LL17)))))</f>
        <v>#N/A</v>
      </c>
      <c r="PN17" s="136" t="e">
        <f t="array" aca="1" ref="PN17" ca="1">INDEX(Canals!$AM$24:$AM$29,MATCH(2,1/((Canals!$F$24:$F$29&lt;=$C17)*(Canals!$G$24:$G$29=_xlfn.IFS(KS17="Handysize",Main!NB17,KS17="Supramax",MU17,KS17="Panamax",MN17,KS17="NeoPanamax",MG17,KS17="Suezmax",LZ17,KS17="Capesize",LS17,KS17="VLOC",LL17)))))</f>
        <v>#N/A</v>
      </c>
      <c r="PO17" s="136" t="e">
        <f t="array" aca="1" ref="PO17" ca="1">INDEX(Canals!$AN$24:$AN$29,MATCH(2,1/((Canals!$F$24:$F$29&lt;=$C17)*(Canals!$G$24:$G$29=_xlfn.IFS(KS17="Handysize",Main!NB17,KS17="Supramax",MU17,KS17="Panamax",MN17,KS17="NeoPanamax",MG17,KS17="Suezmax",LZ17,KS17="Capesize",LS17,KS17="VLOC",LL17)))))</f>
        <v>#N/A</v>
      </c>
      <c r="PP17" s="136" t="e">
        <f t="array" aca="1" ref="PP17" ca="1">INDEX(Canals!$AO$24:$AO$29,MATCH(2,1/((Canals!$F$24:$F$29&lt;=$C17)*(Canals!$G$24:$G$29=_xlfn.IFS(KS17="Handysize",Main!NB17,KS17="Supramax",MU17,KS17="Panamax",MN17,KS17="NeoPanamax",MG17,KS17="Suezmax",LZ17,KS17="Capesize",LS17,KS17="VLOC",LL17)))))</f>
        <v>#N/A</v>
      </c>
      <c r="PQ17" s="136" t="e">
        <f t="array" aca="1" ref="PQ17" ca="1">INDEX(Canals!$AP$24:$AP$29,MATCH(2,1/((Canals!$F$24:$F$29&lt;=$C17)*(Canals!$G$24:$G$29=_xlfn.IFS(KS17="Handysize",Main!NB17,KS17="Supramax",MU17,KS17="Panamax",MN17,KS17="NeoPanamax",MG17,KS17="Suezmax",LZ17,KS17="Capesize",LS17,KS17="VLOC",LL17)))))</f>
        <v>#N/A</v>
      </c>
      <c r="PR17" s="136" t="e">
        <f t="array" aca="1" ref="PR17" ca="1">INDEX(Canals!$AQ$24:$AQ$29,MATCH(2,1/((Canals!$F$24:$F$29&lt;=$C17)*(Canals!$G$24:$G$29=_xlfn.IFS(KS17="Handysize",Main!NB17,KS17="Supramax",MU17,KS17="Panamax",MN17,KS17="NeoPanamax",MG17,KS17="Suezmax",LZ17,KS17="Capesize",LS17,KS17="VLOC",LL17)))))</f>
        <v>#N/A</v>
      </c>
      <c r="PS17" s="136" t="e">
        <f t="array" aca="1" ref="PS17" ca="1">INDEX(Canals!$AR$24:$AR$29,MATCH(2,1/((Canals!$F$24:$F$29&lt;=$C17)*(Canals!$G$24:$G$29=_xlfn.IFS(KS17="Handysize",Main!NB17,KS17="Supramax",MU17,KS17="Panamax",MN17,KS17="NeoPanamax",MG17,KS17="Suezmax",LZ17,KS17="Capesize",LS17,KS17="VLOC",LL17)))))</f>
        <v>#N/A</v>
      </c>
      <c r="PT17" s="136" t="e">
        <f t="array" aca="1" ref="PT17" ca="1">INDEX(Canals!$AS$24:$AS$29,MATCH(2,1/((Canals!$F$24:$F$29&lt;=$C17)*(Canals!$G$24:$G$29=_xlfn.IFS(KS17="Handysize",Main!NB17,KS17="Supramax",MU17,KS17="Panamax",MN17,KS17="NeoPanamax",MG17,KS17="Suezmax",LZ17,KS17="Capesize",LS17,KS17="VLOC",LL17)))))</f>
        <v>#N/A</v>
      </c>
      <c r="PU17" s="136" t="e">
        <f t="array" aca="1" ref="PU17" ca="1">INDEX(Canals!$AT$24:$AT$29,MATCH(2,1/((Canals!$F$24:$F$29&lt;=$C17)*(Canals!$G$24:$G$29=_xlfn.IFS(KS17="Handysize",Main!NB17,KS17="Supramax",MU17,KS17="Panamax",MN17,KS17="NeoPanamax",MG17,KS17="Suezmax",LZ17,KS17="Capesize",LS17,KS17="VLOC",LL17)))))</f>
        <v>#N/A</v>
      </c>
      <c r="PV17" s="136" t="e">
        <f t="array" aca="1" ref="PV17" ca="1">INDEX(Canals!$AU$24:$AU$29,MATCH(2,1/((Canals!$F$24:$F$29&lt;=$C17)*(Canals!$G$24:$G$29=_xlfn.IFS(KS17="Handysize",Main!NB17,KS17="Supramax",MU17,KS17="Panamax",MN17,KS17="NeoPanamax",MG17,KS17="Suezmax",LZ17,KS17="Capesize",LS17,KS17="VLOC",LL17)))))</f>
        <v>#N/A</v>
      </c>
      <c r="PW17" s="136" t="e">
        <f t="array" aca="1" ref="PW17" ca="1">INDEX(Canals!$AV$24:$AV$29,MATCH(2,1/((Canals!$F$24:$F$29&lt;=$C17)*(Canals!$G$24:$G$29=_xlfn.IFS(KS17="Handysize",Main!NB17,KS17="Supramax",MU17,KS17="Panamax",MN17,KS17="NeoPanamax",MG17,KS17="Suezmax",LZ17,KS17="Capesize",LS17,KS17="VLOC",LL17)))))</f>
        <v>#N/A</v>
      </c>
      <c r="PY17" s="75" t="e">
        <f t="array" aca="1" ref="PY17" ca="1">_xlfn.IFS(OJ17="DWT",KQ17,OJ17="NRT",KU17,OJ17="GRT",KV17)</f>
        <v>#NAME?</v>
      </c>
      <c r="PZ17" s="279" t="e">
        <f t="shared" ca="1" si="74"/>
        <v>#NAME?</v>
      </c>
      <c r="QA17" s="280" t="e">
        <f t="shared" ca="1" si="75"/>
        <v>#NAME?</v>
      </c>
      <c r="QB17" s="280" t="e">
        <f t="shared" ca="1" si="76"/>
        <v>#NAME?</v>
      </c>
      <c r="QC17" s="280" t="e">
        <f t="shared" ca="1" si="77"/>
        <v>#NAME?</v>
      </c>
      <c r="QD17" s="280" t="e">
        <f t="shared" ca="1" si="78"/>
        <v>#NAME?</v>
      </c>
      <c r="QE17" s="280" t="e">
        <f t="shared" ca="1" si="79"/>
        <v>#NAME?</v>
      </c>
      <c r="QF17" s="280" t="e">
        <f t="shared" ca="1" si="80"/>
        <v>#NAME?</v>
      </c>
      <c r="QG17" s="280" t="e">
        <f t="shared" ca="1" si="81"/>
        <v>#NAME?</v>
      </c>
      <c r="QH17" s="280" t="e">
        <f t="shared" ca="1" si="82"/>
        <v>#NAME?</v>
      </c>
      <c r="QI17" s="75">
        <f t="shared" si="83"/>
        <v>46312.5</v>
      </c>
      <c r="QJ17" s="279" t="e">
        <f t="shared" ca="1" si="84"/>
        <v>#N/A</v>
      </c>
      <c r="QK17" s="280" t="e">
        <f t="shared" ca="1" si="85"/>
        <v>#N/A</v>
      </c>
      <c r="QL17" s="280" t="e">
        <f t="shared" ca="1" si="86"/>
        <v>#N/A</v>
      </c>
      <c r="QM17" s="280" t="e">
        <f t="shared" ca="1" si="87"/>
        <v>#N/A</v>
      </c>
      <c r="QN17" s="280" t="e">
        <f t="shared" ca="1" si="88"/>
        <v>#N/A</v>
      </c>
      <c r="QO17" s="280" t="e">
        <f t="shared" ca="1" si="89"/>
        <v>#N/A</v>
      </c>
      <c r="QP17" s="280" t="e">
        <f t="shared" ca="1" si="90"/>
        <v>#N/A</v>
      </c>
      <c r="QQ17" s="280" t="e">
        <f t="shared" ca="1" si="91"/>
        <v>#N/A</v>
      </c>
      <c r="QR17" s="280" t="e">
        <f t="shared" ca="1" si="92"/>
        <v>#N/A</v>
      </c>
      <c r="QT17" s="75" t="e">
        <f t="array" aca="1" ref="QT17" ca="1">_xlfn.IFS(KS17="Handysize",Main!MV17,KS17="Supramax",MO17,KS17="Panamax",MH17,KS17="NeoPanamax",MA17,KS17="Suezmax",LT17,KS17="Capesize",LM17,KS17="VLOC",LF17)*$JI17</f>
        <v>#NAME?</v>
      </c>
      <c r="QU17" s="274" t="e">
        <f t="array" aca="1" ref="QU17" ca="1">_xlfn.IFS(KS17="Handysize",Main!MW17,KS17="Supramax",MP17,KS17="Panamax",MI17,KS17="NeoPanamax",MB17,KS17="Suezmax",LU17,KS17="Capesize",LN17,KS17="VLOC",LG17)*$JI17</f>
        <v>#NAME?</v>
      </c>
      <c r="QV17" s="71" t="e">
        <f t="array" aca="1" ref="QV17" ca="1">_xlfn.IFS(KS17="Handysize",Main!KX17,KS17="Supramax",KY17,KS17="Panamax",KZ17,KS17="NeoPanamax",LA17,KS17="Suezmax",LB17,KS17="Capesize",LC17,KS17="VLOC",LD17)</f>
        <v>#NAME?</v>
      </c>
      <c r="QW17" s="71" t="e">
        <f t="array" aca="1" ref="QW17" ca="1">_xlfn.IFS(KS17="Handysize",Main!NJ17,KS17="Supramax",NK17,KS17="Panamax",NL17,KS17="NeoPanamax",NM17,KS17="Suezmax",NN17,KS17="Capesize",NO17,KS17="VLOC",NP17)</f>
        <v>#NAME?</v>
      </c>
      <c r="QX17" s="70">
        <f t="array" ref="QX17">INDEX('Ship Speeds'!$G$11:$G$1011,MATCH(2,1/(('Ship Speeds'!$E$11:$E$1011&lt;=Main!$C17)*('Ship Speeds'!$F$11:$F$1011=Main!KR17))))</f>
        <v>11</v>
      </c>
      <c r="QY17" s="403">
        <f t="shared" si="93"/>
        <v>15.552678737729259</v>
      </c>
      <c r="QZ17" s="401">
        <f t="shared" si="94"/>
        <v>1.7073</v>
      </c>
      <c r="RA17" s="70" t="e">
        <f t="shared" ca="1" si="95"/>
        <v>#NAME?</v>
      </c>
      <c r="RB17" s="70" t="e">
        <f t="shared" ca="1" si="96"/>
        <v>#NAME?</v>
      </c>
      <c r="RC17" s="70" t="e">
        <f t="shared" ca="1" si="97"/>
        <v>#NAME?</v>
      </c>
      <c r="RD17" s="70" t="e">
        <f t="shared" ca="1" si="98"/>
        <v>#NAME?</v>
      </c>
      <c r="RE17" s="72" t="e">
        <f t="shared" ca="1" si="99"/>
        <v>#N/A</v>
      </c>
      <c r="RF17" s="70" t="e">
        <f t="shared" ca="1" si="100"/>
        <v>#NAME?</v>
      </c>
      <c r="RG17" s="70" t="e">
        <f t="array" aca="1" ref="RG17" ca="1">INDEX(ND17:NH17,MATCH(_xlfn.IFS(KS17="Handysize",Main!MZ17,KS17="Supramax",MS17,KS17="Panamax",ML17,KS17="NeoPanamax",ME17,KS17="Suezmax",LX17,KS17="Capesize",LQ17,KS17="VLOC",LJ17),$ND$7:$NH$7,0))</f>
        <v>#NAME?</v>
      </c>
      <c r="RH17" s="70" t="e">
        <f t="array" aca="1" ref="RH17" ca="1">INDEX(ND17:NH17,MATCH(_xlfn.IFS(KS17="Handysize",Main!NA17,KS17="Supramax",MT17,KS17="Panamax",MM17,KS17="NeoPanamax",MF17,KS17="Suezmax",LY17,KS17="Capesize",LR17,KS17="VLOC",LK17),$ND$7:$NH$7,0))</f>
        <v>#NAME?</v>
      </c>
      <c r="RI17" s="71" t="e">
        <f t="shared" ca="1" si="101"/>
        <v>#NAME?</v>
      </c>
      <c r="RJ17" s="71" t="e">
        <f t="shared" ca="1" si="102"/>
        <v>#NAME?</v>
      </c>
      <c r="RK17" s="281">
        <f t="shared" si="103"/>
        <v>7.0759999999999987</v>
      </c>
      <c r="RL17" s="71">
        <f t="shared" si="104"/>
        <v>1744.2057659694747</v>
      </c>
      <c r="RM17" s="71" t="e">
        <f t="shared" ca="1" si="105"/>
        <v>#NAME?</v>
      </c>
      <c r="RN17" s="71" t="e">
        <f t="shared" ca="1" si="106"/>
        <v>#NAME?</v>
      </c>
      <c r="RO17" s="71">
        <f t="shared" si="107"/>
        <v>17278.829847371399</v>
      </c>
      <c r="RP17" s="71" t="e">
        <f t="shared" ca="1" si="108"/>
        <v>#NAME?</v>
      </c>
      <c r="RQ17" s="71" t="e">
        <f t="shared" ca="1" si="109"/>
        <v>#NAME?</v>
      </c>
      <c r="RR17" s="71">
        <f t="shared" si="110"/>
        <v>12267.042820802715</v>
      </c>
      <c r="RS17" s="71" t="e">
        <f t="shared" ca="1" si="111"/>
        <v>#NAME?</v>
      </c>
      <c r="RT17" s="71" t="e">
        <f t="shared" ca="1" si="112"/>
        <v>#NAME?</v>
      </c>
      <c r="RU17" s="71">
        <f t="shared" si="113"/>
        <v>0</v>
      </c>
      <c r="RV17" s="71" t="e">
        <f t="shared" ca="1" si="114"/>
        <v>#NAME?</v>
      </c>
      <c r="RW17" s="71" t="e">
        <f t="shared" ca="1" si="115"/>
        <v>#NAME?</v>
      </c>
      <c r="RX17" s="72">
        <f t="shared" si="116"/>
        <v>5216.1429479932176</v>
      </c>
      <c r="RY17" s="72" t="e">
        <f t="shared" ca="1" si="117"/>
        <v>#NAME?</v>
      </c>
      <c r="RZ17" s="71" t="e">
        <f t="shared" ca="1" si="118"/>
        <v>#NAME?</v>
      </c>
      <c r="SA17" s="71" t="e">
        <f t="array" aca="1" ref="SA17" ca="1">INDEX('Ship Time Charter Rates'!$H$22:$H$1021,MATCH(2,1/(('Ship Time Charter Rates'!$G$22:$G$1021=_xlfn.IFS(KS17="Handysize",Main!MX17,KS17="Supramax",MQ17,KS17="Panamax",MJ17,KS17="NeoPanamax",MC17,KS17="Suezmax",LV17,KS17="Capesize",LO17,KS17="VLOC",LH17))*('Ship Time Charter Rates'!$E$22:$E$1021&lt;=Main!$C17)*(NOT(ISBLANK('Ship Time Charter Rates'!$H$22:$H$1021))))))</f>
        <v>#N/A</v>
      </c>
      <c r="SB17" s="71" t="e">
        <f t="shared" ca="1" si="119"/>
        <v>#NAME?</v>
      </c>
      <c r="SC17" s="70" t="e">
        <f t="shared" ca="1" si="120"/>
        <v>#N/A</v>
      </c>
      <c r="SD17" s="71" t="e">
        <f t="shared" ca="1" si="121"/>
        <v>#NAME?</v>
      </c>
      <c r="SE17" s="71" t="e">
        <f t="shared" ca="1" si="302"/>
        <v>#NAME?</v>
      </c>
      <c r="SF17" s="72" t="e">
        <f t="shared" ca="1" si="303"/>
        <v>#NAME?</v>
      </c>
      <c r="SH17" s="25">
        <f t="shared" si="321"/>
        <v>0</v>
      </c>
      <c r="SI17" s="4" t="str">
        <f>VLOOKUP(SH17,'Ship Time Charter Rates'!$F$10:$G$17,2,TRUE)</f>
        <v>Handysize</v>
      </c>
      <c r="SJ17" s="4" t="str">
        <f>VLOOKUP(SH17,Canals!$E$5:$F$12,2,TRUE)</f>
        <v>Handysize</v>
      </c>
      <c r="SK17" s="25">
        <f t="shared" si="122"/>
        <v>145.88999999999999</v>
      </c>
      <c r="SL17" s="25">
        <f t="shared" si="123"/>
        <v>0</v>
      </c>
      <c r="SM17" s="25">
        <f t="shared" si="124"/>
        <v>4797</v>
      </c>
      <c r="SO17" s="75">
        <f t="array" ref="SO17">INDEX('Indices Mines Exporting Ports'!$R$20:$R$51,MATCH(2,1/(('Indices Mines Exporting Ports'!$D$20:$D$51&lt;=Main!$C17)*('Indices Mines Exporting Ports'!$Q$20:$Q$51=$AQ17))))</f>
        <v>0</v>
      </c>
      <c r="SP17" s="75">
        <f t="array" ref="SP17">INDEX('Indices Mines Exporting Ports'!$S$20:$S$51,MATCH(2,1/(('Indices Mines Exporting Ports'!$D$20:$D$51&lt;=Main!$C17)*('Indices Mines Exporting Ports'!$Q$20:$Q$51=$AQ17))))</f>
        <v>0</v>
      </c>
      <c r="SQ17" s="75">
        <f t="array" ref="SQ17">INDEX('Indices Mines Exporting Ports'!$T$20:$T$51,MATCH(2,1/(('Indices Mines Exporting Ports'!$D$20:$D$51&lt;=Main!$C17)*('Indices Mines Exporting Ports'!$Q$20:$Q$51=$AQ17))))</f>
        <v>0</v>
      </c>
      <c r="SR17" s="75">
        <f t="array" ref="SR17">INDEX('Indices Mines Exporting Ports'!$U$20:$U$51,MATCH(2,1/(('Indices Mines Exporting Ports'!$D$20:$D$51&lt;=Main!$C17)*('Indices Mines Exporting Ports'!$Q$20:$Q$51=$AQ17))))</f>
        <v>0</v>
      </c>
      <c r="SS17" s="75">
        <f t="array" ref="SS17">INDEX('Indices Mines Exporting Ports'!$V$20:$V$51,MATCH(2,1/(('Indices Mines Exporting Ports'!$D$20:$D$51&lt;=Main!$C17)*('Indices Mines Exporting Ports'!$Q$20:$Q$51=$AQ17))))</f>
        <v>0</v>
      </c>
      <c r="ST17" s="75">
        <f t="array" ref="ST17">INDEX('Indices Mines Exporting Ports'!$W$20:$W$51,MATCH(2,1/(('Indices Mines Exporting Ports'!$D$20:$D$51&lt;=Main!$C17)*('Indices Mines Exporting Ports'!$Q$20:$Q$51=$AQ17))))</f>
        <v>0</v>
      </c>
      <c r="SU17" s="75">
        <f t="array" ref="SU17">INDEX('Indices Mines Exporting Ports'!$X$20:$X$51,MATCH(2,1/(('Indices Mines Exporting Ports'!$D$20:$D$51&lt;=Main!$C17)*('Indices Mines Exporting Ports'!$Q$20:$Q$51=$AQ17))))</f>
        <v>0</v>
      </c>
      <c r="SW17" s="75">
        <f t="array" ref="SW17">INDEX('Port Linkages'!$E$18:$E$157,MATCH(2,1/(('Port Linkages'!$C$18:$C$157=$AQ17)*('Port Linkages'!$D$18:$D$157=IF($AO17="no",$AQ17,$AS17))*('Port Linkages'!$A$18:$A$157&lt;=$C17))))</f>
        <v>0</v>
      </c>
      <c r="SX17" s="75">
        <f t="array" ref="SX17">INDEX('Port Linkages'!$F$18:$F$157,MATCH(2,1/(('Port Linkages'!$C$18:$C$157=$AQ17)*('Port Linkages'!$D$18:$D$157=IF($AO17="no",$AQ17,$AS17))*('Port Linkages'!$A$18:$A$157&lt;=$C17))))</f>
        <v>0</v>
      </c>
      <c r="SY17" s="75">
        <f t="array" ref="SY17">INDEX('Port Linkages'!$G$18:$G$157,MATCH(2,1/(('Port Linkages'!$C$18:$C$157=$AQ17)*('Port Linkages'!$D$18:$D$157=IF($AO17="no",$AQ17,$AS17))*('Port Linkages'!$A$18:$A$157&lt;=$C17))))</f>
        <v>0</v>
      </c>
      <c r="SZ17" s="75">
        <f t="array" ref="SZ17">INDEX('Port Linkages'!$H$18:$H$157,MATCH(2,1/(('Port Linkages'!$C$18:$C$157=$AQ17)*('Port Linkages'!$D$18:$D$157=IF($AO17="no",$AQ17,$AS17))*('Port Linkages'!$A$18:$A$157&lt;=$C17))))</f>
        <v>0</v>
      </c>
      <c r="TA17" s="75">
        <f t="array" ref="TA17">INDEX('Port Linkages'!$I$18:$I$157,MATCH(2,1/(('Port Linkages'!$C$18:$C$157=$AQ17)*('Port Linkages'!$D$18:$D$157=IF($AO17="no",$AQ17,$AS17))*('Port Linkages'!$A$18:$A$157&lt;=$C17))))</f>
        <v>0</v>
      </c>
      <c r="TB17" s="75">
        <f t="array" ref="TB17">INDEX('Port Linkages'!$J$18:$J$157,MATCH(2,1/(('Port Linkages'!$C$18:$C$157=$AQ17)*('Port Linkages'!$D$18:$D$157=IF($AO17="no",$AQ17,$AS17))*('Port Linkages'!$A$18:$A$157&lt;=$C17))))</f>
        <v>0</v>
      </c>
      <c r="TC17" s="75">
        <f t="array" ref="TC17">INDEX('Port Linkages'!$K$18:$K$157,MATCH(2,1/(('Port Linkages'!$C$18:$C$157=$AQ17)*('Port Linkages'!$D$18:$D$157=IF($AO17="no",$AQ17,$AS17))*('Port Linkages'!$A$18:$A$157&lt;=$C17))))</f>
        <v>0</v>
      </c>
      <c r="TD17" s="75">
        <f t="array" ref="TD17">INDEX('Port Linkages'!$L$18:$L$157,MATCH(2,1/(('Port Linkages'!$C$18:$C$157=$AQ17)*('Port Linkages'!$D$18:$D$157=IF($AO17="no",$AQ17,$AS17))*('Port Linkages'!$A$18:$A$157&lt;=$C17))))</f>
        <v>0</v>
      </c>
      <c r="TE17" s="75">
        <f t="array" ref="TE17">INDEX('Port Linkages'!$M$18:$M$157,MATCH(2,1/(('Port Linkages'!$C$18:$C$157=$AQ17)*('Port Linkages'!$D$18:$D$157=IF($AO17="no",$AQ17,$AS17))*('Port Linkages'!$A$18:$A$157&lt;=$C17))))</f>
        <v>0</v>
      </c>
      <c r="TF17" s="75">
        <f t="array" ref="TF17">INDEX('Port Linkages'!$N$18:$N$157,MATCH(2,1/(('Port Linkages'!$C$18:$C$157=$AQ17)*('Port Linkages'!$D$18:$D$157=IF($AO17="no",$AQ17,$AS17))*('Port Linkages'!$A$18:$A$157&lt;=$C17))))</f>
        <v>0</v>
      </c>
      <c r="TG17" s="75">
        <f t="array" ref="TG17">INDEX('Port Linkages'!$O$18:$O$157,MATCH(2,1/(('Port Linkages'!$C$18:$C$157=$AQ17)*('Port Linkages'!$D$18:$D$157=IF($AO17="no",$AQ17,$AS17))*('Port Linkages'!$A$18:$A$157&lt;=$C17))))</f>
        <v>0</v>
      </c>
      <c r="TH17" s="75">
        <f t="array" ref="TH17">INDEX('Port Linkages'!$P$18:$P$157,MATCH(2,1/(('Port Linkages'!$C$18:$C$157=$AQ17)*('Port Linkages'!$D$18:$D$157=IF($AO17="no",$AQ17,$AS17))*('Port Linkages'!$A$18:$A$157&lt;=$C17))))</f>
        <v>0</v>
      </c>
      <c r="TI17" s="75">
        <f t="array" ref="TI17">INDEX('Port Linkages'!$Q$18:$Q$157,MATCH(2,1/(('Port Linkages'!$C$18:$C$157=$AQ17)*('Port Linkages'!$D$18:$D$157=IF($AO17="no",$AQ17,$AS17))*('Port Linkages'!$A$18:$A$157&lt;=$C17))))</f>
        <v>0</v>
      </c>
      <c r="TJ17" s="75">
        <f t="array" ref="TJ17">INDEX('Port Linkages'!$R$18:$R$157,MATCH(2,1/(('Port Linkages'!$C$18:$C$157=$AQ17)*('Port Linkages'!$D$18:$D$157=IF($AO17="no",$AQ17,$AS17))*('Port Linkages'!$A$18:$A$157&lt;=$C17))))</f>
        <v>0</v>
      </c>
      <c r="TK17" s="75">
        <f t="array" ref="TK17">INDEX('Port Linkages'!$S$18:$S$157,MATCH(2,1/(('Port Linkages'!$C$18:$C$157=$AQ17)*('Port Linkages'!$D$18:$D$157=IF($AO17="no",$AQ17,$AS17))*('Port Linkages'!$A$18:$A$157&lt;=$C17))))</f>
        <v>0</v>
      </c>
      <c r="TL17" s="75">
        <f t="array" ref="TL17">INDEX('Port Linkages'!$T$18:$T$157,MATCH(2,1/(('Port Linkages'!$C$18:$C$157=$AQ17)*('Port Linkages'!$D$18:$D$157=IF($AO17="no",$AQ17,$AS17))*('Port Linkages'!$A$18:$A$157&lt;=$C17))))</f>
        <v>0</v>
      </c>
      <c r="TM17" s="75">
        <f t="array" ref="TM17">INDEX('Port Linkages'!$U$18:$U$157,MATCH(2,1/(('Port Linkages'!$C$18:$C$157=$AQ17)*('Port Linkages'!$D$18:$D$157=IF($AO17="no",$AQ17,$AS17))*('Port Linkages'!$A$18:$A$157&lt;=$C17))))</f>
        <v>0</v>
      </c>
      <c r="TN17" s="75">
        <f t="array" ref="TN17">INDEX('Port Linkages'!$V$18:$V$157,MATCH(2,1/(('Port Linkages'!$C$18:$C$157=$AQ17)*('Port Linkages'!$D$18:$D$157=IF($AO17="no",$AQ17,$AS17))*('Port Linkages'!$A$18:$A$157&lt;=$C17))))</f>
        <v>0</v>
      </c>
      <c r="TO17" s="75">
        <f t="array" ref="TO17">INDEX('Port Linkages'!$W$18:$W$157,MATCH(2,1/(('Port Linkages'!$C$18:$C$157=$AQ17)*('Port Linkages'!$D$18:$D$157=IF($AO17="no",$AQ17,$AS17))*('Port Linkages'!$A$18:$A$157&lt;=$C17))))</f>
        <v>0</v>
      </c>
      <c r="TP17" s="75">
        <f t="array" ref="TP17">INDEX('Port Linkages'!$X$18:$X$157,MATCH(2,1/(('Port Linkages'!$C$18:$C$157=$AQ17)*('Port Linkages'!$D$18:$D$157=IF($AO17="no",$AQ17,$AS17))*('Port Linkages'!$A$18:$A$157&lt;=$C17))))</f>
        <v>0</v>
      </c>
      <c r="TQ17" s="75">
        <f t="array" ref="TQ17">INDEX('Port Linkages'!$Y$18:$Y$157,MATCH(2,1/(('Port Linkages'!$C$18:$C$157=$AQ17)*('Port Linkages'!$D$18:$D$157=IF($AO17="no",$AQ17,$AS17))*('Port Linkages'!$A$18:$A$157&lt;=$C17))))</f>
        <v>0</v>
      </c>
      <c r="TR17" s="75">
        <f t="array" ref="TR17">INDEX('Port Linkages'!$Z$18:$Z$157,MATCH(2,1/(('Port Linkages'!$C$18:$C$157=$AQ17)*('Port Linkages'!$D$18:$D$157=IF($AO17="no",$AQ17,$AS17))*('Port Linkages'!$A$18:$A$157&lt;=$C17))))</f>
        <v>0</v>
      </c>
      <c r="TS17" s="75">
        <f t="array" ref="TS17">INDEX('Port Linkages'!$AA$18:$AA$157,MATCH(2,1/(('Port Linkages'!$C$18:$C$157=$AQ17)*('Port Linkages'!$D$18:$D$157=IF($AO17="no",$AQ17,$AS17))*('Port Linkages'!$A$18:$A$157&lt;=$C17))))</f>
        <v>0</v>
      </c>
      <c r="TT17" s="75">
        <f t="array" ref="TT17">INDEX('Port Linkages'!$AB$18:$AB$157,MATCH(2,1/(('Port Linkages'!$C$18:$C$157=$AQ17)*('Port Linkages'!$D$18:$D$157=IF($AO17="no",$AQ17,$AS17))*('Port Linkages'!$A$18:$A$157&lt;=$C17))))</f>
        <v>0</v>
      </c>
      <c r="TU17" s="75">
        <f t="array" ref="TU17">INDEX('Port Linkages'!$AC$18:$AC$157,MATCH(2,1/(('Port Linkages'!$C$18:$C$157=$AQ17)*('Port Linkages'!$D$18:$D$157=IF($AO17="no",$AQ17,$AS17))*('Port Linkages'!$A$18:$A$157&lt;=$C17))))</f>
        <v>0</v>
      </c>
      <c r="TV17" s="75">
        <f t="array" ref="TV17">INDEX('Port Linkages'!$AD$18:$AD$157,MATCH(2,1/(('Port Linkages'!$C$18:$C$157=$AQ17)*('Port Linkages'!$D$18:$D$157=IF($AO17="no",$AQ17,$AS17))*('Port Linkages'!$A$18:$A$157&lt;=$C17))))</f>
        <v>0</v>
      </c>
      <c r="TW17" s="75">
        <f t="array" ref="TW17">INDEX('Port Linkages'!$AE$18:$AE$157,MATCH(2,1/(('Port Linkages'!$C$18:$C$157=$AQ17)*('Port Linkages'!$D$18:$D$157=IF($AO17="no",$AQ17,$AS17))*('Port Linkages'!$A$18:$A$157&lt;=$C17))))</f>
        <v>0</v>
      </c>
      <c r="TX17" s="75">
        <f t="array" ref="TX17">INDEX('Port Linkages'!$AF$18:$AF$157,MATCH(2,1/(('Port Linkages'!$C$18:$C$157=$AQ17)*('Port Linkages'!$D$18:$D$157=IF($AO17="no",$AQ17,$AS17))*('Port Linkages'!$A$18:$A$157&lt;=$C17))))</f>
        <v>0</v>
      </c>
      <c r="TY17" s="75">
        <f t="array" ref="TY17">INDEX('Port Linkages'!$AG$18:$AG$157,MATCH(2,1/(('Port Linkages'!$C$18:$C$157=$AQ17)*('Port Linkages'!$D$18:$D$157=IF($AO17="no",$AQ17,$AS17))*('Port Linkages'!$A$18:$A$157&lt;=$C17))))</f>
        <v>0</v>
      </c>
      <c r="TZ17" s="75">
        <f t="array" ref="TZ17">INDEX('Port Linkages'!$AH$18:$AH$157,MATCH(2,1/(('Port Linkages'!$C$18:$C$157=$AQ17)*('Port Linkages'!$D$18:$D$157=IF($AO17="no",$AQ17,$AS17))*('Port Linkages'!$A$18:$A$157&lt;=$C17))))</f>
        <v>0</v>
      </c>
      <c r="UA17" s="75">
        <f t="array" ref="UA17">INDEX('Port Linkages'!$AI$18:$AI$157,MATCH(2,1/(('Port Linkages'!$C$18:$C$157=$AQ17)*('Port Linkages'!$D$18:$D$157=IF($AO17="no",$AQ17,$AS17))*('Port Linkages'!$A$18:$A$157&lt;=$C17))))</f>
        <v>0</v>
      </c>
      <c r="UB17" s="75">
        <f t="array" ref="UB17">INDEX('Port Linkages'!$AJ$18:$AJ$157,MATCH(2,1/(('Port Linkages'!$C$18:$C$157=$AQ17)*('Port Linkages'!$D$18:$D$157=IF($AO17="no",$AQ17,$AS17))*('Port Linkages'!$A$18:$A$157&lt;=$C17))))</f>
        <v>0</v>
      </c>
      <c r="UC17" s="75">
        <f t="array" ref="UC17">INDEX('Port Linkages'!$AK$18:$AK$157,MATCH(2,1/(('Port Linkages'!$C$18:$C$157=$AQ17)*('Port Linkages'!$D$18:$D$157=IF($AO17="no",$AQ17,$AS17))*('Port Linkages'!$A$18:$A$157&lt;=$C17))))</f>
        <v>0</v>
      </c>
      <c r="UD17" s="75">
        <f t="array" ref="UD17">INDEX('Port Linkages'!$AL$18:$AL$157,MATCH(2,1/(('Port Linkages'!$C$18:$C$157=$AQ17)*('Port Linkages'!$D$18:$D$157=IF($AO17="no",$AQ17,$AS17))*('Port Linkages'!$A$18:$A$157&lt;=$C17))))</f>
        <v>0</v>
      </c>
      <c r="UE17" s="75">
        <f t="array" ref="UE17">INDEX('Port Linkages'!$AM$18:$AM$157,MATCH(2,1/(('Port Linkages'!$C$18:$C$157=$AQ17)*('Port Linkages'!$D$18:$D$157=IF($AO17="no",$AQ17,$AS17))*('Port Linkages'!$A$18:$A$157&lt;=$C17))))</f>
        <v>0</v>
      </c>
      <c r="UF17" s="75">
        <f t="array" ref="UF17">INDEX('Port Linkages'!$AN$18:$AN$157,MATCH(2,1/(('Port Linkages'!$C$18:$C$157=$AQ17)*('Port Linkages'!$D$18:$D$157=IF($AO17="no",$AQ17,$AS17))*('Port Linkages'!$A$18:$A$157&lt;=$C17))))</f>
        <v>0</v>
      </c>
      <c r="UG17" s="75">
        <f t="array" ref="UG17">INDEX('Port Linkages'!$AO$18:$AO$157,MATCH(2,1/(('Port Linkages'!$C$18:$C$157=$AQ17)*('Port Linkages'!$D$18:$D$157=IF($AO17="no",$AQ17,$AS17))*('Port Linkages'!$A$18:$A$157&lt;=$C17))))</f>
        <v>0</v>
      </c>
      <c r="UH17" s="75">
        <f t="array" ref="UH17">INDEX('Port Linkages'!$AP$18:$AP$157,MATCH(2,1/(('Port Linkages'!$C$18:$C$157=$AQ17)*('Port Linkages'!$D$18:$D$157=IF($AO17="no",$AQ17,$AS17))*('Port Linkages'!$A$18:$A$157&lt;=$C17))))</f>
        <v>0</v>
      </c>
      <c r="UI17" s="75">
        <f t="array" ref="UI17">INDEX('Port Linkages'!$AQ$18:$AQ$157,MATCH(2,1/(('Port Linkages'!$C$18:$C$157=$AQ17)*('Port Linkages'!$D$18:$D$157=IF($AO17="no",$AQ17,$AS17))*('Port Linkages'!$A$18:$A$157&lt;=$C17))))</f>
        <v>0</v>
      </c>
      <c r="UJ17" s="75">
        <f t="array" ref="UJ17">INDEX('Port Linkages'!$AR$18:$AR$157,MATCH(2,1/(('Port Linkages'!$C$18:$C$157=$AQ17)*('Port Linkages'!$D$18:$D$157=IF($AO17="no",$AQ17,$AS17))*('Port Linkages'!$A$18:$A$157&lt;=$C17))))</f>
        <v>0</v>
      </c>
      <c r="UK17" s="75">
        <f t="array" ref="UK17">INDEX('Port Linkages'!$AS$18:$AS$157,MATCH(2,1/(('Port Linkages'!$C$18:$C$157=$AQ17)*('Port Linkages'!$D$18:$D$157=IF($AO17="no",$AQ17,$AS17))*('Port Linkages'!$A$18:$A$157&lt;=$C17))))</f>
        <v>0</v>
      </c>
      <c r="UL17" s="75">
        <f t="array" ref="UL17">INDEX('Port Linkages'!$AT$18:$AT$157,MATCH(2,1/(('Port Linkages'!$C$18:$C$157=$AQ17)*('Port Linkages'!$D$18:$D$157=IF($AO17="no",$AQ17,$AS17))*('Port Linkages'!$A$18:$A$157&lt;=$C17))))</f>
        <v>0</v>
      </c>
      <c r="UM17" s="75">
        <f t="array" ref="UM17">INDEX('Port Linkages'!$AU$18:$AU$157,MATCH(2,1/(('Port Linkages'!$C$18:$C$157=$AQ17)*('Port Linkages'!$D$18:$D$157=IF($AO17="no",$AQ17,$AS17))*('Port Linkages'!$A$18:$A$157&lt;=$C17))))</f>
        <v>0</v>
      </c>
      <c r="UN17" s="75">
        <f t="array" ref="UN17">INDEX('Port Linkages'!$AV$18:$AV$157,MATCH(2,1/(('Port Linkages'!$C$18:$C$157=$AQ17)*('Port Linkages'!$D$18:$D$157=IF($AO17="no",$AQ17,$AS17))*('Port Linkages'!$A$18:$A$157&lt;=$C17))))</f>
        <v>0</v>
      </c>
      <c r="UO17" s="75">
        <f t="array" ref="UO17">INDEX('Port Linkages'!$AW$18:$AW$157,MATCH(2,1/(('Port Linkages'!$C$18:$C$157=$AQ17)*('Port Linkages'!$D$18:$D$157=IF($AO17="no",$AQ17,$AS17))*('Port Linkages'!$A$18:$A$157&lt;=$C17))))</f>
        <v>0</v>
      </c>
      <c r="UP17" s="75">
        <f t="array" ref="UP17">INDEX('Port Linkages'!$AX$18:$AX$157,MATCH(2,1/(('Port Linkages'!$C$18:$C$157=$AQ17)*('Port Linkages'!$D$18:$D$157=IF($AO17="no",$AQ17,$AS17))*('Port Linkages'!$A$18:$A$157&lt;=$C17))))</f>
        <v>0</v>
      </c>
      <c r="UQ17" s="75">
        <f t="array" ref="UQ17">INDEX('Port Linkages'!$AY$18:$AY$157,MATCH(2,1/(('Port Linkages'!$C$18:$C$157=$AQ17)*('Port Linkages'!$D$18:$D$157=IF($AO17="no",$AQ17,$AS17))*('Port Linkages'!$A$18:$A$157&lt;=$C17))))</f>
        <v>0</v>
      </c>
      <c r="UR17" s="75">
        <f t="array" ref="UR17">INDEX('Port Linkages'!$AZ$18:$AZ$157,MATCH(2,1/(('Port Linkages'!$C$18:$C$157=$AQ17)*('Port Linkages'!$D$18:$D$157=IF($AO17="no",$AQ17,$AS17))*('Port Linkages'!$A$18:$A$157&lt;=$C17))))</f>
        <v>0</v>
      </c>
      <c r="US17" s="75">
        <f t="array" ref="US17">INDEX('Port Linkages'!$BA$18:$BA$157,MATCH(2,1/(('Port Linkages'!$C$18:$C$157=$AQ17)*('Port Linkages'!$D$18:$D$157=IF($AO17="no",$AQ17,$AS17))*('Port Linkages'!$A$18:$A$157&lt;=$C17))))</f>
        <v>0</v>
      </c>
      <c r="UU17" s="25" t="e">
        <f t="array" aca="1" ref="UU17" ca="1">INDEX('Ship Fuel Prices'!$F$5:$F$1004,MATCH(2,1/(('Ship Fuel Prices'!$E$5:$E$1004=_xlfn.IFS(SJ17="Handysize",Main!UP17,SJ17="Supramax",UI17,SJ17="Panamax",UB17,SJ17="NeoPanamax",TU17,SJ17="Suezmax",TN17,SJ17="Capesize",TG17,SJ17="VLOC",SZ17))*('Ship Fuel Prices'!$D$5:$D$1004&lt;=Main!$C17))))</f>
        <v>#N/A</v>
      </c>
      <c r="UV17" s="25" t="e">
        <f t="array" aca="1" ref="UV17" ca="1">INDEX('Ship Fuel Prices'!$G$5:$G$1004,MATCH(2,1/(('Ship Fuel Prices'!$E$5:$E$1004=_xlfn.IFS(SJ17="Handysize",Main!UP17,SJ17="Supramax",UI17,SJ17="Panamax",UB17,SJ17="NeoPanamax",TU17,SJ17="Suezmax",TN17,SJ17="Capesize",TG17,SJ17="VLOC",SZ17))*('Ship Fuel Prices'!$D$5:$D$1004&lt;=Main!$C17))))</f>
        <v>#N/A</v>
      </c>
      <c r="UW17" s="25" t="e">
        <f t="array" aca="1" ref="UW17" ca="1">INDEX('Ship Fuel Prices'!$H$5:$H$1004,MATCH(2,1/(('Ship Fuel Prices'!$E$5:$E$1004=_xlfn.IFS(SJ17="Handysize",Main!UP17,SJ17="Supramax",UI17,SJ17="Panamax",UB17,SJ17="NeoPanamax",TU17,SJ17="Suezmax",TN17,SJ17="Capesize",TG17,SJ17="VLOC",SZ17))*('Ship Fuel Prices'!$D$5:$D$1004&lt;=Main!$C17))))</f>
        <v>#N/A</v>
      </c>
      <c r="UX17" s="25" t="e">
        <f t="array" aca="1" ref="UX17" ca="1">INDEX('Ship Fuel Prices'!$I$5:$I$1004,MATCH(2,1/(('Ship Fuel Prices'!$E$5:$E$1004=_xlfn.IFS(SJ17="Handysize",Main!UP17,SJ17="Supramax",UI17,SJ17="Panamax",UB17,SJ17="NeoPanamax",TU17,SJ17="Suezmax",TN17,SJ17="Capesize",TG17,SJ17="VLOC",SZ17))*('Ship Fuel Prices'!$D$5:$D$1004&lt;=Main!$C17))))</f>
        <v>#N/A</v>
      </c>
      <c r="UY17" s="25" t="e">
        <f t="array" aca="1" ref="UY17" ca="1">INDEX('Ship Fuel Prices'!$J$5:$J$1004,MATCH(2,1/(('Ship Fuel Prices'!$E$5:$E$1004=_xlfn.IFS(SJ17="Handysize",Main!UP17,SJ17="Supramax",UI17,SJ17="Panamax",UB17,SJ17="NeoPanamax",TU17,SJ17="Suezmax",TN17,SJ17="Capesize",TG17,SJ17="VLOC",SZ17))*('Ship Fuel Prices'!$D$5:$D$1004&lt;=Main!$C17))))</f>
        <v>#N/A</v>
      </c>
      <c r="VA17" s="75">
        <f t="array" ref="VA17">INDEX('China n Importing Ports'!$E$20:$E$41,MATCH(2,1/(('China n Importing Ports'!$D$20:$D$41&lt;=$C17)*('China n Importing Ports'!$C$20:$C$41=IF($AO17="No",$AQ17,$AS17)))))</f>
        <v>0</v>
      </c>
      <c r="VB17" s="75">
        <f t="array" ref="VB17">INDEX('China n Importing Ports'!$F$20:$F$41,MATCH(2,1/(('China n Importing Ports'!$D$20:$D$41&lt;=$C17)*('China n Importing Ports'!$C$20:$C$41=IF($AO17="No",$AQ17,$AS17)))))</f>
        <v>0</v>
      </c>
      <c r="VC17" s="75">
        <f t="array" ref="VC17">INDEX('China n Importing Ports'!$G$20:$G$41,MATCH(2,1/(('China n Importing Ports'!$D$20:$D$41&lt;=$C17)*('China n Importing Ports'!$C$20:$C$41=IF($AO17="No",$AQ17,$AS17)))))</f>
        <v>0</v>
      </c>
      <c r="VD17" s="75">
        <f t="array" ref="VD17">INDEX('China n Importing Ports'!$H$20:$H$41,MATCH(2,1/(('China n Importing Ports'!$D$20:$D$41&lt;=$C17)*('China n Importing Ports'!$C$20:$C$41=IF($AO17="No",$AQ17,$AS17)))))</f>
        <v>0</v>
      </c>
      <c r="VE17" s="75">
        <f t="array" ref="VE17">INDEX('China n Importing Ports'!$I$20:$I$41,MATCH(2,1/(('China n Importing Ports'!$D$20:$D$41&lt;=$C17)*('China n Importing Ports'!$C$20:$C$41=IF($AO17="No",$AQ17,$AS17)))))</f>
        <v>0</v>
      </c>
      <c r="VF17" s="75">
        <f t="array" ref="VF17">INDEX('China n Importing Ports'!$J$20:$J$41,MATCH(2,1/(('China n Importing Ports'!$D$20:$D$41&lt;=$C17)*('China n Importing Ports'!$C$20:$C$41=IF($AO17="No",$AQ17,$AS17)))))</f>
        <v>0</v>
      </c>
      <c r="VG17" s="75">
        <f t="array" ref="VG17">INDEX('China n Importing Ports'!$K$20:$K$41,MATCH(2,1/(('China n Importing Ports'!$D$20:$D$41&lt;=$C17)*('China n Importing Ports'!$C$20:$C$41=IF($AO17="No",$AQ17,$AS17)))))</f>
        <v>0</v>
      </c>
      <c r="VH17" s="75">
        <f t="array" ref="VH17">INDEX('China n Importing Ports'!$L$20:$L$41,MATCH(2,1/(('China n Importing Ports'!$D$20:$D$41&lt;=$C17)*('China n Importing Ports'!$C$20:$C$41=IF($AO17="No",$AQ17,$AS17)))))</f>
        <v>0</v>
      </c>
      <c r="VI17" s="75">
        <f t="array" ref="VI17">INDEX('China n Importing Ports'!$M$20:$M$41,MATCH(2,1/(('China n Importing Ports'!$D$20:$D$41&lt;=$C17)*('China n Importing Ports'!$C$20:$C$41=IF($AO17="No",$AQ17,$AS17)))))</f>
        <v>0</v>
      </c>
      <c r="VJ17" s="75">
        <f t="array" ref="VJ17">INDEX('China n Importing Ports'!$N$20:$N$41,MATCH(2,1/(('China n Importing Ports'!$D$20:$D$41&lt;=$C17)*('China n Importing Ports'!$C$20:$C$41=IF($AO17="No",$AQ17,$AS17)))))</f>
        <v>0</v>
      </c>
      <c r="VK17" s="75">
        <f t="array" ref="VK17">INDEX('China n Importing Ports'!$O$20:$O$41,MATCH(2,1/(('China n Importing Ports'!$D$20:$D$41&lt;=$C17)*('China n Importing Ports'!$C$20:$C$41=IF($AO17="No",$AQ17,$AS17)))))</f>
        <v>0</v>
      </c>
      <c r="VL17" s="136">
        <f t="array" ref="VL17">INDEX('China n Importing Ports'!$P$20:$P$41,MATCH(2,1/(('China n Importing Ports'!$D$20:$D$41&lt;=$C17)*('China n Importing Ports'!$C$20:$C$41=IF($AO17="No",$AQ17,$AS17)))))</f>
        <v>0</v>
      </c>
      <c r="VM17" s="136">
        <f t="array" ref="VM17">INDEX('China n Importing Ports'!$Q$20:$Q$41,MATCH(2,1/(('China n Importing Ports'!$D$20:$D$41&lt;=$C17)*('China n Importing Ports'!$C$20:$C$41=IF($AO17="No",$AQ17,$AS17)))))</f>
        <v>0</v>
      </c>
      <c r="VN17" s="136">
        <f t="array" ref="VN17">INDEX('China n Importing Ports'!$R$20:$R$41,MATCH(2,1/(('China n Importing Ports'!$D$20:$D$41&lt;=$C17)*('China n Importing Ports'!$C$20:$C$41=IF($AO17="No",$AQ17,$AS17)))))</f>
        <v>0</v>
      </c>
      <c r="VO17" s="136">
        <f t="array" ref="VO17">INDEX('China n Importing Ports'!$S$20:$S$41,MATCH(2,1/(('China n Importing Ports'!$D$20:$D$41&lt;=$C17)*('China n Importing Ports'!$C$20:$C$41=IF($AO17="No",$AQ17,$AS17)))))</f>
        <v>0</v>
      </c>
      <c r="VP17" s="136">
        <f t="array" ref="VP17">INDEX('China n Importing Ports'!$T$20:$T$41,MATCH(2,1/(('China n Importing Ports'!$D$20:$D$41&lt;=$C17)*('China n Importing Ports'!$C$20:$C$41=IF($AO17="No",$AQ17,$AS17)))))</f>
        <v>0</v>
      </c>
      <c r="VQ17" s="136">
        <f t="array" ref="VQ17">INDEX('China n Importing Ports'!$U$20:$U$41,MATCH(2,1/(('China n Importing Ports'!$D$20:$D$41&lt;=$C17)*('China n Importing Ports'!$C$20:$C$41=IF($AO17="No",$AQ17,$AS17)))))</f>
        <v>0</v>
      </c>
      <c r="VR17" s="136">
        <f t="array" ref="VR17">INDEX('China n Importing Ports'!$V$20:$V$41,MATCH(2,1/(('China n Importing Ports'!$D$20:$D$41&lt;=$C17)*('China n Importing Ports'!$C$20:$C$41=IF($AO17="No",$AQ17,$AS17)))))</f>
        <v>0</v>
      </c>
      <c r="VS17" s="136">
        <f t="array" ref="VS17">INDEX('China n Importing Ports'!$W$20:$W$41,MATCH(2,1/(('China n Importing Ports'!$D$20:$D$41&lt;=$C17)*('China n Importing Ports'!$C$20:$C$41=IF($AO17="No",$AQ17,$AS17)))))</f>
        <v>0</v>
      </c>
      <c r="VT17" s="136">
        <f t="array" ref="VT17">INDEX('China n Importing Ports'!$X$20:$X$41,MATCH(2,1/(('China n Importing Ports'!$D$20:$D$41&lt;=$C17)*('China n Importing Ports'!$C$20:$C$41=IF($AO17="No",$AQ17,$AS17)))))</f>
        <v>0</v>
      </c>
      <c r="VU17" s="136">
        <f t="array" ref="VU17">INDEX('China n Importing Ports'!$Y$20:$Y$41,MATCH(2,1/(('China n Importing Ports'!$D$20:$D$41&lt;=$C17)*('China n Importing Ports'!$C$20:$C$41=IF($AO17="No",$AQ17,$AS17)))))</f>
        <v>0</v>
      </c>
      <c r="VV17" s="136">
        <f t="array" ref="VV17">INDEX('China n Importing Ports'!$Z$20:$Z$41,MATCH(2,1/(('China n Importing Ports'!$D$20:$D$41&lt;=$C17)*('China n Importing Ports'!$C$20:$C$41=IF($AO17="No",$AQ17,$AS17)))))</f>
        <v>0</v>
      </c>
      <c r="VW17" s="136">
        <f t="array" ref="VW17">INDEX('China n Importing Ports'!$AA$20:$AA$41,MATCH(2,1/(('China n Importing Ports'!$D$20:$D$41&lt;=$C17)*('China n Importing Ports'!$C$20:$C$41=IF($AO17="No",$AQ17,$AS17)))))</f>
        <v>0</v>
      </c>
      <c r="VY17" s="75" t="e">
        <f t="array" aca="1" ref="VY17" ca="1">INDEX(Canals!$G$24:$G$29,MATCH(2,1/((Canals!$F$24:$F$29&lt;=$C17)*(Canals!$G$24:$G$29=_xlfn.IFS(SJ17="Handysize",US17,SJ17="Supramax",UL17,SJ17="Panamax",UE17,SJ17="NeoPanamax",TX17,SJ17="Suezmax",TQ17,SJ17="Capesize",TJ17,SJ17="VLOC",TC17)))))</f>
        <v>#N/A</v>
      </c>
      <c r="VZ17" s="75" t="e">
        <f t="array" aca="1" ref="VZ17" ca="1">INDEX(Canals!$H$24:$H$29,MATCH(2,1/((Canals!$F$24:$F$29&lt;=$C17)*(Canals!$G$24:$G$29=_xlfn.IFS(SJ17="Handysize",US17,SJ17="Supramax",UL17,SJ17="Panamax",UE17,SJ17="NeoPanamax",TX17,SJ17="Suezmax",TQ17,SJ17="Capesize",TJ17,SJ17="VLOC",TC17)))))</f>
        <v>#N/A</v>
      </c>
      <c r="WA17" s="75" t="e">
        <f t="array" aca="1" ref="WA17" ca="1">INDEX(Canals!$I$24:$I$29,MATCH(2,1/((Canals!$F$24:$F$29&lt;=$C17)*(Canals!$G$24:$G$29=_xlfn.IFS(SJ17="Handysize",US17,SJ17="Supramax",UL17,SJ17="Panamax",UE17,SJ17="NeoPanamax",TX17,SJ17="Suezmax",TQ17,SJ17="Capesize",TJ17,SJ17="VLOC",TC17)))))</f>
        <v>#N/A</v>
      </c>
      <c r="WB17" s="75" t="e">
        <f t="array" aca="1" ref="WB17" ca="1">INDEX(Canals!$J$24:$J$29,MATCH(2,1/((Canals!$F$24:$F$29&lt;=$C17)*(Canals!$G$24:$G$29=_xlfn.IFS(SJ17="Handysize",Main!US17,SJ17="Supramax",UL17,SJ17="Panamax",UE17,SJ17="NeoPanamax",TX17,SJ17="Suezmax",TQ17,SJ17="Capesize",TJ17,SJ17="VLOC",TC17)))))</f>
        <v>#N/A</v>
      </c>
      <c r="WC17" s="75" t="e">
        <f t="array" aca="1" ref="WC17" ca="1">INDEX(Canals!$K$24:$K$29,MATCH(2,1/((Canals!$F$24:$F$29&lt;=$C17)*(Canals!$G$24:$G$29=_xlfn.IFS(SJ17="Handysize",Main!US17,SJ17="Supramax",UL17,SJ17="Panamax",UE17,SJ17="NeoPanamax",TX17,SJ17="Suezmax",TQ17,SJ17="Capesize",TJ17,SJ17="VLOC",TC17)))))</f>
        <v>#N/A</v>
      </c>
      <c r="WD17" s="75" t="e">
        <f t="array" aca="1" ref="WD17" ca="1">INDEX(Canals!$L$24:$L$29,MATCH(2,1/((Canals!$F$24:$F$29&lt;=$C17)*(Canals!$G$24:$G$29=_xlfn.IFS(SJ17="Handysize",Main!US17,SJ17="Supramax",UL17,SJ17="Panamax",UE17,SJ17="NeoPanamax",TX17,SJ17="Suezmax",TQ17,SJ17="Capesize",TJ17,SJ17="VLOC",TC17)))))</f>
        <v>#N/A</v>
      </c>
      <c r="WE17" s="75" t="e">
        <f t="array" aca="1" ref="WE17" ca="1">INDEX(Canals!$M$24:$M$29,MATCH(2,1/((Canals!$F$24:$F$29&lt;=$C17)*(Canals!$G$24:$G$29=_xlfn.IFS(SJ17="Handysize",Main!US17,SJ17="Supramax",UL17,SJ17="Panamax",UE17,SJ17="NeoPanamax",TX17,SJ17="Suezmax",TQ17,SJ17="Capesize",TJ17,SJ17="VLOC",TC17)))))</f>
        <v>#N/A</v>
      </c>
      <c r="WF17" s="75" t="e">
        <f t="array" aca="1" ref="WF17" ca="1">INDEX(Canals!$N$24:$N$29,MATCH(2,1/((Canals!$F$24:$F$29&lt;=$C17)*(Canals!$G$24:$G$29=_xlfn.IFS(SJ17="Handysize",Main!US17,SJ17="Supramax",UL17,SJ17="Panamax",UE17,SJ17="NeoPanamax",TX17,SJ17="Suezmax",TQ17,SJ17="Capesize",TJ17,SJ17="VLOC",TC17)))))</f>
        <v>#N/A</v>
      </c>
      <c r="WG17" s="75" t="e">
        <f t="array" aca="1" ref="WG17" ca="1">INDEX(Canals!$O$24:$O$29,MATCH(2,1/((Canals!$F$24:$F$29&lt;=$C17)*(Canals!$G$24:$G$29=_xlfn.IFS(SJ17="Handysize",Main!US17,SJ17="Supramax",UL17,SJ17="Panamax",UE17,SJ17="NeoPanamax",TX17,SJ17="Suezmax",TQ17,SJ17="Capesize",TJ17,SJ17="VLOC",TC17)))))</f>
        <v>#N/A</v>
      </c>
      <c r="WH17" s="75" t="e">
        <f t="array" aca="1" ref="WH17" ca="1">INDEX(Canals!$P$24:$P$29,MATCH(2,1/((Canals!$F$24:$F$29&lt;=$C17)*(Canals!$G$24:$G$29=_xlfn.IFS(SJ17="Handysize",Main!US17,SJ17="Supramax",UL17,SJ17="Panamax",UE17,SJ17="NeoPanamax",TX17,SJ17="Suezmax",TQ17,SJ17="Capesize",TJ17,SJ17="VLOC",TC17)))))</f>
        <v>#N/A</v>
      </c>
      <c r="WI17" s="75" t="e">
        <f t="array" aca="1" ref="WI17" ca="1">INDEX(Canals!$Q$24:$Q$29,MATCH(2,1/((Canals!$F$24:$F$29&lt;=$C17)*(Canals!$G$24:$G$29=_xlfn.IFS(SJ17="Handysize",Main!US17,SJ17="Supramax",UL17,SJ17="Panamax",UE17,SJ17="NeoPanamax",TX17,SJ17="Suezmax",TQ17,SJ17="Capesize",TJ17,SJ17="VLOC",TC17)))))</f>
        <v>#N/A</v>
      </c>
      <c r="WJ17" s="75" t="e">
        <f t="array" aca="1" ref="WJ17" ca="1">INDEX(Canals!$R$24:$R$29,MATCH(2,1/((Canals!$F$24:$F$29&lt;=$C17)*(Canals!$G$24:$G$29=_xlfn.IFS(SJ17="Handysize",Main!US17,SJ17="Supramax",UL17,SJ17="Panamax",UE17,SJ17="NeoPanamax",TX17,SJ17="Suezmax",TQ17,SJ17="Capesize",TJ17,SJ17="VLOC",TC17)))))</f>
        <v>#N/A</v>
      </c>
      <c r="WK17" s="136" t="e">
        <f t="array" aca="1" ref="WK17" ca="1">INDEX(Canals!$S$24:$S$29,MATCH(2,1/((Canals!$F$24:$F$29&lt;=$C17)*(Canals!$G$24:$G$29=_xlfn.IFS(SJ17="Handysize",Main!US17,SJ17="Supramax",UL17,SJ17="Panamax",UE17,SJ17="NeoPanamax",TX17,SJ17="Suezmax",TQ17,SJ17="Capesize",TJ17,SJ17="VLOC",TC17)))))</f>
        <v>#N/A</v>
      </c>
      <c r="WL17" s="136" t="e">
        <f t="array" aca="1" ref="WL17" ca="1">INDEX(Canals!$T$24:$T$29,MATCH(2,1/((Canals!$F$24:$F$29&lt;=$C17)*(Canals!$G$24:$G$29=_xlfn.IFS(SJ17="Handysize",Main!US17,SJ17="Supramax",UL17,SJ17="Panamax",UE17,SJ17="NeoPanamax",TX17,SJ17="Suezmax",TQ17,SJ17="Capesize",TJ17,SJ17="VLOC",TC17)))))</f>
        <v>#N/A</v>
      </c>
      <c r="WM17" s="136" t="e">
        <f t="array" aca="1" ref="WM17" ca="1">INDEX(Canals!$U$24:$U$29,MATCH(2,1/((Canals!$F$24:$F$29&lt;=$C17)*(Canals!$G$24:$G$29=_xlfn.IFS(SJ17="Handysize",Main!US17,SJ17="Supramax",UL17,SJ17="Panamax",UE17,SJ17="NeoPanamax",TX17,SJ17="Suezmax",TQ17,SJ17="Capesize",TJ17,SJ17="VLOC",TC17)))))</f>
        <v>#N/A</v>
      </c>
      <c r="WN17" s="136" t="e">
        <f t="array" aca="1" ref="WN17" ca="1">INDEX(Canals!$V$24:$V$29,MATCH(2,1/((Canals!$F$24:$F$29&lt;=$C17)*(Canals!$G$24:$G$29=_xlfn.IFS(SJ17="Handysize",Main!US17,SJ17="Supramax",UL17,SJ17="Panamax",UE17,SJ17="NeoPanamax",TX17,SJ17="Suezmax",TQ17,SJ17="Capesize",TJ17,SJ17="VLOC",TC17)))))</f>
        <v>#N/A</v>
      </c>
      <c r="WO17" s="136" t="e">
        <f t="array" aca="1" ref="WO17" ca="1">INDEX(Canals!$W$24:$W$29,MATCH(2,1/((Canals!$F$24:$F$29&lt;=$C17)*(Canals!$G$24:$G$29=_xlfn.IFS(SJ17="Handysize",Main!US17,SJ17="Supramax",UL17,SJ17="Panamax",UE17,SJ17="NeoPanamax",TX17,SJ17="Suezmax",TQ17,SJ17="Capesize",TJ17,SJ17="VLOC",TC17)))))</f>
        <v>#N/A</v>
      </c>
      <c r="WP17" s="136" t="e">
        <f t="array" aca="1" ref="WP17" ca="1">INDEX(Canals!$X$24:$X$29,MATCH(2,1/((Canals!$F$24:$F$29&lt;=$C17)*(Canals!$G$24:$G$29=_xlfn.IFS(SJ17="Handysize",Main!US17,SJ17="Supramax",UL17,SJ17="Panamax",UE17,SJ17="NeoPanamax",TX17,SJ17="Suezmax",TQ17,SJ17="Capesize",TJ17,SJ17="VLOC",TC17)))))</f>
        <v>#N/A</v>
      </c>
      <c r="WQ17" s="136" t="e">
        <f t="array" aca="1" ref="WQ17" ca="1">INDEX(Canals!$Y$24:$Y$29,MATCH(2,1/((Canals!$F$24:$F$29&lt;=$C17)*(Canals!$G$24:$G$29=_xlfn.IFS(SJ17="Handysize",Main!US17,SJ17="Supramax",UL17,SJ17="Panamax",UE17,SJ17="NeoPanamax",TX17,SJ17="Suezmax",TQ17,SJ17="Capesize",TJ17,SJ17="VLOC",TC17)))))</f>
        <v>#N/A</v>
      </c>
      <c r="WR17" s="136" t="e">
        <f t="array" aca="1" ref="WR17" ca="1">INDEX(Canals!$Z$24:$Z$29,MATCH(2,1/((Canals!$F$24:$F$29&lt;=$C17)*(Canals!$G$24:$G$29=_xlfn.IFS(SJ17="Handysize",Main!US17,SJ17="Supramax",UL17,SJ17="Panamax",UE17,SJ17="NeoPanamax",TX17,SJ17="Suezmax",TQ17,SJ17="Capesize",TJ17,SJ17="VLOC",TC17)))))</f>
        <v>#N/A</v>
      </c>
      <c r="WS17" s="136" t="e">
        <f t="array" aca="1" ref="WS17" ca="1">INDEX(Canals!$AA$24:$AA$29,MATCH(2,1/((Canals!$F$24:$F$29&lt;=$C17)*(Canals!$G$24:$G$29=_xlfn.IFS(SJ17="Handysize",Main!US17,SJ17="Supramax",UL17,SJ17="Panamax",UE17,SJ17="NeoPanamax",TX17,SJ17="Suezmax",TQ17,SJ17="Capesize",TJ17,SJ17="VLOC",TC17)))))</f>
        <v>#N/A</v>
      </c>
      <c r="WT17" s="136" t="e">
        <f t="array" aca="1" ref="WT17" ca="1">INDEX(Canals!$AB$24:$AB$29,MATCH(2,1/((Canals!$F$24:$F$29&lt;=$C17)*(Canals!$G$24:$G$29=_xlfn.IFS(SJ17="Handysize",Main!US17,SJ17="Supramax",UL17,SJ17="Panamax",UE17,SJ17="NeoPanamax",TX17,SJ17="Suezmax",TQ17,SJ17="Capesize",TJ17,SJ17="VLOC",TC17)))))</f>
        <v>#N/A</v>
      </c>
      <c r="WU17" s="75" t="e">
        <f t="array" aca="1" ref="WU17" ca="1">INDEX(Canals!$AC$24:$AC$29,MATCH(2,1/((Canals!$F$24:$F$29&lt;=$C17)*(Canals!$G$24:$G$29=_xlfn.IFS(SJ17="Handysize",Main!US17,SJ17="Supramax",UL17,SJ17="Panamax",UE17,SJ17="NeoPanamax",TX17,SJ17="Suezmax",TQ17,SJ17="Capesize",TJ17,SJ17="VLOC",TC17)))))</f>
        <v>#N/A</v>
      </c>
      <c r="WV17" s="75" t="e">
        <f t="array" aca="1" ref="WV17" ca="1">INDEX(Canals!$AD$24:$AD$29,MATCH(2,1/((Canals!$F$24:$F$29&lt;=$C17)*(Canals!$G$24:$G$29=_xlfn.IFS(SJ17="Handysize",Main!US17,SJ17="Supramax",UL17,SJ17="Panamax",UE17,SJ17="NeoPanamax",TX17,SJ17="Suezmax",TQ17,SJ17="Capesize",TJ17,SJ17="VLOC",TC17)))))</f>
        <v>#N/A</v>
      </c>
      <c r="WW17" s="75" t="e">
        <f t="array" aca="1" ref="WW17" ca="1">INDEX(Canals!$AE$24:$AE$29,MATCH(2,1/((Canals!$F$24:$F$29&lt;=$C17)*(Canals!$G$24:$G$29=_xlfn.IFS(SJ17="Handysize",Main!US17,SJ17="Supramax",UL17,SJ17="Panamax",UE17,SJ17="NeoPanamax",TX17,SJ17="Suezmax",TQ17,SJ17="Capesize",TJ17,SJ17="VLOC",TC17)))))</f>
        <v>#N/A</v>
      </c>
      <c r="WX17" s="75" t="e">
        <f t="array" aca="1" ref="WX17" ca="1">INDEX(Canals!$AF$24:$AF$29,MATCH(2,1/((Canals!$F$24:$F$29&lt;=$C17)*(Canals!$G$24:$G$29=_xlfn.IFS(SJ17="Handysize",Main!US17,SJ17="Supramax",UL17,SJ17="Panamax",UE17,SJ17="NeoPanamax",TX17,SJ17="Suezmax",TQ17,SJ17="Capesize",TJ17,SJ17="VLOC",TC17)))))</f>
        <v>#N/A</v>
      </c>
      <c r="WY17" s="75" t="e">
        <f t="array" aca="1" ref="WY17" ca="1">INDEX(Canals!$AG$24:$AG$29,MATCH(2,1/((Canals!$F$24:$F$29&lt;=$C17)*(Canals!$G$24:$G$29=_xlfn.IFS(SJ17="Handysize",Main!US17,SJ17="Supramax",UL17,SJ17="Panamax",UE17,SJ17="NeoPanamax",TX17,SJ17="Suezmax",TQ17,SJ17="Capesize",TJ17,SJ17="VLOC",TC17)))))</f>
        <v>#N/A</v>
      </c>
      <c r="WZ17" s="75" t="e">
        <f t="array" aca="1" ref="WZ17" ca="1">INDEX(Canals!$AH$24:$AH$29,MATCH(2,1/((Canals!$F$24:$F$29&lt;=$C17)*(Canals!$G$24:$G$29=_xlfn.IFS(SJ17="Handysize",Main!US17,SJ17="Supramax",UL17,SJ17="Panamax",UE17,SJ17="NeoPanamax",TX17,SJ17="Suezmax",TQ17,SJ17="Capesize",TJ17,SJ17="VLOC",TC17)))))</f>
        <v>#N/A</v>
      </c>
      <c r="XA17" s="75" t="e">
        <f t="array" aca="1" ref="XA17" ca="1">INDEX(Canals!$AI$24:$AI$29,MATCH(2,1/((Canals!$F$24:$F$29&lt;=$C17)*(Canals!$G$24:$G$29=_xlfn.IFS(SJ17="Handysize",Main!US17,SJ17="Supramax",UL17,SJ17="Panamax",UE17,SJ17="NeoPanamax",TX17,SJ17="Suezmax",TQ17,SJ17="Capesize",TJ17,SJ17="VLOC",TC17)))))</f>
        <v>#N/A</v>
      </c>
      <c r="XB17" s="75" t="e">
        <f t="array" aca="1" ref="XB17" ca="1">INDEX(Canals!$AJ$24:$AJ$29,MATCH(2,1/((Canals!$F$24:$F$29&lt;=$C17)*(Canals!$G$24:$G$29=_xlfn.IFS(SJ17="Handysize",Main!US17,SJ17="Supramax",UL17,SJ17="Panamax",UE17,SJ17="NeoPanamax",TX17,SJ17="Suezmax",TQ17,SJ17="Capesize",TJ17,SJ17="VLOC",TC17)))))</f>
        <v>#N/A</v>
      </c>
      <c r="XC17" s="75" t="e">
        <f t="array" aca="1" ref="XC17" ca="1">INDEX(Canals!$AK$24:$AK$29,MATCH(2,1/((Canals!$F$24:$F$29&lt;=$C17)*(Canals!$G$24:$G$29=_xlfn.IFS(SJ17="Handysize",Main!US17,SJ17="Supramax",UL17,SJ17="Panamax",UE17,SJ17="NeoPanamax",TX17,SJ17="Suezmax",TQ17,SJ17="Capesize",TJ17,SJ17="VLOC",TC17)))))</f>
        <v>#N/A</v>
      </c>
      <c r="XD17" s="136" t="e">
        <f t="array" aca="1" ref="XD17" ca="1">INDEX(Canals!$AL$24:$AL$29,MATCH(2,1/((Canals!$F$24:$F$29&lt;=$C17)*(Canals!$G$24:$G$29=_xlfn.IFS(SJ17="Handysize",Main!US17,SJ17="Supramax",UL17,SJ17="Panamax",UE17,SJ17="NeoPanamax",TX17,SJ17="Suezmax",TQ17,SJ17="Capesize",TJ17,SJ17="VLOC",TC17)))))</f>
        <v>#N/A</v>
      </c>
      <c r="XE17" s="136" t="e">
        <f t="array" aca="1" ref="XE17" ca="1">INDEX(Canals!$AM$24:$AM$29,MATCH(2,1/((Canals!$F$24:$F$29&lt;=$C17)*(Canals!$G$24:$G$29=_xlfn.IFS(SJ17="Handysize",Main!US17,SJ17="Supramax",UL17,SJ17="Panamax",UE17,SJ17="NeoPanamax",TX17,SJ17="Suezmax",TQ17,SJ17="Capesize",TJ17,SJ17="VLOC",TC17)))))</f>
        <v>#N/A</v>
      </c>
      <c r="XF17" s="136" t="e">
        <f t="array" aca="1" ref="XF17" ca="1">INDEX(Canals!$AN$24:$AN$29,MATCH(2,1/((Canals!$F$24:$F$29&lt;=$C17)*(Canals!$G$24:$G$29=_xlfn.IFS(SJ17="Handysize",Main!US17,SJ17="Supramax",UL17,SJ17="Panamax",UE17,SJ17="NeoPanamax",TX17,SJ17="Suezmax",TQ17,SJ17="Capesize",TJ17,SJ17="VLOC",TC17)))))</f>
        <v>#N/A</v>
      </c>
      <c r="XG17" s="136" t="e">
        <f t="array" aca="1" ref="XG17" ca="1">INDEX(Canals!$AO$24:$AO$29,MATCH(2,1/((Canals!$F$24:$F$29&lt;=$C17)*(Canals!$G$24:$G$29=_xlfn.IFS(SJ17="Handysize",Main!US17,SJ17="Supramax",UL17,SJ17="Panamax",UE17,SJ17="NeoPanamax",TX17,SJ17="Suezmax",TQ17,SJ17="Capesize",TJ17,SJ17="VLOC",TC17)))))</f>
        <v>#N/A</v>
      </c>
      <c r="XH17" s="136" t="e">
        <f t="array" aca="1" ref="XH17" ca="1">INDEX(Canals!$AP$24:$AP$29,MATCH(2,1/((Canals!$F$24:$F$29&lt;=$C17)*(Canals!$G$24:$G$29=_xlfn.IFS(SJ17="Handysize",Main!US17,SJ17="Supramax",UL17,SJ17="Panamax",UE17,SJ17="NeoPanamax",TX17,SJ17="Suezmax",TQ17,SJ17="Capesize",TJ17,SJ17="VLOC",TC17)))))</f>
        <v>#N/A</v>
      </c>
      <c r="XI17" s="136" t="e">
        <f t="array" aca="1" ref="XI17" ca="1">INDEX(Canals!$AQ$24:$AQ$29,MATCH(2,1/((Canals!$F$24:$F$29&lt;=$C17)*(Canals!$G$24:$G$29=_xlfn.IFS(SJ17="Handysize",Main!US17,SJ17="Supramax",UL17,SJ17="Panamax",UE17,SJ17="NeoPanamax",TX17,SJ17="Suezmax",TQ17,SJ17="Capesize",TJ17,SJ17="VLOC",TC17)))))</f>
        <v>#N/A</v>
      </c>
      <c r="XJ17" s="136" t="e">
        <f t="array" aca="1" ref="XJ17" ca="1">INDEX(Canals!$AR$24:$AR$29,MATCH(2,1/((Canals!$F$24:$F$29&lt;=$C17)*(Canals!$G$24:$G$29=_xlfn.IFS(SJ17="Handysize",Main!US17,SJ17="Supramax",UL17,SJ17="Panamax",UE17,SJ17="NeoPanamax",TX17,SJ17="Suezmax",TQ17,SJ17="Capesize",TJ17,SJ17="VLOC",TC17)))))</f>
        <v>#N/A</v>
      </c>
      <c r="XK17" s="136" t="e">
        <f t="array" aca="1" ref="XK17" ca="1">INDEX(Canals!$AS$24:$AS$29,MATCH(2,1/((Canals!$F$24:$F$29&lt;=$C17)*(Canals!$G$24:$G$29=_xlfn.IFS(SJ17="Handysize",Main!US17,SJ17="Supramax",UL17,SJ17="Panamax",UE17,SJ17="NeoPanamax",TX17,SJ17="Suezmax",TQ17,SJ17="Capesize",TJ17,SJ17="VLOC",TC17)))))</f>
        <v>#N/A</v>
      </c>
      <c r="XL17" s="136" t="e">
        <f t="array" aca="1" ref="XL17" ca="1">INDEX(Canals!$AT$24:$AT$29,MATCH(2,1/((Canals!$F$24:$F$29&lt;=$C17)*(Canals!$G$24:$G$29=_xlfn.IFS(SJ17="Handysize",Main!US17,SJ17="Supramax",UL17,SJ17="Panamax",UE17,SJ17="NeoPanamax",TX17,SJ17="Suezmax",TQ17,SJ17="Capesize",TJ17,SJ17="VLOC",TC17)))))</f>
        <v>#N/A</v>
      </c>
      <c r="XM17" s="136" t="e">
        <f t="array" aca="1" ref="XM17" ca="1">INDEX(Canals!$AU$24:$AU$29,MATCH(2,1/((Canals!$F$24:$F$29&lt;=$C17)*(Canals!$G$24:$G$29=_xlfn.IFS(SJ17="Handysize",Main!US17,SJ17="Supramax",UL17,SJ17="Panamax",UE17,SJ17="NeoPanamax",TX17,SJ17="Suezmax",TQ17,SJ17="Capesize",TJ17,SJ17="VLOC",TC17)))))</f>
        <v>#N/A</v>
      </c>
      <c r="XN17" s="136" t="e">
        <f t="array" aca="1" ref="XN17" ca="1">INDEX(Canals!$AV$24:$AV$29,MATCH(2,1/((Canals!$F$24:$F$29&lt;=$C17)*(Canals!$G$24:$G$29=_xlfn.IFS(SJ17="Handysize",Main!US17,SJ17="Supramax",UL17,SJ17="Panamax",UE17,SJ17="NeoPanamax",TX17,SJ17="Suezmax",TQ17,SJ17="Capesize",TJ17,SJ17="VLOC",TC17)))))</f>
        <v>#N/A</v>
      </c>
      <c r="XP17" s="75" t="e">
        <f t="array" aca="1" ref="XP17" ca="1">_xlfn.IFS(WA17="DWT",SH17,WA17="NRT",SL17,WA17="GRT",SM17,WA17=0,0)</f>
        <v>#NAME?</v>
      </c>
      <c r="XQ17" s="279" t="e">
        <f t="shared" ca="1" si="125"/>
        <v>#NAME?</v>
      </c>
      <c r="XR17" s="280" t="e">
        <f t="shared" ca="1" si="126"/>
        <v>#NAME?</v>
      </c>
      <c r="XS17" s="280" t="e">
        <f t="shared" ca="1" si="127"/>
        <v>#NAME?</v>
      </c>
      <c r="XT17" s="280" t="e">
        <f t="shared" ca="1" si="128"/>
        <v>#NAME?</v>
      </c>
      <c r="XU17" s="280" t="e">
        <f t="shared" ca="1" si="129"/>
        <v>#NAME?</v>
      </c>
      <c r="XV17" s="280" t="e">
        <f t="shared" ca="1" si="130"/>
        <v>#NAME?</v>
      </c>
      <c r="XW17" s="280" t="e">
        <f t="shared" ca="1" si="131"/>
        <v>#NAME?</v>
      </c>
      <c r="XX17" s="280" t="e">
        <f t="shared" ca="1" si="132"/>
        <v>#NAME?</v>
      </c>
      <c r="XY17" s="280" t="e">
        <f t="shared" ca="1" si="133"/>
        <v>#NAME?</v>
      </c>
      <c r="XZ17" s="75">
        <f t="shared" si="134"/>
        <v>0</v>
      </c>
      <c r="YA17" s="279" t="e">
        <f t="shared" ca="1" si="135"/>
        <v>#N/A</v>
      </c>
      <c r="YB17" s="280" t="e">
        <f t="shared" ca="1" si="136"/>
        <v>#N/A</v>
      </c>
      <c r="YC17" s="280" t="e">
        <f t="shared" ca="1" si="137"/>
        <v>#N/A</v>
      </c>
      <c r="YD17" s="280" t="e">
        <f t="shared" ca="1" si="138"/>
        <v>#N/A</v>
      </c>
      <c r="YE17" s="280" t="e">
        <f t="shared" ca="1" si="139"/>
        <v>#N/A</v>
      </c>
      <c r="YF17" s="280" t="e">
        <f t="shared" ca="1" si="140"/>
        <v>#N/A</v>
      </c>
      <c r="YG17" s="280" t="e">
        <f t="shared" ca="1" si="141"/>
        <v>#N/A</v>
      </c>
      <c r="YH17" s="280" t="e">
        <f t="shared" ca="1" si="142"/>
        <v>#N/A</v>
      </c>
      <c r="YI17" s="280" t="e">
        <f t="shared" ca="1" si="143"/>
        <v>#N/A</v>
      </c>
      <c r="YK17" s="75" t="e">
        <f t="array" aca="1" ref="YK17" ca="1">_xlfn.IFS(SJ17="Handysize",Main!UM17,SJ17="Supramax",UF17,SJ17="Panamax",TY17,SJ17="NeoPanamax",TR17,SJ17="Suezmax",TK17,SJ17="Capesize",TD17,SJ17="VLOC",SW17)*$JI17</f>
        <v>#NAME?</v>
      </c>
      <c r="YL17" s="274" t="e">
        <f t="array" aca="1" ref="YL17" ca="1">_xlfn.IFS(SJ17="Handysize",Main!UN17,SJ17="Supramax",UG17,SJ17="Panamax",TZ17,SJ17="NeoPanamax",TS17,SJ17="Suezmax",TL17,SJ17="Capesize",TE17,SJ17="VLOC",SX17)*$JI17</f>
        <v>#NAME?</v>
      </c>
      <c r="YM17" s="71" t="e">
        <f t="array" aca="1" ref="YM17" ca="1">_xlfn.IFS(SJ17="Handysize",Main!SO17,SJ17="Supramax",SP17,SJ17="Panamax",SQ17,SJ17="NeoPanamax",SR17,SJ17="Suezmax",SS17,SJ17="Capesize",ST17,SJ17="VLOC",SU17)</f>
        <v>#NAME?</v>
      </c>
      <c r="YN17" s="71" t="e">
        <f t="array" aca="1" ref="YN17" ca="1">_xlfn.IFS(SJ17="Handysize",Main!VA17,SJ17="Supramax",VB17,SJ17="Panamax",VC17,SJ17="NeoPanamax",VD17,SJ17="Suezmax",VE17,SJ17="Capesize",VF17,SJ17="VLOC",VG17)</f>
        <v>#NAME?</v>
      </c>
      <c r="YO17" s="70">
        <f t="array" ref="YO17">INDEX('Ship Speeds'!$G$11:$G$1011,MATCH(2,1/(('Ship Speeds'!$E$11:$E$1011&lt;=Main!$C17)*('Ship Speeds'!$F$11:$F$1011=Main!SI17))))</f>
        <v>11</v>
      </c>
      <c r="YP17" s="403">
        <f t="shared" si="144"/>
        <v>0</v>
      </c>
      <c r="YQ17" s="401">
        <f t="shared" si="145"/>
        <v>1.2</v>
      </c>
      <c r="YR17" s="70" t="e">
        <f t="shared" ca="1" si="146"/>
        <v>#NAME?</v>
      </c>
      <c r="YS17" s="70" t="e">
        <f t="shared" ca="1" si="147"/>
        <v>#NAME?</v>
      </c>
      <c r="YT17" s="70" t="e">
        <f t="shared" ca="1" si="148"/>
        <v>#NAME?</v>
      </c>
      <c r="YU17" s="70" t="e">
        <f t="shared" ca="1" si="149"/>
        <v>#NAME?</v>
      </c>
      <c r="YV17" s="72" t="e">
        <f t="shared" ca="1" si="150"/>
        <v>#N/A</v>
      </c>
      <c r="YW17" s="70" t="e">
        <f t="shared" ca="1" si="151"/>
        <v>#NAME?</v>
      </c>
      <c r="YX17" s="70" t="e">
        <f t="array" aca="1" ref="YX17" ca="1">IF(YK17=0,0,INDEX(UU17:UY17,MATCH(_xlfn.IFS(SJ17="Handysize",Main!UQ17,SJ17="Supramax",UJ17,SJ17="Panamax",UC17,SJ17="NeoPanamax",TV17,SJ17="Suezmax",TO17,SJ17="Capesize",TH17,SJ17="VLOC",TA17),$UU$7:$UY$7,0)))</f>
        <v>#NAME?</v>
      </c>
      <c r="YY17" s="70" t="e">
        <f t="array" aca="1" ref="YY17" ca="1">IF(YK17=0,0,INDEX(UU17:UY17,MATCH(_xlfn.IFS(SJ17="Handysize",Main!UR17,SJ17="Supramax",UK17,SJ17="Panamax",UD17,SJ17="NeoPanamax",TW17,SJ17="Suezmax",TP17,SJ17="Capesize",TI17,SJ17="VLOC",TB17),$UU$7:$UY$7,0)))</f>
        <v>#NAME?</v>
      </c>
      <c r="YZ17" s="71" t="e">
        <f t="shared" ca="1" si="152"/>
        <v>#NAME?</v>
      </c>
      <c r="ZA17" s="71" t="e">
        <f t="shared" ca="1" si="153"/>
        <v>#NAME?</v>
      </c>
      <c r="ZB17" s="281" t="e">
        <f t="shared" ca="1" si="154"/>
        <v>#NAME?</v>
      </c>
      <c r="ZC17" s="71" t="e">
        <f t="shared" ca="1" si="155"/>
        <v>#NAME?</v>
      </c>
      <c r="ZD17" s="71" t="e">
        <f t="shared" ca="1" si="156"/>
        <v>#NAME?</v>
      </c>
      <c r="ZE17" s="71" t="e">
        <f t="shared" ca="1" si="157"/>
        <v>#NAME?</v>
      </c>
      <c r="ZF17" s="71" t="e">
        <f t="shared" ca="1" si="158"/>
        <v>#NAME?</v>
      </c>
      <c r="ZG17" s="71" t="e">
        <f t="shared" ca="1" si="159"/>
        <v>#NAME?</v>
      </c>
      <c r="ZH17" s="71" t="e">
        <f t="shared" ca="1" si="160"/>
        <v>#NAME?</v>
      </c>
      <c r="ZI17" s="71" t="e">
        <f t="shared" ca="1" si="161"/>
        <v>#NAME?</v>
      </c>
      <c r="ZJ17" s="71" t="e">
        <f t="shared" ca="1" si="162"/>
        <v>#NAME?</v>
      </c>
      <c r="ZK17" s="71" t="e">
        <f t="shared" ca="1" si="163"/>
        <v>#NAME?</v>
      </c>
      <c r="ZL17" s="71" t="e">
        <f t="shared" ca="1" si="164"/>
        <v>#NAME?</v>
      </c>
      <c r="ZM17" s="71" t="e">
        <f t="shared" ca="1" si="165"/>
        <v>#NAME?</v>
      </c>
      <c r="ZN17" s="71" t="e">
        <f t="shared" ca="1" si="166"/>
        <v>#NAME?</v>
      </c>
      <c r="ZO17" s="72" t="e">
        <f t="shared" ca="1" si="167"/>
        <v>#NAME?</v>
      </c>
      <c r="ZP17" s="72" t="e">
        <f t="shared" ca="1" si="168"/>
        <v>#NAME?</v>
      </c>
      <c r="ZQ17" s="71" t="e">
        <f t="shared" ca="1" si="169"/>
        <v>#NAME?</v>
      </c>
      <c r="ZR17" s="71" t="e">
        <f t="array" aca="1" ref="ZR17" ca="1">IF(YK17=0,0,INDEX('Ship Time Charter Rates'!$H$22:$H$1021,MATCH(2,1/(('Ship Time Charter Rates'!$G$22:$G$1021=_xlfn.IFS(SJ17="Handysize",Main!UO17,SJ17="Supramax",UH17,SJ17="Panamax",UA17,SJ17="NeoPanamax",TT17,SJ17="Suezmax",TM17,SJ17="Capesize",TF17,SJ17="VLOC",SY17))*('Ship Time Charter Rates'!$E$22:$E$1021&lt;=Main!$C17)*(NOT(ISBLANK('Ship Time Charter Rates'!$H$22:$H$1021)))))))</f>
        <v>#NAME?</v>
      </c>
      <c r="ZS17" s="71" t="e">
        <f t="shared" ca="1" si="170"/>
        <v>#NAME?</v>
      </c>
      <c r="ZT17" s="70" t="e">
        <f t="shared" ca="1" si="171"/>
        <v>#NAME?</v>
      </c>
      <c r="ZU17" s="71" t="e">
        <f t="shared" ca="1" si="172"/>
        <v>#NAME?</v>
      </c>
      <c r="ZV17" s="71" t="e">
        <f t="shared" ca="1" si="304"/>
        <v>#NAME?</v>
      </c>
      <c r="ZW17" s="72" t="e">
        <f t="shared" ca="1" si="305"/>
        <v>#NAME?</v>
      </c>
      <c r="ZY17" s="287" t="s">
        <v>39</v>
      </c>
      <c r="AAA17" s="25">
        <f t="shared" si="322"/>
        <v>47500</v>
      </c>
      <c r="AAB17" s="4" t="str">
        <f>VLOOKUP(AAA17,'Ship Time Charter Rates'!$F$10:$G$17,2,TRUE)</f>
        <v>Supramax</v>
      </c>
      <c r="AAC17" s="4" t="str">
        <f>VLOOKUP(AAA17,Canals!$E$5:$F$12,2,TRUE)</f>
        <v>Supramax</v>
      </c>
      <c r="AAD17" s="25">
        <f t="shared" si="173"/>
        <v>187.35749999999999</v>
      </c>
      <c r="AAE17" s="25">
        <f t="shared" si="174"/>
        <v>19161.5</v>
      </c>
      <c r="AAF17" s="25">
        <f t="shared" si="175"/>
        <v>29444.75</v>
      </c>
      <c r="AAH17" s="75">
        <f t="array" ref="AAH17">INDEX('Indices Mines Exporting Ports'!$R$20:$R$51,MATCH(2,1/(('Indices Mines Exporting Ports'!$D$20:$D$51&lt;=Main!$C17)*('Indices Mines Exporting Ports'!$Q$20:$Q$51=$AP17))))</f>
        <v>30000</v>
      </c>
      <c r="AAI17" s="75">
        <f t="array" ref="AAI17">INDEX('Indices Mines Exporting Ports'!$S$20:$S$51,MATCH(2,1/(('Indices Mines Exporting Ports'!$D$20:$D$51&lt;=Main!$C17)*('Indices Mines Exporting Ports'!$Q$20:$Q$51=$AP17))))</f>
        <v>30000</v>
      </c>
      <c r="AAJ17" s="75">
        <f t="array" ref="AAJ17">INDEX('Indices Mines Exporting Ports'!$T$20:$T$51,MATCH(2,1/(('Indices Mines Exporting Ports'!$D$20:$D$51&lt;=Main!$C17)*('Indices Mines Exporting Ports'!$Q$20:$Q$51=$AP17))))</f>
        <v>30000</v>
      </c>
      <c r="AAK17" s="75">
        <f t="array" ref="AAK17">INDEX('Indices Mines Exporting Ports'!$U$20:$U$51,MATCH(2,1/(('Indices Mines Exporting Ports'!$D$20:$D$51&lt;=Main!$C17)*('Indices Mines Exporting Ports'!$Q$20:$Q$51=$AP17))))</f>
        <v>30000</v>
      </c>
      <c r="AAL17" s="75">
        <f t="array" ref="AAL17">INDEX('Indices Mines Exporting Ports'!$V$20:$V$51,MATCH(2,1/(('Indices Mines Exporting Ports'!$D$20:$D$51&lt;=Main!$C17)*('Indices Mines Exporting Ports'!$Q$20:$Q$51=$AP17))))</f>
        <v>30000</v>
      </c>
      <c r="AAM17" s="75">
        <f t="array" ref="AAM17">INDEX('Indices Mines Exporting Ports'!$W$20:$W$51,MATCH(2,1/(('Indices Mines Exporting Ports'!$D$20:$D$51&lt;=Main!$C17)*('Indices Mines Exporting Ports'!$Q$20:$Q$51=$AP17))))</f>
        <v>30000</v>
      </c>
      <c r="AAN17" s="75">
        <f t="array" ref="AAN17">INDEX('Indices Mines Exporting Ports'!$X$20:$X$51,MATCH(2,1/(('Indices Mines Exporting Ports'!$D$20:$D$51&lt;=Main!$C17)*('Indices Mines Exporting Ports'!$Q$20:$Q$51=$AP17))))</f>
        <v>30000</v>
      </c>
      <c r="AAP17" s="75" t="e">
        <f t="array" ref="AAP17">INDEX('Port Linkages'!$E$18:$E$157,MATCH(2,1/(('Port Linkages'!$C$18:$C$157=$AP17)*('Port Linkages'!$D$18:$D$157=IF($AO17="Yes",$AQ17,$KK17))*('Port Linkages'!$A$18:$A$157&lt;=$C17))))</f>
        <v>#N/A</v>
      </c>
      <c r="AAQ17" s="75">
        <f t="array" ref="AAQ17">INDEX('Port Linkages'!$F$18:$F$157,MATCH(2,1/(('Port Linkages'!$C$18:$C$157=$AP17)*('Port Linkages'!$D$18:$D$157=IF($AO17="Yes",$AQ17,$KK17))*('Port Linkages'!$A$18:$A$157&lt;=$C17))))</f>
        <v>0</v>
      </c>
      <c r="AAR17" s="75" t="str">
        <f t="array" ref="AAR17">INDEX('Port Linkages'!$G$18:$G$157,MATCH(2,1/(('Port Linkages'!$C$18:$C$157=$AP17)*('Port Linkages'!$D$18:$D$157=IF($AO17="Yes",$AQ17,$KK17))*('Port Linkages'!$A$18:$A$157&lt;=$C17))))</f>
        <v>VLOC_General</v>
      </c>
      <c r="AAS17" s="75" t="str">
        <f t="array" ref="AAS17">INDEX('Port Linkages'!$H$18:$H$157,MATCH(2,1/(('Port Linkages'!$C$18:$C$157=$AP17)*('Port Linkages'!$D$18:$D$157=IF($AO17="Yes",$AQ17,$KK17))*('Port Linkages'!$A$18:$A$157&lt;=$C17))))</f>
        <v>Singapore</v>
      </c>
      <c r="AAT17" s="75" t="str">
        <f t="array" ref="AAT17">INDEX('Port Linkages'!$I$18:$I$157,MATCH(2,1/(('Port Linkages'!$C$18:$C$157=$AP17)*('Port Linkages'!$D$18:$D$157=IF($AO17="Yes",$AQ17,$KK17))*('Port Linkages'!$A$18:$A$157&lt;=$C17))))</f>
        <v>VLSFO</v>
      </c>
      <c r="AAU17" s="75" t="str">
        <f t="array" ref="AAU17">INDEX('Port Linkages'!$J$18:$J$157,MATCH(2,1/(('Port Linkages'!$C$18:$C$157=$AP17)*('Port Linkages'!$D$18:$D$157=IF($AO17="Yes",$AQ17,$KK17))*('Port Linkages'!$A$18:$A$157&lt;=$C17))))</f>
        <v>MGO_Regular</v>
      </c>
      <c r="AAV17" s="75" t="str">
        <f t="array" ref="AAV17">INDEX('Port Linkages'!$K$18:$K$157,MATCH(2,1/(('Port Linkages'!$C$18:$C$157=$AP17)*('Port Linkages'!$D$18:$D$157=IF($AO17="Yes",$AQ17,$KK17))*('Port Linkages'!$A$18:$A$157&lt;=$C17))))</f>
        <v>none</v>
      </c>
      <c r="AAW17" s="75" t="e">
        <f t="array" ref="AAW17">INDEX('Port Linkages'!$L$18:$L$157,MATCH(2,1/(('Port Linkages'!$C$18:$C$157=$AP17)*('Port Linkages'!$D$18:$D$157=IF($AO17="Yes",$AQ17,$KK17))*('Port Linkages'!$A$18:$A$157&lt;=$C17))))</f>
        <v>#N/A</v>
      </c>
      <c r="AAX17" s="75">
        <f t="array" ref="AAX17">INDEX('Port Linkages'!$M$18:$M$157,MATCH(2,1/(('Port Linkages'!$C$18:$C$157=$AP17)*('Port Linkages'!$D$18:$D$157=IF($AO17="Yes",$AQ17,$KK17))*('Port Linkages'!$A$18:$A$157&lt;=$C17))))</f>
        <v>0</v>
      </c>
      <c r="AAY17" s="75" t="str">
        <f t="array" ref="AAY17">INDEX('Port Linkages'!$N$18:$N$157,MATCH(2,1/(('Port Linkages'!$C$18:$C$157=$AP17)*('Port Linkages'!$D$18:$D$157=IF($AO17="Yes",$AQ17,$KK17))*('Port Linkages'!$A$18:$A$157&lt;=$C17))))</f>
        <v>Capesize_General</v>
      </c>
      <c r="AAZ17" s="75" t="str">
        <f t="array" ref="AAZ17">INDEX('Port Linkages'!$O$18:$O$157,MATCH(2,1/(('Port Linkages'!$C$18:$C$157=$AP17)*('Port Linkages'!$D$18:$D$157=IF($AO17="Yes",$AQ17,$KK17))*('Port Linkages'!$A$18:$A$157&lt;=$C17))))</f>
        <v>Singapore</v>
      </c>
      <c r="ABA17" s="75" t="str">
        <f t="array" ref="ABA17">INDEX('Port Linkages'!$P$18:$P$157,MATCH(2,1/(('Port Linkages'!$C$18:$C$157=$AP17)*('Port Linkages'!$D$18:$D$157=IF($AO17="Yes",$AQ17,$KK17))*('Port Linkages'!$A$18:$A$157&lt;=$C17))))</f>
        <v>VLSFO</v>
      </c>
      <c r="ABB17" s="75" t="str">
        <f t="array" ref="ABB17">INDEX('Port Linkages'!$Q$18:$Q$157,MATCH(2,1/(('Port Linkages'!$C$18:$C$157=$AP17)*('Port Linkages'!$D$18:$D$157=IF($AO17="Yes",$AQ17,$KK17))*('Port Linkages'!$A$18:$A$157&lt;=$C17))))</f>
        <v>MGO_Regular</v>
      </c>
      <c r="ABC17" s="75" t="str">
        <f t="array" ref="ABC17">INDEX('Port Linkages'!$R$18:$R$157,MATCH(2,1/(('Port Linkages'!$C$18:$C$157=$AP17)*('Port Linkages'!$D$18:$D$157=IF($AO17="Yes",$AQ17,$KK17))*('Port Linkages'!$A$18:$A$157&lt;=$C17))))</f>
        <v>none</v>
      </c>
      <c r="ABD17" s="75" t="e">
        <f t="array" ref="ABD17">INDEX('Port Linkages'!$S$18:$S$157,MATCH(2,1/(('Port Linkages'!$C$18:$C$157=$AP17)*('Port Linkages'!$D$18:$D$157=IF($AO17="Yes",$AQ17,$KK17))*('Port Linkages'!$A$18:$A$157&lt;=$C17))))</f>
        <v>#N/A</v>
      </c>
      <c r="ABE17" s="75">
        <f t="array" ref="ABE17">INDEX('Port Linkages'!$T$18:$T$157,MATCH(2,1/(('Port Linkages'!$C$18:$C$157=$AP17)*('Port Linkages'!$D$18:$D$157=IF($AO17="Yes",$AQ17,$KK17))*('Port Linkages'!$A$18:$A$157&lt;=$C17))))</f>
        <v>0</v>
      </c>
      <c r="ABF17" s="75" t="str">
        <f t="array" ref="ABF17">INDEX('Port Linkages'!$U$18:$U$157,MATCH(2,1/(('Port Linkages'!$C$18:$C$157=$AP17)*('Port Linkages'!$D$18:$D$157=IF($AO17="Yes",$AQ17,$KK17))*('Port Linkages'!$A$18:$A$157&lt;=$C17))))</f>
        <v>Capesize_General</v>
      </c>
      <c r="ABG17" s="75" t="str">
        <f t="array" ref="ABG17">INDEX('Port Linkages'!$V$18:$V$157,MATCH(2,1/(('Port Linkages'!$C$18:$C$157=$AP17)*('Port Linkages'!$D$18:$D$157=IF($AO17="Yes",$AQ17,$KK17))*('Port Linkages'!$A$18:$A$157&lt;=$C17))))</f>
        <v>Singapore</v>
      </c>
      <c r="ABH17" s="75" t="str">
        <f t="array" ref="ABH17">INDEX('Port Linkages'!$W$18:$W$157,MATCH(2,1/(('Port Linkages'!$C$18:$C$157=$AP17)*('Port Linkages'!$D$18:$D$157=IF($AO17="Yes",$AQ17,$KK17))*('Port Linkages'!$A$18:$A$157&lt;=$C17))))</f>
        <v>VLSFO</v>
      </c>
      <c r="ABI17" s="75" t="str">
        <f t="array" ref="ABI17">INDEX('Port Linkages'!$X$18:$X$157,MATCH(2,1/(('Port Linkages'!$C$18:$C$157=$AP17)*('Port Linkages'!$D$18:$D$157=IF($AO17="Yes",$AQ17,$KK17))*('Port Linkages'!$A$18:$A$157&lt;=$C17))))</f>
        <v>MGO_Regular</v>
      </c>
      <c r="ABJ17" s="75" t="str">
        <f t="array" ref="ABJ17">INDEX('Port Linkages'!$Y$18:$Y$157,MATCH(2,1/(('Port Linkages'!$C$18:$C$157=$AP17)*('Port Linkages'!$D$18:$D$157=IF($AO17="Yes",$AQ17,$KK17))*('Port Linkages'!$A$18:$A$157&lt;=$C17))))</f>
        <v>none</v>
      </c>
      <c r="ABK17" s="75" t="e">
        <f t="array" ref="ABK17">INDEX('Port Linkages'!$Z$18:$Z$157,MATCH(2,1/(('Port Linkages'!$C$18:$C$157=$AP17)*('Port Linkages'!$D$18:$D$157=IF($AO17="Yes",$AQ17,$KK17))*('Port Linkages'!$A$18:$A$157&lt;=$C17))))</f>
        <v>#N/A</v>
      </c>
      <c r="ABL17" s="75">
        <f t="array" ref="ABL17">INDEX('Port Linkages'!$AA$18:$AA$157,MATCH(2,1/(('Port Linkages'!$C$18:$C$157=$AP17)*('Port Linkages'!$D$18:$D$157=IF($AO17="Yes",$AQ17,$KK17))*('Port Linkages'!$A$18:$A$157&lt;=$C17))))</f>
        <v>0</v>
      </c>
      <c r="ABM17" s="75" t="str">
        <f t="array" ref="ABM17">INDEX('Port Linkages'!$AB$18:$AB$157,MATCH(2,1/(('Port Linkages'!$C$18:$C$157=$AP17)*('Port Linkages'!$D$18:$D$157=IF($AO17="Yes",$AQ17,$KK17))*('Port Linkages'!$A$18:$A$157&lt;=$C17))))</f>
        <v>Capesize_General</v>
      </c>
      <c r="ABN17" s="75" t="str">
        <f t="array" ref="ABN17">INDEX('Port Linkages'!$AC$18:$AC$157,MATCH(2,1/(('Port Linkages'!$C$18:$C$157=$AP17)*('Port Linkages'!$D$18:$D$157=IF($AO17="Yes",$AQ17,$KK17))*('Port Linkages'!$A$18:$A$157&lt;=$C17))))</f>
        <v>Singapore</v>
      </c>
      <c r="ABO17" s="75" t="str">
        <f t="array" ref="ABO17">INDEX('Port Linkages'!$AD$18:$AD$157,MATCH(2,1/(('Port Linkages'!$C$18:$C$157=$AP17)*('Port Linkages'!$D$18:$D$157=IF($AO17="Yes",$AQ17,$KK17))*('Port Linkages'!$A$18:$A$157&lt;=$C17))))</f>
        <v>VLSFO</v>
      </c>
      <c r="ABP17" s="75" t="str">
        <f t="array" ref="ABP17">INDEX('Port Linkages'!$AE$18:$AE$157,MATCH(2,1/(('Port Linkages'!$C$18:$C$157=$AP17)*('Port Linkages'!$D$18:$D$157=IF($AO17="Yes",$AQ17,$KK17))*('Port Linkages'!$A$18:$A$157&lt;=$C17))))</f>
        <v>MGO_Regular</v>
      </c>
      <c r="ABQ17" s="75" t="str">
        <f t="array" ref="ABQ17">INDEX('Port Linkages'!$AF$18:$AF$157,MATCH(2,1/(('Port Linkages'!$C$18:$C$157=$AP17)*('Port Linkages'!$D$18:$D$157=IF($AO17="Yes",$AQ17,$KK17))*('Port Linkages'!$A$18:$A$157&lt;=$C17))))</f>
        <v>none</v>
      </c>
      <c r="ABR17" s="75">
        <f t="array" ref="ABR17">INDEX('Port Linkages'!$AG$18:$AG$157,MATCH(2,1/(('Port Linkages'!$C$18:$C$157=$AP17)*('Port Linkages'!$D$18:$D$157=IF($AO17="Yes",$AQ17,$KK17))*('Port Linkages'!$A$18:$A$157&lt;=$C17))))</f>
        <v>4250</v>
      </c>
      <c r="ABS17" s="75">
        <f t="array" ref="ABS17">INDEX('Port Linkages'!$AH$18:$AH$157,MATCH(2,1/(('Port Linkages'!$C$18:$C$157=$AP17)*('Port Linkages'!$D$18:$D$157=IF($AO17="Yes",$AQ17,$KK17))*('Port Linkages'!$A$18:$A$157&lt;=$C17))))</f>
        <v>0</v>
      </c>
      <c r="ABT17" s="75" t="str">
        <f t="array" ref="ABT17">INDEX('Port Linkages'!$AI$18:$AI$157,MATCH(2,1/(('Port Linkages'!$C$18:$C$157=$AP17)*('Port Linkages'!$D$18:$D$157=IF($AO17="Yes",$AQ17,$KK17))*('Port Linkages'!$A$18:$A$157&lt;=$C17))))</f>
        <v>Panamax_General</v>
      </c>
      <c r="ABU17" s="75" t="str">
        <f t="array" ref="ABU17">INDEX('Port Linkages'!$AJ$18:$AJ$157,MATCH(2,1/(('Port Linkages'!$C$18:$C$157=$AP17)*('Port Linkages'!$D$18:$D$157=IF($AO17="Yes",$AQ17,$KK17))*('Port Linkages'!$A$18:$A$157&lt;=$C17))))</f>
        <v>Singapore</v>
      </c>
      <c r="ABV17" s="75" t="str">
        <f t="array" ref="ABV17">INDEX('Port Linkages'!$AK$18:$AK$157,MATCH(2,1/(('Port Linkages'!$C$18:$C$157=$AP17)*('Port Linkages'!$D$18:$D$157=IF($AO17="Yes",$AQ17,$KK17))*('Port Linkages'!$A$18:$A$157&lt;=$C17))))</f>
        <v>VLSFO</v>
      </c>
      <c r="ABW17" s="75" t="str">
        <f t="array" ref="ABW17">INDEX('Port Linkages'!$AL$18:$AL$157,MATCH(2,1/(('Port Linkages'!$C$18:$C$157=$AP17)*('Port Linkages'!$D$18:$D$157=IF($AO17="Yes",$AQ17,$KK17))*('Port Linkages'!$A$18:$A$157&lt;=$C17))))</f>
        <v>MGO_Regular</v>
      </c>
      <c r="ABX17" s="75" t="str">
        <f t="array" ref="ABX17">INDEX('Port Linkages'!$AM$18:$AM$157,MATCH(2,1/(('Port Linkages'!$C$18:$C$157=$AP17)*('Port Linkages'!$D$18:$D$157=IF($AO17="Yes",$AQ17,$KK17))*('Port Linkages'!$A$18:$A$157&lt;=$C17))))</f>
        <v>none</v>
      </c>
      <c r="ABY17" s="75">
        <f t="array" ref="ABY17">INDEX('Port Linkages'!$AN$18:$AN$157,MATCH(2,1/(('Port Linkages'!$C$18:$C$157=$AP17)*('Port Linkages'!$D$18:$D$157=IF($AO17="Yes",$AQ17,$KK17))*('Port Linkages'!$A$18:$A$157&lt;=$C17))))</f>
        <v>4250</v>
      </c>
      <c r="ABZ17" s="75">
        <f t="array" ref="ABZ17">INDEX('Port Linkages'!$AO$18:$AO$157,MATCH(2,1/(('Port Linkages'!$C$18:$C$157=$AP17)*('Port Linkages'!$D$18:$D$157=IF($AO17="Yes",$AQ17,$KK17))*('Port Linkages'!$A$18:$A$157&lt;=$C17))))</f>
        <v>0</v>
      </c>
      <c r="ACA17" s="75" t="str">
        <f t="array" ref="ACA17">INDEX('Port Linkages'!$AP$18:$AP$157,MATCH(2,1/(('Port Linkages'!$C$18:$C$157=$AP17)*('Port Linkages'!$D$18:$D$157=IF($AO17="Yes",$AQ17,$KK17))*('Port Linkages'!$A$18:$A$157&lt;=$C17))))</f>
        <v>Supramax_General</v>
      </c>
      <c r="ACB17" s="75" t="str">
        <f t="array" ref="ACB17">INDEX('Port Linkages'!$AQ$18:$AQ$157,MATCH(2,1/(('Port Linkages'!$C$18:$C$157=$AP17)*('Port Linkages'!$D$18:$D$157=IF($AO17="Yes",$AQ17,$KK17))*('Port Linkages'!$A$18:$A$157&lt;=$C17))))</f>
        <v>Singapore</v>
      </c>
      <c r="ACC17" s="75" t="str">
        <f t="array" ref="ACC17">INDEX('Port Linkages'!$AR$18:$AR$157,MATCH(2,1/(('Port Linkages'!$C$18:$C$157=$AP17)*('Port Linkages'!$D$18:$D$157=IF($AO17="Yes",$AQ17,$KK17))*('Port Linkages'!$A$18:$A$157&lt;=$C17))))</f>
        <v>VLSFO</v>
      </c>
      <c r="ACD17" s="75" t="str">
        <f t="array" ref="ACD17">INDEX('Port Linkages'!$AS$18:$AS$157,MATCH(2,1/(('Port Linkages'!$C$18:$C$157=$AP17)*('Port Linkages'!$D$18:$D$157=IF($AO17="Yes",$AQ17,$KK17))*('Port Linkages'!$A$18:$A$157&lt;=$C17))))</f>
        <v>MGO_Regular</v>
      </c>
      <c r="ACE17" s="75" t="str">
        <f t="array" ref="ACE17">INDEX('Port Linkages'!$AT$18:$AT$157,MATCH(2,1/(('Port Linkages'!$C$18:$C$157=$AP17)*('Port Linkages'!$D$18:$D$157=IF($AO17="Yes",$AQ17,$KK17))*('Port Linkages'!$A$18:$A$157&lt;=$C17))))</f>
        <v>none</v>
      </c>
      <c r="ACF17" s="75">
        <f t="array" ref="ACF17">INDEX('Port Linkages'!$AU$18:$AU$157,MATCH(2,1/(('Port Linkages'!$C$18:$C$157=$AP17)*('Port Linkages'!$D$18:$D$157=IF($AO17="Yes",$AQ17,$KK17))*('Port Linkages'!$A$18:$A$157&lt;=$C17))))</f>
        <v>4250</v>
      </c>
      <c r="ACG17" s="75">
        <f t="array" ref="ACG17">INDEX('Port Linkages'!$AV$18:$AV$157,MATCH(2,1/(('Port Linkages'!$C$18:$C$157=$AP17)*('Port Linkages'!$D$18:$D$157=IF($AO17="Yes",$AQ17,$KK17))*('Port Linkages'!$A$18:$A$157&lt;=$C17))))</f>
        <v>0</v>
      </c>
      <c r="ACH17" s="75" t="str">
        <f t="array" ref="ACH17">INDEX('Port Linkages'!$AW$18:$AW$157,MATCH(2,1/(('Port Linkages'!$C$18:$C$157=$AP17)*('Port Linkages'!$D$18:$D$157=IF($AO17="Yes",$AQ17,$KK17))*('Port Linkages'!$A$18:$A$157&lt;=$C17))))</f>
        <v>Handysize_General</v>
      </c>
      <c r="ACI17" s="75" t="str">
        <f t="array" ref="ACI17">INDEX('Port Linkages'!$AX$18:$AX$157,MATCH(2,1/(('Port Linkages'!$C$18:$C$157=$AP17)*('Port Linkages'!$D$18:$D$157=IF($AO17="Yes",$AQ17,$KK17))*('Port Linkages'!$A$18:$A$157&lt;=$C17))))</f>
        <v>Singapore</v>
      </c>
      <c r="ACJ17" s="75" t="str">
        <f t="array" ref="ACJ17">INDEX('Port Linkages'!$AY$18:$AY$157,MATCH(2,1/(('Port Linkages'!$C$18:$C$157=$AP17)*('Port Linkages'!$D$18:$D$157=IF($AO17="Yes",$AQ17,$KK17))*('Port Linkages'!$A$18:$A$157&lt;=$C17))))</f>
        <v>VLSFO</v>
      </c>
      <c r="ACK17" s="75" t="str">
        <f t="array" ref="ACK17">INDEX('Port Linkages'!$AZ$18:$AZ$157,MATCH(2,1/(('Port Linkages'!$C$18:$C$157=$AP17)*('Port Linkages'!$D$18:$D$157=IF($AO17="Yes",$AQ17,$KK17))*('Port Linkages'!$A$18:$A$157&lt;=$C17))))</f>
        <v>MGO_Regular</v>
      </c>
      <c r="ACL17" s="75" t="str">
        <f t="array" ref="ACL17">INDEX('Port Linkages'!$BA$18:$BA$157,MATCH(2,1/(('Port Linkages'!$C$18:$C$157=$AP17)*('Port Linkages'!$D$18:$D$157=IF($AO17="Yes",$AQ17,$KK17))*('Port Linkages'!$A$18:$A$157&lt;=$C17))))</f>
        <v>none</v>
      </c>
      <c r="ACN17" s="25" t="e">
        <f t="array" aca="1" ref="ACN17" ca="1">INDEX('Ship Fuel Prices'!$F$5:$F$1004,MATCH(2,1/(('Ship Fuel Prices'!$E$5:$E$1004=_xlfn.IFS(AAC17="Handysize",Main!ACI17,AAC17="Supramax",ACB17,AAC17="Panamax",ABU17,AAC17="NeoPanamax",ABN17,AAC17="Suezmax",ABG17,AAC17="Capesize",AAZ17,AAC17="VLOC",AAS17))*('Ship Fuel Prices'!$D$5:$D$1004&lt;=Main!$C17))))</f>
        <v>#N/A</v>
      </c>
      <c r="ACO17" s="25" t="e">
        <f t="array" aca="1" ref="ACO17" ca="1">INDEX('Ship Fuel Prices'!$G$5:$G$1004,MATCH(2,1/(('Ship Fuel Prices'!$E$5:$E$1004=_xlfn.IFS(AAC17="Handysize",Main!ACI17,AAC17="Supramax",ACB17,AAC17="Panamax",ABU17,AAC17="NeoPanamax",ABN17,AAC17="Suezmax",ABG17,AAC17="Capesize",AAZ17,AAC17="VLOC",AAS17))*('Ship Fuel Prices'!$D$5:$D$1004&lt;=Main!$C17))))</f>
        <v>#N/A</v>
      </c>
      <c r="ACP17" s="25" t="e">
        <f t="array" aca="1" ref="ACP17" ca="1">INDEX('Ship Fuel Prices'!$H$5:$H$1004,MATCH(2,1/(('Ship Fuel Prices'!$E$5:$E$1004=_xlfn.IFS(AAC17="Handysize",Main!ACI17,AAC17="Supramax",ACB17,AAC17="Panamax",ABU17,AAC17="NeoPanamax",ABN17,AAC17="Suezmax",ABG17,AAC17="Capesize",AAZ17,AAC17="VLOC",AAS17))*('Ship Fuel Prices'!$D$5:$D$1004&lt;=Main!$C17))))</f>
        <v>#N/A</v>
      </c>
      <c r="ACQ17" s="25" t="e">
        <f t="array" aca="1" ref="ACQ17" ca="1">INDEX('Ship Fuel Prices'!$I$5:$I$1004,MATCH(2,1/(('Ship Fuel Prices'!$E$5:$E$1004=_xlfn.IFS(AAC17="Handysize",Main!ACI17,AAC17="Supramax",ACB17,AAC17="Panamax",ABU17,AAC17="NeoPanamax",ABN17,AAC17="Suezmax",ABG17,AAC17="Capesize",AAZ17,AAC17="VLOC",AAS17))*('Ship Fuel Prices'!$D$5:$D$1004&lt;=Main!$C17))))</f>
        <v>#N/A</v>
      </c>
      <c r="ACR17" s="25" t="e">
        <f t="array" aca="1" ref="ACR17" ca="1">INDEX('Ship Fuel Prices'!$J$5:$J$1004,MATCH(2,1/(('Ship Fuel Prices'!$E$5:$E$1004=_xlfn.IFS(AAC17="Handysize",Main!ACI17,AAC17="Supramax",ACB17,AAC17="Panamax",ABU17,AAC17="NeoPanamax",ABN17,AAC17="Suezmax",ABG17,AAC17="Capesize",AAZ17,AAC17="VLOC",AAS17))*('Ship Fuel Prices'!$D$5:$D$1004&lt;=Main!$C17))))</f>
        <v>#N/A</v>
      </c>
      <c r="ACT17" s="75">
        <f t="array" ref="ACT17">INDEX('China n Importing Ports'!$E$20:$E$41,MATCH(2,1/(('China n Importing Ports'!$D$20:$D$41&lt;=$C17)*('China n Importing Ports'!$C$20:$C$41=IF($AO17="Yes",$AQ17,$KK17)))))</f>
        <v>42500</v>
      </c>
      <c r="ACU17" s="75">
        <f t="array" ref="ACU17">INDEX('China n Importing Ports'!$F$20:$F$41,MATCH(2,1/(('China n Importing Ports'!$D$20:$D$41&lt;=$C17)*('China n Importing Ports'!$C$20:$C$41=IF($AO17="Yes",$AQ17,$KK17)))))</f>
        <v>42500</v>
      </c>
      <c r="ACV17" s="75">
        <f t="array" ref="ACV17">INDEX('China n Importing Ports'!$G$20:$G$41,MATCH(2,1/(('China n Importing Ports'!$D$20:$D$41&lt;=$C17)*('China n Importing Ports'!$C$20:$C$41=IF($AO17="Yes",$AQ17,$KK17)))))</f>
        <v>42500</v>
      </c>
      <c r="ACW17" s="75">
        <f t="array" ref="ACW17">INDEX('China n Importing Ports'!$H$20:$H$41,MATCH(2,1/(('China n Importing Ports'!$D$20:$D$41&lt;=$C17)*('China n Importing Ports'!$C$20:$C$41=IF($AO17="Yes",$AQ17,$KK17)))))</f>
        <v>42500</v>
      </c>
      <c r="ACX17" s="75">
        <f t="array" ref="ACX17">INDEX('China n Importing Ports'!$I$20:$I$41,MATCH(2,1/(('China n Importing Ports'!$D$20:$D$41&lt;=$C17)*('China n Importing Ports'!$C$20:$C$41=IF($AO17="Yes",$AQ17,$KK17)))))</f>
        <v>42500</v>
      </c>
      <c r="ACY17" s="75">
        <f t="array" ref="ACY17">INDEX('China n Importing Ports'!$J$20:$J$41,MATCH(2,1/(('China n Importing Ports'!$D$20:$D$41&lt;=$C17)*('China n Importing Ports'!$C$20:$C$41=IF($AO17="Yes",$AQ17,$KK17)))))</f>
        <v>42500</v>
      </c>
      <c r="ACZ17" s="75">
        <f t="array" ref="ACZ17">INDEX('China n Importing Ports'!$K$20:$K$41,MATCH(2,1/(('China n Importing Ports'!$D$20:$D$41&lt;=$C17)*('China n Importing Ports'!$C$20:$C$41=IF($AO17="Yes",$AQ17,$KK17)))))</f>
        <v>42500</v>
      </c>
      <c r="ADA17" s="75" t="str">
        <f t="array" ref="ADA17">INDEX('China n Importing Ports'!$L$20:$L$41,MATCH(2,1/(('China n Importing Ports'!$D$20:$D$41&lt;=$C17)*('China n Importing Ports'!$C$20:$C$41=IF($AO17="Yes",$AQ17,$KK17)))))</f>
        <v>RMB</v>
      </c>
      <c r="ADB17" s="75">
        <f t="array" ref="ADB17">INDEX('China n Importing Ports'!$M$20:$M$41,MATCH(2,1/(('China n Importing Ports'!$D$20:$D$41&lt;=$C17)*('China n Importing Ports'!$C$20:$C$41=IF($AO17="Yes",$AQ17,$KK17)))))</f>
        <v>12342</v>
      </c>
      <c r="ADC17" s="75">
        <f t="array" ref="ADC17">INDEX('China n Importing Ports'!$N$20:$N$41,MATCH(2,1/(('China n Importing Ports'!$D$20:$D$41&lt;=$C17)*('China n Importing Ports'!$C$20:$C$41=IF($AO17="Yes",$AQ17,$KK17)))))</f>
        <v>0</v>
      </c>
      <c r="ADD17" s="75">
        <f t="array" ref="ADD17">INDEX('China n Importing Ports'!$O$20:$O$41,MATCH(2,1/(('China n Importing Ports'!$D$20:$D$41&lt;=$C17)*('China n Importing Ports'!$C$20:$C$41=IF($AO17="Yes",$AQ17,$KK17)))))</f>
        <v>0</v>
      </c>
      <c r="ADE17" s="136">
        <f t="array" ref="ADE17">INDEX('China n Importing Ports'!$P$20:$P$41,MATCH(2,1/(('China n Importing Ports'!$D$20:$D$41&lt;=$C17)*('China n Importing Ports'!$C$20:$C$41=IF($AO17="Yes",$AQ17,$KK17)))))</f>
        <v>2.64</v>
      </c>
      <c r="ADF17" s="136">
        <f t="array" ref="ADF17">INDEX('China n Importing Ports'!$Q$20:$Q$41,MATCH(2,1/(('China n Importing Ports'!$D$20:$D$41&lt;=$C17)*('China n Importing Ports'!$C$20:$C$41=IF($AO17="Yes",$AQ17,$KK17)))))</f>
        <v>0</v>
      </c>
      <c r="ADG17" s="136">
        <f t="array" ref="ADG17">INDEX('China n Importing Ports'!$R$20:$R$41,MATCH(2,1/(('China n Importing Ports'!$D$20:$D$41&lt;=$C17)*('China n Importing Ports'!$C$20:$C$41=IF($AO17="Yes",$AQ17,$KK17)))))</f>
        <v>0</v>
      </c>
      <c r="ADH17" s="136">
        <f t="array" ref="ADH17">INDEX('China n Importing Ports'!$S$20:$S$41,MATCH(2,1/(('China n Importing Ports'!$D$20:$D$41&lt;=$C17)*('China n Importing Ports'!$C$20:$C$41=IF($AO17="Yes",$AQ17,$KK17)))))</f>
        <v>4.53</v>
      </c>
      <c r="ADI17" s="136">
        <f t="array" ref="ADI17">INDEX('China n Importing Ports'!$T$20:$T$41,MATCH(2,1/(('China n Importing Ports'!$D$20:$D$41&lt;=$C17)*('China n Importing Ports'!$C$20:$C$41=IF($AO17="Yes",$AQ17,$KK17)))))</f>
        <v>0.36699999999999999</v>
      </c>
      <c r="ADJ17" s="136">
        <f t="array" ref="ADJ17">INDEX('China n Importing Ports'!$U$20:$U$41,MATCH(2,1/(('China n Importing Ports'!$D$20:$D$41&lt;=$C17)*('China n Importing Ports'!$C$20:$C$41=IF($AO17="Yes",$AQ17,$KK17)))))</f>
        <v>0.05</v>
      </c>
      <c r="ADK17" s="136">
        <f t="array" ref="ADK17">INDEX('China n Importing Ports'!$V$20:$V$41,MATCH(2,1/(('China n Importing Ports'!$D$20:$D$41&lt;=$C17)*('China n Importing Ports'!$C$20:$C$41=IF($AO17="Yes",$AQ17,$KK17)))))</f>
        <v>0</v>
      </c>
      <c r="ADL17" s="136">
        <f t="array" ref="ADL17">INDEX('China n Importing Ports'!$W$20:$W$41,MATCH(2,1/(('China n Importing Ports'!$D$20:$D$41&lt;=$C17)*('China n Importing Ports'!$C$20:$C$41=IF($AO17="Yes",$AQ17,$KK17)))))</f>
        <v>0</v>
      </c>
      <c r="ADM17" s="136">
        <f t="array" ref="ADM17">INDEX('China n Importing Ports'!$X$20:$X$41,MATCH(2,1/(('China n Importing Ports'!$D$20:$D$41&lt;=$C17)*('China n Importing Ports'!$C$20:$C$41=IF($AO17="Yes",$AQ17,$KK17)))))</f>
        <v>0</v>
      </c>
      <c r="ADN17" s="136">
        <f t="array" ref="ADN17">INDEX('China n Importing Ports'!$Y$20:$Y$41,MATCH(2,1/(('China n Importing Ports'!$D$20:$D$41&lt;=$C17)*('China n Importing Ports'!$C$20:$C$41=IF($AO17="Yes",$AQ17,$KK17)))))</f>
        <v>197</v>
      </c>
      <c r="ADO17" s="136">
        <f t="array" ref="ADO17">INDEX('China n Importing Ports'!$Z$20:$Z$41,MATCH(2,1/(('China n Importing Ports'!$D$20:$D$41&lt;=$C17)*('China n Importing Ports'!$C$20:$C$41=IF($AO17="Yes",$AQ17,$KK17)))))</f>
        <v>0</v>
      </c>
      <c r="ADP17" s="136">
        <f t="array" ref="ADP17">INDEX('China n Importing Ports'!$AA$20:$AA$41,MATCH(2,1/(('China n Importing Ports'!$D$20:$D$41&lt;=$C17)*('China n Importing Ports'!$C$20:$C$41=IF($AO17="Yes",$AQ17,$KK17)))))</f>
        <v>0</v>
      </c>
      <c r="ADR17" s="75" t="e">
        <f t="array" aca="1" ref="ADR17" ca="1">INDEX(Canals!$G$24:$G$29,MATCH(2,1/((Canals!$F$24:$F$29&lt;=$C17)*(Canals!$G$24:$G$29=_xlfn.IFS(AAC17="Handysize",Main!ACL17,AAC17="Supramax",ACE17,AAC17="Panamax",ABX17,AAC17="NeoPanamax",ABQ17,AAC17="Suezmax",ABJ17,AAC17="Capesize",ABC17,AAC17="VLOC",AAV17)))))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S17" s="75" t="e">
        <f t="array" aca="1" ref="ADS17" ca="1">INDEX(Canals!$H$24:$H$29,MATCH(2,1/((Canals!$F$24:$F$29&lt;=$C17)*(Canals!$G$24:$G$29=_xlfn.IFS(AAC17="Handysize",Main!ACL17,AAC17="Supramax",ACE17,AAC17="Panamax",ABX17,AAC17="NeoPanamax",ABQ17,AAC17="Suezmax",ABJ17,AAC17="Capesize",ABC17,AAC17="VLOC",AAV17)))))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T17" s="75" t="e">
        <f t="array" aca="1" ref="ADT17" ca="1">INDEX(Canals!$I$24:$I$29,MATCH(2,1/((Canals!$F$24:$F$29&lt;=$C17)*(Canals!$G$24:$G$29=_xlfn.IFS(AAC17="Handysize",Main!ACL17,AAC17="Supramax",ACE17,AAC17="Panamax",ABX17,AAC17="NeoPanamax",ABQ17,AAC17="Suezmax",ABJ17,AAC17="Capesize",ABC17,AAC17="VLOC",AAV17)))))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U17" s="75" t="e">
        <f t="array" aca="1" ref="ADU17" ca="1">INDEX(Canals!$J$24:$J$29,MATCH(2,1/((Canals!$F$24:$F$29&lt;=$C17)*(Canals!$G$24:$G$29=_xlfn.IFS(AAC17="Handysize",Main!ACL17,AAC17="Supramax",ACE17,AAC17="Panamax",ABX17,AAC17="NeoPanamax",ABQ17,AAC17="Suezmax",ABJ17,AAC17="Capesize",ABC17,AAC17="VLOC",AAV17)))))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V17" s="75" t="e">
        <f t="array" aca="1" ref="ADV17" ca="1">INDEX(Canals!$K$24:$K$29,MATCH(2,1/((Canals!$F$24:$F$29&lt;=$C17)*(Canals!$G$24:$G$29=_xlfn.IFS(AAC17="Handysize",Main!ACL17,AAC17="Supramax",ACE17,AAC17="Panamax",ABX17,AAC17="NeoPanamax",ABQ17,AAC17="Suezmax",ABJ17,AAC17="Capesize",ABC17,AAC17="VLOC",AAV17)))))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W17" s="75" t="e">
        <f t="array" aca="1" ref="ADW17" ca="1">INDEX(Canals!$L$24:$L$29,MATCH(2,1/((Canals!$F$24:$F$29&lt;=$C17)*(Canals!$G$24:$G$29=_xlfn.IFS(AAC17="Handysize",Main!ACL17,AAC17="Supramax",ACE17,AAC17="Panamax",ABX17,AAC17="NeoPanamax",ABQ17,AAC17="Suezmax",ABJ17,AAC17="Capesize",ABC17,AAC17="VLOC",AAV17)))))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X17" s="75" t="e">
        <f t="array" aca="1" ref="ADX17" ca="1">INDEX(Canals!$M$24:$M$29,MATCH(2,1/((Canals!$F$24:$F$29&lt;=$C17)*(Canals!$G$24:$G$29=_xlfn.IFS(AAC17="Handysize",Main!ACL17,AAC17="Supramax",ACE17,AAC17="Panamax",ABX17,AAC17="NeoPanamax",ABQ17,AAC17="Suezmax",ABJ17,AAC17="Capesize",ABC17,AAC17="VLOC",AAV17)))))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Y17" s="75" t="e">
        <f t="array" aca="1" ref="ADY17" ca="1">INDEX(Canals!$N$24:$N$29,MATCH(2,1/((Canals!$F$24:$F$29&lt;=$C17)*(Canals!$G$24:$G$29=_xlfn.IFS(AAC17="Handysize",Main!ACL17,AAC17="Supramax",ACE17,AAC17="Panamax",ABX17,AAC17="NeoPanamax",ABQ17,AAC17="Suezmax",ABJ17,AAC17="Capesize",ABC17,AAC17="VLOC",AAV17)))))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DZ17" s="75" t="e">
        <f t="array" aca="1" ref="ADZ17" ca="1">INDEX(Canals!$O$24:$O$29,MATCH(2,1/((Canals!$F$24:$F$29&lt;=$C17)*(Canals!$G$24:$G$29=_xlfn.IFS(AAC17="Handysize",Main!ACL17,AAC17="Supramax",ACE17,AAC17="Panamax",ABX17,AAC17="NeoPanamax",ABQ17,AAC17="Suezmax",ABJ17,AAC17="Capesize",ABC17,AAC17="VLOC",AAV17)))))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A17" s="75" t="e">
        <f t="array" aca="1" ref="AEA17" ca="1">INDEX(Canals!$P$24:$P$29,MATCH(2,1/((Canals!$F$24:$F$29&lt;=$C17)*(Canals!$G$24:$G$29=_xlfn.IFS(AAC17="Handysize",Main!ACL17,AAC17="Supramax",ACE17,AAC17="Panamax",ABX17,AAC17="NeoPanamax",ABQ17,AAC17="Suezmax",ABJ17,AAC17="Capesize",ABC17,AAC17="VLOC",AAV17)))))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B17" s="75" t="e">
        <f t="array" aca="1" ref="AEB17" ca="1">INDEX(Canals!$Q$24:$Q$29,MATCH(2,1/((Canals!$F$24:$F$29&lt;=$C17)*(Canals!$G$24:$G$29=_xlfn.IFS(AAC17="Handysize",Main!ACL17,AAC17="Supramax",ACE17,AAC17="Panamax",ABX17,AAC17="NeoPanamax",ABQ17,AAC17="Suezmax",ABJ17,AAC17="Capesize",ABC17,AAC17="VLOC",AAV17)))))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C17" s="75" t="e">
        <f t="array" aca="1" ref="AEC17" ca="1">INDEX(Canals!$R$24:$R$29,MATCH(2,1/((Canals!$F$24:$F$29&lt;=$C17)*(Canals!$G$24:$G$29=_xlfn.IFS(AAC17="Handysize",Main!ACL17,AAC17="Supramax",ACE17,AAC17="Panamax",ABX17,AAC17="NeoPanamax",ABQ17,AAC17="Suezmax",ABJ17,AAC17="Capesize",ABC17,AAC17="VLOC",AAV17)))))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D17" s="136" t="e">
        <f t="array" aca="1" ref="AED17" ca="1">INDEX(Canals!$S$24:$S$29,MATCH(2,1/((Canals!$F$24:$F$29&lt;=$C17)*(Canals!$G$24:$G$29=_xlfn.IFS(AAC17="Handysize",Main!ACL17,AAC17="Supramax",ACE17,AAC17="Panamax",ABX17,AAC17="NeoPanamax",ABQ17,AAC17="Suezmax",ABJ17,AAC17="Capesize",ABC17,AAC17="VLOC",AAV17)))))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E17" s="136" t="e">
        <f t="array" aca="1" ref="AEE17" ca="1">INDEX(Canals!$T$24:$T$29,MATCH(2,1/((Canals!$F$24:$F$29&lt;=$C17)*(Canals!$G$24:$G$29=_xlfn.IFS(AAC17="Handysize",Main!ACL17,AAC17="Supramax",ACE17,AAC17="Panamax",ABX17,AAC17="NeoPanamax",ABQ17,AAC17="Suezmax",ABJ17,AAC17="Capesize",ABC17,AAC17="VLOC",AAV17)))))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F17" s="136" t="e">
        <f t="array" aca="1" ref="AEF17" ca="1">INDEX(Canals!$U$24:$U$29,MATCH(2,1/((Canals!$F$24:$F$29&lt;=$C17)*(Canals!$G$24:$G$29=_xlfn.IFS(AAC17="Handysize",Main!ACL17,AAC17="Supramax",ACE17,AAC17="Panamax",ABX17,AAC17="NeoPanamax",ABQ17,AAC17="Suezmax",ABJ17,AAC17="Capesize",ABC17,AAC17="VLOC",AAV17)))))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G17" s="136" t="e">
        <f t="array" aca="1" ref="AEG17" ca="1">INDEX(Canals!$V$24:$V$29,MATCH(2,1/((Canals!$F$24:$F$29&lt;=$C17)*(Canals!$G$24:$G$29=_xlfn.IFS(AAC17="Handysize",Main!ACL17,AAC17="Supramax",ACE17,AAC17="Panamax",ABX17,AAC17="NeoPanamax",ABQ17,AAC17="Suezmax",ABJ17,AAC17="Capesize",ABC17,AAC17="VLOC",AAV17)))))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H17" s="136" t="e">
        <f t="array" aca="1" ref="AEH17" ca="1">INDEX(Canals!$W$24:$W$29,MATCH(2,1/((Canals!$F$24:$F$29&lt;=$C17)*(Canals!$G$24:$G$29=_xlfn.IFS(AAC17="Handysize",Main!ACL17,AAC17="Supramax",ACE17,AAC17="Panamax",ABX17,AAC17="NeoPanamax",ABQ17,AAC17="Suezmax",ABJ17,AAC17="Capesize",ABC17,AAC17="VLOC",AAV17)))))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I17" s="136" t="e">
        <f t="array" aca="1" ref="AEI17" ca="1">INDEX(Canals!$X$24:$X$29,MATCH(2,1/((Canals!$F$24:$F$29&lt;=$C17)*(Canals!$G$24:$G$29=_xlfn.IFS(AAC17="Handysize",Main!ACL17,AAC17="Supramax",ACE17,AAC17="Panamax",ABX17,AAC17="NeoPanamax",ABQ17,AAC17="Suezmax",ABJ17,AAC17="Capesize",ABC17,AAC17="VLOC",AAV17)))))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J17" s="136" t="e">
        <f t="array" aca="1" ref="AEJ17" ca="1">INDEX(Canals!$Y$24:$Y$29,MATCH(2,1/((Canals!$F$24:$F$29&lt;=$C17)*(Canals!$G$24:$G$29=_xlfn.IFS(AAC17="Handysize",Main!ACL17,AAC17="Supramax",ACE17,AAC17="Panamax",ABX17,AAC17="NeoPanamax",ABQ17,AAC17="Suezmax",ABJ17,AAC17="Capesize",ABC17,AAC17="VLOC",AAV17)))))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K17" s="136" t="e">
        <f t="array" aca="1" ref="AEK17" ca="1">INDEX(Canals!$Z$24:$Z$29,MATCH(2,1/((Canals!$F$24:$F$29&lt;=$C17)*(Canals!$G$24:$G$29=_xlfn.IFS(AAC17="Handysize",Main!ACL17,AAC17="Supramax",ACE17,AAC17="Panamax",ABX17,AAC17="NeoPanamax",ABQ17,AAC17="Suezmax",ABJ17,AAC17="Capesize",ABC17,AAC17="VLOC",AAV17)))))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L17" s="136" t="e">
        <f t="array" aca="1" ref="AEL17" ca="1">INDEX(Canals!$AA$24:$AA$29,MATCH(2,1/((Canals!$F$24:$F$29&lt;=$C17)*(Canals!$G$24:$G$29=_xlfn.IFS(AAC17="Handysize",Main!ACL17,AAC17="Supramax",ACE17,AAC17="Panamax",ABX17,AAC17="NeoPanamax",ABQ17,AAC17="Suezmax",ABJ17,AAC17="Capesize",ABC17,AAC17="VLOC",AAV17)))))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M17" s="136" t="e">
        <f t="array" aca="1" ref="AEM17" ca="1">INDEX(Canals!$AB$24:$AB$29,MATCH(2,1/((Canals!$F$24:$F$29&lt;=$C17)*(Canals!$G$24:$G$29=_xlfn.IFS(AAC17="Handysize",Main!ACL17,AAC17="Supramax",ACE17,AAC17="Panamax",ABX17,AAC17="NeoPanamax",ABQ17,AAC17="Suezmax",ABJ17,AAC17="Capesize",ABC17,AAC17="VLOC",AAV17)))))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N17" s="75" t="e">
        <f t="array" aca="1" ref="AEN17" ca="1">INDEX(Canals!$AC$24:$AC$29,MATCH(2,1/((Canals!$F$24:$F$29&lt;=$C17)*(Canals!$G$24:$G$29=_xlfn.IFS(AAC17="Handysize",Main!ACL17,AAC17="Supramax",ACE17,AAC17="Panamax",ABX17,AAC17="NeoPanamax",ABQ17,AAC17="Suezmax",ABJ17,AAC17="Capesize",ABC17,AAC17="VLOC",AAV17)))))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O17" s="75" t="e">
        <f t="array" aca="1" ref="AEO17" ca="1">INDEX(Canals!$AD$24:$AD$29,MATCH(2,1/((Canals!$F$24:$F$29&lt;=$C17)*(Canals!$G$24:$G$29=_xlfn.IFS(AAC17="Handysize",Main!ACL17,AAC17="Supramax",ACE17,AAC17="Panamax",ABX17,AAC17="NeoPanamax",ABQ17,AAC17="Suezmax",ABJ17,AAC17="Capesize",ABC17,AAC17="VLOC",AAV17)))))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P17" s="75" t="e">
        <f t="array" aca="1" ref="AEP17" ca="1">INDEX(Canals!$AE$24:$AE$29,MATCH(2,1/((Canals!$F$24:$F$29&lt;=$C17)*(Canals!$G$24:$G$29=_xlfn.IFS(AAC17="Handysize",Main!ACL17,AAC17="Supramax",ACE17,AAC17="Panamax",ABX17,AAC17="NeoPanamax",ABQ17,AAC17="Suezmax",ABJ17,AAC17="Capesize",ABC17,AAC17="VLOC",AAV17)))))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Q17" s="75" t="e">
        <f t="array" aca="1" ref="AEQ17" ca="1">INDEX(Canals!$AF$24:$AF$29,MATCH(2,1/((Canals!$F$24:$F$29&lt;=$C17)*(Canals!$G$24:$G$29=_xlfn.IFS(AAC17="Handysize",Main!ACL17,AAC17="Supramax",ACE17,AAC17="Panamax",ABX17,AAC17="NeoPanamax",ABQ17,AAC17="Suezmax",ABJ17,AAC17="Capesize",ABC17,AAC17="VLOC",AAV17)))))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R17" s="75" t="e">
        <f t="array" aca="1" ref="AER17" ca="1">INDEX(Canals!$AG$24:$AG$29,MATCH(2,1/((Canals!$F$24:$F$29&lt;=$C17)*(Canals!$G$24:$G$29=_xlfn.IFS(AAC17="Handysize",Main!ACL17,AAC17="Supramax",ACE17,AAC17="Panamax",ABX17,AAC17="NeoPanamax",ABQ17,AAC17="Suezmax",ABJ17,AAC17="Capesize",ABC17,AAC17="VLOC",AAV17)))))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S17" s="75" t="e">
        <f t="array" aca="1" ref="AES17" ca="1">INDEX(Canals!$AH$24:$AH$29,MATCH(2,1/((Canals!$F$24:$F$29&lt;=$C17)*(Canals!$G$24:$G$29=_xlfn.IFS(AAC17="Handysize",Main!ACL17,AAC17="Supramax",ACE17,AAC17="Panamax",ABX17,AAC17="NeoPanamax",ABQ17,AAC17="Suezmax",ABJ17,AAC17="Capesize",ABC17,AAC17="VLOC",AAV17)))))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T17" s="75" t="e">
        <f t="array" aca="1" ref="AET17" ca="1">INDEX(Canals!$AI$24:$AI$29,MATCH(2,1/((Canals!$F$24:$F$29&lt;=$C17)*(Canals!$G$24:$G$29=_xlfn.IFS(AAC17="Handysize",Main!ACL17,AAC17="Supramax",ACE17,AAC17="Panamax",ABX17,AAC17="NeoPanamax",ABQ17,AAC17="Suezmax",ABJ17,AAC17="Capesize",ABC17,AAC17="VLOC",AAV17)))))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U17" s="75" t="e">
        <f t="array" aca="1" ref="AEU17" ca="1">INDEX(Canals!$AJ$24:$AJ$29,MATCH(2,1/((Canals!$F$24:$F$29&lt;=$C17)*(Canals!$G$24:$G$29=_xlfn.IFS(AAC17="Handysize",Main!ACL17,AAC17="Supramax",ACE17,AAC17="Panamax",ABX17,AAC17="NeoPanamax",ABQ17,AAC17="Suezmax",ABJ17,AAC17="Capesize",ABC17,AAC17="VLOC",AAV17)))))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V17" s="75" t="e">
        <f t="array" aca="1" ref="AEV17" ca="1">INDEX(Canals!$AK$24:$AK$29,MATCH(2,1/((Canals!$F$24:$F$29&lt;=$C17)*(Canals!$G$24:$G$29=_xlfn.IFS(AAC17="Handysize",Main!ACL17,AAC17="Supramax",ACE17,AAC17="Panamax",ABX17,AAC17="NeoPanamax",ABQ17,AAC17="Suezmax",ABJ17,AAC17="Capesize",ABC17,AAC17="VLOC",AAV17)))))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W17" s="136" t="e">
        <f t="array" aca="1" ref="AEW17" ca="1">INDEX(Canals!$AL$24:$AL$29,MATCH(2,1/((Canals!$F$24:$F$29&lt;=$C17)*(Canals!$G$24:$G$29=_xlfn.IFS(AAC17="Handysize",Main!ACL17,AAC17="Supramax",ACE17,AAC17="Panamax",ABX17,AAC17="NeoPanamax",ABQ17,AAC17="Suezmax",ABJ17,AAC17="Capesize",ABC17,AAC17="VLOC",AAV17)))))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X17" s="136" t="e">
        <f t="array" aca="1" ref="AEX17" ca="1">INDEX(Canals!$AM$24:$AM$29,MATCH(2,1/((Canals!$F$24:$F$29&lt;=$C17)*(Canals!$G$24:$G$29=_xlfn.IFS(AAC17="Handysize",Main!ACL17,AAC17="Supramax",ACE17,AAC17="Panamax",ABX17,AAC17="NeoPanamax",ABQ17,AAC17="Suezmax",ABJ17,AAC17="Capesize",ABC17,AAC17="VLOC",AAV17)))))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Y17" s="136" t="e">
        <f t="array" aca="1" ref="AEY17" ca="1">INDEX(Canals!$AN$24:$AN$29,MATCH(2,1/((Canals!$F$24:$F$29&lt;=$C17)*(Canals!$G$24:$G$29=_xlfn.IFS(AAC17="Handysize",Main!ACL17,AAC17="Supramax",ACE17,AAC17="Panamax",ABX17,AAC17="NeoPanamax",ABQ17,AAC17="Suezmax",ABJ17,AAC17="Capesize",ABC17,AAC17="VLOC",AAV17)))))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EZ17" s="136" t="e">
        <f t="array" aca="1" ref="AEZ17" ca="1">INDEX(Canals!$AO$24:$AO$29,MATCH(2,1/((Canals!$F$24:$F$29&lt;=$C17)*(Canals!$G$24:$G$29=_xlfn.IFS(AAC17="Handysize",Main!ACL17,AAC17="Supramax",ACE17,AAC17="Panamax",ABX17,AAC17="NeoPanamax",ABQ17,AAC17="Suezmax",ABJ17,AAC17="Capesize",ABC17,AAC17="VLOC",AAV17)))))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A17" s="136" t="e">
        <f t="array" aca="1" ref="AFA17" ca="1">INDEX(Canals!$AP$24:$AP$29,MATCH(2,1/((Canals!$F$24:$F$29&lt;=$C17)*(Canals!$G$24:$G$29=_xlfn.IFS(AAC17="Handysize",Main!ACL17,AAC17="Supramax",ACE17,AAC17="Panamax",ABX17,AAC17="NeoPanamax",ABQ17,AAC17="Suezmax",ABJ17,AAC17="Capesize",ABC17,AAC17="VLOC",AAV17)))))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B17" s="136" t="e">
        <f t="array" aca="1" ref="AFB17" ca="1">INDEX(Canals!$AQ$24:$AQ$29,MATCH(2,1/((Canals!$F$24:$F$29&lt;=$C17)*(Canals!$G$24:$G$29=_xlfn.IFS(AAC17="Handysize",Main!ACL17,AAC17="Supramax",ACE17,AAC17="Panamax",ABX17,AAC17="NeoPanamax",ABQ17,AAC17="Suezmax",ABJ17,AAC17="Capesize",ABC17,AAC17="VLOC",AAV17)))))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C17" s="136" t="e">
        <f t="array" aca="1" ref="AFC17" ca="1">INDEX(Canals!$AR$24:$AR$29,MATCH(2,1/((Canals!$F$24:$F$29&lt;=$C17)*(Canals!$G$24:$G$29=_xlfn.IFS(AAC17="Handysize",Main!ACL17,AAC17="Supramax",ACE17,AAC17="Panamax",ABX17,AAC17="NeoPanamax",ABQ17,AAC17="Suezmax",ABJ17,AAC17="Capesize",ABC17,AAC17="VLOC",AAV17)))))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D17" s="136" t="e">
        <f t="array" aca="1" ref="AFD17" ca="1">INDEX(Canals!$AS$24:$AS$29,MATCH(2,1/((Canals!$F$24:$F$29&lt;=$C17)*(Canals!$G$24:$G$29=_xlfn.IFS(AAC17="Handysize",Main!ACL17,AAC17="Supramax",ACE17,AAC17="Panamax",ABX17,AAC17="NeoPanamax",ABQ17,AAC17="Suezmax",ABJ17,AAC17="Capesize",ABC17,AAC17="VLOC",AAV17)))))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E17" s="136" t="e">
        <f t="array" aca="1" ref="AFE17" ca="1">INDEX(Canals!$AT$24:$AT$29,MATCH(2,1/((Canals!$F$24:$F$29&lt;=$C17)*(Canals!$G$24:$G$29=_xlfn.IFS(AAC17="Handysize",Main!ACL17,AAC17="Supramax",ACE17,AAC17="Panamax",ABX17,AAC17="NeoPanamax",ABQ17,AAC17="Suezmax",ABJ17,AAC17="Capesize",ABC17,AAC17="VLOC",AAV17)))))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F17" s="136" t="e">
        <f t="array" aca="1" ref="AFF17" ca="1">INDEX(Canals!$AU$24:$AU$29,MATCH(2,1/((Canals!$F$24:$F$29&lt;=$C17)*(Canals!$G$24:$G$29=_xlfn.IFS(AAC17="Handysize",Main!ACL17,AAC17="Supramax",ACE17,AAC17="Panamax",ABX17,AAC17="NeoPanamax",ABQ17,AAC17="Suezmax",ABJ17,AAC17="Capesize",ABC17,AAC17="VLOC",AAV17)))))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G17" s="136" t="e">
        <f t="array" aca="1" ref="AFG17" ca="1">INDEX(Canals!$AV$24:$AV$29,MATCH(2,1/((Canals!$F$24:$F$29&lt;=$C17)*(Canals!$G$24:$G$29=_xlfn.IFS(AAC17="Handysize",Main!ACL17,AAC17="Supramax",ACE17,AAC17="Panamax",ABX17,AAC17="NeoPanamax",ABQ17,AAC17="Suezmax",ABJ17,AAC17="Capesize",ABC17,AAC17="VLOC",AAV17)))))</f>
        <v>#N/A</v>
      </c>
      <c r="AFI17" s="75" t="e">
        <f t="array" aca="1" ref="AFI17" ca="1">_xlfn.IFS(ADT17="DWT",AAA17,ADT17="NRT",AAE17,ADT17="GRT",AAF17)</f>
        <v>#NAME?</v>
      </c>
      <c r="AFJ17" s="279" t="e">
        <f t="shared" ca="1" si="176"/>
        <v>#NAME?</v>
      </c>
      <c r="AFK17" s="280" t="e">
        <f t="shared" ca="1" si="177"/>
        <v>#NAME?</v>
      </c>
      <c r="AFL17" s="280" t="e">
        <f t="shared" ca="1" si="178"/>
        <v>#NAME?</v>
      </c>
      <c r="AFM17" s="280" t="e">
        <f t="shared" ca="1" si="179"/>
        <v>#NAME?</v>
      </c>
      <c r="AFN17" s="280" t="e">
        <f t="shared" ca="1" si="180"/>
        <v>#NAME?</v>
      </c>
      <c r="AFO17" s="280" t="e">
        <f t="shared" ca="1" si="181"/>
        <v>#NAME?</v>
      </c>
      <c r="AFP17" s="280" t="e">
        <f t="shared" ca="1" si="182"/>
        <v>#NAME?</v>
      </c>
      <c r="AFQ17" s="280" t="e">
        <f t="shared" ca="1" si="183"/>
        <v>#NAME?</v>
      </c>
      <c r="AFR17" s="280" t="e">
        <f t="shared" ca="1" si="184"/>
        <v>#NAME?</v>
      </c>
      <c r="AFS17" s="75">
        <f t="shared" si="185"/>
        <v>46312.5</v>
      </c>
      <c r="AFT17" s="279" t="e">
        <f t="shared" ca="1" si="186"/>
        <v>#N/A</v>
      </c>
      <c r="AFU17" s="280" t="e">
        <f t="shared" ca="1" si="187"/>
        <v>#N/A</v>
      </c>
      <c r="AFV17" s="280" t="e">
        <f t="shared" ca="1" si="188"/>
        <v>#N/A</v>
      </c>
      <c r="AFW17" s="280" t="e">
        <f t="shared" ca="1" si="189"/>
        <v>#N/A</v>
      </c>
      <c r="AFX17" s="280" t="e">
        <f t="shared" ca="1" si="190"/>
        <v>#N/A</v>
      </c>
      <c r="AFY17" s="280" t="e">
        <f t="shared" ca="1" si="191"/>
        <v>#N/A</v>
      </c>
      <c r="AFZ17" s="280" t="e">
        <f t="shared" ca="1" si="192"/>
        <v>#N/A</v>
      </c>
      <c r="AGA17" s="280" t="e">
        <f t="shared" ca="1" si="193"/>
        <v>#N/A</v>
      </c>
      <c r="AGB17" s="280" t="e">
        <f t="shared" ca="1" si="194"/>
        <v>#N/A</v>
      </c>
      <c r="AGD17" s="75" t="e">
        <f t="array" aca="1" ref="AGD17" ca="1">_xlfn.IFS(AAC17="Handysize",Main!ACF17,AAC17="Supramax",ABY17,AAC17="Panamax",ABR17,AAC17="NeoPanamax",ABK17,AAC17="Suezmax",ABD17,AAC17="Capesize",AAW17,AAC17="VLOC",AAP17)*$JI17</f>
        <v>#NAME?</v>
      </c>
      <c r="AGE17" s="274" t="e">
        <f t="array" aca="1" ref="AGE17" ca="1">_xlfn.IFS(AAC17="Handysize",Main!ACG17,AAC17="Supramax",ABZ17,AAC17="Panamax",ABS17,AAC17="NeoPanamax",ABL17,AAC17="Suezmax",ABE17,AAC17="Capesize",AAX17,AAC17="VLOC",AAQ17)*$JI17</f>
        <v>#NAME?</v>
      </c>
      <c r="AGF17" s="71" t="e">
        <f t="array" aca="1" ref="AGF17" ca="1">_xlfn.IFS(AAC17="Handysize",Main!AAH17,AAC17="Supramax",AAI17,AAC17="Panamax",AAJ17,AAC17="NeoPanamax",AAK17,AAC17="Suezmax",AAL17,AAC17="Capesize",AAM17,AAC17="VLOC",AAN17)</f>
        <v>#NAME?</v>
      </c>
      <c r="AGG17" s="71" t="e">
        <f t="array" aca="1" ref="AGG17" ca="1">_xlfn.IFS(AAC17="Handysize",Main!ACT17,AAC17="Supramax",ACU17,AAC17="Panamax",ACV17,AAC17="NeoPanamax",ACW17,AAC17="Suezmax",ACX17,AAC17="Capesize",ACY17,AAC17="VLOC",ACZ17)</f>
        <v>#NAME?</v>
      </c>
      <c r="AGH17" s="70">
        <f t="array" ref="AGH17">INDEX('Ship Speeds'!$G$11:$G$1011,MATCH(2,1/(('Ship Speeds'!$E$11:$E$1011&lt;=Main!$C17)*('Ship Speeds'!$F$11:$F$1011=Main!AAB17))))</f>
        <v>11</v>
      </c>
      <c r="AGI17" s="403">
        <f t="shared" si="195"/>
        <v>15.552678737729259</v>
      </c>
      <c r="AGJ17" s="401">
        <f t="shared" si="196"/>
        <v>1.7073</v>
      </c>
      <c r="AGK17" s="70" t="e">
        <f t="shared" ca="1" si="197"/>
        <v>#NAME?</v>
      </c>
      <c r="AGL17" s="70" t="e">
        <f t="shared" ca="1" si="198"/>
        <v>#NAME?</v>
      </c>
      <c r="AGM17" s="70" t="e">
        <f t="shared" ca="1" si="199"/>
        <v>#NAME?</v>
      </c>
      <c r="AGN17" s="70" t="e">
        <f t="shared" ca="1" si="200"/>
        <v>#NAME?</v>
      </c>
      <c r="AGO17" s="72" t="e">
        <f t="shared" ca="1" si="201"/>
        <v>#N/A</v>
      </c>
      <c r="AGP17" s="70" t="e">
        <f t="shared" ca="1" si="202"/>
        <v>#NAME?</v>
      </c>
      <c r="AGQ17" s="70" t="e">
        <f t="array" aca="1" ref="AGQ17" ca="1">INDEX(ACN17:ACR17,MATCH(_xlfn.IFS(AAC17="Handysize",Main!ACJ17,AAC17="Supramax",ACC17,AAC17="Panamax",ABV17,AAC17="NeoPanamax",ABO17,AAC17="Suezmax",ABH17,AAC17="Capesize",ABA17,AAC17="VLOC",AAT17),$ACN$7:$ACR$7,0))</f>
        <v>#NAME?</v>
      </c>
      <c r="AGR17" s="70" t="e">
        <f t="array" aca="1" ref="AGR17" ca="1">INDEX(ACN17:ACR17,MATCH(_xlfn.IFS(AAC17="Handysize",Main!ACK17,AAC17="Supramax",ACD17,AAC17="Panamax",ABW17,AAC17="NeoPanamax",ABP17,AAC17="Suezmax",ABI17,AAC17="Capesize",ABB17,AAC17="VLOC",AAU17),$ACN$7:$ACR$7,0))</f>
        <v>#NAME?</v>
      </c>
      <c r="AGS17" s="71" t="e">
        <f t="shared" ca="1" si="203"/>
        <v>#NAME?</v>
      </c>
      <c r="AGT17" s="71" t="e">
        <f t="shared" ca="1" si="204"/>
        <v>#NAME?</v>
      </c>
      <c r="AGU17" s="281">
        <f t="shared" si="205"/>
        <v>7.0759999999999987</v>
      </c>
      <c r="AGV17" s="71">
        <f t="shared" si="206"/>
        <v>1744.2057659694747</v>
      </c>
      <c r="AGW17" s="71" t="e">
        <f t="shared" ca="1" si="207"/>
        <v>#NAME?</v>
      </c>
      <c r="AGX17" s="71" t="e">
        <f t="shared" ca="1" si="208"/>
        <v>#NAME?</v>
      </c>
      <c r="AGY17" s="71">
        <f t="shared" si="209"/>
        <v>17278.829847371399</v>
      </c>
      <c r="AGZ17" s="71" t="e">
        <f t="shared" ca="1" si="210"/>
        <v>#NAME?</v>
      </c>
      <c r="AHA17" s="71" t="e">
        <f t="shared" ca="1" si="211"/>
        <v>#NAME?</v>
      </c>
      <c r="AHB17" s="71">
        <f t="shared" si="212"/>
        <v>12267.042820802715</v>
      </c>
      <c r="AHC17" s="71" t="e">
        <f t="shared" ca="1" si="213"/>
        <v>#NAME?</v>
      </c>
      <c r="AHD17" s="71" t="e">
        <f t="shared" ca="1" si="214"/>
        <v>#NAME?</v>
      </c>
      <c r="AHE17" s="71">
        <f t="shared" si="215"/>
        <v>0</v>
      </c>
      <c r="AHF17" s="71" t="e">
        <f t="shared" ca="1" si="216"/>
        <v>#NAME?</v>
      </c>
      <c r="AHG17" s="71" t="e">
        <f t="shared" ca="1" si="217"/>
        <v>#NAME?</v>
      </c>
      <c r="AHH17" s="72">
        <f t="shared" si="218"/>
        <v>5216.1429479932176</v>
      </c>
      <c r="AHI17" s="72" t="e">
        <f t="shared" ca="1" si="219"/>
        <v>#NAME?</v>
      </c>
      <c r="AHJ17" s="71" t="e">
        <f t="shared" ca="1" si="220"/>
        <v>#NAME?</v>
      </c>
      <c r="AHK17" s="71" t="e">
        <f t="array" aca="1" ref="AHK17" ca="1">INDEX('Ship Time Charter Rates'!$H$22:$H$1021,MATCH(2,1/(('Ship Time Charter Rates'!$G$22:$G$1021=_xlfn.IFS(AAC17="Handysize",Main!ACH17,AAC17="Supramax",ACA17,AAC17="Panamax",ABT17,AAC17="NeoPanamax",ABM17,AAC17="Suezmax",ABF17,AAC17="Capesize",AAY17,AAC17="VLOC",AAR17))*('Ship Time Charter Rates'!$E$22:$E$1021&lt;=Main!$C17)*(NOT(ISBLANK('Ship Time Charter Rates'!$H$22:$H$1021))))))</f>
        <v>#N/A</v>
      </c>
      <c r="AHL17" s="71" t="e">
        <f t="shared" ca="1" si="221"/>
        <v>#NAME?</v>
      </c>
      <c r="AHM17" s="70" t="e">
        <f t="shared" ca="1" si="222"/>
        <v>#N/A</v>
      </c>
      <c r="AHN17" s="71" t="e">
        <f t="shared" ca="1" si="223"/>
        <v>#NAME?</v>
      </c>
      <c r="AHO17" s="71" t="e">
        <f t="shared" ca="1" si="306"/>
        <v>#NAME?</v>
      </c>
      <c r="AHP17" s="72" t="e">
        <f t="shared" ca="1" si="307"/>
        <v>#NAME?</v>
      </c>
      <c r="AHR17" s="25">
        <f t="shared" si="323"/>
        <v>0</v>
      </c>
      <c r="AHS17" s="4" t="str">
        <f>VLOOKUP(AHR17,'Ship Time Charter Rates'!$F$10:$G$17,2,TRUE)</f>
        <v>Handysize</v>
      </c>
      <c r="AHT17" s="4" t="str">
        <f>VLOOKUP(AHR17,Canals!$E$5:$F$12,2,TRUE)</f>
        <v>Handysize</v>
      </c>
      <c r="AHU17" s="25">
        <f t="shared" si="224"/>
        <v>145.88999999999999</v>
      </c>
      <c r="AHV17" s="25">
        <f t="shared" si="225"/>
        <v>0</v>
      </c>
      <c r="AHW17" s="25">
        <f t="shared" si="226"/>
        <v>4797</v>
      </c>
      <c r="AHY17" s="75">
        <f t="array" ref="AHY17">INDEX('Indices Mines Exporting Ports'!$R$20:$R$51,MATCH(2,1/(('Indices Mines Exporting Ports'!$D$20:$D$51&lt;=Main!$C17)*('Indices Mines Exporting Ports'!$Q$20:$Q$51=$AQ17))))</f>
        <v>0</v>
      </c>
      <c r="AHZ17" s="75">
        <f t="array" ref="AHZ17">INDEX('Indices Mines Exporting Ports'!$S$20:$S$51,MATCH(2,1/(('Indices Mines Exporting Ports'!$D$20:$D$51&lt;=Main!$C17)*('Indices Mines Exporting Ports'!$Q$20:$Q$51=$AQ17))))</f>
        <v>0</v>
      </c>
      <c r="AIA17" s="75">
        <f t="array" ref="AIA17">INDEX('Indices Mines Exporting Ports'!$T$20:$T$51,MATCH(2,1/(('Indices Mines Exporting Ports'!$D$20:$D$51&lt;=Main!$C17)*('Indices Mines Exporting Ports'!$Q$20:$Q$51=$AQ17))))</f>
        <v>0</v>
      </c>
      <c r="AIB17" s="75">
        <f t="array" ref="AIB17">INDEX('Indices Mines Exporting Ports'!$U$20:$U$51,MATCH(2,1/(('Indices Mines Exporting Ports'!$D$20:$D$51&lt;=Main!$C17)*('Indices Mines Exporting Ports'!$Q$20:$Q$51=$AQ17))))</f>
        <v>0</v>
      </c>
      <c r="AIC17" s="75">
        <f t="array" ref="AIC17">INDEX('Indices Mines Exporting Ports'!$V$20:$V$51,MATCH(2,1/(('Indices Mines Exporting Ports'!$D$20:$D$51&lt;=Main!$C17)*('Indices Mines Exporting Ports'!$Q$20:$Q$51=$AQ17))))</f>
        <v>0</v>
      </c>
      <c r="AID17" s="75">
        <f t="array" ref="AID17">INDEX('Indices Mines Exporting Ports'!$W$20:$W$51,MATCH(2,1/(('Indices Mines Exporting Ports'!$D$20:$D$51&lt;=Main!$C17)*('Indices Mines Exporting Ports'!$Q$20:$Q$51=$AQ17))))</f>
        <v>0</v>
      </c>
      <c r="AIE17" s="75">
        <f t="array" ref="AIE17">INDEX('Indices Mines Exporting Ports'!$X$20:$X$51,MATCH(2,1/(('Indices Mines Exporting Ports'!$D$20:$D$51&lt;=Main!$C17)*('Indices Mines Exporting Ports'!$Q$20:$Q$51=$AQ17))))</f>
        <v>0</v>
      </c>
      <c r="AIG17" s="75">
        <f t="array" ref="AIG17">INDEX('Port Linkages'!$E$18:$E$157,MATCH(2,1/(('Port Linkages'!$C$18:$C$157=$AQ17)*('Port Linkages'!$D$18:$D$157=IF($AO17="no",$AQ17,$KK17))*('Port Linkages'!$A$18:$A$157&lt;=$C17))))</f>
        <v>0</v>
      </c>
      <c r="AIH17" s="75">
        <f t="array" ref="AIH17">INDEX('Port Linkages'!$F$18:$F$157,MATCH(2,1/(('Port Linkages'!$C$18:$C$157=$AQ17)*('Port Linkages'!$D$18:$D$157=IF($AO17="no",$AQ17,$KK17))*('Port Linkages'!$A$18:$A$157&lt;=$C17))))</f>
        <v>0</v>
      </c>
      <c r="AII17" s="75">
        <f t="array" ref="AII17">INDEX('Port Linkages'!$G$18:$G$157,MATCH(2,1/(('Port Linkages'!$C$18:$C$157=$AQ17)*('Port Linkages'!$D$18:$D$157=IF($AO17="no",$AQ17,$KK17))*('Port Linkages'!$A$18:$A$157&lt;=$C17))))</f>
        <v>0</v>
      </c>
      <c r="AIJ17" s="75">
        <f t="array" ref="AIJ17">INDEX('Port Linkages'!$H$18:$H$157,MATCH(2,1/(('Port Linkages'!$C$18:$C$157=$AQ17)*('Port Linkages'!$D$18:$D$157=IF($AO17="no",$AQ17,$KK17))*('Port Linkages'!$A$18:$A$157&lt;=$C17))))</f>
        <v>0</v>
      </c>
      <c r="AIK17" s="75">
        <f t="array" ref="AIK17">INDEX('Port Linkages'!$I$18:$I$157,MATCH(2,1/(('Port Linkages'!$C$18:$C$157=$AQ17)*('Port Linkages'!$D$18:$D$157=IF($AO17="no",$AQ17,$KK17))*('Port Linkages'!$A$18:$A$157&lt;=$C17))))</f>
        <v>0</v>
      </c>
      <c r="AIL17" s="75">
        <f t="array" ref="AIL17">INDEX('Port Linkages'!$J$18:$J$157,MATCH(2,1/(('Port Linkages'!$C$18:$C$157=$AQ17)*('Port Linkages'!$D$18:$D$157=IF($AO17="no",$AQ17,$KK17))*('Port Linkages'!$A$18:$A$157&lt;=$C17))))</f>
        <v>0</v>
      </c>
      <c r="AIM17" s="75">
        <f t="array" ref="AIM17">INDEX('Port Linkages'!$K$18:$K$157,MATCH(2,1/(('Port Linkages'!$C$18:$C$157=$AQ17)*('Port Linkages'!$D$18:$D$157=IF($AO17="no",$AQ17,$KK17))*('Port Linkages'!$A$18:$A$157&lt;=$C17))))</f>
        <v>0</v>
      </c>
      <c r="AIN17" s="75">
        <f t="array" ref="AIN17">INDEX('Port Linkages'!$L$18:$L$157,MATCH(2,1/(('Port Linkages'!$C$18:$C$157=$AQ17)*('Port Linkages'!$D$18:$D$157=IF($AO17="no",$AQ17,$KK17))*('Port Linkages'!$A$18:$A$157&lt;=$C17))))</f>
        <v>0</v>
      </c>
      <c r="AIO17" s="75">
        <f t="array" ref="AIO17">INDEX('Port Linkages'!$M$18:$M$157,MATCH(2,1/(('Port Linkages'!$C$18:$C$157=$AQ17)*('Port Linkages'!$D$18:$D$157=IF($AO17="no",$AQ17,$KK17))*('Port Linkages'!$A$18:$A$157&lt;=$C17))))</f>
        <v>0</v>
      </c>
      <c r="AIP17" s="75">
        <f t="array" ref="AIP17">INDEX('Port Linkages'!$N$18:$N$157,MATCH(2,1/(('Port Linkages'!$C$18:$C$157=$AQ17)*('Port Linkages'!$D$18:$D$157=IF($AO17="no",$AQ17,$KK17))*('Port Linkages'!$A$18:$A$157&lt;=$C17))))</f>
        <v>0</v>
      </c>
      <c r="AIQ17" s="75">
        <f t="array" ref="AIQ17">INDEX('Port Linkages'!$O$18:$O$157,MATCH(2,1/(('Port Linkages'!$C$18:$C$157=$AQ17)*('Port Linkages'!$D$18:$D$157=IF($AO17="no",$AQ17,$KK17))*('Port Linkages'!$A$18:$A$157&lt;=$C17))))</f>
        <v>0</v>
      </c>
      <c r="AIR17" s="75">
        <f t="array" ref="AIR17">INDEX('Port Linkages'!$P$18:$P$157,MATCH(2,1/(('Port Linkages'!$C$18:$C$157=$AQ17)*('Port Linkages'!$D$18:$D$157=IF($AO17="no",$AQ17,$KK17))*('Port Linkages'!$A$18:$A$157&lt;=$C17))))</f>
        <v>0</v>
      </c>
      <c r="AIS17" s="75">
        <f t="array" ref="AIS17">INDEX('Port Linkages'!$Q$18:$Q$157,MATCH(2,1/(('Port Linkages'!$C$18:$C$157=$AQ17)*('Port Linkages'!$D$18:$D$157=IF($AO17="no",$AQ17,$KK17))*('Port Linkages'!$A$18:$A$157&lt;=$C17))))</f>
        <v>0</v>
      </c>
      <c r="AIT17" s="75">
        <f t="array" ref="AIT17">INDEX('Port Linkages'!$R$18:$R$157,MATCH(2,1/(('Port Linkages'!$C$18:$C$157=$AQ17)*('Port Linkages'!$D$18:$D$157=IF($AO17="no",$AQ17,$KK17))*('Port Linkages'!$A$18:$A$157&lt;=$C17))))</f>
        <v>0</v>
      </c>
      <c r="AIU17" s="75">
        <f t="array" ref="AIU17">INDEX('Port Linkages'!$S$18:$S$157,MATCH(2,1/(('Port Linkages'!$C$18:$C$157=$AQ17)*('Port Linkages'!$D$18:$D$157=IF($AO17="no",$AQ17,$KK17))*('Port Linkages'!$A$18:$A$157&lt;=$C17))))</f>
        <v>0</v>
      </c>
      <c r="AIV17" s="75">
        <f t="array" ref="AIV17">INDEX('Port Linkages'!$T$18:$T$157,MATCH(2,1/(('Port Linkages'!$C$18:$C$157=$AQ17)*('Port Linkages'!$D$18:$D$157=IF($AO17="no",$AQ17,$KK17))*('Port Linkages'!$A$18:$A$157&lt;=$C17))))</f>
        <v>0</v>
      </c>
      <c r="AIW17" s="75">
        <f t="array" ref="AIW17">INDEX('Port Linkages'!$U$18:$U$157,MATCH(2,1/(('Port Linkages'!$C$18:$C$157=$AQ17)*('Port Linkages'!$D$18:$D$157=IF($AO17="no",$AQ17,$KK17))*('Port Linkages'!$A$18:$A$157&lt;=$C17))))</f>
        <v>0</v>
      </c>
      <c r="AIX17" s="75">
        <f t="array" ref="AIX17">INDEX('Port Linkages'!$V$18:$V$157,MATCH(2,1/(('Port Linkages'!$C$18:$C$157=$AQ17)*('Port Linkages'!$D$18:$D$157=IF($AO17="no",$AQ17,$KK17))*('Port Linkages'!$A$18:$A$157&lt;=$C17))))</f>
        <v>0</v>
      </c>
      <c r="AIY17" s="75">
        <f t="array" ref="AIY17">INDEX('Port Linkages'!$W$18:$W$157,MATCH(2,1/(('Port Linkages'!$C$18:$C$157=$AQ17)*('Port Linkages'!$D$18:$D$157=IF($AO17="no",$AQ17,$KK17))*('Port Linkages'!$A$18:$A$157&lt;=$C17))))</f>
        <v>0</v>
      </c>
      <c r="AIZ17" s="75">
        <f t="array" ref="AIZ17">INDEX('Port Linkages'!$X$18:$X$157,MATCH(2,1/(('Port Linkages'!$C$18:$C$157=$AQ17)*('Port Linkages'!$D$18:$D$157=IF($AO17="no",$AQ17,$KK17))*('Port Linkages'!$A$18:$A$157&lt;=$C17))))</f>
        <v>0</v>
      </c>
      <c r="AJA17" s="75">
        <f t="array" ref="AJA17">INDEX('Port Linkages'!$Y$18:$Y$157,MATCH(2,1/(('Port Linkages'!$C$18:$C$157=$AQ17)*('Port Linkages'!$D$18:$D$157=IF($AO17="no",$AQ17,$KK17))*('Port Linkages'!$A$18:$A$157&lt;=$C17))))</f>
        <v>0</v>
      </c>
      <c r="AJB17" s="75">
        <f t="array" ref="AJB17">INDEX('Port Linkages'!$Z$18:$Z$157,MATCH(2,1/(('Port Linkages'!$C$18:$C$157=$AQ17)*('Port Linkages'!$D$18:$D$157=IF($AO17="no",$AQ17,$KK17))*('Port Linkages'!$A$18:$A$157&lt;=$C17))))</f>
        <v>0</v>
      </c>
      <c r="AJC17" s="75">
        <f t="array" ref="AJC17">INDEX('Port Linkages'!$AA$18:$AA$157,MATCH(2,1/(('Port Linkages'!$C$18:$C$157=$AQ17)*('Port Linkages'!$D$18:$D$157=IF($AO17="no",$AQ17,$KK17))*('Port Linkages'!$A$18:$A$157&lt;=$C17))))</f>
        <v>0</v>
      </c>
      <c r="AJD17" s="75">
        <f t="array" ref="AJD17">INDEX('Port Linkages'!$AB$18:$AB$157,MATCH(2,1/(('Port Linkages'!$C$18:$C$157=$AQ17)*('Port Linkages'!$D$18:$D$157=IF($AO17="no",$AQ17,$KK17))*('Port Linkages'!$A$18:$A$157&lt;=$C17))))</f>
        <v>0</v>
      </c>
      <c r="AJE17" s="75">
        <f t="array" ref="AJE17">INDEX('Port Linkages'!$AC$18:$AC$157,MATCH(2,1/(('Port Linkages'!$C$18:$C$157=$AQ17)*('Port Linkages'!$D$18:$D$157=IF($AO17="no",$AQ17,$KK17))*('Port Linkages'!$A$18:$A$157&lt;=$C17))))</f>
        <v>0</v>
      </c>
      <c r="AJF17" s="75">
        <f t="array" ref="AJF17">INDEX('Port Linkages'!$AD$18:$AD$157,MATCH(2,1/(('Port Linkages'!$C$18:$C$157=$AQ17)*('Port Linkages'!$D$18:$D$157=IF($AO17="no",$AQ17,$KK17))*('Port Linkages'!$A$18:$A$157&lt;=$C17))))</f>
        <v>0</v>
      </c>
      <c r="AJG17" s="75">
        <f t="array" ref="AJG17">INDEX('Port Linkages'!$AE$18:$AE$157,MATCH(2,1/(('Port Linkages'!$C$18:$C$157=$AQ17)*('Port Linkages'!$D$18:$D$157=IF($AO17="no",$AQ17,$KK17))*('Port Linkages'!$A$18:$A$157&lt;=$C17))))</f>
        <v>0</v>
      </c>
      <c r="AJH17" s="75">
        <f t="array" ref="AJH17">INDEX('Port Linkages'!$AF$18:$AF$157,MATCH(2,1/(('Port Linkages'!$C$18:$C$157=$AQ17)*('Port Linkages'!$D$18:$D$157=IF($AO17="no",$AQ17,$KK17))*('Port Linkages'!$A$18:$A$157&lt;=$C17))))</f>
        <v>0</v>
      </c>
      <c r="AJI17" s="75">
        <f t="array" ref="AJI17">INDEX('Port Linkages'!$AG$18:$AG$157,MATCH(2,1/(('Port Linkages'!$C$18:$C$157=$AQ17)*('Port Linkages'!$D$18:$D$157=IF($AO17="no",$AQ17,$KK17))*('Port Linkages'!$A$18:$A$157&lt;=$C17))))</f>
        <v>0</v>
      </c>
      <c r="AJJ17" s="75">
        <f t="array" ref="AJJ17">INDEX('Port Linkages'!$AH$18:$AH$157,MATCH(2,1/(('Port Linkages'!$C$18:$C$157=$AQ17)*('Port Linkages'!$D$18:$D$157=IF($AO17="no",$AQ17,$KK17))*('Port Linkages'!$A$18:$A$157&lt;=$C17))))</f>
        <v>0</v>
      </c>
      <c r="AJK17" s="75">
        <f t="array" ref="AJK17">INDEX('Port Linkages'!$AI$18:$AI$157,MATCH(2,1/(('Port Linkages'!$C$18:$C$157=$AQ17)*('Port Linkages'!$D$18:$D$157=IF($AO17="no",$AQ17,$KK17))*('Port Linkages'!$A$18:$A$157&lt;=$C17))))</f>
        <v>0</v>
      </c>
      <c r="AJL17" s="75">
        <f t="array" ref="AJL17">INDEX('Port Linkages'!$AJ$18:$AJ$157,MATCH(2,1/(('Port Linkages'!$C$18:$C$157=$AQ17)*('Port Linkages'!$D$18:$D$157=IF($AO17="no",$AQ17,$KK17))*('Port Linkages'!$A$18:$A$157&lt;=$C17))))</f>
        <v>0</v>
      </c>
      <c r="AJM17" s="75">
        <f t="array" ref="AJM17">INDEX('Port Linkages'!$AK$18:$AK$157,MATCH(2,1/(('Port Linkages'!$C$18:$C$157=$AQ17)*('Port Linkages'!$D$18:$D$157=IF($AO17="no",$AQ17,$KK17))*('Port Linkages'!$A$18:$A$157&lt;=$C17))))</f>
        <v>0</v>
      </c>
      <c r="AJN17" s="75">
        <f t="array" ref="AJN17">INDEX('Port Linkages'!$AL$18:$AL$157,MATCH(2,1/(('Port Linkages'!$C$18:$C$157=$AQ17)*('Port Linkages'!$D$18:$D$157=IF($AO17="no",$AQ17,$KK17))*('Port Linkages'!$A$18:$A$157&lt;=$C17))))</f>
        <v>0</v>
      </c>
      <c r="AJO17" s="75">
        <f t="array" ref="AJO17">INDEX('Port Linkages'!$AM$18:$AM$157,MATCH(2,1/(('Port Linkages'!$C$18:$C$157=$AQ17)*('Port Linkages'!$D$18:$D$157=IF($AO17="no",$AQ17,$KK17))*('Port Linkages'!$A$18:$A$157&lt;=$C17))))</f>
        <v>0</v>
      </c>
      <c r="AJP17" s="75">
        <f t="array" ref="AJP17">INDEX('Port Linkages'!$AN$18:$AN$157,MATCH(2,1/(('Port Linkages'!$C$18:$C$157=$AQ17)*('Port Linkages'!$D$18:$D$157=IF($AO17="no",$AQ17,$KK17))*('Port Linkages'!$A$18:$A$157&lt;=$C17))))</f>
        <v>0</v>
      </c>
      <c r="AJQ17" s="75">
        <f t="array" ref="AJQ17">INDEX('Port Linkages'!$AO$18:$AO$157,MATCH(2,1/(('Port Linkages'!$C$18:$C$157=$AQ17)*('Port Linkages'!$D$18:$D$157=IF($AO17="no",$AQ17,$KK17))*('Port Linkages'!$A$18:$A$157&lt;=$C17))))</f>
        <v>0</v>
      </c>
      <c r="AJR17" s="75">
        <f t="array" ref="AJR17">INDEX('Port Linkages'!$AP$18:$AP$157,MATCH(2,1/(('Port Linkages'!$C$18:$C$157=$AQ17)*('Port Linkages'!$D$18:$D$157=IF($AO17="no",$AQ17,$KK17))*('Port Linkages'!$A$18:$A$157&lt;=$C17))))</f>
        <v>0</v>
      </c>
      <c r="AJS17" s="75">
        <f t="array" ref="AJS17">INDEX('Port Linkages'!$AQ$18:$AQ$157,MATCH(2,1/(('Port Linkages'!$C$18:$C$157=$AQ17)*('Port Linkages'!$D$18:$D$157=IF($AO17="no",$AQ17,$KK17))*('Port Linkages'!$A$18:$A$157&lt;=$C17))))</f>
        <v>0</v>
      </c>
      <c r="AJT17" s="75">
        <f t="array" ref="AJT17">INDEX('Port Linkages'!$AR$18:$AR$157,MATCH(2,1/(('Port Linkages'!$C$18:$C$157=$AQ17)*('Port Linkages'!$D$18:$D$157=IF($AO17="no",$AQ17,$KK17))*('Port Linkages'!$A$18:$A$157&lt;=$C17))))</f>
        <v>0</v>
      </c>
      <c r="AJU17" s="75">
        <f t="array" ref="AJU17">INDEX('Port Linkages'!$AS$18:$AS$157,MATCH(2,1/(('Port Linkages'!$C$18:$C$157=$AQ17)*('Port Linkages'!$D$18:$D$157=IF($AO17="no",$AQ17,$KK17))*('Port Linkages'!$A$18:$A$157&lt;=$C17))))</f>
        <v>0</v>
      </c>
      <c r="AJV17" s="75">
        <f t="array" ref="AJV17">INDEX('Port Linkages'!$AT$18:$AT$157,MATCH(2,1/(('Port Linkages'!$C$18:$C$157=$AQ17)*('Port Linkages'!$D$18:$D$157=IF($AO17="no",$AQ17,$KK17))*('Port Linkages'!$A$18:$A$157&lt;=$C17))))</f>
        <v>0</v>
      </c>
      <c r="AJW17" s="75">
        <f t="array" ref="AJW17">INDEX('Port Linkages'!$AU$18:$AU$157,MATCH(2,1/(('Port Linkages'!$C$18:$C$157=$AQ17)*('Port Linkages'!$D$18:$D$157=IF($AO17="no",$AQ17,$KK17))*('Port Linkages'!$A$18:$A$157&lt;=$C17))))</f>
        <v>0</v>
      </c>
      <c r="AJX17" s="75">
        <f t="array" ref="AJX17">INDEX('Port Linkages'!$AV$18:$AV$157,MATCH(2,1/(('Port Linkages'!$C$18:$C$157=$AQ17)*('Port Linkages'!$D$18:$D$157=IF($AO17="no",$AQ17,$KK17))*('Port Linkages'!$A$18:$A$157&lt;=$C17))))</f>
        <v>0</v>
      </c>
      <c r="AJY17" s="75">
        <f t="array" ref="AJY17">INDEX('Port Linkages'!$AW$18:$AW$157,MATCH(2,1/(('Port Linkages'!$C$18:$C$157=$AQ17)*('Port Linkages'!$D$18:$D$157=IF($AO17="no",$AQ17,$KK17))*('Port Linkages'!$A$18:$A$157&lt;=$C17))))</f>
        <v>0</v>
      </c>
      <c r="AJZ17" s="75">
        <f t="array" ref="AJZ17">INDEX('Port Linkages'!$AX$18:$AX$157,MATCH(2,1/(('Port Linkages'!$C$18:$C$157=$AQ17)*('Port Linkages'!$D$18:$D$157=IF($AO17="no",$AQ17,$KK17))*('Port Linkages'!$A$18:$A$157&lt;=$C17))))</f>
        <v>0</v>
      </c>
      <c r="AKA17" s="75">
        <f t="array" ref="AKA17">INDEX('Port Linkages'!$AY$18:$AY$157,MATCH(2,1/(('Port Linkages'!$C$18:$C$157=$AQ17)*('Port Linkages'!$D$18:$D$157=IF($AO17="no",$AQ17,$KK17))*('Port Linkages'!$A$18:$A$157&lt;=$C17))))</f>
        <v>0</v>
      </c>
      <c r="AKB17" s="75">
        <f t="array" ref="AKB17">INDEX('Port Linkages'!$AZ$18:$AZ$157,MATCH(2,1/(('Port Linkages'!$C$18:$C$157=$AQ17)*('Port Linkages'!$D$18:$D$157=IF($AO17="no",$AQ17,$KK17))*('Port Linkages'!$A$18:$A$157&lt;=$C17))))</f>
        <v>0</v>
      </c>
      <c r="AKC17" s="75">
        <f t="array" ref="AKC17">INDEX('Port Linkages'!$BA$18:$BA$157,MATCH(2,1/(('Port Linkages'!$C$18:$C$157=$AQ17)*('Port Linkages'!$D$18:$D$157=IF($AO17="no",$AQ17,$KK17))*('Port Linkages'!$A$18:$A$157&lt;=$C17))))</f>
        <v>0</v>
      </c>
      <c r="AKE17" s="25" t="e">
        <f t="array" aca="1" ref="AKE17" ca="1">INDEX('Ship Fuel Prices'!$F$5:$F$1004,MATCH(2,1/(('Ship Fuel Prices'!$E$5:$E$1004=_xlfn.IFS(AHT17="Handysize",Main!AJZ17,AHT17="Supramax",AJS17,AHT17="Panamax",AJL17,AHT17="NeoPanamax",AJE17,AHT17="Suezmax",AIX17,AHT17="Capesize",AIQ17,AHT17="VLOC",AIJ17))*('Ship Fuel Prices'!$D$5:$D$1004&lt;=Main!$C17))))</f>
        <v>#N/A</v>
      </c>
      <c r="AKF17" s="25" t="e">
        <f t="array" aca="1" ref="AKF17" ca="1">INDEX('Ship Fuel Prices'!$G$5:$G$1004,MATCH(2,1/(('Ship Fuel Prices'!$E$5:$E$1004=_xlfn.IFS(AHT17="Handysize",Main!AJZ17,AHT17="Supramax",AJS17,AHT17="Panamax",AJL17,AHT17="NeoPanamax",AJE17,AHT17="Suezmax",AIX17,AHT17="Capesize",AIQ17,AHT17="VLOC",AIJ17))*('Ship Fuel Prices'!$D$5:$D$1004&lt;=Main!$C17))))</f>
        <v>#N/A</v>
      </c>
      <c r="AKG17" s="25" t="e">
        <f t="array" aca="1" ref="AKG17" ca="1">INDEX('Ship Fuel Prices'!$H$5:$H$1004,MATCH(2,1/(('Ship Fuel Prices'!$E$5:$E$1004=_xlfn.IFS(AHT17="Handysize",Main!AJZ17,AHT17="Supramax",AJS17,AHT17="Panamax",AJL17,AHT17="NeoPanamax",AJE17,AHT17="Suezmax",AIX17,AHT17="Capesize",AIQ17,AHT17="VLOC",AIJ17))*('Ship Fuel Prices'!$D$5:$D$1004&lt;=Main!$C17))))</f>
        <v>#N/A</v>
      </c>
      <c r="AKH17" s="25" t="e">
        <f t="array" aca="1" ref="AKH17" ca="1">INDEX('Ship Fuel Prices'!$I$5:$I$1004,MATCH(2,1/(('Ship Fuel Prices'!$E$5:$E$1004=_xlfn.IFS(AHT17="Handysize",Main!AJZ17,AHT17="Supramax",AJS17,AHT17="Panamax",AJL17,AHT17="NeoPanamax",AJE17,AHT17="Suezmax",AIX17,AHT17="Capesize",AIQ17,AHT17="VLOC",AIJ17))*('Ship Fuel Prices'!$D$5:$D$1004&lt;=Main!$C17))))</f>
        <v>#N/A</v>
      </c>
      <c r="AKI17" s="25" t="e">
        <f t="array" aca="1" ref="AKI17" ca="1">INDEX('Ship Fuel Prices'!$J$5:$J$1004,MATCH(2,1/(('Ship Fuel Prices'!$E$5:$E$1004=_xlfn.IFS(AHT17="Handysize",Main!AJZ17,AHT17="Supramax",AJS17,AHT17="Panamax",AJL17,AHT17="NeoPanamax",AJE17,AHT17="Suezmax",AIX17,AHT17="Capesize",AIQ17,AHT17="VLOC",AIJ17))*('Ship Fuel Prices'!$D$5:$D$1004&lt;=Main!$C17))))</f>
        <v>#N/A</v>
      </c>
      <c r="AKK17" s="75">
        <f t="array" ref="AKK17">INDEX('China n Importing Ports'!$E$20:$E$41,MATCH(2,1/(('China n Importing Ports'!$D$20:$D$41&lt;=$C17)*('China n Importing Ports'!$C$20:$C$41=IF($AO17="No",$AQ17,$KK17)))))</f>
        <v>0</v>
      </c>
      <c r="AKL17" s="75">
        <f t="array" ref="AKL17">INDEX('China n Importing Ports'!$F$20:$F$41,MATCH(2,1/(('China n Importing Ports'!$D$20:$D$41&lt;=$C17)*('China n Importing Ports'!$C$20:$C$41=IF($AO17="No",$AQ17,$KK17)))))</f>
        <v>0</v>
      </c>
      <c r="AKM17" s="75">
        <f t="array" ref="AKM17">INDEX('China n Importing Ports'!$G$20:$G$41,MATCH(2,1/(('China n Importing Ports'!$D$20:$D$41&lt;=$C17)*('China n Importing Ports'!$C$20:$C$41=IF($AO17="No",$AQ17,$KK17)))))</f>
        <v>0</v>
      </c>
      <c r="AKN17" s="75">
        <f t="array" ref="AKN17">INDEX('China n Importing Ports'!$H$20:$H$41,MATCH(2,1/(('China n Importing Ports'!$D$20:$D$41&lt;=$C17)*('China n Importing Ports'!$C$20:$C$41=IF($AO17="No",$AQ17,$KK17)))))</f>
        <v>0</v>
      </c>
      <c r="AKO17" s="75">
        <f t="array" ref="AKO17">INDEX('China n Importing Ports'!$I$20:$I$41,MATCH(2,1/(('China n Importing Ports'!$D$20:$D$41&lt;=$C17)*('China n Importing Ports'!$C$20:$C$41=IF($AO17="No",$AQ17,$KK17)))))</f>
        <v>0</v>
      </c>
      <c r="AKP17" s="75">
        <f t="array" ref="AKP17">INDEX('China n Importing Ports'!$J$20:$J$41,MATCH(2,1/(('China n Importing Ports'!$D$20:$D$41&lt;=$C17)*('China n Importing Ports'!$C$20:$C$41=IF($AO17="No",$AQ17,$KK17)))))</f>
        <v>0</v>
      </c>
      <c r="AKQ17" s="75">
        <f t="array" ref="AKQ17">INDEX('China n Importing Ports'!$K$20:$K$41,MATCH(2,1/(('China n Importing Ports'!$D$20:$D$41&lt;=$C17)*('China n Importing Ports'!$C$20:$C$41=IF($AO17="No",$AQ17,$KK17)))))</f>
        <v>0</v>
      </c>
      <c r="AKR17" s="75">
        <f t="array" ref="AKR17">INDEX('China n Importing Ports'!$L$20:$L$41,MATCH(2,1/(('China n Importing Ports'!$D$20:$D$41&lt;=$C17)*('China n Importing Ports'!$C$20:$C$41=IF($AO17="No",$AQ17,$KK17)))))</f>
        <v>0</v>
      </c>
      <c r="AKS17" s="75">
        <f t="array" ref="AKS17">INDEX('China n Importing Ports'!$M$20:$M$41,MATCH(2,1/(('China n Importing Ports'!$D$20:$D$41&lt;=$C17)*('China n Importing Ports'!$C$20:$C$41=IF($AO17="No",$AQ17,$KK17)))))</f>
        <v>0</v>
      </c>
      <c r="AKT17" s="75">
        <f t="array" ref="AKT17">INDEX('China n Importing Ports'!$N$20:$N$41,MATCH(2,1/(('China n Importing Ports'!$D$20:$D$41&lt;=$C17)*('China n Importing Ports'!$C$20:$C$41=IF($AO17="No",$AQ17,$KK17)))))</f>
        <v>0</v>
      </c>
      <c r="AKU17" s="75">
        <f t="array" ref="AKU17">INDEX('China n Importing Ports'!$O$20:$O$41,MATCH(2,1/(('China n Importing Ports'!$D$20:$D$41&lt;=$C17)*('China n Importing Ports'!$C$20:$C$41=IF($AO17="No",$AQ17,$KK17)))))</f>
        <v>0</v>
      </c>
      <c r="AKV17" s="136">
        <f t="array" ref="AKV17">INDEX('China n Importing Ports'!$P$20:$P$41,MATCH(2,1/(('China n Importing Ports'!$D$20:$D$41&lt;=$C17)*('China n Importing Ports'!$C$20:$C$41=IF($AO17="No",$AQ17,$KK17)))))</f>
        <v>0</v>
      </c>
      <c r="AKW17" s="136">
        <f t="array" ref="AKW17">INDEX('China n Importing Ports'!$Q$20:$Q$41,MATCH(2,1/(('China n Importing Ports'!$D$20:$D$41&lt;=$C17)*('China n Importing Ports'!$C$20:$C$41=IF($AO17="No",$AQ17,$KK17)))))</f>
        <v>0</v>
      </c>
      <c r="AKX17" s="136">
        <f t="array" ref="AKX17">INDEX('China n Importing Ports'!$R$20:$R$41,MATCH(2,1/(('China n Importing Ports'!$D$20:$D$41&lt;=$C17)*('China n Importing Ports'!$C$20:$C$41=IF($AO17="No",$AQ17,$KK17)))))</f>
        <v>0</v>
      </c>
      <c r="AKY17" s="136">
        <f t="array" ref="AKY17">INDEX('China n Importing Ports'!$S$20:$S$41,MATCH(2,1/(('China n Importing Ports'!$D$20:$D$41&lt;=$C17)*('China n Importing Ports'!$C$20:$C$41=IF($AO17="No",$AQ17,$KK17)))))</f>
        <v>0</v>
      </c>
      <c r="AKZ17" s="136">
        <f t="array" ref="AKZ17">INDEX('China n Importing Ports'!$T$20:$T$41,MATCH(2,1/(('China n Importing Ports'!$D$20:$D$41&lt;=$C17)*('China n Importing Ports'!$C$20:$C$41=IF($AO17="No",$AQ17,$KK17)))))</f>
        <v>0</v>
      </c>
      <c r="ALA17" s="136">
        <f t="array" ref="ALA17">INDEX('China n Importing Ports'!$U$20:$U$41,MATCH(2,1/(('China n Importing Ports'!$D$20:$D$41&lt;=$C17)*('China n Importing Ports'!$C$20:$C$41=IF($AO17="No",$AQ17,$KK17)))))</f>
        <v>0</v>
      </c>
      <c r="ALB17" s="136">
        <f t="array" ref="ALB17">INDEX('China n Importing Ports'!$V$20:$V$41,MATCH(2,1/(('China n Importing Ports'!$D$20:$D$41&lt;=$C17)*('China n Importing Ports'!$C$20:$C$41=IF($AO17="No",$AQ17,$KK17)))))</f>
        <v>0</v>
      </c>
      <c r="ALC17" s="136">
        <f t="array" ref="ALC17">INDEX('China n Importing Ports'!$W$20:$W$41,MATCH(2,1/(('China n Importing Ports'!$D$20:$D$41&lt;=$C17)*('China n Importing Ports'!$C$20:$C$41=IF($AO17="No",$AQ17,$KK17)))))</f>
        <v>0</v>
      </c>
      <c r="ALD17" s="136">
        <f t="array" ref="ALD17">INDEX('China n Importing Ports'!$X$20:$X$41,MATCH(2,1/(('China n Importing Ports'!$D$20:$D$41&lt;=$C17)*('China n Importing Ports'!$C$20:$C$41=IF($AO17="No",$AQ17,$KK17)))))</f>
        <v>0</v>
      </c>
      <c r="ALE17" s="136">
        <f t="array" ref="ALE17">INDEX('China n Importing Ports'!$Y$20:$Y$41,MATCH(2,1/(('China n Importing Ports'!$D$20:$D$41&lt;=$C17)*('China n Importing Ports'!$C$20:$C$41=IF($AO17="No",$AQ17,$KK17)))))</f>
        <v>0</v>
      </c>
      <c r="ALF17" s="136">
        <f t="array" ref="ALF17">INDEX('China n Importing Ports'!$Z$20:$Z$41,MATCH(2,1/(('China n Importing Ports'!$D$20:$D$41&lt;=$C17)*('China n Importing Ports'!$C$20:$C$41=IF($AO17="No",$AQ17,$KK17)))))</f>
        <v>0</v>
      </c>
      <c r="ALG17" s="136">
        <f t="array" ref="ALG17">INDEX('China n Importing Ports'!$AA$20:$AA$41,MATCH(2,1/(('China n Importing Ports'!$D$20:$D$41&lt;=$C17)*('China n Importing Ports'!$C$20:$C$41=IF($AO17="No",$AQ17,$KK17)))))</f>
        <v>0</v>
      </c>
      <c r="ALI17" s="75" t="e">
        <f t="array" aca="1" ref="ALI17" ca="1">INDEX(Canals!$G$24:$G$29,MATCH(2,1/((Canals!$F$24:$F$29&lt;=$C17)*(Canals!$G$24:$G$29=_xlfn.IFS(AHT17="Handysize",AKC17,AHT17="Supramax",AJV17,AHT17="Panamax",AJO17,AHT17="NeoPanamax",AJH17,AHT17="Suezmax",AJA17,AHT17="Capesize",AIT17,AHT17="VLOC",AIM17)))))</f>
        <v>#N/A</v>
      </c>
      <c r="ALJ17" s="75" t="e">
        <f t="array" aca="1" ref="ALJ17" ca="1">INDEX(Canals!$H$24:$H$29,MATCH(2,1/((Canals!$F$24:$F$29&lt;=$C17)*(Canals!$G$24:$G$29=_xlfn.IFS(AHT17="Handysize",AKC17,AHT17="Supramax",AJV17,AHT17="Panamax",AJO17,AHT17="NeoPanamax",AJH17,AHT17="Suezmax",AJA17,AHT17="Capesize",AIT17,AHT17="VLOC",AIM17)))))</f>
        <v>#N/A</v>
      </c>
      <c r="ALK17" s="75" t="e">
        <f t="array" aca="1" ref="ALK17" ca="1">INDEX(Canals!$I$24:$I$29,MATCH(2,1/((Canals!$F$24:$F$29&lt;=$C17)*(Canals!$G$24:$G$29=_xlfn.IFS(AHT17="Handysize",AKC17,AHT17="Supramax",AJV17,AHT17="Panamax",AJO17,AHT17="NeoPanamax",AJH17,AHT17="Suezmax",AJA17,AHT17="Capesize",AIT17,AHT17="VLOC",AIM17)))))</f>
        <v>#N/A</v>
      </c>
      <c r="ALL17" s="75" t="e">
        <f t="array" aca="1" ref="ALL17" ca="1">INDEX(Canals!$J$24:$J$29,MATCH(2,1/((Canals!$F$24:$F$29&lt;=$C17)*(Canals!$G$24:$G$29=_xlfn.IFS(AHT17="Handysize",Main!AKC17,AHT17="Supramax",AJV17,AHT17="Panamax",AJO17,AHT17="NeoPanamax",AJH17,AHT17="Suezmax",AJA17,AHT17="Capesize",AIT17,AHT17="VLOC",AIM17)))))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M17" s="75" t="e">
        <f t="array" aca="1" ref="ALM17" ca="1">INDEX(Canals!$K$24:$K$29,MATCH(2,1/((Canals!$F$24:$F$29&lt;=$C17)*(Canals!$G$24:$G$29=_xlfn.IFS(AHT17="Handysize",Main!AKC17,AHT17="Supramax",AJV17,AHT17="Panamax",AJO17,AHT17="NeoPanamax",AJH17,AHT17="Suezmax",AJA17,AHT17="Capesize",AIT17,AHT17="VLOC",AIM17)))))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N17" s="75" t="e">
        <f t="array" aca="1" ref="ALN17" ca="1">INDEX(Canals!$L$24:$L$29,MATCH(2,1/((Canals!$F$24:$F$29&lt;=$C17)*(Canals!$G$24:$G$29=_xlfn.IFS(AHT17="Handysize",Main!AKC17,AHT17="Supramax",AJV17,AHT17="Panamax",AJO17,AHT17="NeoPanamax",AJH17,AHT17="Suezmax",AJA17,AHT17="Capesize",AIT17,AHT17="VLOC",AIM17)))))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O17" s="75" t="e">
        <f t="array" aca="1" ref="ALO17" ca="1">INDEX(Canals!$M$24:$M$29,MATCH(2,1/((Canals!$F$24:$F$29&lt;=$C17)*(Canals!$G$24:$G$29=_xlfn.IFS(AHT17="Handysize",Main!AKC17,AHT17="Supramax",AJV17,AHT17="Panamax",AJO17,AHT17="NeoPanamax",AJH17,AHT17="Suezmax",AJA17,AHT17="Capesize",AIT17,AHT17="VLOC",AIM17)))))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P17" s="75" t="e">
        <f t="array" aca="1" ref="ALP17" ca="1">INDEX(Canals!$N$24:$N$29,MATCH(2,1/((Canals!$F$24:$F$29&lt;=$C17)*(Canals!$G$24:$G$29=_xlfn.IFS(AHT17="Handysize",Main!AKC17,AHT17="Supramax",AJV17,AHT17="Panamax",AJO17,AHT17="NeoPanamax",AJH17,AHT17="Suezmax",AJA17,AHT17="Capesize",AIT17,AHT17="VLOC",AIM17)))))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Q17" s="75" t="e">
        <f t="array" aca="1" ref="ALQ17" ca="1">INDEX(Canals!$O$24:$O$29,MATCH(2,1/((Canals!$F$24:$F$29&lt;=$C17)*(Canals!$G$24:$G$29=_xlfn.IFS(AHT17="Handysize",Main!AKC17,AHT17="Supramax",AJV17,AHT17="Panamax",AJO17,AHT17="NeoPanamax",AJH17,AHT17="Suezmax",AJA17,AHT17="Capesize",AIT17,AHT17="VLOC",AIM17)))))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R17" s="75" t="e">
        <f t="array" aca="1" ref="ALR17" ca="1">INDEX(Canals!$P$24:$P$29,MATCH(2,1/((Canals!$F$24:$F$29&lt;=$C17)*(Canals!$G$24:$G$29=_xlfn.IFS(AHT17="Handysize",Main!AKC17,AHT17="Supramax",AJV17,AHT17="Panamax",AJO17,AHT17="NeoPanamax",AJH17,AHT17="Suezmax",AJA17,AHT17="Capesize",AIT17,AHT17="VLOC",AIM17)))))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S17" s="75" t="e">
        <f t="array" aca="1" ref="ALS17" ca="1">INDEX(Canals!$Q$24:$Q$29,MATCH(2,1/((Canals!$F$24:$F$29&lt;=$C17)*(Canals!$G$24:$G$29=_xlfn.IFS(AHT17="Handysize",Main!AKC17,AHT17="Supramax",AJV17,AHT17="Panamax",AJO17,AHT17="NeoPanamax",AJH17,AHT17="Suezmax",AJA17,AHT17="Capesize",AIT17,AHT17="VLOC",AIM17)))))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T17" s="75" t="e">
        <f t="array" aca="1" ref="ALT17" ca="1">INDEX(Canals!$R$24:$R$29,MATCH(2,1/((Canals!$F$24:$F$29&lt;=$C17)*(Canals!$G$24:$G$29=_xlfn.IFS(AHT17="Handysize",Main!AKC17,AHT17="Supramax",AJV17,AHT17="Panamax",AJO17,AHT17="NeoPanamax",AJH17,AHT17="Suezmax",AJA17,AHT17="Capesize",AIT17,AHT17="VLOC",AIM17)))))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U17" s="136" t="e">
        <f t="array" aca="1" ref="ALU17" ca="1">INDEX(Canals!$S$24:$S$29,MATCH(2,1/((Canals!$F$24:$F$29&lt;=$C17)*(Canals!$G$24:$G$29=_xlfn.IFS(AHT17="Handysize",Main!AKC17,AHT17="Supramax",AJV17,AHT17="Panamax",AJO17,AHT17="NeoPanamax",AJH17,AHT17="Suezmax",AJA17,AHT17="Capesize",AIT17,AHT17="VLOC",AIM17)))))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V17" s="136" t="e">
        <f t="array" aca="1" ref="ALV17" ca="1">INDEX(Canals!$T$24:$T$29,MATCH(2,1/((Canals!$F$24:$F$29&lt;=$C17)*(Canals!$G$24:$G$29=_xlfn.IFS(AHT17="Handysize",Main!AKC17,AHT17="Supramax",AJV17,AHT17="Panamax",AJO17,AHT17="NeoPanamax",AJH17,AHT17="Suezmax",AJA17,AHT17="Capesize",AIT17,AHT17="VLOC",AIM17)))))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W17" s="136" t="e">
        <f t="array" aca="1" ref="ALW17" ca="1">INDEX(Canals!$U$24:$U$29,MATCH(2,1/((Canals!$F$24:$F$29&lt;=$C17)*(Canals!$G$24:$G$29=_xlfn.IFS(AHT17="Handysize",Main!AKC17,AHT17="Supramax",AJV17,AHT17="Panamax",AJO17,AHT17="NeoPanamax",AJH17,AHT17="Suezmax",AJA17,AHT17="Capesize",AIT17,AHT17="VLOC",AIM17)))))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X17" s="136" t="e">
        <f t="array" aca="1" ref="ALX17" ca="1">INDEX(Canals!$V$24:$V$29,MATCH(2,1/((Canals!$F$24:$F$29&lt;=$C17)*(Canals!$G$24:$G$29=_xlfn.IFS(AHT17="Handysize",Main!AKC17,AHT17="Supramax",AJV17,AHT17="Panamax",AJO17,AHT17="NeoPanamax",AJH17,AHT17="Suezmax",AJA17,AHT17="Capesize",AIT17,AHT17="VLOC",AIM17)))))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Y17" s="136" t="e">
        <f t="array" aca="1" ref="ALY17" ca="1">INDEX(Canals!$W$24:$W$29,MATCH(2,1/((Canals!$F$24:$F$29&lt;=$C17)*(Canals!$G$24:$G$29=_xlfn.IFS(AHT17="Handysize",Main!AKC17,AHT17="Supramax",AJV17,AHT17="Panamax",AJO17,AHT17="NeoPanamax",AJH17,AHT17="Suezmax",AJA17,AHT17="Capesize",AIT17,AHT17="VLOC",AIM17)))))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LZ17" s="136" t="e">
        <f t="array" aca="1" ref="ALZ17" ca="1">INDEX(Canals!$X$24:$X$29,MATCH(2,1/((Canals!$F$24:$F$29&lt;=$C17)*(Canals!$G$24:$G$29=_xlfn.IFS(AHT17="Handysize",Main!AKC17,AHT17="Supramax",AJV17,AHT17="Panamax",AJO17,AHT17="NeoPanamax",AJH17,AHT17="Suezmax",AJA17,AHT17="Capesize",AIT17,AHT17="VLOC",AIM17)))))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A17" s="136" t="e">
        <f t="array" aca="1" ref="AMA17" ca="1">INDEX(Canals!$Y$24:$Y$29,MATCH(2,1/((Canals!$F$24:$F$29&lt;=$C17)*(Canals!$G$24:$G$29=_xlfn.IFS(AHT17="Handysize",Main!AKC17,AHT17="Supramax",AJV17,AHT17="Panamax",AJO17,AHT17="NeoPanamax",AJH17,AHT17="Suezmax",AJA17,AHT17="Capesize",AIT17,AHT17="VLOC",AIM17)))))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B17" s="136" t="e">
        <f t="array" aca="1" ref="AMB17" ca="1">INDEX(Canals!$Z$24:$Z$29,MATCH(2,1/((Canals!$F$24:$F$29&lt;=$C17)*(Canals!$G$24:$G$29=_xlfn.IFS(AHT17="Handysize",Main!AKC17,AHT17="Supramax",AJV17,AHT17="Panamax",AJO17,AHT17="NeoPanamax",AJH17,AHT17="Suezmax",AJA17,AHT17="Capesize",AIT17,AHT17="VLOC",AIM17)))))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C17" s="136" t="e">
        <f t="array" aca="1" ref="AMC17" ca="1">INDEX(Canals!$AA$24:$AA$29,MATCH(2,1/((Canals!$F$24:$F$29&lt;=$C17)*(Canals!$G$24:$G$29=_xlfn.IFS(AHT17="Handysize",Main!AKC17,AHT17="Supramax",AJV17,AHT17="Panamax",AJO17,AHT17="NeoPanamax",AJH17,AHT17="Suezmax",AJA17,AHT17="Capesize",AIT17,AHT17="VLOC",AIM17)))))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D17" s="136" t="e">
        <f t="array" aca="1" ref="AMD17" ca="1">INDEX(Canals!$AB$24:$AB$29,MATCH(2,1/((Canals!$F$24:$F$29&lt;=$C17)*(Canals!$G$24:$G$29=_xlfn.IFS(AHT17="Handysize",Main!AKC17,AHT17="Supramax",AJV17,AHT17="Panamax",AJO17,AHT17="NeoPanamax",AJH17,AHT17="Suezmax",AJA17,AHT17="Capesize",AIT17,AHT17="VLOC",AIM17)))))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E17" s="75" t="e">
        <f t="array" aca="1" ref="AME17" ca="1">INDEX(Canals!$AC$24:$AC$29,MATCH(2,1/((Canals!$F$24:$F$29&lt;=$C17)*(Canals!$G$24:$G$29=_xlfn.IFS(AHT17="Handysize",Main!AKC17,AHT17="Supramax",AJV17,AHT17="Panamax",AJO17,AHT17="NeoPanamax",AJH17,AHT17="Suezmax",AJA17,AHT17="Capesize",AIT17,AHT17="VLOC",AIM17)))))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F17" s="75" t="e">
        <f t="array" aca="1" ref="AMF17" ca="1">INDEX(Canals!$AD$24:$AD$29,MATCH(2,1/((Canals!$F$24:$F$29&lt;=$C17)*(Canals!$G$24:$G$29=_xlfn.IFS(AHT17="Handysize",Main!AKC17,AHT17="Supramax",AJV17,AHT17="Panamax",AJO17,AHT17="NeoPanamax",AJH17,AHT17="Suezmax",AJA17,AHT17="Capesize",AIT17,AHT17="VLOC",AIM17)))))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G17" s="75" t="e">
        <f t="array" aca="1" ref="AMG17" ca="1">INDEX(Canals!$AE$24:$AE$29,MATCH(2,1/((Canals!$F$24:$F$29&lt;=$C17)*(Canals!$G$24:$G$29=_xlfn.IFS(AHT17="Handysize",Main!AKC17,AHT17="Supramax",AJV17,AHT17="Panamax",AJO17,AHT17="NeoPanamax",AJH17,AHT17="Suezmax",AJA17,AHT17="Capesize",AIT17,AHT17="VLOC",AIM17)))))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H17" s="75" t="e">
        <f t="array" aca="1" ref="AMH17" ca="1">INDEX(Canals!$AF$24:$AF$29,MATCH(2,1/((Canals!$F$24:$F$29&lt;=$C17)*(Canals!$G$24:$G$29=_xlfn.IFS(AHT17="Handysize",Main!AKC17,AHT17="Supramax",AJV17,AHT17="Panamax",AJO17,AHT17="NeoPanamax",AJH17,AHT17="Suezmax",AJA17,AHT17="Capesize",AIT17,AHT17="VLOC",AIM17)))))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I17" s="75" t="e">
        <f t="array" aca="1" ref="AMI17" ca="1">INDEX(Canals!$AG$24:$AG$29,MATCH(2,1/((Canals!$F$24:$F$29&lt;=$C17)*(Canals!$G$24:$G$29=_xlfn.IFS(AHT17="Handysize",Main!AKC17,AHT17="Supramax",AJV17,AHT17="Panamax",AJO17,AHT17="NeoPanamax",AJH17,AHT17="Suezmax",AJA17,AHT17="Capesize",AIT17,AHT17="VLOC",AIM17)))))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J17" s="75" t="e">
        <f t="array" aca="1" ref="AMJ17" ca="1">INDEX(Canals!$AH$24:$AH$29,MATCH(2,1/((Canals!$F$24:$F$29&lt;=$C17)*(Canals!$G$24:$G$29=_xlfn.IFS(AHT17="Handysize",Main!AKC17,AHT17="Supramax",AJV17,AHT17="Panamax",AJO17,AHT17="NeoPanamax",AJH17,AHT17="Suezmax",AJA17,AHT17="Capesize",AIT17,AHT17="VLOC",AIM17)))))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K17" s="75" t="e">
        <f t="array" aca="1" ref="AMK17" ca="1">INDEX(Canals!$AI$24:$AI$29,MATCH(2,1/((Canals!$F$24:$F$29&lt;=$C17)*(Canals!$G$24:$G$29=_xlfn.IFS(AHT17="Handysize",Main!AKC17,AHT17="Supramax",AJV17,AHT17="Panamax",AJO17,AHT17="NeoPanamax",AJH17,AHT17="Suezmax",AJA17,AHT17="Capesize",AIT17,AHT17="VLOC",AIM17)))))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L17" s="75" t="e">
        <f t="array" aca="1" ref="AML17" ca="1">INDEX(Canals!$AJ$24:$AJ$29,MATCH(2,1/((Canals!$F$24:$F$29&lt;=$C17)*(Canals!$G$24:$G$29=_xlfn.IFS(AHT17="Handysize",Main!AKC17,AHT17="Supramax",AJV17,AHT17="Panamax",AJO17,AHT17="NeoPanamax",AJH17,AHT17="Suezmax",AJA17,AHT17="Capesize",AIT17,AHT17="VLOC",AIM17)))))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M17" s="75" t="e">
        <f t="array" aca="1" ref="AMM17" ca="1">INDEX(Canals!$AK$24:$AK$29,MATCH(2,1/((Canals!$F$24:$F$29&lt;=$C17)*(Canals!$G$24:$G$29=_xlfn.IFS(AHT17="Handysize",Main!AKC17,AHT17="Supramax",AJV17,AHT17="Panamax",AJO17,AHT17="NeoPanamax",AJH17,AHT17="Suezmax",AJA17,AHT17="Capesize",AIT17,AHT17="VLOC",AIM17)))))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N17" s="136" t="e">
        <f t="array" aca="1" ref="AMN17" ca="1">INDEX(Canals!$AL$24:$AL$29,MATCH(2,1/((Canals!$F$24:$F$29&lt;=$C17)*(Canals!$G$24:$G$29=_xlfn.IFS(AHT17="Handysize",Main!AKC17,AHT17="Supramax",AJV17,AHT17="Panamax",AJO17,AHT17="NeoPanamax",AJH17,AHT17="Suezmax",AJA17,AHT17="Capesize",AIT17,AHT17="VLOC",AIM17)))))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O17" s="136" t="e">
        <f t="array" aca="1" ref="AMO17" ca="1">INDEX(Canals!$AM$24:$AM$29,MATCH(2,1/((Canals!$F$24:$F$29&lt;=$C17)*(Canals!$G$24:$G$29=_xlfn.IFS(AHT17="Handysize",Main!AKC17,AHT17="Supramax",AJV17,AHT17="Panamax",AJO17,AHT17="NeoPanamax",AJH17,AHT17="Suezmax",AJA17,AHT17="Capesize",AIT17,AHT17="VLOC",AIM17)))))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P17" s="136" t="e">
        <f t="array" aca="1" ref="AMP17" ca="1">INDEX(Canals!$AN$24:$AN$29,MATCH(2,1/((Canals!$F$24:$F$29&lt;=$C17)*(Canals!$G$24:$G$29=_xlfn.IFS(AHT17="Handysize",Main!AKC17,AHT17="Supramax",AJV17,AHT17="Panamax",AJO17,AHT17="NeoPanamax",AJH17,AHT17="Suezmax",AJA17,AHT17="Capesize",AIT17,AHT17="VLOC",AIM17)))))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Q17" s="136" t="e">
        <f t="array" aca="1" ref="AMQ17" ca="1">INDEX(Canals!$AO$24:$AO$29,MATCH(2,1/((Canals!$F$24:$F$29&lt;=$C17)*(Canals!$G$24:$G$29=_xlfn.IFS(AHT17="Handysize",Main!AKC17,AHT17="Supramax",AJV17,AHT17="Panamax",AJO17,AHT17="NeoPanamax",AJH17,AHT17="Suezmax",AJA17,AHT17="Capesize",AIT17,AHT17="VLOC",AIM17)))))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R17" s="136" t="e">
        <f t="array" aca="1" ref="AMR17" ca="1">INDEX(Canals!$AP$24:$AP$29,MATCH(2,1/((Canals!$F$24:$F$29&lt;=$C17)*(Canals!$G$24:$G$29=_xlfn.IFS(AHT17="Handysize",Main!AKC17,AHT17="Supramax",AJV17,AHT17="Panamax",AJO17,AHT17="NeoPanamax",AJH17,AHT17="Suezmax",AJA17,AHT17="Capesize",AIT17,AHT17="VLOC",AIM17)))))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S17" s="136" t="e">
        <f t="array" aca="1" ref="AMS17" ca="1">INDEX(Canals!$AQ$24:$AQ$29,MATCH(2,1/((Canals!$F$24:$F$29&lt;=$C17)*(Canals!$G$24:$G$29=_xlfn.IFS(AHT17="Handysize",Main!AKC17,AHT17="Supramax",AJV17,AHT17="Panamax",AJO17,AHT17="NeoPanamax",AJH17,AHT17="Suezmax",AJA17,AHT17="Capesize",AIT17,AHT17="VLOC",AIM17)))))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T17" s="136" t="e">
        <f t="array" aca="1" ref="AMT17" ca="1">INDEX(Canals!$AR$24:$AR$29,MATCH(2,1/((Canals!$F$24:$F$29&lt;=$C17)*(Canals!$G$24:$G$29=_xlfn.IFS(AHT17="Handysize",Main!AKC17,AHT17="Supramax",AJV17,AHT17="Panamax",AJO17,AHT17="NeoPanamax",AJH17,AHT17="Suezmax",AJA17,AHT17="Capesize",AIT17,AHT17="VLOC",AIM17)))))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U17" s="136" t="e">
        <f t="array" aca="1" ref="AMU17" ca="1">INDEX(Canals!$AS$24:$AS$29,MATCH(2,1/((Canals!$F$24:$F$29&lt;=$C17)*(Canals!$G$24:$G$29=_xlfn.IFS(AHT17="Handysize",Main!AKC17,AHT17="Supramax",AJV17,AHT17="Panamax",AJO17,AHT17="NeoPanamax",AJH17,AHT17="Suezmax",AJA17,AHT17="Capesize",AIT17,AHT17="VLOC",AIM17)))))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V17" s="136" t="e">
        <f t="array" aca="1" ref="AMV17" ca="1">INDEX(Canals!$AT$24:$AT$29,MATCH(2,1/((Canals!$F$24:$F$29&lt;=$C17)*(Canals!$G$24:$G$29=_xlfn.IFS(AHT17="Handysize",Main!AKC17,AHT17="Supramax",AJV17,AHT17="Panamax",AJO17,AHT17="NeoPanamax",AJH17,AHT17="Suezmax",AJA17,AHT17="Capesize",AIT17,AHT17="VLOC",AIM17)))))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W17" s="136" t="e">
        <f t="array" aca="1" ref="AMW17" ca="1">INDEX(Canals!$AU$24:$AU$29,MATCH(2,1/((Canals!$F$24:$F$29&lt;=$C17)*(Canals!$G$24:$G$29=_xlfn.IFS(AHT17="Handysize",Main!AKC17,AHT17="Supramax",AJV17,AHT17="Panamax",AJO17,AHT17="NeoPanamax",AJH17,AHT17="Suezmax",AJA17,AHT17="Capesize",AIT17,AHT17="VLOC",AIM17)))))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X17" s="136" t="e">
        <f t="array" aca="1" ref="AMX17" ca="1">INDEX(Canals!$AV$24:$AV$29,MATCH(2,1/((Canals!$F$24:$F$29&lt;=$C17)*(Canals!$G$24:$G$29=_xlfn.IFS(AHT17="Handysize",Main!AKC17,AHT17="Supramax",AJV17,AHT17="Panamax",AJO17,AHT17="NeoPanamax",AJH17,AHT17="Suezmax",AJA17,AHT17="Capesize",AIT17,AHT17="VLOC",AIM17)))))</f>
        <v>#N/A</v>
      </c>
      <c r="AMZ17" s="75" t="e">
        <f t="array" aca="1" ref="AMZ17" ca="1">_xlfn.IFS(ALK17="DWT",AHR17,ALK17="NRT",AHV17,ALK17="GRT",AHW17,ALK17=0,0)</f>
        <v>#NAME?</v>
      </c>
      <c r="ANA17" s="279" t="e">
        <f t="shared" ca="1" si="227"/>
        <v>#NAME?</v>
      </c>
      <c r="ANB17" s="280" t="e">
        <f t="shared" ca="1" si="228"/>
        <v>#NAME?</v>
      </c>
      <c r="ANC17" s="280" t="e">
        <f t="shared" ca="1" si="229"/>
        <v>#NAME?</v>
      </c>
      <c r="AND17" s="280" t="e">
        <f t="shared" ca="1" si="230"/>
        <v>#NAME?</v>
      </c>
      <c r="ANE17" s="280" t="e">
        <f t="shared" ca="1" si="231"/>
        <v>#NAME?</v>
      </c>
      <c r="ANF17" s="280" t="e">
        <f t="shared" ca="1" si="232"/>
        <v>#NAME?</v>
      </c>
      <c r="ANG17" s="280" t="e">
        <f t="shared" ca="1" si="233"/>
        <v>#NAME?</v>
      </c>
      <c r="ANH17" s="280" t="e">
        <f t="shared" ca="1" si="234"/>
        <v>#NAME?</v>
      </c>
      <c r="ANI17" s="280" t="e">
        <f t="shared" ca="1" si="235"/>
        <v>#NAME?</v>
      </c>
      <c r="ANJ17" s="75">
        <f t="shared" si="236"/>
        <v>0</v>
      </c>
      <c r="ANK17" s="279" t="e">
        <f t="shared" ca="1" si="237"/>
        <v>#N/A</v>
      </c>
      <c r="ANL17" s="280" t="e">
        <f t="shared" ca="1" si="238"/>
        <v>#N/A</v>
      </c>
      <c r="ANM17" s="280" t="e">
        <f t="shared" ca="1" si="239"/>
        <v>#N/A</v>
      </c>
      <c r="ANN17" s="280" t="e">
        <f t="shared" ca="1" si="240"/>
        <v>#N/A</v>
      </c>
      <c r="ANO17" s="280" t="e">
        <f t="shared" ca="1" si="241"/>
        <v>#N/A</v>
      </c>
      <c r="ANP17" s="280" t="e">
        <f t="shared" ca="1" si="242"/>
        <v>#N/A</v>
      </c>
      <c r="ANQ17" s="280" t="e">
        <f t="shared" ca="1" si="243"/>
        <v>#N/A</v>
      </c>
      <c r="ANR17" s="280" t="e">
        <f t="shared" ca="1" si="244"/>
        <v>#N/A</v>
      </c>
      <c r="ANS17" s="280" t="e">
        <f t="shared" ca="1" si="245"/>
        <v>#N/A</v>
      </c>
      <c r="ANU17" s="75" t="e">
        <f t="array" aca="1" ref="ANU17" ca="1">_xlfn.IFS(AHT17="Handysize",Main!AJW17,AHT17="Supramax",AJP17,AHT17="Panamax",AJI17,AHT17="NeoPanamax",AJB17,AHT17="Suezmax",AIU17,AHT17="Capesize",AIN17,AHT17="VLOC",AIG17)*$JI17</f>
        <v>#NAME?</v>
      </c>
      <c r="ANV17" s="274" t="e">
        <f t="array" aca="1" ref="ANV17" ca="1">_xlfn.IFS(AHT17="Handysize",Main!AJX17,AHT17="Supramax",AJQ17,AHT17="Panamax",AJJ17,AHT17="NeoPanamax",AJC17,AHT17="Suezmax",AIV17,AHT17="Capesize",AIO17,AHT17="VLOC",AIH17)*$JI17</f>
        <v>#NAME?</v>
      </c>
      <c r="ANW17" s="71" t="e">
        <f t="array" aca="1" ref="ANW17" ca="1">_xlfn.IFS(AHT17="Handysize",Main!AHY17,AHT17="Supramax",AHZ17,AHT17="Panamax",AIA17,AHT17="NeoPanamax",AIB17,AHT17="Suezmax",AIC17,AHT17="Capesize",AID17,AHT17="VLOC",AIE17)</f>
        <v>#NAME?</v>
      </c>
      <c r="ANX17" s="71" t="e">
        <f t="array" aca="1" ref="ANX17" ca="1">_xlfn.IFS(AHT17="Handysize",Main!AKK17,AHT17="Supramax",AKL17,AHT17="Panamax",AKM17,AHT17="NeoPanamax",AKN17,AHT17="Suezmax",AKO17,AHT17="Capesize",AKP17,AHT17="VLOC",AKQ17)</f>
        <v>#NAME?</v>
      </c>
      <c r="ANY17" s="70">
        <f t="array" ref="ANY17">INDEX('Ship Speeds'!$G$11:$G$1011,MATCH(2,1/(('Ship Speeds'!$E$11:$E$1011&lt;=Main!$C17)*('Ship Speeds'!$F$11:$F$1011=Main!AHS17))))</f>
        <v>11</v>
      </c>
      <c r="ANZ17" s="403">
        <f t="shared" si="246"/>
        <v>0</v>
      </c>
      <c r="AOA17" s="401">
        <f t="shared" si="247"/>
        <v>1.2</v>
      </c>
      <c r="AOB17" s="70" t="e">
        <f t="shared" ca="1" si="248"/>
        <v>#NAME?</v>
      </c>
      <c r="AOC17" s="70" t="e">
        <f t="shared" ca="1" si="249"/>
        <v>#NAME?</v>
      </c>
      <c r="AOD17" s="70" t="e">
        <f t="shared" ca="1" si="250"/>
        <v>#NAME?</v>
      </c>
      <c r="AOE17" s="70" t="e">
        <f t="shared" ca="1" si="251"/>
        <v>#NAME?</v>
      </c>
      <c r="AOF17" s="72" t="e">
        <f t="shared" ca="1" si="252"/>
        <v>#N/A</v>
      </c>
      <c r="AOG17" s="70" t="e">
        <f t="shared" ca="1" si="253"/>
        <v>#NAME?</v>
      </c>
      <c r="AOH17" s="70" t="e">
        <f t="array" aca="1" ref="AOH17" ca="1">IF(ANU17=0,0,INDEX(AKE17:AKI17,MATCH(_xlfn.IFS(AHT17="Handysize",Main!AKA17,AHT17="Supramax",AJT17,AHT17="Panamax",AJM17,AHT17="NeoPanamax",AJF17,AHT17="Suezmax",AIY17,AHT17="Capesize",AIR17,AHT17="VLOC",AIK17),$AKE$7:$AKI$7,0)))</f>
        <v>#NAME?</v>
      </c>
      <c r="AOI17" s="70" t="e">
        <f t="array" aca="1" ref="AOI17" ca="1">IF(ANU17=0,0,INDEX(AKE17:AKI17,MATCH(_xlfn.IFS(AHT17="Handysize",Main!AKB17,AHT17="Supramax",AJU17,AHT17="Panamax",AJN17,AHT17="NeoPanamax",AJG17,AHT17="Suezmax",AIZ17,AHT17="Capesize",AIS17,AHT17="VLOC",AIL17),$AKE$7:$AKI$7,0)))</f>
        <v>#NAME?</v>
      </c>
      <c r="AOJ17" s="71" t="e">
        <f t="shared" ca="1" si="254"/>
        <v>#NAME?</v>
      </c>
      <c r="AOK17" s="71" t="e">
        <f t="shared" ca="1" si="255"/>
        <v>#NAME?</v>
      </c>
      <c r="AOL17" s="281" t="e">
        <f t="shared" ca="1" si="256"/>
        <v>#NAME?</v>
      </c>
      <c r="AOM17" s="71" t="e">
        <f t="shared" ca="1" si="257"/>
        <v>#NAME?</v>
      </c>
      <c r="AON17" s="71" t="e">
        <f t="shared" ca="1" si="258"/>
        <v>#NAME?</v>
      </c>
      <c r="AOO17" s="71" t="e">
        <f t="shared" ca="1" si="259"/>
        <v>#NAME?</v>
      </c>
      <c r="AOP17" s="71" t="e">
        <f t="shared" ca="1" si="260"/>
        <v>#NAME?</v>
      </c>
      <c r="AOQ17" s="71" t="e">
        <f t="shared" ca="1" si="261"/>
        <v>#NAME?</v>
      </c>
      <c r="AOR17" s="71" t="e">
        <f t="shared" ca="1" si="262"/>
        <v>#NAME?</v>
      </c>
      <c r="AOS17" s="71" t="e">
        <f t="shared" ca="1" si="263"/>
        <v>#NAME?</v>
      </c>
      <c r="AOT17" s="71" t="e">
        <f t="shared" ca="1" si="264"/>
        <v>#NAME?</v>
      </c>
      <c r="AOU17" s="71" t="e">
        <f t="shared" ca="1" si="265"/>
        <v>#NAME?</v>
      </c>
      <c r="AOV17" s="71" t="e">
        <f t="shared" ca="1" si="266"/>
        <v>#NAME?</v>
      </c>
      <c r="AOW17" s="71" t="e">
        <f t="shared" ca="1" si="267"/>
        <v>#NAME?</v>
      </c>
      <c r="AOX17" s="71" t="e">
        <f t="shared" ca="1" si="268"/>
        <v>#NAME?</v>
      </c>
      <c r="AOY17" s="72" t="e">
        <f t="shared" ca="1" si="269"/>
        <v>#NAME?</v>
      </c>
      <c r="AOZ17" s="72" t="e">
        <f t="shared" ca="1" si="270"/>
        <v>#NAME?</v>
      </c>
      <c r="APA17" s="71" t="e">
        <f t="shared" ca="1" si="271"/>
        <v>#NAME?</v>
      </c>
      <c r="APB17" s="71" t="e">
        <f t="array" aca="1" ref="APB17" ca="1">IF(ANU17=0,0,INDEX('Ship Time Charter Rates'!$H$22:$H$1021,MATCH(2,1/(('Ship Time Charter Rates'!$G$22:$G$1021=_xlfn.IFS(AHT17="Handysize",Main!AJY17,AHT17="Supramax",AJR17,AHT17="Panamax",AJK17,AHT17="NeoPanamax",AJD17,AHT17="Suezmax",AIW17,AHT17="Capesize",AIP17,AHT17="VLOC",AII17))*('Ship Time Charter Rates'!$E$22:$E$1021&lt;=Main!$C17)*(NOT(ISBLANK('Ship Time Charter Rates'!$H$22:$H$1021)))))))</f>
        <v>#NAME?</v>
      </c>
      <c r="APC17" s="71" t="e">
        <f t="shared" ca="1" si="272"/>
        <v>#NAME?</v>
      </c>
      <c r="APD17" s="70" t="e">
        <f t="shared" ca="1" si="273"/>
        <v>#NAME?</v>
      </c>
      <c r="APE17" s="71" t="e">
        <f t="shared" ca="1" si="274"/>
        <v>#NAME?</v>
      </c>
      <c r="APF17" s="71" t="e">
        <f t="shared" ca="1" si="308"/>
        <v>#NAME?</v>
      </c>
      <c r="APG17" s="72" t="e">
        <f t="shared" ca="1" si="309"/>
        <v>#NAME?</v>
      </c>
      <c r="API17" s="287" t="s">
        <v>39</v>
      </c>
      <c r="APK17" s="289" t="e">
        <f t="shared" ca="1" si="275"/>
        <v>#NAME?</v>
      </c>
      <c r="APL17" s="289" t="e">
        <f t="shared" ca="1" si="276"/>
        <v>#NAME?</v>
      </c>
      <c r="APM17" s="289" t="e">
        <f t="shared" ca="1" si="277"/>
        <v>#NAME?</v>
      </c>
      <c r="APO17" s="287" t="s">
        <v>39</v>
      </c>
    </row>
    <row r="18" spans="2:1107">
      <c r="C18" s="5">
        <v>43923</v>
      </c>
      <c r="D18" s="7" t="s">
        <v>20</v>
      </c>
      <c r="E18" s="86" t="s">
        <v>437</v>
      </c>
      <c r="F18" s="6">
        <v>100</v>
      </c>
      <c r="G18" s="1" t="s">
        <v>185</v>
      </c>
      <c r="H18" s="1" t="s">
        <v>5</v>
      </c>
      <c r="I18" s="15"/>
      <c r="J18" s="15"/>
      <c r="K18" s="15"/>
      <c r="L18" s="15"/>
      <c r="M18" s="15"/>
      <c r="N18" s="15"/>
      <c r="O18" s="15"/>
      <c r="P18" s="8"/>
      <c r="Q18" s="98"/>
      <c r="R18" s="7" t="s">
        <v>95</v>
      </c>
      <c r="T18" s="287" t="s">
        <v>39</v>
      </c>
      <c r="V18" s="4"/>
      <c r="W18" s="16" t="str">
        <f t="shared" si="0"/>
        <v>not used yet</v>
      </c>
      <c r="X18" s="16" t="str">
        <f t="shared" si="0"/>
        <v>not used yet</v>
      </c>
      <c r="Y18" s="16" t="str">
        <f t="shared" si="0"/>
        <v>not used yet</v>
      </c>
      <c r="Z18" s="16" t="str">
        <f t="shared" si="0"/>
        <v>not used yet</v>
      </c>
      <c r="AA18" s="16" t="str">
        <f t="shared" si="0"/>
        <v>not used yet</v>
      </c>
      <c r="AB18" s="16" t="str">
        <f t="shared" si="0"/>
        <v>not used yet</v>
      </c>
      <c r="AC18" s="16" t="str">
        <f t="shared" si="0"/>
        <v>not used yet</v>
      </c>
      <c r="AE18" s="88" t="str">
        <f t="shared" si="1"/>
        <v>Turkey</v>
      </c>
      <c r="AF18" s="16">
        <f t="shared" si="310"/>
        <v>0.56200000000000006</v>
      </c>
      <c r="AG18" s="16">
        <f t="shared" si="311"/>
        <v>0.45</v>
      </c>
      <c r="AH18" s="61">
        <f t="shared" si="312"/>
        <v>8.2000000000000003E-2</v>
      </c>
      <c r="AI18" s="61">
        <f t="shared" si="313"/>
        <v>0.05</v>
      </c>
      <c r="AJ18" s="61">
        <f t="shared" si="314"/>
        <v>3.2000000000000001E-2</v>
      </c>
      <c r="AK18" s="16">
        <f t="shared" si="315"/>
        <v>6.2000000000000041E-2</v>
      </c>
      <c r="AL18" s="16">
        <f t="shared" si="316"/>
        <v>0.05</v>
      </c>
      <c r="AM18" s="24" t="str">
        <f t="shared" si="3"/>
        <v>HT-D</v>
      </c>
      <c r="AN18" s="427">
        <f t="shared" si="278"/>
        <v>77805</v>
      </c>
      <c r="AO18" s="127" t="str">
        <f t="array" ref="AO18">IFERROR(IF(AND(AN18&gt;'Indices Mines Exporting Ports'!$D$11,MATCH(2,1/(('Indices Mines Exporting Ports'!$B$3:$B$10&lt;=C18)*('Indices Mines Exporting Ports'!$C$3:$C$10=E18)))),"Yes","No"),"No")</f>
        <v>No</v>
      </c>
      <c r="AP18" s="126" t="str">
        <f t="array" ref="AP18">IF(AO18="Yes",INDEX('Indices Mines Exporting Ports'!$D$3:$D$10,MATCH(2,1/(('Indices Mines Exporting Ports'!$B$3:$B$10&lt;=Main!C18)*('Indices Mines Exporting Ports'!$C$3:$C$10=Main!AE18)))),IF(NOT(ISBLANK(Q18)),Q18,IP18))</f>
        <v>Turkey</v>
      </c>
      <c r="AQ18" s="262">
        <f t="array" ref="AQ18">IF(AO18="no",0,INDEX('Indices Mines Exporting Ports'!$E$3:$E$10,MATCH(2,1/(('Indices Mines Exporting Ports'!$B$3:$B$10&lt;=Main!$C18)*('Indices Mines Exporting Ports'!$D$3:$D$10=Main!$AP18)))))</f>
        <v>0</v>
      </c>
      <c r="AR18" s="267">
        <f t="array" ref="AR18">IF(AO18="No",0,AN18/ROUND(AN18/INDEX('Indices Mines Exporting Ports'!$F$3:$F$10,MATCH(2,1/(('Indices Mines Exporting Ports'!$B$3:$B$10&lt;=Main!C18)*('Indices Mines Exporting Ports'!$C$3:$C$10=Main!AE18)))),0))</f>
        <v>0</v>
      </c>
      <c r="AS18" s="127" t="str">
        <f t="shared" si="4"/>
        <v>Qingdao</v>
      </c>
      <c r="AT18" s="100" t="str">
        <f t="shared" si="317"/>
        <v>CBIX HT</v>
      </c>
      <c r="AU18" s="100" t="str">
        <f t="shared" si="318"/>
        <v>CBIX HT</v>
      </c>
      <c r="AV18" s="242" t="s">
        <v>4</v>
      </c>
      <c r="AW18" s="242" t="s">
        <v>5</v>
      </c>
      <c r="AX18" s="292" t="e">
        <f t="shared" ca="1" si="6"/>
        <v>#NAME?</v>
      </c>
      <c r="AY18" s="291" t="e">
        <f t="shared" ca="1" si="7"/>
        <v>#NAME?</v>
      </c>
      <c r="AZ18" s="292" t="e">
        <f t="shared" ca="1" si="8"/>
        <v>#NAME?</v>
      </c>
      <c r="BA18" s="102">
        <f t="shared" si="9"/>
        <v>0</v>
      </c>
      <c r="BB18" s="12"/>
      <c r="BC18" s="306" t="s">
        <v>403</v>
      </c>
      <c r="BD18" s="407">
        <f t="shared" si="279"/>
        <v>0</v>
      </c>
      <c r="BE18" s="407">
        <f t="shared" si="279"/>
        <v>0</v>
      </c>
      <c r="BF18" s="407">
        <f t="shared" si="279"/>
        <v>0</v>
      </c>
      <c r="BG18" s="407">
        <f t="shared" si="280"/>
        <v>0</v>
      </c>
      <c r="BH18" s="407" t="e">
        <f t="shared" ca="1" si="281"/>
        <v>#NAME?</v>
      </c>
      <c r="BI18" s="263" t="e">
        <f t="shared" ca="1" si="282"/>
        <v>#NAME?</v>
      </c>
      <c r="BK18" s="287" t="s">
        <v>39</v>
      </c>
      <c r="BM18" s="291" t="e">
        <f t="shared" ca="1" si="283"/>
        <v>#NAME?</v>
      </c>
      <c r="BN18" s="298">
        <f t="shared" si="284"/>
        <v>0.56200000000000006</v>
      </c>
      <c r="BO18" s="298">
        <f t="shared" si="285"/>
        <v>0.45</v>
      </c>
      <c r="BP18" s="298">
        <f t="shared" si="286"/>
        <v>8.2000000000000003E-2</v>
      </c>
      <c r="BQ18" s="298">
        <f t="shared" si="287"/>
        <v>0.05</v>
      </c>
      <c r="BR18" s="298">
        <f t="shared" si="288"/>
        <v>3.2000000000000001E-2</v>
      </c>
      <c r="BS18" s="298">
        <f t="shared" si="289"/>
        <v>6.2000000000000041E-2</v>
      </c>
      <c r="BT18" s="298">
        <f t="shared" si="290"/>
        <v>0.05</v>
      </c>
      <c r="BU18" s="307" t="str">
        <f t="shared" si="291"/>
        <v>HT-D</v>
      </c>
      <c r="BV18" s="291">
        <f t="shared" si="292"/>
        <v>0</v>
      </c>
      <c r="BX18" s="300">
        <f t="array" ref="BX18">INDEX('Processing Factors'!$D$8:$D$29,MATCH(2,1/(('Processing Factors'!$B$8:$B$29&lt;=Main!$C18)*('Processing Factors'!$C$8:$C$29=Main!BU18))))</f>
        <v>1</v>
      </c>
      <c r="BY18" s="299">
        <f t="array" ref="BY18">INDEX('Processing Factors'!$E$8:$E$29,MATCH(2,1/(('Processing Factors'!$B$8:$B$29&lt;=Main!$C18)*('Processing Factors'!$C$8:$C$29=Main!BU18))))</f>
        <v>1.23</v>
      </c>
      <c r="BZ18" s="299">
        <f t="array" ref="BZ18">INDEX('Processing Factors'!$F$8:$F$29,MATCH(2,1/(('Processing Factors'!$B$8:$B$29&lt;=Main!$C18)*('Processing Factors'!$C$8:$C$29=Main!BU18))))</f>
        <v>0.6</v>
      </c>
      <c r="CA18" s="299">
        <f t="array" ref="CA18">INDEX('Processing Factors'!$G$8:$G$29,MATCH(2,1/(('Processing Factors'!$B$8:$B$29&lt;=Main!$C18)*('Processing Factors'!$C$8:$C$29=Main!BU18))))</f>
        <v>0.22</v>
      </c>
      <c r="CB18" s="299">
        <f t="array" ref="CB18">INDEX('Processing Factors'!$H$8:$H$29,MATCH(2,1/(('Processing Factors'!$B$8:$B$29&lt;=Main!$C18)*('Processing Factors'!$C$8:$C$29=Main!BU18))))</f>
        <v>13.5</v>
      </c>
      <c r="CC18" s="300">
        <f t="array" ref="CC18">INDEX('Processing Factors'!$I$8:$I$29,MATCH(2,1/(('Processing Factors'!$B$8:$B$29&lt;=Main!$C18)*('Processing Factors'!$C$8:$C$29=Main!BU18))))</f>
        <v>1</v>
      </c>
      <c r="CD18" s="300">
        <f t="array" ref="CD18">INDEX('Processing Factors'!$J$8:$J$29,MATCH(2,1/(('Processing Factors'!$B$8:$B$29&lt;=Main!$C18)*('Processing Factors'!$C$8:$C$29=Main!BU18))))</f>
        <v>0.9</v>
      </c>
      <c r="CE18" s="299">
        <f t="array" ref="CE18">INDEX('Processing Factors'!$K$8:$K$29,MATCH(2,1/(('Processing Factors'!$B$8:$B$29&lt;=Main!$C18)*('Processing Factors'!$C$8:$C$29=Main!BU18))))</f>
        <v>3.5000000000000003E-2</v>
      </c>
      <c r="CG18" s="302">
        <f t="shared" si="10"/>
        <v>0.56200000000000006</v>
      </c>
      <c r="CH18" s="302">
        <f t="shared" si="11"/>
        <v>8.2000000000000003E-2</v>
      </c>
      <c r="CI18" s="302">
        <f t="shared" si="12"/>
        <v>0.46114000000000005</v>
      </c>
      <c r="CJ18" s="299">
        <f t="shared" si="13"/>
        <v>2.4094875983673307</v>
      </c>
      <c r="CK18" s="281" t="e">
        <f t="shared" ca="1" si="14"/>
        <v>#NAME?</v>
      </c>
      <c r="CL18" s="299">
        <f t="shared" si="15"/>
        <v>0.15354678983967268</v>
      </c>
      <c r="CM18" s="281">
        <f t="shared" si="16"/>
        <v>36.889420962046863</v>
      </c>
      <c r="CN18" s="281">
        <f t="shared" si="17"/>
        <v>55.9712938100622</v>
      </c>
      <c r="CO18" s="281">
        <f t="shared" si="18"/>
        <v>7.4618428490672706</v>
      </c>
      <c r="CP18" s="299">
        <f t="shared" si="19"/>
        <v>1.7830343882070034</v>
      </c>
      <c r="CQ18" s="281">
        <f t="shared" si="20"/>
        <v>7.5595013632292414</v>
      </c>
      <c r="CR18" s="281" t="e">
        <f t="shared" ca="1" si="21"/>
        <v>#NAME?</v>
      </c>
      <c r="CT18" s="287" t="s">
        <v>39</v>
      </c>
      <c r="CV18" s="305" t="e">
        <f t="shared" ca="1" si="22"/>
        <v>#NAME?</v>
      </c>
      <c r="CW18" s="61">
        <f t="array" ref="CW18">INDEX('Indices Mines Exporting Ports'!E$20:E$51, MATCH(2,1/(('Indices Mines Exporting Ports'!$C$20:$C$51=$AT18)*('Indices Mines Exporting Ports'!$D$20:$D$51&lt;=$C18))))</f>
        <v>0.5</v>
      </c>
      <c r="CX18" s="61">
        <f t="array" ref="CX18">INDEX('Indices Mines Exporting Ports'!F$20:F$51, MATCH(2,1/(('Indices Mines Exporting Ports'!$C$20:$C$51=$AT18)*('Indices Mines Exporting Ports'!$D$20:$D$51&lt;=$C18))))</f>
        <v>0.45</v>
      </c>
      <c r="CY18" s="61">
        <f t="array" ref="CY18">INDEX('Indices Mines Exporting Ports'!G$20:G$51, MATCH(2,1/(('Indices Mines Exporting Ports'!$C$20:$C$51=$AT18)*('Indices Mines Exporting Ports'!$D$20:$D$51&lt;=$C18))))</f>
        <v>0.05</v>
      </c>
      <c r="CZ18" s="61">
        <f t="array" ref="CZ18">INDEX('Indices Mines Exporting Ports'!H$20:H$51, MATCH(2,1/(('Indices Mines Exporting Ports'!$C$20:$C$51=$AT18)*('Indices Mines Exporting Ports'!$D$20:$D$51&lt;=$C18))))</f>
        <v>0.05</v>
      </c>
      <c r="DA18" s="61">
        <f t="array" ref="DA18">INDEX('Indices Mines Exporting Ports'!I$20:I$51, MATCH(2,1/(('Indices Mines Exporting Ports'!$C$20:$C$51=$AT18)*('Indices Mines Exporting Ports'!$D$20:$D$51&lt;=$C18))))</f>
        <v>0</v>
      </c>
      <c r="DB18" s="61">
        <f t="array" ref="DB18">INDEX('Indices Mines Exporting Ports'!J$20:J$51, MATCH(2,1/(('Indices Mines Exporting Ports'!$C$20:$C$51=$AT18)*('Indices Mines Exporting Ports'!$D$20:$D$51&lt;=$C18))))</f>
        <v>0</v>
      </c>
      <c r="DC18" s="61">
        <f t="array" ref="DC18">INDEX('Indices Mines Exporting Ports'!K$20:K$51, MATCH(2,1/(('Indices Mines Exporting Ports'!$C$20:$C$51=$AT18)*('Indices Mines Exporting Ports'!$D$20:$D$51&lt;=$C18))))</f>
        <v>0.1</v>
      </c>
      <c r="DD18" s="103" t="str">
        <f t="array" ref="DD18">INDEX('Indices Mines Exporting Ports'!L$20:L$51, MATCH(2,1/(('Indices Mines Exporting Ports'!$C$20:$C$51=$AT18)*('Indices Mines Exporting Ports'!$D$20:$D$51&lt;=$C18))))</f>
        <v>LT</v>
      </c>
      <c r="DE18" s="243">
        <f t="array" ref="DE18">INDEX('Indices Mines Exporting Ports'!M$20:M$51, MATCH(2,1/(('Indices Mines Exporting Ports'!$C$20:$C$51=$AT18)*('Indices Mines Exporting Ports'!$D$20:$D$51&lt;=$C18))))</f>
        <v>0</v>
      </c>
      <c r="DG18" s="300">
        <f t="array" ref="DG18">INDEX('Processing Factors'!$D$8:$D$29,MATCH(2,1/(('Processing Factors'!$B$8:$B$29&lt;=Main!$C18)*('Processing Factors'!$C$8:$C$29=Main!DD18))))</f>
        <v>0</v>
      </c>
      <c r="DH18" s="299">
        <f t="array" ref="DH18">INDEX('Processing Factors'!$E$8:$E$29,MATCH(2,1/(('Processing Factors'!$B$8:$B$29&lt;=Main!$C18)*('Processing Factors'!$C$8:$C$29=Main!DD18))))</f>
        <v>1</v>
      </c>
      <c r="DI18" s="299">
        <f t="array" ref="DI18">INDEX('Processing Factors'!$F$8:$F$29,MATCH(2,1/(('Processing Factors'!$B$8:$B$29&lt;=Main!$C18)*('Processing Factors'!$C$8:$C$29=Main!DD18))))</f>
        <v>0.9</v>
      </c>
      <c r="DJ18" s="299">
        <f t="array" ref="DJ18">INDEX('Processing Factors'!$G$8:$G$29,MATCH(2,1/(('Processing Factors'!$B$8:$B$29&lt;=Main!$C18)*('Processing Factors'!$C$8:$C$29=Main!DD18))))</f>
        <v>3.5999999999999997E-2</v>
      </c>
      <c r="DK18" s="299">
        <f t="array" ref="DK18">INDEX('Processing Factors'!$H$8:$H$29,MATCH(2,1/(('Processing Factors'!$B$8:$B$29&lt;=Main!$C18)*('Processing Factors'!$C$8:$C$29=Main!DD18))))</f>
        <v>12.15</v>
      </c>
      <c r="DL18" s="300">
        <f t="array" ref="DL18">INDEX('Processing Factors'!$I$8:$I$29,MATCH(2,1/(('Processing Factors'!$B$8:$B$29&lt;=Main!$C18)*('Processing Factors'!$C$8:$C$29=Main!DD18))))</f>
        <v>0</v>
      </c>
      <c r="DM18" s="300">
        <f t="array" ref="DM18">INDEX('Processing Factors'!$J$8:$J$29,MATCH(2,1/(('Processing Factors'!$B$8:$B$29&lt;=Main!$C18)*('Processing Factors'!$C$8:$C$29=Main!DD18))))</f>
        <v>0.9</v>
      </c>
      <c r="DN18" s="299">
        <f t="array" ref="DN18">INDEX('Processing Factors'!$K$8:$K$29,MATCH(2,1/(('Processing Factors'!$B$8:$B$29&lt;=Main!$C18)*('Processing Factors'!$C$8:$C$29=Main!DD18))))</f>
        <v>3.5000000000000003E-2</v>
      </c>
      <c r="DP18" s="302">
        <f t="shared" si="23"/>
        <v>0.5</v>
      </c>
      <c r="DQ18" s="302">
        <f t="shared" si="24"/>
        <v>0.05</v>
      </c>
      <c r="DR18" s="302">
        <f t="shared" si="25"/>
        <v>0.45</v>
      </c>
      <c r="DS18" s="299">
        <f t="shared" si="26"/>
        <v>2.4691358024691357</v>
      </c>
      <c r="DT18" s="304">
        <v>0</v>
      </c>
      <c r="DU18" s="299">
        <f t="shared" si="27"/>
        <v>0.14611111111111114</v>
      </c>
      <c r="DV18" s="281">
        <f t="shared" si="28"/>
        <v>35.103008604987139</v>
      </c>
      <c r="DW18" s="281">
        <f t="shared" si="29"/>
        <v>50.37416442905598</v>
      </c>
      <c r="DX18" s="281">
        <f t="shared" si="30"/>
        <v>1.2210288298473715</v>
      </c>
      <c r="DY18" s="299">
        <f t="shared" si="31"/>
        <v>1.8352469135802467</v>
      </c>
      <c r="DZ18" s="281">
        <f t="shared" si="32"/>
        <v>7.7808659422565585</v>
      </c>
      <c r="EA18" s="281">
        <f t="shared" si="33"/>
        <v>94.479067806147043</v>
      </c>
      <c r="EC18" s="287" t="s">
        <v>39</v>
      </c>
      <c r="EE18" s="305" t="e">
        <f t="shared" ca="1" si="34"/>
        <v>#NAME?</v>
      </c>
      <c r="EF18" s="16">
        <f t="array" ref="EF18">INDEX('Indices Mines Exporting Ports'!E$20:E$51, MATCH(2,1/(('Indices Mines Exporting Ports'!$C$20:$C$51=$AU18)*('Indices Mines Exporting Ports'!$D$20:$D$51&lt;=$C18))))</f>
        <v>0.5</v>
      </c>
      <c r="EG18" s="16">
        <f t="array" ref="EG18">INDEX('Indices Mines Exporting Ports'!F$20:F$51, MATCH(2,1/(('Indices Mines Exporting Ports'!$C$20:$C$51=$AU18)*('Indices Mines Exporting Ports'!$D$20:$D$51&lt;=$C18))))</f>
        <v>0.45</v>
      </c>
      <c r="EH18" s="16">
        <f t="array" ref="EH18">INDEX('Indices Mines Exporting Ports'!G$20:G$51, MATCH(2,1/(('Indices Mines Exporting Ports'!$C$20:$C$51=$AU18)*('Indices Mines Exporting Ports'!$D$20:$D$51&lt;=$C18))))</f>
        <v>0.05</v>
      </c>
      <c r="EI18" s="16">
        <f t="array" ref="EI18">INDEX('Indices Mines Exporting Ports'!H$20:H$51, MATCH(2,1/(('Indices Mines Exporting Ports'!$C$20:$C$51=$AU18)*('Indices Mines Exporting Ports'!$D$20:$D$51&lt;=$C18))))</f>
        <v>0.05</v>
      </c>
      <c r="EJ18" s="16">
        <f t="array" ref="EJ18">INDEX('Indices Mines Exporting Ports'!I$20:I$51, MATCH(2,1/(('Indices Mines Exporting Ports'!$C$20:$C$51=$AU18)*('Indices Mines Exporting Ports'!$D$20:$D$51&lt;=$C18))))</f>
        <v>0</v>
      </c>
      <c r="EK18" s="16">
        <f t="array" ref="EK18">INDEX('Indices Mines Exporting Ports'!J$20:J$51, MATCH(2,1/(('Indices Mines Exporting Ports'!$C$20:$C$51=$AU18)*('Indices Mines Exporting Ports'!$D$20:$D$51&lt;=$C18))))</f>
        <v>0</v>
      </c>
      <c r="EL18" s="16">
        <f t="array" ref="EL18">INDEX('Indices Mines Exporting Ports'!K$20:K$51, MATCH(2,1/(('Indices Mines Exporting Ports'!$C$20:$C$51=$AU18)*('Indices Mines Exporting Ports'!$D$20:$D$51&lt;=$C18))))</f>
        <v>0.1</v>
      </c>
      <c r="EM18" s="103" t="str">
        <f t="array" ref="EM18">INDEX('Indices Mines Exporting Ports'!L$20:L$51, MATCH(2,1/(('Indices Mines Exporting Ports'!$C$20:$C$51=$AU18)*('Indices Mines Exporting Ports'!$D$20:$D$51&lt;=$C18))))</f>
        <v>LT</v>
      </c>
      <c r="EN18" s="243">
        <f t="array" ref="EN18">INDEX('Indices Mines Exporting Ports'!M$20:M$51, MATCH(2,1/(('Indices Mines Exporting Ports'!$C$20:$C$51=$AU18)*('Indices Mines Exporting Ports'!$D$20:$D$51&lt;=$C18))))</f>
        <v>0</v>
      </c>
      <c r="EP18" s="300">
        <f t="array" ref="EP18">INDEX('Processing Factors'!$D$8:$D$29,MATCH(2,1/(('Processing Factors'!$B$8:$B$29&lt;=Main!$C18)*('Processing Factors'!$C$8:$C$29=Main!EM18))))</f>
        <v>0</v>
      </c>
      <c r="EQ18" s="299">
        <f t="array" ref="EQ18">INDEX('Processing Factors'!$E$8:$E$29,MATCH(2,1/(('Processing Factors'!$B$8:$B$29&lt;=Main!$C18)*('Processing Factors'!$C$8:$C$29=Main!EM18))))</f>
        <v>1</v>
      </c>
      <c r="ER18" s="299">
        <f t="array" ref="ER18">INDEX('Processing Factors'!$F$8:$F$29,MATCH(2,1/(('Processing Factors'!$B$8:$B$29&lt;=Main!$C18)*('Processing Factors'!$C$8:$C$29=Main!EM18))))</f>
        <v>0.9</v>
      </c>
      <c r="ES18" s="299">
        <f t="array" ref="ES18">INDEX('Processing Factors'!$G$8:$G$29,MATCH(2,1/(('Processing Factors'!$B$8:$B$29&lt;=Main!$C18)*('Processing Factors'!$C$8:$C$29=Main!EM18))))</f>
        <v>3.5999999999999997E-2</v>
      </c>
      <c r="ET18" s="299">
        <f t="array" ref="ET18">INDEX('Processing Factors'!$H$8:$H$29,MATCH(2,1/(('Processing Factors'!$B$8:$B$29&lt;=Main!$C18)*('Processing Factors'!$C$8:$C$29=Main!EM18))))</f>
        <v>12.15</v>
      </c>
      <c r="EU18" s="300">
        <f t="array" ref="EU18">INDEX('Processing Factors'!$I$8:$I$29,MATCH(2,1/(('Processing Factors'!$B$8:$B$29&lt;=Main!$C18)*('Processing Factors'!$C$8:$C$29=Main!EM18))))</f>
        <v>0</v>
      </c>
      <c r="EV18" s="300">
        <f t="array" ref="EV18">INDEX('Processing Factors'!$J$8:$J$29,MATCH(2,1/(('Processing Factors'!$B$8:$B$29&lt;=Main!$C18)*('Processing Factors'!$C$8:$C$29=Main!EM18))))</f>
        <v>0.9</v>
      </c>
      <c r="EW18" s="299">
        <f t="array" ref="EW18">INDEX('Processing Factors'!$K$8:$K$29,MATCH(2,1/(('Processing Factors'!$B$8:$B$29&lt;=Main!$C18)*('Processing Factors'!$C$8:$C$29=Main!EM18))))</f>
        <v>3.5000000000000003E-2</v>
      </c>
      <c r="EY18" s="302">
        <f t="shared" si="35"/>
        <v>0.5</v>
      </c>
      <c r="EZ18" s="302">
        <f t="shared" si="36"/>
        <v>0.05</v>
      </c>
      <c r="FA18" s="302">
        <f t="shared" si="37"/>
        <v>0.45</v>
      </c>
      <c r="FB18" s="299">
        <f t="shared" si="38"/>
        <v>2.4691358024691357</v>
      </c>
      <c r="FC18" s="304">
        <v>0</v>
      </c>
      <c r="FD18" s="299">
        <f t="shared" si="39"/>
        <v>0.14611111111111114</v>
      </c>
      <c r="FE18" s="281">
        <f t="shared" si="40"/>
        <v>35.103008604987139</v>
      </c>
      <c r="FF18" s="281">
        <f t="shared" si="41"/>
        <v>50.37416442905598</v>
      </c>
      <c r="FG18" s="281">
        <f t="shared" si="42"/>
        <v>1.2210288298473715</v>
      </c>
      <c r="FH18" s="299">
        <f t="shared" si="43"/>
        <v>1.8352469135802467</v>
      </c>
      <c r="FI18" s="281">
        <f t="shared" si="44"/>
        <v>7.7808659422565585</v>
      </c>
      <c r="FJ18" s="281">
        <f t="shared" si="45"/>
        <v>94.479067806147043</v>
      </c>
      <c r="FL18" s="287" t="s">
        <v>39</v>
      </c>
      <c r="FN18" s="315" t="e">
        <f t="shared" ca="1" si="293"/>
        <v>#NAME?</v>
      </c>
      <c r="FO18" s="316">
        <f t="shared" si="294"/>
        <v>0.56200000000000006</v>
      </c>
      <c r="FP18" s="316">
        <f t="shared" si="295"/>
        <v>0.45</v>
      </c>
      <c r="FQ18" s="316">
        <f t="shared" si="296"/>
        <v>8.2000000000000003E-2</v>
      </c>
      <c r="FR18" s="316">
        <f t="shared" si="297"/>
        <v>0.05</v>
      </c>
      <c r="FS18" s="316">
        <f t="shared" si="298"/>
        <v>3.2000000000000001E-2</v>
      </c>
      <c r="FT18" s="316">
        <f t="shared" si="299"/>
        <v>6.2000000000000041E-2</v>
      </c>
      <c r="FU18" s="316">
        <f t="shared" si="300"/>
        <v>0.05</v>
      </c>
      <c r="FV18" s="317" t="str">
        <f t="shared" si="301"/>
        <v>HT-D</v>
      </c>
      <c r="FW18" s="318">
        <v>0</v>
      </c>
      <c r="FX18" s="237"/>
      <c r="FY18" s="319">
        <f t="array" ref="FY18">INDEX('Processing Factors'!$D$8:$D$29,MATCH(2,1/(('Processing Factors'!$B$8:$B$29&lt;=Main!$C18)*('Processing Factors'!$C$8:$C$29=Main!FV18))))</f>
        <v>1</v>
      </c>
      <c r="FZ18" s="320">
        <f t="array" ref="FZ18">INDEX('Processing Factors'!$E$8:$E$29,MATCH(2,1/(('Processing Factors'!$B$8:$B$29&lt;=Main!$C18)*('Processing Factors'!$C$8:$C$29=Main!FV18))))</f>
        <v>1.23</v>
      </c>
      <c r="GA18" s="320">
        <f t="array" ref="GA18">INDEX('Processing Factors'!$F$8:$F$29,MATCH(2,1/(('Processing Factors'!$B$8:$B$29&lt;=Main!$C18)*('Processing Factors'!$C$8:$C$29=Main!FV18))))</f>
        <v>0.6</v>
      </c>
      <c r="GB18" s="320">
        <f t="array" ref="GB18">INDEX('Processing Factors'!$G$8:$G$29,MATCH(2,1/(('Processing Factors'!$B$8:$B$29&lt;=Main!$C18)*('Processing Factors'!$C$8:$C$29=Main!FV18))))</f>
        <v>0.22</v>
      </c>
      <c r="GC18" s="320">
        <f t="array" ref="GC18">INDEX('Processing Factors'!$H$8:$H$29,MATCH(2,1/(('Processing Factors'!$B$8:$B$29&lt;=Main!$C18)*('Processing Factors'!$C$8:$C$29=Main!FV18))))</f>
        <v>13.5</v>
      </c>
      <c r="GD18" s="319">
        <f t="array" ref="GD18">INDEX('Processing Factors'!$I$8:$I$29,MATCH(2,1/(('Processing Factors'!$B$8:$B$29&lt;=Main!$C18)*('Processing Factors'!$C$8:$C$29=Main!FV18))))</f>
        <v>1</v>
      </c>
      <c r="GE18" s="321">
        <v>0.92</v>
      </c>
      <c r="GF18" s="320">
        <f t="array" ref="GF18">INDEX('Processing Factors'!$K$8:$K$29,MATCH(2,1/(('Processing Factors'!$B$8:$B$29&lt;=Main!$C18)*('Processing Factors'!$C$8:$C$29=Main!FV18))))</f>
        <v>3.5000000000000003E-2</v>
      </c>
      <c r="GG18" s="237"/>
      <c r="GH18" s="322">
        <f t="shared" si="46"/>
        <v>0.56200000000000006</v>
      </c>
      <c r="GI18" s="322">
        <f t="shared" si="47"/>
        <v>8.2000000000000003E-2</v>
      </c>
      <c r="GJ18" s="322">
        <f t="shared" si="48"/>
        <v>0.46114000000000005</v>
      </c>
      <c r="GK18" s="320">
        <f t="shared" si="49"/>
        <v>2.357107433185432</v>
      </c>
      <c r="GL18" s="323" t="e">
        <f t="shared" ca="1" si="50"/>
        <v>#NAME?</v>
      </c>
      <c r="GM18" s="320">
        <f t="shared" si="51"/>
        <v>0.15096968571272326</v>
      </c>
      <c r="GN18" s="323">
        <f t="shared" si="52"/>
        <v>36.270274973378967</v>
      </c>
      <c r="GO18" s="323">
        <f t="shared" si="53"/>
        <v>55.9712938100622</v>
      </c>
      <c r="GP18" s="323">
        <f t="shared" si="54"/>
        <v>7.4618428490672706</v>
      </c>
      <c r="GQ18" s="320">
        <f t="shared" si="55"/>
        <v>1.7280771188981552</v>
      </c>
      <c r="GR18" s="323">
        <f t="shared" si="56"/>
        <v>7.3264999387994152</v>
      </c>
      <c r="GS18" s="323" t="e">
        <f t="shared" ca="1" si="57"/>
        <v>#NAME?</v>
      </c>
      <c r="GT18" s="237"/>
      <c r="GU18" s="324" t="e">
        <f t="shared" ca="1" si="58"/>
        <v>#NAME?</v>
      </c>
      <c r="GV18" s="325">
        <f t="array" ref="GV18">INDEX('Indices Mines Exporting Ports'!E$20:E$51, MATCH(2,1/(('Indices Mines Exporting Ports'!$C$20:$C$51=$BC18)*('Indices Mines Exporting Ports'!$D$20:$D$51&lt;=$C18))))</f>
        <v>0.5</v>
      </c>
      <c r="GW18" s="325">
        <f t="array" ref="GW18">INDEX('Indices Mines Exporting Ports'!F$20:F$51, MATCH(2,1/(('Indices Mines Exporting Ports'!$C$20:$C$51=$BC18)*('Indices Mines Exporting Ports'!$D$20:$D$51&lt;=$C18))))</f>
        <v>0.45</v>
      </c>
      <c r="GX18" s="325">
        <f t="array" ref="GX18">INDEX('Indices Mines Exporting Ports'!G$20:G$51, MATCH(2,1/(('Indices Mines Exporting Ports'!$C$20:$C$51=$BC18)*('Indices Mines Exporting Ports'!$D$20:$D$51&lt;=$C18))))</f>
        <v>0.05</v>
      </c>
      <c r="GY18" s="325">
        <f t="array" ref="GY18">INDEX('Indices Mines Exporting Ports'!H$20:H$51, MATCH(2,1/(('Indices Mines Exporting Ports'!$C$20:$C$51=$BC18)*('Indices Mines Exporting Ports'!$D$20:$D$51&lt;=$C18))))</f>
        <v>0.05</v>
      </c>
      <c r="GZ18" s="325">
        <f t="array" ref="GZ18">INDEX('Indices Mines Exporting Ports'!I$20:I$51, MATCH(2,1/(('Indices Mines Exporting Ports'!$C$20:$C$51=$BC18)*('Indices Mines Exporting Ports'!$D$20:$D$51&lt;=$C18))))</f>
        <v>0</v>
      </c>
      <c r="HA18" s="325">
        <f t="array" ref="HA18">INDEX('Indices Mines Exporting Ports'!J$20:J$51, MATCH(2,1/(('Indices Mines Exporting Ports'!$C$20:$C$51=$BC18)*('Indices Mines Exporting Ports'!$D$20:$D$51&lt;=$C18))))</f>
        <v>0</v>
      </c>
      <c r="HB18" s="325">
        <f t="array" ref="HB18">INDEX('Indices Mines Exporting Ports'!K$20:K$51, MATCH(2,1/(('Indices Mines Exporting Ports'!$C$20:$C$51=$BC18)*('Indices Mines Exporting Ports'!$D$20:$D$51&lt;=$C18))))</f>
        <v>0.1</v>
      </c>
      <c r="HC18" s="326" t="str">
        <f t="array" ref="HC18">INDEX('Indices Mines Exporting Ports'!L$20:L$51, MATCH(2,1/(('Indices Mines Exporting Ports'!$C$20:$C$51=$BC18)*('Indices Mines Exporting Ports'!$D$20:$D$51&lt;=$C18))))</f>
        <v>LT</v>
      </c>
      <c r="HD18" s="262">
        <f t="array" ref="HD18">INDEX('Indices Mines Exporting Ports'!M$20:M$51, MATCH(2,1/(('Indices Mines Exporting Ports'!$C$20:$C$51=$BC18)*('Indices Mines Exporting Ports'!$D$20:$D$51&lt;=$C18))))</f>
        <v>0</v>
      </c>
      <c r="HE18" s="237"/>
      <c r="HF18" s="319">
        <f t="array" ref="HF18">INDEX('Processing Factors'!$D$8:$D$29,MATCH(2,1/(('Processing Factors'!$B$8:$B$29&lt;=Main!$C18)*('Processing Factors'!$C$8:$C$29=Main!HC18))))</f>
        <v>0</v>
      </c>
      <c r="HG18" s="320">
        <f t="array" ref="HG18">INDEX('Processing Factors'!$E$8:$E$29,MATCH(2,1/(('Processing Factors'!$B$8:$B$29&lt;=Main!$C18)*('Processing Factors'!$C$8:$C$29=Main!HC18))))</f>
        <v>1</v>
      </c>
      <c r="HH18" s="320">
        <f t="array" ref="HH18">INDEX('Processing Factors'!$F$8:$F$29,MATCH(2,1/(('Processing Factors'!$B$8:$B$29&lt;=Main!$C18)*('Processing Factors'!$C$8:$C$29=Main!HC18))))</f>
        <v>0.9</v>
      </c>
      <c r="HI18" s="320">
        <f t="array" ref="HI18">INDEX('Processing Factors'!$G$8:$G$29,MATCH(2,1/(('Processing Factors'!$B$8:$B$29&lt;=Main!$C18)*('Processing Factors'!$C$8:$C$29=Main!HC18))))</f>
        <v>3.5999999999999997E-2</v>
      </c>
      <c r="HJ18" s="320">
        <f t="array" ref="HJ18">INDEX('Processing Factors'!$H$8:$H$29,MATCH(2,1/(('Processing Factors'!$B$8:$B$29&lt;=Main!$C18)*('Processing Factors'!$C$8:$C$29=Main!HC18))))</f>
        <v>12.15</v>
      </c>
      <c r="HK18" s="319">
        <f t="array" ref="HK18">INDEX('Processing Factors'!$I$8:$I$29,MATCH(2,1/(('Processing Factors'!$B$8:$B$29&lt;=Main!$C18)*('Processing Factors'!$C$8:$C$29=Main!HC18))))</f>
        <v>0</v>
      </c>
      <c r="HL18" s="321">
        <v>0.92</v>
      </c>
      <c r="HM18" s="320">
        <f t="array" ref="HM18">INDEX('Processing Factors'!$K$8:$K$29,MATCH(2,1/(('Processing Factors'!$B$8:$B$29&lt;=Main!$C18)*('Processing Factors'!$C$8:$C$29=Main!HC18))))</f>
        <v>3.5000000000000003E-2</v>
      </c>
      <c r="HN18" s="237"/>
      <c r="HO18" s="322">
        <f t="shared" si="59"/>
        <v>0.5</v>
      </c>
      <c r="HP18" s="322">
        <f t="shared" si="60"/>
        <v>0.05</v>
      </c>
      <c r="HQ18" s="322">
        <f t="shared" si="61"/>
        <v>0.45</v>
      </c>
      <c r="HR18" s="320">
        <f t="shared" si="62"/>
        <v>2.4154589371980677</v>
      </c>
      <c r="HS18" s="263">
        <v>0</v>
      </c>
      <c r="HT18" s="320">
        <f t="shared" si="63"/>
        <v>0.14369565217391306</v>
      </c>
      <c r="HU18" s="323">
        <f t="shared" si="64"/>
        <v>34.522697667559676</v>
      </c>
      <c r="HV18" s="323">
        <f t="shared" si="65"/>
        <v>50.37416442905598</v>
      </c>
      <c r="HW18" s="323">
        <f t="shared" si="66"/>
        <v>1.2210288298473715</v>
      </c>
      <c r="HX18" s="320">
        <f t="shared" si="67"/>
        <v>1.7791545893719807</v>
      </c>
      <c r="HY18" s="323">
        <f t="shared" si="68"/>
        <v>7.5430522443696191</v>
      </c>
      <c r="HZ18" s="323">
        <f t="shared" si="69"/>
        <v>93.660943170832638</v>
      </c>
      <c r="IB18" s="287" t="s">
        <v>39</v>
      </c>
      <c r="ID18" s="89" t="str">
        <f t="shared" si="70"/>
        <v>Turkey</v>
      </c>
      <c r="IE18" s="18">
        <f t="shared" si="319"/>
        <v>43923</v>
      </c>
      <c r="IF18" s="94">
        <f t="array" ref="IF18">INDEX('Indices Mines Exporting Ports'!E$20:E$51, MATCH(2,1/(('Indices Mines Exporting Ports'!$C$20:$C$51=$ID18)*('Indices Mines Exporting Ports'!$D$20:$D$51&lt;=$IE18))))</f>
        <v>0.56200000000000006</v>
      </c>
      <c r="IG18" s="94">
        <f t="array" ref="IG18">INDEX('Indices Mines Exporting Ports'!F$20:F$51, MATCH(2,1/(('Indices Mines Exporting Ports'!$C$20:$C$51=$ID18)*('Indices Mines Exporting Ports'!$D$20:$D$51&lt;=$IE18))))</f>
        <v>0.45</v>
      </c>
      <c r="IH18" s="95">
        <f t="array" ref="IH18">INDEX('Indices Mines Exporting Ports'!G$20:G$51, MATCH(2,1/(('Indices Mines Exporting Ports'!$C$20:$C$51=$ID18)*('Indices Mines Exporting Ports'!$D$20:$D$51&lt;=$IE18))))</f>
        <v>8.2000000000000003E-2</v>
      </c>
      <c r="II18" s="95">
        <f t="array" ref="II18">INDEX('Indices Mines Exporting Ports'!H$20:H$51, MATCH(2,1/(('Indices Mines Exporting Ports'!$C$20:$C$51=$ID18)*('Indices Mines Exporting Ports'!$D$20:$D$51&lt;=$IE18))))</f>
        <v>0.05</v>
      </c>
      <c r="IJ18" s="95">
        <f t="array" ref="IJ18">INDEX('Indices Mines Exporting Ports'!I$20:I$51, MATCH(2,1/(('Indices Mines Exporting Ports'!$C$20:$C$51=$ID18)*('Indices Mines Exporting Ports'!$D$20:$D$51&lt;=$IE18))))</f>
        <v>3.2000000000000001E-2</v>
      </c>
      <c r="IK18" s="94">
        <f t="array" ref="IK18">INDEX('Indices Mines Exporting Ports'!J$20:J$51, MATCH(2,1/(('Indices Mines Exporting Ports'!$C$20:$C$51=$ID18)*('Indices Mines Exporting Ports'!$D$20:$D$51&lt;=$IE18))))</f>
        <v>6.2000000000000041E-2</v>
      </c>
      <c r="IL18" s="94">
        <f t="array" ref="IL18">INDEX('Indices Mines Exporting Ports'!K$20:K$51, MATCH(2,1/(('Indices Mines Exporting Ports'!$C$20:$C$51=$ID18)*('Indices Mines Exporting Ports'!$D$20:$D$51&lt;=$IE18))))</f>
        <v>0.05</v>
      </c>
      <c r="IM18" s="93" t="str">
        <f t="array" ref="IM18">INDEX('Indices Mines Exporting Ports'!L$20:L$51, MATCH(2,1/(('Indices Mines Exporting Ports'!$C$20:$C$51=$ID18)*('Indices Mines Exporting Ports'!$D$20:$D$51&lt;=$IE18))))</f>
        <v>HT-D</v>
      </c>
      <c r="IN18" s="101">
        <f t="array" ref="IN18">INDEX('Indices Mines Exporting Ports'!M$20:M$51, MATCH(2,1/(('Indices Mines Exporting Ports'!$C$20:$C$51=$ID18)*('Indices Mines Exporting Ports'!$D$20:$D$51&lt;=$IE18))))</f>
        <v>0</v>
      </c>
      <c r="IO18" s="96">
        <f t="array" ref="IO18">INDEX('Indices Mines Exporting Ports'!N$20:N$51, MATCH(2,1/(('Indices Mines Exporting Ports'!$C$20:$C$51=$ID18)*('Indices Mines Exporting Ports'!$D$20:$D$51&lt;=$IE18))))</f>
        <v>84000</v>
      </c>
      <c r="IP18" s="95" t="str">
        <f t="array" ref="IP18">INDEX('Indices Mines Exporting Ports'!Q$20:Q$51, MATCH(2,1/(('Indices Mines Exporting Ports'!$C$20:$C$51=$ID18)*('Indices Mines Exporting Ports'!$D$20:$D$51&lt;=$IE18))))</f>
        <v>Turkey</v>
      </c>
      <c r="IQ18" s="95" t="str">
        <f t="array" ref="IQ18">INDEX('Indices Mines Exporting Ports'!O$20:O$51, MATCH(2,1/(('Indices Mines Exporting Ports'!$C$20:$C$51=$ID18)*('Indices Mines Exporting Ports'!$D$20:$D$51&lt;=$IE18))))</f>
        <v>CBIX HT</v>
      </c>
      <c r="IR18" s="95" t="str">
        <f t="array" ref="IR18">INDEX('Indices Mines Exporting Ports'!P$20:P$51, MATCH(2,1/(('Indices Mines Exporting Ports'!$C$20:$C$51=$ID18)*('Indices Mines Exporting Ports'!$D$20:$D$51&lt;=$IE18))))</f>
        <v>CBIX HT</v>
      </c>
      <c r="IT18" s="287" t="s">
        <v>39</v>
      </c>
      <c r="IV18" s="292">
        <f>VLOOKUP($C18,'China Price Series'!$C$10:$D$1009,2,TRUE)/$JA18/(VLOOKUP($C18,'China Price Series'!$C$10:$E$1009,3,TRUE)*$JG18/$JF18)</f>
        <v>4.146021763708311</v>
      </c>
      <c r="IW18" s="292">
        <f>VLOOKUP($C18,'China Price Series'!$G$10:$H$1009,2,TRUE)/$JA18/(VLOOKUP($C18,'China Price Series'!$G$10:$I$1009,3,TRUE))</f>
        <v>240.24872809496895</v>
      </c>
      <c r="IX18" s="292">
        <f>VLOOKUP($C18,'China Price Series'!$K$10:$L$1009,2,TRUE)/$JA18</f>
        <v>33.91746749576032</v>
      </c>
      <c r="IY18" s="292">
        <f>VLOOKUP($C18,'China Price Series'!$N$10:$O$1009,2,TRUE)/$JA18</f>
        <v>4.23968343697004</v>
      </c>
      <c r="JA18" s="277">
        <f t="array" ref="JA18">INDEX('FX rates'!E$10:E$1009,MATCH(2,1/(('FX rates'!$D$10:$D$1009&lt;=Main!$C18)*(NOT(ISBLANK('FX rates'!E$10:E$1009))))))</f>
        <v>7.0759999999999987</v>
      </c>
      <c r="JB18" s="277">
        <f t="array" ref="JB18">INDEX('FX rates'!F$10:F$1009,MATCH(2,1/(('FX rates'!$D$10:$D$1009&lt;=Main!$C18)*(NOT(ISBLANK('FX rates'!F$10:F$1009))))))</f>
        <v>0.59156405988048044</v>
      </c>
      <c r="JC18" s="277">
        <f t="array" ref="JC18">INDEX('FX rates'!G$10:G$1009,MATCH(2,1/(('FX rates'!$D$10:$D$1009&lt;=Main!$C18)*(NOT(ISBLANK('FX rates'!G$10:G$1009))))))</f>
        <v>1</v>
      </c>
      <c r="JD18" s="277">
        <f t="array" ref="JD18">INDEX('FX rates'!H$10:H$1009,MATCH(2,1/(('FX rates'!$D$10:$D$1009&lt;=Main!$C18)*(NOT(ISBLANK('FX rates'!H$10:H$1009))))))</f>
        <v>1.35</v>
      </c>
      <c r="JF18" s="111">
        <f t="array" ref="JF18">INDEX('Global factors'!C$5:C$23,MATCH(2,1/(('Global factors'!$B$5:$B$23&lt;=Main!$C18)*(NOT(ISBLANK('Global factors'!C$5:C$23))))))</f>
        <v>239000</v>
      </c>
      <c r="JG18" s="112">
        <f t="array" ref="JG18">INDEX('Global factors'!D$5:D$23,MATCH(2,1/(('Global factors'!$B$5:$B$23&lt;=Main!$C18)*(NOT(ISBLANK('Global factors'!D$5:D$23))))))</f>
        <v>1000</v>
      </c>
      <c r="JH18" s="112">
        <f t="array" ref="JH18">INDEX('Global factors'!E$5:E$23,MATCH(2,1/(('Global factors'!$B$5:$B$23&lt;=Main!$C18)*(NOT(ISBLANK('Global factors'!E$5:E$23))))))</f>
        <v>24</v>
      </c>
      <c r="JI18" s="112">
        <f t="array" ref="JI18">INDEX('Global factors'!F$5:F$23,MATCH(2,1/(('Global factors'!$B$5:$B$23&lt;=Main!$C18)*(NOT(ISBLANK('Global factors'!F$5:F$23))))))</f>
        <v>2</v>
      </c>
      <c r="JJ18" s="117">
        <f t="array" ref="JJ18">INDEX('Global factors'!G$5:G$23,MATCH(2,1/(('Global factors'!$B$5:$B$23&lt;=Main!$C18)*(NOT(ISBLANK('Global factors'!G$5:G$23))))))</f>
        <v>0.08</v>
      </c>
      <c r="JK18" s="113">
        <f t="array" ref="JK18">INDEX('Global factors'!H$5:H$23,MATCH(2,1/(('Global factors'!$B$5:$B$23&lt;=Main!$C18)*(NOT(ISBLANK('Global factors'!H$5:H$23))))))</f>
        <v>101.96</v>
      </c>
      <c r="JL18" s="113">
        <f t="array" ref="JL18">INDEX('Global factors'!I$5:I$23,MATCH(2,1/(('Global factors'!$B$5:$B$23&lt;=Main!$C18)*(NOT(ISBLANK('Global factors'!I$5:I$23))))))</f>
        <v>60.08</v>
      </c>
      <c r="JM18" s="114">
        <f t="array" ref="JM18">INDEX('Global factors'!J$5:J$23,MATCH(2,1/(('Global factors'!$B$5:$B$23&lt;=Main!$C18)*(NOT(ISBLANK('Global factors'!J$5:J$23))))))</f>
        <v>0.84853528628495334</v>
      </c>
      <c r="JN18" s="115">
        <f t="array" ref="JN18">INDEX('Global factors'!K$5:K$23,MATCH(2,1/(('Global factors'!$B$5:$B$23&lt;=Main!$C18)*(NOT(ISBLANK('Global factors'!K$5:K$23))))))</f>
        <v>0.97499999999999998</v>
      </c>
      <c r="JO18" s="116">
        <f t="array" ref="JO18">INDEX('Global factors'!L$5:L$23,MATCH(2,1/(('Global factors'!$B$5:$B$23&lt;=Main!$C18)*(NOT(ISBLANK('Global factors'!L$5:L$23))))))</f>
        <v>8.7299999999999997E-4</v>
      </c>
      <c r="JP18" s="116">
        <f t="array" ref="JP18">INDEX('Global factors'!M$5:M$23,MATCH(2,1/(('Global factors'!$B$5:$B$23&lt;=Main!$C18)*(NOT(ISBLANK('Global factors'!M$5:M$23))))))</f>
        <v>145.88999999999999</v>
      </c>
      <c r="JQ18" s="116">
        <f t="array" ref="JQ18">INDEX('Global factors'!N$5:N$23,MATCH(2,1/(('Global factors'!$B$5:$B$23&lt;=Main!$C18)*(NOT(ISBLANK('Global factors'!N$5:N$23))))))</f>
        <v>0.40339999999999998</v>
      </c>
      <c r="JR18" s="116">
        <f t="array" ref="JR18">INDEX('Global factors'!O$5:O$23,MATCH(2,1/(('Global factors'!$B$5:$B$23&lt;=Main!$C18)*(NOT(ISBLANK('Global factors'!O$5:O$23))))))</f>
        <v>0</v>
      </c>
      <c r="JS18" s="116">
        <f t="array" ref="JS18">INDEX('Global factors'!P$5:P$23,MATCH(2,1/(('Global factors'!$B$5:$B$23&lt;=Main!$C18)*(NOT(ISBLANK('Global factors'!P$5:P$23))))))</f>
        <v>0.51890000000000003</v>
      </c>
      <c r="JT18" s="116">
        <f t="array" ref="JT18">INDEX('Global factors'!Q$5:Q$23,MATCH(2,1/(('Global factors'!$B$5:$B$23&lt;=Main!$C18)*(NOT(ISBLANK('Global factors'!Q$5:Q$23))))))</f>
        <v>4797</v>
      </c>
      <c r="JU18" s="116">
        <f t="array" ref="JU18">INDEX('Global factors'!R$5:R$23,MATCH(2,1/(('Global factors'!$B$5:$B$23&lt;=Main!$C18)*(NOT(ISBLANK('Global factors'!R$5:R$23))))))</f>
        <v>7</v>
      </c>
      <c r="JV18" s="115">
        <f t="array" ref="JV18">INDEX('Global factors'!S$5:S$23,MATCH(2,1/(('Global factors'!$B$5:$B$23&lt;=Main!$C18)*(NOT(ISBLANK('Global factors'!S$5:S$23))))))</f>
        <v>0.12</v>
      </c>
      <c r="JW18" s="115">
        <f t="array" ref="JW18">INDEX('Global factors'!T$5:T$23,MATCH(2,1/(('Global factors'!$B$5:$B$23&lt;=Main!$C18)*(NOT(ISBLANK('Global factors'!T$5:T$23))))))</f>
        <v>0.5</v>
      </c>
      <c r="JX18" s="116">
        <f t="array" ref="JX18">INDEX('Global factors'!U$5:U$23,MATCH(2,1/(('Global factors'!$B$5:$B$23&lt;=Main!$C18)*(NOT(ISBLANK('Global factors'!U$5:U$23))))))</f>
        <v>0.5</v>
      </c>
      <c r="JY18" s="116">
        <f t="array" ref="JY18">INDEX('Global factors'!V$5:V$23,MATCH(2,1/(('Global factors'!$B$5:$B$23&lt;=Main!$C18)*(NOT(ISBLANK('Global factors'!V$5:V$23))))))</f>
        <v>10000</v>
      </c>
      <c r="JZ18" s="116">
        <f t="array" ref="JZ18">INDEX('Global factors'!W$5:W$23,MATCH(2,1/(('Global factors'!$B$5:$B$23&lt;=Main!$C18)*(NOT(ISBLANK('Global factors'!W$5:W$23))))))</f>
        <v>0.10680000000000001</v>
      </c>
      <c r="KA18" s="116">
        <f t="array" ref="KA18">INDEX('Global factors'!X$5:X$23,MATCH(2,1/(('Global factors'!$B$5:$B$23&lt;=Main!$C18)*(NOT(ISBLANK('Global factors'!X$5:X$23))))))</f>
        <v>1.2</v>
      </c>
      <c r="KB18" s="116">
        <v>0</v>
      </c>
      <c r="KC18" s="272">
        <f t="array" ref="KC18">INDEX('Global factors'!Y$5:Y$23,MATCH(2,1/(('Global factors'!$B$5:$B$23&lt;=Main!$C18)*(NOT(ISBLANK('Global factors'!Y$5:Y$23))))))</f>
        <v>23643.7088248818</v>
      </c>
      <c r="KD18" s="273">
        <f t="array" ref="KD18">INDEX('Global factors'!Z$5:Z$23,MATCH(2,1/(('Global factors'!$B$5:$B$23&lt;=Main!$C18)*(NOT(ISBLANK('Global factors'!Z$5:Z$23))))))</f>
        <v>0.62802869915581405</v>
      </c>
      <c r="KE18" s="273">
        <v>0</v>
      </c>
      <c r="KF18" s="273">
        <v>0</v>
      </c>
      <c r="KG18" s="116">
        <v>0</v>
      </c>
      <c r="KH18" s="116">
        <f t="array" ref="KH18">INDEX('Global factors'!AB$5:AB$23,MATCH(2,1/(('Global factors'!$B$5:$B$23&lt;=Main!$C18)*(NOT(ISBLANK('Global factors'!AB$5:AB$23))))))</f>
        <v>6.2556361557795204E-2</v>
      </c>
      <c r="KI18" s="116">
        <f t="array" ref="KI18">INDEX('Global factors'!AC$5:AC$23,MATCH(2,1/(('Global factors'!$B$5:$B$23&lt;=Main!$C18)*(NOT(ISBLANK('Global factors'!AC$5:AC$23))))))</f>
        <v>8.6923129044225601E-4</v>
      </c>
      <c r="KJ18" s="116">
        <f t="array" ref="KJ18">INDEX('Global factors'!AD$5:AD$23,MATCH(2,1/(('Global factors'!$B$5:$B$23&lt;=Main!$C18)*(NOT(ISBLANK('Global factors'!AD$5:AD$23))))))</f>
        <v>1.1499999999999999</v>
      </c>
      <c r="KK18" s="116" t="str">
        <f t="array" ref="KK18">INDEX('Global factors'!AE$5:AE$23,MATCH(2,1/(('Global factors'!$B$5:$B$23&lt;=Main!$C18)*(NOT(ISBLANK('Global factors'!AE$5:AE$23))))))</f>
        <v>Qingdao</v>
      </c>
      <c r="KL18" s="290">
        <f t="array" ref="KL18">INDEX('Global factors'!AF$5:AF$23,MATCH(2,1/(('Global factors'!$B$5:$B$23&lt;=Main!$C18)*(NOT(ISBLANK('Global factors'!AF$5:AF$23))))))</f>
        <v>3.0000000000000001E-3</v>
      </c>
      <c r="KM18" s="290">
        <f t="array" ref="KM18">INDEX('Global factors'!AG$5:AG$23,MATCH(2,1/(('Global factors'!$B$5:$B$23&lt;=Main!$C18)*(NOT(ISBLANK('Global factors'!AG$5:AG$23))))))</f>
        <v>0.05</v>
      </c>
      <c r="KO18" s="287" t="s">
        <v>39</v>
      </c>
      <c r="KQ18" s="25">
        <f t="shared" si="320"/>
        <v>84000</v>
      </c>
      <c r="KR18" s="4" t="str">
        <f>VLOOKUP(KQ18,'Ship Time Charter Rates'!$F$10:$G$17,2,TRUE)</f>
        <v>Panamax</v>
      </c>
      <c r="KS18" s="4" t="str">
        <f>VLOOKUP(KQ18,Canals!$E$5:$F$12,2,TRUE)</f>
        <v>Panamax</v>
      </c>
      <c r="KT18" s="25">
        <f t="shared" si="71"/>
        <v>219.22199999999998</v>
      </c>
      <c r="KU18" s="25">
        <f t="shared" si="72"/>
        <v>33885.599999999999</v>
      </c>
      <c r="KV18" s="25">
        <f t="shared" si="73"/>
        <v>48384.600000000006</v>
      </c>
      <c r="KX18" s="75">
        <f t="array" ref="KX18">INDEX('Indices Mines Exporting Ports'!$R$20:$R$51,MATCH(2,1/(('Indices Mines Exporting Ports'!$D$20:$D$51&lt;=Main!$C18)*('Indices Mines Exporting Ports'!$Q$20:$Q$51=$AP18))))</f>
        <v>30000</v>
      </c>
      <c r="KY18" s="75">
        <f t="array" ref="KY18">INDEX('Indices Mines Exporting Ports'!$S$20:$S$51,MATCH(2,1/(('Indices Mines Exporting Ports'!$D$20:$D$51&lt;=Main!$C18)*('Indices Mines Exporting Ports'!$Q$20:$Q$51=$AP18))))</f>
        <v>30000</v>
      </c>
      <c r="KZ18" s="75">
        <f t="array" ref="KZ18">INDEX('Indices Mines Exporting Ports'!$T$20:$T$51,MATCH(2,1/(('Indices Mines Exporting Ports'!$D$20:$D$51&lt;=Main!$C18)*('Indices Mines Exporting Ports'!$Q$20:$Q$51=$AP18))))</f>
        <v>30000</v>
      </c>
      <c r="LA18" s="75">
        <f t="array" ref="LA18">INDEX('Indices Mines Exporting Ports'!$U$20:$U$51,MATCH(2,1/(('Indices Mines Exporting Ports'!$D$20:$D$51&lt;=Main!$C18)*('Indices Mines Exporting Ports'!$Q$20:$Q$51=$AP18))))</f>
        <v>30000</v>
      </c>
      <c r="LB18" s="75">
        <f t="array" ref="LB18">INDEX('Indices Mines Exporting Ports'!$V$20:$V$51,MATCH(2,1/(('Indices Mines Exporting Ports'!$D$20:$D$51&lt;=Main!$C18)*('Indices Mines Exporting Ports'!$Q$20:$Q$51=$AP18))))</f>
        <v>30000</v>
      </c>
      <c r="LC18" s="75">
        <f t="array" ref="LC18">INDEX('Indices Mines Exporting Ports'!$W$20:$W$51,MATCH(2,1/(('Indices Mines Exporting Ports'!$D$20:$D$51&lt;=Main!$C18)*('Indices Mines Exporting Ports'!$Q$20:$Q$51=$AP18))))</f>
        <v>30000</v>
      </c>
      <c r="LD18" s="75">
        <f t="array" ref="LD18">INDEX('Indices Mines Exporting Ports'!$X$20:$X$51,MATCH(2,1/(('Indices Mines Exporting Ports'!$D$20:$D$51&lt;=Main!$C18)*('Indices Mines Exporting Ports'!$Q$20:$Q$51=$AP18))))</f>
        <v>30000</v>
      </c>
      <c r="LF18" s="75">
        <f t="array" ref="LF18">INDEX('Port Linkages'!$E$18:$E$157,MATCH(2,1/(('Port Linkages'!$C$18:$C$157=$AP18)*('Port Linkages'!$D$18:$D$157=IF($AO18="Yes",$AQ18,$AS18))*('Port Linkages'!$A$18:$A$157&lt;=$C18))))</f>
        <v>14562</v>
      </c>
      <c r="LG18" s="75">
        <f t="array" ref="LG18">INDEX('Port Linkages'!$F$18:$F$157,MATCH(2,1/(('Port Linkages'!$C$18:$C$157=$AP18)*('Port Linkages'!$D$18:$D$157=IF($AO18="Yes",$AQ18,$AS18))*('Port Linkages'!$A$18:$A$157&lt;=$C18))))</f>
        <v>0</v>
      </c>
      <c r="LH18" s="75" t="str">
        <f t="array" ref="LH18">INDEX('Port Linkages'!$G$18:$G$157,MATCH(2,1/(('Port Linkages'!$C$18:$C$157=$AP18)*('Port Linkages'!$D$18:$D$157=IF($AO18="Yes",$AQ18,$AS18))*('Port Linkages'!$A$18:$A$157&lt;=$C18))))</f>
        <v>VLOC_General</v>
      </c>
      <c r="LI18" s="75" t="str">
        <f t="array" ref="LI18">INDEX('Port Linkages'!$H$18:$H$157,MATCH(2,1/(('Port Linkages'!$C$18:$C$157=$AP18)*('Port Linkages'!$D$18:$D$157=IF($AO18="Yes",$AQ18,$AS18))*('Port Linkages'!$A$18:$A$157&lt;=$C18))))</f>
        <v>Singapore</v>
      </c>
      <c r="LJ18" s="75" t="str">
        <f t="array" ref="LJ18">INDEX('Port Linkages'!$I$18:$I$157,MATCH(2,1/(('Port Linkages'!$C$18:$C$157=$AP18)*('Port Linkages'!$D$18:$D$157=IF($AO18="Yes",$AQ18,$AS18))*('Port Linkages'!$A$18:$A$157&lt;=$C18))))</f>
        <v>VLSFO</v>
      </c>
      <c r="LK18" s="75" t="str">
        <f t="array" ref="LK18">INDEX('Port Linkages'!$J$18:$J$157,MATCH(2,1/(('Port Linkages'!$C$18:$C$157=$AP18)*('Port Linkages'!$D$18:$D$157=IF($AO18="Yes",$AQ18,$AS18))*('Port Linkages'!$A$18:$A$157&lt;=$C18))))</f>
        <v>MGO_Regular</v>
      </c>
      <c r="LL18" s="75" t="str">
        <f t="array" ref="LL18">INDEX('Port Linkages'!$K$18:$K$157,MATCH(2,1/(('Port Linkages'!$C$18:$C$157=$AP18)*('Port Linkages'!$D$18:$D$157=IF($AO18="Yes",$AQ18,$AS18))*('Port Linkages'!$A$18:$A$157&lt;=$C18))))</f>
        <v>none</v>
      </c>
      <c r="LM18" s="75">
        <f t="array" ref="LM18">INDEX('Port Linkages'!$L$18:$L$157,MATCH(2,1/(('Port Linkages'!$C$18:$C$157=$AP18)*('Port Linkages'!$D$18:$D$157=IF($AO18="Yes",$AQ18,$AS18))*('Port Linkages'!$A$18:$A$157&lt;=$C18))))</f>
        <v>14562</v>
      </c>
      <c r="LN18" s="75">
        <f t="array" ref="LN18">INDEX('Port Linkages'!$M$18:$M$157,MATCH(2,1/(('Port Linkages'!$C$18:$C$157=$AP18)*('Port Linkages'!$D$18:$D$157=IF($AO18="Yes",$AQ18,$AS18))*('Port Linkages'!$A$18:$A$157&lt;=$C18))))</f>
        <v>0</v>
      </c>
      <c r="LO18" s="75" t="str">
        <f t="array" ref="LO18">INDEX('Port Linkages'!$N$18:$N$157,MATCH(2,1/(('Port Linkages'!$C$18:$C$157=$AP18)*('Port Linkages'!$D$18:$D$157=IF($AO18="Yes",$AQ18,$AS18))*('Port Linkages'!$A$18:$A$157&lt;=$C18))))</f>
        <v>Capesize_General</v>
      </c>
      <c r="LP18" s="75" t="str">
        <f t="array" ref="LP18">INDEX('Port Linkages'!$O$18:$O$157,MATCH(2,1/(('Port Linkages'!$C$18:$C$157=$AP18)*('Port Linkages'!$D$18:$D$157=IF($AO18="Yes",$AQ18,$AS18))*('Port Linkages'!$A$18:$A$157&lt;=$C18))))</f>
        <v>Singapore</v>
      </c>
      <c r="LQ18" s="75" t="str">
        <f t="array" ref="LQ18">INDEX('Port Linkages'!$P$18:$P$157,MATCH(2,1/(('Port Linkages'!$C$18:$C$157=$AP18)*('Port Linkages'!$D$18:$D$157=IF($AO18="Yes",$AQ18,$AS18))*('Port Linkages'!$A$18:$A$157&lt;=$C18))))</f>
        <v>VLSFO</v>
      </c>
      <c r="LR18" s="75" t="str">
        <f t="array" ref="LR18">INDEX('Port Linkages'!$Q$18:$Q$157,MATCH(2,1/(('Port Linkages'!$C$18:$C$157=$AP18)*('Port Linkages'!$D$18:$D$157=IF($AO18="Yes",$AQ18,$AS18))*('Port Linkages'!$A$18:$A$157&lt;=$C18))))</f>
        <v>MGO_Regular</v>
      </c>
      <c r="LS18" s="75" t="str">
        <f t="array" ref="LS18">INDEX('Port Linkages'!$R$18:$R$157,MATCH(2,1/(('Port Linkages'!$C$18:$C$157=$AP18)*('Port Linkages'!$D$18:$D$157=IF($AO18="Yes",$AQ18,$AS18))*('Port Linkages'!$A$18:$A$157&lt;=$C18))))</f>
        <v>none</v>
      </c>
      <c r="LT18" s="75">
        <f t="array" ref="LT18">INDEX('Port Linkages'!$S$18:$S$157,MATCH(2,1/(('Port Linkages'!$C$18:$C$157=$AP18)*('Port Linkages'!$D$18:$D$157=IF($AO18="Yes",$AQ18,$AS18))*('Port Linkages'!$A$18:$A$157&lt;=$C18))))</f>
        <v>8426</v>
      </c>
      <c r="LU18" s="75">
        <f t="array" ref="LU18">INDEX('Port Linkages'!$T$18:$T$157,MATCH(2,1/(('Port Linkages'!$C$18:$C$157=$AP18)*('Port Linkages'!$D$18:$D$157=IF($AO18="Yes",$AQ18,$AS18))*('Port Linkages'!$A$18:$A$157&lt;=$C18))))</f>
        <v>0</v>
      </c>
      <c r="LV18" s="75" t="str">
        <f t="array" ref="LV18">INDEX('Port Linkages'!$U$18:$U$157,MATCH(2,1/(('Port Linkages'!$C$18:$C$157=$AP18)*('Port Linkages'!$D$18:$D$157=IF($AO18="Yes",$AQ18,$AS18))*('Port Linkages'!$A$18:$A$157&lt;=$C18))))</f>
        <v>Capesize_General</v>
      </c>
      <c r="LW18" s="75" t="str">
        <f t="array" ref="LW18">INDEX('Port Linkages'!$V$18:$V$157,MATCH(2,1/(('Port Linkages'!$C$18:$C$157=$AP18)*('Port Linkages'!$D$18:$D$157=IF($AO18="Yes",$AQ18,$AS18))*('Port Linkages'!$A$18:$A$157&lt;=$C18))))</f>
        <v>Singapore</v>
      </c>
      <c r="LX18" s="75" t="str">
        <f t="array" ref="LX18">INDEX('Port Linkages'!$W$18:$W$157,MATCH(2,1/(('Port Linkages'!$C$18:$C$157=$AP18)*('Port Linkages'!$D$18:$D$157=IF($AO18="Yes",$AQ18,$AS18))*('Port Linkages'!$A$18:$A$157&lt;=$C18))))</f>
        <v>VLSFO</v>
      </c>
      <c r="LY18" s="75" t="str">
        <f t="array" ref="LY18">INDEX('Port Linkages'!$X$18:$X$157,MATCH(2,1/(('Port Linkages'!$C$18:$C$157=$AP18)*('Port Linkages'!$D$18:$D$157=IF($AO18="Yes",$AQ18,$AS18))*('Port Linkages'!$A$18:$A$157&lt;=$C18))))</f>
        <v>MGO_Regular</v>
      </c>
      <c r="LZ18" s="75" t="str">
        <f t="array" ref="LZ18">INDEX('Port Linkages'!$Y$18:$Y$157,MATCH(2,1/(('Port Linkages'!$C$18:$C$157=$AP18)*('Port Linkages'!$D$18:$D$157=IF($AO18="Yes",$AQ18,$AS18))*('Port Linkages'!$A$18:$A$157&lt;=$C18))))</f>
        <v>Suez</v>
      </c>
      <c r="MA18" s="75">
        <f t="array" ref="MA18">INDEX('Port Linkages'!$Z$18:$Z$157,MATCH(2,1/(('Port Linkages'!$C$18:$C$157=$AP18)*('Port Linkages'!$D$18:$D$157=IF($AO18="Yes",$AQ18,$AS18))*('Port Linkages'!$A$18:$A$157&lt;=$C18))))</f>
        <v>8426</v>
      </c>
      <c r="MB18" s="75">
        <f t="array" ref="MB18">INDEX('Port Linkages'!$AA$18:$AA$157,MATCH(2,1/(('Port Linkages'!$C$18:$C$157=$AP18)*('Port Linkages'!$D$18:$D$157=IF($AO18="Yes",$AQ18,$AS18))*('Port Linkages'!$A$18:$A$157&lt;=$C18))))</f>
        <v>0</v>
      </c>
      <c r="MC18" s="75" t="str">
        <f t="array" ref="MC18">INDEX('Port Linkages'!$AB$18:$AB$157,MATCH(2,1/(('Port Linkages'!$C$18:$C$157=$AP18)*('Port Linkages'!$D$18:$D$157=IF($AO18="Yes",$AQ18,$AS18))*('Port Linkages'!$A$18:$A$157&lt;=$C18))))</f>
        <v>Capesize_General</v>
      </c>
      <c r="MD18" s="75" t="str">
        <f t="array" ref="MD18">INDEX('Port Linkages'!$AC$18:$AC$157,MATCH(2,1/(('Port Linkages'!$C$18:$C$157=$AP18)*('Port Linkages'!$D$18:$D$157=IF($AO18="Yes",$AQ18,$AS18))*('Port Linkages'!$A$18:$A$157&lt;=$C18))))</f>
        <v>Singapore</v>
      </c>
      <c r="ME18" s="75" t="str">
        <f t="array" ref="ME18">INDEX('Port Linkages'!$AD$18:$AD$157,MATCH(2,1/(('Port Linkages'!$C$18:$C$157=$AP18)*('Port Linkages'!$D$18:$D$157=IF($AO18="Yes",$AQ18,$AS18))*('Port Linkages'!$A$18:$A$157&lt;=$C18))))</f>
        <v>VLSFO</v>
      </c>
      <c r="MF18" s="75" t="str">
        <f t="array" ref="MF18">INDEX('Port Linkages'!$AE$18:$AE$157,MATCH(2,1/(('Port Linkages'!$C$18:$C$157=$AP18)*('Port Linkages'!$D$18:$D$157=IF($AO18="Yes",$AQ18,$AS18))*('Port Linkages'!$A$18:$A$157&lt;=$C18))))</f>
        <v>MGO_Regular</v>
      </c>
      <c r="MG18" s="75" t="str">
        <f t="array" ref="MG18">INDEX('Port Linkages'!$AF$18:$AF$157,MATCH(2,1/(('Port Linkages'!$C$18:$C$157=$AP18)*('Port Linkages'!$D$18:$D$157=IF($AO18="Yes",$AQ18,$AS18))*('Port Linkages'!$A$18:$A$157&lt;=$C18))))</f>
        <v>Suez</v>
      </c>
      <c r="MH18" s="75">
        <f t="array" ref="MH18">INDEX('Port Linkages'!$AG$18:$AG$157,MATCH(2,1/(('Port Linkages'!$C$18:$C$157=$AP18)*('Port Linkages'!$D$18:$D$157=IF($AO18="Yes",$AQ18,$AS18))*('Port Linkages'!$A$18:$A$157&lt;=$C18))))</f>
        <v>8426</v>
      </c>
      <c r="MI18" s="75">
        <f t="array" ref="MI18">INDEX('Port Linkages'!$AH$18:$AH$157,MATCH(2,1/(('Port Linkages'!$C$18:$C$157=$AP18)*('Port Linkages'!$D$18:$D$157=IF($AO18="Yes",$AQ18,$AS18))*('Port Linkages'!$A$18:$A$157&lt;=$C18))))</f>
        <v>0</v>
      </c>
      <c r="MJ18" s="75" t="str">
        <f t="array" ref="MJ18">INDEX('Port Linkages'!$AI$18:$AI$157,MATCH(2,1/(('Port Linkages'!$C$18:$C$157=$AP18)*('Port Linkages'!$D$18:$D$157=IF($AO18="Yes",$AQ18,$AS18))*('Port Linkages'!$A$18:$A$157&lt;=$C18))))</f>
        <v>Capesize_General</v>
      </c>
      <c r="MK18" s="75" t="str">
        <f t="array" ref="MK18">INDEX('Port Linkages'!$AJ$18:$AJ$157,MATCH(2,1/(('Port Linkages'!$C$18:$C$157=$AP18)*('Port Linkages'!$D$18:$D$157=IF($AO18="Yes",$AQ18,$AS18))*('Port Linkages'!$A$18:$A$157&lt;=$C18))))</f>
        <v>Singapore</v>
      </c>
      <c r="ML18" s="75" t="str">
        <f t="array" ref="ML18">INDEX('Port Linkages'!$AK$18:$AK$157,MATCH(2,1/(('Port Linkages'!$C$18:$C$157=$AP18)*('Port Linkages'!$D$18:$D$157=IF($AO18="Yes",$AQ18,$AS18))*('Port Linkages'!$A$18:$A$157&lt;=$C18))))</f>
        <v>VLSFO</v>
      </c>
      <c r="MM18" s="75" t="str">
        <f t="array" ref="MM18">INDEX('Port Linkages'!$AL$18:$AL$157,MATCH(2,1/(('Port Linkages'!$C$18:$C$157=$AP18)*('Port Linkages'!$D$18:$D$157=IF($AO18="Yes",$AQ18,$AS18))*('Port Linkages'!$A$18:$A$157&lt;=$C18))))</f>
        <v>MGO_Regular</v>
      </c>
      <c r="MN18" s="75" t="str">
        <f t="array" ref="MN18">INDEX('Port Linkages'!$AM$18:$AM$157,MATCH(2,1/(('Port Linkages'!$C$18:$C$157=$AP18)*('Port Linkages'!$D$18:$D$157=IF($AO18="Yes",$AQ18,$AS18))*('Port Linkages'!$A$18:$A$157&lt;=$C18))))</f>
        <v>Suez</v>
      </c>
      <c r="MO18" s="75">
        <f t="array" ref="MO18">INDEX('Port Linkages'!$AN$18:$AN$157,MATCH(2,1/(('Port Linkages'!$C$18:$C$157=$AP18)*('Port Linkages'!$D$18:$D$157=IF($AO18="Yes",$AQ18,$AS18))*('Port Linkages'!$A$18:$A$157&lt;=$C18))))</f>
        <v>8426</v>
      </c>
      <c r="MP18" s="75">
        <f t="array" ref="MP18">INDEX('Port Linkages'!$AO$18:$AO$157,MATCH(2,1/(('Port Linkages'!$C$18:$C$157=$AP18)*('Port Linkages'!$D$18:$D$157=IF($AO18="Yes",$AQ18,$AS18))*('Port Linkages'!$A$18:$A$157&lt;=$C18))))</f>
        <v>0</v>
      </c>
      <c r="MQ18" s="75" t="str">
        <f t="array" ref="MQ18">INDEX('Port Linkages'!$AP$18:$AP$157,MATCH(2,1/(('Port Linkages'!$C$18:$C$157=$AP18)*('Port Linkages'!$D$18:$D$157=IF($AO18="Yes",$AQ18,$AS18))*('Port Linkages'!$A$18:$A$157&lt;=$C18))))</f>
        <v>Capesize_General</v>
      </c>
      <c r="MR18" s="75" t="str">
        <f t="array" ref="MR18">INDEX('Port Linkages'!$AQ$18:$AQ$157,MATCH(2,1/(('Port Linkages'!$C$18:$C$157=$AP18)*('Port Linkages'!$D$18:$D$157=IF($AO18="Yes",$AQ18,$AS18))*('Port Linkages'!$A$18:$A$157&lt;=$C18))))</f>
        <v>Singapore</v>
      </c>
      <c r="MS18" s="75" t="str">
        <f t="array" ref="MS18">INDEX('Port Linkages'!$AR$18:$AR$157,MATCH(2,1/(('Port Linkages'!$C$18:$C$157=$AP18)*('Port Linkages'!$D$18:$D$157=IF($AO18="Yes",$AQ18,$AS18))*('Port Linkages'!$A$18:$A$157&lt;=$C18))))</f>
        <v>VLSFO</v>
      </c>
      <c r="MT18" s="75" t="str">
        <f t="array" ref="MT18">INDEX('Port Linkages'!$AS$18:$AS$157,MATCH(2,1/(('Port Linkages'!$C$18:$C$157=$AP18)*('Port Linkages'!$D$18:$D$157=IF($AO18="Yes",$AQ18,$AS18))*('Port Linkages'!$A$18:$A$157&lt;=$C18))))</f>
        <v>MGO_Regular</v>
      </c>
      <c r="MU18" s="75" t="str">
        <f t="array" ref="MU18">INDEX('Port Linkages'!$AT$18:$AT$157,MATCH(2,1/(('Port Linkages'!$C$18:$C$157=$AP18)*('Port Linkages'!$D$18:$D$157=IF($AO18="Yes",$AQ18,$AS18))*('Port Linkages'!$A$18:$A$157&lt;=$C18))))</f>
        <v>Suez</v>
      </c>
      <c r="MV18" s="75">
        <f t="array" ref="MV18">INDEX('Port Linkages'!$AU$18:$AU$157,MATCH(2,1/(('Port Linkages'!$C$18:$C$157=$AP18)*('Port Linkages'!$D$18:$D$157=IF($AO18="Yes",$AQ18,$AS18))*('Port Linkages'!$A$18:$A$157&lt;=$C18))))</f>
        <v>8426</v>
      </c>
      <c r="MW18" s="75">
        <f t="array" ref="MW18">INDEX('Port Linkages'!$AV$18:$AV$157,MATCH(2,1/(('Port Linkages'!$C$18:$C$157=$AP18)*('Port Linkages'!$D$18:$D$157=IF($AO18="Yes",$AQ18,$AS18))*('Port Linkages'!$A$18:$A$157&lt;=$C18))))</f>
        <v>0</v>
      </c>
      <c r="MX18" s="75" t="str">
        <f t="array" ref="MX18">INDEX('Port Linkages'!$AW$18:$AW$157,MATCH(2,1/(('Port Linkages'!$C$18:$C$157=$AP18)*('Port Linkages'!$D$18:$D$157=IF($AO18="Yes",$AQ18,$AS18))*('Port Linkages'!$A$18:$A$157&lt;=$C18))))</f>
        <v>Capesize_General</v>
      </c>
      <c r="MY18" s="75" t="str">
        <f t="array" ref="MY18">INDEX('Port Linkages'!$AX$18:$AX$157,MATCH(2,1/(('Port Linkages'!$C$18:$C$157=$AP18)*('Port Linkages'!$D$18:$D$157=IF($AO18="Yes",$AQ18,$AS18))*('Port Linkages'!$A$18:$A$157&lt;=$C18))))</f>
        <v>Singapore</v>
      </c>
      <c r="MZ18" s="75" t="str">
        <f t="array" ref="MZ18">INDEX('Port Linkages'!$AY$18:$AY$157,MATCH(2,1/(('Port Linkages'!$C$18:$C$157=$AP18)*('Port Linkages'!$D$18:$D$157=IF($AO18="Yes",$AQ18,$AS18))*('Port Linkages'!$A$18:$A$157&lt;=$C18))))</f>
        <v>VLSFO</v>
      </c>
      <c r="NA18" s="75" t="str">
        <f t="array" ref="NA18">INDEX('Port Linkages'!$AZ$18:$AZ$157,MATCH(2,1/(('Port Linkages'!$C$18:$C$157=$AP18)*('Port Linkages'!$D$18:$D$157=IF($AO18="Yes",$AQ18,$AS18))*('Port Linkages'!$A$18:$A$157&lt;=$C18))))</f>
        <v>MGO_Regular</v>
      </c>
      <c r="NB18" s="75" t="str">
        <f t="array" ref="NB18">INDEX('Port Linkages'!$BA$18:$BA$157,MATCH(2,1/(('Port Linkages'!$C$18:$C$157=$AP18)*('Port Linkages'!$D$18:$D$157=IF($AO18="Yes",$AQ18,$AS18))*('Port Linkages'!$A$18:$A$157&lt;=$C18))))</f>
        <v>Suez</v>
      </c>
      <c r="ND18" s="25" t="e">
        <f t="array" aca="1" ref="ND18" ca="1">INDEX('Ship Fuel Prices'!$F$5:$F$1004,MATCH(2,1/(('Ship Fuel Prices'!$E$5:$E$1004=_xlfn.IFS(KS18="Handysize",Main!MY18,KS18="Supramax",MR18,KS18="Panamax",MK18,KS18="NeoPanamax",MD18,KS18="Suezmax",LW18,KS18="Capesize",LP18,KS18="VLOC",LI18))*('Ship Fuel Prices'!$D$5:$D$1004&lt;=Main!$C18))))</f>
        <v>#N/A</v>
      </c>
      <c r="NE18" s="25" t="e">
        <f t="array" aca="1" ref="NE18" ca="1">INDEX('Ship Fuel Prices'!$G$5:$G$1004,MATCH(2,1/(('Ship Fuel Prices'!$E$5:$E$1004=_xlfn.IFS(KS18="Handysize",Main!MY18,KS18="Supramax",MR18,KS18="Panamax",MK18,KS18="NeoPanamax",MD18,KS18="Suezmax",LW18,KS18="Capesize",LP18,KS18="VLOC",LI18))*('Ship Fuel Prices'!$D$5:$D$1004&lt;=Main!$C18))))</f>
        <v>#N/A</v>
      </c>
      <c r="NF18" s="25" t="e">
        <f t="array" aca="1" ref="NF18" ca="1">INDEX('Ship Fuel Prices'!$H$5:$H$1004,MATCH(2,1/(('Ship Fuel Prices'!$E$5:$E$1004=_xlfn.IFS(KS18="Handysize",Main!MY18,KS18="Supramax",MR18,KS18="Panamax",MK18,KS18="NeoPanamax",MD18,KS18="Suezmax",LW18,KS18="Capesize",LP18,KS18="VLOC",LI18))*('Ship Fuel Prices'!$D$5:$D$1004&lt;=Main!$C18))))</f>
        <v>#N/A</v>
      </c>
      <c r="NG18" s="25" t="e">
        <f t="array" aca="1" ref="NG18" ca="1">INDEX('Ship Fuel Prices'!$I$5:$I$1004,MATCH(2,1/(('Ship Fuel Prices'!$E$5:$E$1004=_xlfn.IFS(KS18="Handysize",Main!MY18,KS18="Supramax",MR18,KS18="Panamax",MK18,KS18="NeoPanamax",MD18,KS18="Suezmax",LW18,KS18="Capesize",LP18,KS18="VLOC",LI18))*('Ship Fuel Prices'!$D$5:$D$1004&lt;=Main!$C18))))</f>
        <v>#N/A</v>
      </c>
      <c r="NH18" s="25" t="e">
        <f t="array" aca="1" ref="NH18" ca="1">INDEX('Ship Fuel Prices'!$J$5:$J$1004,MATCH(2,1/(('Ship Fuel Prices'!$E$5:$E$1004=_xlfn.IFS(KS18="Handysize",Main!MY18,KS18="Supramax",MR18,KS18="Panamax",MK18,KS18="NeoPanamax",MD18,KS18="Suezmax",LW18,KS18="Capesize",LP18,KS18="VLOC",LI18))*('Ship Fuel Prices'!$D$5:$D$1004&lt;=Main!$C18))))</f>
        <v>#N/A</v>
      </c>
      <c r="NJ18" s="75">
        <f t="array" ref="NJ18">INDEX('China n Importing Ports'!$E$20:$E$41,MATCH(2,1/(('China n Importing Ports'!$D$20:$D$41&lt;=$C18)*('China n Importing Ports'!$C$20:$C$41=IF($AO18="Yes",$AQ18,$AS18)))))</f>
        <v>42500</v>
      </c>
      <c r="NK18" s="75">
        <f t="array" ref="NK18">INDEX('China n Importing Ports'!$F$20:$F$41,MATCH(2,1/(('China n Importing Ports'!$D$20:$D$41&lt;=$C18)*('China n Importing Ports'!$C$20:$C$41=IF($AO18="Yes",$AQ18,$AS18)))))</f>
        <v>42500</v>
      </c>
      <c r="NL18" s="75">
        <f t="array" ref="NL18">INDEX('China n Importing Ports'!$G$20:$G$41,MATCH(2,1/(('China n Importing Ports'!$D$20:$D$41&lt;=$C18)*('China n Importing Ports'!$C$20:$C$41=IF($AO18="Yes",$AQ18,$AS18)))))</f>
        <v>42500</v>
      </c>
      <c r="NM18" s="75">
        <f t="array" ref="NM18">INDEX('China n Importing Ports'!$H$20:$H$41,MATCH(2,1/(('China n Importing Ports'!$D$20:$D$41&lt;=$C18)*('China n Importing Ports'!$C$20:$C$41=IF($AO18="Yes",$AQ18,$AS18)))))</f>
        <v>42500</v>
      </c>
      <c r="NN18" s="75">
        <f t="array" ref="NN18">INDEX('China n Importing Ports'!$I$20:$I$41,MATCH(2,1/(('China n Importing Ports'!$D$20:$D$41&lt;=$C18)*('China n Importing Ports'!$C$20:$C$41=IF($AO18="Yes",$AQ18,$AS18)))))</f>
        <v>42500</v>
      </c>
      <c r="NO18" s="75">
        <f t="array" ref="NO18">INDEX('China n Importing Ports'!$J$20:$J$41,MATCH(2,1/(('China n Importing Ports'!$D$20:$D$41&lt;=$C18)*('China n Importing Ports'!$C$20:$C$41=IF($AO18="Yes",$AQ18,$AS18)))))</f>
        <v>42500</v>
      </c>
      <c r="NP18" s="75">
        <f t="array" ref="NP18">INDEX('China n Importing Ports'!$K$20:$K$41,MATCH(2,1/(('China n Importing Ports'!$D$20:$D$41&lt;=$C18)*('China n Importing Ports'!$C$20:$C$41=IF($AO18="Yes",$AQ18,$AS18)))))</f>
        <v>42500</v>
      </c>
      <c r="NQ18" s="75" t="str">
        <f t="array" ref="NQ18">INDEX('China n Importing Ports'!$L$20:$L$41,MATCH(2,1/(('China n Importing Ports'!$D$20:$D$41&lt;=$C18)*('China n Importing Ports'!$C$20:$C$41=IF($AO18="Yes",$AQ18,$AS18)))))</f>
        <v>RMB</v>
      </c>
      <c r="NR18" s="75">
        <f t="array" ref="NR18">INDEX('China n Importing Ports'!$M$20:$M$41,MATCH(2,1/(('China n Importing Ports'!$D$20:$D$41&lt;=$C18)*('China n Importing Ports'!$C$20:$C$41=IF($AO18="Yes",$AQ18,$AS18)))))</f>
        <v>12342</v>
      </c>
      <c r="NS18" s="75">
        <f t="array" ref="NS18">INDEX('China n Importing Ports'!$N$20:$N$41,MATCH(2,1/(('China n Importing Ports'!$D$20:$D$41&lt;=$C18)*('China n Importing Ports'!$C$20:$C$41=IF($AO18="Yes",$AQ18,$AS18)))))</f>
        <v>0</v>
      </c>
      <c r="NT18" s="75">
        <f t="array" ref="NT18">INDEX('China n Importing Ports'!$O$20:$O$41,MATCH(2,1/(('China n Importing Ports'!$D$20:$D$41&lt;=$C18)*('China n Importing Ports'!$C$20:$C$41=IF($AO18="Yes",$AQ18,$AS18)))))</f>
        <v>0</v>
      </c>
      <c r="NU18" s="136">
        <f t="array" ref="NU18">INDEX('China n Importing Ports'!$P$20:$P$41,MATCH(2,1/(('China n Importing Ports'!$D$20:$D$41&lt;=$C18)*('China n Importing Ports'!$C$20:$C$41=IF($AO18="Yes",$AQ18,$AS18)))))</f>
        <v>2.64</v>
      </c>
      <c r="NV18" s="136">
        <f t="array" ref="NV18">INDEX('China n Importing Ports'!$Q$20:$Q$41,MATCH(2,1/(('China n Importing Ports'!$D$20:$D$41&lt;=$C18)*('China n Importing Ports'!$C$20:$C$41=IF($AO18="Yes",$AQ18,$AS18)))))</f>
        <v>0</v>
      </c>
      <c r="NW18" s="136">
        <f t="array" ref="NW18">INDEX('China n Importing Ports'!$R$20:$R$41,MATCH(2,1/(('China n Importing Ports'!$D$20:$D$41&lt;=$C18)*('China n Importing Ports'!$C$20:$C$41=IF($AO18="Yes",$AQ18,$AS18)))))</f>
        <v>0</v>
      </c>
      <c r="NX18" s="136">
        <f t="array" ref="NX18">INDEX('China n Importing Ports'!$S$20:$S$41,MATCH(2,1/(('China n Importing Ports'!$D$20:$D$41&lt;=$C18)*('China n Importing Ports'!$C$20:$C$41=IF($AO18="Yes",$AQ18,$AS18)))))</f>
        <v>4.53</v>
      </c>
      <c r="NY18" s="136">
        <f t="array" ref="NY18">INDEX('China n Importing Ports'!$T$20:$T$41,MATCH(2,1/(('China n Importing Ports'!$D$20:$D$41&lt;=$C18)*('China n Importing Ports'!$C$20:$C$41=IF($AO18="Yes",$AQ18,$AS18)))))</f>
        <v>0.36699999999999999</v>
      </c>
      <c r="NZ18" s="136">
        <f t="array" ref="NZ18">INDEX('China n Importing Ports'!$U$20:$U$41,MATCH(2,1/(('China n Importing Ports'!$D$20:$D$41&lt;=$C18)*('China n Importing Ports'!$C$20:$C$41=IF($AO18="Yes",$AQ18,$AS18)))))</f>
        <v>0.05</v>
      </c>
      <c r="OA18" s="136">
        <f t="array" ref="OA18">INDEX('China n Importing Ports'!$V$20:$V$41,MATCH(2,1/(('China n Importing Ports'!$D$20:$D$41&lt;=$C18)*('China n Importing Ports'!$C$20:$C$41=IF($AO18="Yes",$AQ18,$AS18)))))</f>
        <v>0</v>
      </c>
      <c r="OB18" s="136">
        <f t="array" ref="OB18">INDEX('China n Importing Ports'!$W$20:$W$41,MATCH(2,1/(('China n Importing Ports'!$D$20:$D$41&lt;=$C18)*('China n Importing Ports'!$C$20:$C$41=IF($AO18="Yes",$AQ18,$AS18)))))</f>
        <v>0</v>
      </c>
      <c r="OC18" s="136">
        <f t="array" ref="OC18">INDEX('China n Importing Ports'!$X$20:$X$41,MATCH(2,1/(('China n Importing Ports'!$D$20:$D$41&lt;=$C18)*('China n Importing Ports'!$C$20:$C$41=IF($AO18="Yes",$AQ18,$AS18)))))</f>
        <v>0</v>
      </c>
      <c r="OD18" s="136">
        <f t="array" ref="OD18">INDEX('China n Importing Ports'!$Y$20:$Y$41,MATCH(2,1/(('China n Importing Ports'!$D$20:$D$41&lt;=$C18)*('China n Importing Ports'!$C$20:$C$41=IF($AO18="Yes",$AQ18,$AS18)))))</f>
        <v>197</v>
      </c>
      <c r="OE18" s="136">
        <f t="array" ref="OE18">INDEX('China n Importing Ports'!$Z$20:$Z$41,MATCH(2,1/(('China n Importing Ports'!$D$20:$D$41&lt;=$C18)*('China n Importing Ports'!$C$20:$C$41=IF($AO18="Yes",$AQ18,$AS18)))))</f>
        <v>0</v>
      </c>
      <c r="OF18" s="136">
        <f t="array" ref="OF18">INDEX('China n Importing Ports'!$AA$20:$AA$41,MATCH(2,1/(('China n Importing Ports'!$D$20:$D$41&lt;=$C18)*('China n Importing Ports'!$C$20:$C$41=IF($AO18="Yes",$AQ18,$AS18)))))</f>
        <v>0</v>
      </c>
      <c r="OH18" s="75" t="e">
        <f t="array" aca="1" ref="OH18" ca="1">INDEX(Canals!$G$24:$G$29,MATCH(2,1/((Canals!$F$24:$F$29&lt;=$C18)*(Canals!$G$24:$G$29=_xlfn.IFS(KS18="Handysize",Main!NB18,KS18="Supramax",MU18,KS18="Panamax",MN18,KS18="NeoPanamax",MG18,KS18="Suezmax",LZ18,KS18="Capesize",LS18,KS18="VLOC",LL18)))))</f>
        <v>#N/A</v>
      </c>
      <c r="OI18" s="75" t="e">
        <f t="array" aca="1" ref="OI18" ca="1">INDEX(Canals!$H$24:$H$29,MATCH(2,1/((Canals!$F$24:$F$29&lt;=$C18)*(Canals!$G$24:$G$29=_xlfn.IFS(KS18="Handysize",Main!NB18,KS18="Supramax",MU18,KS18="Panamax",MN18,KS18="NeoPanamax",MG18,KS18="Suezmax",LZ18,KS18="Capesize",LS18,KS18="VLOC",LL18)))))</f>
        <v>#N/A</v>
      </c>
      <c r="OJ18" s="75" t="e">
        <f t="array" aca="1" ref="OJ18" ca="1">INDEX(Canals!$I$24:$I$29,MATCH(2,1/((Canals!$F$24:$F$29&lt;=$C18)*(Canals!$G$24:$G$29=_xlfn.IFS(KS18="Handysize",Main!NB18,KS18="Supramax",MU18,KS18="Panamax",MN18,KS18="NeoPanamax",MG18,KS18="Suezmax",LZ18,KS18="Capesize",LS18,KS18="VLOC",LL18)))))</f>
        <v>#N/A</v>
      </c>
      <c r="OK18" s="75" t="e">
        <f t="array" aca="1" ref="OK18" ca="1">INDEX(Canals!$J$24:$J$29,MATCH(2,1/((Canals!$F$24:$F$29&lt;=$C18)*(Canals!$G$24:$G$29=_xlfn.IFS(KS18="Handysize",Main!NB18,KS18="Supramax",MU18,KS18="Panamax",MN18,KS18="NeoPanamax",MG18,KS18="Suezmax",LZ18,KS18="Capesize",LS18,KS18="VLOC",LL18)))))</f>
        <v>#N/A</v>
      </c>
      <c r="OL18" s="75" t="e">
        <f t="array" aca="1" ref="OL18" ca="1">INDEX(Canals!$K$24:$K$29,MATCH(2,1/((Canals!$F$24:$F$29&lt;=$C18)*(Canals!$G$24:$G$29=_xlfn.IFS(KS18="Handysize",Main!NB18,KS18="Supramax",MU18,KS18="Panamax",MN18,KS18="NeoPanamax",MG18,KS18="Suezmax",LZ18,KS18="Capesize",LS18,KS18="VLOC",LL18)))))</f>
        <v>#N/A</v>
      </c>
      <c r="OM18" s="75" t="e">
        <f t="array" aca="1" ref="OM18" ca="1">INDEX(Canals!$L$24:$L$29,MATCH(2,1/((Canals!$F$24:$F$29&lt;=$C18)*(Canals!$G$24:$G$29=_xlfn.IFS(KS18="Handysize",Main!NB18,KS18="Supramax",MU18,KS18="Panamax",MN18,KS18="NeoPanamax",MG18,KS18="Suezmax",LZ18,KS18="Capesize",LS18,KS18="VLOC",LL18)))))</f>
        <v>#N/A</v>
      </c>
      <c r="ON18" s="75" t="e">
        <f t="array" aca="1" ref="ON18" ca="1">INDEX(Canals!$M$24:$M$29,MATCH(2,1/((Canals!$F$24:$F$29&lt;=$C18)*(Canals!$G$24:$G$29=_xlfn.IFS(KS18="Handysize",Main!NB18,KS18="Supramax",MU18,KS18="Panamax",MN18,KS18="NeoPanamax",MG18,KS18="Suezmax",LZ18,KS18="Capesize",LS18,KS18="VLOC",LL18)))))</f>
        <v>#N/A</v>
      </c>
      <c r="OO18" s="75" t="e">
        <f t="array" aca="1" ref="OO18" ca="1">INDEX(Canals!$N$24:$N$29,MATCH(2,1/((Canals!$F$24:$F$29&lt;=$C18)*(Canals!$G$24:$G$29=_xlfn.IFS(KS18="Handysize",Main!NB18,KS18="Supramax",MU18,KS18="Panamax",MN18,KS18="NeoPanamax",MG18,KS18="Suezmax",LZ18,KS18="Capesize",LS18,KS18="VLOC",LL18)))))</f>
        <v>#N/A</v>
      </c>
      <c r="OP18" s="75" t="e">
        <f t="array" aca="1" ref="OP18" ca="1">INDEX(Canals!$O$24:$O$29,MATCH(2,1/((Canals!$F$24:$F$29&lt;=$C18)*(Canals!$G$24:$G$29=_xlfn.IFS(KS18="Handysize",Main!NB18,KS18="Supramax",MU18,KS18="Panamax",MN18,KS18="NeoPanamax",MG18,KS18="Suezmax",LZ18,KS18="Capesize",LS18,KS18="VLOC",LL18)))))</f>
        <v>#N/A</v>
      </c>
      <c r="OQ18" s="75" t="e">
        <f t="array" aca="1" ref="OQ18" ca="1">INDEX(Canals!$P$24:$P$29,MATCH(2,1/((Canals!$F$24:$F$29&lt;=$C18)*(Canals!$G$24:$G$29=_xlfn.IFS(KS18="Handysize",Main!NB18,KS18="Supramax",MU18,KS18="Panamax",MN18,KS18="NeoPanamax",MG18,KS18="Suezmax",LZ18,KS18="Capesize",LS18,KS18="VLOC",LL18)))))</f>
        <v>#N/A</v>
      </c>
      <c r="OR18" s="75" t="e">
        <f t="array" aca="1" ref="OR18" ca="1">INDEX(Canals!$Q$24:$Q$29,MATCH(2,1/((Canals!$F$24:$F$29&lt;=$C18)*(Canals!$G$24:$G$29=_xlfn.IFS(KS18="Handysize",Main!NB18,KS18="Supramax",MU18,KS18="Panamax",MN18,KS18="NeoPanamax",MG18,KS18="Suezmax",LZ18,KS18="Capesize",LS18,KS18="VLOC",LL18)))))</f>
        <v>#N/A</v>
      </c>
      <c r="OS18" s="75" t="e">
        <f t="array" aca="1" ref="OS18" ca="1">INDEX(Canals!$R$24:$R$29,MATCH(2,1/((Canals!$F$24:$F$29&lt;=$C18)*(Canals!$G$24:$G$29=_xlfn.IFS(KS18="Handysize",Main!NB18,KS18="Supramax",MU18,KS18="Panamax",MN18,KS18="NeoPanamax",MG18,KS18="Suezmax",LZ18,KS18="Capesize",LS18,KS18="VLOC",LL18)))))</f>
        <v>#N/A</v>
      </c>
      <c r="OT18" s="136" t="e">
        <f t="array" aca="1" ref="OT18" ca="1">INDEX(Canals!$S$24:$S$29,MATCH(2,1/((Canals!$F$24:$F$29&lt;=$C18)*(Canals!$G$24:$G$29=_xlfn.IFS(KS18="Handysize",Main!NB18,KS18="Supramax",MU18,KS18="Panamax",MN18,KS18="NeoPanamax",MG18,KS18="Suezmax",LZ18,KS18="Capesize",LS18,KS18="VLOC",LL18)))))</f>
        <v>#N/A</v>
      </c>
      <c r="OU18" s="136" t="e">
        <f t="array" aca="1" ref="OU18" ca="1">INDEX(Canals!$T$24:$T$29,MATCH(2,1/((Canals!$F$24:$F$29&lt;=$C18)*(Canals!$G$24:$G$29=_xlfn.IFS(KS18="Handysize",Main!NB18,KS18="Supramax",MU18,KS18="Panamax",MN18,KS18="NeoPanamax",MG18,KS18="Suezmax",LZ18,KS18="Capesize",LS18,KS18="VLOC",LL18)))))</f>
        <v>#N/A</v>
      </c>
      <c r="OV18" s="136" t="e">
        <f t="array" aca="1" ref="OV18" ca="1">INDEX(Canals!$U$24:$U$29,MATCH(2,1/((Canals!$F$24:$F$29&lt;=$C18)*(Canals!$G$24:$G$29=_xlfn.IFS(KS18="Handysize",Main!NB18,KS18="Supramax",MU18,KS18="Panamax",MN18,KS18="NeoPanamax",MG18,KS18="Suezmax",LZ18,KS18="Capesize",LS18,KS18="VLOC",LL18)))))</f>
        <v>#N/A</v>
      </c>
      <c r="OW18" s="136" t="e">
        <f t="array" aca="1" ref="OW18" ca="1">INDEX(Canals!$V$24:$V$29,MATCH(2,1/((Canals!$F$24:$F$29&lt;=$C18)*(Canals!$G$24:$G$29=_xlfn.IFS(KS18="Handysize",Main!NB18,KS18="Supramax",MU18,KS18="Panamax",MN18,KS18="NeoPanamax",MG18,KS18="Suezmax",LZ18,KS18="Capesize",LS18,KS18="VLOC",LL18)))))</f>
        <v>#N/A</v>
      </c>
      <c r="OX18" s="136" t="e">
        <f t="array" aca="1" ref="OX18" ca="1">INDEX(Canals!$W$24:$W$29,MATCH(2,1/((Canals!$F$24:$F$29&lt;=$C18)*(Canals!$G$24:$G$29=_xlfn.IFS(KS18="Handysize",Main!NB18,KS18="Supramax",MU18,KS18="Panamax",MN18,KS18="NeoPanamax",MG18,KS18="Suezmax",LZ18,KS18="Capesize",LS18,KS18="VLOC",LL18)))))</f>
        <v>#N/A</v>
      </c>
      <c r="OY18" s="136" t="e">
        <f t="array" aca="1" ref="OY18" ca="1">INDEX(Canals!$X$24:$X$29,MATCH(2,1/((Canals!$F$24:$F$29&lt;=$C18)*(Canals!$G$24:$G$29=_xlfn.IFS(KS18="Handysize",Main!NB18,KS18="Supramax",MU18,KS18="Panamax",MN18,KS18="NeoPanamax",MG18,KS18="Suezmax",LZ18,KS18="Capesize",LS18,KS18="VLOC",LL18)))))</f>
        <v>#N/A</v>
      </c>
      <c r="OZ18" s="136" t="e">
        <f t="array" aca="1" ref="OZ18" ca="1">INDEX(Canals!$Y$24:$Y$29,MATCH(2,1/((Canals!$F$24:$F$29&lt;=$C18)*(Canals!$G$24:$G$29=_xlfn.IFS(KS18="Handysize",Main!NB18,KS18="Supramax",MU18,KS18="Panamax",MN18,KS18="NeoPanamax",MG18,KS18="Suezmax",LZ18,KS18="Capesize",LS18,KS18="VLOC",LL18)))))</f>
        <v>#N/A</v>
      </c>
      <c r="PA18" s="136" t="e">
        <f t="array" aca="1" ref="PA18" ca="1">INDEX(Canals!$Z$24:$Z$29,MATCH(2,1/((Canals!$F$24:$F$29&lt;=$C18)*(Canals!$G$24:$G$29=_xlfn.IFS(KS18="Handysize",Main!NB18,KS18="Supramax",MU18,KS18="Panamax",MN18,KS18="NeoPanamax",MG18,KS18="Suezmax",LZ18,KS18="Capesize",LS18,KS18="VLOC",LL18)))))</f>
        <v>#N/A</v>
      </c>
      <c r="PB18" s="136" t="e">
        <f t="array" aca="1" ref="PB18" ca="1">INDEX(Canals!$AA$24:$AA$29,MATCH(2,1/((Canals!$F$24:$F$29&lt;=$C18)*(Canals!$G$24:$G$29=_xlfn.IFS(KS18="Handysize",Main!NB18,KS18="Supramax",MU18,KS18="Panamax",MN18,KS18="NeoPanamax",MG18,KS18="Suezmax",LZ18,KS18="Capesize",LS18,KS18="VLOC",LL18)))))</f>
        <v>#N/A</v>
      </c>
      <c r="PC18" s="136" t="e">
        <f t="array" aca="1" ref="PC18" ca="1">INDEX(Canals!$AB$24:$AB$29,MATCH(2,1/((Canals!$F$24:$F$29&lt;=$C18)*(Canals!$G$24:$G$29=_xlfn.IFS(KS18="Handysize",Main!NB18,KS18="Supramax",MU18,KS18="Panamax",MN18,KS18="NeoPanamax",MG18,KS18="Suezmax",LZ18,KS18="Capesize",LS18,KS18="VLOC",LL18)))))</f>
        <v>#N/A</v>
      </c>
      <c r="PD18" s="75" t="e">
        <f t="array" aca="1" ref="PD18" ca="1">INDEX(Canals!$AC$24:$AC$29,MATCH(2,1/((Canals!$F$24:$F$29&lt;=$C18)*(Canals!$G$24:$G$29=_xlfn.IFS(KS18="Handysize",Main!NB18,KS18="Supramax",MU18,KS18="Panamax",MN18,KS18="NeoPanamax",MG18,KS18="Suezmax",LZ18,KS18="Capesize",LS18,KS18="VLOC",LL18)))))</f>
        <v>#N/A</v>
      </c>
      <c r="PE18" s="75" t="e">
        <f t="array" aca="1" ref="PE18" ca="1">INDEX(Canals!$AD$24:$AD$29,MATCH(2,1/((Canals!$F$24:$F$29&lt;=$C18)*(Canals!$G$24:$G$29=_xlfn.IFS(KS18="Handysize",Main!NB18,KS18="Supramax",MU18,KS18="Panamax",MN18,KS18="NeoPanamax",MG18,KS18="Suezmax",LZ18,KS18="Capesize",LS18,KS18="VLOC",LL18)))))</f>
        <v>#N/A</v>
      </c>
      <c r="PF18" s="75" t="e">
        <f t="array" aca="1" ref="PF18" ca="1">INDEX(Canals!$AE$24:$AE$29,MATCH(2,1/((Canals!$F$24:$F$29&lt;=$C18)*(Canals!$G$24:$G$29=_xlfn.IFS(KS18="Handysize",Main!NB18,KS18="Supramax",MU18,KS18="Panamax",MN18,KS18="NeoPanamax",MG18,KS18="Suezmax",LZ18,KS18="Capesize",LS18,KS18="VLOC",LL18)))))</f>
        <v>#N/A</v>
      </c>
      <c r="PG18" s="75" t="e">
        <f t="array" aca="1" ref="PG18" ca="1">INDEX(Canals!$AF$24:$AF$29,MATCH(2,1/((Canals!$F$24:$F$29&lt;=$C18)*(Canals!$G$24:$G$29=_xlfn.IFS(KS18="Handysize",Main!NB18,KS18="Supramax",MU18,KS18="Panamax",MN18,KS18="NeoPanamax",MG18,KS18="Suezmax",LZ18,KS18="Capesize",LS18,KS18="VLOC",LL18)))))</f>
        <v>#N/A</v>
      </c>
      <c r="PH18" s="75" t="e">
        <f t="array" aca="1" ref="PH18" ca="1">INDEX(Canals!$AG$24:$AG$29,MATCH(2,1/((Canals!$F$24:$F$29&lt;=$C18)*(Canals!$G$24:$G$29=_xlfn.IFS(KS18="Handysize",Main!NB18,KS18="Supramax",MU18,KS18="Panamax",MN18,KS18="NeoPanamax",MG18,KS18="Suezmax",LZ18,KS18="Capesize",LS18,KS18="VLOC",LL18)))))</f>
        <v>#N/A</v>
      </c>
      <c r="PI18" s="75" t="e">
        <f t="array" aca="1" ref="PI18" ca="1">INDEX(Canals!$AH$24:$AH$29,MATCH(2,1/((Canals!$F$24:$F$29&lt;=$C18)*(Canals!$G$24:$G$29=_xlfn.IFS(KS18="Handysize",Main!NB18,KS18="Supramax",MU18,KS18="Panamax",MN18,KS18="NeoPanamax",MG18,KS18="Suezmax",LZ18,KS18="Capesize",LS18,KS18="VLOC",LL18)))))</f>
        <v>#N/A</v>
      </c>
      <c r="PJ18" s="75" t="e">
        <f t="array" aca="1" ref="PJ18" ca="1">INDEX(Canals!$AI$24:$AI$29,MATCH(2,1/((Canals!$F$24:$F$29&lt;=$C18)*(Canals!$G$24:$G$29=_xlfn.IFS(KS18="Handysize",Main!NB18,KS18="Supramax",MU18,KS18="Panamax",MN18,KS18="NeoPanamax",MG18,KS18="Suezmax",LZ18,KS18="Capesize",LS18,KS18="VLOC",LL18)))))</f>
        <v>#N/A</v>
      </c>
      <c r="PK18" s="75" t="e">
        <f t="array" aca="1" ref="PK18" ca="1">INDEX(Canals!$AJ$24:$AJ$29,MATCH(2,1/((Canals!$F$24:$F$29&lt;=$C18)*(Canals!$G$24:$G$29=_xlfn.IFS(KS18="Handysize",Main!NB18,KS18="Supramax",MU18,KS18="Panamax",MN18,KS18="NeoPanamax",MG18,KS18="Suezmax",LZ18,KS18="Capesize",LS18,KS18="VLOC",LL18)))))</f>
        <v>#N/A</v>
      </c>
      <c r="PL18" s="75" t="e">
        <f t="array" aca="1" ref="PL18" ca="1">INDEX(Canals!$AK$24:$AK$29,MATCH(2,1/((Canals!$F$24:$F$29&lt;=$C18)*(Canals!$G$24:$G$29=_xlfn.IFS(KS18="Handysize",Main!NB18,KS18="Supramax",MU18,KS18="Panamax",MN18,KS18="NeoPanamax",MG18,KS18="Suezmax",LZ18,KS18="Capesize",LS18,KS18="VLOC",LL18)))))</f>
        <v>#N/A</v>
      </c>
      <c r="PM18" s="136" t="e">
        <f t="array" aca="1" ref="PM18" ca="1">INDEX(Canals!$AL$24:$AL$29,MATCH(2,1/((Canals!$F$24:$F$29&lt;=$C18)*(Canals!$G$24:$G$29=_xlfn.IFS(KS18="Handysize",Main!NB18,KS18="Supramax",MU18,KS18="Panamax",MN18,KS18="NeoPanamax",MG18,KS18="Suezmax",LZ18,KS18="Capesize",LS18,KS18="VLOC",LL18)))))</f>
        <v>#N/A</v>
      </c>
      <c r="PN18" s="136" t="e">
        <f t="array" aca="1" ref="PN18" ca="1">INDEX(Canals!$AM$24:$AM$29,MATCH(2,1/((Canals!$F$24:$F$29&lt;=$C18)*(Canals!$G$24:$G$29=_xlfn.IFS(KS18="Handysize",Main!NB18,KS18="Supramax",MU18,KS18="Panamax",MN18,KS18="NeoPanamax",MG18,KS18="Suezmax",LZ18,KS18="Capesize",LS18,KS18="VLOC",LL18)))))</f>
        <v>#N/A</v>
      </c>
      <c r="PO18" s="136" t="e">
        <f t="array" aca="1" ref="PO18" ca="1">INDEX(Canals!$AN$24:$AN$29,MATCH(2,1/((Canals!$F$24:$F$29&lt;=$C18)*(Canals!$G$24:$G$29=_xlfn.IFS(KS18="Handysize",Main!NB18,KS18="Supramax",MU18,KS18="Panamax",MN18,KS18="NeoPanamax",MG18,KS18="Suezmax",LZ18,KS18="Capesize",LS18,KS18="VLOC",LL18)))))</f>
        <v>#N/A</v>
      </c>
      <c r="PP18" s="136" t="e">
        <f t="array" aca="1" ref="PP18" ca="1">INDEX(Canals!$AO$24:$AO$29,MATCH(2,1/((Canals!$F$24:$F$29&lt;=$C18)*(Canals!$G$24:$G$29=_xlfn.IFS(KS18="Handysize",Main!NB18,KS18="Supramax",MU18,KS18="Panamax",MN18,KS18="NeoPanamax",MG18,KS18="Suezmax",LZ18,KS18="Capesize",LS18,KS18="VLOC",LL18)))))</f>
        <v>#N/A</v>
      </c>
      <c r="PQ18" s="136" t="e">
        <f t="array" aca="1" ref="PQ18" ca="1">INDEX(Canals!$AP$24:$AP$29,MATCH(2,1/((Canals!$F$24:$F$29&lt;=$C18)*(Canals!$G$24:$G$29=_xlfn.IFS(KS18="Handysize",Main!NB18,KS18="Supramax",MU18,KS18="Panamax",MN18,KS18="NeoPanamax",MG18,KS18="Suezmax",LZ18,KS18="Capesize",LS18,KS18="VLOC",LL18)))))</f>
        <v>#N/A</v>
      </c>
      <c r="PR18" s="136" t="e">
        <f t="array" aca="1" ref="PR18" ca="1">INDEX(Canals!$AQ$24:$AQ$29,MATCH(2,1/((Canals!$F$24:$F$29&lt;=$C18)*(Canals!$G$24:$G$29=_xlfn.IFS(KS18="Handysize",Main!NB18,KS18="Supramax",MU18,KS18="Panamax",MN18,KS18="NeoPanamax",MG18,KS18="Suezmax",LZ18,KS18="Capesize",LS18,KS18="VLOC",LL18)))))</f>
        <v>#N/A</v>
      </c>
      <c r="PS18" s="136" t="e">
        <f t="array" aca="1" ref="PS18" ca="1">INDEX(Canals!$AR$24:$AR$29,MATCH(2,1/((Canals!$F$24:$F$29&lt;=$C18)*(Canals!$G$24:$G$29=_xlfn.IFS(KS18="Handysize",Main!NB18,KS18="Supramax",MU18,KS18="Panamax",MN18,KS18="NeoPanamax",MG18,KS18="Suezmax",LZ18,KS18="Capesize",LS18,KS18="VLOC",LL18)))))</f>
        <v>#N/A</v>
      </c>
      <c r="PT18" s="136" t="e">
        <f t="array" aca="1" ref="PT18" ca="1">INDEX(Canals!$AS$24:$AS$29,MATCH(2,1/((Canals!$F$24:$F$29&lt;=$C18)*(Canals!$G$24:$G$29=_xlfn.IFS(KS18="Handysize",Main!NB18,KS18="Supramax",MU18,KS18="Panamax",MN18,KS18="NeoPanamax",MG18,KS18="Suezmax",LZ18,KS18="Capesize",LS18,KS18="VLOC",LL18)))))</f>
        <v>#N/A</v>
      </c>
      <c r="PU18" s="136" t="e">
        <f t="array" aca="1" ref="PU18" ca="1">INDEX(Canals!$AT$24:$AT$29,MATCH(2,1/((Canals!$F$24:$F$29&lt;=$C18)*(Canals!$G$24:$G$29=_xlfn.IFS(KS18="Handysize",Main!NB18,KS18="Supramax",MU18,KS18="Panamax",MN18,KS18="NeoPanamax",MG18,KS18="Suezmax",LZ18,KS18="Capesize",LS18,KS18="VLOC",LL18)))))</f>
        <v>#N/A</v>
      </c>
      <c r="PV18" s="136" t="e">
        <f t="array" aca="1" ref="PV18" ca="1">INDEX(Canals!$AU$24:$AU$29,MATCH(2,1/((Canals!$F$24:$F$29&lt;=$C18)*(Canals!$G$24:$G$29=_xlfn.IFS(KS18="Handysize",Main!NB18,KS18="Supramax",MU18,KS18="Panamax",MN18,KS18="NeoPanamax",MG18,KS18="Suezmax",LZ18,KS18="Capesize",LS18,KS18="VLOC",LL18)))))</f>
        <v>#N/A</v>
      </c>
      <c r="PW18" s="136" t="e">
        <f t="array" aca="1" ref="PW18" ca="1">INDEX(Canals!$AV$24:$AV$29,MATCH(2,1/((Canals!$F$24:$F$29&lt;=$C18)*(Canals!$G$24:$G$29=_xlfn.IFS(KS18="Handysize",Main!NB18,KS18="Supramax",MU18,KS18="Panamax",MN18,KS18="NeoPanamax",MG18,KS18="Suezmax",LZ18,KS18="Capesize",LS18,KS18="VLOC",LL18)))))</f>
        <v>#N/A</v>
      </c>
      <c r="PY18" s="75" t="e">
        <f t="array" aca="1" ref="PY18" ca="1">_xlfn.IFS(OJ18="DWT",KQ18,OJ18="NRT",KU18,OJ18="GRT",KV18)</f>
        <v>#NAME?</v>
      </c>
      <c r="PZ18" s="279" t="e">
        <f t="shared" ca="1" si="74"/>
        <v>#NAME?</v>
      </c>
      <c r="QA18" s="280" t="e">
        <f t="shared" ca="1" si="75"/>
        <v>#NAME?</v>
      </c>
      <c r="QB18" s="280" t="e">
        <f t="shared" ca="1" si="76"/>
        <v>#NAME?</v>
      </c>
      <c r="QC18" s="280" t="e">
        <f t="shared" ca="1" si="77"/>
        <v>#NAME?</v>
      </c>
      <c r="QD18" s="280" t="e">
        <f t="shared" ca="1" si="78"/>
        <v>#NAME?</v>
      </c>
      <c r="QE18" s="280" t="e">
        <f t="shared" ca="1" si="79"/>
        <v>#NAME?</v>
      </c>
      <c r="QF18" s="280" t="e">
        <f t="shared" ca="1" si="80"/>
        <v>#NAME?</v>
      </c>
      <c r="QG18" s="280" t="e">
        <f t="shared" ca="1" si="81"/>
        <v>#NAME?</v>
      </c>
      <c r="QH18" s="280" t="e">
        <f t="shared" ca="1" si="82"/>
        <v>#NAME?</v>
      </c>
      <c r="QI18" s="75">
        <f t="shared" si="83"/>
        <v>81900</v>
      </c>
      <c r="QJ18" s="279" t="e">
        <f t="shared" ca="1" si="84"/>
        <v>#N/A</v>
      </c>
      <c r="QK18" s="280" t="e">
        <f t="shared" ca="1" si="85"/>
        <v>#N/A</v>
      </c>
      <c r="QL18" s="280" t="e">
        <f t="shared" ca="1" si="86"/>
        <v>#N/A</v>
      </c>
      <c r="QM18" s="280" t="e">
        <f t="shared" ca="1" si="87"/>
        <v>#N/A</v>
      </c>
      <c r="QN18" s="280" t="e">
        <f t="shared" ca="1" si="88"/>
        <v>#N/A</v>
      </c>
      <c r="QO18" s="280" t="e">
        <f t="shared" ca="1" si="89"/>
        <v>#N/A</v>
      </c>
      <c r="QP18" s="280" t="e">
        <f t="shared" ca="1" si="90"/>
        <v>#N/A</v>
      </c>
      <c r="QQ18" s="280" t="e">
        <f t="shared" ca="1" si="91"/>
        <v>#N/A</v>
      </c>
      <c r="QR18" s="280" t="e">
        <f t="shared" ca="1" si="92"/>
        <v>#N/A</v>
      </c>
      <c r="QT18" s="75" t="e">
        <f t="array" aca="1" ref="QT18" ca="1">_xlfn.IFS(KS18="Handysize",Main!MV18,KS18="Supramax",MO18,KS18="Panamax",MH18,KS18="NeoPanamax",MA18,KS18="Suezmax",LT18,KS18="Capesize",LM18,KS18="VLOC",LF18)*$JI18</f>
        <v>#NAME?</v>
      </c>
      <c r="QU18" s="274" t="e">
        <f t="array" aca="1" ref="QU18" ca="1">_xlfn.IFS(KS18="Handysize",Main!MW18,KS18="Supramax",MP18,KS18="Panamax",MI18,KS18="NeoPanamax",MB18,KS18="Suezmax",LU18,KS18="Capesize",LN18,KS18="VLOC",LG18)*$JI18</f>
        <v>#NAME?</v>
      </c>
      <c r="QV18" s="71" t="e">
        <f t="array" aca="1" ref="QV18" ca="1">_xlfn.IFS(KS18="Handysize",Main!KX18,KS18="Supramax",KY18,KS18="Panamax",KZ18,KS18="NeoPanamax",LA18,KS18="Suezmax",LB18,KS18="Capesize",LC18,KS18="VLOC",LD18)</f>
        <v>#NAME?</v>
      </c>
      <c r="QW18" s="71" t="e">
        <f t="array" aca="1" ref="QW18" ca="1">_xlfn.IFS(KS18="Handysize",Main!NJ18,KS18="Supramax",NK18,KS18="Panamax",NL18,KS18="NeoPanamax",NM18,KS18="Suezmax",NN18,KS18="Capesize",NO18,KS18="VLOC",NP18)</f>
        <v>#NAME?</v>
      </c>
      <c r="QX18" s="70">
        <f t="array" ref="QX18">INDEX('Ship Speeds'!$G$11:$G$1011,MATCH(2,1/(('Ship Speeds'!$E$11:$E$1011&lt;=Main!$C18)*('Ship Speeds'!$F$11:$F$1011=Main!KR18))))</f>
        <v>11</v>
      </c>
      <c r="QY18" s="403">
        <f t="shared" si="93"/>
        <v>22.248263086550754</v>
      </c>
      <c r="QZ18" s="401">
        <f t="shared" si="94"/>
        <v>2.0971200000000003</v>
      </c>
      <c r="RA18" s="70" t="e">
        <f t="shared" ca="1" si="95"/>
        <v>#NAME?</v>
      </c>
      <c r="RB18" s="70" t="e">
        <f t="shared" ca="1" si="96"/>
        <v>#NAME?</v>
      </c>
      <c r="RC18" s="70" t="e">
        <f t="shared" ca="1" si="97"/>
        <v>#NAME?</v>
      </c>
      <c r="RD18" s="70" t="e">
        <f t="shared" ca="1" si="98"/>
        <v>#NAME?</v>
      </c>
      <c r="RE18" s="72" t="e">
        <f t="shared" ca="1" si="99"/>
        <v>#N/A</v>
      </c>
      <c r="RF18" s="70" t="e">
        <f t="shared" ca="1" si="100"/>
        <v>#NAME?</v>
      </c>
      <c r="RG18" s="70" t="e">
        <f t="array" aca="1" ref="RG18" ca="1">INDEX(ND18:NH18,MATCH(_xlfn.IFS(KS18="Handysize",Main!MZ18,KS18="Supramax",MS18,KS18="Panamax",ML18,KS18="NeoPanamax",ME18,KS18="Suezmax",LX18,KS18="Capesize",LQ18,KS18="VLOC",LJ18),$ND$7:$NH$7,0))</f>
        <v>#NAME?</v>
      </c>
      <c r="RH18" s="70" t="e">
        <f t="array" aca="1" ref="RH18" ca="1">INDEX(ND18:NH18,MATCH(_xlfn.IFS(KS18="Handysize",Main!NA18,KS18="Supramax",MT18,KS18="Panamax",MM18,KS18="NeoPanamax",MF18,KS18="Suezmax",LY18,KS18="Capesize",LR18,KS18="VLOC",LK18),$ND$7:$NH$7,0))</f>
        <v>#NAME?</v>
      </c>
      <c r="RI18" s="71" t="e">
        <f t="shared" ca="1" si="101"/>
        <v>#NAME?</v>
      </c>
      <c r="RJ18" s="71" t="e">
        <f t="shared" ca="1" si="102"/>
        <v>#NAME?</v>
      </c>
      <c r="RK18" s="281">
        <f t="shared" si="103"/>
        <v>7.0759999999999987</v>
      </c>
      <c r="RL18" s="71">
        <f t="shared" si="104"/>
        <v>1744.2057659694747</v>
      </c>
      <c r="RM18" s="71" t="e">
        <f t="shared" ca="1" si="105"/>
        <v>#NAME?</v>
      </c>
      <c r="RN18" s="71" t="e">
        <f t="shared" ca="1" si="106"/>
        <v>#NAME?</v>
      </c>
      <c r="RO18" s="71">
        <f t="shared" si="107"/>
        <v>30556.246466930475</v>
      </c>
      <c r="RP18" s="71" t="e">
        <f t="shared" ca="1" si="108"/>
        <v>#NAME?</v>
      </c>
      <c r="RQ18" s="71" t="e">
        <f t="shared" ca="1" si="109"/>
        <v>#NAME?</v>
      </c>
      <c r="RR18" s="71">
        <f t="shared" si="110"/>
        <v>21693.296777840595</v>
      </c>
      <c r="RS18" s="71" t="e">
        <f t="shared" ca="1" si="111"/>
        <v>#NAME?</v>
      </c>
      <c r="RT18" s="71" t="e">
        <f t="shared" ca="1" si="112"/>
        <v>#NAME?</v>
      </c>
      <c r="RU18" s="71">
        <f t="shared" si="113"/>
        <v>0</v>
      </c>
      <c r="RV18" s="71" t="e">
        <f t="shared" ca="1" si="114"/>
        <v>#NAME?</v>
      </c>
      <c r="RW18" s="71" t="e">
        <f t="shared" ca="1" si="115"/>
        <v>#NAME?</v>
      </c>
      <c r="RX18" s="72">
        <f t="shared" si="116"/>
        <v>6103.2693612210296</v>
      </c>
      <c r="RY18" s="72" t="e">
        <f t="shared" ca="1" si="117"/>
        <v>#NAME?</v>
      </c>
      <c r="RZ18" s="71" t="e">
        <f t="shared" ca="1" si="118"/>
        <v>#NAME?</v>
      </c>
      <c r="SA18" s="71" t="e">
        <f t="array" aca="1" ref="SA18" ca="1">INDEX('Ship Time Charter Rates'!$H$22:$H$1021,MATCH(2,1/(('Ship Time Charter Rates'!$G$22:$G$1021=_xlfn.IFS(KS18="Handysize",Main!MX18,KS18="Supramax",MQ18,KS18="Panamax",MJ18,KS18="NeoPanamax",MC18,KS18="Suezmax",LV18,KS18="Capesize",LO18,KS18="VLOC",LH18))*('Ship Time Charter Rates'!$E$22:$E$1021&lt;=Main!$C18)*(NOT(ISBLANK('Ship Time Charter Rates'!$H$22:$H$1021))))))</f>
        <v>#N/A</v>
      </c>
      <c r="SB18" s="71" t="e">
        <f t="shared" ca="1" si="119"/>
        <v>#NAME?</v>
      </c>
      <c r="SC18" s="70" t="e">
        <f t="shared" ca="1" si="120"/>
        <v>#N/A</v>
      </c>
      <c r="SD18" s="71" t="e">
        <f t="shared" ca="1" si="121"/>
        <v>#NAME?</v>
      </c>
      <c r="SE18" s="71" t="e">
        <f t="shared" ca="1" si="302"/>
        <v>#NAME?</v>
      </c>
      <c r="SF18" s="72" t="e">
        <f t="shared" ca="1" si="303"/>
        <v>#NAME?</v>
      </c>
      <c r="SH18" s="25">
        <f t="shared" si="321"/>
        <v>0</v>
      </c>
      <c r="SI18" s="4" t="str">
        <f>VLOOKUP(SH18,'Ship Time Charter Rates'!$F$10:$G$17,2,TRUE)</f>
        <v>Handysize</v>
      </c>
      <c r="SJ18" s="4" t="str">
        <f>VLOOKUP(SH18,Canals!$E$5:$F$12,2,TRUE)</f>
        <v>Handysize</v>
      </c>
      <c r="SK18" s="25">
        <f t="shared" si="122"/>
        <v>145.88999999999999</v>
      </c>
      <c r="SL18" s="25">
        <f t="shared" si="123"/>
        <v>0</v>
      </c>
      <c r="SM18" s="25">
        <f t="shared" si="124"/>
        <v>4797</v>
      </c>
      <c r="SO18" s="75">
        <f t="array" ref="SO18">INDEX('Indices Mines Exporting Ports'!$R$20:$R$51,MATCH(2,1/(('Indices Mines Exporting Ports'!$D$20:$D$51&lt;=Main!$C18)*('Indices Mines Exporting Ports'!$Q$20:$Q$51=$AQ18))))</f>
        <v>0</v>
      </c>
      <c r="SP18" s="75">
        <f t="array" ref="SP18">INDEX('Indices Mines Exporting Ports'!$S$20:$S$51,MATCH(2,1/(('Indices Mines Exporting Ports'!$D$20:$D$51&lt;=Main!$C18)*('Indices Mines Exporting Ports'!$Q$20:$Q$51=$AQ18))))</f>
        <v>0</v>
      </c>
      <c r="SQ18" s="75">
        <f t="array" ref="SQ18">INDEX('Indices Mines Exporting Ports'!$T$20:$T$51,MATCH(2,1/(('Indices Mines Exporting Ports'!$D$20:$D$51&lt;=Main!$C18)*('Indices Mines Exporting Ports'!$Q$20:$Q$51=$AQ18))))</f>
        <v>0</v>
      </c>
      <c r="SR18" s="75">
        <f t="array" ref="SR18">INDEX('Indices Mines Exporting Ports'!$U$20:$U$51,MATCH(2,1/(('Indices Mines Exporting Ports'!$D$20:$D$51&lt;=Main!$C18)*('Indices Mines Exporting Ports'!$Q$20:$Q$51=$AQ18))))</f>
        <v>0</v>
      </c>
      <c r="SS18" s="75">
        <f t="array" ref="SS18">INDEX('Indices Mines Exporting Ports'!$V$20:$V$51,MATCH(2,1/(('Indices Mines Exporting Ports'!$D$20:$D$51&lt;=Main!$C18)*('Indices Mines Exporting Ports'!$Q$20:$Q$51=$AQ18))))</f>
        <v>0</v>
      </c>
      <c r="ST18" s="75">
        <f t="array" ref="ST18">INDEX('Indices Mines Exporting Ports'!$W$20:$W$51,MATCH(2,1/(('Indices Mines Exporting Ports'!$D$20:$D$51&lt;=Main!$C18)*('Indices Mines Exporting Ports'!$Q$20:$Q$51=$AQ18))))</f>
        <v>0</v>
      </c>
      <c r="SU18" s="75">
        <f t="array" ref="SU18">INDEX('Indices Mines Exporting Ports'!$X$20:$X$51,MATCH(2,1/(('Indices Mines Exporting Ports'!$D$20:$D$51&lt;=Main!$C18)*('Indices Mines Exporting Ports'!$Q$20:$Q$51=$AQ18))))</f>
        <v>0</v>
      </c>
      <c r="SW18" s="75">
        <f t="array" ref="SW18">INDEX('Port Linkages'!$E$18:$E$157,MATCH(2,1/(('Port Linkages'!$C$18:$C$157=$AQ18)*('Port Linkages'!$D$18:$D$157=IF($AO18="no",$AQ18,$AS18))*('Port Linkages'!$A$18:$A$157&lt;=$C18))))</f>
        <v>0</v>
      </c>
      <c r="SX18" s="75">
        <f t="array" ref="SX18">INDEX('Port Linkages'!$F$18:$F$157,MATCH(2,1/(('Port Linkages'!$C$18:$C$157=$AQ18)*('Port Linkages'!$D$18:$D$157=IF($AO18="no",$AQ18,$AS18))*('Port Linkages'!$A$18:$A$157&lt;=$C18))))</f>
        <v>0</v>
      </c>
      <c r="SY18" s="75">
        <f t="array" ref="SY18">INDEX('Port Linkages'!$G$18:$G$157,MATCH(2,1/(('Port Linkages'!$C$18:$C$157=$AQ18)*('Port Linkages'!$D$18:$D$157=IF($AO18="no",$AQ18,$AS18))*('Port Linkages'!$A$18:$A$157&lt;=$C18))))</f>
        <v>0</v>
      </c>
      <c r="SZ18" s="75">
        <f t="array" ref="SZ18">INDEX('Port Linkages'!$H$18:$H$157,MATCH(2,1/(('Port Linkages'!$C$18:$C$157=$AQ18)*('Port Linkages'!$D$18:$D$157=IF($AO18="no",$AQ18,$AS18))*('Port Linkages'!$A$18:$A$157&lt;=$C18))))</f>
        <v>0</v>
      </c>
      <c r="TA18" s="75">
        <f t="array" ref="TA18">INDEX('Port Linkages'!$I$18:$I$157,MATCH(2,1/(('Port Linkages'!$C$18:$C$157=$AQ18)*('Port Linkages'!$D$18:$D$157=IF($AO18="no",$AQ18,$AS18))*('Port Linkages'!$A$18:$A$157&lt;=$C18))))</f>
        <v>0</v>
      </c>
      <c r="TB18" s="75">
        <f t="array" ref="TB18">INDEX('Port Linkages'!$J$18:$J$157,MATCH(2,1/(('Port Linkages'!$C$18:$C$157=$AQ18)*('Port Linkages'!$D$18:$D$157=IF($AO18="no",$AQ18,$AS18))*('Port Linkages'!$A$18:$A$157&lt;=$C18))))</f>
        <v>0</v>
      </c>
      <c r="TC18" s="75">
        <f t="array" ref="TC18">INDEX('Port Linkages'!$K$18:$K$157,MATCH(2,1/(('Port Linkages'!$C$18:$C$157=$AQ18)*('Port Linkages'!$D$18:$D$157=IF($AO18="no",$AQ18,$AS18))*('Port Linkages'!$A$18:$A$157&lt;=$C18))))</f>
        <v>0</v>
      </c>
      <c r="TD18" s="75">
        <f t="array" ref="TD18">INDEX('Port Linkages'!$L$18:$L$157,MATCH(2,1/(('Port Linkages'!$C$18:$C$157=$AQ18)*('Port Linkages'!$D$18:$D$157=IF($AO18="no",$AQ18,$AS18))*('Port Linkages'!$A$18:$A$157&lt;=$C18))))</f>
        <v>0</v>
      </c>
      <c r="TE18" s="75">
        <f t="array" ref="TE18">INDEX('Port Linkages'!$M$18:$M$157,MATCH(2,1/(('Port Linkages'!$C$18:$C$157=$AQ18)*('Port Linkages'!$D$18:$D$157=IF($AO18="no",$AQ18,$AS18))*('Port Linkages'!$A$18:$A$157&lt;=$C18))))</f>
        <v>0</v>
      </c>
      <c r="TF18" s="75">
        <f t="array" ref="TF18">INDEX('Port Linkages'!$N$18:$N$157,MATCH(2,1/(('Port Linkages'!$C$18:$C$157=$AQ18)*('Port Linkages'!$D$18:$D$157=IF($AO18="no",$AQ18,$AS18))*('Port Linkages'!$A$18:$A$157&lt;=$C18))))</f>
        <v>0</v>
      </c>
      <c r="TG18" s="75">
        <f t="array" ref="TG18">INDEX('Port Linkages'!$O$18:$O$157,MATCH(2,1/(('Port Linkages'!$C$18:$C$157=$AQ18)*('Port Linkages'!$D$18:$D$157=IF($AO18="no",$AQ18,$AS18))*('Port Linkages'!$A$18:$A$157&lt;=$C18))))</f>
        <v>0</v>
      </c>
      <c r="TH18" s="75">
        <f t="array" ref="TH18">INDEX('Port Linkages'!$P$18:$P$157,MATCH(2,1/(('Port Linkages'!$C$18:$C$157=$AQ18)*('Port Linkages'!$D$18:$D$157=IF($AO18="no",$AQ18,$AS18))*('Port Linkages'!$A$18:$A$157&lt;=$C18))))</f>
        <v>0</v>
      </c>
      <c r="TI18" s="75">
        <f t="array" ref="TI18">INDEX('Port Linkages'!$Q$18:$Q$157,MATCH(2,1/(('Port Linkages'!$C$18:$C$157=$AQ18)*('Port Linkages'!$D$18:$D$157=IF($AO18="no",$AQ18,$AS18))*('Port Linkages'!$A$18:$A$157&lt;=$C18))))</f>
        <v>0</v>
      </c>
      <c r="TJ18" s="75">
        <f t="array" ref="TJ18">INDEX('Port Linkages'!$R$18:$R$157,MATCH(2,1/(('Port Linkages'!$C$18:$C$157=$AQ18)*('Port Linkages'!$D$18:$D$157=IF($AO18="no",$AQ18,$AS18))*('Port Linkages'!$A$18:$A$157&lt;=$C18))))</f>
        <v>0</v>
      </c>
      <c r="TK18" s="75">
        <f t="array" ref="TK18">INDEX('Port Linkages'!$S$18:$S$157,MATCH(2,1/(('Port Linkages'!$C$18:$C$157=$AQ18)*('Port Linkages'!$D$18:$D$157=IF($AO18="no",$AQ18,$AS18))*('Port Linkages'!$A$18:$A$157&lt;=$C18))))</f>
        <v>0</v>
      </c>
      <c r="TL18" s="75">
        <f t="array" ref="TL18">INDEX('Port Linkages'!$T$18:$T$157,MATCH(2,1/(('Port Linkages'!$C$18:$C$157=$AQ18)*('Port Linkages'!$D$18:$D$157=IF($AO18="no",$AQ18,$AS18))*('Port Linkages'!$A$18:$A$157&lt;=$C18))))</f>
        <v>0</v>
      </c>
      <c r="TM18" s="75">
        <f t="array" ref="TM18">INDEX('Port Linkages'!$U$18:$U$157,MATCH(2,1/(('Port Linkages'!$C$18:$C$157=$AQ18)*('Port Linkages'!$D$18:$D$157=IF($AO18="no",$AQ18,$AS18))*('Port Linkages'!$A$18:$A$157&lt;=$C18))))</f>
        <v>0</v>
      </c>
      <c r="TN18" s="75">
        <f t="array" ref="TN18">INDEX('Port Linkages'!$V$18:$V$157,MATCH(2,1/(('Port Linkages'!$C$18:$C$157=$AQ18)*('Port Linkages'!$D$18:$D$157=IF($AO18="no",$AQ18,$AS18))*('Port Linkages'!$A$18:$A$157&lt;=$C18))))</f>
        <v>0</v>
      </c>
      <c r="TO18" s="75">
        <f t="array" ref="TO18">INDEX('Port Linkages'!$W$18:$W$157,MATCH(2,1/(('Port Linkages'!$C$18:$C$157=$AQ18)*('Port Linkages'!$D$18:$D$157=IF($AO18="no",$AQ18,$AS18))*('Port Linkages'!$A$18:$A$157&lt;=$C18))))</f>
        <v>0</v>
      </c>
      <c r="TP18" s="75">
        <f t="array" ref="TP18">INDEX('Port Linkages'!$X$18:$X$157,MATCH(2,1/(('Port Linkages'!$C$18:$C$157=$AQ18)*('Port Linkages'!$D$18:$D$157=IF($AO18="no",$AQ18,$AS18))*('Port Linkages'!$A$18:$A$157&lt;=$C18))))</f>
        <v>0</v>
      </c>
      <c r="TQ18" s="75">
        <f t="array" ref="TQ18">INDEX('Port Linkages'!$Y$18:$Y$157,MATCH(2,1/(('Port Linkages'!$C$18:$C$157=$AQ18)*('Port Linkages'!$D$18:$D$157=IF($AO18="no",$AQ18,$AS18))*('Port Linkages'!$A$18:$A$157&lt;=$C18))))</f>
        <v>0</v>
      </c>
      <c r="TR18" s="75">
        <f t="array" ref="TR18">INDEX('Port Linkages'!$Z$18:$Z$157,MATCH(2,1/(('Port Linkages'!$C$18:$C$157=$AQ18)*('Port Linkages'!$D$18:$D$157=IF($AO18="no",$AQ18,$AS18))*('Port Linkages'!$A$18:$A$157&lt;=$C18))))</f>
        <v>0</v>
      </c>
      <c r="TS18" s="75">
        <f t="array" ref="TS18">INDEX('Port Linkages'!$AA$18:$AA$157,MATCH(2,1/(('Port Linkages'!$C$18:$C$157=$AQ18)*('Port Linkages'!$D$18:$D$157=IF($AO18="no",$AQ18,$AS18))*('Port Linkages'!$A$18:$A$157&lt;=$C18))))</f>
        <v>0</v>
      </c>
      <c r="TT18" s="75">
        <f t="array" ref="TT18">INDEX('Port Linkages'!$AB$18:$AB$157,MATCH(2,1/(('Port Linkages'!$C$18:$C$157=$AQ18)*('Port Linkages'!$D$18:$D$157=IF($AO18="no",$AQ18,$AS18))*('Port Linkages'!$A$18:$A$157&lt;=$C18))))</f>
        <v>0</v>
      </c>
      <c r="TU18" s="75">
        <f t="array" ref="TU18">INDEX('Port Linkages'!$AC$18:$AC$157,MATCH(2,1/(('Port Linkages'!$C$18:$C$157=$AQ18)*('Port Linkages'!$D$18:$D$157=IF($AO18="no",$AQ18,$AS18))*('Port Linkages'!$A$18:$A$157&lt;=$C18))))</f>
        <v>0</v>
      </c>
      <c r="TV18" s="75">
        <f t="array" ref="TV18">INDEX('Port Linkages'!$AD$18:$AD$157,MATCH(2,1/(('Port Linkages'!$C$18:$C$157=$AQ18)*('Port Linkages'!$D$18:$D$157=IF($AO18="no",$AQ18,$AS18))*('Port Linkages'!$A$18:$A$157&lt;=$C18))))</f>
        <v>0</v>
      </c>
      <c r="TW18" s="75">
        <f t="array" ref="TW18">INDEX('Port Linkages'!$AE$18:$AE$157,MATCH(2,1/(('Port Linkages'!$C$18:$C$157=$AQ18)*('Port Linkages'!$D$18:$D$157=IF($AO18="no",$AQ18,$AS18))*('Port Linkages'!$A$18:$A$157&lt;=$C18))))</f>
        <v>0</v>
      </c>
      <c r="TX18" s="75">
        <f t="array" ref="TX18">INDEX('Port Linkages'!$AF$18:$AF$157,MATCH(2,1/(('Port Linkages'!$C$18:$C$157=$AQ18)*('Port Linkages'!$D$18:$D$157=IF($AO18="no",$AQ18,$AS18))*('Port Linkages'!$A$18:$A$157&lt;=$C18))))</f>
        <v>0</v>
      </c>
      <c r="TY18" s="75">
        <f t="array" ref="TY18">INDEX('Port Linkages'!$AG$18:$AG$157,MATCH(2,1/(('Port Linkages'!$C$18:$C$157=$AQ18)*('Port Linkages'!$D$18:$D$157=IF($AO18="no",$AQ18,$AS18))*('Port Linkages'!$A$18:$A$157&lt;=$C18))))</f>
        <v>0</v>
      </c>
      <c r="TZ18" s="75">
        <f t="array" ref="TZ18">INDEX('Port Linkages'!$AH$18:$AH$157,MATCH(2,1/(('Port Linkages'!$C$18:$C$157=$AQ18)*('Port Linkages'!$D$18:$D$157=IF($AO18="no",$AQ18,$AS18))*('Port Linkages'!$A$18:$A$157&lt;=$C18))))</f>
        <v>0</v>
      </c>
      <c r="UA18" s="75">
        <f t="array" ref="UA18">INDEX('Port Linkages'!$AI$18:$AI$157,MATCH(2,1/(('Port Linkages'!$C$18:$C$157=$AQ18)*('Port Linkages'!$D$18:$D$157=IF($AO18="no",$AQ18,$AS18))*('Port Linkages'!$A$18:$A$157&lt;=$C18))))</f>
        <v>0</v>
      </c>
      <c r="UB18" s="75">
        <f t="array" ref="UB18">INDEX('Port Linkages'!$AJ$18:$AJ$157,MATCH(2,1/(('Port Linkages'!$C$18:$C$157=$AQ18)*('Port Linkages'!$D$18:$D$157=IF($AO18="no",$AQ18,$AS18))*('Port Linkages'!$A$18:$A$157&lt;=$C18))))</f>
        <v>0</v>
      </c>
      <c r="UC18" s="75">
        <f t="array" ref="UC18">INDEX('Port Linkages'!$AK$18:$AK$157,MATCH(2,1/(('Port Linkages'!$C$18:$C$157=$AQ18)*('Port Linkages'!$D$18:$D$157=IF($AO18="no",$AQ18,$AS18))*('Port Linkages'!$A$18:$A$157&lt;=$C18))))</f>
        <v>0</v>
      </c>
      <c r="UD18" s="75">
        <f t="array" ref="UD18">INDEX('Port Linkages'!$AL$18:$AL$157,MATCH(2,1/(('Port Linkages'!$C$18:$C$157=$AQ18)*('Port Linkages'!$D$18:$D$157=IF($AO18="no",$AQ18,$AS18))*('Port Linkages'!$A$18:$A$157&lt;=$C18))))</f>
        <v>0</v>
      </c>
      <c r="UE18" s="75">
        <f t="array" ref="UE18">INDEX('Port Linkages'!$AM$18:$AM$157,MATCH(2,1/(('Port Linkages'!$C$18:$C$157=$AQ18)*('Port Linkages'!$D$18:$D$157=IF($AO18="no",$AQ18,$AS18))*('Port Linkages'!$A$18:$A$157&lt;=$C18))))</f>
        <v>0</v>
      </c>
      <c r="UF18" s="75">
        <f t="array" ref="UF18">INDEX('Port Linkages'!$AN$18:$AN$157,MATCH(2,1/(('Port Linkages'!$C$18:$C$157=$AQ18)*('Port Linkages'!$D$18:$D$157=IF($AO18="no",$AQ18,$AS18))*('Port Linkages'!$A$18:$A$157&lt;=$C18))))</f>
        <v>0</v>
      </c>
      <c r="UG18" s="75">
        <f t="array" ref="UG18">INDEX('Port Linkages'!$AO$18:$AO$157,MATCH(2,1/(('Port Linkages'!$C$18:$C$157=$AQ18)*('Port Linkages'!$D$18:$D$157=IF($AO18="no",$AQ18,$AS18))*('Port Linkages'!$A$18:$A$157&lt;=$C18))))</f>
        <v>0</v>
      </c>
      <c r="UH18" s="75">
        <f t="array" ref="UH18">INDEX('Port Linkages'!$AP$18:$AP$157,MATCH(2,1/(('Port Linkages'!$C$18:$C$157=$AQ18)*('Port Linkages'!$D$18:$D$157=IF($AO18="no",$AQ18,$AS18))*('Port Linkages'!$A$18:$A$157&lt;=$C18))))</f>
        <v>0</v>
      </c>
      <c r="UI18" s="75">
        <f t="array" ref="UI18">INDEX('Port Linkages'!$AQ$18:$AQ$157,MATCH(2,1/(('Port Linkages'!$C$18:$C$157=$AQ18)*('Port Linkages'!$D$18:$D$157=IF($AO18="no",$AQ18,$AS18))*('Port Linkages'!$A$18:$A$157&lt;=$C18))))</f>
        <v>0</v>
      </c>
      <c r="UJ18" s="75">
        <f t="array" ref="UJ18">INDEX('Port Linkages'!$AR$18:$AR$157,MATCH(2,1/(('Port Linkages'!$C$18:$C$157=$AQ18)*('Port Linkages'!$D$18:$D$157=IF($AO18="no",$AQ18,$AS18))*('Port Linkages'!$A$18:$A$157&lt;=$C18))))</f>
        <v>0</v>
      </c>
      <c r="UK18" s="75">
        <f t="array" ref="UK18">INDEX('Port Linkages'!$AS$18:$AS$157,MATCH(2,1/(('Port Linkages'!$C$18:$C$157=$AQ18)*('Port Linkages'!$D$18:$D$157=IF($AO18="no",$AQ18,$AS18))*('Port Linkages'!$A$18:$A$157&lt;=$C18))))</f>
        <v>0</v>
      </c>
      <c r="UL18" s="75">
        <f t="array" ref="UL18">INDEX('Port Linkages'!$AT$18:$AT$157,MATCH(2,1/(('Port Linkages'!$C$18:$C$157=$AQ18)*('Port Linkages'!$D$18:$D$157=IF($AO18="no",$AQ18,$AS18))*('Port Linkages'!$A$18:$A$157&lt;=$C18))))</f>
        <v>0</v>
      </c>
      <c r="UM18" s="75">
        <f t="array" ref="UM18">INDEX('Port Linkages'!$AU$18:$AU$157,MATCH(2,1/(('Port Linkages'!$C$18:$C$157=$AQ18)*('Port Linkages'!$D$18:$D$157=IF($AO18="no",$AQ18,$AS18))*('Port Linkages'!$A$18:$A$157&lt;=$C18))))</f>
        <v>0</v>
      </c>
      <c r="UN18" s="75">
        <f t="array" ref="UN18">INDEX('Port Linkages'!$AV$18:$AV$157,MATCH(2,1/(('Port Linkages'!$C$18:$C$157=$AQ18)*('Port Linkages'!$D$18:$D$157=IF($AO18="no",$AQ18,$AS18))*('Port Linkages'!$A$18:$A$157&lt;=$C18))))</f>
        <v>0</v>
      </c>
      <c r="UO18" s="75">
        <f t="array" ref="UO18">INDEX('Port Linkages'!$AW$18:$AW$157,MATCH(2,1/(('Port Linkages'!$C$18:$C$157=$AQ18)*('Port Linkages'!$D$18:$D$157=IF($AO18="no",$AQ18,$AS18))*('Port Linkages'!$A$18:$A$157&lt;=$C18))))</f>
        <v>0</v>
      </c>
      <c r="UP18" s="75">
        <f t="array" ref="UP18">INDEX('Port Linkages'!$AX$18:$AX$157,MATCH(2,1/(('Port Linkages'!$C$18:$C$157=$AQ18)*('Port Linkages'!$D$18:$D$157=IF($AO18="no",$AQ18,$AS18))*('Port Linkages'!$A$18:$A$157&lt;=$C18))))</f>
        <v>0</v>
      </c>
      <c r="UQ18" s="75">
        <f t="array" ref="UQ18">INDEX('Port Linkages'!$AY$18:$AY$157,MATCH(2,1/(('Port Linkages'!$C$18:$C$157=$AQ18)*('Port Linkages'!$D$18:$D$157=IF($AO18="no",$AQ18,$AS18))*('Port Linkages'!$A$18:$A$157&lt;=$C18))))</f>
        <v>0</v>
      </c>
      <c r="UR18" s="75">
        <f t="array" ref="UR18">INDEX('Port Linkages'!$AZ$18:$AZ$157,MATCH(2,1/(('Port Linkages'!$C$18:$C$157=$AQ18)*('Port Linkages'!$D$18:$D$157=IF($AO18="no",$AQ18,$AS18))*('Port Linkages'!$A$18:$A$157&lt;=$C18))))</f>
        <v>0</v>
      </c>
      <c r="US18" s="75">
        <f t="array" ref="US18">INDEX('Port Linkages'!$BA$18:$BA$157,MATCH(2,1/(('Port Linkages'!$C$18:$C$157=$AQ18)*('Port Linkages'!$D$18:$D$157=IF($AO18="no",$AQ18,$AS18))*('Port Linkages'!$A$18:$A$157&lt;=$C18))))</f>
        <v>0</v>
      </c>
      <c r="UU18" s="25" t="e">
        <f t="array" aca="1" ref="UU18" ca="1">INDEX('Ship Fuel Prices'!$F$5:$F$1004,MATCH(2,1/(('Ship Fuel Prices'!$E$5:$E$1004=_xlfn.IFS(SJ18="Handysize",Main!UP18,SJ18="Supramax",UI18,SJ18="Panamax",UB18,SJ18="NeoPanamax",TU18,SJ18="Suezmax",TN18,SJ18="Capesize",TG18,SJ18="VLOC",SZ18))*('Ship Fuel Prices'!$D$5:$D$1004&lt;=Main!$C18))))</f>
        <v>#N/A</v>
      </c>
      <c r="UV18" s="25" t="e">
        <f t="array" aca="1" ref="UV18" ca="1">INDEX('Ship Fuel Prices'!$G$5:$G$1004,MATCH(2,1/(('Ship Fuel Prices'!$E$5:$E$1004=_xlfn.IFS(SJ18="Handysize",Main!UP18,SJ18="Supramax",UI18,SJ18="Panamax",UB18,SJ18="NeoPanamax",TU18,SJ18="Suezmax",TN18,SJ18="Capesize",TG18,SJ18="VLOC",SZ18))*('Ship Fuel Prices'!$D$5:$D$1004&lt;=Main!$C18))))</f>
        <v>#N/A</v>
      </c>
      <c r="UW18" s="25" t="e">
        <f t="array" aca="1" ref="UW18" ca="1">INDEX('Ship Fuel Prices'!$H$5:$H$1004,MATCH(2,1/(('Ship Fuel Prices'!$E$5:$E$1004=_xlfn.IFS(SJ18="Handysize",Main!UP18,SJ18="Supramax",UI18,SJ18="Panamax",UB18,SJ18="NeoPanamax",TU18,SJ18="Suezmax",TN18,SJ18="Capesize",TG18,SJ18="VLOC",SZ18))*('Ship Fuel Prices'!$D$5:$D$1004&lt;=Main!$C18))))</f>
        <v>#N/A</v>
      </c>
      <c r="UX18" s="25" t="e">
        <f t="array" aca="1" ref="UX18" ca="1">INDEX('Ship Fuel Prices'!$I$5:$I$1004,MATCH(2,1/(('Ship Fuel Prices'!$E$5:$E$1004=_xlfn.IFS(SJ18="Handysize",Main!UP18,SJ18="Supramax",UI18,SJ18="Panamax",UB18,SJ18="NeoPanamax",TU18,SJ18="Suezmax",TN18,SJ18="Capesize",TG18,SJ18="VLOC",SZ18))*('Ship Fuel Prices'!$D$5:$D$1004&lt;=Main!$C18))))</f>
        <v>#N/A</v>
      </c>
      <c r="UY18" s="25" t="e">
        <f t="array" aca="1" ref="UY18" ca="1">INDEX('Ship Fuel Prices'!$J$5:$J$1004,MATCH(2,1/(('Ship Fuel Prices'!$E$5:$E$1004=_xlfn.IFS(SJ18="Handysize",Main!UP18,SJ18="Supramax",UI18,SJ18="Panamax",UB18,SJ18="NeoPanamax",TU18,SJ18="Suezmax",TN18,SJ18="Capesize",TG18,SJ18="VLOC",SZ18))*('Ship Fuel Prices'!$D$5:$D$1004&lt;=Main!$C18))))</f>
        <v>#N/A</v>
      </c>
      <c r="VA18" s="75">
        <f t="array" ref="VA18">INDEX('China n Importing Ports'!$E$20:$E$41,MATCH(2,1/(('China n Importing Ports'!$D$20:$D$41&lt;=$C18)*('China n Importing Ports'!$C$20:$C$41=IF($AO18="No",$AQ18,$AS18)))))</f>
        <v>0</v>
      </c>
      <c r="VB18" s="75">
        <f t="array" ref="VB18">INDEX('China n Importing Ports'!$F$20:$F$41,MATCH(2,1/(('China n Importing Ports'!$D$20:$D$41&lt;=$C18)*('China n Importing Ports'!$C$20:$C$41=IF($AO18="No",$AQ18,$AS18)))))</f>
        <v>0</v>
      </c>
      <c r="VC18" s="75">
        <f t="array" ref="VC18">INDEX('China n Importing Ports'!$G$20:$G$41,MATCH(2,1/(('China n Importing Ports'!$D$20:$D$41&lt;=$C18)*('China n Importing Ports'!$C$20:$C$41=IF($AO18="No",$AQ18,$AS18)))))</f>
        <v>0</v>
      </c>
      <c r="VD18" s="75">
        <f t="array" ref="VD18">INDEX('China n Importing Ports'!$H$20:$H$41,MATCH(2,1/(('China n Importing Ports'!$D$20:$D$41&lt;=$C18)*('China n Importing Ports'!$C$20:$C$41=IF($AO18="No",$AQ18,$AS18)))))</f>
        <v>0</v>
      </c>
      <c r="VE18" s="75">
        <f t="array" ref="VE18">INDEX('China n Importing Ports'!$I$20:$I$41,MATCH(2,1/(('China n Importing Ports'!$D$20:$D$41&lt;=$C18)*('China n Importing Ports'!$C$20:$C$41=IF($AO18="No",$AQ18,$AS18)))))</f>
        <v>0</v>
      </c>
      <c r="VF18" s="75">
        <f t="array" ref="VF18">INDEX('China n Importing Ports'!$J$20:$J$41,MATCH(2,1/(('China n Importing Ports'!$D$20:$D$41&lt;=$C18)*('China n Importing Ports'!$C$20:$C$41=IF($AO18="No",$AQ18,$AS18)))))</f>
        <v>0</v>
      </c>
      <c r="VG18" s="75">
        <f t="array" ref="VG18">INDEX('China n Importing Ports'!$K$20:$K$41,MATCH(2,1/(('China n Importing Ports'!$D$20:$D$41&lt;=$C18)*('China n Importing Ports'!$C$20:$C$41=IF($AO18="No",$AQ18,$AS18)))))</f>
        <v>0</v>
      </c>
      <c r="VH18" s="75">
        <f t="array" ref="VH18">INDEX('China n Importing Ports'!$L$20:$L$41,MATCH(2,1/(('China n Importing Ports'!$D$20:$D$41&lt;=$C18)*('China n Importing Ports'!$C$20:$C$41=IF($AO18="No",$AQ18,$AS18)))))</f>
        <v>0</v>
      </c>
      <c r="VI18" s="75">
        <f t="array" ref="VI18">INDEX('China n Importing Ports'!$M$20:$M$41,MATCH(2,1/(('China n Importing Ports'!$D$20:$D$41&lt;=$C18)*('China n Importing Ports'!$C$20:$C$41=IF($AO18="No",$AQ18,$AS18)))))</f>
        <v>0</v>
      </c>
      <c r="VJ18" s="75">
        <f t="array" ref="VJ18">INDEX('China n Importing Ports'!$N$20:$N$41,MATCH(2,1/(('China n Importing Ports'!$D$20:$D$41&lt;=$C18)*('China n Importing Ports'!$C$20:$C$41=IF($AO18="No",$AQ18,$AS18)))))</f>
        <v>0</v>
      </c>
      <c r="VK18" s="75">
        <f t="array" ref="VK18">INDEX('China n Importing Ports'!$O$20:$O$41,MATCH(2,1/(('China n Importing Ports'!$D$20:$D$41&lt;=$C18)*('China n Importing Ports'!$C$20:$C$41=IF($AO18="No",$AQ18,$AS18)))))</f>
        <v>0</v>
      </c>
      <c r="VL18" s="136">
        <f t="array" ref="VL18">INDEX('China n Importing Ports'!$P$20:$P$41,MATCH(2,1/(('China n Importing Ports'!$D$20:$D$41&lt;=$C18)*('China n Importing Ports'!$C$20:$C$41=IF($AO18="No",$AQ18,$AS18)))))</f>
        <v>0</v>
      </c>
      <c r="VM18" s="136">
        <f t="array" ref="VM18">INDEX('China n Importing Ports'!$Q$20:$Q$41,MATCH(2,1/(('China n Importing Ports'!$D$20:$D$41&lt;=$C18)*('China n Importing Ports'!$C$20:$C$41=IF($AO18="No",$AQ18,$AS18)))))</f>
        <v>0</v>
      </c>
      <c r="VN18" s="136">
        <f t="array" ref="VN18">INDEX('China n Importing Ports'!$R$20:$R$41,MATCH(2,1/(('China n Importing Ports'!$D$20:$D$41&lt;=$C18)*('China n Importing Ports'!$C$20:$C$41=IF($AO18="No",$AQ18,$AS18)))))</f>
        <v>0</v>
      </c>
      <c r="VO18" s="136">
        <f t="array" ref="VO18">INDEX('China n Importing Ports'!$S$20:$S$41,MATCH(2,1/(('China n Importing Ports'!$D$20:$D$41&lt;=$C18)*('China n Importing Ports'!$C$20:$C$41=IF($AO18="No",$AQ18,$AS18)))))</f>
        <v>0</v>
      </c>
      <c r="VP18" s="136">
        <f t="array" ref="VP18">INDEX('China n Importing Ports'!$T$20:$T$41,MATCH(2,1/(('China n Importing Ports'!$D$20:$D$41&lt;=$C18)*('China n Importing Ports'!$C$20:$C$41=IF($AO18="No",$AQ18,$AS18)))))</f>
        <v>0</v>
      </c>
      <c r="VQ18" s="136">
        <f t="array" ref="VQ18">INDEX('China n Importing Ports'!$U$20:$U$41,MATCH(2,1/(('China n Importing Ports'!$D$20:$D$41&lt;=$C18)*('China n Importing Ports'!$C$20:$C$41=IF($AO18="No",$AQ18,$AS18)))))</f>
        <v>0</v>
      </c>
      <c r="VR18" s="136">
        <f t="array" ref="VR18">INDEX('China n Importing Ports'!$V$20:$V$41,MATCH(2,1/(('China n Importing Ports'!$D$20:$D$41&lt;=$C18)*('China n Importing Ports'!$C$20:$C$41=IF($AO18="No",$AQ18,$AS18)))))</f>
        <v>0</v>
      </c>
      <c r="VS18" s="136">
        <f t="array" ref="VS18">INDEX('China n Importing Ports'!$W$20:$W$41,MATCH(2,1/(('China n Importing Ports'!$D$20:$D$41&lt;=$C18)*('China n Importing Ports'!$C$20:$C$41=IF($AO18="No",$AQ18,$AS18)))))</f>
        <v>0</v>
      </c>
      <c r="VT18" s="136">
        <f t="array" ref="VT18">INDEX('China n Importing Ports'!$X$20:$X$41,MATCH(2,1/(('China n Importing Ports'!$D$20:$D$41&lt;=$C18)*('China n Importing Ports'!$C$20:$C$41=IF($AO18="No",$AQ18,$AS18)))))</f>
        <v>0</v>
      </c>
      <c r="VU18" s="136">
        <f t="array" ref="VU18">INDEX('China n Importing Ports'!$Y$20:$Y$41,MATCH(2,1/(('China n Importing Ports'!$D$20:$D$41&lt;=$C18)*('China n Importing Ports'!$C$20:$C$41=IF($AO18="No",$AQ18,$AS18)))))</f>
        <v>0</v>
      </c>
      <c r="VV18" s="136">
        <f t="array" ref="VV18">INDEX('China n Importing Ports'!$Z$20:$Z$41,MATCH(2,1/(('China n Importing Ports'!$D$20:$D$41&lt;=$C18)*('China n Importing Ports'!$C$20:$C$41=IF($AO18="No",$AQ18,$AS18)))))</f>
        <v>0</v>
      </c>
      <c r="VW18" s="136">
        <f t="array" ref="VW18">INDEX('China n Importing Ports'!$AA$20:$AA$41,MATCH(2,1/(('China n Importing Ports'!$D$20:$D$41&lt;=$C18)*('China n Importing Ports'!$C$20:$C$41=IF($AO18="No",$AQ18,$AS18)))))</f>
        <v>0</v>
      </c>
      <c r="VY18" s="75" t="e">
        <f t="array" aca="1" ref="VY18" ca="1">INDEX(Canals!$G$24:$G$29,MATCH(2,1/((Canals!$F$24:$F$29&lt;=$C18)*(Canals!$G$24:$G$29=_xlfn.IFS(SJ18="Handysize",US18,SJ18="Supramax",UL18,SJ18="Panamax",UE18,SJ18="NeoPanamax",TX18,SJ18="Suezmax",TQ18,SJ18="Capesize",TJ18,SJ18="VLOC",TC18)))))</f>
        <v>#N/A</v>
      </c>
      <c r="VZ18" s="75" t="e">
        <f t="array" aca="1" ref="VZ18" ca="1">INDEX(Canals!$H$24:$H$29,MATCH(2,1/((Canals!$F$24:$F$29&lt;=$C18)*(Canals!$G$24:$G$29=_xlfn.IFS(SJ18="Handysize",US18,SJ18="Supramax",UL18,SJ18="Panamax",UE18,SJ18="NeoPanamax",TX18,SJ18="Suezmax",TQ18,SJ18="Capesize",TJ18,SJ18="VLOC",TC18)))))</f>
        <v>#N/A</v>
      </c>
      <c r="WA18" s="75" t="e">
        <f t="array" aca="1" ref="WA18" ca="1">INDEX(Canals!$I$24:$I$29,MATCH(2,1/((Canals!$F$24:$F$29&lt;=$C18)*(Canals!$G$24:$G$29=_xlfn.IFS(SJ18="Handysize",US18,SJ18="Supramax",UL18,SJ18="Panamax",UE18,SJ18="NeoPanamax",TX18,SJ18="Suezmax",TQ18,SJ18="Capesize",TJ18,SJ18="VLOC",TC18)))))</f>
        <v>#N/A</v>
      </c>
      <c r="WB18" s="75" t="e">
        <f t="array" aca="1" ref="WB18" ca="1">INDEX(Canals!$J$24:$J$29,MATCH(2,1/((Canals!$F$24:$F$29&lt;=$C18)*(Canals!$G$24:$G$29=_xlfn.IFS(SJ18="Handysize",Main!US18,SJ18="Supramax",UL18,SJ18="Panamax",UE18,SJ18="NeoPanamax",TX18,SJ18="Suezmax",TQ18,SJ18="Capesize",TJ18,SJ18="VLOC",TC18)))))</f>
        <v>#N/A</v>
      </c>
      <c r="WC18" s="75" t="e">
        <f t="array" aca="1" ref="WC18" ca="1">INDEX(Canals!$K$24:$K$29,MATCH(2,1/((Canals!$F$24:$F$29&lt;=$C18)*(Canals!$G$24:$G$29=_xlfn.IFS(SJ18="Handysize",Main!US18,SJ18="Supramax",UL18,SJ18="Panamax",UE18,SJ18="NeoPanamax",TX18,SJ18="Suezmax",TQ18,SJ18="Capesize",TJ18,SJ18="VLOC",TC18)))))</f>
        <v>#N/A</v>
      </c>
      <c r="WD18" s="75" t="e">
        <f t="array" aca="1" ref="WD18" ca="1">INDEX(Canals!$L$24:$L$29,MATCH(2,1/((Canals!$F$24:$F$29&lt;=$C18)*(Canals!$G$24:$G$29=_xlfn.IFS(SJ18="Handysize",Main!US18,SJ18="Supramax",UL18,SJ18="Panamax",UE18,SJ18="NeoPanamax",TX18,SJ18="Suezmax",TQ18,SJ18="Capesize",TJ18,SJ18="VLOC",TC18)))))</f>
        <v>#N/A</v>
      </c>
      <c r="WE18" s="75" t="e">
        <f t="array" aca="1" ref="WE18" ca="1">INDEX(Canals!$M$24:$M$29,MATCH(2,1/((Canals!$F$24:$F$29&lt;=$C18)*(Canals!$G$24:$G$29=_xlfn.IFS(SJ18="Handysize",Main!US18,SJ18="Supramax",UL18,SJ18="Panamax",UE18,SJ18="NeoPanamax",TX18,SJ18="Suezmax",TQ18,SJ18="Capesize",TJ18,SJ18="VLOC",TC18)))))</f>
        <v>#N/A</v>
      </c>
      <c r="WF18" s="75" t="e">
        <f t="array" aca="1" ref="WF18" ca="1">INDEX(Canals!$N$24:$N$29,MATCH(2,1/((Canals!$F$24:$F$29&lt;=$C18)*(Canals!$G$24:$G$29=_xlfn.IFS(SJ18="Handysize",Main!US18,SJ18="Supramax",UL18,SJ18="Panamax",UE18,SJ18="NeoPanamax",TX18,SJ18="Suezmax",TQ18,SJ18="Capesize",TJ18,SJ18="VLOC",TC18)))))</f>
        <v>#N/A</v>
      </c>
      <c r="WG18" s="75" t="e">
        <f t="array" aca="1" ref="WG18" ca="1">INDEX(Canals!$O$24:$O$29,MATCH(2,1/((Canals!$F$24:$F$29&lt;=$C18)*(Canals!$G$24:$G$29=_xlfn.IFS(SJ18="Handysize",Main!US18,SJ18="Supramax",UL18,SJ18="Panamax",UE18,SJ18="NeoPanamax",TX18,SJ18="Suezmax",TQ18,SJ18="Capesize",TJ18,SJ18="VLOC",TC18)))))</f>
        <v>#N/A</v>
      </c>
      <c r="WH18" s="75" t="e">
        <f t="array" aca="1" ref="WH18" ca="1">INDEX(Canals!$P$24:$P$29,MATCH(2,1/((Canals!$F$24:$F$29&lt;=$C18)*(Canals!$G$24:$G$29=_xlfn.IFS(SJ18="Handysize",Main!US18,SJ18="Supramax",UL18,SJ18="Panamax",UE18,SJ18="NeoPanamax",TX18,SJ18="Suezmax",TQ18,SJ18="Capesize",TJ18,SJ18="VLOC",TC18)))))</f>
        <v>#N/A</v>
      </c>
      <c r="WI18" s="75" t="e">
        <f t="array" aca="1" ref="WI18" ca="1">INDEX(Canals!$Q$24:$Q$29,MATCH(2,1/((Canals!$F$24:$F$29&lt;=$C18)*(Canals!$G$24:$G$29=_xlfn.IFS(SJ18="Handysize",Main!US18,SJ18="Supramax",UL18,SJ18="Panamax",UE18,SJ18="NeoPanamax",TX18,SJ18="Suezmax",TQ18,SJ18="Capesize",TJ18,SJ18="VLOC",TC18)))))</f>
        <v>#N/A</v>
      </c>
      <c r="WJ18" s="75" t="e">
        <f t="array" aca="1" ref="WJ18" ca="1">INDEX(Canals!$R$24:$R$29,MATCH(2,1/((Canals!$F$24:$F$29&lt;=$C18)*(Canals!$G$24:$G$29=_xlfn.IFS(SJ18="Handysize",Main!US18,SJ18="Supramax",UL18,SJ18="Panamax",UE18,SJ18="NeoPanamax",TX18,SJ18="Suezmax",TQ18,SJ18="Capesize",TJ18,SJ18="VLOC",TC18)))))</f>
        <v>#N/A</v>
      </c>
      <c r="WK18" s="136" t="e">
        <f t="array" aca="1" ref="WK18" ca="1">INDEX(Canals!$S$24:$S$29,MATCH(2,1/((Canals!$F$24:$F$29&lt;=$C18)*(Canals!$G$24:$G$29=_xlfn.IFS(SJ18="Handysize",Main!US18,SJ18="Supramax",UL18,SJ18="Panamax",UE18,SJ18="NeoPanamax",TX18,SJ18="Suezmax",TQ18,SJ18="Capesize",TJ18,SJ18="VLOC",TC18)))))</f>
        <v>#N/A</v>
      </c>
      <c r="WL18" s="136" t="e">
        <f t="array" aca="1" ref="WL18" ca="1">INDEX(Canals!$T$24:$T$29,MATCH(2,1/((Canals!$F$24:$F$29&lt;=$C18)*(Canals!$G$24:$G$29=_xlfn.IFS(SJ18="Handysize",Main!US18,SJ18="Supramax",UL18,SJ18="Panamax",UE18,SJ18="NeoPanamax",TX18,SJ18="Suezmax",TQ18,SJ18="Capesize",TJ18,SJ18="VLOC",TC18)))))</f>
        <v>#N/A</v>
      </c>
      <c r="WM18" s="136" t="e">
        <f t="array" aca="1" ref="WM18" ca="1">INDEX(Canals!$U$24:$U$29,MATCH(2,1/((Canals!$F$24:$F$29&lt;=$C18)*(Canals!$G$24:$G$29=_xlfn.IFS(SJ18="Handysize",Main!US18,SJ18="Supramax",UL18,SJ18="Panamax",UE18,SJ18="NeoPanamax",TX18,SJ18="Suezmax",TQ18,SJ18="Capesize",TJ18,SJ18="VLOC",TC18)))))</f>
        <v>#N/A</v>
      </c>
      <c r="WN18" s="136" t="e">
        <f t="array" aca="1" ref="WN18" ca="1">INDEX(Canals!$V$24:$V$29,MATCH(2,1/((Canals!$F$24:$F$29&lt;=$C18)*(Canals!$G$24:$G$29=_xlfn.IFS(SJ18="Handysize",Main!US18,SJ18="Supramax",UL18,SJ18="Panamax",UE18,SJ18="NeoPanamax",TX18,SJ18="Suezmax",TQ18,SJ18="Capesize",TJ18,SJ18="VLOC",TC18)))))</f>
        <v>#N/A</v>
      </c>
      <c r="WO18" s="136" t="e">
        <f t="array" aca="1" ref="WO18" ca="1">INDEX(Canals!$W$24:$W$29,MATCH(2,1/((Canals!$F$24:$F$29&lt;=$C18)*(Canals!$G$24:$G$29=_xlfn.IFS(SJ18="Handysize",Main!US18,SJ18="Supramax",UL18,SJ18="Panamax",UE18,SJ18="NeoPanamax",TX18,SJ18="Suezmax",TQ18,SJ18="Capesize",TJ18,SJ18="VLOC",TC18)))))</f>
        <v>#N/A</v>
      </c>
      <c r="WP18" s="136" t="e">
        <f t="array" aca="1" ref="WP18" ca="1">INDEX(Canals!$X$24:$X$29,MATCH(2,1/((Canals!$F$24:$F$29&lt;=$C18)*(Canals!$G$24:$G$29=_xlfn.IFS(SJ18="Handysize",Main!US18,SJ18="Supramax",UL18,SJ18="Panamax",UE18,SJ18="NeoPanamax",TX18,SJ18="Suezmax",TQ18,SJ18="Capesize",TJ18,SJ18="VLOC",TC18)))))</f>
        <v>#N/A</v>
      </c>
      <c r="WQ18" s="136" t="e">
        <f t="array" aca="1" ref="WQ18" ca="1">INDEX(Canals!$Y$24:$Y$29,MATCH(2,1/((Canals!$F$24:$F$29&lt;=$C18)*(Canals!$G$24:$G$29=_xlfn.IFS(SJ18="Handysize",Main!US18,SJ18="Supramax",UL18,SJ18="Panamax",UE18,SJ18="NeoPanamax",TX18,SJ18="Suezmax",TQ18,SJ18="Capesize",TJ18,SJ18="VLOC",TC18)))))</f>
        <v>#N/A</v>
      </c>
      <c r="WR18" s="136" t="e">
        <f t="array" aca="1" ref="WR18" ca="1">INDEX(Canals!$Z$24:$Z$29,MATCH(2,1/((Canals!$F$24:$F$29&lt;=$C18)*(Canals!$G$24:$G$29=_xlfn.IFS(SJ18="Handysize",Main!US18,SJ18="Supramax",UL18,SJ18="Panamax",UE18,SJ18="NeoPanamax",TX18,SJ18="Suezmax",TQ18,SJ18="Capesize",TJ18,SJ18="VLOC",TC18)))))</f>
        <v>#N/A</v>
      </c>
      <c r="WS18" s="136" t="e">
        <f t="array" aca="1" ref="WS18" ca="1">INDEX(Canals!$AA$24:$AA$29,MATCH(2,1/((Canals!$F$24:$F$29&lt;=$C18)*(Canals!$G$24:$G$29=_xlfn.IFS(SJ18="Handysize",Main!US18,SJ18="Supramax",UL18,SJ18="Panamax",UE18,SJ18="NeoPanamax",TX18,SJ18="Suezmax",TQ18,SJ18="Capesize",TJ18,SJ18="VLOC",TC18)))))</f>
        <v>#N/A</v>
      </c>
      <c r="WT18" s="136" t="e">
        <f t="array" aca="1" ref="WT18" ca="1">INDEX(Canals!$AB$24:$AB$29,MATCH(2,1/((Canals!$F$24:$F$29&lt;=$C18)*(Canals!$G$24:$G$29=_xlfn.IFS(SJ18="Handysize",Main!US18,SJ18="Supramax",UL18,SJ18="Panamax",UE18,SJ18="NeoPanamax",TX18,SJ18="Suezmax",TQ18,SJ18="Capesize",TJ18,SJ18="VLOC",TC18)))))</f>
        <v>#N/A</v>
      </c>
      <c r="WU18" s="75" t="e">
        <f t="array" aca="1" ref="WU18" ca="1">INDEX(Canals!$AC$24:$AC$29,MATCH(2,1/((Canals!$F$24:$F$29&lt;=$C18)*(Canals!$G$24:$G$29=_xlfn.IFS(SJ18="Handysize",Main!US18,SJ18="Supramax",UL18,SJ18="Panamax",UE18,SJ18="NeoPanamax",TX18,SJ18="Suezmax",TQ18,SJ18="Capesize",TJ18,SJ18="VLOC",TC18)))))</f>
        <v>#N/A</v>
      </c>
      <c r="WV18" s="75" t="e">
        <f t="array" aca="1" ref="WV18" ca="1">INDEX(Canals!$AD$24:$AD$29,MATCH(2,1/((Canals!$F$24:$F$29&lt;=$C18)*(Canals!$G$24:$G$29=_xlfn.IFS(SJ18="Handysize",Main!US18,SJ18="Supramax",UL18,SJ18="Panamax",UE18,SJ18="NeoPanamax",TX18,SJ18="Suezmax",TQ18,SJ18="Capesize",TJ18,SJ18="VLOC",TC18)))))</f>
        <v>#N/A</v>
      </c>
      <c r="WW18" s="75" t="e">
        <f t="array" aca="1" ref="WW18" ca="1">INDEX(Canals!$AE$24:$AE$29,MATCH(2,1/((Canals!$F$24:$F$29&lt;=$C18)*(Canals!$G$24:$G$29=_xlfn.IFS(SJ18="Handysize",Main!US18,SJ18="Supramax",UL18,SJ18="Panamax",UE18,SJ18="NeoPanamax",TX18,SJ18="Suezmax",TQ18,SJ18="Capesize",TJ18,SJ18="VLOC",TC18)))))</f>
        <v>#N/A</v>
      </c>
      <c r="WX18" s="75" t="e">
        <f t="array" aca="1" ref="WX18" ca="1">INDEX(Canals!$AF$24:$AF$29,MATCH(2,1/((Canals!$F$24:$F$29&lt;=$C18)*(Canals!$G$24:$G$29=_xlfn.IFS(SJ18="Handysize",Main!US18,SJ18="Supramax",UL18,SJ18="Panamax",UE18,SJ18="NeoPanamax",TX18,SJ18="Suezmax",TQ18,SJ18="Capesize",TJ18,SJ18="VLOC",TC18)))))</f>
        <v>#N/A</v>
      </c>
      <c r="WY18" s="75" t="e">
        <f t="array" aca="1" ref="WY18" ca="1">INDEX(Canals!$AG$24:$AG$29,MATCH(2,1/((Canals!$F$24:$F$29&lt;=$C18)*(Canals!$G$24:$G$29=_xlfn.IFS(SJ18="Handysize",Main!US18,SJ18="Supramax",UL18,SJ18="Panamax",UE18,SJ18="NeoPanamax",TX18,SJ18="Suezmax",TQ18,SJ18="Capesize",TJ18,SJ18="VLOC",TC18)))))</f>
        <v>#N/A</v>
      </c>
      <c r="WZ18" s="75" t="e">
        <f t="array" aca="1" ref="WZ18" ca="1">INDEX(Canals!$AH$24:$AH$29,MATCH(2,1/((Canals!$F$24:$F$29&lt;=$C18)*(Canals!$G$24:$G$29=_xlfn.IFS(SJ18="Handysize",Main!US18,SJ18="Supramax",UL18,SJ18="Panamax",UE18,SJ18="NeoPanamax",TX18,SJ18="Suezmax",TQ18,SJ18="Capesize",TJ18,SJ18="VLOC",TC18)))))</f>
        <v>#N/A</v>
      </c>
      <c r="XA18" s="75" t="e">
        <f t="array" aca="1" ref="XA18" ca="1">INDEX(Canals!$AI$24:$AI$29,MATCH(2,1/((Canals!$F$24:$F$29&lt;=$C18)*(Canals!$G$24:$G$29=_xlfn.IFS(SJ18="Handysize",Main!US18,SJ18="Supramax",UL18,SJ18="Panamax",UE18,SJ18="NeoPanamax",TX18,SJ18="Suezmax",TQ18,SJ18="Capesize",TJ18,SJ18="VLOC",TC18)))))</f>
        <v>#N/A</v>
      </c>
      <c r="XB18" s="75" t="e">
        <f t="array" aca="1" ref="XB18" ca="1">INDEX(Canals!$AJ$24:$AJ$29,MATCH(2,1/((Canals!$F$24:$F$29&lt;=$C18)*(Canals!$G$24:$G$29=_xlfn.IFS(SJ18="Handysize",Main!US18,SJ18="Supramax",UL18,SJ18="Panamax",UE18,SJ18="NeoPanamax",TX18,SJ18="Suezmax",TQ18,SJ18="Capesize",TJ18,SJ18="VLOC",TC18)))))</f>
        <v>#N/A</v>
      </c>
      <c r="XC18" s="75" t="e">
        <f t="array" aca="1" ref="XC18" ca="1">INDEX(Canals!$AK$24:$AK$29,MATCH(2,1/((Canals!$F$24:$F$29&lt;=$C18)*(Canals!$G$24:$G$29=_xlfn.IFS(SJ18="Handysize",Main!US18,SJ18="Supramax",UL18,SJ18="Panamax",UE18,SJ18="NeoPanamax",TX18,SJ18="Suezmax",TQ18,SJ18="Capesize",TJ18,SJ18="VLOC",TC18)))))</f>
        <v>#N/A</v>
      </c>
      <c r="XD18" s="136" t="e">
        <f t="array" aca="1" ref="XD18" ca="1">INDEX(Canals!$AL$24:$AL$29,MATCH(2,1/((Canals!$F$24:$F$29&lt;=$C18)*(Canals!$G$24:$G$29=_xlfn.IFS(SJ18="Handysize",Main!US18,SJ18="Supramax",UL18,SJ18="Panamax",UE18,SJ18="NeoPanamax",TX18,SJ18="Suezmax",TQ18,SJ18="Capesize",TJ18,SJ18="VLOC",TC18)))))</f>
        <v>#N/A</v>
      </c>
      <c r="XE18" s="136" t="e">
        <f t="array" aca="1" ref="XE18" ca="1">INDEX(Canals!$AM$24:$AM$29,MATCH(2,1/((Canals!$F$24:$F$29&lt;=$C18)*(Canals!$G$24:$G$29=_xlfn.IFS(SJ18="Handysize",Main!US18,SJ18="Supramax",UL18,SJ18="Panamax",UE18,SJ18="NeoPanamax",TX18,SJ18="Suezmax",TQ18,SJ18="Capesize",TJ18,SJ18="VLOC",TC18)))))</f>
        <v>#N/A</v>
      </c>
      <c r="XF18" s="136" t="e">
        <f t="array" aca="1" ref="XF18" ca="1">INDEX(Canals!$AN$24:$AN$29,MATCH(2,1/((Canals!$F$24:$F$29&lt;=$C18)*(Canals!$G$24:$G$29=_xlfn.IFS(SJ18="Handysize",Main!US18,SJ18="Supramax",UL18,SJ18="Panamax",UE18,SJ18="NeoPanamax",TX18,SJ18="Suezmax",TQ18,SJ18="Capesize",TJ18,SJ18="VLOC",TC18)))))</f>
        <v>#N/A</v>
      </c>
      <c r="XG18" s="136" t="e">
        <f t="array" aca="1" ref="XG18" ca="1">INDEX(Canals!$AO$24:$AO$29,MATCH(2,1/((Canals!$F$24:$F$29&lt;=$C18)*(Canals!$G$24:$G$29=_xlfn.IFS(SJ18="Handysize",Main!US18,SJ18="Supramax",UL18,SJ18="Panamax",UE18,SJ18="NeoPanamax",TX18,SJ18="Suezmax",TQ18,SJ18="Capesize",TJ18,SJ18="VLOC",TC18)))))</f>
        <v>#N/A</v>
      </c>
      <c r="XH18" s="136" t="e">
        <f t="array" aca="1" ref="XH18" ca="1">INDEX(Canals!$AP$24:$AP$29,MATCH(2,1/((Canals!$F$24:$F$29&lt;=$C18)*(Canals!$G$24:$G$29=_xlfn.IFS(SJ18="Handysize",Main!US18,SJ18="Supramax",UL18,SJ18="Panamax",UE18,SJ18="NeoPanamax",TX18,SJ18="Suezmax",TQ18,SJ18="Capesize",TJ18,SJ18="VLOC",TC18)))))</f>
        <v>#N/A</v>
      </c>
      <c r="XI18" s="136" t="e">
        <f t="array" aca="1" ref="XI18" ca="1">INDEX(Canals!$AQ$24:$AQ$29,MATCH(2,1/((Canals!$F$24:$F$29&lt;=$C18)*(Canals!$G$24:$G$29=_xlfn.IFS(SJ18="Handysize",Main!US18,SJ18="Supramax",UL18,SJ18="Panamax",UE18,SJ18="NeoPanamax",TX18,SJ18="Suezmax",TQ18,SJ18="Capesize",TJ18,SJ18="VLOC",TC18)))))</f>
        <v>#N/A</v>
      </c>
      <c r="XJ18" s="136" t="e">
        <f t="array" aca="1" ref="XJ18" ca="1">INDEX(Canals!$AR$24:$AR$29,MATCH(2,1/((Canals!$F$24:$F$29&lt;=$C18)*(Canals!$G$24:$G$29=_xlfn.IFS(SJ18="Handysize",Main!US18,SJ18="Supramax",UL18,SJ18="Panamax",UE18,SJ18="NeoPanamax",TX18,SJ18="Suezmax",TQ18,SJ18="Capesize",TJ18,SJ18="VLOC",TC18)))))</f>
        <v>#N/A</v>
      </c>
      <c r="XK18" s="136" t="e">
        <f t="array" aca="1" ref="XK18" ca="1">INDEX(Canals!$AS$24:$AS$29,MATCH(2,1/((Canals!$F$24:$F$29&lt;=$C18)*(Canals!$G$24:$G$29=_xlfn.IFS(SJ18="Handysize",Main!US18,SJ18="Supramax",UL18,SJ18="Panamax",UE18,SJ18="NeoPanamax",TX18,SJ18="Suezmax",TQ18,SJ18="Capesize",TJ18,SJ18="VLOC",TC18)))))</f>
        <v>#N/A</v>
      </c>
      <c r="XL18" s="136" t="e">
        <f t="array" aca="1" ref="XL18" ca="1">INDEX(Canals!$AT$24:$AT$29,MATCH(2,1/((Canals!$F$24:$F$29&lt;=$C18)*(Canals!$G$24:$G$29=_xlfn.IFS(SJ18="Handysize",Main!US18,SJ18="Supramax",UL18,SJ18="Panamax",UE18,SJ18="NeoPanamax",TX18,SJ18="Suezmax",TQ18,SJ18="Capesize",TJ18,SJ18="VLOC",TC18)))))</f>
        <v>#N/A</v>
      </c>
      <c r="XM18" s="136" t="e">
        <f t="array" aca="1" ref="XM18" ca="1">INDEX(Canals!$AU$24:$AU$29,MATCH(2,1/((Canals!$F$24:$F$29&lt;=$C18)*(Canals!$G$24:$G$29=_xlfn.IFS(SJ18="Handysize",Main!US18,SJ18="Supramax",UL18,SJ18="Panamax",UE18,SJ18="NeoPanamax",TX18,SJ18="Suezmax",TQ18,SJ18="Capesize",TJ18,SJ18="VLOC",TC18)))))</f>
        <v>#N/A</v>
      </c>
      <c r="XN18" s="136" t="e">
        <f t="array" aca="1" ref="XN18" ca="1">INDEX(Canals!$AV$24:$AV$29,MATCH(2,1/((Canals!$F$24:$F$29&lt;=$C18)*(Canals!$G$24:$G$29=_xlfn.IFS(SJ18="Handysize",Main!US18,SJ18="Supramax",UL18,SJ18="Panamax",UE18,SJ18="NeoPanamax",TX18,SJ18="Suezmax",TQ18,SJ18="Capesize",TJ18,SJ18="VLOC",TC18)))))</f>
        <v>#N/A</v>
      </c>
      <c r="XP18" s="75" t="e">
        <f t="array" aca="1" ref="XP18" ca="1">_xlfn.IFS(WA18="DWT",SH18,WA18="NRT",SL18,WA18="GRT",SM18,WA18=0,0)</f>
        <v>#NAME?</v>
      </c>
      <c r="XQ18" s="279" t="e">
        <f t="shared" ca="1" si="125"/>
        <v>#NAME?</v>
      </c>
      <c r="XR18" s="280" t="e">
        <f t="shared" ca="1" si="126"/>
        <v>#NAME?</v>
      </c>
      <c r="XS18" s="280" t="e">
        <f t="shared" ca="1" si="127"/>
        <v>#NAME?</v>
      </c>
      <c r="XT18" s="280" t="e">
        <f t="shared" ca="1" si="128"/>
        <v>#NAME?</v>
      </c>
      <c r="XU18" s="280" t="e">
        <f t="shared" ca="1" si="129"/>
        <v>#NAME?</v>
      </c>
      <c r="XV18" s="280" t="e">
        <f t="shared" ca="1" si="130"/>
        <v>#NAME?</v>
      </c>
      <c r="XW18" s="280" t="e">
        <f t="shared" ca="1" si="131"/>
        <v>#NAME?</v>
      </c>
      <c r="XX18" s="280" t="e">
        <f t="shared" ca="1" si="132"/>
        <v>#NAME?</v>
      </c>
      <c r="XY18" s="280" t="e">
        <f t="shared" ca="1" si="133"/>
        <v>#NAME?</v>
      </c>
      <c r="XZ18" s="75">
        <f t="shared" si="134"/>
        <v>0</v>
      </c>
      <c r="YA18" s="279" t="e">
        <f t="shared" ca="1" si="135"/>
        <v>#N/A</v>
      </c>
      <c r="YB18" s="280" t="e">
        <f t="shared" ca="1" si="136"/>
        <v>#N/A</v>
      </c>
      <c r="YC18" s="280" t="e">
        <f t="shared" ca="1" si="137"/>
        <v>#N/A</v>
      </c>
      <c r="YD18" s="280" t="e">
        <f t="shared" ca="1" si="138"/>
        <v>#N/A</v>
      </c>
      <c r="YE18" s="280" t="e">
        <f t="shared" ca="1" si="139"/>
        <v>#N/A</v>
      </c>
      <c r="YF18" s="280" t="e">
        <f t="shared" ca="1" si="140"/>
        <v>#N/A</v>
      </c>
      <c r="YG18" s="280" t="e">
        <f t="shared" ca="1" si="141"/>
        <v>#N/A</v>
      </c>
      <c r="YH18" s="280" t="e">
        <f t="shared" ca="1" si="142"/>
        <v>#N/A</v>
      </c>
      <c r="YI18" s="280" t="e">
        <f t="shared" ca="1" si="143"/>
        <v>#N/A</v>
      </c>
      <c r="YK18" s="75" t="e">
        <f t="array" aca="1" ref="YK18" ca="1">_xlfn.IFS(SJ18="Handysize",Main!UM18,SJ18="Supramax",UF18,SJ18="Panamax",TY18,SJ18="NeoPanamax",TR18,SJ18="Suezmax",TK18,SJ18="Capesize",TD18,SJ18="VLOC",SW18)*$JI18</f>
        <v>#NAME?</v>
      </c>
      <c r="YL18" s="274" t="e">
        <f t="array" aca="1" ref="YL18" ca="1">_xlfn.IFS(SJ18="Handysize",Main!UN18,SJ18="Supramax",UG18,SJ18="Panamax",TZ18,SJ18="NeoPanamax",TS18,SJ18="Suezmax",TL18,SJ18="Capesize",TE18,SJ18="VLOC",SX18)*$JI18</f>
        <v>#NAME?</v>
      </c>
      <c r="YM18" s="71" t="e">
        <f t="array" aca="1" ref="YM18" ca="1">_xlfn.IFS(SJ18="Handysize",Main!SO18,SJ18="Supramax",SP18,SJ18="Panamax",SQ18,SJ18="NeoPanamax",SR18,SJ18="Suezmax",SS18,SJ18="Capesize",ST18,SJ18="VLOC",SU18)</f>
        <v>#NAME?</v>
      </c>
      <c r="YN18" s="71" t="e">
        <f t="array" aca="1" ref="YN18" ca="1">_xlfn.IFS(SJ18="Handysize",Main!VA18,SJ18="Supramax",VB18,SJ18="Panamax",VC18,SJ18="NeoPanamax",VD18,SJ18="Suezmax",VE18,SJ18="Capesize",VF18,SJ18="VLOC",VG18)</f>
        <v>#NAME?</v>
      </c>
      <c r="YO18" s="70">
        <f t="array" ref="YO18">INDEX('Ship Speeds'!$G$11:$G$1011,MATCH(2,1/(('Ship Speeds'!$E$11:$E$1011&lt;=Main!$C18)*('Ship Speeds'!$F$11:$F$1011=Main!SI18))))</f>
        <v>11</v>
      </c>
      <c r="YP18" s="403">
        <f t="shared" si="144"/>
        <v>0</v>
      </c>
      <c r="YQ18" s="401">
        <f t="shared" si="145"/>
        <v>1.2</v>
      </c>
      <c r="YR18" s="70" t="e">
        <f t="shared" ca="1" si="146"/>
        <v>#NAME?</v>
      </c>
      <c r="YS18" s="70" t="e">
        <f t="shared" ca="1" si="147"/>
        <v>#NAME?</v>
      </c>
      <c r="YT18" s="70" t="e">
        <f t="shared" ca="1" si="148"/>
        <v>#NAME?</v>
      </c>
      <c r="YU18" s="70" t="e">
        <f t="shared" ca="1" si="149"/>
        <v>#NAME?</v>
      </c>
      <c r="YV18" s="72" t="e">
        <f t="shared" ca="1" si="150"/>
        <v>#N/A</v>
      </c>
      <c r="YW18" s="70" t="e">
        <f t="shared" ca="1" si="151"/>
        <v>#NAME?</v>
      </c>
      <c r="YX18" s="70" t="e">
        <f t="array" aca="1" ref="YX18" ca="1">IF(YK18=0,0,INDEX(UU18:UY18,MATCH(_xlfn.IFS(SJ18="Handysize",Main!UQ18,SJ18="Supramax",UJ18,SJ18="Panamax",UC18,SJ18="NeoPanamax",TV18,SJ18="Suezmax",TO18,SJ18="Capesize",TH18,SJ18="VLOC",TA18),$UU$7:$UY$7,0)))</f>
        <v>#NAME?</v>
      </c>
      <c r="YY18" s="70" t="e">
        <f t="array" aca="1" ref="YY18" ca="1">IF(YK18=0,0,INDEX(UU18:UY18,MATCH(_xlfn.IFS(SJ18="Handysize",Main!UR18,SJ18="Supramax",UK18,SJ18="Panamax",UD18,SJ18="NeoPanamax",TW18,SJ18="Suezmax",TP18,SJ18="Capesize",TI18,SJ18="VLOC",TB18),$UU$7:$UY$7,0)))</f>
        <v>#NAME?</v>
      </c>
      <c r="YZ18" s="71" t="e">
        <f t="shared" ca="1" si="152"/>
        <v>#NAME?</v>
      </c>
      <c r="ZA18" s="71" t="e">
        <f t="shared" ca="1" si="153"/>
        <v>#NAME?</v>
      </c>
      <c r="ZB18" s="281" t="e">
        <f t="shared" ca="1" si="154"/>
        <v>#NAME?</v>
      </c>
      <c r="ZC18" s="71" t="e">
        <f t="shared" ca="1" si="155"/>
        <v>#NAME?</v>
      </c>
      <c r="ZD18" s="71" t="e">
        <f t="shared" ca="1" si="156"/>
        <v>#NAME?</v>
      </c>
      <c r="ZE18" s="71" t="e">
        <f t="shared" ca="1" si="157"/>
        <v>#NAME?</v>
      </c>
      <c r="ZF18" s="71" t="e">
        <f t="shared" ca="1" si="158"/>
        <v>#NAME?</v>
      </c>
      <c r="ZG18" s="71" t="e">
        <f t="shared" ca="1" si="159"/>
        <v>#NAME?</v>
      </c>
      <c r="ZH18" s="71" t="e">
        <f t="shared" ca="1" si="160"/>
        <v>#NAME?</v>
      </c>
      <c r="ZI18" s="71" t="e">
        <f t="shared" ca="1" si="161"/>
        <v>#NAME?</v>
      </c>
      <c r="ZJ18" s="71" t="e">
        <f t="shared" ca="1" si="162"/>
        <v>#NAME?</v>
      </c>
      <c r="ZK18" s="71" t="e">
        <f t="shared" ca="1" si="163"/>
        <v>#NAME?</v>
      </c>
      <c r="ZL18" s="71" t="e">
        <f t="shared" ca="1" si="164"/>
        <v>#NAME?</v>
      </c>
      <c r="ZM18" s="71" t="e">
        <f t="shared" ca="1" si="165"/>
        <v>#NAME?</v>
      </c>
      <c r="ZN18" s="71" t="e">
        <f t="shared" ca="1" si="166"/>
        <v>#NAME?</v>
      </c>
      <c r="ZO18" s="72" t="e">
        <f t="shared" ca="1" si="167"/>
        <v>#NAME?</v>
      </c>
      <c r="ZP18" s="72" t="e">
        <f t="shared" ca="1" si="168"/>
        <v>#NAME?</v>
      </c>
      <c r="ZQ18" s="71" t="e">
        <f t="shared" ca="1" si="169"/>
        <v>#NAME?</v>
      </c>
      <c r="ZR18" s="71" t="e">
        <f t="array" aca="1" ref="ZR18" ca="1">IF(YK18=0,0,INDEX('Ship Time Charter Rates'!$H$22:$H$1021,MATCH(2,1/(('Ship Time Charter Rates'!$G$22:$G$1021=_xlfn.IFS(SJ18="Handysize",Main!UO18,SJ18="Supramax",UH18,SJ18="Panamax",UA18,SJ18="NeoPanamax",TT18,SJ18="Suezmax",TM18,SJ18="Capesize",TF18,SJ18="VLOC",SY18))*('Ship Time Charter Rates'!$E$22:$E$1021&lt;=Main!$C18)*(NOT(ISBLANK('Ship Time Charter Rates'!$H$22:$H$1021)))))))</f>
        <v>#NAME?</v>
      </c>
      <c r="ZS18" s="71" t="e">
        <f t="shared" ca="1" si="170"/>
        <v>#NAME?</v>
      </c>
      <c r="ZT18" s="70" t="e">
        <f t="shared" ca="1" si="171"/>
        <v>#NAME?</v>
      </c>
      <c r="ZU18" s="71" t="e">
        <f t="shared" ca="1" si="172"/>
        <v>#NAME?</v>
      </c>
      <c r="ZV18" s="71" t="e">
        <f t="shared" ca="1" si="304"/>
        <v>#NAME?</v>
      </c>
      <c r="ZW18" s="72" t="e">
        <f t="shared" ca="1" si="305"/>
        <v>#NAME?</v>
      </c>
      <c r="ZY18" s="287" t="s">
        <v>39</v>
      </c>
      <c r="AAA18" s="25">
        <f t="shared" si="322"/>
        <v>84000</v>
      </c>
      <c r="AAB18" s="4" t="str">
        <f>VLOOKUP(AAA18,'Ship Time Charter Rates'!$F$10:$G$17,2,TRUE)</f>
        <v>Panamax</v>
      </c>
      <c r="AAC18" s="4" t="str">
        <f>VLOOKUP(AAA18,Canals!$E$5:$F$12,2,TRUE)</f>
        <v>Panamax</v>
      </c>
      <c r="AAD18" s="25">
        <f t="shared" si="173"/>
        <v>219.22199999999998</v>
      </c>
      <c r="AAE18" s="25">
        <f t="shared" si="174"/>
        <v>33885.599999999999</v>
      </c>
      <c r="AAF18" s="25">
        <f t="shared" si="175"/>
        <v>48384.600000000006</v>
      </c>
      <c r="AAH18" s="75">
        <f t="array" ref="AAH18">INDEX('Indices Mines Exporting Ports'!$R$20:$R$51,MATCH(2,1/(('Indices Mines Exporting Ports'!$D$20:$D$51&lt;=Main!$C18)*('Indices Mines Exporting Ports'!$Q$20:$Q$51=$AP18))))</f>
        <v>30000</v>
      </c>
      <c r="AAI18" s="75">
        <f t="array" ref="AAI18">INDEX('Indices Mines Exporting Ports'!$S$20:$S$51,MATCH(2,1/(('Indices Mines Exporting Ports'!$D$20:$D$51&lt;=Main!$C18)*('Indices Mines Exporting Ports'!$Q$20:$Q$51=$AP18))))</f>
        <v>30000</v>
      </c>
      <c r="AAJ18" s="75">
        <f t="array" ref="AAJ18">INDEX('Indices Mines Exporting Ports'!$T$20:$T$51,MATCH(2,1/(('Indices Mines Exporting Ports'!$D$20:$D$51&lt;=Main!$C18)*('Indices Mines Exporting Ports'!$Q$20:$Q$51=$AP18))))</f>
        <v>30000</v>
      </c>
      <c r="AAK18" s="75">
        <f t="array" ref="AAK18">INDEX('Indices Mines Exporting Ports'!$U$20:$U$51,MATCH(2,1/(('Indices Mines Exporting Ports'!$D$20:$D$51&lt;=Main!$C18)*('Indices Mines Exporting Ports'!$Q$20:$Q$51=$AP18))))</f>
        <v>30000</v>
      </c>
      <c r="AAL18" s="75">
        <f t="array" ref="AAL18">INDEX('Indices Mines Exporting Ports'!$V$20:$V$51,MATCH(2,1/(('Indices Mines Exporting Ports'!$D$20:$D$51&lt;=Main!$C18)*('Indices Mines Exporting Ports'!$Q$20:$Q$51=$AP18))))</f>
        <v>30000</v>
      </c>
      <c r="AAM18" s="75">
        <f t="array" ref="AAM18">INDEX('Indices Mines Exporting Ports'!$W$20:$W$51,MATCH(2,1/(('Indices Mines Exporting Ports'!$D$20:$D$51&lt;=Main!$C18)*('Indices Mines Exporting Ports'!$Q$20:$Q$51=$AP18))))</f>
        <v>30000</v>
      </c>
      <c r="AAN18" s="75">
        <f t="array" ref="AAN18">INDEX('Indices Mines Exporting Ports'!$X$20:$X$51,MATCH(2,1/(('Indices Mines Exporting Ports'!$D$20:$D$51&lt;=Main!$C18)*('Indices Mines Exporting Ports'!$Q$20:$Q$51=$AP18))))</f>
        <v>30000</v>
      </c>
      <c r="AAP18" s="75">
        <f t="array" ref="AAP18">INDEX('Port Linkages'!$E$18:$E$157,MATCH(2,1/(('Port Linkages'!$C$18:$C$157=$AP18)*('Port Linkages'!$D$18:$D$157=IF($AO18="Yes",$AQ18,$KK18))*('Port Linkages'!$A$18:$A$157&lt;=$C18))))</f>
        <v>14562</v>
      </c>
      <c r="AAQ18" s="75">
        <f t="array" ref="AAQ18">INDEX('Port Linkages'!$F$18:$F$157,MATCH(2,1/(('Port Linkages'!$C$18:$C$157=$AP18)*('Port Linkages'!$D$18:$D$157=IF($AO18="Yes",$AQ18,$KK18))*('Port Linkages'!$A$18:$A$157&lt;=$C18))))</f>
        <v>0</v>
      </c>
      <c r="AAR18" s="75" t="str">
        <f t="array" ref="AAR18">INDEX('Port Linkages'!$G$18:$G$157,MATCH(2,1/(('Port Linkages'!$C$18:$C$157=$AP18)*('Port Linkages'!$D$18:$D$157=IF($AO18="Yes",$AQ18,$KK18))*('Port Linkages'!$A$18:$A$157&lt;=$C18))))</f>
        <v>VLOC_General</v>
      </c>
      <c r="AAS18" s="75" t="str">
        <f t="array" ref="AAS18">INDEX('Port Linkages'!$H$18:$H$157,MATCH(2,1/(('Port Linkages'!$C$18:$C$157=$AP18)*('Port Linkages'!$D$18:$D$157=IF($AO18="Yes",$AQ18,$KK18))*('Port Linkages'!$A$18:$A$157&lt;=$C18))))</f>
        <v>Singapore</v>
      </c>
      <c r="AAT18" s="75" t="str">
        <f t="array" ref="AAT18">INDEX('Port Linkages'!$I$18:$I$157,MATCH(2,1/(('Port Linkages'!$C$18:$C$157=$AP18)*('Port Linkages'!$D$18:$D$157=IF($AO18="Yes",$AQ18,$KK18))*('Port Linkages'!$A$18:$A$157&lt;=$C18))))</f>
        <v>VLSFO</v>
      </c>
      <c r="AAU18" s="75" t="str">
        <f t="array" ref="AAU18">INDEX('Port Linkages'!$J$18:$J$157,MATCH(2,1/(('Port Linkages'!$C$18:$C$157=$AP18)*('Port Linkages'!$D$18:$D$157=IF($AO18="Yes",$AQ18,$KK18))*('Port Linkages'!$A$18:$A$157&lt;=$C18))))</f>
        <v>MGO_Regular</v>
      </c>
      <c r="AAV18" s="75" t="str">
        <f t="array" ref="AAV18">INDEX('Port Linkages'!$K$18:$K$157,MATCH(2,1/(('Port Linkages'!$C$18:$C$157=$AP18)*('Port Linkages'!$D$18:$D$157=IF($AO18="Yes",$AQ18,$KK18))*('Port Linkages'!$A$18:$A$157&lt;=$C18))))</f>
        <v>none</v>
      </c>
      <c r="AAW18" s="75">
        <f t="array" ref="AAW18">INDEX('Port Linkages'!$L$18:$L$157,MATCH(2,1/(('Port Linkages'!$C$18:$C$157=$AP18)*('Port Linkages'!$D$18:$D$157=IF($AO18="Yes",$AQ18,$KK18))*('Port Linkages'!$A$18:$A$157&lt;=$C18))))</f>
        <v>14562</v>
      </c>
      <c r="AAX18" s="75">
        <f t="array" ref="AAX18">INDEX('Port Linkages'!$M$18:$M$157,MATCH(2,1/(('Port Linkages'!$C$18:$C$157=$AP18)*('Port Linkages'!$D$18:$D$157=IF($AO18="Yes",$AQ18,$KK18))*('Port Linkages'!$A$18:$A$157&lt;=$C18))))</f>
        <v>0</v>
      </c>
      <c r="AAY18" s="75" t="str">
        <f t="array" ref="AAY18">INDEX('Port Linkages'!$N$18:$N$157,MATCH(2,1/(('Port Linkages'!$C$18:$C$157=$AP18)*('Port Linkages'!$D$18:$D$157=IF($AO18="Yes",$AQ18,$KK18))*('Port Linkages'!$A$18:$A$157&lt;=$C18))))</f>
        <v>Capesize_General</v>
      </c>
      <c r="AAZ18" s="75" t="str">
        <f t="array" ref="AAZ18">INDEX('Port Linkages'!$O$18:$O$157,MATCH(2,1/(('Port Linkages'!$C$18:$C$157=$AP18)*('Port Linkages'!$D$18:$D$157=IF($AO18="Yes",$AQ18,$KK18))*('Port Linkages'!$A$18:$A$157&lt;=$C18))))</f>
        <v>Singapore</v>
      </c>
      <c r="ABA18" s="75" t="str">
        <f t="array" ref="ABA18">INDEX('Port Linkages'!$P$18:$P$157,MATCH(2,1/(('Port Linkages'!$C$18:$C$157=$AP18)*('Port Linkages'!$D$18:$D$157=IF($AO18="Yes",$AQ18,$KK18))*('Port Linkages'!$A$18:$A$157&lt;=$C18))))</f>
        <v>VLSFO</v>
      </c>
      <c r="ABB18" s="75" t="str">
        <f t="array" ref="ABB18">INDEX('Port Linkages'!$Q$18:$Q$157,MATCH(2,1/(('Port Linkages'!$C$18:$C$157=$AP18)*('Port Linkages'!$D$18:$D$157=IF($AO18="Yes",$AQ18,$KK18))*('Port Linkages'!$A$18:$A$157&lt;=$C18))))</f>
        <v>MGO_Regular</v>
      </c>
      <c r="ABC18" s="75" t="str">
        <f t="array" ref="ABC18">INDEX('Port Linkages'!$R$18:$R$157,MATCH(2,1/(('Port Linkages'!$C$18:$C$157=$AP18)*('Port Linkages'!$D$18:$D$157=IF($AO18="Yes",$AQ18,$KK18))*('Port Linkages'!$A$18:$A$157&lt;=$C18))))</f>
        <v>none</v>
      </c>
      <c r="ABD18" s="75">
        <f t="array" ref="ABD18">INDEX('Port Linkages'!$S$18:$S$157,MATCH(2,1/(('Port Linkages'!$C$18:$C$157=$AP18)*('Port Linkages'!$D$18:$D$157=IF($AO18="Yes",$AQ18,$KK18))*('Port Linkages'!$A$18:$A$157&lt;=$C18))))</f>
        <v>8426</v>
      </c>
      <c r="ABE18" s="75">
        <f t="array" ref="ABE18">INDEX('Port Linkages'!$T$18:$T$157,MATCH(2,1/(('Port Linkages'!$C$18:$C$157=$AP18)*('Port Linkages'!$D$18:$D$157=IF($AO18="Yes",$AQ18,$KK18))*('Port Linkages'!$A$18:$A$157&lt;=$C18))))</f>
        <v>0</v>
      </c>
      <c r="ABF18" s="75" t="str">
        <f t="array" ref="ABF18">INDEX('Port Linkages'!$U$18:$U$157,MATCH(2,1/(('Port Linkages'!$C$18:$C$157=$AP18)*('Port Linkages'!$D$18:$D$157=IF($AO18="Yes",$AQ18,$KK18))*('Port Linkages'!$A$18:$A$157&lt;=$C18))))</f>
        <v>Capesize_General</v>
      </c>
      <c r="ABG18" s="75" t="str">
        <f t="array" ref="ABG18">INDEX('Port Linkages'!$V$18:$V$157,MATCH(2,1/(('Port Linkages'!$C$18:$C$157=$AP18)*('Port Linkages'!$D$18:$D$157=IF($AO18="Yes",$AQ18,$KK18))*('Port Linkages'!$A$18:$A$157&lt;=$C18))))</f>
        <v>Singapore</v>
      </c>
      <c r="ABH18" s="75" t="str">
        <f t="array" ref="ABH18">INDEX('Port Linkages'!$W$18:$W$157,MATCH(2,1/(('Port Linkages'!$C$18:$C$157=$AP18)*('Port Linkages'!$D$18:$D$157=IF($AO18="Yes",$AQ18,$KK18))*('Port Linkages'!$A$18:$A$157&lt;=$C18))))</f>
        <v>VLSFO</v>
      </c>
      <c r="ABI18" s="75" t="str">
        <f t="array" ref="ABI18">INDEX('Port Linkages'!$X$18:$X$157,MATCH(2,1/(('Port Linkages'!$C$18:$C$157=$AP18)*('Port Linkages'!$D$18:$D$157=IF($AO18="Yes",$AQ18,$KK18))*('Port Linkages'!$A$18:$A$157&lt;=$C18))))</f>
        <v>MGO_Regular</v>
      </c>
      <c r="ABJ18" s="75" t="str">
        <f t="array" ref="ABJ18">INDEX('Port Linkages'!$Y$18:$Y$157,MATCH(2,1/(('Port Linkages'!$C$18:$C$157=$AP18)*('Port Linkages'!$D$18:$D$157=IF($AO18="Yes",$AQ18,$KK18))*('Port Linkages'!$A$18:$A$157&lt;=$C18))))</f>
        <v>Suez</v>
      </c>
      <c r="ABK18" s="75">
        <f t="array" ref="ABK18">INDEX('Port Linkages'!$Z$18:$Z$157,MATCH(2,1/(('Port Linkages'!$C$18:$C$157=$AP18)*('Port Linkages'!$D$18:$D$157=IF($AO18="Yes",$AQ18,$KK18))*('Port Linkages'!$A$18:$A$157&lt;=$C18))))</f>
        <v>8426</v>
      </c>
      <c r="ABL18" s="75">
        <f t="array" ref="ABL18">INDEX('Port Linkages'!$AA$18:$AA$157,MATCH(2,1/(('Port Linkages'!$C$18:$C$157=$AP18)*('Port Linkages'!$D$18:$D$157=IF($AO18="Yes",$AQ18,$KK18))*('Port Linkages'!$A$18:$A$157&lt;=$C18))))</f>
        <v>0</v>
      </c>
      <c r="ABM18" s="75" t="str">
        <f t="array" ref="ABM18">INDEX('Port Linkages'!$AB$18:$AB$157,MATCH(2,1/(('Port Linkages'!$C$18:$C$157=$AP18)*('Port Linkages'!$D$18:$D$157=IF($AO18="Yes",$AQ18,$KK18))*('Port Linkages'!$A$18:$A$157&lt;=$C18))))</f>
        <v>Capesize_General</v>
      </c>
      <c r="ABN18" s="75" t="str">
        <f t="array" ref="ABN18">INDEX('Port Linkages'!$AC$18:$AC$157,MATCH(2,1/(('Port Linkages'!$C$18:$C$157=$AP18)*('Port Linkages'!$D$18:$D$157=IF($AO18="Yes",$AQ18,$KK18))*('Port Linkages'!$A$18:$A$157&lt;=$C18))))</f>
        <v>Singapore</v>
      </c>
      <c r="ABO18" s="75" t="str">
        <f t="array" ref="ABO18">INDEX('Port Linkages'!$AD$18:$AD$157,MATCH(2,1/(('Port Linkages'!$C$18:$C$157=$AP18)*('Port Linkages'!$D$18:$D$157=IF($AO18="Yes",$AQ18,$KK18))*('Port Linkages'!$A$18:$A$157&lt;=$C18))))</f>
        <v>VLSFO</v>
      </c>
      <c r="ABP18" s="75" t="str">
        <f t="array" ref="ABP18">INDEX('Port Linkages'!$AE$18:$AE$157,MATCH(2,1/(('Port Linkages'!$C$18:$C$157=$AP18)*('Port Linkages'!$D$18:$D$157=IF($AO18="Yes",$AQ18,$KK18))*('Port Linkages'!$A$18:$A$157&lt;=$C18))))</f>
        <v>MGO_Regular</v>
      </c>
      <c r="ABQ18" s="75" t="str">
        <f t="array" ref="ABQ18">INDEX('Port Linkages'!$AF$18:$AF$157,MATCH(2,1/(('Port Linkages'!$C$18:$C$157=$AP18)*('Port Linkages'!$D$18:$D$157=IF($AO18="Yes",$AQ18,$KK18))*('Port Linkages'!$A$18:$A$157&lt;=$C18))))</f>
        <v>Suez</v>
      </c>
      <c r="ABR18" s="75">
        <f t="array" ref="ABR18">INDEX('Port Linkages'!$AG$18:$AG$157,MATCH(2,1/(('Port Linkages'!$C$18:$C$157=$AP18)*('Port Linkages'!$D$18:$D$157=IF($AO18="Yes",$AQ18,$KK18))*('Port Linkages'!$A$18:$A$157&lt;=$C18))))</f>
        <v>8426</v>
      </c>
      <c r="ABS18" s="75">
        <f t="array" ref="ABS18">INDEX('Port Linkages'!$AH$18:$AH$157,MATCH(2,1/(('Port Linkages'!$C$18:$C$157=$AP18)*('Port Linkages'!$D$18:$D$157=IF($AO18="Yes",$AQ18,$KK18))*('Port Linkages'!$A$18:$A$157&lt;=$C18))))</f>
        <v>0</v>
      </c>
      <c r="ABT18" s="75" t="str">
        <f t="array" ref="ABT18">INDEX('Port Linkages'!$AI$18:$AI$157,MATCH(2,1/(('Port Linkages'!$C$18:$C$157=$AP18)*('Port Linkages'!$D$18:$D$157=IF($AO18="Yes",$AQ18,$KK18))*('Port Linkages'!$A$18:$A$157&lt;=$C18))))</f>
        <v>Capesize_General</v>
      </c>
      <c r="ABU18" s="75" t="str">
        <f t="array" ref="ABU18">INDEX('Port Linkages'!$AJ$18:$AJ$157,MATCH(2,1/(('Port Linkages'!$C$18:$C$157=$AP18)*('Port Linkages'!$D$18:$D$157=IF($AO18="Yes",$AQ18,$KK18))*('Port Linkages'!$A$18:$A$157&lt;=$C18))))</f>
        <v>Singapore</v>
      </c>
      <c r="ABV18" s="75" t="str">
        <f t="array" ref="ABV18">INDEX('Port Linkages'!$AK$18:$AK$157,MATCH(2,1/(('Port Linkages'!$C$18:$C$157=$AP18)*('Port Linkages'!$D$18:$D$157=IF($AO18="Yes",$AQ18,$KK18))*('Port Linkages'!$A$18:$A$157&lt;=$C18))))</f>
        <v>VLSFO</v>
      </c>
      <c r="ABW18" s="75" t="str">
        <f t="array" ref="ABW18">INDEX('Port Linkages'!$AL$18:$AL$157,MATCH(2,1/(('Port Linkages'!$C$18:$C$157=$AP18)*('Port Linkages'!$D$18:$D$157=IF($AO18="Yes",$AQ18,$KK18))*('Port Linkages'!$A$18:$A$157&lt;=$C18))))</f>
        <v>MGO_Regular</v>
      </c>
      <c r="ABX18" s="75" t="str">
        <f t="array" ref="ABX18">INDEX('Port Linkages'!$AM$18:$AM$157,MATCH(2,1/(('Port Linkages'!$C$18:$C$157=$AP18)*('Port Linkages'!$D$18:$D$157=IF($AO18="Yes",$AQ18,$KK18))*('Port Linkages'!$A$18:$A$157&lt;=$C18))))</f>
        <v>Suez</v>
      </c>
      <c r="ABY18" s="75">
        <f t="array" ref="ABY18">INDEX('Port Linkages'!$AN$18:$AN$157,MATCH(2,1/(('Port Linkages'!$C$18:$C$157=$AP18)*('Port Linkages'!$D$18:$D$157=IF($AO18="Yes",$AQ18,$KK18))*('Port Linkages'!$A$18:$A$157&lt;=$C18))))</f>
        <v>8426</v>
      </c>
      <c r="ABZ18" s="75">
        <f t="array" ref="ABZ18">INDEX('Port Linkages'!$AO$18:$AO$157,MATCH(2,1/(('Port Linkages'!$C$18:$C$157=$AP18)*('Port Linkages'!$D$18:$D$157=IF($AO18="Yes",$AQ18,$KK18))*('Port Linkages'!$A$18:$A$157&lt;=$C18))))</f>
        <v>0</v>
      </c>
      <c r="ACA18" s="75" t="str">
        <f t="array" ref="ACA18">INDEX('Port Linkages'!$AP$18:$AP$157,MATCH(2,1/(('Port Linkages'!$C$18:$C$157=$AP18)*('Port Linkages'!$D$18:$D$157=IF($AO18="Yes",$AQ18,$KK18))*('Port Linkages'!$A$18:$A$157&lt;=$C18))))</f>
        <v>Capesize_General</v>
      </c>
      <c r="ACB18" s="75" t="str">
        <f t="array" ref="ACB18">INDEX('Port Linkages'!$AQ$18:$AQ$157,MATCH(2,1/(('Port Linkages'!$C$18:$C$157=$AP18)*('Port Linkages'!$D$18:$D$157=IF($AO18="Yes",$AQ18,$KK18))*('Port Linkages'!$A$18:$A$157&lt;=$C18))))</f>
        <v>Singapore</v>
      </c>
      <c r="ACC18" s="75" t="str">
        <f t="array" ref="ACC18">INDEX('Port Linkages'!$AR$18:$AR$157,MATCH(2,1/(('Port Linkages'!$C$18:$C$157=$AP18)*('Port Linkages'!$D$18:$D$157=IF($AO18="Yes",$AQ18,$KK18))*('Port Linkages'!$A$18:$A$157&lt;=$C18))))</f>
        <v>VLSFO</v>
      </c>
      <c r="ACD18" s="75" t="str">
        <f t="array" ref="ACD18">INDEX('Port Linkages'!$AS$18:$AS$157,MATCH(2,1/(('Port Linkages'!$C$18:$C$157=$AP18)*('Port Linkages'!$D$18:$D$157=IF($AO18="Yes",$AQ18,$KK18))*('Port Linkages'!$A$18:$A$157&lt;=$C18))))</f>
        <v>MGO_Regular</v>
      </c>
      <c r="ACE18" s="75" t="str">
        <f t="array" ref="ACE18">INDEX('Port Linkages'!$AT$18:$AT$157,MATCH(2,1/(('Port Linkages'!$C$18:$C$157=$AP18)*('Port Linkages'!$D$18:$D$157=IF($AO18="Yes",$AQ18,$KK18))*('Port Linkages'!$A$18:$A$157&lt;=$C18))))</f>
        <v>Suez</v>
      </c>
      <c r="ACF18" s="75">
        <f t="array" ref="ACF18">INDEX('Port Linkages'!$AU$18:$AU$157,MATCH(2,1/(('Port Linkages'!$C$18:$C$157=$AP18)*('Port Linkages'!$D$18:$D$157=IF($AO18="Yes",$AQ18,$KK18))*('Port Linkages'!$A$18:$A$157&lt;=$C18))))</f>
        <v>8426</v>
      </c>
      <c r="ACG18" s="75">
        <f t="array" ref="ACG18">INDEX('Port Linkages'!$AV$18:$AV$157,MATCH(2,1/(('Port Linkages'!$C$18:$C$157=$AP18)*('Port Linkages'!$D$18:$D$157=IF($AO18="Yes",$AQ18,$KK18))*('Port Linkages'!$A$18:$A$157&lt;=$C18))))</f>
        <v>0</v>
      </c>
      <c r="ACH18" s="75" t="str">
        <f t="array" ref="ACH18">INDEX('Port Linkages'!$AW$18:$AW$157,MATCH(2,1/(('Port Linkages'!$C$18:$C$157=$AP18)*('Port Linkages'!$D$18:$D$157=IF($AO18="Yes",$AQ18,$KK18))*('Port Linkages'!$A$18:$A$157&lt;=$C18))))</f>
        <v>Capesize_General</v>
      </c>
      <c r="ACI18" s="75" t="str">
        <f t="array" ref="ACI18">INDEX('Port Linkages'!$AX$18:$AX$157,MATCH(2,1/(('Port Linkages'!$C$18:$C$157=$AP18)*('Port Linkages'!$D$18:$D$157=IF($AO18="Yes",$AQ18,$KK18))*('Port Linkages'!$A$18:$A$157&lt;=$C18))))</f>
        <v>Singapore</v>
      </c>
      <c r="ACJ18" s="75" t="str">
        <f t="array" ref="ACJ18">INDEX('Port Linkages'!$AY$18:$AY$157,MATCH(2,1/(('Port Linkages'!$C$18:$C$157=$AP18)*('Port Linkages'!$D$18:$D$157=IF($AO18="Yes",$AQ18,$KK18))*('Port Linkages'!$A$18:$A$157&lt;=$C18))))</f>
        <v>VLSFO</v>
      </c>
      <c r="ACK18" s="75" t="str">
        <f t="array" ref="ACK18">INDEX('Port Linkages'!$AZ$18:$AZ$157,MATCH(2,1/(('Port Linkages'!$C$18:$C$157=$AP18)*('Port Linkages'!$D$18:$D$157=IF($AO18="Yes",$AQ18,$KK18))*('Port Linkages'!$A$18:$A$157&lt;=$C18))))</f>
        <v>MGO_Regular</v>
      </c>
      <c r="ACL18" s="75" t="str">
        <f t="array" ref="ACL18">INDEX('Port Linkages'!$BA$18:$BA$157,MATCH(2,1/(('Port Linkages'!$C$18:$C$157=$AP18)*('Port Linkages'!$D$18:$D$157=IF($AO18="Yes",$AQ18,$KK18))*('Port Linkages'!$A$18:$A$157&lt;=$C18))))</f>
        <v>Suez</v>
      </c>
      <c r="ACN18" s="25" t="e">
        <f t="array" aca="1" ref="ACN18" ca="1">INDEX('Ship Fuel Prices'!$F$5:$F$1004,MATCH(2,1/(('Ship Fuel Prices'!$E$5:$E$1004=_xlfn.IFS(AAC18="Handysize",Main!ACI18,AAC18="Supramax",ACB18,AAC18="Panamax",ABU18,AAC18="NeoPanamax",ABN18,AAC18="Suezmax",ABG18,AAC18="Capesize",AAZ18,AAC18="VLOC",AAS18))*('Ship Fuel Prices'!$D$5:$D$1004&lt;=Main!$C18))))</f>
        <v>#N/A</v>
      </c>
      <c r="ACO18" s="25" t="e">
        <f t="array" aca="1" ref="ACO18" ca="1">INDEX('Ship Fuel Prices'!$G$5:$G$1004,MATCH(2,1/(('Ship Fuel Prices'!$E$5:$E$1004=_xlfn.IFS(AAC18="Handysize",Main!ACI18,AAC18="Supramax",ACB18,AAC18="Panamax",ABU18,AAC18="NeoPanamax",ABN18,AAC18="Suezmax",ABG18,AAC18="Capesize",AAZ18,AAC18="VLOC",AAS18))*('Ship Fuel Prices'!$D$5:$D$1004&lt;=Main!$C18))))</f>
        <v>#N/A</v>
      </c>
      <c r="ACP18" s="25" t="e">
        <f t="array" aca="1" ref="ACP18" ca="1">INDEX('Ship Fuel Prices'!$H$5:$H$1004,MATCH(2,1/(('Ship Fuel Prices'!$E$5:$E$1004=_xlfn.IFS(AAC18="Handysize",Main!ACI18,AAC18="Supramax",ACB18,AAC18="Panamax",ABU18,AAC18="NeoPanamax",ABN18,AAC18="Suezmax",ABG18,AAC18="Capesize",AAZ18,AAC18="VLOC",AAS18))*('Ship Fuel Prices'!$D$5:$D$1004&lt;=Main!$C18))))</f>
        <v>#N/A</v>
      </c>
      <c r="ACQ18" s="25" t="e">
        <f t="array" aca="1" ref="ACQ18" ca="1">INDEX('Ship Fuel Prices'!$I$5:$I$1004,MATCH(2,1/(('Ship Fuel Prices'!$E$5:$E$1004=_xlfn.IFS(AAC18="Handysize",Main!ACI18,AAC18="Supramax",ACB18,AAC18="Panamax",ABU18,AAC18="NeoPanamax",ABN18,AAC18="Suezmax",ABG18,AAC18="Capesize",AAZ18,AAC18="VLOC",AAS18))*('Ship Fuel Prices'!$D$5:$D$1004&lt;=Main!$C18))))</f>
        <v>#N/A</v>
      </c>
      <c r="ACR18" s="25" t="e">
        <f t="array" aca="1" ref="ACR18" ca="1">INDEX('Ship Fuel Prices'!$J$5:$J$1004,MATCH(2,1/(('Ship Fuel Prices'!$E$5:$E$1004=_xlfn.IFS(AAC18="Handysize",Main!ACI18,AAC18="Supramax",ACB18,AAC18="Panamax",ABU18,AAC18="NeoPanamax",ABN18,AAC18="Suezmax",ABG18,AAC18="Capesize",AAZ18,AAC18="VLOC",AAS18))*('Ship Fuel Prices'!$D$5:$D$1004&lt;=Main!$C18))))</f>
        <v>#N/A</v>
      </c>
      <c r="ACT18" s="75">
        <f t="array" ref="ACT18">INDEX('China n Importing Ports'!$E$20:$E$41,MATCH(2,1/(('China n Importing Ports'!$D$20:$D$41&lt;=$C18)*('China n Importing Ports'!$C$20:$C$41=IF($AO18="Yes",$AQ18,$KK18)))))</f>
        <v>42500</v>
      </c>
      <c r="ACU18" s="75">
        <f t="array" ref="ACU18">INDEX('China n Importing Ports'!$F$20:$F$41,MATCH(2,1/(('China n Importing Ports'!$D$20:$D$41&lt;=$C18)*('China n Importing Ports'!$C$20:$C$41=IF($AO18="Yes",$AQ18,$KK18)))))</f>
        <v>42500</v>
      </c>
      <c r="ACV18" s="75">
        <f t="array" ref="ACV18">INDEX('China n Importing Ports'!$G$20:$G$41,MATCH(2,1/(('China n Importing Ports'!$D$20:$D$41&lt;=$C18)*('China n Importing Ports'!$C$20:$C$41=IF($AO18="Yes",$AQ18,$KK18)))))</f>
        <v>42500</v>
      </c>
      <c r="ACW18" s="75">
        <f t="array" ref="ACW18">INDEX('China n Importing Ports'!$H$20:$H$41,MATCH(2,1/(('China n Importing Ports'!$D$20:$D$41&lt;=$C18)*('China n Importing Ports'!$C$20:$C$41=IF($AO18="Yes",$AQ18,$KK18)))))</f>
        <v>42500</v>
      </c>
      <c r="ACX18" s="75">
        <f t="array" ref="ACX18">INDEX('China n Importing Ports'!$I$20:$I$41,MATCH(2,1/(('China n Importing Ports'!$D$20:$D$41&lt;=$C18)*('China n Importing Ports'!$C$20:$C$41=IF($AO18="Yes",$AQ18,$KK18)))))</f>
        <v>42500</v>
      </c>
      <c r="ACY18" s="75">
        <f t="array" ref="ACY18">INDEX('China n Importing Ports'!$J$20:$J$41,MATCH(2,1/(('China n Importing Ports'!$D$20:$D$41&lt;=$C18)*('China n Importing Ports'!$C$20:$C$41=IF($AO18="Yes",$AQ18,$KK18)))))</f>
        <v>42500</v>
      </c>
      <c r="ACZ18" s="75">
        <f t="array" ref="ACZ18">INDEX('China n Importing Ports'!$K$20:$K$41,MATCH(2,1/(('China n Importing Ports'!$D$20:$D$41&lt;=$C18)*('China n Importing Ports'!$C$20:$C$41=IF($AO18="Yes",$AQ18,$KK18)))))</f>
        <v>42500</v>
      </c>
      <c r="ADA18" s="75" t="str">
        <f t="array" ref="ADA18">INDEX('China n Importing Ports'!$L$20:$L$41,MATCH(2,1/(('China n Importing Ports'!$D$20:$D$41&lt;=$C18)*('China n Importing Ports'!$C$20:$C$41=IF($AO18="Yes",$AQ18,$KK18)))))</f>
        <v>RMB</v>
      </c>
      <c r="ADB18" s="75">
        <f t="array" ref="ADB18">INDEX('China n Importing Ports'!$M$20:$M$41,MATCH(2,1/(('China n Importing Ports'!$D$20:$D$41&lt;=$C18)*('China n Importing Ports'!$C$20:$C$41=IF($AO18="Yes",$AQ18,$KK18)))))</f>
        <v>12342</v>
      </c>
      <c r="ADC18" s="75">
        <f t="array" ref="ADC18">INDEX('China n Importing Ports'!$N$20:$N$41,MATCH(2,1/(('China n Importing Ports'!$D$20:$D$41&lt;=$C18)*('China n Importing Ports'!$C$20:$C$41=IF($AO18="Yes",$AQ18,$KK18)))))</f>
        <v>0</v>
      </c>
      <c r="ADD18" s="75">
        <f t="array" ref="ADD18">INDEX('China n Importing Ports'!$O$20:$O$41,MATCH(2,1/(('China n Importing Ports'!$D$20:$D$41&lt;=$C18)*('China n Importing Ports'!$C$20:$C$41=IF($AO18="Yes",$AQ18,$KK18)))))</f>
        <v>0</v>
      </c>
      <c r="ADE18" s="136">
        <f t="array" ref="ADE18">INDEX('China n Importing Ports'!$P$20:$P$41,MATCH(2,1/(('China n Importing Ports'!$D$20:$D$41&lt;=$C18)*('China n Importing Ports'!$C$20:$C$41=IF($AO18="Yes",$AQ18,$KK18)))))</f>
        <v>2.64</v>
      </c>
      <c r="ADF18" s="136">
        <f t="array" ref="ADF18">INDEX('China n Importing Ports'!$Q$20:$Q$41,MATCH(2,1/(('China n Importing Ports'!$D$20:$D$41&lt;=$C18)*('China n Importing Ports'!$C$20:$C$41=IF($AO18="Yes",$AQ18,$KK18)))))</f>
        <v>0</v>
      </c>
      <c r="ADG18" s="136">
        <f t="array" ref="ADG18">INDEX('China n Importing Ports'!$R$20:$R$41,MATCH(2,1/(('China n Importing Ports'!$D$20:$D$41&lt;=$C18)*('China n Importing Ports'!$C$20:$C$41=IF($AO18="Yes",$AQ18,$KK18)))))</f>
        <v>0</v>
      </c>
      <c r="ADH18" s="136">
        <f t="array" ref="ADH18">INDEX('China n Importing Ports'!$S$20:$S$41,MATCH(2,1/(('China n Importing Ports'!$D$20:$D$41&lt;=$C18)*('China n Importing Ports'!$C$20:$C$41=IF($AO18="Yes",$AQ18,$KK18)))))</f>
        <v>4.53</v>
      </c>
      <c r="ADI18" s="136">
        <f t="array" ref="ADI18">INDEX('China n Importing Ports'!$T$20:$T$41,MATCH(2,1/(('China n Importing Ports'!$D$20:$D$41&lt;=$C18)*('China n Importing Ports'!$C$20:$C$41=IF($AO18="Yes",$AQ18,$KK18)))))</f>
        <v>0.36699999999999999</v>
      </c>
      <c r="ADJ18" s="136">
        <f t="array" ref="ADJ18">INDEX('China n Importing Ports'!$U$20:$U$41,MATCH(2,1/(('China n Importing Ports'!$D$20:$D$41&lt;=$C18)*('China n Importing Ports'!$C$20:$C$41=IF($AO18="Yes",$AQ18,$KK18)))))</f>
        <v>0.05</v>
      </c>
      <c r="ADK18" s="136">
        <f t="array" ref="ADK18">INDEX('China n Importing Ports'!$V$20:$V$41,MATCH(2,1/(('China n Importing Ports'!$D$20:$D$41&lt;=$C18)*('China n Importing Ports'!$C$20:$C$41=IF($AO18="Yes",$AQ18,$KK18)))))</f>
        <v>0</v>
      </c>
      <c r="ADL18" s="136">
        <f t="array" ref="ADL18">INDEX('China n Importing Ports'!$W$20:$W$41,MATCH(2,1/(('China n Importing Ports'!$D$20:$D$41&lt;=$C18)*('China n Importing Ports'!$C$20:$C$41=IF($AO18="Yes",$AQ18,$KK18)))))</f>
        <v>0</v>
      </c>
      <c r="ADM18" s="136">
        <f t="array" ref="ADM18">INDEX('China n Importing Ports'!$X$20:$X$41,MATCH(2,1/(('China n Importing Ports'!$D$20:$D$41&lt;=$C18)*('China n Importing Ports'!$C$20:$C$41=IF($AO18="Yes",$AQ18,$KK18)))))</f>
        <v>0</v>
      </c>
      <c r="ADN18" s="136">
        <f t="array" ref="ADN18">INDEX('China n Importing Ports'!$Y$20:$Y$41,MATCH(2,1/(('China n Importing Ports'!$D$20:$D$41&lt;=$C18)*('China n Importing Ports'!$C$20:$C$41=IF($AO18="Yes",$AQ18,$KK18)))))</f>
        <v>197</v>
      </c>
      <c r="ADO18" s="136">
        <f t="array" ref="ADO18">INDEX('China n Importing Ports'!$Z$20:$Z$41,MATCH(2,1/(('China n Importing Ports'!$D$20:$D$41&lt;=$C18)*('China n Importing Ports'!$C$20:$C$41=IF($AO18="Yes",$AQ18,$KK18)))))</f>
        <v>0</v>
      </c>
      <c r="ADP18" s="136">
        <f t="array" ref="ADP18">INDEX('China n Importing Ports'!$AA$20:$AA$41,MATCH(2,1/(('China n Importing Ports'!$D$20:$D$41&lt;=$C18)*('China n Importing Ports'!$C$20:$C$41=IF($AO18="Yes",$AQ18,$KK18)))))</f>
        <v>0</v>
      </c>
      <c r="ADR18" s="75" t="e">
        <f t="array" aca="1" ref="ADR18" ca="1">INDEX(Canals!$G$24:$G$29,MATCH(2,1/((Canals!$F$24:$F$29&lt;=$C18)*(Canals!$G$24:$G$29=_xlfn.IFS(AAC18="Handysize",Main!ACL18,AAC18="Supramax",ACE18,AAC18="Panamax",ABX18,AAC18="NeoPanamax",ABQ18,AAC18="Suezmax",ABJ18,AAC18="Capesize",ABC18,AAC18="VLOC",AAV18)))))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S18" s="75" t="e">
        <f t="array" aca="1" ref="ADS18" ca="1">INDEX(Canals!$H$24:$H$29,MATCH(2,1/((Canals!$F$24:$F$29&lt;=$C18)*(Canals!$G$24:$G$29=_xlfn.IFS(AAC18="Handysize",Main!ACL18,AAC18="Supramax",ACE18,AAC18="Panamax",ABX18,AAC18="NeoPanamax",ABQ18,AAC18="Suezmax",ABJ18,AAC18="Capesize",ABC18,AAC18="VLOC",AAV18)))))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T18" s="75" t="e">
        <f t="array" aca="1" ref="ADT18" ca="1">INDEX(Canals!$I$24:$I$29,MATCH(2,1/((Canals!$F$24:$F$29&lt;=$C18)*(Canals!$G$24:$G$29=_xlfn.IFS(AAC18="Handysize",Main!ACL18,AAC18="Supramax",ACE18,AAC18="Panamax",ABX18,AAC18="NeoPanamax",ABQ18,AAC18="Suezmax",ABJ18,AAC18="Capesize",ABC18,AAC18="VLOC",AAV18)))))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U18" s="75" t="e">
        <f t="array" aca="1" ref="ADU18" ca="1">INDEX(Canals!$J$24:$J$29,MATCH(2,1/((Canals!$F$24:$F$29&lt;=$C18)*(Canals!$G$24:$G$29=_xlfn.IFS(AAC18="Handysize",Main!ACL18,AAC18="Supramax",ACE18,AAC18="Panamax",ABX18,AAC18="NeoPanamax",ABQ18,AAC18="Suezmax",ABJ18,AAC18="Capesize",ABC18,AAC18="VLOC",AAV18)))))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V18" s="75" t="e">
        <f t="array" aca="1" ref="ADV18" ca="1">INDEX(Canals!$K$24:$K$29,MATCH(2,1/((Canals!$F$24:$F$29&lt;=$C18)*(Canals!$G$24:$G$29=_xlfn.IFS(AAC18="Handysize",Main!ACL18,AAC18="Supramax",ACE18,AAC18="Panamax",ABX18,AAC18="NeoPanamax",ABQ18,AAC18="Suezmax",ABJ18,AAC18="Capesize",ABC18,AAC18="VLOC",AAV18)))))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W18" s="75" t="e">
        <f t="array" aca="1" ref="ADW18" ca="1">INDEX(Canals!$L$24:$L$29,MATCH(2,1/((Canals!$F$24:$F$29&lt;=$C18)*(Canals!$G$24:$G$29=_xlfn.IFS(AAC18="Handysize",Main!ACL18,AAC18="Supramax",ACE18,AAC18="Panamax",ABX18,AAC18="NeoPanamax",ABQ18,AAC18="Suezmax",ABJ18,AAC18="Capesize",ABC18,AAC18="VLOC",AAV18)))))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X18" s="75" t="e">
        <f t="array" aca="1" ref="ADX18" ca="1">INDEX(Canals!$M$24:$M$29,MATCH(2,1/((Canals!$F$24:$F$29&lt;=$C18)*(Canals!$G$24:$G$29=_xlfn.IFS(AAC18="Handysize",Main!ACL18,AAC18="Supramax",ACE18,AAC18="Panamax",ABX18,AAC18="NeoPanamax",ABQ18,AAC18="Suezmax",ABJ18,AAC18="Capesize",ABC18,AAC18="VLOC",AAV18)))))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Y18" s="75" t="e">
        <f t="array" aca="1" ref="ADY18" ca="1">INDEX(Canals!$N$24:$N$29,MATCH(2,1/((Canals!$F$24:$F$29&lt;=$C18)*(Canals!$G$24:$G$29=_xlfn.IFS(AAC18="Handysize",Main!ACL18,AAC18="Supramax",ACE18,AAC18="Panamax",ABX18,AAC18="NeoPanamax",ABQ18,AAC18="Suezmax",ABJ18,AAC18="Capesize",ABC18,AAC18="VLOC",AAV18)))))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DZ18" s="75" t="e">
        <f t="array" aca="1" ref="ADZ18" ca="1">INDEX(Canals!$O$24:$O$29,MATCH(2,1/((Canals!$F$24:$F$29&lt;=$C18)*(Canals!$G$24:$G$29=_xlfn.IFS(AAC18="Handysize",Main!ACL18,AAC18="Supramax",ACE18,AAC18="Panamax",ABX18,AAC18="NeoPanamax",ABQ18,AAC18="Suezmax",ABJ18,AAC18="Capesize",ABC18,AAC18="VLOC",AAV18)))))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A18" s="75" t="e">
        <f t="array" aca="1" ref="AEA18" ca="1">INDEX(Canals!$P$24:$P$29,MATCH(2,1/((Canals!$F$24:$F$29&lt;=$C18)*(Canals!$G$24:$G$29=_xlfn.IFS(AAC18="Handysize",Main!ACL18,AAC18="Supramax",ACE18,AAC18="Panamax",ABX18,AAC18="NeoPanamax",ABQ18,AAC18="Suezmax",ABJ18,AAC18="Capesize",ABC18,AAC18="VLOC",AAV18)))))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B18" s="75" t="e">
        <f t="array" aca="1" ref="AEB18" ca="1">INDEX(Canals!$Q$24:$Q$29,MATCH(2,1/((Canals!$F$24:$F$29&lt;=$C18)*(Canals!$G$24:$G$29=_xlfn.IFS(AAC18="Handysize",Main!ACL18,AAC18="Supramax",ACE18,AAC18="Panamax",ABX18,AAC18="NeoPanamax",ABQ18,AAC18="Suezmax",ABJ18,AAC18="Capesize",ABC18,AAC18="VLOC",AAV18)))))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C18" s="75" t="e">
        <f t="array" aca="1" ref="AEC18" ca="1">INDEX(Canals!$R$24:$R$29,MATCH(2,1/((Canals!$F$24:$F$29&lt;=$C18)*(Canals!$G$24:$G$29=_xlfn.IFS(AAC18="Handysize",Main!ACL18,AAC18="Supramax",ACE18,AAC18="Panamax",ABX18,AAC18="NeoPanamax",ABQ18,AAC18="Suezmax",ABJ18,AAC18="Capesize",ABC18,AAC18="VLOC",AAV18)))))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D18" s="136" t="e">
        <f t="array" aca="1" ref="AED18" ca="1">INDEX(Canals!$S$24:$S$29,MATCH(2,1/((Canals!$F$24:$F$29&lt;=$C18)*(Canals!$G$24:$G$29=_xlfn.IFS(AAC18="Handysize",Main!ACL18,AAC18="Supramax",ACE18,AAC18="Panamax",ABX18,AAC18="NeoPanamax",ABQ18,AAC18="Suezmax",ABJ18,AAC18="Capesize",ABC18,AAC18="VLOC",AAV18)))))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E18" s="136" t="e">
        <f t="array" aca="1" ref="AEE18" ca="1">INDEX(Canals!$T$24:$T$29,MATCH(2,1/((Canals!$F$24:$F$29&lt;=$C18)*(Canals!$G$24:$G$29=_xlfn.IFS(AAC18="Handysize",Main!ACL18,AAC18="Supramax",ACE18,AAC18="Panamax",ABX18,AAC18="NeoPanamax",ABQ18,AAC18="Suezmax",ABJ18,AAC18="Capesize",ABC18,AAC18="VLOC",AAV18)))))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F18" s="136" t="e">
        <f t="array" aca="1" ref="AEF18" ca="1">INDEX(Canals!$U$24:$U$29,MATCH(2,1/((Canals!$F$24:$F$29&lt;=$C18)*(Canals!$G$24:$G$29=_xlfn.IFS(AAC18="Handysize",Main!ACL18,AAC18="Supramax",ACE18,AAC18="Panamax",ABX18,AAC18="NeoPanamax",ABQ18,AAC18="Suezmax",ABJ18,AAC18="Capesize",ABC18,AAC18="VLOC",AAV18)))))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G18" s="136" t="e">
        <f t="array" aca="1" ref="AEG18" ca="1">INDEX(Canals!$V$24:$V$29,MATCH(2,1/((Canals!$F$24:$F$29&lt;=$C18)*(Canals!$G$24:$G$29=_xlfn.IFS(AAC18="Handysize",Main!ACL18,AAC18="Supramax",ACE18,AAC18="Panamax",ABX18,AAC18="NeoPanamax",ABQ18,AAC18="Suezmax",ABJ18,AAC18="Capesize",ABC18,AAC18="VLOC",AAV18)))))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H18" s="136" t="e">
        <f t="array" aca="1" ref="AEH18" ca="1">INDEX(Canals!$W$24:$W$29,MATCH(2,1/((Canals!$F$24:$F$29&lt;=$C18)*(Canals!$G$24:$G$29=_xlfn.IFS(AAC18="Handysize",Main!ACL18,AAC18="Supramax",ACE18,AAC18="Panamax",ABX18,AAC18="NeoPanamax",ABQ18,AAC18="Suezmax",ABJ18,AAC18="Capesize",ABC18,AAC18="VLOC",AAV18)))))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I18" s="136" t="e">
        <f t="array" aca="1" ref="AEI18" ca="1">INDEX(Canals!$X$24:$X$29,MATCH(2,1/((Canals!$F$24:$F$29&lt;=$C18)*(Canals!$G$24:$G$29=_xlfn.IFS(AAC18="Handysize",Main!ACL18,AAC18="Supramax",ACE18,AAC18="Panamax",ABX18,AAC18="NeoPanamax",ABQ18,AAC18="Suezmax",ABJ18,AAC18="Capesize",ABC18,AAC18="VLOC",AAV18)))))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J18" s="136" t="e">
        <f t="array" aca="1" ref="AEJ18" ca="1">INDEX(Canals!$Y$24:$Y$29,MATCH(2,1/((Canals!$F$24:$F$29&lt;=$C18)*(Canals!$G$24:$G$29=_xlfn.IFS(AAC18="Handysize",Main!ACL18,AAC18="Supramax",ACE18,AAC18="Panamax",ABX18,AAC18="NeoPanamax",ABQ18,AAC18="Suezmax",ABJ18,AAC18="Capesize",ABC18,AAC18="VLOC",AAV18)))))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K18" s="136" t="e">
        <f t="array" aca="1" ref="AEK18" ca="1">INDEX(Canals!$Z$24:$Z$29,MATCH(2,1/((Canals!$F$24:$F$29&lt;=$C18)*(Canals!$G$24:$G$29=_xlfn.IFS(AAC18="Handysize",Main!ACL18,AAC18="Supramax",ACE18,AAC18="Panamax",ABX18,AAC18="NeoPanamax",ABQ18,AAC18="Suezmax",ABJ18,AAC18="Capesize",ABC18,AAC18="VLOC",AAV18)))))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L18" s="136" t="e">
        <f t="array" aca="1" ref="AEL18" ca="1">INDEX(Canals!$AA$24:$AA$29,MATCH(2,1/((Canals!$F$24:$F$29&lt;=$C18)*(Canals!$G$24:$G$29=_xlfn.IFS(AAC18="Handysize",Main!ACL18,AAC18="Supramax",ACE18,AAC18="Panamax",ABX18,AAC18="NeoPanamax",ABQ18,AAC18="Suezmax",ABJ18,AAC18="Capesize",ABC18,AAC18="VLOC",AAV18)))))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M18" s="136" t="e">
        <f t="array" aca="1" ref="AEM18" ca="1">INDEX(Canals!$AB$24:$AB$29,MATCH(2,1/((Canals!$F$24:$F$29&lt;=$C18)*(Canals!$G$24:$G$29=_xlfn.IFS(AAC18="Handysize",Main!ACL18,AAC18="Supramax",ACE18,AAC18="Panamax",ABX18,AAC18="NeoPanamax",ABQ18,AAC18="Suezmax",ABJ18,AAC18="Capesize",ABC18,AAC18="VLOC",AAV18)))))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N18" s="75" t="e">
        <f t="array" aca="1" ref="AEN18" ca="1">INDEX(Canals!$AC$24:$AC$29,MATCH(2,1/((Canals!$F$24:$F$29&lt;=$C18)*(Canals!$G$24:$G$29=_xlfn.IFS(AAC18="Handysize",Main!ACL18,AAC18="Supramax",ACE18,AAC18="Panamax",ABX18,AAC18="NeoPanamax",ABQ18,AAC18="Suezmax",ABJ18,AAC18="Capesize",ABC18,AAC18="VLOC",AAV18)))))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O18" s="75" t="e">
        <f t="array" aca="1" ref="AEO18" ca="1">INDEX(Canals!$AD$24:$AD$29,MATCH(2,1/((Canals!$F$24:$F$29&lt;=$C18)*(Canals!$G$24:$G$29=_xlfn.IFS(AAC18="Handysize",Main!ACL18,AAC18="Supramax",ACE18,AAC18="Panamax",ABX18,AAC18="NeoPanamax",ABQ18,AAC18="Suezmax",ABJ18,AAC18="Capesize",ABC18,AAC18="VLOC",AAV18)))))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P18" s="75" t="e">
        <f t="array" aca="1" ref="AEP18" ca="1">INDEX(Canals!$AE$24:$AE$29,MATCH(2,1/((Canals!$F$24:$F$29&lt;=$C18)*(Canals!$G$24:$G$29=_xlfn.IFS(AAC18="Handysize",Main!ACL18,AAC18="Supramax",ACE18,AAC18="Panamax",ABX18,AAC18="NeoPanamax",ABQ18,AAC18="Suezmax",ABJ18,AAC18="Capesize",ABC18,AAC18="VLOC",AAV18)))))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Q18" s="75" t="e">
        <f t="array" aca="1" ref="AEQ18" ca="1">INDEX(Canals!$AF$24:$AF$29,MATCH(2,1/((Canals!$F$24:$F$29&lt;=$C18)*(Canals!$G$24:$G$29=_xlfn.IFS(AAC18="Handysize",Main!ACL18,AAC18="Supramax",ACE18,AAC18="Panamax",ABX18,AAC18="NeoPanamax",ABQ18,AAC18="Suezmax",ABJ18,AAC18="Capesize",ABC18,AAC18="VLOC",AAV18)))))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R18" s="75" t="e">
        <f t="array" aca="1" ref="AER18" ca="1">INDEX(Canals!$AG$24:$AG$29,MATCH(2,1/((Canals!$F$24:$F$29&lt;=$C18)*(Canals!$G$24:$G$29=_xlfn.IFS(AAC18="Handysize",Main!ACL18,AAC18="Supramax",ACE18,AAC18="Panamax",ABX18,AAC18="NeoPanamax",ABQ18,AAC18="Suezmax",ABJ18,AAC18="Capesize",ABC18,AAC18="VLOC",AAV18)))))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S18" s="75" t="e">
        <f t="array" aca="1" ref="AES18" ca="1">INDEX(Canals!$AH$24:$AH$29,MATCH(2,1/((Canals!$F$24:$F$29&lt;=$C18)*(Canals!$G$24:$G$29=_xlfn.IFS(AAC18="Handysize",Main!ACL18,AAC18="Supramax",ACE18,AAC18="Panamax",ABX18,AAC18="NeoPanamax",ABQ18,AAC18="Suezmax",ABJ18,AAC18="Capesize",ABC18,AAC18="VLOC",AAV18)))))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T18" s="75" t="e">
        <f t="array" aca="1" ref="AET18" ca="1">INDEX(Canals!$AI$24:$AI$29,MATCH(2,1/((Canals!$F$24:$F$29&lt;=$C18)*(Canals!$G$24:$G$29=_xlfn.IFS(AAC18="Handysize",Main!ACL18,AAC18="Supramax",ACE18,AAC18="Panamax",ABX18,AAC18="NeoPanamax",ABQ18,AAC18="Suezmax",ABJ18,AAC18="Capesize",ABC18,AAC18="VLOC",AAV18)))))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U18" s="75" t="e">
        <f t="array" aca="1" ref="AEU18" ca="1">INDEX(Canals!$AJ$24:$AJ$29,MATCH(2,1/((Canals!$F$24:$F$29&lt;=$C18)*(Canals!$G$24:$G$29=_xlfn.IFS(AAC18="Handysize",Main!ACL18,AAC18="Supramax",ACE18,AAC18="Panamax",ABX18,AAC18="NeoPanamax",ABQ18,AAC18="Suezmax",ABJ18,AAC18="Capesize",ABC18,AAC18="VLOC",AAV18)))))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V18" s="75" t="e">
        <f t="array" aca="1" ref="AEV18" ca="1">INDEX(Canals!$AK$24:$AK$29,MATCH(2,1/((Canals!$F$24:$F$29&lt;=$C18)*(Canals!$G$24:$G$29=_xlfn.IFS(AAC18="Handysize",Main!ACL18,AAC18="Supramax",ACE18,AAC18="Panamax",ABX18,AAC18="NeoPanamax",ABQ18,AAC18="Suezmax",ABJ18,AAC18="Capesize",ABC18,AAC18="VLOC",AAV18)))))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W18" s="136" t="e">
        <f t="array" aca="1" ref="AEW18" ca="1">INDEX(Canals!$AL$24:$AL$29,MATCH(2,1/((Canals!$F$24:$F$29&lt;=$C18)*(Canals!$G$24:$G$29=_xlfn.IFS(AAC18="Handysize",Main!ACL18,AAC18="Supramax",ACE18,AAC18="Panamax",ABX18,AAC18="NeoPanamax",ABQ18,AAC18="Suezmax",ABJ18,AAC18="Capesize",ABC18,AAC18="VLOC",AAV18)))))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X18" s="136" t="e">
        <f t="array" aca="1" ref="AEX18" ca="1">INDEX(Canals!$AM$24:$AM$29,MATCH(2,1/((Canals!$F$24:$F$29&lt;=$C18)*(Canals!$G$24:$G$29=_xlfn.IFS(AAC18="Handysize",Main!ACL18,AAC18="Supramax",ACE18,AAC18="Panamax",ABX18,AAC18="NeoPanamax",ABQ18,AAC18="Suezmax",ABJ18,AAC18="Capesize",ABC18,AAC18="VLOC",AAV18)))))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Y18" s="136" t="e">
        <f t="array" aca="1" ref="AEY18" ca="1">INDEX(Canals!$AN$24:$AN$29,MATCH(2,1/((Canals!$F$24:$F$29&lt;=$C18)*(Canals!$G$24:$G$29=_xlfn.IFS(AAC18="Handysize",Main!ACL18,AAC18="Supramax",ACE18,AAC18="Panamax",ABX18,AAC18="NeoPanamax",ABQ18,AAC18="Suezmax",ABJ18,AAC18="Capesize",ABC18,AAC18="VLOC",AAV18)))))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EZ18" s="136" t="e">
        <f t="array" aca="1" ref="AEZ18" ca="1">INDEX(Canals!$AO$24:$AO$29,MATCH(2,1/((Canals!$F$24:$F$29&lt;=$C18)*(Canals!$G$24:$G$29=_xlfn.IFS(AAC18="Handysize",Main!ACL18,AAC18="Supramax",ACE18,AAC18="Panamax",ABX18,AAC18="NeoPanamax",ABQ18,AAC18="Suezmax",ABJ18,AAC18="Capesize",ABC18,AAC18="VLOC",AAV18)))))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A18" s="136" t="e">
        <f t="array" aca="1" ref="AFA18" ca="1">INDEX(Canals!$AP$24:$AP$29,MATCH(2,1/((Canals!$F$24:$F$29&lt;=$C18)*(Canals!$G$24:$G$29=_xlfn.IFS(AAC18="Handysize",Main!ACL18,AAC18="Supramax",ACE18,AAC18="Panamax",ABX18,AAC18="NeoPanamax",ABQ18,AAC18="Suezmax",ABJ18,AAC18="Capesize",ABC18,AAC18="VLOC",AAV18)))))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B18" s="136" t="e">
        <f t="array" aca="1" ref="AFB18" ca="1">INDEX(Canals!$AQ$24:$AQ$29,MATCH(2,1/((Canals!$F$24:$F$29&lt;=$C18)*(Canals!$G$24:$G$29=_xlfn.IFS(AAC18="Handysize",Main!ACL18,AAC18="Supramax",ACE18,AAC18="Panamax",ABX18,AAC18="NeoPanamax",ABQ18,AAC18="Suezmax",ABJ18,AAC18="Capesize",ABC18,AAC18="VLOC",AAV18)))))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C18" s="136" t="e">
        <f t="array" aca="1" ref="AFC18" ca="1">INDEX(Canals!$AR$24:$AR$29,MATCH(2,1/((Canals!$F$24:$F$29&lt;=$C18)*(Canals!$G$24:$G$29=_xlfn.IFS(AAC18="Handysize",Main!ACL18,AAC18="Supramax",ACE18,AAC18="Panamax",ABX18,AAC18="NeoPanamax",ABQ18,AAC18="Suezmax",ABJ18,AAC18="Capesize",ABC18,AAC18="VLOC",AAV18)))))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D18" s="136" t="e">
        <f t="array" aca="1" ref="AFD18" ca="1">INDEX(Canals!$AS$24:$AS$29,MATCH(2,1/((Canals!$F$24:$F$29&lt;=$C18)*(Canals!$G$24:$G$29=_xlfn.IFS(AAC18="Handysize",Main!ACL18,AAC18="Supramax",ACE18,AAC18="Panamax",ABX18,AAC18="NeoPanamax",ABQ18,AAC18="Suezmax",ABJ18,AAC18="Capesize",ABC18,AAC18="VLOC",AAV18)))))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E18" s="136" t="e">
        <f t="array" aca="1" ref="AFE18" ca="1">INDEX(Canals!$AT$24:$AT$29,MATCH(2,1/((Canals!$F$24:$F$29&lt;=$C18)*(Canals!$G$24:$G$29=_xlfn.IFS(AAC18="Handysize",Main!ACL18,AAC18="Supramax",ACE18,AAC18="Panamax",ABX18,AAC18="NeoPanamax",ABQ18,AAC18="Suezmax",ABJ18,AAC18="Capesize",ABC18,AAC18="VLOC",AAV18)))))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F18" s="136" t="e">
        <f t="array" aca="1" ref="AFF18" ca="1">INDEX(Canals!$AU$24:$AU$29,MATCH(2,1/((Canals!$F$24:$F$29&lt;=$C18)*(Canals!$G$24:$G$29=_xlfn.IFS(AAC18="Handysize",Main!ACL18,AAC18="Supramax",ACE18,AAC18="Panamax",ABX18,AAC18="NeoPanamax",ABQ18,AAC18="Suezmax",ABJ18,AAC18="Capesize",ABC18,AAC18="VLOC",AAV18)))))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G18" s="136" t="e">
        <f t="array" aca="1" ref="AFG18" ca="1">INDEX(Canals!$AV$24:$AV$29,MATCH(2,1/((Canals!$F$24:$F$29&lt;=$C18)*(Canals!$G$24:$G$29=_xlfn.IFS(AAC18="Handysize",Main!ACL18,AAC18="Supramax",ACE18,AAC18="Panamax",ABX18,AAC18="NeoPanamax",ABQ18,AAC18="Suezmax",ABJ18,AAC18="Capesize",ABC18,AAC18="VLOC",AAV18)))))</f>
        <v>#N/A</v>
      </c>
      <c r="AFI18" s="75" t="e">
        <f t="array" aca="1" ref="AFI18" ca="1">_xlfn.IFS(ADT18="DWT",AAA18,ADT18="NRT",AAE18,ADT18="GRT",AAF18)</f>
        <v>#NAME?</v>
      </c>
      <c r="AFJ18" s="279" t="e">
        <f t="shared" ca="1" si="176"/>
        <v>#NAME?</v>
      </c>
      <c r="AFK18" s="280" t="e">
        <f t="shared" ca="1" si="177"/>
        <v>#NAME?</v>
      </c>
      <c r="AFL18" s="280" t="e">
        <f t="shared" ca="1" si="178"/>
        <v>#NAME?</v>
      </c>
      <c r="AFM18" s="280" t="e">
        <f t="shared" ca="1" si="179"/>
        <v>#NAME?</v>
      </c>
      <c r="AFN18" s="280" t="e">
        <f t="shared" ca="1" si="180"/>
        <v>#NAME?</v>
      </c>
      <c r="AFO18" s="280" t="e">
        <f t="shared" ca="1" si="181"/>
        <v>#NAME?</v>
      </c>
      <c r="AFP18" s="280" t="e">
        <f t="shared" ca="1" si="182"/>
        <v>#NAME?</v>
      </c>
      <c r="AFQ18" s="280" t="e">
        <f t="shared" ca="1" si="183"/>
        <v>#NAME?</v>
      </c>
      <c r="AFR18" s="280" t="e">
        <f t="shared" ca="1" si="184"/>
        <v>#NAME?</v>
      </c>
      <c r="AFS18" s="75">
        <f t="shared" si="185"/>
        <v>81900</v>
      </c>
      <c r="AFT18" s="279" t="e">
        <f t="shared" ca="1" si="186"/>
        <v>#N/A</v>
      </c>
      <c r="AFU18" s="280" t="e">
        <f t="shared" ca="1" si="187"/>
        <v>#N/A</v>
      </c>
      <c r="AFV18" s="280" t="e">
        <f t="shared" ca="1" si="188"/>
        <v>#N/A</v>
      </c>
      <c r="AFW18" s="280" t="e">
        <f t="shared" ca="1" si="189"/>
        <v>#N/A</v>
      </c>
      <c r="AFX18" s="280" t="e">
        <f t="shared" ca="1" si="190"/>
        <v>#N/A</v>
      </c>
      <c r="AFY18" s="280" t="e">
        <f t="shared" ca="1" si="191"/>
        <v>#N/A</v>
      </c>
      <c r="AFZ18" s="280" t="e">
        <f t="shared" ca="1" si="192"/>
        <v>#N/A</v>
      </c>
      <c r="AGA18" s="280" t="e">
        <f t="shared" ca="1" si="193"/>
        <v>#N/A</v>
      </c>
      <c r="AGB18" s="280" t="e">
        <f t="shared" ca="1" si="194"/>
        <v>#N/A</v>
      </c>
      <c r="AGD18" s="75" t="e">
        <f t="array" aca="1" ref="AGD18" ca="1">_xlfn.IFS(AAC18="Handysize",Main!ACF18,AAC18="Supramax",ABY18,AAC18="Panamax",ABR18,AAC18="NeoPanamax",ABK18,AAC18="Suezmax",ABD18,AAC18="Capesize",AAW18,AAC18="VLOC",AAP18)*$JI18</f>
        <v>#NAME?</v>
      </c>
      <c r="AGE18" s="274" t="e">
        <f t="array" aca="1" ref="AGE18" ca="1">_xlfn.IFS(AAC18="Handysize",Main!ACG18,AAC18="Supramax",ABZ18,AAC18="Panamax",ABS18,AAC18="NeoPanamax",ABL18,AAC18="Suezmax",ABE18,AAC18="Capesize",AAX18,AAC18="VLOC",AAQ18)*$JI18</f>
        <v>#NAME?</v>
      </c>
      <c r="AGF18" s="71" t="e">
        <f t="array" aca="1" ref="AGF18" ca="1">_xlfn.IFS(AAC18="Handysize",Main!AAH18,AAC18="Supramax",AAI18,AAC18="Panamax",AAJ18,AAC18="NeoPanamax",AAK18,AAC18="Suezmax",AAL18,AAC18="Capesize",AAM18,AAC18="VLOC",AAN18)</f>
        <v>#NAME?</v>
      </c>
      <c r="AGG18" s="71" t="e">
        <f t="array" aca="1" ref="AGG18" ca="1">_xlfn.IFS(AAC18="Handysize",Main!ACT18,AAC18="Supramax",ACU18,AAC18="Panamax",ACV18,AAC18="NeoPanamax",ACW18,AAC18="Suezmax",ACX18,AAC18="Capesize",ACY18,AAC18="VLOC",ACZ18)</f>
        <v>#NAME?</v>
      </c>
      <c r="AGH18" s="70">
        <f t="array" ref="AGH18">INDEX('Ship Speeds'!$G$11:$G$1011,MATCH(2,1/(('Ship Speeds'!$E$11:$E$1011&lt;=Main!$C18)*('Ship Speeds'!$F$11:$F$1011=Main!AAB18))))</f>
        <v>11</v>
      </c>
      <c r="AGI18" s="403">
        <f t="shared" si="195"/>
        <v>22.248263086550754</v>
      </c>
      <c r="AGJ18" s="401">
        <f t="shared" si="196"/>
        <v>2.0971200000000003</v>
      </c>
      <c r="AGK18" s="70" t="e">
        <f t="shared" ca="1" si="197"/>
        <v>#NAME?</v>
      </c>
      <c r="AGL18" s="70" t="e">
        <f t="shared" ca="1" si="198"/>
        <v>#NAME?</v>
      </c>
      <c r="AGM18" s="70" t="e">
        <f t="shared" ca="1" si="199"/>
        <v>#NAME?</v>
      </c>
      <c r="AGN18" s="70" t="e">
        <f t="shared" ca="1" si="200"/>
        <v>#NAME?</v>
      </c>
      <c r="AGO18" s="72" t="e">
        <f t="shared" ca="1" si="201"/>
        <v>#N/A</v>
      </c>
      <c r="AGP18" s="70" t="e">
        <f t="shared" ca="1" si="202"/>
        <v>#NAME?</v>
      </c>
      <c r="AGQ18" s="70" t="e">
        <f t="array" aca="1" ref="AGQ18" ca="1">INDEX(ACN18:ACR18,MATCH(_xlfn.IFS(AAC18="Handysize",Main!ACJ18,AAC18="Supramax",ACC18,AAC18="Panamax",ABV18,AAC18="NeoPanamax",ABO18,AAC18="Suezmax",ABH18,AAC18="Capesize",ABA18,AAC18="VLOC",AAT18),$ACN$7:$ACR$7,0))</f>
        <v>#NAME?</v>
      </c>
      <c r="AGR18" s="70" t="e">
        <f t="array" aca="1" ref="AGR18" ca="1">INDEX(ACN18:ACR18,MATCH(_xlfn.IFS(AAC18="Handysize",Main!ACK18,AAC18="Supramax",ACD18,AAC18="Panamax",ABW18,AAC18="NeoPanamax",ABP18,AAC18="Suezmax",ABI18,AAC18="Capesize",ABB18,AAC18="VLOC",AAU18),$ACN$7:$ACR$7,0))</f>
        <v>#NAME?</v>
      </c>
      <c r="AGS18" s="71" t="e">
        <f t="shared" ca="1" si="203"/>
        <v>#NAME?</v>
      </c>
      <c r="AGT18" s="71" t="e">
        <f t="shared" ca="1" si="204"/>
        <v>#NAME?</v>
      </c>
      <c r="AGU18" s="281">
        <f t="shared" si="205"/>
        <v>7.0759999999999987</v>
      </c>
      <c r="AGV18" s="71">
        <f t="shared" si="206"/>
        <v>1744.2057659694747</v>
      </c>
      <c r="AGW18" s="71" t="e">
        <f t="shared" ca="1" si="207"/>
        <v>#NAME?</v>
      </c>
      <c r="AGX18" s="71" t="e">
        <f t="shared" ca="1" si="208"/>
        <v>#NAME?</v>
      </c>
      <c r="AGY18" s="71">
        <f t="shared" si="209"/>
        <v>30556.246466930475</v>
      </c>
      <c r="AGZ18" s="71" t="e">
        <f t="shared" ca="1" si="210"/>
        <v>#NAME?</v>
      </c>
      <c r="AHA18" s="71" t="e">
        <f t="shared" ca="1" si="211"/>
        <v>#NAME?</v>
      </c>
      <c r="AHB18" s="71">
        <f t="shared" si="212"/>
        <v>21693.296777840595</v>
      </c>
      <c r="AHC18" s="71" t="e">
        <f t="shared" ca="1" si="213"/>
        <v>#NAME?</v>
      </c>
      <c r="AHD18" s="71" t="e">
        <f t="shared" ca="1" si="214"/>
        <v>#NAME?</v>
      </c>
      <c r="AHE18" s="71">
        <f t="shared" si="215"/>
        <v>0</v>
      </c>
      <c r="AHF18" s="71" t="e">
        <f t="shared" ca="1" si="216"/>
        <v>#NAME?</v>
      </c>
      <c r="AHG18" s="71" t="e">
        <f t="shared" ca="1" si="217"/>
        <v>#NAME?</v>
      </c>
      <c r="AHH18" s="72">
        <f t="shared" si="218"/>
        <v>6103.2693612210296</v>
      </c>
      <c r="AHI18" s="72" t="e">
        <f t="shared" ca="1" si="219"/>
        <v>#NAME?</v>
      </c>
      <c r="AHJ18" s="71" t="e">
        <f t="shared" ca="1" si="220"/>
        <v>#NAME?</v>
      </c>
      <c r="AHK18" s="71" t="e">
        <f t="array" aca="1" ref="AHK18" ca="1">INDEX('Ship Time Charter Rates'!$H$22:$H$1021,MATCH(2,1/(('Ship Time Charter Rates'!$G$22:$G$1021=_xlfn.IFS(AAC18="Handysize",Main!ACH18,AAC18="Supramax",ACA18,AAC18="Panamax",ABT18,AAC18="NeoPanamax",ABM18,AAC18="Suezmax",ABF18,AAC18="Capesize",AAY18,AAC18="VLOC",AAR18))*('Ship Time Charter Rates'!$E$22:$E$1021&lt;=Main!$C18)*(NOT(ISBLANK('Ship Time Charter Rates'!$H$22:$H$1021))))))</f>
        <v>#N/A</v>
      </c>
      <c r="AHL18" s="71" t="e">
        <f t="shared" ca="1" si="221"/>
        <v>#NAME?</v>
      </c>
      <c r="AHM18" s="70" t="e">
        <f t="shared" ca="1" si="222"/>
        <v>#N/A</v>
      </c>
      <c r="AHN18" s="71" t="e">
        <f t="shared" ca="1" si="223"/>
        <v>#NAME?</v>
      </c>
      <c r="AHO18" s="71" t="e">
        <f t="shared" ca="1" si="306"/>
        <v>#NAME?</v>
      </c>
      <c r="AHP18" s="72" t="e">
        <f t="shared" ca="1" si="307"/>
        <v>#NAME?</v>
      </c>
      <c r="AHR18" s="25">
        <f t="shared" si="323"/>
        <v>0</v>
      </c>
      <c r="AHS18" s="4" t="str">
        <f>VLOOKUP(AHR18,'Ship Time Charter Rates'!$F$10:$G$17,2,TRUE)</f>
        <v>Handysize</v>
      </c>
      <c r="AHT18" s="4" t="str">
        <f>VLOOKUP(AHR18,Canals!$E$5:$F$12,2,TRUE)</f>
        <v>Handysize</v>
      </c>
      <c r="AHU18" s="25">
        <f t="shared" si="224"/>
        <v>145.88999999999999</v>
      </c>
      <c r="AHV18" s="25">
        <f t="shared" si="225"/>
        <v>0</v>
      </c>
      <c r="AHW18" s="25">
        <f t="shared" si="226"/>
        <v>4797</v>
      </c>
      <c r="AHY18" s="75">
        <f t="array" ref="AHY18">INDEX('Indices Mines Exporting Ports'!$R$20:$R$51,MATCH(2,1/(('Indices Mines Exporting Ports'!$D$20:$D$51&lt;=Main!$C18)*('Indices Mines Exporting Ports'!$Q$20:$Q$51=$AQ18))))</f>
        <v>0</v>
      </c>
      <c r="AHZ18" s="75">
        <f t="array" ref="AHZ18">INDEX('Indices Mines Exporting Ports'!$S$20:$S$51,MATCH(2,1/(('Indices Mines Exporting Ports'!$D$20:$D$51&lt;=Main!$C18)*('Indices Mines Exporting Ports'!$Q$20:$Q$51=$AQ18))))</f>
        <v>0</v>
      </c>
      <c r="AIA18" s="75">
        <f t="array" ref="AIA18">INDEX('Indices Mines Exporting Ports'!$T$20:$T$51,MATCH(2,1/(('Indices Mines Exporting Ports'!$D$20:$D$51&lt;=Main!$C18)*('Indices Mines Exporting Ports'!$Q$20:$Q$51=$AQ18))))</f>
        <v>0</v>
      </c>
      <c r="AIB18" s="75">
        <f t="array" ref="AIB18">INDEX('Indices Mines Exporting Ports'!$U$20:$U$51,MATCH(2,1/(('Indices Mines Exporting Ports'!$D$20:$D$51&lt;=Main!$C18)*('Indices Mines Exporting Ports'!$Q$20:$Q$51=$AQ18))))</f>
        <v>0</v>
      </c>
      <c r="AIC18" s="75">
        <f t="array" ref="AIC18">INDEX('Indices Mines Exporting Ports'!$V$20:$V$51,MATCH(2,1/(('Indices Mines Exporting Ports'!$D$20:$D$51&lt;=Main!$C18)*('Indices Mines Exporting Ports'!$Q$20:$Q$51=$AQ18))))</f>
        <v>0</v>
      </c>
      <c r="AID18" s="75">
        <f t="array" ref="AID18">INDEX('Indices Mines Exporting Ports'!$W$20:$W$51,MATCH(2,1/(('Indices Mines Exporting Ports'!$D$20:$D$51&lt;=Main!$C18)*('Indices Mines Exporting Ports'!$Q$20:$Q$51=$AQ18))))</f>
        <v>0</v>
      </c>
      <c r="AIE18" s="75">
        <f t="array" ref="AIE18">INDEX('Indices Mines Exporting Ports'!$X$20:$X$51,MATCH(2,1/(('Indices Mines Exporting Ports'!$D$20:$D$51&lt;=Main!$C18)*('Indices Mines Exporting Ports'!$Q$20:$Q$51=$AQ18))))</f>
        <v>0</v>
      </c>
      <c r="AIG18" s="75">
        <f t="array" ref="AIG18">INDEX('Port Linkages'!$E$18:$E$157,MATCH(2,1/(('Port Linkages'!$C$18:$C$157=$AQ18)*('Port Linkages'!$D$18:$D$157=IF($AO18="no",$AQ18,$KK18))*('Port Linkages'!$A$18:$A$157&lt;=$C18))))</f>
        <v>0</v>
      </c>
      <c r="AIH18" s="75">
        <f t="array" ref="AIH18">INDEX('Port Linkages'!$F$18:$F$157,MATCH(2,1/(('Port Linkages'!$C$18:$C$157=$AQ18)*('Port Linkages'!$D$18:$D$157=IF($AO18="no",$AQ18,$KK18))*('Port Linkages'!$A$18:$A$157&lt;=$C18))))</f>
        <v>0</v>
      </c>
      <c r="AII18" s="75">
        <f t="array" ref="AII18">INDEX('Port Linkages'!$G$18:$G$157,MATCH(2,1/(('Port Linkages'!$C$18:$C$157=$AQ18)*('Port Linkages'!$D$18:$D$157=IF($AO18="no",$AQ18,$KK18))*('Port Linkages'!$A$18:$A$157&lt;=$C18))))</f>
        <v>0</v>
      </c>
      <c r="AIJ18" s="75">
        <f t="array" ref="AIJ18">INDEX('Port Linkages'!$H$18:$H$157,MATCH(2,1/(('Port Linkages'!$C$18:$C$157=$AQ18)*('Port Linkages'!$D$18:$D$157=IF($AO18="no",$AQ18,$KK18))*('Port Linkages'!$A$18:$A$157&lt;=$C18))))</f>
        <v>0</v>
      </c>
      <c r="AIK18" s="75">
        <f t="array" ref="AIK18">INDEX('Port Linkages'!$I$18:$I$157,MATCH(2,1/(('Port Linkages'!$C$18:$C$157=$AQ18)*('Port Linkages'!$D$18:$D$157=IF($AO18="no",$AQ18,$KK18))*('Port Linkages'!$A$18:$A$157&lt;=$C18))))</f>
        <v>0</v>
      </c>
      <c r="AIL18" s="75">
        <f t="array" ref="AIL18">INDEX('Port Linkages'!$J$18:$J$157,MATCH(2,1/(('Port Linkages'!$C$18:$C$157=$AQ18)*('Port Linkages'!$D$18:$D$157=IF($AO18="no",$AQ18,$KK18))*('Port Linkages'!$A$18:$A$157&lt;=$C18))))</f>
        <v>0</v>
      </c>
      <c r="AIM18" s="75">
        <f t="array" ref="AIM18">INDEX('Port Linkages'!$K$18:$K$157,MATCH(2,1/(('Port Linkages'!$C$18:$C$157=$AQ18)*('Port Linkages'!$D$18:$D$157=IF($AO18="no",$AQ18,$KK18))*('Port Linkages'!$A$18:$A$157&lt;=$C18))))</f>
        <v>0</v>
      </c>
      <c r="AIN18" s="75">
        <f t="array" ref="AIN18">INDEX('Port Linkages'!$L$18:$L$157,MATCH(2,1/(('Port Linkages'!$C$18:$C$157=$AQ18)*('Port Linkages'!$D$18:$D$157=IF($AO18="no",$AQ18,$KK18))*('Port Linkages'!$A$18:$A$157&lt;=$C18))))</f>
        <v>0</v>
      </c>
      <c r="AIO18" s="75">
        <f t="array" ref="AIO18">INDEX('Port Linkages'!$M$18:$M$157,MATCH(2,1/(('Port Linkages'!$C$18:$C$157=$AQ18)*('Port Linkages'!$D$18:$D$157=IF($AO18="no",$AQ18,$KK18))*('Port Linkages'!$A$18:$A$157&lt;=$C18))))</f>
        <v>0</v>
      </c>
      <c r="AIP18" s="75">
        <f t="array" ref="AIP18">INDEX('Port Linkages'!$N$18:$N$157,MATCH(2,1/(('Port Linkages'!$C$18:$C$157=$AQ18)*('Port Linkages'!$D$18:$D$157=IF($AO18="no",$AQ18,$KK18))*('Port Linkages'!$A$18:$A$157&lt;=$C18))))</f>
        <v>0</v>
      </c>
      <c r="AIQ18" s="75">
        <f t="array" ref="AIQ18">INDEX('Port Linkages'!$O$18:$O$157,MATCH(2,1/(('Port Linkages'!$C$18:$C$157=$AQ18)*('Port Linkages'!$D$18:$D$157=IF($AO18="no",$AQ18,$KK18))*('Port Linkages'!$A$18:$A$157&lt;=$C18))))</f>
        <v>0</v>
      </c>
      <c r="AIR18" s="75">
        <f t="array" ref="AIR18">INDEX('Port Linkages'!$P$18:$P$157,MATCH(2,1/(('Port Linkages'!$C$18:$C$157=$AQ18)*('Port Linkages'!$D$18:$D$157=IF($AO18="no",$AQ18,$KK18))*('Port Linkages'!$A$18:$A$157&lt;=$C18))))</f>
        <v>0</v>
      </c>
      <c r="AIS18" s="75">
        <f t="array" ref="AIS18">INDEX('Port Linkages'!$Q$18:$Q$157,MATCH(2,1/(('Port Linkages'!$C$18:$C$157=$AQ18)*('Port Linkages'!$D$18:$D$157=IF($AO18="no",$AQ18,$KK18))*('Port Linkages'!$A$18:$A$157&lt;=$C18))))</f>
        <v>0</v>
      </c>
      <c r="AIT18" s="75">
        <f t="array" ref="AIT18">INDEX('Port Linkages'!$R$18:$R$157,MATCH(2,1/(('Port Linkages'!$C$18:$C$157=$AQ18)*('Port Linkages'!$D$18:$D$157=IF($AO18="no",$AQ18,$KK18))*('Port Linkages'!$A$18:$A$157&lt;=$C18))))</f>
        <v>0</v>
      </c>
      <c r="AIU18" s="75">
        <f t="array" ref="AIU18">INDEX('Port Linkages'!$S$18:$S$157,MATCH(2,1/(('Port Linkages'!$C$18:$C$157=$AQ18)*('Port Linkages'!$D$18:$D$157=IF($AO18="no",$AQ18,$KK18))*('Port Linkages'!$A$18:$A$157&lt;=$C18))))</f>
        <v>0</v>
      </c>
      <c r="AIV18" s="75">
        <f t="array" ref="AIV18">INDEX('Port Linkages'!$T$18:$T$157,MATCH(2,1/(('Port Linkages'!$C$18:$C$157=$AQ18)*('Port Linkages'!$D$18:$D$157=IF($AO18="no",$AQ18,$KK18))*('Port Linkages'!$A$18:$A$157&lt;=$C18))))</f>
        <v>0</v>
      </c>
      <c r="AIW18" s="75">
        <f t="array" ref="AIW18">INDEX('Port Linkages'!$U$18:$U$157,MATCH(2,1/(('Port Linkages'!$C$18:$C$157=$AQ18)*('Port Linkages'!$D$18:$D$157=IF($AO18="no",$AQ18,$KK18))*('Port Linkages'!$A$18:$A$157&lt;=$C18))))</f>
        <v>0</v>
      </c>
      <c r="AIX18" s="75">
        <f t="array" ref="AIX18">INDEX('Port Linkages'!$V$18:$V$157,MATCH(2,1/(('Port Linkages'!$C$18:$C$157=$AQ18)*('Port Linkages'!$D$18:$D$157=IF($AO18="no",$AQ18,$KK18))*('Port Linkages'!$A$18:$A$157&lt;=$C18))))</f>
        <v>0</v>
      </c>
      <c r="AIY18" s="75">
        <f t="array" ref="AIY18">INDEX('Port Linkages'!$W$18:$W$157,MATCH(2,1/(('Port Linkages'!$C$18:$C$157=$AQ18)*('Port Linkages'!$D$18:$D$157=IF($AO18="no",$AQ18,$KK18))*('Port Linkages'!$A$18:$A$157&lt;=$C18))))</f>
        <v>0</v>
      </c>
      <c r="AIZ18" s="75">
        <f t="array" ref="AIZ18">INDEX('Port Linkages'!$X$18:$X$157,MATCH(2,1/(('Port Linkages'!$C$18:$C$157=$AQ18)*('Port Linkages'!$D$18:$D$157=IF($AO18="no",$AQ18,$KK18))*('Port Linkages'!$A$18:$A$157&lt;=$C18))))</f>
        <v>0</v>
      </c>
      <c r="AJA18" s="75">
        <f t="array" ref="AJA18">INDEX('Port Linkages'!$Y$18:$Y$157,MATCH(2,1/(('Port Linkages'!$C$18:$C$157=$AQ18)*('Port Linkages'!$D$18:$D$157=IF($AO18="no",$AQ18,$KK18))*('Port Linkages'!$A$18:$A$157&lt;=$C18))))</f>
        <v>0</v>
      </c>
      <c r="AJB18" s="75">
        <f t="array" ref="AJB18">INDEX('Port Linkages'!$Z$18:$Z$157,MATCH(2,1/(('Port Linkages'!$C$18:$C$157=$AQ18)*('Port Linkages'!$D$18:$D$157=IF($AO18="no",$AQ18,$KK18))*('Port Linkages'!$A$18:$A$157&lt;=$C18))))</f>
        <v>0</v>
      </c>
      <c r="AJC18" s="75">
        <f t="array" ref="AJC18">INDEX('Port Linkages'!$AA$18:$AA$157,MATCH(2,1/(('Port Linkages'!$C$18:$C$157=$AQ18)*('Port Linkages'!$D$18:$D$157=IF($AO18="no",$AQ18,$KK18))*('Port Linkages'!$A$18:$A$157&lt;=$C18))))</f>
        <v>0</v>
      </c>
      <c r="AJD18" s="75">
        <f t="array" ref="AJD18">INDEX('Port Linkages'!$AB$18:$AB$157,MATCH(2,1/(('Port Linkages'!$C$18:$C$157=$AQ18)*('Port Linkages'!$D$18:$D$157=IF($AO18="no",$AQ18,$KK18))*('Port Linkages'!$A$18:$A$157&lt;=$C18))))</f>
        <v>0</v>
      </c>
      <c r="AJE18" s="75">
        <f t="array" ref="AJE18">INDEX('Port Linkages'!$AC$18:$AC$157,MATCH(2,1/(('Port Linkages'!$C$18:$C$157=$AQ18)*('Port Linkages'!$D$18:$D$157=IF($AO18="no",$AQ18,$KK18))*('Port Linkages'!$A$18:$A$157&lt;=$C18))))</f>
        <v>0</v>
      </c>
      <c r="AJF18" s="75">
        <f t="array" ref="AJF18">INDEX('Port Linkages'!$AD$18:$AD$157,MATCH(2,1/(('Port Linkages'!$C$18:$C$157=$AQ18)*('Port Linkages'!$D$18:$D$157=IF($AO18="no",$AQ18,$KK18))*('Port Linkages'!$A$18:$A$157&lt;=$C18))))</f>
        <v>0</v>
      </c>
      <c r="AJG18" s="75">
        <f t="array" ref="AJG18">INDEX('Port Linkages'!$AE$18:$AE$157,MATCH(2,1/(('Port Linkages'!$C$18:$C$157=$AQ18)*('Port Linkages'!$D$18:$D$157=IF($AO18="no",$AQ18,$KK18))*('Port Linkages'!$A$18:$A$157&lt;=$C18))))</f>
        <v>0</v>
      </c>
      <c r="AJH18" s="75">
        <f t="array" ref="AJH18">INDEX('Port Linkages'!$AF$18:$AF$157,MATCH(2,1/(('Port Linkages'!$C$18:$C$157=$AQ18)*('Port Linkages'!$D$18:$D$157=IF($AO18="no",$AQ18,$KK18))*('Port Linkages'!$A$18:$A$157&lt;=$C18))))</f>
        <v>0</v>
      </c>
      <c r="AJI18" s="75">
        <f t="array" ref="AJI18">INDEX('Port Linkages'!$AG$18:$AG$157,MATCH(2,1/(('Port Linkages'!$C$18:$C$157=$AQ18)*('Port Linkages'!$D$18:$D$157=IF($AO18="no",$AQ18,$KK18))*('Port Linkages'!$A$18:$A$157&lt;=$C18))))</f>
        <v>0</v>
      </c>
      <c r="AJJ18" s="75">
        <f t="array" ref="AJJ18">INDEX('Port Linkages'!$AH$18:$AH$157,MATCH(2,1/(('Port Linkages'!$C$18:$C$157=$AQ18)*('Port Linkages'!$D$18:$D$157=IF($AO18="no",$AQ18,$KK18))*('Port Linkages'!$A$18:$A$157&lt;=$C18))))</f>
        <v>0</v>
      </c>
      <c r="AJK18" s="75">
        <f t="array" ref="AJK18">INDEX('Port Linkages'!$AI$18:$AI$157,MATCH(2,1/(('Port Linkages'!$C$18:$C$157=$AQ18)*('Port Linkages'!$D$18:$D$157=IF($AO18="no",$AQ18,$KK18))*('Port Linkages'!$A$18:$A$157&lt;=$C18))))</f>
        <v>0</v>
      </c>
      <c r="AJL18" s="75">
        <f t="array" ref="AJL18">INDEX('Port Linkages'!$AJ$18:$AJ$157,MATCH(2,1/(('Port Linkages'!$C$18:$C$157=$AQ18)*('Port Linkages'!$D$18:$D$157=IF($AO18="no",$AQ18,$KK18))*('Port Linkages'!$A$18:$A$157&lt;=$C18))))</f>
        <v>0</v>
      </c>
      <c r="AJM18" s="75">
        <f t="array" ref="AJM18">INDEX('Port Linkages'!$AK$18:$AK$157,MATCH(2,1/(('Port Linkages'!$C$18:$C$157=$AQ18)*('Port Linkages'!$D$18:$D$157=IF($AO18="no",$AQ18,$KK18))*('Port Linkages'!$A$18:$A$157&lt;=$C18))))</f>
        <v>0</v>
      </c>
      <c r="AJN18" s="75">
        <f t="array" ref="AJN18">INDEX('Port Linkages'!$AL$18:$AL$157,MATCH(2,1/(('Port Linkages'!$C$18:$C$157=$AQ18)*('Port Linkages'!$D$18:$D$157=IF($AO18="no",$AQ18,$KK18))*('Port Linkages'!$A$18:$A$157&lt;=$C18))))</f>
        <v>0</v>
      </c>
      <c r="AJO18" s="75">
        <f t="array" ref="AJO18">INDEX('Port Linkages'!$AM$18:$AM$157,MATCH(2,1/(('Port Linkages'!$C$18:$C$157=$AQ18)*('Port Linkages'!$D$18:$D$157=IF($AO18="no",$AQ18,$KK18))*('Port Linkages'!$A$18:$A$157&lt;=$C18))))</f>
        <v>0</v>
      </c>
      <c r="AJP18" s="75">
        <f t="array" ref="AJP18">INDEX('Port Linkages'!$AN$18:$AN$157,MATCH(2,1/(('Port Linkages'!$C$18:$C$157=$AQ18)*('Port Linkages'!$D$18:$D$157=IF($AO18="no",$AQ18,$KK18))*('Port Linkages'!$A$18:$A$157&lt;=$C18))))</f>
        <v>0</v>
      </c>
      <c r="AJQ18" s="75">
        <f t="array" ref="AJQ18">INDEX('Port Linkages'!$AO$18:$AO$157,MATCH(2,1/(('Port Linkages'!$C$18:$C$157=$AQ18)*('Port Linkages'!$D$18:$D$157=IF($AO18="no",$AQ18,$KK18))*('Port Linkages'!$A$18:$A$157&lt;=$C18))))</f>
        <v>0</v>
      </c>
      <c r="AJR18" s="75">
        <f t="array" ref="AJR18">INDEX('Port Linkages'!$AP$18:$AP$157,MATCH(2,1/(('Port Linkages'!$C$18:$C$157=$AQ18)*('Port Linkages'!$D$18:$D$157=IF($AO18="no",$AQ18,$KK18))*('Port Linkages'!$A$18:$A$157&lt;=$C18))))</f>
        <v>0</v>
      </c>
      <c r="AJS18" s="75">
        <f t="array" ref="AJS18">INDEX('Port Linkages'!$AQ$18:$AQ$157,MATCH(2,1/(('Port Linkages'!$C$18:$C$157=$AQ18)*('Port Linkages'!$D$18:$D$157=IF($AO18="no",$AQ18,$KK18))*('Port Linkages'!$A$18:$A$157&lt;=$C18))))</f>
        <v>0</v>
      </c>
      <c r="AJT18" s="75">
        <f t="array" ref="AJT18">INDEX('Port Linkages'!$AR$18:$AR$157,MATCH(2,1/(('Port Linkages'!$C$18:$C$157=$AQ18)*('Port Linkages'!$D$18:$D$157=IF($AO18="no",$AQ18,$KK18))*('Port Linkages'!$A$18:$A$157&lt;=$C18))))</f>
        <v>0</v>
      </c>
      <c r="AJU18" s="75">
        <f t="array" ref="AJU18">INDEX('Port Linkages'!$AS$18:$AS$157,MATCH(2,1/(('Port Linkages'!$C$18:$C$157=$AQ18)*('Port Linkages'!$D$18:$D$157=IF($AO18="no",$AQ18,$KK18))*('Port Linkages'!$A$18:$A$157&lt;=$C18))))</f>
        <v>0</v>
      </c>
      <c r="AJV18" s="75">
        <f t="array" ref="AJV18">INDEX('Port Linkages'!$AT$18:$AT$157,MATCH(2,1/(('Port Linkages'!$C$18:$C$157=$AQ18)*('Port Linkages'!$D$18:$D$157=IF($AO18="no",$AQ18,$KK18))*('Port Linkages'!$A$18:$A$157&lt;=$C18))))</f>
        <v>0</v>
      </c>
      <c r="AJW18" s="75">
        <f t="array" ref="AJW18">INDEX('Port Linkages'!$AU$18:$AU$157,MATCH(2,1/(('Port Linkages'!$C$18:$C$157=$AQ18)*('Port Linkages'!$D$18:$D$157=IF($AO18="no",$AQ18,$KK18))*('Port Linkages'!$A$18:$A$157&lt;=$C18))))</f>
        <v>0</v>
      </c>
      <c r="AJX18" s="75">
        <f t="array" ref="AJX18">INDEX('Port Linkages'!$AV$18:$AV$157,MATCH(2,1/(('Port Linkages'!$C$18:$C$157=$AQ18)*('Port Linkages'!$D$18:$D$157=IF($AO18="no",$AQ18,$KK18))*('Port Linkages'!$A$18:$A$157&lt;=$C18))))</f>
        <v>0</v>
      </c>
      <c r="AJY18" s="75">
        <f t="array" ref="AJY18">INDEX('Port Linkages'!$AW$18:$AW$157,MATCH(2,1/(('Port Linkages'!$C$18:$C$157=$AQ18)*('Port Linkages'!$D$18:$D$157=IF($AO18="no",$AQ18,$KK18))*('Port Linkages'!$A$18:$A$157&lt;=$C18))))</f>
        <v>0</v>
      </c>
      <c r="AJZ18" s="75">
        <f t="array" ref="AJZ18">INDEX('Port Linkages'!$AX$18:$AX$157,MATCH(2,1/(('Port Linkages'!$C$18:$C$157=$AQ18)*('Port Linkages'!$D$18:$D$157=IF($AO18="no",$AQ18,$KK18))*('Port Linkages'!$A$18:$A$157&lt;=$C18))))</f>
        <v>0</v>
      </c>
      <c r="AKA18" s="75">
        <f t="array" ref="AKA18">INDEX('Port Linkages'!$AY$18:$AY$157,MATCH(2,1/(('Port Linkages'!$C$18:$C$157=$AQ18)*('Port Linkages'!$D$18:$D$157=IF($AO18="no",$AQ18,$KK18))*('Port Linkages'!$A$18:$A$157&lt;=$C18))))</f>
        <v>0</v>
      </c>
      <c r="AKB18" s="75">
        <f t="array" ref="AKB18">INDEX('Port Linkages'!$AZ$18:$AZ$157,MATCH(2,1/(('Port Linkages'!$C$18:$C$157=$AQ18)*('Port Linkages'!$D$18:$D$157=IF($AO18="no",$AQ18,$KK18))*('Port Linkages'!$A$18:$A$157&lt;=$C18))))</f>
        <v>0</v>
      </c>
      <c r="AKC18" s="75">
        <f t="array" ref="AKC18">INDEX('Port Linkages'!$BA$18:$BA$157,MATCH(2,1/(('Port Linkages'!$C$18:$C$157=$AQ18)*('Port Linkages'!$D$18:$D$157=IF($AO18="no",$AQ18,$KK18))*('Port Linkages'!$A$18:$A$157&lt;=$C18))))</f>
        <v>0</v>
      </c>
      <c r="AKE18" s="25" t="e">
        <f t="array" aca="1" ref="AKE18" ca="1">INDEX('Ship Fuel Prices'!$F$5:$F$1004,MATCH(2,1/(('Ship Fuel Prices'!$E$5:$E$1004=_xlfn.IFS(AHT18="Handysize",Main!AJZ18,AHT18="Supramax",AJS18,AHT18="Panamax",AJL18,AHT18="NeoPanamax",AJE18,AHT18="Suezmax",AIX18,AHT18="Capesize",AIQ18,AHT18="VLOC",AIJ18))*('Ship Fuel Prices'!$D$5:$D$1004&lt;=Main!$C18))))</f>
        <v>#N/A</v>
      </c>
      <c r="AKF18" s="25" t="e">
        <f t="array" aca="1" ref="AKF18" ca="1">INDEX('Ship Fuel Prices'!$G$5:$G$1004,MATCH(2,1/(('Ship Fuel Prices'!$E$5:$E$1004=_xlfn.IFS(AHT18="Handysize",Main!AJZ18,AHT18="Supramax",AJS18,AHT18="Panamax",AJL18,AHT18="NeoPanamax",AJE18,AHT18="Suezmax",AIX18,AHT18="Capesize",AIQ18,AHT18="VLOC",AIJ18))*('Ship Fuel Prices'!$D$5:$D$1004&lt;=Main!$C18))))</f>
        <v>#N/A</v>
      </c>
      <c r="AKG18" s="25" t="e">
        <f t="array" aca="1" ref="AKG18" ca="1">INDEX('Ship Fuel Prices'!$H$5:$H$1004,MATCH(2,1/(('Ship Fuel Prices'!$E$5:$E$1004=_xlfn.IFS(AHT18="Handysize",Main!AJZ18,AHT18="Supramax",AJS18,AHT18="Panamax",AJL18,AHT18="NeoPanamax",AJE18,AHT18="Suezmax",AIX18,AHT18="Capesize",AIQ18,AHT18="VLOC",AIJ18))*('Ship Fuel Prices'!$D$5:$D$1004&lt;=Main!$C18))))</f>
        <v>#N/A</v>
      </c>
      <c r="AKH18" s="25" t="e">
        <f t="array" aca="1" ref="AKH18" ca="1">INDEX('Ship Fuel Prices'!$I$5:$I$1004,MATCH(2,1/(('Ship Fuel Prices'!$E$5:$E$1004=_xlfn.IFS(AHT18="Handysize",Main!AJZ18,AHT18="Supramax",AJS18,AHT18="Panamax",AJL18,AHT18="NeoPanamax",AJE18,AHT18="Suezmax",AIX18,AHT18="Capesize",AIQ18,AHT18="VLOC",AIJ18))*('Ship Fuel Prices'!$D$5:$D$1004&lt;=Main!$C18))))</f>
        <v>#N/A</v>
      </c>
      <c r="AKI18" s="25" t="e">
        <f t="array" aca="1" ref="AKI18" ca="1">INDEX('Ship Fuel Prices'!$J$5:$J$1004,MATCH(2,1/(('Ship Fuel Prices'!$E$5:$E$1004=_xlfn.IFS(AHT18="Handysize",Main!AJZ18,AHT18="Supramax",AJS18,AHT18="Panamax",AJL18,AHT18="NeoPanamax",AJE18,AHT18="Suezmax",AIX18,AHT18="Capesize",AIQ18,AHT18="VLOC",AIJ18))*('Ship Fuel Prices'!$D$5:$D$1004&lt;=Main!$C18))))</f>
        <v>#N/A</v>
      </c>
      <c r="AKK18" s="75">
        <f t="array" ref="AKK18">INDEX('China n Importing Ports'!$E$20:$E$41,MATCH(2,1/(('China n Importing Ports'!$D$20:$D$41&lt;=$C18)*('China n Importing Ports'!$C$20:$C$41=IF($AO18="No",$AQ18,$KK18)))))</f>
        <v>0</v>
      </c>
      <c r="AKL18" s="75">
        <f t="array" ref="AKL18">INDEX('China n Importing Ports'!$F$20:$F$41,MATCH(2,1/(('China n Importing Ports'!$D$20:$D$41&lt;=$C18)*('China n Importing Ports'!$C$20:$C$41=IF($AO18="No",$AQ18,$KK18)))))</f>
        <v>0</v>
      </c>
      <c r="AKM18" s="75">
        <f t="array" ref="AKM18">INDEX('China n Importing Ports'!$G$20:$G$41,MATCH(2,1/(('China n Importing Ports'!$D$20:$D$41&lt;=$C18)*('China n Importing Ports'!$C$20:$C$41=IF($AO18="No",$AQ18,$KK18)))))</f>
        <v>0</v>
      </c>
      <c r="AKN18" s="75">
        <f t="array" ref="AKN18">INDEX('China n Importing Ports'!$H$20:$H$41,MATCH(2,1/(('China n Importing Ports'!$D$20:$D$41&lt;=$C18)*('China n Importing Ports'!$C$20:$C$41=IF($AO18="No",$AQ18,$KK18)))))</f>
        <v>0</v>
      </c>
      <c r="AKO18" s="75">
        <f t="array" ref="AKO18">INDEX('China n Importing Ports'!$I$20:$I$41,MATCH(2,1/(('China n Importing Ports'!$D$20:$D$41&lt;=$C18)*('China n Importing Ports'!$C$20:$C$41=IF($AO18="No",$AQ18,$KK18)))))</f>
        <v>0</v>
      </c>
      <c r="AKP18" s="75">
        <f t="array" ref="AKP18">INDEX('China n Importing Ports'!$J$20:$J$41,MATCH(2,1/(('China n Importing Ports'!$D$20:$D$41&lt;=$C18)*('China n Importing Ports'!$C$20:$C$41=IF($AO18="No",$AQ18,$KK18)))))</f>
        <v>0</v>
      </c>
      <c r="AKQ18" s="75">
        <f t="array" ref="AKQ18">INDEX('China n Importing Ports'!$K$20:$K$41,MATCH(2,1/(('China n Importing Ports'!$D$20:$D$41&lt;=$C18)*('China n Importing Ports'!$C$20:$C$41=IF($AO18="No",$AQ18,$KK18)))))</f>
        <v>0</v>
      </c>
      <c r="AKR18" s="75">
        <f t="array" ref="AKR18">INDEX('China n Importing Ports'!$L$20:$L$41,MATCH(2,1/(('China n Importing Ports'!$D$20:$D$41&lt;=$C18)*('China n Importing Ports'!$C$20:$C$41=IF($AO18="No",$AQ18,$KK18)))))</f>
        <v>0</v>
      </c>
      <c r="AKS18" s="75">
        <f t="array" ref="AKS18">INDEX('China n Importing Ports'!$M$20:$M$41,MATCH(2,1/(('China n Importing Ports'!$D$20:$D$41&lt;=$C18)*('China n Importing Ports'!$C$20:$C$41=IF($AO18="No",$AQ18,$KK18)))))</f>
        <v>0</v>
      </c>
      <c r="AKT18" s="75">
        <f t="array" ref="AKT18">INDEX('China n Importing Ports'!$N$20:$N$41,MATCH(2,1/(('China n Importing Ports'!$D$20:$D$41&lt;=$C18)*('China n Importing Ports'!$C$20:$C$41=IF($AO18="No",$AQ18,$KK18)))))</f>
        <v>0</v>
      </c>
      <c r="AKU18" s="75">
        <f t="array" ref="AKU18">INDEX('China n Importing Ports'!$O$20:$O$41,MATCH(2,1/(('China n Importing Ports'!$D$20:$D$41&lt;=$C18)*('China n Importing Ports'!$C$20:$C$41=IF($AO18="No",$AQ18,$KK18)))))</f>
        <v>0</v>
      </c>
      <c r="AKV18" s="136">
        <f t="array" ref="AKV18">INDEX('China n Importing Ports'!$P$20:$P$41,MATCH(2,1/(('China n Importing Ports'!$D$20:$D$41&lt;=$C18)*('China n Importing Ports'!$C$20:$C$41=IF($AO18="No",$AQ18,$KK18)))))</f>
        <v>0</v>
      </c>
      <c r="AKW18" s="136">
        <f t="array" ref="AKW18">INDEX('China n Importing Ports'!$Q$20:$Q$41,MATCH(2,1/(('China n Importing Ports'!$D$20:$D$41&lt;=$C18)*('China n Importing Ports'!$C$20:$C$41=IF($AO18="No",$AQ18,$KK18)))))</f>
        <v>0</v>
      </c>
      <c r="AKX18" s="136">
        <f t="array" ref="AKX18">INDEX('China n Importing Ports'!$R$20:$R$41,MATCH(2,1/(('China n Importing Ports'!$D$20:$D$41&lt;=$C18)*('China n Importing Ports'!$C$20:$C$41=IF($AO18="No",$AQ18,$KK18)))))</f>
        <v>0</v>
      </c>
      <c r="AKY18" s="136">
        <f t="array" ref="AKY18">INDEX('China n Importing Ports'!$S$20:$S$41,MATCH(2,1/(('China n Importing Ports'!$D$20:$D$41&lt;=$C18)*('China n Importing Ports'!$C$20:$C$41=IF($AO18="No",$AQ18,$KK18)))))</f>
        <v>0</v>
      </c>
      <c r="AKZ18" s="136">
        <f t="array" ref="AKZ18">INDEX('China n Importing Ports'!$T$20:$T$41,MATCH(2,1/(('China n Importing Ports'!$D$20:$D$41&lt;=$C18)*('China n Importing Ports'!$C$20:$C$41=IF($AO18="No",$AQ18,$KK18)))))</f>
        <v>0</v>
      </c>
      <c r="ALA18" s="136">
        <f t="array" ref="ALA18">INDEX('China n Importing Ports'!$U$20:$U$41,MATCH(2,1/(('China n Importing Ports'!$D$20:$D$41&lt;=$C18)*('China n Importing Ports'!$C$20:$C$41=IF($AO18="No",$AQ18,$KK18)))))</f>
        <v>0</v>
      </c>
      <c r="ALB18" s="136">
        <f t="array" ref="ALB18">INDEX('China n Importing Ports'!$V$20:$V$41,MATCH(2,1/(('China n Importing Ports'!$D$20:$D$41&lt;=$C18)*('China n Importing Ports'!$C$20:$C$41=IF($AO18="No",$AQ18,$KK18)))))</f>
        <v>0</v>
      </c>
      <c r="ALC18" s="136">
        <f t="array" ref="ALC18">INDEX('China n Importing Ports'!$W$20:$W$41,MATCH(2,1/(('China n Importing Ports'!$D$20:$D$41&lt;=$C18)*('China n Importing Ports'!$C$20:$C$41=IF($AO18="No",$AQ18,$KK18)))))</f>
        <v>0</v>
      </c>
      <c r="ALD18" s="136">
        <f t="array" ref="ALD18">INDEX('China n Importing Ports'!$X$20:$X$41,MATCH(2,1/(('China n Importing Ports'!$D$20:$D$41&lt;=$C18)*('China n Importing Ports'!$C$20:$C$41=IF($AO18="No",$AQ18,$KK18)))))</f>
        <v>0</v>
      </c>
      <c r="ALE18" s="136">
        <f t="array" ref="ALE18">INDEX('China n Importing Ports'!$Y$20:$Y$41,MATCH(2,1/(('China n Importing Ports'!$D$20:$D$41&lt;=$C18)*('China n Importing Ports'!$C$20:$C$41=IF($AO18="No",$AQ18,$KK18)))))</f>
        <v>0</v>
      </c>
      <c r="ALF18" s="136">
        <f t="array" ref="ALF18">INDEX('China n Importing Ports'!$Z$20:$Z$41,MATCH(2,1/(('China n Importing Ports'!$D$20:$D$41&lt;=$C18)*('China n Importing Ports'!$C$20:$C$41=IF($AO18="No",$AQ18,$KK18)))))</f>
        <v>0</v>
      </c>
      <c r="ALG18" s="136">
        <f t="array" ref="ALG18">INDEX('China n Importing Ports'!$AA$20:$AA$41,MATCH(2,1/(('China n Importing Ports'!$D$20:$D$41&lt;=$C18)*('China n Importing Ports'!$C$20:$C$41=IF($AO18="No",$AQ18,$KK18)))))</f>
        <v>0</v>
      </c>
      <c r="ALI18" s="75" t="e">
        <f t="array" aca="1" ref="ALI18" ca="1">INDEX(Canals!$G$24:$G$29,MATCH(2,1/((Canals!$F$24:$F$29&lt;=$C18)*(Canals!$G$24:$G$29=_xlfn.IFS(AHT18="Handysize",AKC18,AHT18="Supramax",AJV18,AHT18="Panamax",AJO18,AHT18="NeoPanamax",AJH18,AHT18="Suezmax",AJA18,AHT18="Capesize",AIT18,AHT18="VLOC",AIM18)))))</f>
        <v>#N/A</v>
      </c>
      <c r="ALJ18" s="75" t="e">
        <f t="array" aca="1" ref="ALJ18" ca="1">INDEX(Canals!$H$24:$H$29,MATCH(2,1/((Canals!$F$24:$F$29&lt;=$C18)*(Canals!$G$24:$G$29=_xlfn.IFS(AHT18="Handysize",AKC18,AHT18="Supramax",AJV18,AHT18="Panamax",AJO18,AHT18="NeoPanamax",AJH18,AHT18="Suezmax",AJA18,AHT18="Capesize",AIT18,AHT18="VLOC",AIM18)))))</f>
        <v>#N/A</v>
      </c>
      <c r="ALK18" s="75" t="e">
        <f t="array" aca="1" ref="ALK18" ca="1">INDEX(Canals!$I$24:$I$29,MATCH(2,1/((Canals!$F$24:$F$29&lt;=$C18)*(Canals!$G$24:$G$29=_xlfn.IFS(AHT18="Handysize",AKC18,AHT18="Supramax",AJV18,AHT18="Panamax",AJO18,AHT18="NeoPanamax",AJH18,AHT18="Suezmax",AJA18,AHT18="Capesize",AIT18,AHT18="VLOC",AIM18)))))</f>
        <v>#N/A</v>
      </c>
      <c r="ALL18" s="75" t="e">
        <f t="array" aca="1" ref="ALL18" ca="1">INDEX(Canals!$J$24:$J$29,MATCH(2,1/((Canals!$F$24:$F$29&lt;=$C18)*(Canals!$G$24:$G$29=_xlfn.IFS(AHT18="Handysize",Main!AKC18,AHT18="Supramax",AJV18,AHT18="Panamax",AJO18,AHT18="NeoPanamax",AJH18,AHT18="Suezmax",AJA18,AHT18="Capesize",AIT18,AHT18="VLOC",AIM18)))))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M18" s="75" t="e">
        <f t="array" aca="1" ref="ALM18" ca="1">INDEX(Canals!$K$24:$K$29,MATCH(2,1/((Canals!$F$24:$F$29&lt;=$C18)*(Canals!$G$24:$G$29=_xlfn.IFS(AHT18="Handysize",Main!AKC18,AHT18="Supramax",AJV18,AHT18="Panamax",AJO18,AHT18="NeoPanamax",AJH18,AHT18="Suezmax",AJA18,AHT18="Capesize",AIT18,AHT18="VLOC",AIM18)))))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N18" s="75" t="e">
        <f t="array" aca="1" ref="ALN18" ca="1">INDEX(Canals!$L$24:$L$29,MATCH(2,1/((Canals!$F$24:$F$29&lt;=$C18)*(Canals!$G$24:$G$29=_xlfn.IFS(AHT18="Handysize",Main!AKC18,AHT18="Supramax",AJV18,AHT18="Panamax",AJO18,AHT18="NeoPanamax",AJH18,AHT18="Suezmax",AJA18,AHT18="Capesize",AIT18,AHT18="VLOC",AIM18)))))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O18" s="75" t="e">
        <f t="array" aca="1" ref="ALO18" ca="1">INDEX(Canals!$M$24:$M$29,MATCH(2,1/((Canals!$F$24:$F$29&lt;=$C18)*(Canals!$G$24:$G$29=_xlfn.IFS(AHT18="Handysize",Main!AKC18,AHT18="Supramax",AJV18,AHT18="Panamax",AJO18,AHT18="NeoPanamax",AJH18,AHT18="Suezmax",AJA18,AHT18="Capesize",AIT18,AHT18="VLOC",AIM18)))))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P18" s="75" t="e">
        <f t="array" aca="1" ref="ALP18" ca="1">INDEX(Canals!$N$24:$N$29,MATCH(2,1/((Canals!$F$24:$F$29&lt;=$C18)*(Canals!$G$24:$G$29=_xlfn.IFS(AHT18="Handysize",Main!AKC18,AHT18="Supramax",AJV18,AHT18="Panamax",AJO18,AHT18="NeoPanamax",AJH18,AHT18="Suezmax",AJA18,AHT18="Capesize",AIT18,AHT18="VLOC",AIM18)))))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Q18" s="75" t="e">
        <f t="array" aca="1" ref="ALQ18" ca="1">INDEX(Canals!$O$24:$O$29,MATCH(2,1/((Canals!$F$24:$F$29&lt;=$C18)*(Canals!$G$24:$G$29=_xlfn.IFS(AHT18="Handysize",Main!AKC18,AHT18="Supramax",AJV18,AHT18="Panamax",AJO18,AHT18="NeoPanamax",AJH18,AHT18="Suezmax",AJA18,AHT18="Capesize",AIT18,AHT18="VLOC",AIM18)))))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R18" s="75" t="e">
        <f t="array" aca="1" ref="ALR18" ca="1">INDEX(Canals!$P$24:$P$29,MATCH(2,1/((Canals!$F$24:$F$29&lt;=$C18)*(Canals!$G$24:$G$29=_xlfn.IFS(AHT18="Handysize",Main!AKC18,AHT18="Supramax",AJV18,AHT18="Panamax",AJO18,AHT18="NeoPanamax",AJH18,AHT18="Suezmax",AJA18,AHT18="Capesize",AIT18,AHT18="VLOC",AIM18)))))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S18" s="75" t="e">
        <f t="array" aca="1" ref="ALS18" ca="1">INDEX(Canals!$Q$24:$Q$29,MATCH(2,1/((Canals!$F$24:$F$29&lt;=$C18)*(Canals!$G$24:$G$29=_xlfn.IFS(AHT18="Handysize",Main!AKC18,AHT18="Supramax",AJV18,AHT18="Panamax",AJO18,AHT18="NeoPanamax",AJH18,AHT18="Suezmax",AJA18,AHT18="Capesize",AIT18,AHT18="VLOC",AIM18)))))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T18" s="75" t="e">
        <f t="array" aca="1" ref="ALT18" ca="1">INDEX(Canals!$R$24:$R$29,MATCH(2,1/((Canals!$F$24:$F$29&lt;=$C18)*(Canals!$G$24:$G$29=_xlfn.IFS(AHT18="Handysize",Main!AKC18,AHT18="Supramax",AJV18,AHT18="Panamax",AJO18,AHT18="NeoPanamax",AJH18,AHT18="Suezmax",AJA18,AHT18="Capesize",AIT18,AHT18="VLOC",AIM18)))))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U18" s="136" t="e">
        <f t="array" aca="1" ref="ALU18" ca="1">INDEX(Canals!$S$24:$S$29,MATCH(2,1/((Canals!$F$24:$F$29&lt;=$C18)*(Canals!$G$24:$G$29=_xlfn.IFS(AHT18="Handysize",Main!AKC18,AHT18="Supramax",AJV18,AHT18="Panamax",AJO18,AHT18="NeoPanamax",AJH18,AHT18="Suezmax",AJA18,AHT18="Capesize",AIT18,AHT18="VLOC",AIM18)))))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V18" s="136" t="e">
        <f t="array" aca="1" ref="ALV18" ca="1">INDEX(Canals!$T$24:$T$29,MATCH(2,1/((Canals!$F$24:$F$29&lt;=$C18)*(Canals!$G$24:$G$29=_xlfn.IFS(AHT18="Handysize",Main!AKC18,AHT18="Supramax",AJV18,AHT18="Panamax",AJO18,AHT18="NeoPanamax",AJH18,AHT18="Suezmax",AJA18,AHT18="Capesize",AIT18,AHT18="VLOC",AIM18)))))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W18" s="136" t="e">
        <f t="array" aca="1" ref="ALW18" ca="1">INDEX(Canals!$U$24:$U$29,MATCH(2,1/((Canals!$F$24:$F$29&lt;=$C18)*(Canals!$G$24:$G$29=_xlfn.IFS(AHT18="Handysize",Main!AKC18,AHT18="Supramax",AJV18,AHT18="Panamax",AJO18,AHT18="NeoPanamax",AJH18,AHT18="Suezmax",AJA18,AHT18="Capesize",AIT18,AHT18="VLOC",AIM18)))))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X18" s="136" t="e">
        <f t="array" aca="1" ref="ALX18" ca="1">INDEX(Canals!$V$24:$V$29,MATCH(2,1/((Canals!$F$24:$F$29&lt;=$C18)*(Canals!$G$24:$G$29=_xlfn.IFS(AHT18="Handysize",Main!AKC18,AHT18="Supramax",AJV18,AHT18="Panamax",AJO18,AHT18="NeoPanamax",AJH18,AHT18="Suezmax",AJA18,AHT18="Capesize",AIT18,AHT18="VLOC",AIM18)))))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Y18" s="136" t="e">
        <f t="array" aca="1" ref="ALY18" ca="1">INDEX(Canals!$W$24:$W$29,MATCH(2,1/((Canals!$F$24:$F$29&lt;=$C18)*(Canals!$G$24:$G$29=_xlfn.IFS(AHT18="Handysize",Main!AKC18,AHT18="Supramax",AJV18,AHT18="Panamax",AJO18,AHT18="NeoPanamax",AJH18,AHT18="Suezmax",AJA18,AHT18="Capesize",AIT18,AHT18="VLOC",AIM18)))))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LZ18" s="136" t="e">
        <f t="array" aca="1" ref="ALZ18" ca="1">INDEX(Canals!$X$24:$X$29,MATCH(2,1/((Canals!$F$24:$F$29&lt;=$C18)*(Canals!$G$24:$G$29=_xlfn.IFS(AHT18="Handysize",Main!AKC18,AHT18="Supramax",AJV18,AHT18="Panamax",AJO18,AHT18="NeoPanamax",AJH18,AHT18="Suezmax",AJA18,AHT18="Capesize",AIT18,AHT18="VLOC",AIM18)))))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A18" s="136" t="e">
        <f t="array" aca="1" ref="AMA18" ca="1">INDEX(Canals!$Y$24:$Y$29,MATCH(2,1/((Canals!$F$24:$F$29&lt;=$C18)*(Canals!$G$24:$G$29=_xlfn.IFS(AHT18="Handysize",Main!AKC18,AHT18="Supramax",AJV18,AHT18="Panamax",AJO18,AHT18="NeoPanamax",AJH18,AHT18="Suezmax",AJA18,AHT18="Capesize",AIT18,AHT18="VLOC",AIM18)))))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B18" s="136" t="e">
        <f t="array" aca="1" ref="AMB18" ca="1">INDEX(Canals!$Z$24:$Z$29,MATCH(2,1/((Canals!$F$24:$F$29&lt;=$C18)*(Canals!$G$24:$G$29=_xlfn.IFS(AHT18="Handysize",Main!AKC18,AHT18="Supramax",AJV18,AHT18="Panamax",AJO18,AHT18="NeoPanamax",AJH18,AHT18="Suezmax",AJA18,AHT18="Capesize",AIT18,AHT18="VLOC",AIM18)))))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C18" s="136" t="e">
        <f t="array" aca="1" ref="AMC18" ca="1">INDEX(Canals!$AA$24:$AA$29,MATCH(2,1/((Canals!$F$24:$F$29&lt;=$C18)*(Canals!$G$24:$G$29=_xlfn.IFS(AHT18="Handysize",Main!AKC18,AHT18="Supramax",AJV18,AHT18="Panamax",AJO18,AHT18="NeoPanamax",AJH18,AHT18="Suezmax",AJA18,AHT18="Capesize",AIT18,AHT18="VLOC",AIM18)))))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D18" s="136" t="e">
        <f t="array" aca="1" ref="AMD18" ca="1">INDEX(Canals!$AB$24:$AB$29,MATCH(2,1/((Canals!$F$24:$F$29&lt;=$C18)*(Canals!$G$24:$G$29=_xlfn.IFS(AHT18="Handysize",Main!AKC18,AHT18="Supramax",AJV18,AHT18="Panamax",AJO18,AHT18="NeoPanamax",AJH18,AHT18="Suezmax",AJA18,AHT18="Capesize",AIT18,AHT18="VLOC",AIM18)))))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E18" s="75" t="e">
        <f t="array" aca="1" ref="AME18" ca="1">INDEX(Canals!$AC$24:$AC$29,MATCH(2,1/((Canals!$F$24:$F$29&lt;=$C18)*(Canals!$G$24:$G$29=_xlfn.IFS(AHT18="Handysize",Main!AKC18,AHT18="Supramax",AJV18,AHT18="Panamax",AJO18,AHT18="NeoPanamax",AJH18,AHT18="Suezmax",AJA18,AHT18="Capesize",AIT18,AHT18="VLOC",AIM18)))))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F18" s="75" t="e">
        <f t="array" aca="1" ref="AMF18" ca="1">INDEX(Canals!$AD$24:$AD$29,MATCH(2,1/((Canals!$F$24:$F$29&lt;=$C18)*(Canals!$G$24:$G$29=_xlfn.IFS(AHT18="Handysize",Main!AKC18,AHT18="Supramax",AJV18,AHT18="Panamax",AJO18,AHT18="NeoPanamax",AJH18,AHT18="Suezmax",AJA18,AHT18="Capesize",AIT18,AHT18="VLOC",AIM18)))))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G18" s="75" t="e">
        <f t="array" aca="1" ref="AMG18" ca="1">INDEX(Canals!$AE$24:$AE$29,MATCH(2,1/((Canals!$F$24:$F$29&lt;=$C18)*(Canals!$G$24:$G$29=_xlfn.IFS(AHT18="Handysize",Main!AKC18,AHT18="Supramax",AJV18,AHT18="Panamax",AJO18,AHT18="NeoPanamax",AJH18,AHT18="Suezmax",AJA18,AHT18="Capesize",AIT18,AHT18="VLOC",AIM18)))))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H18" s="75" t="e">
        <f t="array" aca="1" ref="AMH18" ca="1">INDEX(Canals!$AF$24:$AF$29,MATCH(2,1/((Canals!$F$24:$F$29&lt;=$C18)*(Canals!$G$24:$G$29=_xlfn.IFS(AHT18="Handysize",Main!AKC18,AHT18="Supramax",AJV18,AHT18="Panamax",AJO18,AHT18="NeoPanamax",AJH18,AHT18="Suezmax",AJA18,AHT18="Capesize",AIT18,AHT18="VLOC",AIM18)))))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I18" s="75" t="e">
        <f t="array" aca="1" ref="AMI18" ca="1">INDEX(Canals!$AG$24:$AG$29,MATCH(2,1/((Canals!$F$24:$F$29&lt;=$C18)*(Canals!$G$24:$G$29=_xlfn.IFS(AHT18="Handysize",Main!AKC18,AHT18="Supramax",AJV18,AHT18="Panamax",AJO18,AHT18="NeoPanamax",AJH18,AHT18="Suezmax",AJA18,AHT18="Capesize",AIT18,AHT18="VLOC",AIM18)))))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J18" s="75" t="e">
        <f t="array" aca="1" ref="AMJ18" ca="1">INDEX(Canals!$AH$24:$AH$29,MATCH(2,1/((Canals!$F$24:$F$29&lt;=$C18)*(Canals!$G$24:$G$29=_xlfn.IFS(AHT18="Handysize",Main!AKC18,AHT18="Supramax",AJV18,AHT18="Panamax",AJO18,AHT18="NeoPanamax",AJH18,AHT18="Suezmax",AJA18,AHT18="Capesize",AIT18,AHT18="VLOC",AIM18)))))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K18" s="75" t="e">
        <f t="array" aca="1" ref="AMK18" ca="1">INDEX(Canals!$AI$24:$AI$29,MATCH(2,1/((Canals!$F$24:$F$29&lt;=$C18)*(Canals!$G$24:$G$29=_xlfn.IFS(AHT18="Handysize",Main!AKC18,AHT18="Supramax",AJV18,AHT18="Panamax",AJO18,AHT18="NeoPanamax",AJH18,AHT18="Suezmax",AJA18,AHT18="Capesize",AIT18,AHT18="VLOC",AIM18)))))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L18" s="75" t="e">
        <f t="array" aca="1" ref="AML18" ca="1">INDEX(Canals!$AJ$24:$AJ$29,MATCH(2,1/((Canals!$F$24:$F$29&lt;=$C18)*(Canals!$G$24:$G$29=_xlfn.IFS(AHT18="Handysize",Main!AKC18,AHT18="Supramax",AJV18,AHT18="Panamax",AJO18,AHT18="NeoPanamax",AJH18,AHT18="Suezmax",AJA18,AHT18="Capesize",AIT18,AHT18="VLOC",AIM18)))))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M18" s="75" t="e">
        <f t="array" aca="1" ref="AMM18" ca="1">INDEX(Canals!$AK$24:$AK$29,MATCH(2,1/((Canals!$F$24:$F$29&lt;=$C18)*(Canals!$G$24:$G$29=_xlfn.IFS(AHT18="Handysize",Main!AKC18,AHT18="Supramax",AJV18,AHT18="Panamax",AJO18,AHT18="NeoPanamax",AJH18,AHT18="Suezmax",AJA18,AHT18="Capesize",AIT18,AHT18="VLOC",AIM18)))))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N18" s="136" t="e">
        <f t="array" aca="1" ref="AMN18" ca="1">INDEX(Canals!$AL$24:$AL$29,MATCH(2,1/((Canals!$F$24:$F$29&lt;=$C18)*(Canals!$G$24:$G$29=_xlfn.IFS(AHT18="Handysize",Main!AKC18,AHT18="Supramax",AJV18,AHT18="Panamax",AJO18,AHT18="NeoPanamax",AJH18,AHT18="Suezmax",AJA18,AHT18="Capesize",AIT18,AHT18="VLOC",AIM18)))))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O18" s="136" t="e">
        <f t="array" aca="1" ref="AMO18" ca="1">INDEX(Canals!$AM$24:$AM$29,MATCH(2,1/((Canals!$F$24:$F$29&lt;=$C18)*(Canals!$G$24:$G$29=_xlfn.IFS(AHT18="Handysize",Main!AKC18,AHT18="Supramax",AJV18,AHT18="Panamax",AJO18,AHT18="NeoPanamax",AJH18,AHT18="Suezmax",AJA18,AHT18="Capesize",AIT18,AHT18="VLOC",AIM18)))))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P18" s="136" t="e">
        <f t="array" aca="1" ref="AMP18" ca="1">INDEX(Canals!$AN$24:$AN$29,MATCH(2,1/((Canals!$F$24:$F$29&lt;=$C18)*(Canals!$G$24:$G$29=_xlfn.IFS(AHT18="Handysize",Main!AKC18,AHT18="Supramax",AJV18,AHT18="Panamax",AJO18,AHT18="NeoPanamax",AJH18,AHT18="Suezmax",AJA18,AHT18="Capesize",AIT18,AHT18="VLOC",AIM18)))))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Q18" s="136" t="e">
        <f t="array" aca="1" ref="AMQ18" ca="1">INDEX(Canals!$AO$24:$AO$29,MATCH(2,1/((Canals!$F$24:$F$29&lt;=$C18)*(Canals!$G$24:$G$29=_xlfn.IFS(AHT18="Handysize",Main!AKC18,AHT18="Supramax",AJV18,AHT18="Panamax",AJO18,AHT18="NeoPanamax",AJH18,AHT18="Suezmax",AJA18,AHT18="Capesize",AIT18,AHT18="VLOC",AIM18)))))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R18" s="136" t="e">
        <f t="array" aca="1" ref="AMR18" ca="1">INDEX(Canals!$AP$24:$AP$29,MATCH(2,1/((Canals!$F$24:$F$29&lt;=$C18)*(Canals!$G$24:$G$29=_xlfn.IFS(AHT18="Handysize",Main!AKC18,AHT18="Supramax",AJV18,AHT18="Panamax",AJO18,AHT18="NeoPanamax",AJH18,AHT18="Suezmax",AJA18,AHT18="Capesize",AIT18,AHT18="VLOC",AIM18)))))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S18" s="136" t="e">
        <f t="array" aca="1" ref="AMS18" ca="1">INDEX(Canals!$AQ$24:$AQ$29,MATCH(2,1/((Canals!$F$24:$F$29&lt;=$C18)*(Canals!$G$24:$G$29=_xlfn.IFS(AHT18="Handysize",Main!AKC18,AHT18="Supramax",AJV18,AHT18="Panamax",AJO18,AHT18="NeoPanamax",AJH18,AHT18="Suezmax",AJA18,AHT18="Capesize",AIT18,AHT18="VLOC",AIM18)))))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T18" s="136" t="e">
        <f t="array" aca="1" ref="AMT18" ca="1">INDEX(Canals!$AR$24:$AR$29,MATCH(2,1/((Canals!$F$24:$F$29&lt;=$C18)*(Canals!$G$24:$G$29=_xlfn.IFS(AHT18="Handysize",Main!AKC18,AHT18="Supramax",AJV18,AHT18="Panamax",AJO18,AHT18="NeoPanamax",AJH18,AHT18="Suezmax",AJA18,AHT18="Capesize",AIT18,AHT18="VLOC",AIM18)))))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U18" s="136" t="e">
        <f t="array" aca="1" ref="AMU18" ca="1">INDEX(Canals!$AS$24:$AS$29,MATCH(2,1/((Canals!$F$24:$F$29&lt;=$C18)*(Canals!$G$24:$G$29=_xlfn.IFS(AHT18="Handysize",Main!AKC18,AHT18="Supramax",AJV18,AHT18="Panamax",AJO18,AHT18="NeoPanamax",AJH18,AHT18="Suezmax",AJA18,AHT18="Capesize",AIT18,AHT18="VLOC",AIM18)))))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V18" s="136" t="e">
        <f t="array" aca="1" ref="AMV18" ca="1">INDEX(Canals!$AT$24:$AT$29,MATCH(2,1/((Canals!$F$24:$F$29&lt;=$C18)*(Canals!$G$24:$G$29=_xlfn.IFS(AHT18="Handysize",Main!AKC18,AHT18="Supramax",AJV18,AHT18="Panamax",AJO18,AHT18="NeoPanamax",AJH18,AHT18="Suezmax",AJA18,AHT18="Capesize",AIT18,AHT18="VLOC",AIM18)))))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W18" s="136" t="e">
        <f t="array" aca="1" ref="AMW18" ca="1">INDEX(Canals!$AU$24:$AU$29,MATCH(2,1/((Canals!$F$24:$F$29&lt;=$C18)*(Canals!$G$24:$G$29=_xlfn.IFS(AHT18="Handysize",Main!AKC18,AHT18="Supramax",AJV18,AHT18="Panamax",AJO18,AHT18="NeoPanamax",AJH18,AHT18="Suezmax",AJA18,AHT18="Capesize",AIT18,AHT18="VLOC",AIM18)))))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X18" s="136" t="e">
        <f t="array" aca="1" ref="AMX18" ca="1">INDEX(Canals!$AV$24:$AV$29,MATCH(2,1/((Canals!$F$24:$F$29&lt;=$C18)*(Canals!$G$24:$G$29=_xlfn.IFS(AHT18="Handysize",Main!AKC18,AHT18="Supramax",AJV18,AHT18="Panamax",AJO18,AHT18="NeoPanamax",AJH18,AHT18="Suezmax",AJA18,AHT18="Capesize",AIT18,AHT18="VLOC",AIM18)))))</f>
        <v>#N/A</v>
      </c>
      <c r="AMZ18" s="75" t="e">
        <f t="array" aca="1" ref="AMZ18" ca="1">_xlfn.IFS(ALK18="DWT",AHR18,ALK18="NRT",AHV18,ALK18="GRT",AHW18,ALK18=0,0)</f>
        <v>#NAME?</v>
      </c>
      <c r="ANA18" s="279" t="e">
        <f t="shared" ca="1" si="227"/>
        <v>#NAME?</v>
      </c>
      <c r="ANB18" s="280" t="e">
        <f t="shared" ca="1" si="228"/>
        <v>#NAME?</v>
      </c>
      <c r="ANC18" s="280" t="e">
        <f t="shared" ca="1" si="229"/>
        <v>#NAME?</v>
      </c>
      <c r="AND18" s="280" t="e">
        <f t="shared" ca="1" si="230"/>
        <v>#NAME?</v>
      </c>
      <c r="ANE18" s="280" t="e">
        <f t="shared" ca="1" si="231"/>
        <v>#NAME?</v>
      </c>
      <c r="ANF18" s="280" t="e">
        <f t="shared" ca="1" si="232"/>
        <v>#NAME?</v>
      </c>
      <c r="ANG18" s="280" t="e">
        <f t="shared" ca="1" si="233"/>
        <v>#NAME?</v>
      </c>
      <c r="ANH18" s="280" t="e">
        <f t="shared" ca="1" si="234"/>
        <v>#NAME?</v>
      </c>
      <c r="ANI18" s="280" t="e">
        <f t="shared" ca="1" si="235"/>
        <v>#NAME?</v>
      </c>
      <c r="ANJ18" s="75">
        <f t="shared" si="236"/>
        <v>0</v>
      </c>
      <c r="ANK18" s="279" t="e">
        <f t="shared" ca="1" si="237"/>
        <v>#N/A</v>
      </c>
      <c r="ANL18" s="280" t="e">
        <f t="shared" ca="1" si="238"/>
        <v>#N/A</v>
      </c>
      <c r="ANM18" s="280" t="e">
        <f t="shared" ca="1" si="239"/>
        <v>#N/A</v>
      </c>
      <c r="ANN18" s="280" t="e">
        <f t="shared" ca="1" si="240"/>
        <v>#N/A</v>
      </c>
      <c r="ANO18" s="280" t="e">
        <f t="shared" ca="1" si="241"/>
        <v>#N/A</v>
      </c>
      <c r="ANP18" s="280" t="e">
        <f t="shared" ca="1" si="242"/>
        <v>#N/A</v>
      </c>
      <c r="ANQ18" s="280" t="e">
        <f t="shared" ca="1" si="243"/>
        <v>#N/A</v>
      </c>
      <c r="ANR18" s="280" t="e">
        <f t="shared" ca="1" si="244"/>
        <v>#N/A</v>
      </c>
      <c r="ANS18" s="280" t="e">
        <f t="shared" ca="1" si="245"/>
        <v>#N/A</v>
      </c>
      <c r="ANU18" s="75" t="e">
        <f t="array" aca="1" ref="ANU18" ca="1">_xlfn.IFS(AHT18="Handysize",Main!AJW18,AHT18="Supramax",AJP18,AHT18="Panamax",AJI18,AHT18="NeoPanamax",AJB18,AHT18="Suezmax",AIU18,AHT18="Capesize",AIN18,AHT18="VLOC",AIG18)*$JI18</f>
        <v>#NAME?</v>
      </c>
      <c r="ANV18" s="274" t="e">
        <f t="array" aca="1" ref="ANV18" ca="1">_xlfn.IFS(AHT18="Handysize",Main!AJX18,AHT18="Supramax",AJQ18,AHT18="Panamax",AJJ18,AHT18="NeoPanamax",AJC18,AHT18="Suezmax",AIV18,AHT18="Capesize",AIO18,AHT18="VLOC",AIH18)*$JI18</f>
        <v>#NAME?</v>
      </c>
      <c r="ANW18" s="71" t="e">
        <f t="array" aca="1" ref="ANW18" ca="1">_xlfn.IFS(AHT18="Handysize",Main!AHY18,AHT18="Supramax",AHZ18,AHT18="Panamax",AIA18,AHT18="NeoPanamax",AIB18,AHT18="Suezmax",AIC18,AHT18="Capesize",AID18,AHT18="VLOC",AIE18)</f>
        <v>#NAME?</v>
      </c>
      <c r="ANX18" s="71" t="e">
        <f t="array" aca="1" ref="ANX18" ca="1">_xlfn.IFS(AHT18="Handysize",Main!AKK18,AHT18="Supramax",AKL18,AHT18="Panamax",AKM18,AHT18="NeoPanamax",AKN18,AHT18="Suezmax",AKO18,AHT18="Capesize",AKP18,AHT18="VLOC",AKQ18)</f>
        <v>#NAME?</v>
      </c>
      <c r="ANY18" s="70">
        <f t="array" ref="ANY18">INDEX('Ship Speeds'!$G$11:$G$1011,MATCH(2,1/(('Ship Speeds'!$E$11:$E$1011&lt;=Main!$C18)*('Ship Speeds'!$F$11:$F$1011=Main!AHS18))))</f>
        <v>11</v>
      </c>
      <c r="ANZ18" s="403">
        <f t="shared" si="246"/>
        <v>0</v>
      </c>
      <c r="AOA18" s="401">
        <f t="shared" si="247"/>
        <v>1.2</v>
      </c>
      <c r="AOB18" s="70" t="e">
        <f t="shared" ca="1" si="248"/>
        <v>#NAME?</v>
      </c>
      <c r="AOC18" s="70" t="e">
        <f t="shared" ca="1" si="249"/>
        <v>#NAME?</v>
      </c>
      <c r="AOD18" s="70" t="e">
        <f t="shared" ca="1" si="250"/>
        <v>#NAME?</v>
      </c>
      <c r="AOE18" s="70" t="e">
        <f t="shared" ca="1" si="251"/>
        <v>#NAME?</v>
      </c>
      <c r="AOF18" s="72" t="e">
        <f t="shared" ca="1" si="252"/>
        <v>#N/A</v>
      </c>
      <c r="AOG18" s="70" t="e">
        <f t="shared" ca="1" si="253"/>
        <v>#NAME?</v>
      </c>
      <c r="AOH18" s="70" t="e">
        <f t="array" aca="1" ref="AOH18" ca="1">IF(ANU18=0,0,INDEX(AKE18:AKI18,MATCH(_xlfn.IFS(AHT18="Handysize",Main!AKA18,AHT18="Supramax",AJT18,AHT18="Panamax",AJM18,AHT18="NeoPanamax",AJF18,AHT18="Suezmax",AIY18,AHT18="Capesize",AIR18,AHT18="VLOC",AIK18),$AKE$7:$AKI$7,0)))</f>
        <v>#NAME?</v>
      </c>
      <c r="AOI18" s="70" t="e">
        <f t="array" aca="1" ref="AOI18" ca="1">IF(ANU18=0,0,INDEX(AKE18:AKI18,MATCH(_xlfn.IFS(AHT18="Handysize",Main!AKB18,AHT18="Supramax",AJU18,AHT18="Panamax",AJN18,AHT18="NeoPanamax",AJG18,AHT18="Suezmax",AIZ18,AHT18="Capesize",AIS18,AHT18="VLOC",AIL18),$AKE$7:$AKI$7,0)))</f>
        <v>#NAME?</v>
      </c>
      <c r="AOJ18" s="71" t="e">
        <f t="shared" ca="1" si="254"/>
        <v>#NAME?</v>
      </c>
      <c r="AOK18" s="71" t="e">
        <f t="shared" ca="1" si="255"/>
        <v>#NAME?</v>
      </c>
      <c r="AOL18" s="281" t="e">
        <f t="shared" ca="1" si="256"/>
        <v>#NAME?</v>
      </c>
      <c r="AOM18" s="71" t="e">
        <f t="shared" ca="1" si="257"/>
        <v>#NAME?</v>
      </c>
      <c r="AON18" s="71" t="e">
        <f t="shared" ca="1" si="258"/>
        <v>#NAME?</v>
      </c>
      <c r="AOO18" s="71" t="e">
        <f t="shared" ca="1" si="259"/>
        <v>#NAME?</v>
      </c>
      <c r="AOP18" s="71" t="e">
        <f t="shared" ca="1" si="260"/>
        <v>#NAME?</v>
      </c>
      <c r="AOQ18" s="71" t="e">
        <f t="shared" ca="1" si="261"/>
        <v>#NAME?</v>
      </c>
      <c r="AOR18" s="71" t="e">
        <f t="shared" ca="1" si="262"/>
        <v>#NAME?</v>
      </c>
      <c r="AOS18" s="71" t="e">
        <f t="shared" ca="1" si="263"/>
        <v>#NAME?</v>
      </c>
      <c r="AOT18" s="71" t="e">
        <f t="shared" ca="1" si="264"/>
        <v>#NAME?</v>
      </c>
      <c r="AOU18" s="71" t="e">
        <f t="shared" ca="1" si="265"/>
        <v>#NAME?</v>
      </c>
      <c r="AOV18" s="71" t="e">
        <f t="shared" ca="1" si="266"/>
        <v>#NAME?</v>
      </c>
      <c r="AOW18" s="71" t="e">
        <f t="shared" ca="1" si="267"/>
        <v>#NAME?</v>
      </c>
      <c r="AOX18" s="71" t="e">
        <f t="shared" ca="1" si="268"/>
        <v>#NAME?</v>
      </c>
      <c r="AOY18" s="72" t="e">
        <f t="shared" ca="1" si="269"/>
        <v>#NAME?</v>
      </c>
      <c r="AOZ18" s="72" t="e">
        <f t="shared" ca="1" si="270"/>
        <v>#NAME?</v>
      </c>
      <c r="APA18" s="71" t="e">
        <f t="shared" ca="1" si="271"/>
        <v>#NAME?</v>
      </c>
      <c r="APB18" s="71" t="e">
        <f t="array" aca="1" ref="APB18" ca="1">IF(ANU18=0,0,INDEX('Ship Time Charter Rates'!$H$22:$H$1021,MATCH(2,1/(('Ship Time Charter Rates'!$G$22:$G$1021=_xlfn.IFS(AHT18="Handysize",Main!AJY18,AHT18="Supramax",AJR18,AHT18="Panamax",AJK18,AHT18="NeoPanamax",AJD18,AHT18="Suezmax",AIW18,AHT18="Capesize",AIP18,AHT18="VLOC",AII18))*('Ship Time Charter Rates'!$E$22:$E$1021&lt;=Main!$C18)*(NOT(ISBLANK('Ship Time Charter Rates'!$H$22:$H$1021)))))))</f>
        <v>#NAME?</v>
      </c>
      <c r="APC18" s="71" t="e">
        <f t="shared" ca="1" si="272"/>
        <v>#NAME?</v>
      </c>
      <c r="APD18" s="70" t="e">
        <f t="shared" ca="1" si="273"/>
        <v>#NAME?</v>
      </c>
      <c r="APE18" s="71" t="e">
        <f t="shared" ca="1" si="274"/>
        <v>#NAME?</v>
      </c>
      <c r="APF18" s="71" t="e">
        <f t="shared" ca="1" si="308"/>
        <v>#NAME?</v>
      </c>
      <c r="APG18" s="72" t="e">
        <f t="shared" ca="1" si="309"/>
        <v>#NAME?</v>
      </c>
      <c r="API18" s="287" t="s">
        <v>39</v>
      </c>
      <c r="APK18" s="289" t="e">
        <f t="shared" ca="1" si="275"/>
        <v>#NAME?</v>
      </c>
      <c r="APL18" s="289" t="e">
        <f t="shared" ca="1" si="276"/>
        <v>#NAME?</v>
      </c>
      <c r="APM18" s="289" t="e">
        <f t="shared" ca="1" si="277"/>
        <v>#NAME?</v>
      </c>
      <c r="APO18" s="287" t="s">
        <v>39</v>
      </c>
    </row>
    <row r="19" spans="2:1107">
      <c r="C19" s="5">
        <v>43923</v>
      </c>
      <c r="D19" s="7" t="s">
        <v>20</v>
      </c>
      <c r="E19" s="86" t="s">
        <v>438</v>
      </c>
      <c r="F19" s="6">
        <v>50</v>
      </c>
      <c r="G19" s="1" t="s">
        <v>185</v>
      </c>
      <c r="H19" s="1" t="s">
        <v>5</v>
      </c>
      <c r="I19" s="15"/>
      <c r="J19" s="15"/>
      <c r="K19" s="15"/>
      <c r="L19" s="15"/>
      <c r="M19" s="15"/>
      <c r="N19" s="15"/>
      <c r="O19" s="15"/>
      <c r="P19" s="8"/>
      <c r="Q19" s="98"/>
      <c r="R19" s="7" t="s">
        <v>95</v>
      </c>
      <c r="T19" s="287" t="s">
        <v>39</v>
      </c>
      <c r="V19" s="4"/>
      <c r="W19" s="16" t="str">
        <f t="shared" si="0"/>
        <v>not used yet</v>
      </c>
      <c r="X19" s="16" t="str">
        <f t="shared" si="0"/>
        <v>not used yet</v>
      </c>
      <c r="Y19" s="16" t="str">
        <f t="shared" si="0"/>
        <v>not used yet</v>
      </c>
      <c r="Z19" s="16" t="str">
        <f t="shared" si="0"/>
        <v>not used yet</v>
      </c>
      <c r="AA19" s="16" t="str">
        <f t="shared" si="0"/>
        <v>not used yet</v>
      </c>
      <c r="AB19" s="16" t="str">
        <f t="shared" si="0"/>
        <v>not used yet</v>
      </c>
      <c r="AC19" s="16" t="str">
        <f t="shared" si="0"/>
        <v>not used yet</v>
      </c>
      <c r="AE19" s="88" t="str">
        <f t="shared" si="1"/>
        <v>Bauxite Hills</v>
      </c>
      <c r="AF19" s="16">
        <f t="shared" si="310"/>
        <v>0.51300000000000001</v>
      </c>
      <c r="AG19" s="16">
        <f t="shared" si="311"/>
        <v>0.40500000000000003</v>
      </c>
      <c r="AH19" s="61">
        <f t="shared" si="312"/>
        <v>9.5000000000000001E-2</v>
      </c>
      <c r="AI19" s="61">
        <f t="shared" si="313"/>
        <v>5.0999999999999997E-2</v>
      </c>
      <c r="AJ19" s="61">
        <f t="shared" si="314"/>
        <v>4.4000000000000004E-2</v>
      </c>
      <c r="AK19" s="16">
        <f t="shared" si="315"/>
        <v>5.6999999999999988E-2</v>
      </c>
      <c r="AL19" s="16">
        <f t="shared" si="316"/>
        <v>0.1</v>
      </c>
      <c r="AM19" s="24" t="str">
        <f t="shared" si="3"/>
        <v>HT-D</v>
      </c>
      <c r="AN19" s="427">
        <f t="shared" si="278"/>
        <v>55721.25</v>
      </c>
      <c r="AO19" s="127" t="str">
        <f t="array" ref="AO19">IFERROR(IF(AND(AN19&gt;'Indices Mines Exporting Ports'!$D$11,MATCH(2,1/(('Indices Mines Exporting Ports'!$B$3:$B$10&lt;=C19)*('Indices Mines Exporting Ports'!$C$3:$C$10=E19)))),"Yes","No"),"No")</f>
        <v>No</v>
      </c>
      <c r="AP19" s="126" t="str">
        <f t="array" ref="AP19">IF(AO19="Yes",INDEX('Indices Mines Exporting Ports'!$D$3:$D$10,MATCH(2,1/(('Indices Mines Exporting Ports'!$B$3:$B$10&lt;=Main!C19)*('Indices Mines Exporting Ports'!$C$3:$C$10=Main!AE19)))),IF(NOT(ISBLANK(Q19)),Q19,IP19))</f>
        <v>Bauxite_Hills_offshore</v>
      </c>
      <c r="AQ19" s="262">
        <f t="array" ref="AQ19">IF(AO19="no",0,INDEX('Indices Mines Exporting Ports'!$E$3:$E$10,MATCH(2,1/(('Indices Mines Exporting Ports'!$B$3:$B$10&lt;=Main!$C19)*('Indices Mines Exporting Ports'!$D$3:$D$10=Main!$AP19)))))</f>
        <v>0</v>
      </c>
      <c r="AR19" s="267">
        <f t="array" ref="AR19">IF(AO19="No",0,AN19/ROUND(AN19/INDEX('Indices Mines Exporting Ports'!$F$3:$F$10,MATCH(2,1/(('Indices Mines Exporting Ports'!$B$3:$B$10&lt;=Main!C19)*('Indices Mines Exporting Ports'!$C$3:$C$10=Main!AE19)))),0))</f>
        <v>0</v>
      </c>
      <c r="AS19" s="127" t="str">
        <f t="shared" si="4"/>
        <v>Qingdao</v>
      </c>
      <c r="AT19" s="100" t="str">
        <f t="shared" si="317"/>
        <v>Australia HT</v>
      </c>
      <c r="AU19" s="100" t="str">
        <f t="shared" si="318"/>
        <v>CBIX HT</v>
      </c>
      <c r="AV19" s="242" t="s">
        <v>4</v>
      </c>
      <c r="AW19" s="242" t="s">
        <v>5</v>
      </c>
      <c r="AX19" s="292" t="e">
        <f t="shared" ca="1" si="6"/>
        <v>#NAME?</v>
      </c>
      <c r="AY19" s="291" t="e">
        <f t="shared" ca="1" si="7"/>
        <v>#NAME?</v>
      </c>
      <c r="AZ19" s="292" t="e">
        <f t="shared" ca="1" si="8"/>
        <v>#NAME?</v>
      </c>
      <c r="BA19" s="102">
        <f t="shared" si="9"/>
        <v>0.67</v>
      </c>
      <c r="BB19" s="12"/>
      <c r="BC19" s="306" t="s">
        <v>403</v>
      </c>
      <c r="BD19" s="407">
        <f t="shared" si="279"/>
        <v>0</v>
      </c>
      <c r="BE19" s="407">
        <f t="shared" si="279"/>
        <v>0</v>
      </c>
      <c r="BF19" s="407" t="e">
        <f t="shared" ca="1" si="279"/>
        <v>#NAME?</v>
      </c>
      <c r="BG19" s="407">
        <f t="shared" si="280"/>
        <v>0</v>
      </c>
      <c r="BH19" s="407" t="e">
        <f t="shared" ca="1" si="281"/>
        <v>#NAME?</v>
      </c>
      <c r="BI19" s="263" t="e">
        <f t="shared" ca="1" si="282"/>
        <v>#NAME?</v>
      </c>
      <c r="BK19" s="287" t="s">
        <v>39</v>
      </c>
      <c r="BM19" s="291" t="e">
        <f t="shared" ca="1" si="283"/>
        <v>#NAME?</v>
      </c>
      <c r="BN19" s="298">
        <f t="shared" si="284"/>
        <v>0.51300000000000001</v>
      </c>
      <c r="BO19" s="298">
        <f t="shared" si="285"/>
        <v>0.40500000000000003</v>
      </c>
      <c r="BP19" s="298">
        <f t="shared" si="286"/>
        <v>9.5000000000000001E-2</v>
      </c>
      <c r="BQ19" s="298">
        <f t="shared" si="287"/>
        <v>5.0999999999999997E-2</v>
      </c>
      <c r="BR19" s="298">
        <f t="shared" si="288"/>
        <v>4.4000000000000004E-2</v>
      </c>
      <c r="BS19" s="298">
        <f t="shared" si="289"/>
        <v>5.6999999999999988E-2</v>
      </c>
      <c r="BT19" s="298">
        <f t="shared" si="290"/>
        <v>0.1</v>
      </c>
      <c r="BU19" s="307" t="str">
        <f t="shared" si="291"/>
        <v>HT-D</v>
      </c>
      <c r="BV19" s="291">
        <f t="shared" si="292"/>
        <v>0.67</v>
      </c>
      <c r="BX19" s="300">
        <f t="array" ref="BX19">INDEX('Processing Factors'!$D$8:$D$29,MATCH(2,1/(('Processing Factors'!$B$8:$B$29&lt;=Main!$C19)*('Processing Factors'!$C$8:$C$29=Main!BU19))))</f>
        <v>1</v>
      </c>
      <c r="BY19" s="299">
        <f t="array" ref="BY19">INDEX('Processing Factors'!$E$8:$E$29,MATCH(2,1/(('Processing Factors'!$B$8:$B$29&lt;=Main!$C19)*('Processing Factors'!$C$8:$C$29=Main!BU19))))</f>
        <v>1.23</v>
      </c>
      <c r="BZ19" s="299">
        <f t="array" ref="BZ19">INDEX('Processing Factors'!$F$8:$F$29,MATCH(2,1/(('Processing Factors'!$B$8:$B$29&lt;=Main!$C19)*('Processing Factors'!$C$8:$C$29=Main!BU19))))</f>
        <v>0.6</v>
      </c>
      <c r="CA19" s="299">
        <f t="array" ref="CA19">INDEX('Processing Factors'!$G$8:$G$29,MATCH(2,1/(('Processing Factors'!$B$8:$B$29&lt;=Main!$C19)*('Processing Factors'!$C$8:$C$29=Main!BU19))))</f>
        <v>0.22</v>
      </c>
      <c r="CB19" s="299">
        <f t="array" ref="CB19">INDEX('Processing Factors'!$H$8:$H$29,MATCH(2,1/(('Processing Factors'!$B$8:$B$29&lt;=Main!$C19)*('Processing Factors'!$C$8:$C$29=Main!BU19))))</f>
        <v>13.5</v>
      </c>
      <c r="CC19" s="300">
        <f t="array" ref="CC19">INDEX('Processing Factors'!$I$8:$I$29,MATCH(2,1/(('Processing Factors'!$B$8:$B$29&lt;=Main!$C19)*('Processing Factors'!$C$8:$C$29=Main!BU19))))</f>
        <v>1</v>
      </c>
      <c r="CD19" s="300">
        <f t="array" ref="CD19">INDEX('Processing Factors'!$J$8:$J$29,MATCH(2,1/(('Processing Factors'!$B$8:$B$29&lt;=Main!$C19)*('Processing Factors'!$C$8:$C$29=Main!BU19))))</f>
        <v>0.9</v>
      </c>
      <c r="CE19" s="299">
        <f t="array" ref="CE19">INDEX('Processing Factors'!$K$8:$K$29,MATCH(2,1/(('Processing Factors'!$B$8:$B$29&lt;=Main!$C19)*('Processing Factors'!$C$8:$C$29=Main!BU19))))</f>
        <v>3.5000000000000003E-2</v>
      </c>
      <c r="CG19" s="302">
        <f t="shared" si="10"/>
        <v>0.51300000000000001</v>
      </c>
      <c r="CH19" s="302">
        <f t="shared" si="11"/>
        <v>9.5000000000000001E-2</v>
      </c>
      <c r="CI19" s="302">
        <f t="shared" si="12"/>
        <v>0.39615</v>
      </c>
      <c r="CJ19" s="299">
        <f t="shared" si="13"/>
        <v>2.8047737248797455</v>
      </c>
      <c r="CK19" s="281" t="e">
        <f t="shared" ca="1" si="14"/>
        <v>#NAME?</v>
      </c>
      <c r="CL19" s="299">
        <f t="shared" si="15"/>
        <v>0.19487210231814547</v>
      </c>
      <c r="CM19" s="281">
        <f t="shared" si="16"/>
        <v>46.817774723127101</v>
      </c>
      <c r="CN19" s="281">
        <f t="shared" si="17"/>
        <v>55.9712938100622</v>
      </c>
      <c r="CO19" s="281">
        <f t="shared" si="18"/>
        <v>7.4618428490672706</v>
      </c>
      <c r="CP19" s="299">
        <f t="shared" si="19"/>
        <v>2.2196458271978909</v>
      </c>
      <c r="CQ19" s="281">
        <f t="shared" si="20"/>
        <v>9.4105956495105616</v>
      </c>
      <c r="CR19" s="281" t="e">
        <f t="shared" ca="1" si="21"/>
        <v>#NAME?</v>
      </c>
      <c r="CT19" s="287" t="s">
        <v>39</v>
      </c>
      <c r="CV19" s="305" t="e">
        <f t="shared" ca="1" si="22"/>
        <v>#NAME?</v>
      </c>
      <c r="CW19" s="61">
        <f t="array" ref="CW19">INDEX('Indices Mines Exporting Ports'!E$20:E$51, MATCH(2,1/(('Indices Mines Exporting Ports'!$C$20:$C$51=$AT19)*('Indices Mines Exporting Ports'!$D$20:$D$51&lt;=$C19))))</f>
        <v>0.54</v>
      </c>
      <c r="CX19" s="61">
        <f t="array" ref="CX19">INDEX('Indices Mines Exporting Ports'!F$20:F$51, MATCH(2,1/(('Indices Mines Exporting Ports'!$C$20:$C$51=$AT19)*('Indices Mines Exporting Ports'!$D$20:$D$51&lt;=$C19))))</f>
        <v>0.37250000000000005</v>
      </c>
      <c r="CY19" s="61">
        <f t="array" ref="CY19">INDEX('Indices Mines Exporting Ports'!G$20:G$51, MATCH(2,1/(('Indices Mines Exporting Ports'!$C$20:$C$51=$AT19)*('Indices Mines Exporting Ports'!$D$20:$D$51&lt;=$C19))))</f>
        <v>0.09</v>
      </c>
      <c r="CZ19" s="61">
        <f t="array" ref="CZ19">INDEX('Indices Mines Exporting Ports'!H$20:H$51, MATCH(2,1/(('Indices Mines Exporting Ports'!$C$20:$C$51=$AT19)*('Indices Mines Exporting Ports'!$D$20:$D$51&lt;=$C19))))</f>
        <v>6.7500000000000004E-2</v>
      </c>
      <c r="DA19" s="61">
        <f t="array" ref="DA19">INDEX('Indices Mines Exporting Ports'!I$20:I$51, MATCH(2,1/(('Indices Mines Exporting Ports'!$C$20:$C$51=$AT19)*('Indices Mines Exporting Ports'!$D$20:$D$51&lt;=$C19))))</f>
        <v>2.2499999999999992E-2</v>
      </c>
      <c r="DB19" s="61">
        <f t="array" ref="DB19">INDEX('Indices Mines Exporting Ports'!J$20:J$51, MATCH(2,1/(('Indices Mines Exporting Ports'!$C$20:$C$51=$AT19)*('Indices Mines Exporting Ports'!$D$20:$D$51&lt;=$C19))))</f>
        <v>0.1</v>
      </c>
      <c r="DC19" s="61">
        <f t="array" ref="DC19">INDEX('Indices Mines Exporting Ports'!K$20:K$51, MATCH(2,1/(('Indices Mines Exporting Ports'!$C$20:$C$51=$AT19)*('Indices Mines Exporting Ports'!$D$20:$D$51&lt;=$C19))))</f>
        <v>0.125</v>
      </c>
      <c r="DD19" s="103" t="str">
        <f t="array" ref="DD19">INDEX('Indices Mines Exporting Ports'!L$20:L$51, MATCH(2,1/(('Indices Mines Exporting Ports'!$C$20:$C$51=$AT19)*('Indices Mines Exporting Ports'!$D$20:$D$51&lt;=$C19))))</f>
        <v>HT-D</v>
      </c>
      <c r="DE19" s="243">
        <f t="array" ref="DE19">INDEX('Indices Mines Exporting Ports'!M$20:M$51, MATCH(2,1/(('Indices Mines Exporting Ports'!$C$20:$C$51=$AT19)*('Indices Mines Exporting Ports'!$D$20:$D$51&lt;=$C19))))</f>
        <v>0.67</v>
      </c>
      <c r="DG19" s="300">
        <f t="array" ref="DG19">INDEX('Processing Factors'!$D$8:$D$29,MATCH(2,1/(('Processing Factors'!$B$8:$B$29&lt;=Main!$C19)*('Processing Factors'!$C$8:$C$29=Main!DD19))))</f>
        <v>1</v>
      </c>
      <c r="DH19" s="299">
        <f t="array" ref="DH19">INDEX('Processing Factors'!$E$8:$E$29,MATCH(2,1/(('Processing Factors'!$B$8:$B$29&lt;=Main!$C19)*('Processing Factors'!$C$8:$C$29=Main!DD19))))</f>
        <v>1.23</v>
      </c>
      <c r="DI19" s="299">
        <f t="array" ref="DI19">INDEX('Processing Factors'!$F$8:$F$29,MATCH(2,1/(('Processing Factors'!$B$8:$B$29&lt;=Main!$C19)*('Processing Factors'!$C$8:$C$29=Main!DD19))))</f>
        <v>0.6</v>
      </c>
      <c r="DJ19" s="299">
        <f t="array" ref="DJ19">INDEX('Processing Factors'!$G$8:$G$29,MATCH(2,1/(('Processing Factors'!$B$8:$B$29&lt;=Main!$C19)*('Processing Factors'!$C$8:$C$29=Main!DD19))))</f>
        <v>0.22</v>
      </c>
      <c r="DK19" s="299">
        <f t="array" ref="DK19">INDEX('Processing Factors'!$H$8:$H$29,MATCH(2,1/(('Processing Factors'!$B$8:$B$29&lt;=Main!$C19)*('Processing Factors'!$C$8:$C$29=Main!DD19))))</f>
        <v>13.5</v>
      </c>
      <c r="DL19" s="300">
        <f t="array" ref="DL19">INDEX('Processing Factors'!$I$8:$I$29,MATCH(2,1/(('Processing Factors'!$B$8:$B$29&lt;=Main!$C19)*('Processing Factors'!$C$8:$C$29=Main!DD19))))</f>
        <v>1</v>
      </c>
      <c r="DM19" s="300">
        <f t="array" ref="DM19">INDEX('Processing Factors'!$J$8:$J$29,MATCH(2,1/(('Processing Factors'!$B$8:$B$29&lt;=Main!$C19)*('Processing Factors'!$C$8:$C$29=Main!DD19))))</f>
        <v>0.9</v>
      </c>
      <c r="DN19" s="299">
        <f t="array" ref="DN19">INDEX('Processing Factors'!$K$8:$K$29,MATCH(2,1/(('Processing Factors'!$B$8:$B$29&lt;=Main!$C19)*('Processing Factors'!$C$8:$C$29=Main!DD19))))</f>
        <v>3.5000000000000003E-2</v>
      </c>
      <c r="DP19" s="302">
        <f t="shared" si="23"/>
        <v>0.54</v>
      </c>
      <c r="DQ19" s="302">
        <f t="shared" si="24"/>
        <v>0.09</v>
      </c>
      <c r="DR19" s="302">
        <f t="shared" si="25"/>
        <v>0.42930000000000001</v>
      </c>
      <c r="DS19" s="299">
        <f t="shared" si="26"/>
        <v>2.5881926650619871</v>
      </c>
      <c r="DT19" s="304">
        <v>0</v>
      </c>
      <c r="DU19" s="299">
        <f t="shared" si="27"/>
        <v>0.1747624039133473</v>
      </c>
      <c r="DV19" s="281">
        <f t="shared" si="28"/>
        <v>41.986445259000917</v>
      </c>
      <c r="DW19" s="281">
        <f t="shared" si="29"/>
        <v>55.9712938100622</v>
      </c>
      <c r="DX19" s="281">
        <f t="shared" si="30"/>
        <v>7.4618428490672706</v>
      </c>
      <c r="DY19" s="299">
        <f t="shared" si="31"/>
        <v>1.9829550689753344</v>
      </c>
      <c r="DZ19" s="281">
        <f t="shared" si="32"/>
        <v>8.4071017621905089</v>
      </c>
      <c r="EA19" s="281">
        <f t="shared" si="33"/>
        <v>113.82668368032088</v>
      </c>
      <c r="EC19" s="287" t="s">
        <v>39</v>
      </c>
      <c r="EE19" s="305" t="e">
        <f t="shared" ca="1" si="34"/>
        <v>#NAME?</v>
      </c>
      <c r="EF19" s="16">
        <f t="array" ref="EF19">INDEX('Indices Mines Exporting Ports'!E$20:E$51, MATCH(2,1/(('Indices Mines Exporting Ports'!$C$20:$C$51=$AU19)*('Indices Mines Exporting Ports'!$D$20:$D$51&lt;=$C19))))</f>
        <v>0.5</v>
      </c>
      <c r="EG19" s="16">
        <f t="array" ref="EG19">INDEX('Indices Mines Exporting Ports'!F$20:F$51, MATCH(2,1/(('Indices Mines Exporting Ports'!$C$20:$C$51=$AU19)*('Indices Mines Exporting Ports'!$D$20:$D$51&lt;=$C19))))</f>
        <v>0.45</v>
      </c>
      <c r="EH19" s="16">
        <f t="array" ref="EH19">INDEX('Indices Mines Exporting Ports'!G$20:G$51, MATCH(2,1/(('Indices Mines Exporting Ports'!$C$20:$C$51=$AU19)*('Indices Mines Exporting Ports'!$D$20:$D$51&lt;=$C19))))</f>
        <v>0.05</v>
      </c>
      <c r="EI19" s="16">
        <f t="array" ref="EI19">INDEX('Indices Mines Exporting Ports'!H$20:H$51, MATCH(2,1/(('Indices Mines Exporting Ports'!$C$20:$C$51=$AU19)*('Indices Mines Exporting Ports'!$D$20:$D$51&lt;=$C19))))</f>
        <v>0.05</v>
      </c>
      <c r="EJ19" s="16">
        <f t="array" ref="EJ19">INDEX('Indices Mines Exporting Ports'!I$20:I$51, MATCH(2,1/(('Indices Mines Exporting Ports'!$C$20:$C$51=$AU19)*('Indices Mines Exporting Ports'!$D$20:$D$51&lt;=$C19))))</f>
        <v>0</v>
      </c>
      <c r="EK19" s="16">
        <f t="array" ref="EK19">INDEX('Indices Mines Exporting Ports'!J$20:J$51, MATCH(2,1/(('Indices Mines Exporting Ports'!$C$20:$C$51=$AU19)*('Indices Mines Exporting Ports'!$D$20:$D$51&lt;=$C19))))</f>
        <v>0</v>
      </c>
      <c r="EL19" s="16">
        <f t="array" ref="EL19">INDEX('Indices Mines Exporting Ports'!K$20:K$51, MATCH(2,1/(('Indices Mines Exporting Ports'!$C$20:$C$51=$AU19)*('Indices Mines Exporting Ports'!$D$20:$D$51&lt;=$C19))))</f>
        <v>0.1</v>
      </c>
      <c r="EM19" s="103" t="str">
        <f t="array" ref="EM19">INDEX('Indices Mines Exporting Ports'!L$20:L$51, MATCH(2,1/(('Indices Mines Exporting Ports'!$C$20:$C$51=$AU19)*('Indices Mines Exporting Ports'!$D$20:$D$51&lt;=$C19))))</f>
        <v>LT</v>
      </c>
      <c r="EN19" s="243">
        <f t="array" ref="EN19">INDEX('Indices Mines Exporting Ports'!M$20:M$51, MATCH(2,1/(('Indices Mines Exporting Ports'!$C$20:$C$51=$AU19)*('Indices Mines Exporting Ports'!$D$20:$D$51&lt;=$C19))))</f>
        <v>0</v>
      </c>
      <c r="EP19" s="300">
        <f t="array" ref="EP19">INDEX('Processing Factors'!$D$8:$D$29,MATCH(2,1/(('Processing Factors'!$B$8:$B$29&lt;=Main!$C19)*('Processing Factors'!$C$8:$C$29=Main!EM19))))</f>
        <v>0</v>
      </c>
      <c r="EQ19" s="299">
        <f t="array" ref="EQ19">INDEX('Processing Factors'!$E$8:$E$29,MATCH(2,1/(('Processing Factors'!$B$8:$B$29&lt;=Main!$C19)*('Processing Factors'!$C$8:$C$29=Main!EM19))))</f>
        <v>1</v>
      </c>
      <c r="ER19" s="299">
        <f t="array" ref="ER19">INDEX('Processing Factors'!$F$8:$F$29,MATCH(2,1/(('Processing Factors'!$B$8:$B$29&lt;=Main!$C19)*('Processing Factors'!$C$8:$C$29=Main!EM19))))</f>
        <v>0.9</v>
      </c>
      <c r="ES19" s="299">
        <f t="array" ref="ES19">INDEX('Processing Factors'!$G$8:$G$29,MATCH(2,1/(('Processing Factors'!$B$8:$B$29&lt;=Main!$C19)*('Processing Factors'!$C$8:$C$29=Main!EM19))))</f>
        <v>3.5999999999999997E-2</v>
      </c>
      <c r="ET19" s="299">
        <f t="array" ref="ET19">INDEX('Processing Factors'!$H$8:$H$29,MATCH(2,1/(('Processing Factors'!$B$8:$B$29&lt;=Main!$C19)*('Processing Factors'!$C$8:$C$29=Main!EM19))))</f>
        <v>12.15</v>
      </c>
      <c r="EU19" s="300">
        <f t="array" ref="EU19">INDEX('Processing Factors'!$I$8:$I$29,MATCH(2,1/(('Processing Factors'!$B$8:$B$29&lt;=Main!$C19)*('Processing Factors'!$C$8:$C$29=Main!EM19))))</f>
        <v>0</v>
      </c>
      <c r="EV19" s="300">
        <f t="array" ref="EV19">INDEX('Processing Factors'!$J$8:$J$29,MATCH(2,1/(('Processing Factors'!$B$8:$B$29&lt;=Main!$C19)*('Processing Factors'!$C$8:$C$29=Main!EM19))))</f>
        <v>0.9</v>
      </c>
      <c r="EW19" s="299">
        <f t="array" ref="EW19">INDEX('Processing Factors'!$K$8:$K$29,MATCH(2,1/(('Processing Factors'!$B$8:$B$29&lt;=Main!$C19)*('Processing Factors'!$C$8:$C$29=Main!EM19))))</f>
        <v>3.5000000000000003E-2</v>
      </c>
      <c r="EY19" s="302">
        <f t="shared" si="35"/>
        <v>0.5</v>
      </c>
      <c r="EZ19" s="302">
        <f t="shared" si="36"/>
        <v>0.05</v>
      </c>
      <c r="FA19" s="302">
        <f t="shared" si="37"/>
        <v>0.45</v>
      </c>
      <c r="FB19" s="299">
        <f t="shared" si="38"/>
        <v>2.4691358024691357</v>
      </c>
      <c r="FC19" s="304">
        <v>0</v>
      </c>
      <c r="FD19" s="299">
        <f t="shared" si="39"/>
        <v>0.14611111111111114</v>
      </c>
      <c r="FE19" s="281">
        <f t="shared" si="40"/>
        <v>35.103008604987139</v>
      </c>
      <c r="FF19" s="281">
        <f t="shared" si="41"/>
        <v>50.37416442905598</v>
      </c>
      <c r="FG19" s="281">
        <f t="shared" si="42"/>
        <v>1.2210288298473715</v>
      </c>
      <c r="FH19" s="299">
        <f t="shared" si="43"/>
        <v>1.8352469135802467</v>
      </c>
      <c r="FI19" s="281">
        <f t="shared" si="44"/>
        <v>7.7808659422565585</v>
      </c>
      <c r="FJ19" s="281">
        <f t="shared" si="45"/>
        <v>94.479067806147043</v>
      </c>
      <c r="FL19" s="287" t="s">
        <v>39</v>
      </c>
      <c r="FN19" s="315" t="e">
        <f t="shared" ca="1" si="293"/>
        <v>#NAME?</v>
      </c>
      <c r="FO19" s="316">
        <f t="shared" si="294"/>
        <v>0.51300000000000001</v>
      </c>
      <c r="FP19" s="316">
        <f t="shared" si="295"/>
        <v>0.40500000000000003</v>
      </c>
      <c r="FQ19" s="316">
        <f t="shared" si="296"/>
        <v>9.5000000000000001E-2</v>
      </c>
      <c r="FR19" s="316">
        <f t="shared" si="297"/>
        <v>5.0999999999999997E-2</v>
      </c>
      <c r="FS19" s="316">
        <f t="shared" si="298"/>
        <v>4.4000000000000004E-2</v>
      </c>
      <c r="FT19" s="316">
        <f t="shared" si="299"/>
        <v>5.6999999999999988E-2</v>
      </c>
      <c r="FU19" s="316">
        <f t="shared" si="300"/>
        <v>0.1</v>
      </c>
      <c r="FV19" s="317" t="str">
        <f t="shared" si="301"/>
        <v>HT-D</v>
      </c>
      <c r="FW19" s="318">
        <v>0</v>
      </c>
      <c r="FX19" s="237"/>
      <c r="FY19" s="319">
        <f t="array" ref="FY19">INDEX('Processing Factors'!$D$8:$D$29,MATCH(2,1/(('Processing Factors'!$B$8:$B$29&lt;=Main!$C19)*('Processing Factors'!$C$8:$C$29=Main!FV19))))</f>
        <v>1</v>
      </c>
      <c r="FZ19" s="320">
        <f t="array" ref="FZ19">INDEX('Processing Factors'!$E$8:$E$29,MATCH(2,1/(('Processing Factors'!$B$8:$B$29&lt;=Main!$C19)*('Processing Factors'!$C$8:$C$29=Main!FV19))))</f>
        <v>1.23</v>
      </c>
      <c r="GA19" s="320">
        <f t="array" ref="GA19">INDEX('Processing Factors'!$F$8:$F$29,MATCH(2,1/(('Processing Factors'!$B$8:$B$29&lt;=Main!$C19)*('Processing Factors'!$C$8:$C$29=Main!FV19))))</f>
        <v>0.6</v>
      </c>
      <c r="GB19" s="320">
        <f t="array" ref="GB19">INDEX('Processing Factors'!$G$8:$G$29,MATCH(2,1/(('Processing Factors'!$B$8:$B$29&lt;=Main!$C19)*('Processing Factors'!$C$8:$C$29=Main!FV19))))</f>
        <v>0.22</v>
      </c>
      <c r="GC19" s="320">
        <f t="array" ref="GC19">INDEX('Processing Factors'!$H$8:$H$29,MATCH(2,1/(('Processing Factors'!$B$8:$B$29&lt;=Main!$C19)*('Processing Factors'!$C$8:$C$29=Main!FV19))))</f>
        <v>13.5</v>
      </c>
      <c r="GD19" s="319">
        <f t="array" ref="GD19">INDEX('Processing Factors'!$I$8:$I$29,MATCH(2,1/(('Processing Factors'!$B$8:$B$29&lt;=Main!$C19)*('Processing Factors'!$C$8:$C$29=Main!FV19))))</f>
        <v>1</v>
      </c>
      <c r="GE19" s="321">
        <v>0.92</v>
      </c>
      <c r="GF19" s="320">
        <f t="array" ref="GF19">INDEX('Processing Factors'!$K$8:$K$29,MATCH(2,1/(('Processing Factors'!$B$8:$B$29&lt;=Main!$C19)*('Processing Factors'!$C$8:$C$29=Main!FV19))))</f>
        <v>3.5000000000000003E-2</v>
      </c>
      <c r="GG19" s="237"/>
      <c r="GH19" s="322">
        <f t="shared" si="46"/>
        <v>0.51300000000000001</v>
      </c>
      <c r="GI19" s="322">
        <f t="shared" si="47"/>
        <v>9.5000000000000001E-2</v>
      </c>
      <c r="GJ19" s="322">
        <f t="shared" si="48"/>
        <v>0.39615</v>
      </c>
      <c r="GK19" s="320">
        <f t="shared" si="49"/>
        <v>2.7438003830345337</v>
      </c>
      <c r="GL19" s="323" t="e">
        <f t="shared" ca="1" si="50"/>
        <v>#NAME?</v>
      </c>
      <c r="GM19" s="320">
        <f t="shared" si="51"/>
        <v>0.19139662183296841</v>
      </c>
      <c r="GN19" s="323">
        <f t="shared" si="52"/>
        <v>45.982794957044426</v>
      </c>
      <c r="GO19" s="323">
        <f t="shared" si="53"/>
        <v>55.9712938100622</v>
      </c>
      <c r="GP19" s="323">
        <f t="shared" si="54"/>
        <v>7.4618428490672706</v>
      </c>
      <c r="GQ19" s="320">
        <f t="shared" si="55"/>
        <v>2.1551970048675022</v>
      </c>
      <c r="GR19" s="323">
        <f t="shared" si="56"/>
        <v>9.137353044944188</v>
      </c>
      <c r="GS19" s="323" t="e">
        <f t="shared" ca="1" si="57"/>
        <v>#NAME?</v>
      </c>
      <c r="GT19" s="237"/>
      <c r="GU19" s="324" t="e">
        <f t="shared" ca="1" si="58"/>
        <v>#NAME?</v>
      </c>
      <c r="GV19" s="325">
        <f t="array" ref="GV19">INDEX('Indices Mines Exporting Ports'!E$20:E$51, MATCH(2,1/(('Indices Mines Exporting Ports'!$C$20:$C$51=$BC19)*('Indices Mines Exporting Ports'!$D$20:$D$51&lt;=$C19))))</f>
        <v>0.5</v>
      </c>
      <c r="GW19" s="325">
        <f t="array" ref="GW19">INDEX('Indices Mines Exporting Ports'!F$20:F$51, MATCH(2,1/(('Indices Mines Exporting Ports'!$C$20:$C$51=$BC19)*('Indices Mines Exporting Ports'!$D$20:$D$51&lt;=$C19))))</f>
        <v>0.45</v>
      </c>
      <c r="GX19" s="325">
        <f t="array" ref="GX19">INDEX('Indices Mines Exporting Ports'!G$20:G$51, MATCH(2,1/(('Indices Mines Exporting Ports'!$C$20:$C$51=$BC19)*('Indices Mines Exporting Ports'!$D$20:$D$51&lt;=$C19))))</f>
        <v>0.05</v>
      </c>
      <c r="GY19" s="325">
        <f t="array" ref="GY19">INDEX('Indices Mines Exporting Ports'!H$20:H$51, MATCH(2,1/(('Indices Mines Exporting Ports'!$C$20:$C$51=$BC19)*('Indices Mines Exporting Ports'!$D$20:$D$51&lt;=$C19))))</f>
        <v>0.05</v>
      </c>
      <c r="GZ19" s="325">
        <f t="array" ref="GZ19">INDEX('Indices Mines Exporting Ports'!I$20:I$51, MATCH(2,1/(('Indices Mines Exporting Ports'!$C$20:$C$51=$BC19)*('Indices Mines Exporting Ports'!$D$20:$D$51&lt;=$C19))))</f>
        <v>0</v>
      </c>
      <c r="HA19" s="325">
        <f t="array" ref="HA19">INDEX('Indices Mines Exporting Ports'!J$20:J$51, MATCH(2,1/(('Indices Mines Exporting Ports'!$C$20:$C$51=$BC19)*('Indices Mines Exporting Ports'!$D$20:$D$51&lt;=$C19))))</f>
        <v>0</v>
      </c>
      <c r="HB19" s="325">
        <f t="array" ref="HB19">INDEX('Indices Mines Exporting Ports'!K$20:K$51, MATCH(2,1/(('Indices Mines Exporting Ports'!$C$20:$C$51=$BC19)*('Indices Mines Exporting Ports'!$D$20:$D$51&lt;=$C19))))</f>
        <v>0.1</v>
      </c>
      <c r="HC19" s="326" t="str">
        <f t="array" ref="HC19">INDEX('Indices Mines Exporting Ports'!L$20:L$51, MATCH(2,1/(('Indices Mines Exporting Ports'!$C$20:$C$51=$BC19)*('Indices Mines Exporting Ports'!$D$20:$D$51&lt;=$C19))))</f>
        <v>LT</v>
      </c>
      <c r="HD19" s="262">
        <f t="array" ref="HD19">INDEX('Indices Mines Exporting Ports'!M$20:M$51, MATCH(2,1/(('Indices Mines Exporting Ports'!$C$20:$C$51=$BC19)*('Indices Mines Exporting Ports'!$D$20:$D$51&lt;=$C19))))</f>
        <v>0</v>
      </c>
      <c r="HE19" s="237"/>
      <c r="HF19" s="319">
        <f t="array" ref="HF19">INDEX('Processing Factors'!$D$8:$D$29,MATCH(2,1/(('Processing Factors'!$B$8:$B$29&lt;=Main!$C19)*('Processing Factors'!$C$8:$C$29=Main!HC19))))</f>
        <v>0</v>
      </c>
      <c r="HG19" s="320">
        <f t="array" ref="HG19">INDEX('Processing Factors'!$E$8:$E$29,MATCH(2,1/(('Processing Factors'!$B$8:$B$29&lt;=Main!$C19)*('Processing Factors'!$C$8:$C$29=Main!HC19))))</f>
        <v>1</v>
      </c>
      <c r="HH19" s="320">
        <f t="array" ref="HH19">INDEX('Processing Factors'!$F$8:$F$29,MATCH(2,1/(('Processing Factors'!$B$8:$B$29&lt;=Main!$C19)*('Processing Factors'!$C$8:$C$29=Main!HC19))))</f>
        <v>0.9</v>
      </c>
      <c r="HI19" s="320">
        <f t="array" ref="HI19">INDEX('Processing Factors'!$G$8:$G$29,MATCH(2,1/(('Processing Factors'!$B$8:$B$29&lt;=Main!$C19)*('Processing Factors'!$C$8:$C$29=Main!HC19))))</f>
        <v>3.5999999999999997E-2</v>
      </c>
      <c r="HJ19" s="320">
        <f t="array" ref="HJ19">INDEX('Processing Factors'!$H$8:$H$29,MATCH(2,1/(('Processing Factors'!$B$8:$B$29&lt;=Main!$C19)*('Processing Factors'!$C$8:$C$29=Main!HC19))))</f>
        <v>12.15</v>
      </c>
      <c r="HK19" s="319">
        <f t="array" ref="HK19">INDEX('Processing Factors'!$I$8:$I$29,MATCH(2,1/(('Processing Factors'!$B$8:$B$29&lt;=Main!$C19)*('Processing Factors'!$C$8:$C$29=Main!HC19))))</f>
        <v>0</v>
      </c>
      <c r="HL19" s="321">
        <v>0.92</v>
      </c>
      <c r="HM19" s="320">
        <f t="array" ref="HM19">INDEX('Processing Factors'!$K$8:$K$29,MATCH(2,1/(('Processing Factors'!$B$8:$B$29&lt;=Main!$C19)*('Processing Factors'!$C$8:$C$29=Main!HC19))))</f>
        <v>3.5000000000000003E-2</v>
      </c>
      <c r="HN19" s="237"/>
      <c r="HO19" s="322">
        <f t="shared" si="59"/>
        <v>0.5</v>
      </c>
      <c r="HP19" s="322">
        <f t="shared" si="60"/>
        <v>0.05</v>
      </c>
      <c r="HQ19" s="322">
        <f t="shared" si="61"/>
        <v>0.45</v>
      </c>
      <c r="HR19" s="320">
        <f t="shared" si="62"/>
        <v>2.4154589371980677</v>
      </c>
      <c r="HS19" s="263">
        <v>0</v>
      </c>
      <c r="HT19" s="320">
        <f t="shared" si="63"/>
        <v>0.14369565217391306</v>
      </c>
      <c r="HU19" s="323">
        <f t="shared" si="64"/>
        <v>34.522697667559676</v>
      </c>
      <c r="HV19" s="323">
        <f t="shared" si="65"/>
        <v>50.37416442905598</v>
      </c>
      <c r="HW19" s="323">
        <f t="shared" si="66"/>
        <v>1.2210288298473715</v>
      </c>
      <c r="HX19" s="320">
        <f t="shared" si="67"/>
        <v>1.7791545893719807</v>
      </c>
      <c r="HY19" s="323">
        <f t="shared" si="68"/>
        <v>7.5430522443696191</v>
      </c>
      <c r="HZ19" s="323">
        <f t="shared" si="69"/>
        <v>93.660943170832638</v>
      </c>
      <c r="IB19" s="287" t="s">
        <v>39</v>
      </c>
      <c r="ID19" s="89" t="str">
        <f t="shared" si="70"/>
        <v>Bauxite Hills</v>
      </c>
      <c r="IE19" s="18">
        <f t="shared" si="319"/>
        <v>43923</v>
      </c>
      <c r="IF19" s="94">
        <f t="array" ref="IF19">INDEX('Indices Mines Exporting Ports'!E$20:E$51, MATCH(2,1/(('Indices Mines Exporting Ports'!$C$20:$C$51=$ID19)*('Indices Mines Exporting Ports'!$D$20:$D$51&lt;=$IE19))))</f>
        <v>0.51300000000000001</v>
      </c>
      <c r="IG19" s="94">
        <f t="array" ref="IG19">INDEX('Indices Mines Exporting Ports'!F$20:F$51, MATCH(2,1/(('Indices Mines Exporting Ports'!$C$20:$C$51=$ID19)*('Indices Mines Exporting Ports'!$D$20:$D$51&lt;=$IE19))))</f>
        <v>0.40500000000000003</v>
      </c>
      <c r="IH19" s="95">
        <f t="array" ref="IH19">INDEX('Indices Mines Exporting Ports'!G$20:G$51, MATCH(2,1/(('Indices Mines Exporting Ports'!$C$20:$C$51=$ID19)*('Indices Mines Exporting Ports'!$D$20:$D$51&lt;=$IE19))))</f>
        <v>9.5000000000000001E-2</v>
      </c>
      <c r="II19" s="95">
        <f t="array" ref="II19">INDEX('Indices Mines Exporting Ports'!H$20:H$51, MATCH(2,1/(('Indices Mines Exporting Ports'!$C$20:$C$51=$ID19)*('Indices Mines Exporting Ports'!$D$20:$D$51&lt;=$IE19))))</f>
        <v>5.0999999999999997E-2</v>
      </c>
      <c r="IJ19" s="95">
        <f t="array" ref="IJ19">INDEX('Indices Mines Exporting Ports'!I$20:I$51, MATCH(2,1/(('Indices Mines Exporting Ports'!$C$20:$C$51=$ID19)*('Indices Mines Exporting Ports'!$D$20:$D$51&lt;=$IE19))))</f>
        <v>4.4000000000000004E-2</v>
      </c>
      <c r="IK19" s="94">
        <f t="array" ref="IK19">INDEX('Indices Mines Exporting Ports'!J$20:J$51, MATCH(2,1/(('Indices Mines Exporting Ports'!$C$20:$C$51=$ID19)*('Indices Mines Exporting Ports'!$D$20:$D$51&lt;=$IE19))))</f>
        <v>5.6999999999999988E-2</v>
      </c>
      <c r="IL19" s="94">
        <f t="array" ref="IL19">INDEX('Indices Mines Exporting Ports'!K$20:K$51, MATCH(2,1/(('Indices Mines Exporting Ports'!$C$20:$C$51=$ID19)*('Indices Mines Exporting Ports'!$D$20:$D$51&lt;=$IE19))))</f>
        <v>0.1</v>
      </c>
      <c r="IM19" s="93" t="str">
        <f t="array" ref="IM19">INDEX('Indices Mines Exporting Ports'!L$20:L$51, MATCH(2,1/(('Indices Mines Exporting Ports'!$C$20:$C$51=$ID19)*('Indices Mines Exporting Ports'!$D$20:$D$51&lt;=$IE19))))</f>
        <v>HT-D</v>
      </c>
      <c r="IN19" s="101">
        <f t="array" ref="IN19">INDEX('Indices Mines Exporting Ports'!M$20:M$51, MATCH(2,1/(('Indices Mines Exporting Ports'!$C$20:$C$51=$ID19)*('Indices Mines Exporting Ports'!$D$20:$D$51&lt;=$IE19))))</f>
        <v>0.67</v>
      </c>
      <c r="IO19" s="96">
        <f t="array" ref="IO19">INDEX('Indices Mines Exporting Ports'!N$20:N$51, MATCH(2,1/(('Indices Mines Exporting Ports'!$C$20:$C$51=$ID19)*('Indices Mines Exporting Ports'!$D$20:$D$51&lt;=$IE19))))</f>
        <v>63500</v>
      </c>
      <c r="IP19" s="95" t="str">
        <f t="array" ref="IP19">INDEX('Indices Mines Exporting Ports'!Q$20:Q$51, MATCH(2,1/(('Indices Mines Exporting Ports'!$C$20:$C$51=$ID19)*('Indices Mines Exporting Ports'!$D$20:$D$51&lt;=$IE19))))</f>
        <v>Bauxite_Hills_offshore</v>
      </c>
      <c r="IQ19" s="95" t="str">
        <f t="array" ref="IQ19">INDEX('Indices Mines Exporting Ports'!O$20:O$51, MATCH(2,1/(('Indices Mines Exporting Ports'!$C$20:$C$51=$ID19)*('Indices Mines Exporting Ports'!$D$20:$D$51&lt;=$IE19))))</f>
        <v>Australia HT</v>
      </c>
      <c r="IR19" s="95" t="str">
        <f t="array" ref="IR19">INDEX('Indices Mines Exporting Ports'!P$20:P$51, MATCH(2,1/(('Indices Mines Exporting Ports'!$C$20:$C$51=$ID19)*('Indices Mines Exporting Ports'!$D$20:$D$51&lt;=$IE19))))</f>
        <v>CBIX HT</v>
      </c>
      <c r="IT19" s="287" t="s">
        <v>39</v>
      </c>
      <c r="IV19" s="292">
        <f>VLOOKUP($C19,'China Price Series'!$C$10:$D$1009,2,TRUE)/$JA19/(VLOOKUP($C19,'China Price Series'!$C$10:$E$1009,3,TRUE)*$JG19/$JF19)</f>
        <v>4.146021763708311</v>
      </c>
      <c r="IW19" s="292">
        <f>VLOOKUP($C19,'China Price Series'!$G$10:$H$1009,2,TRUE)/$JA19/(VLOOKUP($C19,'China Price Series'!$G$10:$I$1009,3,TRUE))</f>
        <v>240.24872809496895</v>
      </c>
      <c r="IX19" s="292">
        <f>VLOOKUP($C19,'China Price Series'!$K$10:$L$1009,2,TRUE)/$JA19</f>
        <v>33.91746749576032</v>
      </c>
      <c r="IY19" s="292">
        <f>VLOOKUP($C19,'China Price Series'!$N$10:$O$1009,2,TRUE)/$JA19</f>
        <v>4.23968343697004</v>
      </c>
      <c r="JA19" s="277">
        <f t="array" ref="JA19">INDEX('FX rates'!E$10:E$1009,MATCH(2,1/(('FX rates'!$D$10:$D$1009&lt;=Main!$C19)*(NOT(ISBLANK('FX rates'!E$10:E$1009))))))</f>
        <v>7.0759999999999987</v>
      </c>
      <c r="JB19" s="277">
        <f t="array" ref="JB19">INDEX('FX rates'!F$10:F$1009,MATCH(2,1/(('FX rates'!$D$10:$D$1009&lt;=Main!$C19)*(NOT(ISBLANK('FX rates'!F$10:F$1009))))))</f>
        <v>0.59156405988048044</v>
      </c>
      <c r="JC19" s="277">
        <f t="array" ref="JC19">INDEX('FX rates'!G$10:G$1009,MATCH(2,1/(('FX rates'!$D$10:$D$1009&lt;=Main!$C19)*(NOT(ISBLANK('FX rates'!G$10:G$1009))))))</f>
        <v>1</v>
      </c>
      <c r="JD19" s="277">
        <f t="array" ref="JD19">INDEX('FX rates'!H$10:H$1009,MATCH(2,1/(('FX rates'!$D$10:$D$1009&lt;=Main!$C19)*(NOT(ISBLANK('FX rates'!H$10:H$1009))))))</f>
        <v>1.35</v>
      </c>
      <c r="JF19" s="111">
        <f t="array" ref="JF19">INDEX('Global factors'!C$5:C$23,MATCH(2,1/(('Global factors'!$B$5:$B$23&lt;=Main!$C19)*(NOT(ISBLANK('Global factors'!C$5:C$23))))))</f>
        <v>239000</v>
      </c>
      <c r="JG19" s="112">
        <f t="array" ref="JG19">INDEX('Global factors'!D$5:D$23,MATCH(2,1/(('Global factors'!$B$5:$B$23&lt;=Main!$C19)*(NOT(ISBLANK('Global factors'!D$5:D$23))))))</f>
        <v>1000</v>
      </c>
      <c r="JH19" s="112">
        <f t="array" ref="JH19">INDEX('Global factors'!E$5:E$23,MATCH(2,1/(('Global factors'!$B$5:$B$23&lt;=Main!$C19)*(NOT(ISBLANK('Global factors'!E$5:E$23))))))</f>
        <v>24</v>
      </c>
      <c r="JI19" s="112">
        <f t="array" ref="JI19">INDEX('Global factors'!F$5:F$23,MATCH(2,1/(('Global factors'!$B$5:$B$23&lt;=Main!$C19)*(NOT(ISBLANK('Global factors'!F$5:F$23))))))</f>
        <v>2</v>
      </c>
      <c r="JJ19" s="117">
        <f t="array" ref="JJ19">INDEX('Global factors'!G$5:G$23,MATCH(2,1/(('Global factors'!$B$5:$B$23&lt;=Main!$C19)*(NOT(ISBLANK('Global factors'!G$5:G$23))))))</f>
        <v>0.08</v>
      </c>
      <c r="JK19" s="113">
        <f t="array" ref="JK19">INDEX('Global factors'!H$5:H$23,MATCH(2,1/(('Global factors'!$B$5:$B$23&lt;=Main!$C19)*(NOT(ISBLANK('Global factors'!H$5:H$23))))))</f>
        <v>101.96</v>
      </c>
      <c r="JL19" s="113">
        <f t="array" ref="JL19">INDEX('Global factors'!I$5:I$23,MATCH(2,1/(('Global factors'!$B$5:$B$23&lt;=Main!$C19)*(NOT(ISBLANK('Global factors'!I$5:I$23))))))</f>
        <v>60.08</v>
      </c>
      <c r="JM19" s="114">
        <f t="array" ref="JM19">INDEX('Global factors'!J$5:J$23,MATCH(2,1/(('Global factors'!$B$5:$B$23&lt;=Main!$C19)*(NOT(ISBLANK('Global factors'!J$5:J$23))))))</f>
        <v>0.84853528628495334</v>
      </c>
      <c r="JN19" s="115">
        <f t="array" ref="JN19">INDEX('Global factors'!K$5:K$23,MATCH(2,1/(('Global factors'!$B$5:$B$23&lt;=Main!$C19)*(NOT(ISBLANK('Global factors'!K$5:K$23))))))</f>
        <v>0.97499999999999998</v>
      </c>
      <c r="JO19" s="116">
        <f t="array" ref="JO19">INDEX('Global factors'!L$5:L$23,MATCH(2,1/(('Global factors'!$B$5:$B$23&lt;=Main!$C19)*(NOT(ISBLANK('Global factors'!L$5:L$23))))))</f>
        <v>8.7299999999999997E-4</v>
      </c>
      <c r="JP19" s="116">
        <f t="array" ref="JP19">INDEX('Global factors'!M$5:M$23,MATCH(2,1/(('Global factors'!$B$5:$B$23&lt;=Main!$C19)*(NOT(ISBLANK('Global factors'!M$5:M$23))))))</f>
        <v>145.88999999999999</v>
      </c>
      <c r="JQ19" s="116">
        <f t="array" ref="JQ19">INDEX('Global factors'!N$5:N$23,MATCH(2,1/(('Global factors'!$B$5:$B$23&lt;=Main!$C19)*(NOT(ISBLANK('Global factors'!N$5:N$23))))))</f>
        <v>0.40339999999999998</v>
      </c>
      <c r="JR19" s="116">
        <f t="array" ref="JR19">INDEX('Global factors'!O$5:O$23,MATCH(2,1/(('Global factors'!$B$5:$B$23&lt;=Main!$C19)*(NOT(ISBLANK('Global factors'!O$5:O$23))))))</f>
        <v>0</v>
      </c>
      <c r="JS19" s="116">
        <f t="array" ref="JS19">INDEX('Global factors'!P$5:P$23,MATCH(2,1/(('Global factors'!$B$5:$B$23&lt;=Main!$C19)*(NOT(ISBLANK('Global factors'!P$5:P$23))))))</f>
        <v>0.51890000000000003</v>
      </c>
      <c r="JT19" s="116">
        <f t="array" ref="JT19">INDEX('Global factors'!Q$5:Q$23,MATCH(2,1/(('Global factors'!$B$5:$B$23&lt;=Main!$C19)*(NOT(ISBLANK('Global factors'!Q$5:Q$23))))))</f>
        <v>4797</v>
      </c>
      <c r="JU19" s="116">
        <f t="array" ref="JU19">INDEX('Global factors'!R$5:R$23,MATCH(2,1/(('Global factors'!$B$5:$B$23&lt;=Main!$C19)*(NOT(ISBLANK('Global factors'!R$5:R$23))))))</f>
        <v>7</v>
      </c>
      <c r="JV19" s="115">
        <f t="array" ref="JV19">INDEX('Global factors'!S$5:S$23,MATCH(2,1/(('Global factors'!$B$5:$B$23&lt;=Main!$C19)*(NOT(ISBLANK('Global factors'!S$5:S$23))))))</f>
        <v>0.12</v>
      </c>
      <c r="JW19" s="115">
        <f t="array" ref="JW19">INDEX('Global factors'!T$5:T$23,MATCH(2,1/(('Global factors'!$B$5:$B$23&lt;=Main!$C19)*(NOT(ISBLANK('Global factors'!T$5:T$23))))))</f>
        <v>0.5</v>
      </c>
      <c r="JX19" s="116">
        <f t="array" ref="JX19">INDEX('Global factors'!U$5:U$23,MATCH(2,1/(('Global factors'!$B$5:$B$23&lt;=Main!$C19)*(NOT(ISBLANK('Global factors'!U$5:U$23))))))</f>
        <v>0.5</v>
      </c>
      <c r="JY19" s="116">
        <f t="array" ref="JY19">INDEX('Global factors'!V$5:V$23,MATCH(2,1/(('Global factors'!$B$5:$B$23&lt;=Main!$C19)*(NOT(ISBLANK('Global factors'!V$5:V$23))))))</f>
        <v>10000</v>
      </c>
      <c r="JZ19" s="116">
        <f t="array" ref="JZ19">INDEX('Global factors'!W$5:W$23,MATCH(2,1/(('Global factors'!$B$5:$B$23&lt;=Main!$C19)*(NOT(ISBLANK('Global factors'!W$5:W$23))))))</f>
        <v>0.10680000000000001</v>
      </c>
      <c r="KA19" s="116">
        <f t="array" ref="KA19">INDEX('Global factors'!X$5:X$23,MATCH(2,1/(('Global factors'!$B$5:$B$23&lt;=Main!$C19)*(NOT(ISBLANK('Global factors'!X$5:X$23))))))</f>
        <v>1.2</v>
      </c>
      <c r="KB19" s="116">
        <v>0</v>
      </c>
      <c r="KC19" s="272">
        <f t="array" ref="KC19">INDEX('Global factors'!Y$5:Y$23,MATCH(2,1/(('Global factors'!$B$5:$B$23&lt;=Main!$C19)*(NOT(ISBLANK('Global factors'!Y$5:Y$23))))))</f>
        <v>23643.7088248818</v>
      </c>
      <c r="KD19" s="273">
        <f t="array" ref="KD19">INDEX('Global factors'!Z$5:Z$23,MATCH(2,1/(('Global factors'!$B$5:$B$23&lt;=Main!$C19)*(NOT(ISBLANK('Global factors'!Z$5:Z$23))))))</f>
        <v>0.62802869915581405</v>
      </c>
      <c r="KE19" s="273">
        <v>0</v>
      </c>
      <c r="KF19" s="273">
        <v>0</v>
      </c>
      <c r="KG19" s="116">
        <v>0</v>
      </c>
      <c r="KH19" s="116">
        <f t="array" ref="KH19">INDEX('Global factors'!AB$5:AB$23,MATCH(2,1/(('Global factors'!$B$5:$B$23&lt;=Main!$C19)*(NOT(ISBLANK('Global factors'!AB$5:AB$23))))))</f>
        <v>6.2556361557795204E-2</v>
      </c>
      <c r="KI19" s="116">
        <f t="array" ref="KI19">INDEX('Global factors'!AC$5:AC$23,MATCH(2,1/(('Global factors'!$B$5:$B$23&lt;=Main!$C19)*(NOT(ISBLANK('Global factors'!AC$5:AC$23))))))</f>
        <v>8.6923129044225601E-4</v>
      </c>
      <c r="KJ19" s="116">
        <f t="array" ref="KJ19">INDEX('Global factors'!AD$5:AD$23,MATCH(2,1/(('Global factors'!$B$5:$B$23&lt;=Main!$C19)*(NOT(ISBLANK('Global factors'!AD$5:AD$23))))))</f>
        <v>1.1499999999999999</v>
      </c>
      <c r="KK19" s="116" t="str">
        <f t="array" ref="KK19">INDEX('Global factors'!AE$5:AE$23,MATCH(2,1/(('Global factors'!$B$5:$B$23&lt;=Main!$C19)*(NOT(ISBLANK('Global factors'!AE$5:AE$23))))))</f>
        <v>Qingdao</v>
      </c>
      <c r="KL19" s="290">
        <f t="array" ref="KL19">INDEX('Global factors'!AF$5:AF$23,MATCH(2,1/(('Global factors'!$B$5:$B$23&lt;=Main!$C19)*(NOT(ISBLANK('Global factors'!AF$5:AF$23))))))</f>
        <v>3.0000000000000001E-3</v>
      </c>
      <c r="KM19" s="290">
        <f t="array" ref="KM19">INDEX('Global factors'!AG$5:AG$23,MATCH(2,1/(('Global factors'!$B$5:$B$23&lt;=Main!$C19)*(NOT(ISBLANK('Global factors'!AG$5:AG$23))))))</f>
        <v>0.05</v>
      </c>
      <c r="KO19" s="287" t="s">
        <v>39</v>
      </c>
      <c r="KQ19" s="25">
        <f t="shared" si="320"/>
        <v>63500</v>
      </c>
      <c r="KR19" s="4" t="str">
        <f>VLOOKUP(KQ19,'Ship Time Charter Rates'!$F$10:$G$17,2,TRUE)</f>
        <v>Panamax</v>
      </c>
      <c r="KS19" s="4" t="str">
        <f>VLOOKUP(KQ19,Canals!$E$5:$F$12,2,TRUE)</f>
        <v>Panamax</v>
      </c>
      <c r="KT19" s="25">
        <f t="shared" si="71"/>
        <v>201.32549999999998</v>
      </c>
      <c r="KU19" s="25">
        <f t="shared" si="72"/>
        <v>25615.899999999998</v>
      </c>
      <c r="KV19" s="25">
        <f t="shared" si="73"/>
        <v>37747.15</v>
      </c>
      <c r="KX19" s="75">
        <f t="array" ref="KX19">INDEX('Indices Mines Exporting Ports'!$R$20:$R$51,MATCH(2,1/(('Indices Mines Exporting Ports'!$D$20:$D$51&lt;=Main!$C19)*('Indices Mines Exporting Ports'!$Q$20:$Q$51=$AP19))))</f>
        <v>15000</v>
      </c>
      <c r="KY19" s="75">
        <f t="array" ref="KY19">INDEX('Indices Mines Exporting Ports'!$S$20:$S$51,MATCH(2,1/(('Indices Mines Exporting Ports'!$D$20:$D$51&lt;=Main!$C19)*('Indices Mines Exporting Ports'!$Q$20:$Q$51=$AP19))))</f>
        <v>15000</v>
      </c>
      <c r="KZ19" s="75">
        <f t="array" ref="KZ19">INDEX('Indices Mines Exporting Ports'!$T$20:$T$51,MATCH(2,1/(('Indices Mines Exporting Ports'!$D$20:$D$51&lt;=Main!$C19)*('Indices Mines Exporting Ports'!$Q$20:$Q$51=$AP19))))</f>
        <v>15000</v>
      </c>
      <c r="LA19" s="75">
        <f t="array" ref="LA19">INDEX('Indices Mines Exporting Ports'!$U$20:$U$51,MATCH(2,1/(('Indices Mines Exporting Ports'!$D$20:$D$51&lt;=Main!$C19)*('Indices Mines Exporting Ports'!$Q$20:$Q$51=$AP19))))</f>
        <v>15000</v>
      </c>
      <c r="LB19" s="75">
        <f t="array" ref="LB19">INDEX('Indices Mines Exporting Ports'!$V$20:$V$51,MATCH(2,1/(('Indices Mines Exporting Ports'!$D$20:$D$51&lt;=Main!$C19)*('Indices Mines Exporting Ports'!$Q$20:$Q$51=$AP19))))</f>
        <v>15000</v>
      </c>
      <c r="LC19" s="75">
        <f t="array" ref="LC19">INDEX('Indices Mines Exporting Ports'!$W$20:$W$51,MATCH(2,1/(('Indices Mines Exporting Ports'!$D$20:$D$51&lt;=Main!$C19)*('Indices Mines Exporting Ports'!$Q$20:$Q$51=$AP19))))</f>
        <v>15000</v>
      </c>
      <c r="LD19" s="75">
        <f t="array" ref="LD19">INDEX('Indices Mines Exporting Ports'!$X$20:$X$51,MATCH(2,1/(('Indices Mines Exporting Ports'!$D$20:$D$51&lt;=Main!$C19)*('Indices Mines Exporting Ports'!$Q$20:$Q$51=$AP19))))</f>
        <v>15000</v>
      </c>
      <c r="LF19" s="75">
        <f t="array" ref="LF19">INDEX('Port Linkages'!$E$18:$E$157,MATCH(2,1/(('Port Linkages'!$C$18:$C$157=$AP19)*('Port Linkages'!$D$18:$D$157=IF($AO19="Yes",$AQ19,$AS19))*('Port Linkages'!$A$18:$A$157&lt;=$C19))))</f>
        <v>3270</v>
      </c>
      <c r="LG19" s="75">
        <f t="array" ref="LG19">INDEX('Port Linkages'!$F$18:$F$157,MATCH(2,1/(('Port Linkages'!$C$18:$C$157=$AP19)*('Port Linkages'!$D$18:$D$157=IF($AO19="Yes",$AQ19,$AS19))*('Port Linkages'!$A$18:$A$157&lt;=$C19))))</f>
        <v>0</v>
      </c>
      <c r="LH19" s="75" t="str">
        <f t="array" ref="LH19">INDEX('Port Linkages'!$G$18:$G$157,MATCH(2,1/(('Port Linkages'!$C$18:$C$157=$AP19)*('Port Linkages'!$D$18:$D$157=IF($AO19="Yes",$AQ19,$AS19))*('Port Linkages'!$A$18:$A$157&lt;=$C19))))</f>
        <v>VLOC_General</v>
      </c>
      <c r="LI19" s="75" t="str">
        <f t="array" ref="LI19">INDEX('Port Linkages'!$H$18:$H$157,MATCH(2,1/(('Port Linkages'!$C$18:$C$157=$AP19)*('Port Linkages'!$D$18:$D$157=IF($AO19="Yes",$AQ19,$AS19))*('Port Linkages'!$A$18:$A$157&lt;=$C19))))</f>
        <v>Singapore</v>
      </c>
      <c r="LJ19" s="75" t="str">
        <f t="array" ref="LJ19">INDEX('Port Linkages'!$I$18:$I$157,MATCH(2,1/(('Port Linkages'!$C$18:$C$157=$AP19)*('Port Linkages'!$D$18:$D$157=IF($AO19="Yes",$AQ19,$AS19))*('Port Linkages'!$A$18:$A$157&lt;=$C19))))</f>
        <v>VLSFO</v>
      </c>
      <c r="LK19" s="75" t="str">
        <f t="array" ref="LK19">INDEX('Port Linkages'!$J$18:$J$157,MATCH(2,1/(('Port Linkages'!$C$18:$C$157=$AP19)*('Port Linkages'!$D$18:$D$157=IF($AO19="Yes",$AQ19,$AS19))*('Port Linkages'!$A$18:$A$157&lt;=$C19))))</f>
        <v>MGO_Regular</v>
      </c>
      <c r="LL19" s="75" t="str">
        <f t="array" ref="LL19">INDEX('Port Linkages'!$K$18:$K$157,MATCH(2,1/(('Port Linkages'!$C$18:$C$157=$AP19)*('Port Linkages'!$D$18:$D$157=IF($AO19="Yes",$AQ19,$AS19))*('Port Linkages'!$A$18:$A$157&lt;=$C19))))</f>
        <v>none</v>
      </c>
      <c r="LM19" s="75">
        <f t="array" ref="LM19">INDEX('Port Linkages'!$L$18:$L$157,MATCH(2,1/(('Port Linkages'!$C$18:$C$157=$AP19)*('Port Linkages'!$D$18:$D$157=IF($AO19="Yes",$AQ19,$AS19))*('Port Linkages'!$A$18:$A$157&lt;=$C19))))</f>
        <v>3270</v>
      </c>
      <c r="LN19" s="75">
        <f t="array" ref="LN19">INDEX('Port Linkages'!$M$18:$M$157,MATCH(2,1/(('Port Linkages'!$C$18:$C$157=$AP19)*('Port Linkages'!$D$18:$D$157=IF($AO19="Yes",$AQ19,$AS19))*('Port Linkages'!$A$18:$A$157&lt;=$C19))))</f>
        <v>0</v>
      </c>
      <c r="LO19" s="75" t="str">
        <f t="array" ref="LO19">INDEX('Port Linkages'!$N$18:$N$157,MATCH(2,1/(('Port Linkages'!$C$18:$C$157=$AP19)*('Port Linkages'!$D$18:$D$157=IF($AO19="Yes",$AQ19,$AS19))*('Port Linkages'!$A$18:$A$157&lt;=$C19))))</f>
        <v>Capesize_General</v>
      </c>
      <c r="LP19" s="75" t="str">
        <f t="array" ref="LP19">INDEX('Port Linkages'!$O$18:$O$157,MATCH(2,1/(('Port Linkages'!$C$18:$C$157=$AP19)*('Port Linkages'!$D$18:$D$157=IF($AO19="Yes",$AQ19,$AS19))*('Port Linkages'!$A$18:$A$157&lt;=$C19))))</f>
        <v>Singapore</v>
      </c>
      <c r="LQ19" s="75" t="str">
        <f t="array" ref="LQ19">INDEX('Port Linkages'!$P$18:$P$157,MATCH(2,1/(('Port Linkages'!$C$18:$C$157=$AP19)*('Port Linkages'!$D$18:$D$157=IF($AO19="Yes",$AQ19,$AS19))*('Port Linkages'!$A$18:$A$157&lt;=$C19))))</f>
        <v>VLSFO</v>
      </c>
      <c r="LR19" s="75" t="str">
        <f t="array" ref="LR19">INDEX('Port Linkages'!$Q$18:$Q$157,MATCH(2,1/(('Port Linkages'!$C$18:$C$157=$AP19)*('Port Linkages'!$D$18:$D$157=IF($AO19="Yes",$AQ19,$AS19))*('Port Linkages'!$A$18:$A$157&lt;=$C19))))</f>
        <v>MGO_Regular</v>
      </c>
      <c r="LS19" s="75" t="str">
        <f t="array" ref="LS19">INDEX('Port Linkages'!$R$18:$R$157,MATCH(2,1/(('Port Linkages'!$C$18:$C$157=$AP19)*('Port Linkages'!$D$18:$D$157=IF($AO19="Yes",$AQ19,$AS19))*('Port Linkages'!$A$18:$A$157&lt;=$C19))))</f>
        <v>none</v>
      </c>
      <c r="LT19" s="75">
        <f t="array" ref="LT19">INDEX('Port Linkages'!$S$18:$S$157,MATCH(2,1/(('Port Linkages'!$C$18:$C$157=$AP19)*('Port Linkages'!$D$18:$D$157=IF($AO19="Yes",$AQ19,$AS19))*('Port Linkages'!$A$18:$A$157&lt;=$C19))))</f>
        <v>3270</v>
      </c>
      <c r="LU19" s="75">
        <f t="array" ref="LU19">INDEX('Port Linkages'!$T$18:$T$157,MATCH(2,1/(('Port Linkages'!$C$18:$C$157=$AP19)*('Port Linkages'!$D$18:$D$157=IF($AO19="Yes",$AQ19,$AS19))*('Port Linkages'!$A$18:$A$157&lt;=$C19))))</f>
        <v>0</v>
      </c>
      <c r="LV19" s="75" t="str">
        <f t="array" ref="LV19">INDEX('Port Linkages'!$U$18:$U$157,MATCH(2,1/(('Port Linkages'!$C$18:$C$157=$AP19)*('Port Linkages'!$D$18:$D$157=IF($AO19="Yes",$AQ19,$AS19))*('Port Linkages'!$A$18:$A$157&lt;=$C19))))</f>
        <v>Capesize_General</v>
      </c>
      <c r="LW19" s="75" t="str">
        <f t="array" ref="LW19">INDEX('Port Linkages'!$V$18:$V$157,MATCH(2,1/(('Port Linkages'!$C$18:$C$157=$AP19)*('Port Linkages'!$D$18:$D$157=IF($AO19="Yes",$AQ19,$AS19))*('Port Linkages'!$A$18:$A$157&lt;=$C19))))</f>
        <v>Singapore</v>
      </c>
      <c r="LX19" s="75" t="str">
        <f t="array" ref="LX19">INDEX('Port Linkages'!$W$18:$W$157,MATCH(2,1/(('Port Linkages'!$C$18:$C$157=$AP19)*('Port Linkages'!$D$18:$D$157=IF($AO19="Yes",$AQ19,$AS19))*('Port Linkages'!$A$18:$A$157&lt;=$C19))))</f>
        <v>VLSFO</v>
      </c>
      <c r="LY19" s="75" t="str">
        <f t="array" ref="LY19">INDEX('Port Linkages'!$X$18:$X$157,MATCH(2,1/(('Port Linkages'!$C$18:$C$157=$AP19)*('Port Linkages'!$D$18:$D$157=IF($AO19="Yes",$AQ19,$AS19))*('Port Linkages'!$A$18:$A$157&lt;=$C19))))</f>
        <v>MGO_Regular</v>
      </c>
      <c r="LZ19" s="75" t="str">
        <f t="array" ref="LZ19">INDEX('Port Linkages'!$Y$18:$Y$157,MATCH(2,1/(('Port Linkages'!$C$18:$C$157=$AP19)*('Port Linkages'!$D$18:$D$157=IF($AO19="Yes",$AQ19,$AS19))*('Port Linkages'!$A$18:$A$157&lt;=$C19))))</f>
        <v>Suez</v>
      </c>
      <c r="MA19" s="75">
        <f t="array" ref="MA19">INDEX('Port Linkages'!$Z$18:$Z$157,MATCH(2,1/(('Port Linkages'!$C$18:$C$157=$AP19)*('Port Linkages'!$D$18:$D$157=IF($AO19="Yes",$AQ19,$AS19))*('Port Linkages'!$A$18:$A$157&lt;=$C19))))</f>
        <v>3270</v>
      </c>
      <c r="MB19" s="75">
        <f t="array" ref="MB19">INDEX('Port Linkages'!$AA$18:$AA$157,MATCH(2,1/(('Port Linkages'!$C$18:$C$157=$AP19)*('Port Linkages'!$D$18:$D$157=IF($AO19="Yes",$AQ19,$AS19))*('Port Linkages'!$A$18:$A$157&lt;=$C19))))</f>
        <v>0</v>
      </c>
      <c r="MC19" s="75" t="str">
        <f t="array" ref="MC19">INDEX('Port Linkages'!$AB$18:$AB$157,MATCH(2,1/(('Port Linkages'!$C$18:$C$157=$AP19)*('Port Linkages'!$D$18:$D$157=IF($AO19="Yes",$AQ19,$AS19))*('Port Linkages'!$A$18:$A$157&lt;=$C19))))</f>
        <v>Capesize_General</v>
      </c>
      <c r="MD19" s="75" t="str">
        <f t="array" ref="MD19">INDEX('Port Linkages'!$AC$18:$AC$157,MATCH(2,1/(('Port Linkages'!$C$18:$C$157=$AP19)*('Port Linkages'!$D$18:$D$157=IF($AO19="Yes",$AQ19,$AS19))*('Port Linkages'!$A$18:$A$157&lt;=$C19))))</f>
        <v>Singapore</v>
      </c>
      <c r="ME19" s="75" t="str">
        <f t="array" ref="ME19">INDEX('Port Linkages'!$AD$18:$AD$157,MATCH(2,1/(('Port Linkages'!$C$18:$C$157=$AP19)*('Port Linkages'!$D$18:$D$157=IF($AO19="Yes",$AQ19,$AS19))*('Port Linkages'!$A$18:$A$157&lt;=$C19))))</f>
        <v>VLSFO</v>
      </c>
      <c r="MF19" s="75" t="str">
        <f t="array" ref="MF19">INDEX('Port Linkages'!$AE$18:$AE$157,MATCH(2,1/(('Port Linkages'!$C$18:$C$157=$AP19)*('Port Linkages'!$D$18:$D$157=IF($AO19="Yes",$AQ19,$AS19))*('Port Linkages'!$A$18:$A$157&lt;=$C19))))</f>
        <v>MGO_Regular</v>
      </c>
      <c r="MG19" s="75" t="str">
        <f t="array" ref="MG19">INDEX('Port Linkages'!$AF$18:$AF$157,MATCH(2,1/(('Port Linkages'!$C$18:$C$157=$AP19)*('Port Linkages'!$D$18:$D$157=IF($AO19="Yes",$AQ19,$AS19))*('Port Linkages'!$A$18:$A$157&lt;=$C19))))</f>
        <v>Suez</v>
      </c>
      <c r="MH19" s="75">
        <f t="array" ref="MH19">INDEX('Port Linkages'!$AG$18:$AG$157,MATCH(2,1/(('Port Linkages'!$C$18:$C$157=$AP19)*('Port Linkages'!$D$18:$D$157=IF($AO19="Yes",$AQ19,$AS19))*('Port Linkages'!$A$18:$A$157&lt;=$C19))))</f>
        <v>3270</v>
      </c>
      <c r="MI19" s="75">
        <f t="array" ref="MI19">INDEX('Port Linkages'!$AH$18:$AH$157,MATCH(2,1/(('Port Linkages'!$C$18:$C$157=$AP19)*('Port Linkages'!$D$18:$D$157=IF($AO19="Yes",$AQ19,$AS19))*('Port Linkages'!$A$18:$A$157&lt;=$C19))))</f>
        <v>0</v>
      </c>
      <c r="MJ19" s="75" t="str">
        <f t="array" ref="MJ19">INDEX('Port Linkages'!$AI$18:$AI$157,MATCH(2,1/(('Port Linkages'!$C$18:$C$157=$AP19)*('Port Linkages'!$D$18:$D$157=IF($AO19="Yes",$AQ19,$AS19))*('Port Linkages'!$A$18:$A$157&lt;=$C19))))</f>
        <v>Capesize_General</v>
      </c>
      <c r="MK19" s="75" t="str">
        <f t="array" ref="MK19">INDEX('Port Linkages'!$AJ$18:$AJ$157,MATCH(2,1/(('Port Linkages'!$C$18:$C$157=$AP19)*('Port Linkages'!$D$18:$D$157=IF($AO19="Yes",$AQ19,$AS19))*('Port Linkages'!$A$18:$A$157&lt;=$C19))))</f>
        <v>Singapore</v>
      </c>
      <c r="ML19" s="75" t="str">
        <f t="array" ref="ML19">INDEX('Port Linkages'!$AK$18:$AK$157,MATCH(2,1/(('Port Linkages'!$C$18:$C$157=$AP19)*('Port Linkages'!$D$18:$D$157=IF($AO19="Yes",$AQ19,$AS19))*('Port Linkages'!$A$18:$A$157&lt;=$C19))))</f>
        <v>VLSFO</v>
      </c>
      <c r="MM19" s="75" t="str">
        <f t="array" ref="MM19">INDEX('Port Linkages'!$AL$18:$AL$157,MATCH(2,1/(('Port Linkages'!$C$18:$C$157=$AP19)*('Port Linkages'!$D$18:$D$157=IF($AO19="Yes",$AQ19,$AS19))*('Port Linkages'!$A$18:$A$157&lt;=$C19))))</f>
        <v>MGO_Regular</v>
      </c>
      <c r="MN19" s="75" t="str">
        <f t="array" ref="MN19">INDEX('Port Linkages'!$AM$18:$AM$157,MATCH(2,1/(('Port Linkages'!$C$18:$C$157=$AP19)*('Port Linkages'!$D$18:$D$157=IF($AO19="Yes",$AQ19,$AS19))*('Port Linkages'!$A$18:$A$157&lt;=$C19))))</f>
        <v>Suez</v>
      </c>
      <c r="MO19" s="75">
        <f t="array" ref="MO19">INDEX('Port Linkages'!$AN$18:$AN$157,MATCH(2,1/(('Port Linkages'!$C$18:$C$157=$AP19)*('Port Linkages'!$D$18:$D$157=IF($AO19="Yes",$AQ19,$AS19))*('Port Linkages'!$A$18:$A$157&lt;=$C19))))</f>
        <v>3270</v>
      </c>
      <c r="MP19" s="75">
        <f t="array" ref="MP19">INDEX('Port Linkages'!$AO$18:$AO$157,MATCH(2,1/(('Port Linkages'!$C$18:$C$157=$AP19)*('Port Linkages'!$D$18:$D$157=IF($AO19="Yes",$AQ19,$AS19))*('Port Linkages'!$A$18:$A$157&lt;=$C19))))</f>
        <v>0</v>
      </c>
      <c r="MQ19" s="75" t="str">
        <f t="array" ref="MQ19">INDEX('Port Linkages'!$AP$18:$AP$157,MATCH(2,1/(('Port Linkages'!$C$18:$C$157=$AP19)*('Port Linkages'!$D$18:$D$157=IF($AO19="Yes",$AQ19,$AS19))*('Port Linkages'!$A$18:$A$157&lt;=$C19))))</f>
        <v>Capesize_General</v>
      </c>
      <c r="MR19" s="75" t="str">
        <f t="array" ref="MR19">INDEX('Port Linkages'!$AQ$18:$AQ$157,MATCH(2,1/(('Port Linkages'!$C$18:$C$157=$AP19)*('Port Linkages'!$D$18:$D$157=IF($AO19="Yes",$AQ19,$AS19))*('Port Linkages'!$A$18:$A$157&lt;=$C19))))</f>
        <v>Singapore</v>
      </c>
      <c r="MS19" s="75" t="str">
        <f t="array" ref="MS19">INDEX('Port Linkages'!$AR$18:$AR$157,MATCH(2,1/(('Port Linkages'!$C$18:$C$157=$AP19)*('Port Linkages'!$D$18:$D$157=IF($AO19="Yes",$AQ19,$AS19))*('Port Linkages'!$A$18:$A$157&lt;=$C19))))</f>
        <v>VLSFO</v>
      </c>
      <c r="MT19" s="75" t="str">
        <f t="array" ref="MT19">INDEX('Port Linkages'!$AS$18:$AS$157,MATCH(2,1/(('Port Linkages'!$C$18:$C$157=$AP19)*('Port Linkages'!$D$18:$D$157=IF($AO19="Yes",$AQ19,$AS19))*('Port Linkages'!$A$18:$A$157&lt;=$C19))))</f>
        <v>MGO_Regular</v>
      </c>
      <c r="MU19" s="75" t="str">
        <f t="array" ref="MU19">INDEX('Port Linkages'!$AT$18:$AT$157,MATCH(2,1/(('Port Linkages'!$C$18:$C$157=$AP19)*('Port Linkages'!$D$18:$D$157=IF($AO19="Yes",$AQ19,$AS19))*('Port Linkages'!$A$18:$A$157&lt;=$C19))))</f>
        <v>Suez</v>
      </c>
      <c r="MV19" s="75">
        <f t="array" ref="MV19">INDEX('Port Linkages'!$AU$18:$AU$157,MATCH(2,1/(('Port Linkages'!$C$18:$C$157=$AP19)*('Port Linkages'!$D$18:$D$157=IF($AO19="Yes",$AQ19,$AS19))*('Port Linkages'!$A$18:$A$157&lt;=$C19))))</f>
        <v>3270</v>
      </c>
      <c r="MW19" s="75">
        <f t="array" ref="MW19">INDEX('Port Linkages'!$AV$18:$AV$157,MATCH(2,1/(('Port Linkages'!$C$18:$C$157=$AP19)*('Port Linkages'!$D$18:$D$157=IF($AO19="Yes",$AQ19,$AS19))*('Port Linkages'!$A$18:$A$157&lt;=$C19))))</f>
        <v>0</v>
      </c>
      <c r="MX19" s="75" t="str">
        <f t="array" ref="MX19">INDEX('Port Linkages'!$AW$18:$AW$157,MATCH(2,1/(('Port Linkages'!$C$18:$C$157=$AP19)*('Port Linkages'!$D$18:$D$157=IF($AO19="Yes",$AQ19,$AS19))*('Port Linkages'!$A$18:$A$157&lt;=$C19))))</f>
        <v>Capesize_General</v>
      </c>
      <c r="MY19" s="75" t="str">
        <f t="array" ref="MY19">INDEX('Port Linkages'!$AX$18:$AX$157,MATCH(2,1/(('Port Linkages'!$C$18:$C$157=$AP19)*('Port Linkages'!$D$18:$D$157=IF($AO19="Yes",$AQ19,$AS19))*('Port Linkages'!$A$18:$A$157&lt;=$C19))))</f>
        <v>Singapore</v>
      </c>
      <c r="MZ19" s="75" t="str">
        <f t="array" ref="MZ19">INDEX('Port Linkages'!$AY$18:$AY$157,MATCH(2,1/(('Port Linkages'!$C$18:$C$157=$AP19)*('Port Linkages'!$D$18:$D$157=IF($AO19="Yes",$AQ19,$AS19))*('Port Linkages'!$A$18:$A$157&lt;=$C19))))</f>
        <v>VLSFO</v>
      </c>
      <c r="NA19" s="75" t="str">
        <f t="array" ref="NA19">INDEX('Port Linkages'!$AZ$18:$AZ$157,MATCH(2,1/(('Port Linkages'!$C$18:$C$157=$AP19)*('Port Linkages'!$D$18:$D$157=IF($AO19="Yes",$AQ19,$AS19))*('Port Linkages'!$A$18:$A$157&lt;=$C19))))</f>
        <v>MGO_Regular</v>
      </c>
      <c r="NB19" s="75" t="str">
        <f t="array" ref="NB19">INDEX('Port Linkages'!$BA$18:$BA$157,MATCH(2,1/(('Port Linkages'!$C$18:$C$157=$AP19)*('Port Linkages'!$D$18:$D$157=IF($AO19="Yes",$AQ19,$AS19))*('Port Linkages'!$A$18:$A$157&lt;=$C19))))</f>
        <v>Suez</v>
      </c>
      <c r="ND19" s="25" t="e">
        <f t="array" aca="1" ref="ND19" ca="1">INDEX('Ship Fuel Prices'!$F$5:$F$1004,MATCH(2,1/(('Ship Fuel Prices'!$E$5:$E$1004=_xlfn.IFS(KS19="Handysize",Main!MY19,KS19="Supramax",MR19,KS19="Panamax",MK19,KS19="NeoPanamax",MD19,KS19="Suezmax",LW19,KS19="Capesize",LP19,KS19="VLOC",LI19))*('Ship Fuel Prices'!$D$5:$D$1004&lt;=Main!$C19))))</f>
        <v>#N/A</v>
      </c>
      <c r="NE19" s="25" t="e">
        <f t="array" aca="1" ref="NE19" ca="1">INDEX('Ship Fuel Prices'!$G$5:$G$1004,MATCH(2,1/(('Ship Fuel Prices'!$E$5:$E$1004=_xlfn.IFS(KS19="Handysize",Main!MY19,KS19="Supramax",MR19,KS19="Panamax",MK19,KS19="NeoPanamax",MD19,KS19="Suezmax",LW19,KS19="Capesize",LP19,KS19="VLOC",LI19))*('Ship Fuel Prices'!$D$5:$D$1004&lt;=Main!$C19))))</f>
        <v>#N/A</v>
      </c>
      <c r="NF19" s="25" t="e">
        <f t="array" aca="1" ref="NF19" ca="1">INDEX('Ship Fuel Prices'!$H$5:$H$1004,MATCH(2,1/(('Ship Fuel Prices'!$E$5:$E$1004=_xlfn.IFS(KS19="Handysize",Main!MY19,KS19="Supramax",MR19,KS19="Panamax",MK19,KS19="NeoPanamax",MD19,KS19="Suezmax",LW19,KS19="Capesize",LP19,KS19="VLOC",LI19))*('Ship Fuel Prices'!$D$5:$D$1004&lt;=Main!$C19))))</f>
        <v>#N/A</v>
      </c>
      <c r="NG19" s="25" t="e">
        <f t="array" aca="1" ref="NG19" ca="1">INDEX('Ship Fuel Prices'!$I$5:$I$1004,MATCH(2,1/(('Ship Fuel Prices'!$E$5:$E$1004=_xlfn.IFS(KS19="Handysize",Main!MY19,KS19="Supramax",MR19,KS19="Panamax",MK19,KS19="NeoPanamax",MD19,KS19="Suezmax",LW19,KS19="Capesize",LP19,KS19="VLOC",LI19))*('Ship Fuel Prices'!$D$5:$D$1004&lt;=Main!$C19))))</f>
        <v>#N/A</v>
      </c>
      <c r="NH19" s="25" t="e">
        <f t="array" aca="1" ref="NH19" ca="1">INDEX('Ship Fuel Prices'!$J$5:$J$1004,MATCH(2,1/(('Ship Fuel Prices'!$E$5:$E$1004=_xlfn.IFS(KS19="Handysize",Main!MY19,KS19="Supramax",MR19,KS19="Panamax",MK19,KS19="NeoPanamax",MD19,KS19="Suezmax",LW19,KS19="Capesize",LP19,KS19="VLOC",LI19))*('Ship Fuel Prices'!$D$5:$D$1004&lt;=Main!$C19))))</f>
        <v>#N/A</v>
      </c>
      <c r="NJ19" s="75">
        <f t="array" ref="NJ19">INDEX('China n Importing Ports'!$E$20:$E$41,MATCH(2,1/(('China n Importing Ports'!$D$20:$D$41&lt;=$C19)*('China n Importing Ports'!$C$20:$C$41=IF($AO19="Yes",$AQ19,$AS19)))))</f>
        <v>42500</v>
      </c>
      <c r="NK19" s="75">
        <f t="array" ref="NK19">INDEX('China n Importing Ports'!$F$20:$F$41,MATCH(2,1/(('China n Importing Ports'!$D$20:$D$41&lt;=$C19)*('China n Importing Ports'!$C$20:$C$41=IF($AO19="Yes",$AQ19,$AS19)))))</f>
        <v>42500</v>
      </c>
      <c r="NL19" s="75">
        <f t="array" ref="NL19">INDEX('China n Importing Ports'!$G$20:$G$41,MATCH(2,1/(('China n Importing Ports'!$D$20:$D$41&lt;=$C19)*('China n Importing Ports'!$C$20:$C$41=IF($AO19="Yes",$AQ19,$AS19)))))</f>
        <v>42500</v>
      </c>
      <c r="NM19" s="75">
        <f t="array" ref="NM19">INDEX('China n Importing Ports'!$H$20:$H$41,MATCH(2,1/(('China n Importing Ports'!$D$20:$D$41&lt;=$C19)*('China n Importing Ports'!$C$20:$C$41=IF($AO19="Yes",$AQ19,$AS19)))))</f>
        <v>42500</v>
      </c>
      <c r="NN19" s="75">
        <f t="array" ref="NN19">INDEX('China n Importing Ports'!$I$20:$I$41,MATCH(2,1/(('China n Importing Ports'!$D$20:$D$41&lt;=$C19)*('China n Importing Ports'!$C$20:$C$41=IF($AO19="Yes",$AQ19,$AS19)))))</f>
        <v>42500</v>
      </c>
      <c r="NO19" s="75">
        <f t="array" ref="NO19">INDEX('China n Importing Ports'!$J$20:$J$41,MATCH(2,1/(('China n Importing Ports'!$D$20:$D$41&lt;=$C19)*('China n Importing Ports'!$C$20:$C$41=IF($AO19="Yes",$AQ19,$AS19)))))</f>
        <v>42500</v>
      </c>
      <c r="NP19" s="75">
        <f t="array" ref="NP19">INDEX('China n Importing Ports'!$K$20:$K$41,MATCH(2,1/(('China n Importing Ports'!$D$20:$D$41&lt;=$C19)*('China n Importing Ports'!$C$20:$C$41=IF($AO19="Yes",$AQ19,$AS19)))))</f>
        <v>42500</v>
      </c>
      <c r="NQ19" s="75" t="str">
        <f t="array" ref="NQ19">INDEX('China n Importing Ports'!$L$20:$L$41,MATCH(2,1/(('China n Importing Ports'!$D$20:$D$41&lt;=$C19)*('China n Importing Ports'!$C$20:$C$41=IF($AO19="Yes",$AQ19,$AS19)))))</f>
        <v>RMB</v>
      </c>
      <c r="NR19" s="75">
        <f t="array" ref="NR19">INDEX('China n Importing Ports'!$M$20:$M$41,MATCH(2,1/(('China n Importing Ports'!$D$20:$D$41&lt;=$C19)*('China n Importing Ports'!$C$20:$C$41=IF($AO19="Yes",$AQ19,$AS19)))))</f>
        <v>12342</v>
      </c>
      <c r="NS19" s="75">
        <f t="array" ref="NS19">INDEX('China n Importing Ports'!$N$20:$N$41,MATCH(2,1/(('China n Importing Ports'!$D$20:$D$41&lt;=$C19)*('China n Importing Ports'!$C$20:$C$41=IF($AO19="Yes",$AQ19,$AS19)))))</f>
        <v>0</v>
      </c>
      <c r="NT19" s="75">
        <f t="array" ref="NT19">INDEX('China n Importing Ports'!$O$20:$O$41,MATCH(2,1/(('China n Importing Ports'!$D$20:$D$41&lt;=$C19)*('China n Importing Ports'!$C$20:$C$41=IF($AO19="Yes",$AQ19,$AS19)))))</f>
        <v>0</v>
      </c>
      <c r="NU19" s="136">
        <f t="array" ref="NU19">INDEX('China n Importing Ports'!$P$20:$P$41,MATCH(2,1/(('China n Importing Ports'!$D$20:$D$41&lt;=$C19)*('China n Importing Ports'!$C$20:$C$41=IF($AO19="Yes",$AQ19,$AS19)))))</f>
        <v>2.64</v>
      </c>
      <c r="NV19" s="136">
        <f t="array" ref="NV19">INDEX('China n Importing Ports'!$Q$20:$Q$41,MATCH(2,1/(('China n Importing Ports'!$D$20:$D$41&lt;=$C19)*('China n Importing Ports'!$C$20:$C$41=IF($AO19="Yes",$AQ19,$AS19)))))</f>
        <v>0</v>
      </c>
      <c r="NW19" s="136">
        <f t="array" ref="NW19">INDEX('China n Importing Ports'!$R$20:$R$41,MATCH(2,1/(('China n Importing Ports'!$D$20:$D$41&lt;=$C19)*('China n Importing Ports'!$C$20:$C$41=IF($AO19="Yes",$AQ19,$AS19)))))</f>
        <v>0</v>
      </c>
      <c r="NX19" s="136">
        <f t="array" ref="NX19">INDEX('China n Importing Ports'!$S$20:$S$41,MATCH(2,1/(('China n Importing Ports'!$D$20:$D$41&lt;=$C19)*('China n Importing Ports'!$C$20:$C$41=IF($AO19="Yes",$AQ19,$AS19)))))</f>
        <v>4.53</v>
      </c>
      <c r="NY19" s="136">
        <f t="array" ref="NY19">INDEX('China n Importing Ports'!$T$20:$T$41,MATCH(2,1/(('China n Importing Ports'!$D$20:$D$41&lt;=$C19)*('China n Importing Ports'!$C$20:$C$41=IF($AO19="Yes",$AQ19,$AS19)))))</f>
        <v>0.36699999999999999</v>
      </c>
      <c r="NZ19" s="136">
        <f t="array" ref="NZ19">INDEX('China n Importing Ports'!$U$20:$U$41,MATCH(2,1/(('China n Importing Ports'!$D$20:$D$41&lt;=$C19)*('China n Importing Ports'!$C$20:$C$41=IF($AO19="Yes",$AQ19,$AS19)))))</f>
        <v>0.05</v>
      </c>
      <c r="OA19" s="136">
        <f t="array" ref="OA19">INDEX('China n Importing Ports'!$V$20:$V$41,MATCH(2,1/(('China n Importing Ports'!$D$20:$D$41&lt;=$C19)*('China n Importing Ports'!$C$20:$C$41=IF($AO19="Yes",$AQ19,$AS19)))))</f>
        <v>0</v>
      </c>
      <c r="OB19" s="136">
        <f t="array" ref="OB19">INDEX('China n Importing Ports'!$W$20:$W$41,MATCH(2,1/(('China n Importing Ports'!$D$20:$D$41&lt;=$C19)*('China n Importing Ports'!$C$20:$C$41=IF($AO19="Yes",$AQ19,$AS19)))))</f>
        <v>0</v>
      </c>
      <c r="OC19" s="136">
        <f t="array" ref="OC19">INDEX('China n Importing Ports'!$X$20:$X$41,MATCH(2,1/(('China n Importing Ports'!$D$20:$D$41&lt;=$C19)*('China n Importing Ports'!$C$20:$C$41=IF($AO19="Yes",$AQ19,$AS19)))))</f>
        <v>0</v>
      </c>
      <c r="OD19" s="136">
        <f t="array" ref="OD19">INDEX('China n Importing Ports'!$Y$20:$Y$41,MATCH(2,1/(('China n Importing Ports'!$D$20:$D$41&lt;=$C19)*('China n Importing Ports'!$C$20:$C$41=IF($AO19="Yes",$AQ19,$AS19)))))</f>
        <v>197</v>
      </c>
      <c r="OE19" s="136">
        <f t="array" ref="OE19">INDEX('China n Importing Ports'!$Z$20:$Z$41,MATCH(2,1/(('China n Importing Ports'!$D$20:$D$41&lt;=$C19)*('China n Importing Ports'!$C$20:$C$41=IF($AO19="Yes",$AQ19,$AS19)))))</f>
        <v>0</v>
      </c>
      <c r="OF19" s="136">
        <f t="array" ref="OF19">INDEX('China n Importing Ports'!$AA$20:$AA$41,MATCH(2,1/(('China n Importing Ports'!$D$20:$D$41&lt;=$C19)*('China n Importing Ports'!$C$20:$C$41=IF($AO19="Yes",$AQ19,$AS19)))))</f>
        <v>0</v>
      </c>
      <c r="OH19" s="75" t="e">
        <f t="array" aca="1" ref="OH19" ca="1">INDEX(Canals!$G$24:$G$29,MATCH(2,1/((Canals!$F$24:$F$29&lt;=$C19)*(Canals!$G$24:$G$29=_xlfn.IFS(KS19="Handysize",Main!NB19,KS19="Supramax",MU19,KS19="Panamax",MN19,KS19="NeoPanamax",MG19,KS19="Suezmax",LZ19,KS19="Capesize",LS19,KS19="VLOC",LL19)))))</f>
        <v>#N/A</v>
      </c>
      <c r="OI19" s="75" t="e">
        <f t="array" aca="1" ref="OI19" ca="1">INDEX(Canals!$H$24:$H$29,MATCH(2,1/((Canals!$F$24:$F$29&lt;=$C19)*(Canals!$G$24:$G$29=_xlfn.IFS(KS19="Handysize",Main!NB19,KS19="Supramax",MU19,KS19="Panamax",MN19,KS19="NeoPanamax",MG19,KS19="Suezmax",LZ19,KS19="Capesize",LS19,KS19="VLOC",LL19)))))</f>
        <v>#N/A</v>
      </c>
      <c r="OJ19" s="75" t="e">
        <f t="array" aca="1" ref="OJ19" ca="1">INDEX(Canals!$I$24:$I$29,MATCH(2,1/((Canals!$F$24:$F$29&lt;=$C19)*(Canals!$G$24:$G$29=_xlfn.IFS(KS19="Handysize",Main!NB19,KS19="Supramax",MU19,KS19="Panamax",MN19,KS19="NeoPanamax",MG19,KS19="Suezmax",LZ19,KS19="Capesize",LS19,KS19="VLOC",LL19)))))</f>
        <v>#N/A</v>
      </c>
      <c r="OK19" s="75" t="e">
        <f t="array" aca="1" ref="OK19" ca="1">INDEX(Canals!$J$24:$J$29,MATCH(2,1/((Canals!$F$24:$F$29&lt;=$C19)*(Canals!$G$24:$G$29=_xlfn.IFS(KS19="Handysize",Main!NB19,KS19="Supramax",MU19,KS19="Panamax",MN19,KS19="NeoPanamax",MG19,KS19="Suezmax",LZ19,KS19="Capesize",LS19,KS19="VLOC",LL19)))))</f>
        <v>#N/A</v>
      </c>
      <c r="OL19" s="75" t="e">
        <f t="array" aca="1" ref="OL19" ca="1">INDEX(Canals!$K$24:$K$29,MATCH(2,1/((Canals!$F$24:$F$29&lt;=$C19)*(Canals!$G$24:$G$29=_xlfn.IFS(KS19="Handysize",Main!NB19,KS19="Supramax",MU19,KS19="Panamax",MN19,KS19="NeoPanamax",MG19,KS19="Suezmax",LZ19,KS19="Capesize",LS19,KS19="VLOC",LL19)))))</f>
        <v>#N/A</v>
      </c>
      <c r="OM19" s="75" t="e">
        <f t="array" aca="1" ref="OM19" ca="1">INDEX(Canals!$L$24:$L$29,MATCH(2,1/((Canals!$F$24:$F$29&lt;=$C19)*(Canals!$G$24:$G$29=_xlfn.IFS(KS19="Handysize",Main!NB19,KS19="Supramax",MU19,KS19="Panamax",MN19,KS19="NeoPanamax",MG19,KS19="Suezmax",LZ19,KS19="Capesize",LS19,KS19="VLOC",LL19)))))</f>
        <v>#N/A</v>
      </c>
      <c r="ON19" s="75" t="e">
        <f t="array" aca="1" ref="ON19" ca="1">INDEX(Canals!$M$24:$M$29,MATCH(2,1/((Canals!$F$24:$F$29&lt;=$C19)*(Canals!$G$24:$G$29=_xlfn.IFS(KS19="Handysize",Main!NB19,KS19="Supramax",MU19,KS19="Panamax",MN19,KS19="NeoPanamax",MG19,KS19="Suezmax",LZ19,KS19="Capesize",LS19,KS19="VLOC",LL19)))))</f>
        <v>#N/A</v>
      </c>
      <c r="OO19" s="75" t="e">
        <f t="array" aca="1" ref="OO19" ca="1">INDEX(Canals!$N$24:$N$29,MATCH(2,1/((Canals!$F$24:$F$29&lt;=$C19)*(Canals!$G$24:$G$29=_xlfn.IFS(KS19="Handysize",Main!NB19,KS19="Supramax",MU19,KS19="Panamax",MN19,KS19="NeoPanamax",MG19,KS19="Suezmax",LZ19,KS19="Capesize",LS19,KS19="VLOC",LL19)))))</f>
        <v>#N/A</v>
      </c>
      <c r="OP19" s="75" t="e">
        <f t="array" aca="1" ref="OP19" ca="1">INDEX(Canals!$O$24:$O$29,MATCH(2,1/((Canals!$F$24:$F$29&lt;=$C19)*(Canals!$G$24:$G$29=_xlfn.IFS(KS19="Handysize",Main!NB19,KS19="Supramax",MU19,KS19="Panamax",MN19,KS19="NeoPanamax",MG19,KS19="Suezmax",LZ19,KS19="Capesize",LS19,KS19="VLOC",LL19)))))</f>
        <v>#N/A</v>
      </c>
      <c r="OQ19" s="75" t="e">
        <f t="array" aca="1" ref="OQ19" ca="1">INDEX(Canals!$P$24:$P$29,MATCH(2,1/((Canals!$F$24:$F$29&lt;=$C19)*(Canals!$G$24:$G$29=_xlfn.IFS(KS19="Handysize",Main!NB19,KS19="Supramax",MU19,KS19="Panamax",MN19,KS19="NeoPanamax",MG19,KS19="Suezmax",LZ19,KS19="Capesize",LS19,KS19="VLOC",LL19)))))</f>
        <v>#N/A</v>
      </c>
      <c r="OR19" s="75" t="e">
        <f t="array" aca="1" ref="OR19" ca="1">INDEX(Canals!$Q$24:$Q$29,MATCH(2,1/((Canals!$F$24:$F$29&lt;=$C19)*(Canals!$G$24:$G$29=_xlfn.IFS(KS19="Handysize",Main!NB19,KS19="Supramax",MU19,KS19="Panamax",MN19,KS19="NeoPanamax",MG19,KS19="Suezmax",LZ19,KS19="Capesize",LS19,KS19="VLOC",LL19)))))</f>
        <v>#N/A</v>
      </c>
      <c r="OS19" s="75" t="e">
        <f t="array" aca="1" ref="OS19" ca="1">INDEX(Canals!$R$24:$R$29,MATCH(2,1/((Canals!$F$24:$F$29&lt;=$C19)*(Canals!$G$24:$G$29=_xlfn.IFS(KS19="Handysize",Main!NB19,KS19="Supramax",MU19,KS19="Panamax",MN19,KS19="NeoPanamax",MG19,KS19="Suezmax",LZ19,KS19="Capesize",LS19,KS19="VLOC",LL19)))))</f>
        <v>#N/A</v>
      </c>
      <c r="OT19" s="136" t="e">
        <f t="array" aca="1" ref="OT19" ca="1">INDEX(Canals!$S$24:$S$29,MATCH(2,1/((Canals!$F$24:$F$29&lt;=$C19)*(Canals!$G$24:$G$29=_xlfn.IFS(KS19="Handysize",Main!NB19,KS19="Supramax",MU19,KS19="Panamax",MN19,KS19="NeoPanamax",MG19,KS19="Suezmax",LZ19,KS19="Capesize",LS19,KS19="VLOC",LL19)))))</f>
        <v>#N/A</v>
      </c>
      <c r="OU19" s="136" t="e">
        <f t="array" aca="1" ref="OU19" ca="1">INDEX(Canals!$T$24:$T$29,MATCH(2,1/((Canals!$F$24:$F$29&lt;=$C19)*(Canals!$G$24:$G$29=_xlfn.IFS(KS19="Handysize",Main!NB19,KS19="Supramax",MU19,KS19="Panamax",MN19,KS19="NeoPanamax",MG19,KS19="Suezmax",LZ19,KS19="Capesize",LS19,KS19="VLOC",LL19)))))</f>
        <v>#N/A</v>
      </c>
      <c r="OV19" s="136" t="e">
        <f t="array" aca="1" ref="OV19" ca="1">INDEX(Canals!$U$24:$U$29,MATCH(2,1/((Canals!$F$24:$F$29&lt;=$C19)*(Canals!$G$24:$G$29=_xlfn.IFS(KS19="Handysize",Main!NB19,KS19="Supramax",MU19,KS19="Panamax",MN19,KS19="NeoPanamax",MG19,KS19="Suezmax",LZ19,KS19="Capesize",LS19,KS19="VLOC",LL19)))))</f>
        <v>#N/A</v>
      </c>
      <c r="OW19" s="136" t="e">
        <f t="array" aca="1" ref="OW19" ca="1">INDEX(Canals!$V$24:$V$29,MATCH(2,1/((Canals!$F$24:$F$29&lt;=$C19)*(Canals!$G$24:$G$29=_xlfn.IFS(KS19="Handysize",Main!NB19,KS19="Supramax",MU19,KS19="Panamax",MN19,KS19="NeoPanamax",MG19,KS19="Suezmax",LZ19,KS19="Capesize",LS19,KS19="VLOC",LL19)))))</f>
        <v>#N/A</v>
      </c>
      <c r="OX19" s="136" t="e">
        <f t="array" aca="1" ref="OX19" ca="1">INDEX(Canals!$W$24:$W$29,MATCH(2,1/((Canals!$F$24:$F$29&lt;=$C19)*(Canals!$G$24:$G$29=_xlfn.IFS(KS19="Handysize",Main!NB19,KS19="Supramax",MU19,KS19="Panamax",MN19,KS19="NeoPanamax",MG19,KS19="Suezmax",LZ19,KS19="Capesize",LS19,KS19="VLOC",LL19)))))</f>
        <v>#N/A</v>
      </c>
      <c r="OY19" s="136" t="e">
        <f t="array" aca="1" ref="OY19" ca="1">INDEX(Canals!$X$24:$X$29,MATCH(2,1/((Canals!$F$24:$F$29&lt;=$C19)*(Canals!$G$24:$G$29=_xlfn.IFS(KS19="Handysize",Main!NB19,KS19="Supramax",MU19,KS19="Panamax",MN19,KS19="NeoPanamax",MG19,KS19="Suezmax",LZ19,KS19="Capesize",LS19,KS19="VLOC",LL19)))))</f>
        <v>#N/A</v>
      </c>
      <c r="OZ19" s="136" t="e">
        <f t="array" aca="1" ref="OZ19" ca="1">INDEX(Canals!$Y$24:$Y$29,MATCH(2,1/((Canals!$F$24:$F$29&lt;=$C19)*(Canals!$G$24:$G$29=_xlfn.IFS(KS19="Handysize",Main!NB19,KS19="Supramax",MU19,KS19="Panamax",MN19,KS19="NeoPanamax",MG19,KS19="Suezmax",LZ19,KS19="Capesize",LS19,KS19="VLOC",LL19)))))</f>
        <v>#N/A</v>
      </c>
      <c r="PA19" s="136" t="e">
        <f t="array" aca="1" ref="PA19" ca="1">INDEX(Canals!$Z$24:$Z$29,MATCH(2,1/((Canals!$F$24:$F$29&lt;=$C19)*(Canals!$G$24:$G$29=_xlfn.IFS(KS19="Handysize",Main!NB19,KS19="Supramax",MU19,KS19="Panamax",MN19,KS19="NeoPanamax",MG19,KS19="Suezmax",LZ19,KS19="Capesize",LS19,KS19="VLOC",LL19)))))</f>
        <v>#N/A</v>
      </c>
      <c r="PB19" s="136" t="e">
        <f t="array" aca="1" ref="PB19" ca="1">INDEX(Canals!$AA$24:$AA$29,MATCH(2,1/((Canals!$F$24:$F$29&lt;=$C19)*(Canals!$G$24:$G$29=_xlfn.IFS(KS19="Handysize",Main!NB19,KS19="Supramax",MU19,KS19="Panamax",MN19,KS19="NeoPanamax",MG19,KS19="Suezmax",LZ19,KS19="Capesize",LS19,KS19="VLOC",LL19)))))</f>
        <v>#N/A</v>
      </c>
      <c r="PC19" s="136" t="e">
        <f t="array" aca="1" ref="PC19" ca="1">INDEX(Canals!$AB$24:$AB$29,MATCH(2,1/((Canals!$F$24:$F$29&lt;=$C19)*(Canals!$G$24:$G$29=_xlfn.IFS(KS19="Handysize",Main!NB19,KS19="Supramax",MU19,KS19="Panamax",MN19,KS19="NeoPanamax",MG19,KS19="Suezmax",LZ19,KS19="Capesize",LS19,KS19="VLOC",LL19)))))</f>
        <v>#N/A</v>
      </c>
      <c r="PD19" s="75" t="e">
        <f t="array" aca="1" ref="PD19" ca="1">INDEX(Canals!$AC$24:$AC$29,MATCH(2,1/((Canals!$F$24:$F$29&lt;=$C19)*(Canals!$G$24:$G$29=_xlfn.IFS(KS19="Handysize",Main!NB19,KS19="Supramax",MU19,KS19="Panamax",MN19,KS19="NeoPanamax",MG19,KS19="Suezmax",LZ19,KS19="Capesize",LS19,KS19="VLOC",LL19)))))</f>
        <v>#N/A</v>
      </c>
      <c r="PE19" s="75" t="e">
        <f t="array" aca="1" ref="PE19" ca="1">INDEX(Canals!$AD$24:$AD$29,MATCH(2,1/((Canals!$F$24:$F$29&lt;=$C19)*(Canals!$G$24:$G$29=_xlfn.IFS(KS19="Handysize",Main!NB19,KS19="Supramax",MU19,KS19="Panamax",MN19,KS19="NeoPanamax",MG19,KS19="Suezmax",LZ19,KS19="Capesize",LS19,KS19="VLOC",LL19)))))</f>
        <v>#N/A</v>
      </c>
      <c r="PF19" s="75" t="e">
        <f t="array" aca="1" ref="PF19" ca="1">INDEX(Canals!$AE$24:$AE$29,MATCH(2,1/((Canals!$F$24:$F$29&lt;=$C19)*(Canals!$G$24:$G$29=_xlfn.IFS(KS19="Handysize",Main!NB19,KS19="Supramax",MU19,KS19="Panamax",MN19,KS19="NeoPanamax",MG19,KS19="Suezmax",LZ19,KS19="Capesize",LS19,KS19="VLOC",LL19)))))</f>
        <v>#N/A</v>
      </c>
      <c r="PG19" s="75" t="e">
        <f t="array" aca="1" ref="PG19" ca="1">INDEX(Canals!$AF$24:$AF$29,MATCH(2,1/((Canals!$F$24:$F$29&lt;=$C19)*(Canals!$G$24:$G$29=_xlfn.IFS(KS19="Handysize",Main!NB19,KS19="Supramax",MU19,KS19="Panamax",MN19,KS19="NeoPanamax",MG19,KS19="Suezmax",LZ19,KS19="Capesize",LS19,KS19="VLOC",LL19)))))</f>
        <v>#N/A</v>
      </c>
      <c r="PH19" s="75" t="e">
        <f t="array" aca="1" ref="PH19" ca="1">INDEX(Canals!$AG$24:$AG$29,MATCH(2,1/((Canals!$F$24:$F$29&lt;=$C19)*(Canals!$G$24:$G$29=_xlfn.IFS(KS19="Handysize",Main!NB19,KS19="Supramax",MU19,KS19="Panamax",MN19,KS19="NeoPanamax",MG19,KS19="Suezmax",LZ19,KS19="Capesize",LS19,KS19="VLOC",LL19)))))</f>
        <v>#N/A</v>
      </c>
      <c r="PI19" s="75" t="e">
        <f t="array" aca="1" ref="PI19" ca="1">INDEX(Canals!$AH$24:$AH$29,MATCH(2,1/((Canals!$F$24:$F$29&lt;=$C19)*(Canals!$G$24:$G$29=_xlfn.IFS(KS19="Handysize",Main!NB19,KS19="Supramax",MU19,KS19="Panamax",MN19,KS19="NeoPanamax",MG19,KS19="Suezmax",LZ19,KS19="Capesize",LS19,KS19="VLOC",LL19)))))</f>
        <v>#N/A</v>
      </c>
      <c r="PJ19" s="75" t="e">
        <f t="array" aca="1" ref="PJ19" ca="1">INDEX(Canals!$AI$24:$AI$29,MATCH(2,1/((Canals!$F$24:$F$29&lt;=$C19)*(Canals!$G$24:$G$29=_xlfn.IFS(KS19="Handysize",Main!NB19,KS19="Supramax",MU19,KS19="Panamax",MN19,KS19="NeoPanamax",MG19,KS19="Suezmax",LZ19,KS19="Capesize",LS19,KS19="VLOC",LL19)))))</f>
        <v>#N/A</v>
      </c>
      <c r="PK19" s="75" t="e">
        <f t="array" aca="1" ref="PK19" ca="1">INDEX(Canals!$AJ$24:$AJ$29,MATCH(2,1/((Canals!$F$24:$F$29&lt;=$C19)*(Canals!$G$24:$G$29=_xlfn.IFS(KS19="Handysize",Main!NB19,KS19="Supramax",MU19,KS19="Panamax",MN19,KS19="NeoPanamax",MG19,KS19="Suezmax",LZ19,KS19="Capesize",LS19,KS19="VLOC",LL19)))))</f>
        <v>#N/A</v>
      </c>
      <c r="PL19" s="75" t="e">
        <f t="array" aca="1" ref="PL19" ca="1">INDEX(Canals!$AK$24:$AK$29,MATCH(2,1/((Canals!$F$24:$F$29&lt;=$C19)*(Canals!$G$24:$G$29=_xlfn.IFS(KS19="Handysize",Main!NB19,KS19="Supramax",MU19,KS19="Panamax",MN19,KS19="NeoPanamax",MG19,KS19="Suezmax",LZ19,KS19="Capesize",LS19,KS19="VLOC",LL19)))))</f>
        <v>#N/A</v>
      </c>
      <c r="PM19" s="136" t="e">
        <f t="array" aca="1" ref="PM19" ca="1">INDEX(Canals!$AL$24:$AL$29,MATCH(2,1/((Canals!$F$24:$F$29&lt;=$C19)*(Canals!$G$24:$G$29=_xlfn.IFS(KS19="Handysize",Main!NB19,KS19="Supramax",MU19,KS19="Panamax",MN19,KS19="NeoPanamax",MG19,KS19="Suezmax",LZ19,KS19="Capesize",LS19,KS19="VLOC",LL19)))))</f>
        <v>#N/A</v>
      </c>
      <c r="PN19" s="136" t="e">
        <f t="array" aca="1" ref="PN19" ca="1">INDEX(Canals!$AM$24:$AM$29,MATCH(2,1/((Canals!$F$24:$F$29&lt;=$C19)*(Canals!$G$24:$G$29=_xlfn.IFS(KS19="Handysize",Main!NB19,KS19="Supramax",MU19,KS19="Panamax",MN19,KS19="NeoPanamax",MG19,KS19="Suezmax",LZ19,KS19="Capesize",LS19,KS19="VLOC",LL19)))))</f>
        <v>#N/A</v>
      </c>
      <c r="PO19" s="136" t="e">
        <f t="array" aca="1" ref="PO19" ca="1">INDEX(Canals!$AN$24:$AN$29,MATCH(2,1/((Canals!$F$24:$F$29&lt;=$C19)*(Canals!$G$24:$G$29=_xlfn.IFS(KS19="Handysize",Main!NB19,KS19="Supramax",MU19,KS19="Panamax",MN19,KS19="NeoPanamax",MG19,KS19="Suezmax",LZ19,KS19="Capesize",LS19,KS19="VLOC",LL19)))))</f>
        <v>#N/A</v>
      </c>
      <c r="PP19" s="136" t="e">
        <f t="array" aca="1" ref="PP19" ca="1">INDEX(Canals!$AO$24:$AO$29,MATCH(2,1/((Canals!$F$24:$F$29&lt;=$C19)*(Canals!$G$24:$G$29=_xlfn.IFS(KS19="Handysize",Main!NB19,KS19="Supramax",MU19,KS19="Panamax",MN19,KS19="NeoPanamax",MG19,KS19="Suezmax",LZ19,KS19="Capesize",LS19,KS19="VLOC",LL19)))))</f>
        <v>#N/A</v>
      </c>
      <c r="PQ19" s="136" t="e">
        <f t="array" aca="1" ref="PQ19" ca="1">INDEX(Canals!$AP$24:$AP$29,MATCH(2,1/((Canals!$F$24:$F$29&lt;=$C19)*(Canals!$G$24:$G$29=_xlfn.IFS(KS19="Handysize",Main!NB19,KS19="Supramax",MU19,KS19="Panamax",MN19,KS19="NeoPanamax",MG19,KS19="Suezmax",LZ19,KS19="Capesize",LS19,KS19="VLOC",LL19)))))</f>
        <v>#N/A</v>
      </c>
      <c r="PR19" s="136" t="e">
        <f t="array" aca="1" ref="PR19" ca="1">INDEX(Canals!$AQ$24:$AQ$29,MATCH(2,1/((Canals!$F$24:$F$29&lt;=$C19)*(Canals!$G$24:$G$29=_xlfn.IFS(KS19="Handysize",Main!NB19,KS19="Supramax",MU19,KS19="Panamax",MN19,KS19="NeoPanamax",MG19,KS19="Suezmax",LZ19,KS19="Capesize",LS19,KS19="VLOC",LL19)))))</f>
        <v>#N/A</v>
      </c>
      <c r="PS19" s="136" t="e">
        <f t="array" aca="1" ref="PS19" ca="1">INDEX(Canals!$AR$24:$AR$29,MATCH(2,1/((Canals!$F$24:$F$29&lt;=$C19)*(Canals!$G$24:$G$29=_xlfn.IFS(KS19="Handysize",Main!NB19,KS19="Supramax",MU19,KS19="Panamax",MN19,KS19="NeoPanamax",MG19,KS19="Suezmax",LZ19,KS19="Capesize",LS19,KS19="VLOC",LL19)))))</f>
        <v>#N/A</v>
      </c>
      <c r="PT19" s="136" t="e">
        <f t="array" aca="1" ref="PT19" ca="1">INDEX(Canals!$AS$24:$AS$29,MATCH(2,1/((Canals!$F$24:$F$29&lt;=$C19)*(Canals!$G$24:$G$29=_xlfn.IFS(KS19="Handysize",Main!NB19,KS19="Supramax",MU19,KS19="Panamax",MN19,KS19="NeoPanamax",MG19,KS19="Suezmax",LZ19,KS19="Capesize",LS19,KS19="VLOC",LL19)))))</f>
        <v>#N/A</v>
      </c>
      <c r="PU19" s="136" t="e">
        <f t="array" aca="1" ref="PU19" ca="1">INDEX(Canals!$AT$24:$AT$29,MATCH(2,1/((Canals!$F$24:$F$29&lt;=$C19)*(Canals!$G$24:$G$29=_xlfn.IFS(KS19="Handysize",Main!NB19,KS19="Supramax",MU19,KS19="Panamax",MN19,KS19="NeoPanamax",MG19,KS19="Suezmax",LZ19,KS19="Capesize",LS19,KS19="VLOC",LL19)))))</f>
        <v>#N/A</v>
      </c>
      <c r="PV19" s="136" t="e">
        <f t="array" aca="1" ref="PV19" ca="1">INDEX(Canals!$AU$24:$AU$29,MATCH(2,1/((Canals!$F$24:$F$29&lt;=$C19)*(Canals!$G$24:$G$29=_xlfn.IFS(KS19="Handysize",Main!NB19,KS19="Supramax",MU19,KS19="Panamax",MN19,KS19="NeoPanamax",MG19,KS19="Suezmax",LZ19,KS19="Capesize",LS19,KS19="VLOC",LL19)))))</f>
        <v>#N/A</v>
      </c>
      <c r="PW19" s="136" t="e">
        <f t="array" aca="1" ref="PW19" ca="1">INDEX(Canals!$AV$24:$AV$29,MATCH(2,1/((Canals!$F$24:$F$29&lt;=$C19)*(Canals!$G$24:$G$29=_xlfn.IFS(KS19="Handysize",Main!NB19,KS19="Supramax",MU19,KS19="Panamax",MN19,KS19="NeoPanamax",MG19,KS19="Suezmax",LZ19,KS19="Capesize",LS19,KS19="VLOC",LL19)))))</f>
        <v>#N/A</v>
      </c>
      <c r="PY19" s="75" t="e">
        <f t="array" aca="1" ref="PY19" ca="1">_xlfn.IFS(OJ19="DWT",KQ19,OJ19="NRT",KU19,OJ19="GRT",KV19)</f>
        <v>#NAME?</v>
      </c>
      <c r="PZ19" s="279" t="e">
        <f t="shared" ca="1" si="74"/>
        <v>#NAME?</v>
      </c>
      <c r="QA19" s="280" t="e">
        <f t="shared" ca="1" si="75"/>
        <v>#NAME?</v>
      </c>
      <c r="QB19" s="280" t="e">
        <f t="shared" ca="1" si="76"/>
        <v>#NAME?</v>
      </c>
      <c r="QC19" s="280" t="e">
        <f t="shared" ca="1" si="77"/>
        <v>#NAME?</v>
      </c>
      <c r="QD19" s="280" t="e">
        <f t="shared" ca="1" si="78"/>
        <v>#NAME?</v>
      </c>
      <c r="QE19" s="280" t="e">
        <f t="shared" ca="1" si="79"/>
        <v>#NAME?</v>
      </c>
      <c r="QF19" s="280" t="e">
        <f t="shared" ca="1" si="80"/>
        <v>#NAME?</v>
      </c>
      <c r="QG19" s="280" t="e">
        <f t="shared" ca="1" si="81"/>
        <v>#NAME?</v>
      </c>
      <c r="QH19" s="280" t="e">
        <f t="shared" ca="1" si="82"/>
        <v>#NAME?</v>
      </c>
      <c r="QI19" s="75">
        <f t="shared" si="83"/>
        <v>61912.5</v>
      </c>
      <c r="QJ19" s="279" t="e">
        <f t="shared" ca="1" si="84"/>
        <v>#N/A</v>
      </c>
      <c r="QK19" s="280" t="e">
        <f t="shared" ca="1" si="85"/>
        <v>#N/A</v>
      </c>
      <c r="QL19" s="280" t="e">
        <f t="shared" ca="1" si="86"/>
        <v>#N/A</v>
      </c>
      <c r="QM19" s="280" t="e">
        <f t="shared" ca="1" si="87"/>
        <v>#N/A</v>
      </c>
      <c r="QN19" s="280" t="e">
        <f t="shared" ca="1" si="88"/>
        <v>#N/A</v>
      </c>
      <c r="QO19" s="280" t="e">
        <f t="shared" ca="1" si="89"/>
        <v>#N/A</v>
      </c>
      <c r="QP19" s="280" t="e">
        <f t="shared" ca="1" si="90"/>
        <v>#N/A</v>
      </c>
      <c r="QQ19" s="280" t="e">
        <f t="shared" ca="1" si="91"/>
        <v>#N/A</v>
      </c>
      <c r="QR19" s="280" t="e">
        <f t="shared" ca="1" si="92"/>
        <v>#N/A</v>
      </c>
      <c r="QT19" s="75" t="e">
        <f t="array" aca="1" ref="QT19" ca="1">_xlfn.IFS(KS19="Handysize",Main!MV19,KS19="Supramax",MO19,KS19="Panamax",MH19,KS19="NeoPanamax",MA19,KS19="Suezmax",LT19,KS19="Capesize",LM19,KS19="VLOC",LF19)*$JI19</f>
        <v>#NAME?</v>
      </c>
      <c r="QU19" s="274" t="e">
        <f t="array" aca="1" ref="QU19" ca="1">_xlfn.IFS(KS19="Handysize",Main!MW19,KS19="Supramax",MP19,KS19="Panamax",MI19,KS19="NeoPanamax",MB19,KS19="Suezmax",LU19,KS19="Capesize",LN19,KS19="VLOC",LG19)*$JI19</f>
        <v>#NAME?</v>
      </c>
      <c r="QV19" s="71" t="e">
        <f t="array" aca="1" ref="QV19" ca="1">_xlfn.IFS(KS19="Handysize",Main!KX19,KS19="Supramax",KY19,KS19="Panamax",KZ19,KS19="NeoPanamax",LA19,KS19="Suezmax",LB19,KS19="Capesize",LC19,KS19="VLOC",LD19)</f>
        <v>#NAME?</v>
      </c>
      <c r="QW19" s="71" t="e">
        <f t="array" aca="1" ref="QW19" ca="1">_xlfn.IFS(KS19="Handysize",Main!NJ19,KS19="Supramax",NK19,KS19="Panamax",NL19,KS19="NeoPanamax",NM19,KS19="Suezmax",NN19,KS19="Capesize",NO19,KS19="VLOC",NP19)</f>
        <v>#NAME?</v>
      </c>
      <c r="QX19" s="70">
        <f t="array" ref="QX19">INDEX('Ship Speeds'!$G$11:$G$1011,MATCH(2,1/(('Ship Speeds'!$E$11:$E$1011&lt;=Main!$C19)*('Ship Speeds'!$F$11:$F$1011=Main!KR19))))</f>
        <v>11</v>
      </c>
      <c r="QY19" s="403">
        <f t="shared" si="93"/>
        <v>18.663243921562554</v>
      </c>
      <c r="QZ19" s="401">
        <f t="shared" si="94"/>
        <v>1.87818</v>
      </c>
      <c r="RA19" s="70" t="e">
        <f t="shared" ca="1" si="95"/>
        <v>#NAME?</v>
      </c>
      <c r="RB19" s="70" t="e">
        <f t="shared" ca="1" si="96"/>
        <v>#NAME?</v>
      </c>
      <c r="RC19" s="70" t="e">
        <f t="shared" ca="1" si="97"/>
        <v>#NAME?</v>
      </c>
      <c r="RD19" s="70" t="e">
        <f t="shared" ca="1" si="98"/>
        <v>#NAME?</v>
      </c>
      <c r="RE19" s="72" t="e">
        <f t="shared" ca="1" si="99"/>
        <v>#N/A</v>
      </c>
      <c r="RF19" s="70" t="e">
        <f t="shared" ca="1" si="100"/>
        <v>#NAME?</v>
      </c>
      <c r="RG19" s="70" t="e">
        <f t="array" aca="1" ref="RG19" ca="1">INDEX(ND19:NH19,MATCH(_xlfn.IFS(KS19="Handysize",Main!MZ19,KS19="Supramax",MS19,KS19="Panamax",ML19,KS19="NeoPanamax",ME19,KS19="Suezmax",LX19,KS19="Capesize",LQ19,KS19="VLOC",LJ19),$ND$7:$NH$7,0))</f>
        <v>#NAME?</v>
      </c>
      <c r="RH19" s="70" t="e">
        <f t="array" aca="1" ref="RH19" ca="1">INDEX(ND19:NH19,MATCH(_xlfn.IFS(KS19="Handysize",Main!NA19,KS19="Supramax",MT19,KS19="Panamax",MM19,KS19="NeoPanamax",MF19,KS19="Suezmax",LY19,KS19="Capesize",LR19,KS19="VLOC",LK19),$ND$7:$NH$7,0))</f>
        <v>#NAME?</v>
      </c>
      <c r="RI19" s="71" t="e">
        <f t="shared" ca="1" si="101"/>
        <v>#NAME?</v>
      </c>
      <c r="RJ19" s="71" t="e">
        <f t="shared" ca="1" si="102"/>
        <v>#NAME?</v>
      </c>
      <c r="RK19" s="281">
        <f t="shared" si="103"/>
        <v>7.0759999999999987</v>
      </c>
      <c r="RL19" s="71">
        <f t="shared" si="104"/>
        <v>1744.2057659694747</v>
      </c>
      <c r="RM19" s="71" t="e">
        <f t="shared" ca="1" si="105"/>
        <v>#NAME?</v>
      </c>
      <c r="RN19" s="71" t="e">
        <f t="shared" ca="1" si="106"/>
        <v>#NAME?</v>
      </c>
      <c r="RO19" s="71">
        <f t="shared" si="107"/>
        <v>23099.067269643871</v>
      </c>
      <c r="RP19" s="71" t="e">
        <f t="shared" ca="1" si="108"/>
        <v>#NAME?</v>
      </c>
      <c r="RQ19" s="71" t="e">
        <f t="shared" ca="1" si="109"/>
        <v>#NAME?</v>
      </c>
      <c r="RR19" s="71">
        <f t="shared" si="110"/>
        <v>16399.09934991521</v>
      </c>
      <c r="RS19" s="71" t="e">
        <f t="shared" ca="1" si="111"/>
        <v>#NAME?</v>
      </c>
      <c r="RT19" s="71" t="e">
        <f t="shared" ca="1" si="112"/>
        <v>#NAME?</v>
      </c>
      <c r="RU19" s="71">
        <f t="shared" si="113"/>
        <v>0</v>
      </c>
      <c r="RV19" s="71" t="e">
        <f t="shared" ca="1" si="114"/>
        <v>#NAME?</v>
      </c>
      <c r="RW19" s="71" t="e">
        <f t="shared" ca="1" si="115"/>
        <v>#NAME?</v>
      </c>
      <c r="RX19" s="72">
        <f t="shared" si="116"/>
        <v>5605.0202798191067</v>
      </c>
      <c r="RY19" s="72" t="e">
        <f t="shared" ca="1" si="117"/>
        <v>#NAME?</v>
      </c>
      <c r="RZ19" s="71" t="e">
        <f t="shared" ca="1" si="118"/>
        <v>#NAME?</v>
      </c>
      <c r="SA19" s="71" t="e">
        <f t="array" aca="1" ref="SA19" ca="1">INDEX('Ship Time Charter Rates'!$H$22:$H$1021,MATCH(2,1/(('Ship Time Charter Rates'!$G$22:$G$1021=_xlfn.IFS(KS19="Handysize",Main!MX19,KS19="Supramax",MQ19,KS19="Panamax",MJ19,KS19="NeoPanamax",MC19,KS19="Suezmax",LV19,KS19="Capesize",LO19,KS19="VLOC",LH19))*('Ship Time Charter Rates'!$E$22:$E$1021&lt;=Main!$C19)*(NOT(ISBLANK('Ship Time Charter Rates'!$H$22:$H$1021))))))</f>
        <v>#N/A</v>
      </c>
      <c r="SB19" s="71" t="e">
        <f t="shared" ca="1" si="119"/>
        <v>#NAME?</v>
      </c>
      <c r="SC19" s="70" t="e">
        <f t="shared" ca="1" si="120"/>
        <v>#N/A</v>
      </c>
      <c r="SD19" s="71" t="e">
        <f t="shared" ca="1" si="121"/>
        <v>#NAME?</v>
      </c>
      <c r="SE19" s="71" t="e">
        <f t="shared" ca="1" si="302"/>
        <v>#NAME?</v>
      </c>
      <c r="SF19" s="72" t="e">
        <f t="shared" ca="1" si="303"/>
        <v>#NAME?</v>
      </c>
      <c r="SH19" s="25">
        <f t="shared" si="321"/>
        <v>0</v>
      </c>
      <c r="SI19" s="4" t="str">
        <f>VLOOKUP(SH19,'Ship Time Charter Rates'!$F$10:$G$17,2,TRUE)</f>
        <v>Handysize</v>
      </c>
      <c r="SJ19" s="4" t="str">
        <f>VLOOKUP(SH19,Canals!$E$5:$F$12,2,TRUE)</f>
        <v>Handysize</v>
      </c>
      <c r="SK19" s="25">
        <f t="shared" si="122"/>
        <v>145.88999999999999</v>
      </c>
      <c r="SL19" s="25">
        <f t="shared" si="123"/>
        <v>0</v>
      </c>
      <c r="SM19" s="25">
        <f t="shared" si="124"/>
        <v>4797</v>
      </c>
      <c r="SO19" s="75">
        <f t="array" ref="SO19">INDEX('Indices Mines Exporting Ports'!$R$20:$R$51,MATCH(2,1/(('Indices Mines Exporting Ports'!$D$20:$D$51&lt;=Main!$C19)*('Indices Mines Exporting Ports'!$Q$20:$Q$51=$AQ19))))</f>
        <v>0</v>
      </c>
      <c r="SP19" s="75">
        <f t="array" ref="SP19">INDEX('Indices Mines Exporting Ports'!$S$20:$S$51,MATCH(2,1/(('Indices Mines Exporting Ports'!$D$20:$D$51&lt;=Main!$C19)*('Indices Mines Exporting Ports'!$Q$20:$Q$51=$AQ19))))</f>
        <v>0</v>
      </c>
      <c r="SQ19" s="75">
        <f t="array" ref="SQ19">INDEX('Indices Mines Exporting Ports'!$T$20:$T$51,MATCH(2,1/(('Indices Mines Exporting Ports'!$D$20:$D$51&lt;=Main!$C19)*('Indices Mines Exporting Ports'!$Q$20:$Q$51=$AQ19))))</f>
        <v>0</v>
      </c>
      <c r="SR19" s="75">
        <f t="array" ref="SR19">INDEX('Indices Mines Exporting Ports'!$U$20:$U$51,MATCH(2,1/(('Indices Mines Exporting Ports'!$D$20:$D$51&lt;=Main!$C19)*('Indices Mines Exporting Ports'!$Q$20:$Q$51=$AQ19))))</f>
        <v>0</v>
      </c>
      <c r="SS19" s="75">
        <f t="array" ref="SS19">INDEX('Indices Mines Exporting Ports'!$V$20:$V$51,MATCH(2,1/(('Indices Mines Exporting Ports'!$D$20:$D$51&lt;=Main!$C19)*('Indices Mines Exporting Ports'!$Q$20:$Q$51=$AQ19))))</f>
        <v>0</v>
      </c>
      <c r="ST19" s="75">
        <f t="array" ref="ST19">INDEX('Indices Mines Exporting Ports'!$W$20:$W$51,MATCH(2,1/(('Indices Mines Exporting Ports'!$D$20:$D$51&lt;=Main!$C19)*('Indices Mines Exporting Ports'!$Q$20:$Q$51=$AQ19))))</f>
        <v>0</v>
      </c>
      <c r="SU19" s="75">
        <f t="array" ref="SU19">INDEX('Indices Mines Exporting Ports'!$X$20:$X$51,MATCH(2,1/(('Indices Mines Exporting Ports'!$D$20:$D$51&lt;=Main!$C19)*('Indices Mines Exporting Ports'!$Q$20:$Q$51=$AQ19))))</f>
        <v>0</v>
      </c>
      <c r="SW19" s="75">
        <f t="array" ref="SW19">INDEX('Port Linkages'!$E$18:$E$157,MATCH(2,1/(('Port Linkages'!$C$18:$C$157=$AQ19)*('Port Linkages'!$D$18:$D$157=IF($AO19="no",$AQ19,$AS19))*('Port Linkages'!$A$18:$A$157&lt;=$C19))))</f>
        <v>0</v>
      </c>
      <c r="SX19" s="75">
        <f t="array" ref="SX19">INDEX('Port Linkages'!$F$18:$F$157,MATCH(2,1/(('Port Linkages'!$C$18:$C$157=$AQ19)*('Port Linkages'!$D$18:$D$157=IF($AO19="no",$AQ19,$AS19))*('Port Linkages'!$A$18:$A$157&lt;=$C19))))</f>
        <v>0</v>
      </c>
      <c r="SY19" s="75">
        <f t="array" ref="SY19">INDEX('Port Linkages'!$G$18:$G$157,MATCH(2,1/(('Port Linkages'!$C$18:$C$157=$AQ19)*('Port Linkages'!$D$18:$D$157=IF($AO19="no",$AQ19,$AS19))*('Port Linkages'!$A$18:$A$157&lt;=$C19))))</f>
        <v>0</v>
      </c>
      <c r="SZ19" s="75">
        <f t="array" ref="SZ19">INDEX('Port Linkages'!$H$18:$H$157,MATCH(2,1/(('Port Linkages'!$C$18:$C$157=$AQ19)*('Port Linkages'!$D$18:$D$157=IF($AO19="no",$AQ19,$AS19))*('Port Linkages'!$A$18:$A$157&lt;=$C19))))</f>
        <v>0</v>
      </c>
      <c r="TA19" s="75">
        <f t="array" ref="TA19">INDEX('Port Linkages'!$I$18:$I$157,MATCH(2,1/(('Port Linkages'!$C$18:$C$157=$AQ19)*('Port Linkages'!$D$18:$D$157=IF($AO19="no",$AQ19,$AS19))*('Port Linkages'!$A$18:$A$157&lt;=$C19))))</f>
        <v>0</v>
      </c>
      <c r="TB19" s="75">
        <f t="array" ref="TB19">INDEX('Port Linkages'!$J$18:$J$157,MATCH(2,1/(('Port Linkages'!$C$18:$C$157=$AQ19)*('Port Linkages'!$D$18:$D$157=IF($AO19="no",$AQ19,$AS19))*('Port Linkages'!$A$18:$A$157&lt;=$C19))))</f>
        <v>0</v>
      </c>
      <c r="TC19" s="75">
        <f t="array" ref="TC19">INDEX('Port Linkages'!$K$18:$K$157,MATCH(2,1/(('Port Linkages'!$C$18:$C$157=$AQ19)*('Port Linkages'!$D$18:$D$157=IF($AO19="no",$AQ19,$AS19))*('Port Linkages'!$A$18:$A$157&lt;=$C19))))</f>
        <v>0</v>
      </c>
      <c r="TD19" s="75">
        <f t="array" ref="TD19">INDEX('Port Linkages'!$L$18:$L$157,MATCH(2,1/(('Port Linkages'!$C$18:$C$157=$AQ19)*('Port Linkages'!$D$18:$D$157=IF($AO19="no",$AQ19,$AS19))*('Port Linkages'!$A$18:$A$157&lt;=$C19))))</f>
        <v>0</v>
      </c>
      <c r="TE19" s="75">
        <f t="array" ref="TE19">INDEX('Port Linkages'!$M$18:$M$157,MATCH(2,1/(('Port Linkages'!$C$18:$C$157=$AQ19)*('Port Linkages'!$D$18:$D$157=IF($AO19="no",$AQ19,$AS19))*('Port Linkages'!$A$18:$A$157&lt;=$C19))))</f>
        <v>0</v>
      </c>
      <c r="TF19" s="75">
        <f t="array" ref="TF19">INDEX('Port Linkages'!$N$18:$N$157,MATCH(2,1/(('Port Linkages'!$C$18:$C$157=$AQ19)*('Port Linkages'!$D$18:$D$157=IF($AO19="no",$AQ19,$AS19))*('Port Linkages'!$A$18:$A$157&lt;=$C19))))</f>
        <v>0</v>
      </c>
      <c r="TG19" s="75">
        <f t="array" ref="TG19">INDEX('Port Linkages'!$O$18:$O$157,MATCH(2,1/(('Port Linkages'!$C$18:$C$157=$AQ19)*('Port Linkages'!$D$18:$D$157=IF($AO19="no",$AQ19,$AS19))*('Port Linkages'!$A$18:$A$157&lt;=$C19))))</f>
        <v>0</v>
      </c>
      <c r="TH19" s="75">
        <f t="array" ref="TH19">INDEX('Port Linkages'!$P$18:$P$157,MATCH(2,1/(('Port Linkages'!$C$18:$C$157=$AQ19)*('Port Linkages'!$D$18:$D$157=IF($AO19="no",$AQ19,$AS19))*('Port Linkages'!$A$18:$A$157&lt;=$C19))))</f>
        <v>0</v>
      </c>
      <c r="TI19" s="75">
        <f t="array" ref="TI19">INDEX('Port Linkages'!$Q$18:$Q$157,MATCH(2,1/(('Port Linkages'!$C$18:$C$157=$AQ19)*('Port Linkages'!$D$18:$D$157=IF($AO19="no",$AQ19,$AS19))*('Port Linkages'!$A$18:$A$157&lt;=$C19))))</f>
        <v>0</v>
      </c>
      <c r="TJ19" s="75">
        <f t="array" ref="TJ19">INDEX('Port Linkages'!$R$18:$R$157,MATCH(2,1/(('Port Linkages'!$C$18:$C$157=$AQ19)*('Port Linkages'!$D$18:$D$157=IF($AO19="no",$AQ19,$AS19))*('Port Linkages'!$A$18:$A$157&lt;=$C19))))</f>
        <v>0</v>
      </c>
      <c r="TK19" s="75">
        <f t="array" ref="TK19">INDEX('Port Linkages'!$S$18:$S$157,MATCH(2,1/(('Port Linkages'!$C$18:$C$157=$AQ19)*('Port Linkages'!$D$18:$D$157=IF($AO19="no",$AQ19,$AS19))*('Port Linkages'!$A$18:$A$157&lt;=$C19))))</f>
        <v>0</v>
      </c>
      <c r="TL19" s="75">
        <f t="array" ref="TL19">INDEX('Port Linkages'!$T$18:$T$157,MATCH(2,1/(('Port Linkages'!$C$18:$C$157=$AQ19)*('Port Linkages'!$D$18:$D$157=IF($AO19="no",$AQ19,$AS19))*('Port Linkages'!$A$18:$A$157&lt;=$C19))))</f>
        <v>0</v>
      </c>
      <c r="TM19" s="75">
        <f t="array" ref="TM19">INDEX('Port Linkages'!$U$18:$U$157,MATCH(2,1/(('Port Linkages'!$C$18:$C$157=$AQ19)*('Port Linkages'!$D$18:$D$157=IF($AO19="no",$AQ19,$AS19))*('Port Linkages'!$A$18:$A$157&lt;=$C19))))</f>
        <v>0</v>
      </c>
      <c r="TN19" s="75">
        <f t="array" ref="TN19">INDEX('Port Linkages'!$V$18:$V$157,MATCH(2,1/(('Port Linkages'!$C$18:$C$157=$AQ19)*('Port Linkages'!$D$18:$D$157=IF($AO19="no",$AQ19,$AS19))*('Port Linkages'!$A$18:$A$157&lt;=$C19))))</f>
        <v>0</v>
      </c>
      <c r="TO19" s="75">
        <f t="array" ref="TO19">INDEX('Port Linkages'!$W$18:$W$157,MATCH(2,1/(('Port Linkages'!$C$18:$C$157=$AQ19)*('Port Linkages'!$D$18:$D$157=IF($AO19="no",$AQ19,$AS19))*('Port Linkages'!$A$18:$A$157&lt;=$C19))))</f>
        <v>0</v>
      </c>
      <c r="TP19" s="75">
        <f t="array" ref="TP19">INDEX('Port Linkages'!$X$18:$X$157,MATCH(2,1/(('Port Linkages'!$C$18:$C$157=$AQ19)*('Port Linkages'!$D$18:$D$157=IF($AO19="no",$AQ19,$AS19))*('Port Linkages'!$A$18:$A$157&lt;=$C19))))</f>
        <v>0</v>
      </c>
      <c r="TQ19" s="75">
        <f t="array" ref="TQ19">INDEX('Port Linkages'!$Y$18:$Y$157,MATCH(2,1/(('Port Linkages'!$C$18:$C$157=$AQ19)*('Port Linkages'!$D$18:$D$157=IF($AO19="no",$AQ19,$AS19))*('Port Linkages'!$A$18:$A$157&lt;=$C19))))</f>
        <v>0</v>
      </c>
      <c r="TR19" s="75">
        <f t="array" ref="TR19">INDEX('Port Linkages'!$Z$18:$Z$157,MATCH(2,1/(('Port Linkages'!$C$18:$C$157=$AQ19)*('Port Linkages'!$D$18:$D$157=IF($AO19="no",$AQ19,$AS19))*('Port Linkages'!$A$18:$A$157&lt;=$C19))))</f>
        <v>0</v>
      </c>
      <c r="TS19" s="75">
        <f t="array" ref="TS19">INDEX('Port Linkages'!$AA$18:$AA$157,MATCH(2,1/(('Port Linkages'!$C$18:$C$157=$AQ19)*('Port Linkages'!$D$18:$D$157=IF($AO19="no",$AQ19,$AS19))*('Port Linkages'!$A$18:$A$157&lt;=$C19))))</f>
        <v>0</v>
      </c>
      <c r="TT19" s="75">
        <f t="array" ref="TT19">INDEX('Port Linkages'!$AB$18:$AB$157,MATCH(2,1/(('Port Linkages'!$C$18:$C$157=$AQ19)*('Port Linkages'!$D$18:$D$157=IF($AO19="no",$AQ19,$AS19))*('Port Linkages'!$A$18:$A$157&lt;=$C19))))</f>
        <v>0</v>
      </c>
      <c r="TU19" s="75">
        <f t="array" ref="TU19">INDEX('Port Linkages'!$AC$18:$AC$157,MATCH(2,1/(('Port Linkages'!$C$18:$C$157=$AQ19)*('Port Linkages'!$D$18:$D$157=IF($AO19="no",$AQ19,$AS19))*('Port Linkages'!$A$18:$A$157&lt;=$C19))))</f>
        <v>0</v>
      </c>
      <c r="TV19" s="75">
        <f t="array" ref="TV19">INDEX('Port Linkages'!$AD$18:$AD$157,MATCH(2,1/(('Port Linkages'!$C$18:$C$157=$AQ19)*('Port Linkages'!$D$18:$D$157=IF($AO19="no",$AQ19,$AS19))*('Port Linkages'!$A$18:$A$157&lt;=$C19))))</f>
        <v>0</v>
      </c>
      <c r="TW19" s="75">
        <f t="array" ref="TW19">INDEX('Port Linkages'!$AE$18:$AE$157,MATCH(2,1/(('Port Linkages'!$C$18:$C$157=$AQ19)*('Port Linkages'!$D$18:$D$157=IF($AO19="no",$AQ19,$AS19))*('Port Linkages'!$A$18:$A$157&lt;=$C19))))</f>
        <v>0</v>
      </c>
      <c r="TX19" s="75">
        <f t="array" ref="TX19">INDEX('Port Linkages'!$AF$18:$AF$157,MATCH(2,1/(('Port Linkages'!$C$18:$C$157=$AQ19)*('Port Linkages'!$D$18:$D$157=IF($AO19="no",$AQ19,$AS19))*('Port Linkages'!$A$18:$A$157&lt;=$C19))))</f>
        <v>0</v>
      </c>
      <c r="TY19" s="75">
        <f t="array" ref="TY19">INDEX('Port Linkages'!$AG$18:$AG$157,MATCH(2,1/(('Port Linkages'!$C$18:$C$157=$AQ19)*('Port Linkages'!$D$18:$D$157=IF($AO19="no",$AQ19,$AS19))*('Port Linkages'!$A$18:$A$157&lt;=$C19))))</f>
        <v>0</v>
      </c>
      <c r="TZ19" s="75">
        <f t="array" ref="TZ19">INDEX('Port Linkages'!$AH$18:$AH$157,MATCH(2,1/(('Port Linkages'!$C$18:$C$157=$AQ19)*('Port Linkages'!$D$18:$D$157=IF($AO19="no",$AQ19,$AS19))*('Port Linkages'!$A$18:$A$157&lt;=$C19))))</f>
        <v>0</v>
      </c>
      <c r="UA19" s="75">
        <f t="array" ref="UA19">INDEX('Port Linkages'!$AI$18:$AI$157,MATCH(2,1/(('Port Linkages'!$C$18:$C$157=$AQ19)*('Port Linkages'!$D$18:$D$157=IF($AO19="no",$AQ19,$AS19))*('Port Linkages'!$A$18:$A$157&lt;=$C19))))</f>
        <v>0</v>
      </c>
      <c r="UB19" s="75">
        <f t="array" ref="UB19">INDEX('Port Linkages'!$AJ$18:$AJ$157,MATCH(2,1/(('Port Linkages'!$C$18:$C$157=$AQ19)*('Port Linkages'!$D$18:$D$157=IF($AO19="no",$AQ19,$AS19))*('Port Linkages'!$A$18:$A$157&lt;=$C19))))</f>
        <v>0</v>
      </c>
      <c r="UC19" s="75">
        <f t="array" ref="UC19">INDEX('Port Linkages'!$AK$18:$AK$157,MATCH(2,1/(('Port Linkages'!$C$18:$C$157=$AQ19)*('Port Linkages'!$D$18:$D$157=IF($AO19="no",$AQ19,$AS19))*('Port Linkages'!$A$18:$A$157&lt;=$C19))))</f>
        <v>0</v>
      </c>
      <c r="UD19" s="75">
        <f t="array" ref="UD19">INDEX('Port Linkages'!$AL$18:$AL$157,MATCH(2,1/(('Port Linkages'!$C$18:$C$157=$AQ19)*('Port Linkages'!$D$18:$D$157=IF($AO19="no",$AQ19,$AS19))*('Port Linkages'!$A$18:$A$157&lt;=$C19))))</f>
        <v>0</v>
      </c>
      <c r="UE19" s="75">
        <f t="array" ref="UE19">INDEX('Port Linkages'!$AM$18:$AM$157,MATCH(2,1/(('Port Linkages'!$C$18:$C$157=$AQ19)*('Port Linkages'!$D$18:$D$157=IF($AO19="no",$AQ19,$AS19))*('Port Linkages'!$A$18:$A$157&lt;=$C19))))</f>
        <v>0</v>
      </c>
      <c r="UF19" s="75">
        <f t="array" ref="UF19">INDEX('Port Linkages'!$AN$18:$AN$157,MATCH(2,1/(('Port Linkages'!$C$18:$C$157=$AQ19)*('Port Linkages'!$D$18:$D$157=IF($AO19="no",$AQ19,$AS19))*('Port Linkages'!$A$18:$A$157&lt;=$C19))))</f>
        <v>0</v>
      </c>
      <c r="UG19" s="75">
        <f t="array" ref="UG19">INDEX('Port Linkages'!$AO$18:$AO$157,MATCH(2,1/(('Port Linkages'!$C$18:$C$157=$AQ19)*('Port Linkages'!$D$18:$D$157=IF($AO19="no",$AQ19,$AS19))*('Port Linkages'!$A$18:$A$157&lt;=$C19))))</f>
        <v>0</v>
      </c>
      <c r="UH19" s="75">
        <f t="array" ref="UH19">INDEX('Port Linkages'!$AP$18:$AP$157,MATCH(2,1/(('Port Linkages'!$C$18:$C$157=$AQ19)*('Port Linkages'!$D$18:$D$157=IF($AO19="no",$AQ19,$AS19))*('Port Linkages'!$A$18:$A$157&lt;=$C19))))</f>
        <v>0</v>
      </c>
      <c r="UI19" s="75">
        <f t="array" ref="UI19">INDEX('Port Linkages'!$AQ$18:$AQ$157,MATCH(2,1/(('Port Linkages'!$C$18:$C$157=$AQ19)*('Port Linkages'!$D$18:$D$157=IF($AO19="no",$AQ19,$AS19))*('Port Linkages'!$A$18:$A$157&lt;=$C19))))</f>
        <v>0</v>
      </c>
      <c r="UJ19" s="75">
        <f t="array" ref="UJ19">INDEX('Port Linkages'!$AR$18:$AR$157,MATCH(2,1/(('Port Linkages'!$C$18:$C$157=$AQ19)*('Port Linkages'!$D$18:$D$157=IF($AO19="no",$AQ19,$AS19))*('Port Linkages'!$A$18:$A$157&lt;=$C19))))</f>
        <v>0</v>
      </c>
      <c r="UK19" s="75">
        <f t="array" ref="UK19">INDEX('Port Linkages'!$AS$18:$AS$157,MATCH(2,1/(('Port Linkages'!$C$18:$C$157=$AQ19)*('Port Linkages'!$D$18:$D$157=IF($AO19="no",$AQ19,$AS19))*('Port Linkages'!$A$18:$A$157&lt;=$C19))))</f>
        <v>0</v>
      </c>
      <c r="UL19" s="75">
        <f t="array" ref="UL19">INDEX('Port Linkages'!$AT$18:$AT$157,MATCH(2,1/(('Port Linkages'!$C$18:$C$157=$AQ19)*('Port Linkages'!$D$18:$D$157=IF($AO19="no",$AQ19,$AS19))*('Port Linkages'!$A$18:$A$157&lt;=$C19))))</f>
        <v>0</v>
      </c>
      <c r="UM19" s="75">
        <f t="array" ref="UM19">INDEX('Port Linkages'!$AU$18:$AU$157,MATCH(2,1/(('Port Linkages'!$C$18:$C$157=$AQ19)*('Port Linkages'!$D$18:$D$157=IF($AO19="no",$AQ19,$AS19))*('Port Linkages'!$A$18:$A$157&lt;=$C19))))</f>
        <v>0</v>
      </c>
      <c r="UN19" s="75">
        <f t="array" ref="UN19">INDEX('Port Linkages'!$AV$18:$AV$157,MATCH(2,1/(('Port Linkages'!$C$18:$C$157=$AQ19)*('Port Linkages'!$D$18:$D$157=IF($AO19="no",$AQ19,$AS19))*('Port Linkages'!$A$18:$A$157&lt;=$C19))))</f>
        <v>0</v>
      </c>
      <c r="UO19" s="75">
        <f t="array" ref="UO19">INDEX('Port Linkages'!$AW$18:$AW$157,MATCH(2,1/(('Port Linkages'!$C$18:$C$157=$AQ19)*('Port Linkages'!$D$18:$D$157=IF($AO19="no",$AQ19,$AS19))*('Port Linkages'!$A$18:$A$157&lt;=$C19))))</f>
        <v>0</v>
      </c>
      <c r="UP19" s="75">
        <f t="array" ref="UP19">INDEX('Port Linkages'!$AX$18:$AX$157,MATCH(2,1/(('Port Linkages'!$C$18:$C$157=$AQ19)*('Port Linkages'!$D$18:$D$157=IF($AO19="no",$AQ19,$AS19))*('Port Linkages'!$A$18:$A$157&lt;=$C19))))</f>
        <v>0</v>
      </c>
      <c r="UQ19" s="75">
        <f t="array" ref="UQ19">INDEX('Port Linkages'!$AY$18:$AY$157,MATCH(2,1/(('Port Linkages'!$C$18:$C$157=$AQ19)*('Port Linkages'!$D$18:$D$157=IF($AO19="no",$AQ19,$AS19))*('Port Linkages'!$A$18:$A$157&lt;=$C19))))</f>
        <v>0</v>
      </c>
      <c r="UR19" s="75">
        <f t="array" ref="UR19">INDEX('Port Linkages'!$AZ$18:$AZ$157,MATCH(2,1/(('Port Linkages'!$C$18:$C$157=$AQ19)*('Port Linkages'!$D$18:$D$157=IF($AO19="no",$AQ19,$AS19))*('Port Linkages'!$A$18:$A$157&lt;=$C19))))</f>
        <v>0</v>
      </c>
      <c r="US19" s="75">
        <f t="array" ref="US19">INDEX('Port Linkages'!$BA$18:$BA$157,MATCH(2,1/(('Port Linkages'!$C$18:$C$157=$AQ19)*('Port Linkages'!$D$18:$D$157=IF($AO19="no",$AQ19,$AS19))*('Port Linkages'!$A$18:$A$157&lt;=$C19))))</f>
        <v>0</v>
      </c>
      <c r="UU19" s="25" t="e">
        <f t="array" aca="1" ref="UU19" ca="1">INDEX('Ship Fuel Prices'!$F$5:$F$1004,MATCH(2,1/(('Ship Fuel Prices'!$E$5:$E$1004=_xlfn.IFS(SJ19="Handysize",Main!UP19,SJ19="Supramax",UI19,SJ19="Panamax",UB19,SJ19="NeoPanamax",TU19,SJ19="Suezmax",TN19,SJ19="Capesize",TG19,SJ19="VLOC",SZ19))*('Ship Fuel Prices'!$D$5:$D$1004&lt;=Main!$C19))))</f>
        <v>#N/A</v>
      </c>
      <c r="UV19" s="25" t="e">
        <f t="array" aca="1" ref="UV19" ca="1">INDEX('Ship Fuel Prices'!$G$5:$G$1004,MATCH(2,1/(('Ship Fuel Prices'!$E$5:$E$1004=_xlfn.IFS(SJ19="Handysize",Main!UP19,SJ19="Supramax",UI19,SJ19="Panamax",UB19,SJ19="NeoPanamax",TU19,SJ19="Suezmax",TN19,SJ19="Capesize",TG19,SJ19="VLOC",SZ19))*('Ship Fuel Prices'!$D$5:$D$1004&lt;=Main!$C19))))</f>
        <v>#N/A</v>
      </c>
      <c r="UW19" s="25" t="e">
        <f t="array" aca="1" ref="UW19" ca="1">INDEX('Ship Fuel Prices'!$H$5:$H$1004,MATCH(2,1/(('Ship Fuel Prices'!$E$5:$E$1004=_xlfn.IFS(SJ19="Handysize",Main!UP19,SJ19="Supramax",UI19,SJ19="Panamax",UB19,SJ19="NeoPanamax",TU19,SJ19="Suezmax",TN19,SJ19="Capesize",TG19,SJ19="VLOC",SZ19))*('Ship Fuel Prices'!$D$5:$D$1004&lt;=Main!$C19))))</f>
        <v>#N/A</v>
      </c>
      <c r="UX19" s="25" t="e">
        <f t="array" aca="1" ref="UX19" ca="1">INDEX('Ship Fuel Prices'!$I$5:$I$1004,MATCH(2,1/(('Ship Fuel Prices'!$E$5:$E$1004=_xlfn.IFS(SJ19="Handysize",Main!UP19,SJ19="Supramax",UI19,SJ19="Panamax",UB19,SJ19="NeoPanamax",TU19,SJ19="Suezmax",TN19,SJ19="Capesize",TG19,SJ19="VLOC",SZ19))*('Ship Fuel Prices'!$D$5:$D$1004&lt;=Main!$C19))))</f>
        <v>#N/A</v>
      </c>
      <c r="UY19" s="25" t="e">
        <f t="array" aca="1" ref="UY19" ca="1">INDEX('Ship Fuel Prices'!$J$5:$J$1004,MATCH(2,1/(('Ship Fuel Prices'!$E$5:$E$1004=_xlfn.IFS(SJ19="Handysize",Main!UP19,SJ19="Supramax",UI19,SJ19="Panamax",UB19,SJ19="NeoPanamax",TU19,SJ19="Suezmax",TN19,SJ19="Capesize",TG19,SJ19="VLOC",SZ19))*('Ship Fuel Prices'!$D$5:$D$1004&lt;=Main!$C19))))</f>
        <v>#N/A</v>
      </c>
      <c r="VA19" s="75">
        <f t="array" ref="VA19">INDEX('China n Importing Ports'!$E$20:$E$41,MATCH(2,1/(('China n Importing Ports'!$D$20:$D$41&lt;=$C19)*('China n Importing Ports'!$C$20:$C$41=IF($AO19="No",$AQ19,$AS19)))))</f>
        <v>0</v>
      </c>
      <c r="VB19" s="75">
        <f t="array" ref="VB19">INDEX('China n Importing Ports'!$F$20:$F$41,MATCH(2,1/(('China n Importing Ports'!$D$20:$D$41&lt;=$C19)*('China n Importing Ports'!$C$20:$C$41=IF($AO19="No",$AQ19,$AS19)))))</f>
        <v>0</v>
      </c>
      <c r="VC19" s="75">
        <f t="array" ref="VC19">INDEX('China n Importing Ports'!$G$20:$G$41,MATCH(2,1/(('China n Importing Ports'!$D$20:$D$41&lt;=$C19)*('China n Importing Ports'!$C$20:$C$41=IF($AO19="No",$AQ19,$AS19)))))</f>
        <v>0</v>
      </c>
      <c r="VD19" s="75">
        <f t="array" ref="VD19">INDEX('China n Importing Ports'!$H$20:$H$41,MATCH(2,1/(('China n Importing Ports'!$D$20:$D$41&lt;=$C19)*('China n Importing Ports'!$C$20:$C$41=IF($AO19="No",$AQ19,$AS19)))))</f>
        <v>0</v>
      </c>
      <c r="VE19" s="75">
        <f t="array" ref="VE19">INDEX('China n Importing Ports'!$I$20:$I$41,MATCH(2,1/(('China n Importing Ports'!$D$20:$D$41&lt;=$C19)*('China n Importing Ports'!$C$20:$C$41=IF($AO19="No",$AQ19,$AS19)))))</f>
        <v>0</v>
      </c>
      <c r="VF19" s="75">
        <f t="array" ref="VF19">INDEX('China n Importing Ports'!$J$20:$J$41,MATCH(2,1/(('China n Importing Ports'!$D$20:$D$41&lt;=$C19)*('China n Importing Ports'!$C$20:$C$41=IF($AO19="No",$AQ19,$AS19)))))</f>
        <v>0</v>
      </c>
      <c r="VG19" s="75">
        <f t="array" ref="VG19">INDEX('China n Importing Ports'!$K$20:$K$41,MATCH(2,1/(('China n Importing Ports'!$D$20:$D$41&lt;=$C19)*('China n Importing Ports'!$C$20:$C$41=IF($AO19="No",$AQ19,$AS19)))))</f>
        <v>0</v>
      </c>
      <c r="VH19" s="75">
        <f t="array" ref="VH19">INDEX('China n Importing Ports'!$L$20:$L$41,MATCH(2,1/(('China n Importing Ports'!$D$20:$D$41&lt;=$C19)*('China n Importing Ports'!$C$20:$C$41=IF($AO19="No",$AQ19,$AS19)))))</f>
        <v>0</v>
      </c>
      <c r="VI19" s="75">
        <f t="array" ref="VI19">INDEX('China n Importing Ports'!$M$20:$M$41,MATCH(2,1/(('China n Importing Ports'!$D$20:$D$41&lt;=$C19)*('China n Importing Ports'!$C$20:$C$41=IF($AO19="No",$AQ19,$AS19)))))</f>
        <v>0</v>
      </c>
      <c r="VJ19" s="75">
        <f t="array" ref="VJ19">INDEX('China n Importing Ports'!$N$20:$N$41,MATCH(2,1/(('China n Importing Ports'!$D$20:$D$41&lt;=$C19)*('China n Importing Ports'!$C$20:$C$41=IF($AO19="No",$AQ19,$AS19)))))</f>
        <v>0</v>
      </c>
      <c r="VK19" s="75">
        <f t="array" ref="VK19">INDEX('China n Importing Ports'!$O$20:$O$41,MATCH(2,1/(('China n Importing Ports'!$D$20:$D$41&lt;=$C19)*('China n Importing Ports'!$C$20:$C$41=IF($AO19="No",$AQ19,$AS19)))))</f>
        <v>0</v>
      </c>
      <c r="VL19" s="136">
        <f t="array" ref="VL19">INDEX('China n Importing Ports'!$P$20:$P$41,MATCH(2,1/(('China n Importing Ports'!$D$20:$D$41&lt;=$C19)*('China n Importing Ports'!$C$20:$C$41=IF($AO19="No",$AQ19,$AS19)))))</f>
        <v>0</v>
      </c>
      <c r="VM19" s="136">
        <f t="array" ref="VM19">INDEX('China n Importing Ports'!$Q$20:$Q$41,MATCH(2,1/(('China n Importing Ports'!$D$20:$D$41&lt;=$C19)*('China n Importing Ports'!$C$20:$C$41=IF($AO19="No",$AQ19,$AS19)))))</f>
        <v>0</v>
      </c>
      <c r="VN19" s="136">
        <f t="array" ref="VN19">INDEX('China n Importing Ports'!$R$20:$R$41,MATCH(2,1/(('China n Importing Ports'!$D$20:$D$41&lt;=$C19)*('China n Importing Ports'!$C$20:$C$41=IF($AO19="No",$AQ19,$AS19)))))</f>
        <v>0</v>
      </c>
      <c r="VO19" s="136">
        <f t="array" ref="VO19">INDEX('China n Importing Ports'!$S$20:$S$41,MATCH(2,1/(('China n Importing Ports'!$D$20:$D$41&lt;=$C19)*('China n Importing Ports'!$C$20:$C$41=IF($AO19="No",$AQ19,$AS19)))))</f>
        <v>0</v>
      </c>
      <c r="VP19" s="136">
        <f t="array" ref="VP19">INDEX('China n Importing Ports'!$T$20:$T$41,MATCH(2,1/(('China n Importing Ports'!$D$20:$D$41&lt;=$C19)*('China n Importing Ports'!$C$20:$C$41=IF($AO19="No",$AQ19,$AS19)))))</f>
        <v>0</v>
      </c>
      <c r="VQ19" s="136">
        <f t="array" ref="VQ19">INDEX('China n Importing Ports'!$U$20:$U$41,MATCH(2,1/(('China n Importing Ports'!$D$20:$D$41&lt;=$C19)*('China n Importing Ports'!$C$20:$C$41=IF($AO19="No",$AQ19,$AS19)))))</f>
        <v>0</v>
      </c>
      <c r="VR19" s="136">
        <f t="array" ref="VR19">INDEX('China n Importing Ports'!$V$20:$V$41,MATCH(2,1/(('China n Importing Ports'!$D$20:$D$41&lt;=$C19)*('China n Importing Ports'!$C$20:$C$41=IF($AO19="No",$AQ19,$AS19)))))</f>
        <v>0</v>
      </c>
      <c r="VS19" s="136">
        <f t="array" ref="VS19">INDEX('China n Importing Ports'!$W$20:$W$41,MATCH(2,1/(('China n Importing Ports'!$D$20:$D$41&lt;=$C19)*('China n Importing Ports'!$C$20:$C$41=IF($AO19="No",$AQ19,$AS19)))))</f>
        <v>0</v>
      </c>
      <c r="VT19" s="136">
        <f t="array" ref="VT19">INDEX('China n Importing Ports'!$X$20:$X$41,MATCH(2,1/(('China n Importing Ports'!$D$20:$D$41&lt;=$C19)*('China n Importing Ports'!$C$20:$C$41=IF($AO19="No",$AQ19,$AS19)))))</f>
        <v>0</v>
      </c>
      <c r="VU19" s="136">
        <f t="array" ref="VU19">INDEX('China n Importing Ports'!$Y$20:$Y$41,MATCH(2,1/(('China n Importing Ports'!$D$20:$D$41&lt;=$C19)*('China n Importing Ports'!$C$20:$C$41=IF($AO19="No",$AQ19,$AS19)))))</f>
        <v>0</v>
      </c>
      <c r="VV19" s="136">
        <f t="array" ref="VV19">INDEX('China n Importing Ports'!$Z$20:$Z$41,MATCH(2,1/(('China n Importing Ports'!$D$20:$D$41&lt;=$C19)*('China n Importing Ports'!$C$20:$C$41=IF($AO19="No",$AQ19,$AS19)))))</f>
        <v>0</v>
      </c>
      <c r="VW19" s="136">
        <f t="array" ref="VW19">INDEX('China n Importing Ports'!$AA$20:$AA$41,MATCH(2,1/(('China n Importing Ports'!$D$20:$D$41&lt;=$C19)*('China n Importing Ports'!$C$20:$C$41=IF($AO19="No",$AQ19,$AS19)))))</f>
        <v>0</v>
      </c>
      <c r="VY19" s="75" t="e">
        <f t="array" aca="1" ref="VY19" ca="1">INDEX(Canals!$G$24:$G$29,MATCH(2,1/((Canals!$F$24:$F$29&lt;=$C19)*(Canals!$G$24:$G$29=_xlfn.IFS(SJ19="Handysize",US19,SJ19="Supramax",UL19,SJ19="Panamax",UE19,SJ19="NeoPanamax",TX19,SJ19="Suezmax",TQ19,SJ19="Capesize",TJ19,SJ19="VLOC",TC19)))))</f>
        <v>#N/A</v>
      </c>
      <c r="VZ19" s="75" t="e">
        <f t="array" aca="1" ref="VZ19" ca="1">INDEX(Canals!$H$24:$H$29,MATCH(2,1/((Canals!$F$24:$F$29&lt;=$C19)*(Canals!$G$24:$G$29=_xlfn.IFS(SJ19="Handysize",US19,SJ19="Supramax",UL19,SJ19="Panamax",UE19,SJ19="NeoPanamax",TX19,SJ19="Suezmax",TQ19,SJ19="Capesize",TJ19,SJ19="VLOC",TC19)))))</f>
        <v>#N/A</v>
      </c>
      <c r="WA19" s="75" t="e">
        <f t="array" aca="1" ref="WA19" ca="1">INDEX(Canals!$I$24:$I$29,MATCH(2,1/((Canals!$F$24:$F$29&lt;=$C19)*(Canals!$G$24:$G$29=_xlfn.IFS(SJ19="Handysize",US19,SJ19="Supramax",UL19,SJ19="Panamax",UE19,SJ19="NeoPanamax",TX19,SJ19="Suezmax",TQ19,SJ19="Capesize",TJ19,SJ19="VLOC",TC19)))))</f>
        <v>#N/A</v>
      </c>
      <c r="WB19" s="75" t="e">
        <f t="array" aca="1" ref="WB19" ca="1">INDEX(Canals!$J$24:$J$29,MATCH(2,1/((Canals!$F$24:$F$29&lt;=$C19)*(Canals!$G$24:$G$29=_xlfn.IFS(SJ19="Handysize",Main!US19,SJ19="Supramax",UL19,SJ19="Panamax",UE19,SJ19="NeoPanamax",TX19,SJ19="Suezmax",TQ19,SJ19="Capesize",TJ19,SJ19="VLOC",TC19)))))</f>
        <v>#N/A</v>
      </c>
      <c r="WC19" s="75" t="e">
        <f t="array" aca="1" ref="WC19" ca="1">INDEX(Canals!$K$24:$K$29,MATCH(2,1/((Canals!$F$24:$F$29&lt;=$C19)*(Canals!$G$24:$G$29=_xlfn.IFS(SJ19="Handysize",Main!US19,SJ19="Supramax",UL19,SJ19="Panamax",UE19,SJ19="NeoPanamax",TX19,SJ19="Suezmax",TQ19,SJ19="Capesize",TJ19,SJ19="VLOC",TC19)))))</f>
        <v>#N/A</v>
      </c>
      <c r="WD19" s="75" t="e">
        <f t="array" aca="1" ref="WD19" ca="1">INDEX(Canals!$L$24:$L$29,MATCH(2,1/((Canals!$F$24:$F$29&lt;=$C19)*(Canals!$G$24:$G$29=_xlfn.IFS(SJ19="Handysize",Main!US19,SJ19="Supramax",UL19,SJ19="Panamax",UE19,SJ19="NeoPanamax",TX19,SJ19="Suezmax",TQ19,SJ19="Capesize",TJ19,SJ19="VLOC",TC19)))))</f>
        <v>#N/A</v>
      </c>
      <c r="WE19" s="75" t="e">
        <f t="array" aca="1" ref="WE19" ca="1">INDEX(Canals!$M$24:$M$29,MATCH(2,1/((Canals!$F$24:$F$29&lt;=$C19)*(Canals!$G$24:$G$29=_xlfn.IFS(SJ19="Handysize",Main!US19,SJ19="Supramax",UL19,SJ19="Panamax",UE19,SJ19="NeoPanamax",TX19,SJ19="Suezmax",TQ19,SJ19="Capesize",TJ19,SJ19="VLOC",TC19)))))</f>
        <v>#N/A</v>
      </c>
      <c r="WF19" s="75" t="e">
        <f t="array" aca="1" ref="WF19" ca="1">INDEX(Canals!$N$24:$N$29,MATCH(2,1/((Canals!$F$24:$F$29&lt;=$C19)*(Canals!$G$24:$G$29=_xlfn.IFS(SJ19="Handysize",Main!US19,SJ19="Supramax",UL19,SJ19="Panamax",UE19,SJ19="NeoPanamax",TX19,SJ19="Suezmax",TQ19,SJ19="Capesize",TJ19,SJ19="VLOC",TC19)))))</f>
        <v>#N/A</v>
      </c>
      <c r="WG19" s="75" t="e">
        <f t="array" aca="1" ref="WG19" ca="1">INDEX(Canals!$O$24:$O$29,MATCH(2,1/((Canals!$F$24:$F$29&lt;=$C19)*(Canals!$G$24:$G$29=_xlfn.IFS(SJ19="Handysize",Main!US19,SJ19="Supramax",UL19,SJ19="Panamax",UE19,SJ19="NeoPanamax",TX19,SJ19="Suezmax",TQ19,SJ19="Capesize",TJ19,SJ19="VLOC",TC19)))))</f>
        <v>#N/A</v>
      </c>
      <c r="WH19" s="75" t="e">
        <f t="array" aca="1" ref="WH19" ca="1">INDEX(Canals!$P$24:$P$29,MATCH(2,1/((Canals!$F$24:$F$29&lt;=$C19)*(Canals!$G$24:$G$29=_xlfn.IFS(SJ19="Handysize",Main!US19,SJ19="Supramax",UL19,SJ19="Panamax",UE19,SJ19="NeoPanamax",TX19,SJ19="Suezmax",TQ19,SJ19="Capesize",TJ19,SJ19="VLOC",TC19)))))</f>
        <v>#N/A</v>
      </c>
      <c r="WI19" s="75" t="e">
        <f t="array" aca="1" ref="WI19" ca="1">INDEX(Canals!$Q$24:$Q$29,MATCH(2,1/((Canals!$F$24:$F$29&lt;=$C19)*(Canals!$G$24:$G$29=_xlfn.IFS(SJ19="Handysize",Main!US19,SJ19="Supramax",UL19,SJ19="Panamax",UE19,SJ19="NeoPanamax",TX19,SJ19="Suezmax",TQ19,SJ19="Capesize",TJ19,SJ19="VLOC",TC19)))))</f>
        <v>#N/A</v>
      </c>
      <c r="WJ19" s="75" t="e">
        <f t="array" aca="1" ref="WJ19" ca="1">INDEX(Canals!$R$24:$R$29,MATCH(2,1/((Canals!$F$24:$F$29&lt;=$C19)*(Canals!$G$24:$G$29=_xlfn.IFS(SJ19="Handysize",Main!US19,SJ19="Supramax",UL19,SJ19="Panamax",UE19,SJ19="NeoPanamax",TX19,SJ19="Suezmax",TQ19,SJ19="Capesize",TJ19,SJ19="VLOC",TC19)))))</f>
        <v>#N/A</v>
      </c>
      <c r="WK19" s="136" t="e">
        <f t="array" aca="1" ref="WK19" ca="1">INDEX(Canals!$S$24:$S$29,MATCH(2,1/((Canals!$F$24:$F$29&lt;=$C19)*(Canals!$G$24:$G$29=_xlfn.IFS(SJ19="Handysize",Main!US19,SJ19="Supramax",UL19,SJ19="Panamax",UE19,SJ19="NeoPanamax",TX19,SJ19="Suezmax",TQ19,SJ19="Capesize",TJ19,SJ19="VLOC",TC19)))))</f>
        <v>#N/A</v>
      </c>
      <c r="WL19" s="136" t="e">
        <f t="array" aca="1" ref="WL19" ca="1">INDEX(Canals!$T$24:$T$29,MATCH(2,1/((Canals!$F$24:$F$29&lt;=$C19)*(Canals!$G$24:$G$29=_xlfn.IFS(SJ19="Handysize",Main!US19,SJ19="Supramax",UL19,SJ19="Panamax",UE19,SJ19="NeoPanamax",TX19,SJ19="Suezmax",TQ19,SJ19="Capesize",TJ19,SJ19="VLOC",TC19)))))</f>
        <v>#N/A</v>
      </c>
      <c r="WM19" s="136" t="e">
        <f t="array" aca="1" ref="WM19" ca="1">INDEX(Canals!$U$24:$U$29,MATCH(2,1/((Canals!$F$24:$F$29&lt;=$C19)*(Canals!$G$24:$G$29=_xlfn.IFS(SJ19="Handysize",Main!US19,SJ19="Supramax",UL19,SJ19="Panamax",UE19,SJ19="NeoPanamax",TX19,SJ19="Suezmax",TQ19,SJ19="Capesize",TJ19,SJ19="VLOC",TC19)))))</f>
        <v>#N/A</v>
      </c>
      <c r="WN19" s="136" t="e">
        <f t="array" aca="1" ref="WN19" ca="1">INDEX(Canals!$V$24:$V$29,MATCH(2,1/((Canals!$F$24:$F$29&lt;=$C19)*(Canals!$G$24:$G$29=_xlfn.IFS(SJ19="Handysize",Main!US19,SJ19="Supramax",UL19,SJ19="Panamax",UE19,SJ19="NeoPanamax",TX19,SJ19="Suezmax",TQ19,SJ19="Capesize",TJ19,SJ19="VLOC",TC19)))))</f>
        <v>#N/A</v>
      </c>
      <c r="WO19" s="136" t="e">
        <f t="array" aca="1" ref="WO19" ca="1">INDEX(Canals!$W$24:$W$29,MATCH(2,1/((Canals!$F$24:$F$29&lt;=$C19)*(Canals!$G$24:$G$29=_xlfn.IFS(SJ19="Handysize",Main!US19,SJ19="Supramax",UL19,SJ19="Panamax",UE19,SJ19="NeoPanamax",TX19,SJ19="Suezmax",TQ19,SJ19="Capesize",TJ19,SJ19="VLOC",TC19)))))</f>
        <v>#N/A</v>
      </c>
      <c r="WP19" s="136" t="e">
        <f t="array" aca="1" ref="WP19" ca="1">INDEX(Canals!$X$24:$X$29,MATCH(2,1/((Canals!$F$24:$F$29&lt;=$C19)*(Canals!$G$24:$G$29=_xlfn.IFS(SJ19="Handysize",Main!US19,SJ19="Supramax",UL19,SJ19="Panamax",UE19,SJ19="NeoPanamax",TX19,SJ19="Suezmax",TQ19,SJ19="Capesize",TJ19,SJ19="VLOC",TC19)))))</f>
        <v>#N/A</v>
      </c>
      <c r="WQ19" s="136" t="e">
        <f t="array" aca="1" ref="WQ19" ca="1">INDEX(Canals!$Y$24:$Y$29,MATCH(2,1/((Canals!$F$24:$F$29&lt;=$C19)*(Canals!$G$24:$G$29=_xlfn.IFS(SJ19="Handysize",Main!US19,SJ19="Supramax",UL19,SJ19="Panamax",UE19,SJ19="NeoPanamax",TX19,SJ19="Suezmax",TQ19,SJ19="Capesize",TJ19,SJ19="VLOC",TC19)))))</f>
        <v>#N/A</v>
      </c>
      <c r="WR19" s="136" t="e">
        <f t="array" aca="1" ref="WR19" ca="1">INDEX(Canals!$Z$24:$Z$29,MATCH(2,1/((Canals!$F$24:$F$29&lt;=$C19)*(Canals!$G$24:$G$29=_xlfn.IFS(SJ19="Handysize",Main!US19,SJ19="Supramax",UL19,SJ19="Panamax",UE19,SJ19="NeoPanamax",TX19,SJ19="Suezmax",TQ19,SJ19="Capesize",TJ19,SJ19="VLOC",TC19)))))</f>
        <v>#N/A</v>
      </c>
      <c r="WS19" s="136" t="e">
        <f t="array" aca="1" ref="WS19" ca="1">INDEX(Canals!$AA$24:$AA$29,MATCH(2,1/((Canals!$F$24:$F$29&lt;=$C19)*(Canals!$G$24:$G$29=_xlfn.IFS(SJ19="Handysize",Main!US19,SJ19="Supramax",UL19,SJ19="Panamax",UE19,SJ19="NeoPanamax",TX19,SJ19="Suezmax",TQ19,SJ19="Capesize",TJ19,SJ19="VLOC",TC19)))))</f>
        <v>#N/A</v>
      </c>
      <c r="WT19" s="136" t="e">
        <f t="array" aca="1" ref="WT19" ca="1">INDEX(Canals!$AB$24:$AB$29,MATCH(2,1/((Canals!$F$24:$F$29&lt;=$C19)*(Canals!$G$24:$G$29=_xlfn.IFS(SJ19="Handysize",Main!US19,SJ19="Supramax",UL19,SJ19="Panamax",UE19,SJ19="NeoPanamax",TX19,SJ19="Suezmax",TQ19,SJ19="Capesize",TJ19,SJ19="VLOC",TC19)))))</f>
        <v>#N/A</v>
      </c>
      <c r="WU19" s="75" t="e">
        <f t="array" aca="1" ref="WU19" ca="1">INDEX(Canals!$AC$24:$AC$29,MATCH(2,1/((Canals!$F$24:$F$29&lt;=$C19)*(Canals!$G$24:$G$29=_xlfn.IFS(SJ19="Handysize",Main!US19,SJ19="Supramax",UL19,SJ19="Panamax",UE19,SJ19="NeoPanamax",TX19,SJ19="Suezmax",TQ19,SJ19="Capesize",TJ19,SJ19="VLOC",TC19)))))</f>
        <v>#N/A</v>
      </c>
      <c r="WV19" s="75" t="e">
        <f t="array" aca="1" ref="WV19" ca="1">INDEX(Canals!$AD$24:$AD$29,MATCH(2,1/((Canals!$F$24:$F$29&lt;=$C19)*(Canals!$G$24:$G$29=_xlfn.IFS(SJ19="Handysize",Main!US19,SJ19="Supramax",UL19,SJ19="Panamax",UE19,SJ19="NeoPanamax",TX19,SJ19="Suezmax",TQ19,SJ19="Capesize",TJ19,SJ19="VLOC",TC19)))))</f>
        <v>#N/A</v>
      </c>
      <c r="WW19" s="75" t="e">
        <f t="array" aca="1" ref="WW19" ca="1">INDEX(Canals!$AE$24:$AE$29,MATCH(2,1/((Canals!$F$24:$F$29&lt;=$C19)*(Canals!$G$24:$G$29=_xlfn.IFS(SJ19="Handysize",Main!US19,SJ19="Supramax",UL19,SJ19="Panamax",UE19,SJ19="NeoPanamax",TX19,SJ19="Suezmax",TQ19,SJ19="Capesize",TJ19,SJ19="VLOC",TC19)))))</f>
        <v>#N/A</v>
      </c>
      <c r="WX19" s="75" t="e">
        <f t="array" aca="1" ref="WX19" ca="1">INDEX(Canals!$AF$24:$AF$29,MATCH(2,1/((Canals!$F$24:$F$29&lt;=$C19)*(Canals!$G$24:$G$29=_xlfn.IFS(SJ19="Handysize",Main!US19,SJ19="Supramax",UL19,SJ19="Panamax",UE19,SJ19="NeoPanamax",TX19,SJ19="Suezmax",TQ19,SJ19="Capesize",TJ19,SJ19="VLOC",TC19)))))</f>
        <v>#N/A</v>
      </c>
      <c r="WY19" s="75" t="e">
        <f t="array" aca="1" ref="WY19" ca="1">INDEX(Canals!$AG$24:$AG$29,MATCH(2,1/((Canals!$F$24:$F$29&lt;=$C19)*(Canals!$G$24:$G$29=_xlfn.IFS(SJ19="Handysize",Main!US19,SJ19="Supramax",UL19,SJ19="Panamax",UE19,SJ19="NeoPanamax",TX19,SJ19="Suezmax",TQ19,SJ19="Capesize",TJ19,SJ19="VLOC",TC19)))))</f>
        <v>#N/A</v>
      </c>
      <c r="WZ19" s="75" t="e">
        <f t="array" aca="1" ref="WZ19" ca="1">INDEX(Canals!$AH$24:$AH$29,MATCH(2,1/((Canals!$F$24:$F$29&lt;=$C19)*(Canals!$G$24:$G$29=_xlfn.IFS(SJ19="Handysize",Main!US19,SJ19="Supramax",UL19,SJ19="Panamax",UE19,SJ19="NeoPanamax",TX19,SJ19="Suezmax",TQ19,SJ19="Capesize",TJ19,SJ19="VLOC",TC19)))))</f>
        <v>#N/A</v>
      </c>
      <c r="XA19" s="75" t="e">
        <f t="array" aca="1" ref="XA19" ca="1">INDEX(Canals!$AI$24:$AI$29,MATCH(2,1/((Canals!$F$24:$F$29&lt;=$C19)*(Canals!$G$24:$G$29=_xlfn.IFS(SJ19="Handysize",Main!US19,SJ19="Supramax",UL19,SJ19="Panamax",UE19,SJ19="NeoPanamax",TX19,SJ19="Suezmax",TQ19,SJ19="Capesize",TJ19,SJ19="VLOC",TC19)))))</f>
        <v>#N/A</v>
      </c>
      <c r="XB19" s="75" t="e">
        <f t="array" aca="1" ref="XB19" ca="1">INDEX(Canals!$AJ$24:$AJ$29,MATCH(2,1/((Canals!$F$24:$F$29&lt;=$C19)*(Canals!$G$24:$G$29=_xlfn.IFS(SJ19="Handysize",Main!US19,SJ19="Supramax",UL19,SJ19="Panamax",UE19,SJ19="NeoPanamax",TX19,SJ19="Suezmax",TQ19,SJ19="Capesize",TJ19,SJ19="VLOC",TC19)))))</f>
        <v>#N/A</v>
      </c>
      <c r="XC19" s="75" t="e">
        <f t="array" aca="1" ref="XC19" ca="1">INDEX(Canals!$AK$24:$AK$29,MATCH(2,1/((Canals!$F$24:$F$29&lt;=$C19)*(Canals!$G$24:$G$29=_xlfn.IFS(SJ19="Handysize",Main!US19,SJ19="Supramax",UL19,SJ19="Panamax",UE19,SJ19="NeoPanamax",TX19,SJ19="Suezmax",TQ19,SJ19="Capesize",TJ19,SJ19="VLOC",TC19)))))</f>
        <v>#N/A</v>
      </c>
      <c r="XD19" s="136" t="e">
        <f t="array" aca="1" ref="XD19" ca="1">INDEX(Canals!$AL$24:$AL$29,MATCH(2,1/((Canals!$F$24:$F$29&lt;=$C19)*(Canals!$G$24:$G$29=_xlfn.IFS(SJ19="Handysize",Main!US19,SJ19="Supramax",UL19,SJ19="Panamax",UE19,SJ19="NeoPanamax",TX19,SJ19="Suezmax",TQ19,SJ19="Capesize",TJ19,SJ19="VLOC",TC19)))))</f>
        <v>#N/A</v>
      </c>
      <c r="XE19" s="136" t="e">
        <f t="array" aca="1" ref="XE19" ca="1">INDEX(Canals!$AM$24:$AM$29,MATCH(2,1/((Canals!$F$24:$F$29&lt;=$C19)*(Canals!$G$24:$G$29=_xlfn.IFS(SJ19="Handysize",Main!US19,SJ19="Supramax",UL19,SJ19="Panamax",UE19,SJ19="NeoPanamax",TX19,SJ19="Suezmax",TQ19,SJ19="Capesize",TJ19,SJ19="VLOC",TC19)))))</f>
        <v>#N/A</v>
      </c>
      <c r="XF19" s="136" t="e">
        <f t="array" aca="1" ref="XF19" ca="1">INDEX(Canals!$AN$24:$AN$29,MATCH(2,1/((Canals!$F$24:$F$29&lt;=$C19)*(Canals!$G$24:$G$29=_xlfn.IFS(SJ19="Handysize",Main!US19,SJ19="Supramax",UL19,SJ19="Panamax",UE19,SJ19="NeoPanamax",TX19,SJ19="Suezmax",TQ19,SJ19="Capesize",TJ19,SJ19="VLOC",TC19)))))</f>
        <v>#N/A</v>
      </c>
      <c r="XG19" s="136" t="e">
        <f t="array" aca="1" ref="XG19" ca="1">INDEX(Canals!$AO$24:$AO$29,MATCH(2,1/((Canals!$F$24:$F$29&lt;=$C19)*(Canals!$G$24:$G$29=_xlfn.IFS(SJ19="Handysize",Main!US19,SJ19="Supramax",UL19,SJ19="Panamax",UE19,SJ19="NeoPanamax",TX19,SJ19="Suezmax",TQ19,SJ19="Capesize",TJ19,SJ19="VLOC",TC19)))))</f>
        <v>#N/A</v>
      </c>
      <c r="XH19" s="136" t="e">
        <f t="array" aca="1" ref="XH19" ca="1">INDEX(Canals!$AP$24:$AP$29,MATCH(2,1/((Canals!$F$24:$F$29&lt;=$C19)*(Canals!$G$24:$G$29=_xlfn.IFS(SJ19="Handysize",Main!US19,SJ19="Supramax",UL19,SJ19="Panamax",UE19,SJ19="NeoPanamax",TX19,SJ19="Suezmax",TQ19,SJ19="Capesize",TJ19,SJ19="VLOC",TC19)))))</f>
        <v>#N/A</v>
      </c>
      <c r="XI19" s="136" t="e">
        <f t="array" aca="1" ref="XI19" ca="1">INDEX(Canals!$AQ$24:$AQ$29,MATCH(2,1/((Canals!$F$24:$F$29&lt;=$C19)*(Canals!$G$24:$G$29=_xlfn.IFS(SJ19="Handysize",Main!US19,SJ19="Supramax",UL19,SJ19="Panamax",UE19,SJ19="NeoPanamax",TX19,SJ19="Suezmax",TQ19,SJ19="Capesize",TJ19,SJ19="VLOC",TC19)))))</f>
        <v>#N/A</v>
      </c>
      <c r="XJ19" s="136" t="e">
        <f t="array" aca="1" ref="XJ19" ca="1">INDEX(Canals!$AR$24:$AR$29,MATCH(2,1/((Canals!$F$24:$F$29&lt;=$C19)*(Canals!$G$24:$G$29=_xlfn.IFS(SJ19="Handysize",Main!US19,SJ19="Supramax",UL19,SJ19="Panamax",UE19,SJ19="NeoPanamax",TX19,SJ19="Suezmax",TQ19,SJ19="Capesize",TJ19,SJ19="VLOC",TC19)))))</f>
        <v>#N/A</v>
      </c>
      <c r="XK19" s="136" t="e">
        <f t="array" aca="1" ref="XK19" ca="1">INDEX(Canals!$AS$24:$AS$29,MATCH(2,1/((Canals!$F$24:$F$29&lt;=$C19)*(Canals!$G$24:$G$29=_xlfn.IFS(SJ19="Handysize",Main!US19,SJ19="Supramax",UL19,SJ19="Panamax",UE19,SJ19="NeoPanamax",TX19,SJ19="Suezmax",TQ19,SJ19="Capesize",TJ19,SJ19="VLOC",TC19)))))</f>
        <v>#N/A</v>
      </c>
      <c r="XL19" s="136" t="e">
        <f t="array" aca="1" ref="XL19" ca="1">INDEX(Canals!$AT$24:$AT$29,MATCH(2,1/((Canals!$F$24:$F$29&lt;=$C19)*(Canals!$G$24:$G$29=_xlfn.IFS(SJ19="Handysize",Main!US19,SJ19="Supramax",UL19,SJ19="Panamax",UE19,SJ19="NeoPanamax",TX19,SJ19="Suezmax",TQ19,SJ19="Capesize",TJ19,SJ19="VLOC",TC19)))))</f>
        <v>#N/A</v>
      </c>
      <c r="XM19" s="136" t="e">
        <f t="array" aca="1" ref="XM19" ca="1">INDEX(Canals!$AU$24:$AU$29,MATCH(2,1/((Canals!$F$24:$F$29&lt;=$C19)*(Canals!$G$24:$G$29=_xlfn.IFS(SJ19="Handysize",Main!US19,SJ19="Supramax",UL19,SJ19="Panamax",UE19,SJ19="NeoPanamax",TX19,SJ19="Suezmax",TQ19,SJ19="Capesize",TJ19,SJ19="VLOC",TC19)))))</f>
        <v>#N/A</v>
      </c>
      <c r="XN19" s="136" t="e">
        <f t="array" aca="1" ref="XN19" ca="1">INDEX(Canals!$AV$24:$AV$29,MATCH(2,1/((Canals!$F$24:$F$29&lt;=$C19)*(Canals!$G$24:$G$29=_xlfn.IFS(SJ19="Handysize",Main!US19,SJ19="Supramax",UL19,SJ19="Panamax",UE19,SJ19="NeoPanamax",TX19,SJ19="Suezmax",TQ19,SJ19="Capesize",TJ19,SJ19="VLOC",TC19)))))</f>
        <v>#N/A</v>
      </c>
      <c r="XP19" s="75" t="e">
        <f t="array" aca="1" ref="XP19" ca="1">_xlfn.IFS(WA19="DWT",SH19,WA19="NRT",SL19,WA19="GRT",SM19,WA19=0,0)</f>
        <v>#NAME?</v>
      </c>
      <c r="XQ19" s="279" t="e">
        <f t="shared" ca="1" si="125"/>
        <v>#NAME?</v>
      </c>
      <c r="XR19" s="280" t="e">
        <f t="shared" ca="1" si="126"/>
        <v>#NAME?</v>
      </c>
      <c r="XS19" s="280" t="e">
        <f t="shared" ca="1" si="127"/>
        <v>#NAME?</v>
      </c>
      <c r="XT19" s="280" t="e">
        <f t="shared" ca="1" si="128"/>
        <v>#NAME?</v>
      </c>
      <c r="XU19" s="280" t="e">
        <f t="shared" ca="1" si="129"/>
        <v>#NAME?</v>
      </c>
      <c r="XV19" s="280" t="e">
        <f t="shared" ca="1" si="130"/>
        <v>#NAME?</v>
      </c>
      <c r="XW19" s="280" t="e">
        <f t="shared" ca="1" si="131"/>
        <v>#NAME?</v>
      </c>
      <c r="XX19" s="280" t="e">
        <f t="shared" ca="1" si="132"/>
        <v>#NAME?</v>
      </c>
      <c r="XY19" s="280" t="e">
        <f t="shared" ca="1" si="133"/>
        <v>#NAME?</v>
      </c>
      <c r="XZ19" s="75">
        <f t="shared" si="134"/>
        <v>0</v>
      </c>
      <c r="YA19" s="279" t="e">
        <f t="shared" ca="1" si="135"/>
        <v>#N/A</v>
      </c>
      <c r="YB19" s="280" t="e">
        <f t="shared" ca="1" si="136"/>
        <v>#N/A</v>
      </c>
      <c r="YC19" s="280" t="e">
        <f t="shared" ca="1" si="137"/>
        <v>#N/A</v>
      </c>
      <c r="YD19" s="280" t="e">
        <f t="shared" ca="1" si="138"/>
        <v>#N/A</v>
      </c>
      <c r="YE19" s="280" t="e">
        <f t="shared" ca="1" si="139"/>
        <v>#N/A</v>
      </c>
      <c r="YF19" s="280" t="e">
        <f t="shared" ca="1" si="140"/>
        <v>#N/A</v>
      </c>
      <c r="YG19" s="280" t="e">
        <f t="shared" ca="1" si="141"/>
        <v>#N/A</v>
      </c>
      <c r="YH19" s="280" t="e">
        <f t="shared" ca="1" si="142"/>
        <v>#N/A</v>
      </c>
      <c r="YI19" s="280" t="e">
        <f t="shared" ca="1" si="143"/>
        <v>#N/A</v>
      </c>
      <c r="YK19" s="75" t="e">
        <f t="array" aca="1" ref="YK19" ca="1">_xlfn.IFS(SJ19="Handysize",Main!UM19,SJ19="Supramax",UF19,SJ19="Panamax",TY19,SJ19="NeoPanamax",TR19,SJ19="Suezmax",TK19,SJ19="Capesize",TD19,SJ19="VLOC",SW19)*$JI19</f>
        <v>#NAME?</v>
      </c>
      <c r="YL19" s="274" t="e">
        <f t="array" aca="1" ref="YL19" ca="1">_xlfn.IFS(SJ19="Handysize",Main!UN19,SJ19="Supramax",UG19,SJ19="Panamax",TZ19,SJ19="NeoPanamax",TS19,SJ19="Suezmax",TL19,SJ19="Capesize",TE19,SJ19="VLOC",SX19)*$JI19</f>
        <v>#NAME?</v>
      </c>
      <c r="YM19" s="71" t="e">
        <f t="array" aca="1" ref="YM19" ca="1">_xlfn.IFS(SJ19="Handysize",Main!SO19,SJ19="Supramax",SP19,SJ19="Panamax",SQ19,SJ19="NeoPanamax",SR19,SJ19="Suezmax",SS19,SJ19="Capesize",ST19,SJ19="VLOC",SU19)</f>
        <v>#NAME?</v>
      </c>
      <c r="YN19" s="71" t="e">
        <f t="array" aca="1" ref="YN19" ca="1">_xlfn.IFS(SJ19="Handysize",Main!VA19,SJ19="Supramax",VB19,SJ19="Panamax",VC19,SJ19="NeoPanamax",VD19,SJ19="Suezmax",VE19,SJ19="Capesize",VF19,SJ19="VLOC",VG19)</f>
        <v>#NAME?</v>
      </c>
      <c r="YO19" s="70">
        <f t="array" ref="YO19">INDEX('Ship Speeds'!$G$11:$G$1011,MATCH(2,1/(('Ship Speeds'!$E$11:$E$1011&lt;=Main!$C19)*('Ship Speeds'!$F$11:$F$1011=Main!SI19))))</f>
        <v>11</v>
      </c>
      <c r="YP19" s="403">
        <f t="shared" si="144"/>
        <v>0</v>
      </c>
      <c r="YQ19" s="401">
        <f t="shared" si="145"/>
        <v>1.2</v>
      </c>
      <c r="YR19" s="70" t="e">
        <f t="shared" ca="1" si="146"/>
        <v>#NAME?</v>
      </c>
      <c r="YS19" s="70" t="e">
        <f t="shared" ca="1" si="147"/>
        <v>#NAME?</v>
      </c>
      <c r="YT19" s="70" t="e">
        <f t="shared" ca="1" si="148"/>
        <v>#NAME?</v>
      </c>
      <c r="YU19" s="70" t="e">
        <f t="shared" ca="1" si="149"/>
        <v>#NAME?</v>
      </c>
      <c r="YV19" s="72" t="e">
        <f t="shared" ca="1" si="150"/>
        <v>#N/A</v>
      </c>
      <c r="YW19" s="70" t="e">
        <f t="shared" ca="1" si="151"/>
        <v>#NAME?</v>
      </c>
      <c r="YX19" s="70" t="e">
        <f t="array" aca="1" ref="YX19" ca="1">IF(YK19=0,0,INDEX(UU19:UY19,MATCH(_xlfn.IFS(SJ19="Handysize",Main!UQ19,SJ19="Supramax",UJ19,SJ19="Panamax",UC19,SJ19="NeoPanamax",TV19,SJ19="Suezmax",TO19,SJ19="Capesize",TH19,SJ19="VLOC",TA19),$UU$7:$UY$7,0)))</f>
        <v>#NAME?</v>
      </c>
      <c r="YY19" s="70" t="e">
        <f t="array" aca="1" ref="YY19" ca="1">IF(YK19=0,0,INDEX(UU19:UY19,MATCH(_xlfn.IFS(SJ19="Handysize",Main!UR19,SJ19="Supramax",UK19,SJ19="Panamax",UD19,SJ19="NeoPanamax",TW19,SJ19="Suezmax",TP19,SJ19="Capesize",TI19,SJ19="VLOC",TB19),$UU$7:$UY$7,0)))</f>
        <v>#NAME?</v>
      </c>
      <c r="YZ19" s="71" t="e">
        <f t="shared" ca="1" si="152"/>
        <v>#NAME?</v>
      </c>
      <c r="ZA19" s="71" t="e">
        <f t="shared" ca="1" si="153"/>
        <v>#NAME?</v>
      </c>
      <c r="ZB19" s="281" t="e">
        <f t="shared" ca="1" si="154"/>
        <v>#NAME?</v>
      </c>
      <c r="ZC19" s="71" t="e">
        <f t="shared" ca="1" si="155"/>
        <v>#NAME?</v>
      </c>
      <c r="ZD19" s="71" t="e">
        <f t="shared" ca="1" si="156"/>
        <v>#NAME?</v>
      </c>
      <c r="ZE19" s="71" t="e">
        <f t="shared" ca="1" si="157"/>
        <v>#NAME?</v>
      </c>
      <c r="ZF19" s="71" t="e">
        <f t="shared" ca="1" si="158"/>
        <v>#NAME?</v>
      </c>
      <c r="ZG19" s="71" t="e">
        <f t="shared" ca="1" si="159"/>
        <v>#NAME?</v>
      </c>
      <c r="ZH19" s="71" t="e">
        <f t="shared" ca="1" si="160"/>
        <v>#NAME?</v>
      </c>
      <c r="ZI19" s="71" t="e">
        <f t="shared" ca="1" si="161"/>
        <v>#NAME?</v>
      </c>
      <c r="ZJ19" s="71" t="e">
        <f t="shared" ca="1" si="162"/>
        <v>#NAME?</v>
      </c>
      <c r="ZK19" s="71" t="e">
        <f t="shared" ca="1" si="163"/>
        <v>#NAME?</v>
      </c>
      <c r="ZL19" s="71" t="e">
        <f t="shared" ca="1" si="164"/>
        <v>#NAME?</v>
      </c>
      <c r="ZM19" s="71" t="e">
        <f t="shared" ca="1" si="165"/>
        <v>#NAME?</v>
      </c>
      <c r="ZN19" s="71" t="e">
        <f t="shared" ca="1" si="166"/>
        <v>#NAME?</v>
      </c>
      <c r="ZO19" s="72" t="e">
        <f t="shared" ca="1" si="167"/>
        <v>#NAME?</v>
      </c>
      <c r="ZP19" s="72" t="e">
        <f t="shared" ca="1" si="168"/>
        <v>#NAME?</v>
      </c>
      <c r="ZQ19" s="71" t="e">
        <f t="shared" ca="1" si="169"/>
        <v>#NAME?</v>
      </c>
      <c r="ZR19" s="71" t="e">
        <f t="array" aca="1" ref="ZR19" ca="1">IF(YK19=0,0,INDEX('Ship Time Charter Rates'!$H$22:$H$1021,MATCH(2,1/(('Ship Time Charter Rates'!$G$22:$G$1021=_xlfn.IFS(SJ19="Handysize",Main!UO19,SJ19="Supramax",UH19,SJ19="Panamax",UA19,SJ19="NeoPanamax",TT19,SJ19="Suezmax",TM19,SJ19="Capesize",TF19,SJ19="VLOC",SY19))*('Ship Time Charter Rates'!$E$22:$E$1021&lt;=Main!$C19)*(NOT(ISBLANK('Ship Time Charter Rates'!$H$22:$H$1021)))))))</f>
        <v>#NAME?</v>
      </c>
      <c r="ZS19" s="71" t="e">
        <f t="shared" ca="1" si="170"/>
        <v>#NAME?</v>
      </c>
      <c r="ZT19" s="70" t="e">
        <f t="shared" ca="1" si="171"/>
        <v>#NAME?</v>
      </c>
      <c r="ZU19" s="71" t="e">
        <f t="shared" ca="1" si="172"/>
        <v>#NAME?</v>
      </c>
      <c r="ZV19" s="71" t="e">
        <f t="shared" ca="1" si="304"/>
        <v>#NAME?</v>
      </c>
      <c r="ZW19" s="72" t="e">
        <f t="shared" ca="1" si="305"/>
        <v>#NAME?</v>
      </c>
      <c r="ZY19" s="287" t="s">
        <v>39</v>
      </c>
      <c r="AAA19" s="25">
        <f t="shared" si="322"/>
        <v>63500</v>
      </c>
      <c r="AAB19" s="4" t="str">
        <f>VLOOKUP(AAA19,'Ship Time Charter Rates'!$F$10:$G$17,2,TRUE)</f>
        <v>Panamax</v>
      </c>
      <c r="AAC19" s="4" t="str">
        <f>VLOOKUP(AAA19,Canals!$E$5:$F$12,2,TRUE)</f>
        <v>Panamax</v>
      </c>
      <c r="AAD19" s="25">
        <f t="shared" si="173"/>
        <v>201.32549999999998</v>
      </c>
      <c r="AAE19" s="25">
        <f t="shared" si="174"/>
        <v>25615.899999999998</v>
      </c>
      <c r="AAF19" s="25">
        <f t="shared" si="175"/>
        <v>37747.15</v>
      </c>
      <c r="AAH19" s="75">
        <f t="array" ref="AAH19">INDEX('Indices Mines Exporting Ports'!$R$20:$R$51,MATCH(2,1/(('Indices Mines Exporting Ports'!$D$20:$D$51&lt;=Main!$C19)*('Indices Mines Exporting Ports'!$Q$20:$Q$51=$AP19))))</f>
        <v>15000</v>
      </c>
      <c r="AAI19" s="75">
        <f t="array" ref="AAI19">INDEX('Indices Mines Exporting Ports'!$S$20:$S$51,MATCH(2,1/(('Indices Mines Exporting Ports'!$D$20:$D$51&lt;=Main!$C19)*('Indices Mines Exporting Ports'!$Q$20:$Q$51=$AP19))))</f>
        <v>15000</v>
      </c>
      <c r="AAJ19" s="75">
        <f t="array" ref="AAJ19">INDEX('Indices Mines Exporting Ports'!$T$20:$T$51,MATCH(2,1/(('Indices Mines Exporting Ports'!$D$20:$D$51&lt;=Main!$C19)*('Indices Mines Exporting Ports'!$Q$20:$Q$51=$AP19))))</f>
        <v>15000</v>
      </c>
      <c r="AAK19" s="75">
        <f t="array" ref="AAK19">INDEX('Indices Mines Exporting Ports'!$U$20:$U$51,MATCH(2,1/(('Indices Mines Exporting Ports'!$D$20:$D$51&lt;=Main!$C19)*('Indices Mines Exporting Ports'!$Q$20:$Q$51=$AP19))))</f>
        <v>15000</v>
      </c>
      <c r="AAL19" s="75">
        <f t="array" ref="AAL19">INDEX('Indices Mines Exporting Ports'!$V$20:$V$51,MATCH(2,1/(('Indices Mines Exporting Ports'!$D$20:$D$51&lt;=Main!$C19)*('Indices Mines Exporting Ports'!$Q$20:$Q$51=$AP19))))</f>
        <v>15000</v>
      </c>
      <c r="AAM19" s="75">
        <f t="array" ref="AAM19">INDEX('Indices Mines Exporting Ports'!$W$20:$W$51,MATCH(2,1/(('Indices Mines Exporting Ports'!$D$20:$D$51&lt;=Main!$C19)*('Indices Mines Exporting Ports'!$Q$20:$Q$51=$AP19))))</f>
        <v>15000</v>
      </c>
      <c r="AAN19" s="75">
        <f t="array" ref="AAN19">INDEX('Indices Mines Exporting Ports'!$X$20:$X$51,MATCH(2,1/(('Indices Mines Exporting Ports'!$D$20:$D$51&lt;=Main!$C19)*('Indices Mines Exporting Ports'!$Q$20:$Q$51=$AP19))))</f>
        <v>15000</v>
      </c>
      <c r="AAP19" s="75">
        <f t="array" ref="AAP19">INDEX('Port Linkages'!$E$18:$E$157,MATCH(2,1/(('Port Linkages'!$C$18:$C$157=$AP19)*('Port Linkages'!$D$18:$D$157=IF($AO19="Yes",$AQ19,$KK19))*('Port Linkages'!$A$18:$A$157&lt;=$C19))))</f>
        <v>3270</v>
      </c>
      <c r="AAQ19" s="75">
        <f t="array" ref="AAQ19">INDEX('Port Linkages'!$F$18:$F$157,MATCH(2,1/(('Port Linkages'!$C$18:$C$157=$AP19)*('Port Linkages'!$D$18:$D$157=IF($AO19="Yes",$AQ19,$KK19))*('Port Linkages'!$A$18:$A$157&lt;=$C19))))</f>
        <v>0</v>
      </c>
      <c r="AAR19" s="75" t="str">
        <f t="array" ref="AAR19">INDEX('Port Linkages'!$G$18:$G$157,MATCH(2,1/(('Port Linkages'!$C$18:$C$157=$AP19)*('Port Linkages'!$D$18:$D$157=IF($AO19="Yes",$AQ19,$KK19))*('Port Linkages'!$A$18:$A$157&lt;=$C19))))</f>
        <v>VLOC_General</v>
      </c>
      <c r="AAS19" s="75" t="str">
        <f t="array" ref="AAS19">INDEX('Port Linkages'!$H$18:$H$157,MATCH(2,1/(('Port Linkages'!$C$18:$C$157=$AP19)*('Port Linkages'!$D$18:$D$157=IF($AO19="Yes",$AQ19,$KK19))*('Port Linkages'!$A$18:$A$157&lt;=$C19))))</f>
        <v>Singapore</v>
      </c>
      <c r="AAT19" s="75" t="str">
        <f t="array" ref="AAT19">INDEX('Port Linkages'!$I$18:$I$157,MATCH(2,1/(('Port Linkages'!$C$18:$C$157=$AP19)*('Port Linkages'!$D$18:$D$157=IF($AO19="Yes",$AQ19,$KK19))*('Port Linkages'!$A$18:$A$157&lt;=$C19))))</f>
        <v>VLSFO</v>
      </c>
      <c r="AAU19" s="75" t="str">
        <f t="array" ref="AAU19">INDEX('Port Linkages'!$J$18:$J$157,MATCH(2,1/(('Port Linkages'!$C$18:$C$157=$AP19)*('Port Linkages'!$D$18:$D$157=IF($AO19="Yes",$AQ19,$KK19))*('Port Linkages'!$A$18:$A$157&lt;=$C19))))</f>
        <v>MGO_Regular</v>
      </c>
      <c r="AAV19" s="75" t="str">
        <f t="array" ref="AAV19">INDEX('Port Linkages'!$K$18:$K$157,MATCH(2,1/(('Port Linkages'!$C$18:$C$157=$AP19)*('Port Linkages'!$D$18:$D$157=IF($AO19="Yes",$AQ19,$KK19))*('Port Linkages'!$A$18:$A$157&lt;=$C19))))</f>
        <v>none</v>
      </c>
      <c r="AAW19" s="75">
        <f t="array" ref="AAW19">INDEX('Port Linkages'!$L$18:$L$157,MATCH(2,1/(('Port Linkages'!$C$18:$C$157=$AP19)*('Port Linkages'!$D$18:$D$157=IF($AO19="Yes",$AQ19,$KK19))*('Port Linkages'!$A$18:$A$157&lt;=$C19))))</f>
        <v>3270</v>
      </c>
      <c r="AAX19" s="75">
        <f t="array" ref="AAX19">INDEX('Port Linkages'!$M$18:$M$157,MATCH(2,1/(('Port Linkages'!$C$18:$C$157=$AP19)*('Port Linkages'!$D$18:$D$157=IF($AO19="Yes",$AQ19,$KK19))*('Port Linkages'!$A$18:$A$157&lt;=$C19))))</f>
        <v>0</v>
      </c>
      <c r="AAY19" s="75" t="str">
        <f t="array" ref="AAY19">INDEX('Port Linkages'!$N$18:$N$157,MATCH(2,1/(('Port Linkages'!$C$18:$C$157=$AP19)*('Port Linkages'!$D$18:$D$157=IF($AO19="Yes",$AQ19,$KK19))*('Port Linkages'!$A$18:$A$157&lt;=$C19))))</f>
        <v>Capesize_General</v>
      </c>
      <c r="AAZ19" s="75" t="str">
        <f t="array" ref="AAZ19">INDEX('Port Linkages'!$O$18:$O$157,MATCH(2,1/(('Port Linkages'!$C$18:$C$157=$AP19)*('Port Linkages'!$D$18:$D$157=IF($AO19="Yes",$AQ19,$KK19))*('Port Linkages'!$A$18:$A$157&lt;=$C19))))</f>
        <v>Singapore</v>
      </c>
      <c r="ABA19" s="75" t="str">
        <f t="array" ref="ABA19">INDEX('Port Linkages'!$P$18:$P$157,MATCH(2,1/(('Port Linkages'!$C$18:$C$157=$AP19)*('Port Linkages'!$D$18:$D$157=IF($AO19="Yes",$AQ19,$KK19))*('Port Linkages'!$A$18:$A$157&lt;=$C19))))</f>
        <v>VLSFO</v>
      </c>
      <c r="ABB19" s="75" t="str">
        <f t="array" ref="ABB19">INDEX('Port Linkages'!$Q$18:$Q$157,MATCH(2,1/(('Port Linkages'!$C$18:$C$157=$AP19)*('Port Linkages'!$D$18:$D$157=IF($AO19="Yes",$AQ19,$KK19))*('Port Linkages'!$A$18:$A$157&lt;=$C19))))</f>
        <v>MGO_Regular</v>
      </c>
      <c r="ABC19" s="75" t="str">
        <f t="array" ref="ABC19">INDEX('Port Linkages'!$R$18:$R$157,MATCH(2,1/(('Port Linkages'!$C$18:$C$157=$AP19)*('Port Linkages'!$D$18:$D$157=IF($AO19="Yes",$AQ19,$KK19))*('Port Linkages'!$A$18:$A$157&lt;=$C19))))</f>
        <v>none</v>
      </c>
      <c r="ABD19" s="75">
        <f t="array" ref="ABD19">INDEX('Port Linkages'!$S$18:$S$157,MATCH(2,1/(('Port Linkages'!$C$18:$C$157=$AP19)*('Port Linkages'!$D$18:$D$157=IF($AO19="Yes",$AQ19,$KK19))*('Port Linkages'!$A$18:$A$157&lt;=$C19))))</f>
        <v>3270</v>
      </c>
      <c r="ABE19" s="75">
        <f t="array" ref="ABE19">INDEX('Port Linkages'!$T$18:$T$157,MATCH(2,1/(('Port Linkages'!$C$18:$C$157=$AP19)*('Port Linkages'!$D$18:$D$157=IF($AO19="Yes",$AQ19,$KK19))*('Port Linkages'!$A$18:$A$157&lt;=$C19))))</f>
        <v>0</v>
      </c>
      <c r="ABF19" s="75" t="str">
        <f t="array" ref="ABF19">INDEX('Port Linkages'!$U$18:$U$157,MATCH(2,1/(('Port Linkages'!$C$18:$C$157=$AP19)*('Port Linkages'!$D$18:$D$157=IF($AO19="Yes",$AQ19,$KK19))*('Port Linkages'!$A$18:$A$157&lt;=$C19))))</f>
        <v>Capesize_General</v>
      </c>
      <c r="ABG19" s="75" t="str">
        <f t="array" ref="ABG19">INDEX('Port Linkages'!$V$18:$V$157,MATCH(2,1/(('Port Linkages'!$C$18:$C$157=$AP19)*('Port Linkages'!$D$18:$D$157=IF($AO19="Yes",$AQ19,$KK19))*('Port Linkages'!$A$18:$A$157&lt;=$C19))))</f>
        <v>Singapore</v>
      </c>
      <c r="ABH19" s="75" t="str">
        <f t="array" ref="ABH19">INDEX('Port Linkages'!$W$18:$W$157,MATCH(2,1/(('Port Linkages'!$C$18:$C$157=$AP19)*('Port Linkages'!$D$18:$D$157=IF($AO19="Yes",$AQ19,$KK19))*('Port Linkages'!$A$18:$A$157&lt;=$C19))))</f>
        <v>VLSFO</v>
      </c>
      <c r="ABI19" s="75" t="str">
        <f t="array" ref="ABI19">INDEX('Port Linkages'!$X$18:$X$157,MATCH(2,1/(('Port Linkages'!$C$18:$C$157=$AP19)*('Port Linkages'!$D$18:$D$157=IF($AO19="Yes",$AQ19,$KK19))*('Port Linkages'!$A$18:$A$157&lt;=$C19))))</f>
        <v>MGO_Regular</v>
      </c>
      <c r="ABJ19" s="75" t="str">
        <f t="array" ref="ABJ19">INDEX('Port Linkages'!$Y$18:$Y$157,MATCH(2,1/(('Port Linkages'!$C$18:$C$157=$AP19)*('Port Linkages'!$D$18:$D$157=IF($AO19="Yes",$AQ19,$KK19))*('Port Linkages'!$A$18:$A$157&lt;=$C19))))</f>
        <v>Suez</v>
      </c>
      <c r="ABK19" s="75">
        <f t="array" ref="ABK19">INDEX('Port Linkages'!$Z$18:$Z$157,MATCH(2,1/(('Port Linkages'!$C$18:$C$157=$AP19)*('Port Linkages'!$D$18:$D$157=IF($AO19="Yes",$AQ19,$KK19))*('Port Linkages'!$A$18:$A$157&lt;=$C19))))</f>
        <v>3270</v>
      </c>
      <c r="ABL19" s="75">
        <f t="array" ref="ABL19">INDEX('Port Linkages'!$AA$18:$AA$157,MATCH(2,1/(('Port Linkages'!$C$18:$C$157=$AP19)*('Port Linkages'!$D$18:$D$157=IF($AO19="Yes",$AQ19,$KK19))*('Port Linkages'!$A$18:$A$157&lt;=$C19))))</f>
        <v>0</v>
      </c>
      <c r="ABM19" s="75" t="str">
        <f t="array" ref="ABM19">INDEX('Port Linkages'!$AB$18:$AB$157,MATCH(2,1/(('Port Linkages'!$C$18:$C$157=$AP19)*('Port Linkages'!$D$18:$D$157=IF($AO19="Yes",$AQ19,$KK19))*('Port Linkages'!$A$18:$A$157&lt;=$C19))))</f>
        <v>Capesize_General</v>
      </c>
      <c r="ABN19" s="75" t="str">
        <f t="array" ref="ABN19">INDEX('Port Linkages'!$AC$18:$AC$157,MATCH(2,1/(('Port Linkages'!$C$18:$C$157=$AP19)*('Port Linkages'!$D$18:$D$157=IF($AO19="Yes",$AQ19,$KK19))*('Port Linkages'!$A$18:$A$157&lt;=$C19))))</f>
        <v>Singapore</v>
      </c>
      <c r="ABO19" s="75" t="str">
        <f t="array" ref="ABO19">INDEX('Port Linkages'!$AD$18:$AD$157,MATCH(2,1/(('Port Linkages'!$C$18:$C$157=$AP19)*('Port Linkages'!$D$18:$D$157=IF($AO19="Yes",$AQ19,$KK19))*('Port Linkages'!$A$18:$A$157&lt;=$C19))))</f>
        <v>VLSFO</v>
      </c>
      <c r="ABP19" s="75" t="str">
        <f t="array" ref="ABP19">INDEX('Port Linkages'!$AE$18:$AE$157,MATCH(2,1/(('Port Linkages'!$C$18:$C$157=$AP19)*('Port Linkages'!$D$18:$D$157=IF($AO19="Yes",$AQ19,$KK19))*('Port Linkages'!$A$18:$A$157&lt;=$C19))))</f>
        <v>MGO_Regular</v>
      </c>
      <c r="ABQ19" s="75" t="str">
        <f t="array" ref="ABQ19">INDEX('Port Linkages'!$AF$18:$AF$157,MATCH(2,1/(('Port Linkages'!$C$18:$C$157=$AP19)*('Port Linkages'!$D$18:$D$157=IF($AO19="Yes",$AQ19,$KK19))*('Port Linkages'!$A$18:$A$157&lt;=$C19))))</f>
        <v>Suez</v>
      </c>
      <c r="ABR19" s="75">
        <f t="array" ref="ABR19">INDEX('Port Linkages'!$AG$18:$AG$157,MATCH(2,1/(('Port Linkages'!$C$18:$C$157=$AP19)*('Port Linkages'!$D$18:$D$157=IF($AO19="Yes",$AQ19,$KK19))*('Port Linkages'!$A$18:$A$157&lt;=$C19))))</f>
        <v>3270</v>
      </c>
      <c r="ABS19" s="75">
        <f t="array" ref="ABS19">INDEX('Port Linkages'!$AH$18:$AH$157,MATCH(2,1/(('Port Linkages'!$C$18:$C$157=$AP19)*('Port Linkages'!$D$18:$D$157=IF($AO19="Yes",$AQ19,$KK19))*('Port Linkages'!$A$18:$A$157&lt;=$C19))))</f>
        <v>0</v>
      </c>
      <c r="ABT19" s="75" t="str">
        <f t="array" ref="ABT19">INDEX('Port Linkages'!$AI$18:$AI$157,MATCH(2,1/(('Port Linkages'!$C$18:$C$157=$AP19)*('Port Linkages'!$D$18:$D$157=IF($AO19="Yes",$AQ19,$KK19))*('Port Linkages'!$A$18:$A$157&lt;=$C19))))</f>
        <v>Capesize_General</v>
      </c>
      <c r="ABU19" s="75" t="str">
        <f t="array" ref="ABU19">INDEX('Port Linkages'!$AJ$18:$AJ$157,MATCH(2,1/(('Port Linkages'!$C$18:$C$157=$AP19)*('Port Linkages'!$D$18:$D$157=IF($AO19="Yes",$AQ19,$KK19))*('Port Linkages'!$A$18:$A$157&lt;=$C19))))</f>
        <v>Singapore</v>
      </c>
      <c r="ABV19" s="75" t="str">
        <f t="array" ref="ABV19">INDEX('Port Linkages'!$AK$18:$AK$157,MATCH(2,1/(('Port Linkages'!$C$18:$C$157=$AP19)*('Port Linkages'!$D$18:$D$157=IF($AO19="Yes",$AQ19,$KK19))*('Port Linkages'!$A$18:$A$157&lt;=$C19))))</f>
        <v>VLSFO</v>
      </c>
      <c r="ABW19" s="75" t="str">
        <f t="array" ref="ABW19">INDEX('Port Linkages'!$AL$18:$AL$157,MATCH(2,1/(('Port Linkages'!$C$18:$C$157=$AP19)*('Port Linkages'!$D$18:$D$157=IF($AO19="Yes",$AQ19,$KK19))*('Port Linkages'!$A$18:$A$157&lt;=$C19))))</f>
        <v>MGO_Regular</v>
      </c>
      <c r="ABX19" s="75" t="str">
        <f t="array" ref="ABX19">INDEX('Port Linkages'!$AM$18:$AM$157,MATCH(2,1/(('Port Linkages'!$C$18:$C$157=$AP19)*('Port Linkages'!$D$18:$D$157=IF($AO19="Yes",$AQ19,$KK19))*('Port Linkages'!$A$18:$A$157&lt;=$C19))))</f>
        <v>Suez</v>
      </c>
      <c r="ABY19" s="75">
        <f t="array" ref="ABY19">INDEX('Port Linkages'!$AN$18:$AN$157,MATCH(2,1/(('Port Linkages'!$C$18:$C$157=$AP19)*('Port Linkages'!$D$18:$D$157=IF($AO19="Yes",$AQ19,$KK19))*('Port Linkages'!$A$18:$A$157&lt;=$C19))))</f>
        <v>3270</v>
      </c>
      <c r="ABZ19" s="75">
        <f t="array" ref="ABZ19">INDEX('Port Linkages'!$AO$18:$AO$157,MATCH(2,1/(('Port Linkages'!$C$18:$C$157=$AP19)*('Port Linkages'!$D$18:$D$157=IF($AO19="Yes",$AQ19,$KK19))*('Port Linkages'!$A$18:$A$157&lt;=$C19))))</f>
        <v>0</v>
      </c>
      <c r="ACA19" s="75" t="str">
        <f t="array" ref="ACA19">INDEX('Port Linkages'!$AP$18:$AP$157,MATCH(2,1/(('Port Linkages'!$C$18:$C$157=$AP19)*('Port Linkages'!$D$18:$D$157=IF($AO19="Yes",$AQ19,$KK19))*('Port Linkages'!$A$18:$A$157&lt;=$C19))))</f>
        <v>Capesize_General</v>
      </c>
      <c r="ACB19" s="75" t="str">
        <f t="array" ref="ACB19">INDEX('Port Linkages'!$AQ$18:$AQ$157,MATCH(2,1/(('Port Linkages'!$C$18:$C$157=$AP19)*('Port Linkages'!$D$18:$D$157=IF($AO19="Yes",$AQ19,$KK19))*('Port Linkages'!$A$18:$A$157&lt;=$C19))))</f>
        <v>Singapore</v>
      </c>
      <c r="ACC19" s="75" t="str">
        <f t="array" ref="ACC19">INDEX('Port Linkages'!$AR$18:$AR$157,MATCH(2,1/(('Port Linkages'!$C$18:$C$157=$AP19)*('Port Linkages'!$D$18:$D$157=IF($AO19="Yes",$AQ19,$KK19))*('Port Linkages'!$A$18:$A$157&lt;=$C19))))</f>
        <v>VLSFO</v>
      </c>
      <c r="ACD19" s="75" t="str">
        <f t="array" ref="ACD19">INDEX('Port Linkages'!$AS$18:$AS$157,MATCH(2,1/(('Port Linkages'!$C$18:$C$157=$AP19)*('Port Linkages'!$D$18:$D$157=IF($AO19="Yes",$AQ19,$KK19))*('Port Linkages'!$A$18:$A$157&lt;=$C19))))</f>
        <v>MGO_Regular</v>
      </c>
      <c r="ACE19" s="75" t="str">
        <f t="array" ref="ACE19">INDEX('Port Linkages'!$AT$18:$AT$157,MATCH(2,1/(('Port Linkages'!$C$18:$C$157=$AP19)*('Port Linkages'!$D$18:$D$157=IF($AO19="Yes",$AQ19,$KK19))*('Port Linkages'!$A$18:$A$157&lt;=$C19))))</f>
        <v>Suez</v>
      </c>
      <c r="ACF19" s="75">
        <f t="array" ref="ACF19">INDEX('Port Linkages'!$AU$18:$AU$157,MATCH(2,1/(('Port Linkages'!$C$18:$C$157=$AP19)*('Port Linkages'!$D$18:$D$157=IF($AO19="Yes",$AQ19,$KK19))*('Port Linkages'!$A$18:$A$157&lt;=$C19))))</f>
        <v>3270</v>
      </c>
      <c r="ACG19" s="75">
        <f t="array" ref="ACG19">INDEX('Port Linkages'!$AV$18:$AV$157,MATCH(2,1/(('Port Linkages'!$C$18:$C$157=$AP19)*('Port Linkages'!$D$18:$D$157=IF($AO19="Yes",$AQ19,$KK19))*('Port Linkages'!$A$18:$A$157&lt;=$C19))))</f>
        <v>0</v>
      </c>
      <c r="ACH19" s="75" t="str">
        <f t="array" ref="ACH19">INDEX('Port Linkages'!$AW$18:$AW$157,MATCH(2,1/(('Port Linkages'!$C$18:$C$157=$AP19)*('Port Linkages'!$D$18:$D$157=IF($AO19="Yes",$AQ19,$KK19))*('Port Linkages'!$A$18:$A$157&lt;=$C19))))</f>
        <v>Capesize_General</v>
      </c>
      <c r="ACI19" s="75" t="str">
        <f t="array" ref="ACI19">INDEX('Port Linkages'!$AX$18:$AX$157,MATCH(2,1/(('Port Linkages'!$C$18:$C$157=$AP19)*('Port Linkages'!$D$18:$D$157=IF($AO19="Yes",$AQ19,$KK19))*('Port Linkages'!$A$18:$A$157&lt;=$C19))))</f>
        <v>Singapore</v>
      </c>
      <c r="ACJ19" s="75" t="str">
        <f t="array" ref="ACJ19">INDEX('Port Linkages'!$AY$18:$AY$157,MATCH(2,1/(('Port Linkages'!$C$18:$C$157=$AP19)*('Port Linkages'!$D$18:$D$157=IF($AO19="Yes",$AQ19,$KK19))*('Port Linkages'!$A$18:$A$157&lt;=$C19))))</f>
        <v>VLSFO</v>
      </c>
      <c r="ACK19" s="75" t="str">
        <f t="array" ref="ACK19">INDEX('Port Linkages'!$AZ$18:$AZ$157,MATCH(2,1/(('Port Linkages'!$C$18:$C$157=$AP19)*('Port Linkages'!$D$18:$D$157=IF($AO19="Yes",$AQ19,$KK19))*('Port Linkages'!$A$18:$A$157&lt;=$C19))))</f>
        <v>MGO_Regular</v>
      </c>
      <c r="ACL19" s="75" t="str">
        <f t="array" ref="ACL19">INDEX('Port Linkages'!$BA$18:$BA$157,MATCH(2,1/(('Port Linkages'!$C$18:$C$157=$AP19)*('Port Linkages'!$D$18:$D$157=IF($AO19="Yes",$AQ19,$KK19))*('Port Linkages'!$A$18:$A$157&lt;=$C19))))</f>
        <v>Suez</v>
      </c>
      <c r="ACN19" s="25" t="e">
        <f t="array" aca="1" ref="ACN19" ca="1">INDEX('Ship Fuel Prices'!$F$5:$F$1004,MATCH(2,1/(('Ship Fuel Prices'!$E$5:$E$1004=_xlfn.IFS(AAC19="Handysize",Main!ACI19,AAC19="Supramax",ACB19,AAC19="Panamax",ABU19,AAC19="NeoPanamax",ABN19,AAC19="Suezmax",ABG19,AAC19="Capesize",AAZ19,AAC19="VLOC",AAS19))*('Ship Fuel Prices'!$D$5:$D$1004&lt;=Main!$C19))))</f>
        <v>#N/A</v>
      </c>
      <c r="ACO19" s="25" t="e">
        <f t="array" aca="1" ref="ACO19" ca="1">INDEX('Ship Fuel Prices'!$G$5:$G$1004,MATCH(2,1/(('Ship Fuel Prices'!$E$5:$E$1004=_xlfn.IFS(AAC19="Handysize",Main!ACI19,AAC19="Supramax",ACB19,AAC19="Panamax",ABU19,AAC19="NeoPanamax",ABN19,AAC19="Suezmax",ABG19,AAC19="Capesize",AAZ19,AAC19="VLOC",AAS19))*('Ship Fuel Prices'!$D$5:$D$1004&lt;=Main!$C19))))</f>
        <v>#N/A</v>
      </c>
      <c r="ACP19" s="25" t="e">
        <f t="array" aca="1" ref="ACP19" ca="1">INDEX('Ship Fuel Prices'!$H$5:$H$1004,MATCH(2,1/(('Ship Fuel Prices'!$E$5:$E$1004=_xlfn.IFS(AAC19="Handysize",Main!ACI19,AAC19="Supramax",ACB19,AAC19="Panamax",ABU19,AAC19="NeoPanamax",ABN19,AAC19="Suezmax",ABG19,AAC19="Capesize",AAZ19,AAC19="VLOC",AAS19))*('Ship Fuel Prices'!$D$5:$D$1004&lt;=Main!$C19))))</f>
        <v>#N/A</v>
      </c>
      <c r="ACQ19" s="25" t="e">
        <f t="array" aca="1" ref="ACQ19" ca="1">INDEX('Ship Fuel Prices'!$I$5:$I$1004,MATCH(2,1/(('Ship Fuel Prices'!$E$5:$E$1004=_xlfn.IFS(AAC19="Handysize",Main!ACI19,AAC19="Supramax",ACB19,AAC19="Panamax",ABU19,AAC19="NeoPanamax",ABN19,AAC19="Suezmax",ABG19,AAC19="Capesize",AAZ19,AAC19="VLOC",AAS19))*('Ship Fuel Prices'!$D$5:$D$1004&lt;=Main!$C19))))</f>
        <v>#N/A</v>
      </c>
      <c r="ACR19" s="25" t="e">
        <f t="array" aca="1" ref="ACR19" ca="1">INDEX('Ship Fuel Prices'!$J$5:$J$1004,MATCH(2,1/(('Ship Fuel Prices'!$E$5:$E$1004=_xlfn.IFS(AAC19="Handysize",Main!ACI19,AAC19="Supramax",ACB19,AAC19="Panamax",ABU19,AAC19="NeoPanamax",ABN19,AAC19="Suezmax",ABG19,AAC19="Capesize",AAZ19,AAC19="VLOC",AAS19))*('Ship Fuel Prices'!$D$5:$D$1004&lt;=Main!$C19))))</f>
        <v>#N/A</v>
      </c>
      <c r="ACT19" s="75">
        <f t="array" ref="ACT19">INDEX('China n Importing Ports'!$E$20:$E$41,MATCH(2,1/(('China n Importing Ports'!$D$20:$D$41&lt;=$C19)*('China n Importing Ports'!$C$20:$C$41=IF($AO19="Yes",$AQ19,$KK19)))))</f>
        <v>42500</v>
      </c>
      <c r="ACU19" s="75">
        <f t="array" ref="ACU19">INDEX('China n Importing Ports'!$F$20:$F$41,MATCH(2,1/(('China n Importing Ports'!$D$20:$D$41&lt;=$C19)*('China n Importing Ports'!$C$20:$C$41=IF($AO19="Yes",$AQ19,$KK19)))))</f>
        <v>42500</v>
      </c>
      <c r="ACV19" s="75">
        <f t="array" ref="ACV19">INDEX('China n Importing Ports'!$G$20:$G$41,MATCH(2,1/(('China n Importing Ports'!$D$20:$D$41&lt;=$C19)*('China n Importing Ports'!$C$20:$C$41=IF($AO19="Yes",$AQ19,$KK19)))))</f>
        <v>42500</v>
      </c>
      <c r="ACW19" s="75">
        <f t="array" ref="ACW19">INDEX('China n Importing Ports'!$H$20:$H$41,MATCH(2,1/(('China n Importing Ports'!$D$20:$D$41&lt;=$C19)*('China n Importing Ports'!$C$20:$C$41=IF($AO19="Yes",$AQ19,$KK19)))))</f>
        <v>42500</v>
      </c>
      <c r="ACX19" s="75">
        <f t="array" ref="ACX19">INDEX('China n Importing Ports'!$I$20:$I$41,MATCH(2,1/(('China n Importing Ports'!$D$20:$D$41&lt;=$C19)*('China n Importing Ports'!$C$20:$C$41=IF($AO19="Yes",$AQ19,$KK19)))))</f>
        <v>42500</v>
      </c>
      <c r="ACY19" s="75">
        <f t="array" ref="ACY19">INDEX('China n Importing Ports'!$J$20:$J$41,MATCH(2,1/(('China n Importing Ports'!$D$20:$D$41&lt;=$C19)*('China n Importing Ports'!$C$20:$C$41=IF($AO19="Yes",$AQ19,$KK19)))))</f>
        <v>42500</v>
      </c>
      <c r="ACZ19" s="75">
        <f t="array" ref="ACZ19">INDEX('China n Importing Ports'!$K$20:$K$41,MATCH(2,1/(('China n Importing Ports'!$D$20:$D$41&lt;=$C19)*('China n Importing Ports'!$C$20:$C$41=IF($AO19="Yes",$AQ19,$KK19)))))</f>
        <v>42500</v>
      </c>
      <c r="ADA19" s="75" t="str">
        <f t="array" ref="ADA19">INDEX('China n Importing Ports'!$L$20:$L$41,MATCH(2,1/(('China n Importing Ports'!$D$20:$D$41&lt;=$C19)*('China n Importing Ports'!$C$20:$C$41=IF($AO19="Yes",$AQ19,$KK19)))))</f>
        <v>RMB</v>
      </c>
      <c r="ADB19" s="75">
        <f t="array" ref="ADB19">INDEX('China n Importing Ports'!$M$20:$M$41,MATCH(2,1/(('China n Importing Ports'!$D$20:$D$41&lt;=$C19)*('China n Importing Ports'!$C$20:$C$41=IF($AO19="Yes",$AQ19,$KK19)))))</f>
        <v>12342</v>
      </c>
      <c r="ADC19" s="75">
        <f t="array" ref="ADC19">INDEX('China n Importing Ports'!$N$20:$N$41,MATCH(2,1/(('China n Importing Ports'!$D$20:$D$41&lt;=$C19)*('China n Importing Ports'!$C$20:$C$41=IF($AO19="Yes",$AQ19,$KK19)))))</f>
        <v>0</v>
      </c>
      <c r="ADD19" s="75">
        <f t="array" ref="ADD19">INDEX('China n Importing Ports'!$O$20:$O$41,MATCH(2,1/(('China n Importing Ports'!$D$20:$D$41&lt;=$C19)*('China n Importing Ports'!$C$20:$C$41=IF($AO19="Yes",$AQ19,$KK19)))))</f>
        <v>0</v>
      </c>
      <c r="ADE19" s="136">
        <f t="array" ref="ADE19">INDEX('China n Importing Ports'!$P$20:$P$41,MATCH(2,1/(('China n Importing Ports'!$D$20:$D$41&lt;=$C19)*('China n Importing Ports'!$C$20:$C$41=IF($AO19="Yes",$AQ19,$KK19)))))</f>
        <v>2.64</v>
      </c>
      <c r="ADF19" s="136">
        <f t="array" ref="ADF19">INDEX('China n Importing Ports'!$Q$20:$Q$41,MATCH(2,1/(('China n Importing Ports'!$D$20:$D$41&lt;=$C19)*('China n Importing Ports'!$C$20:$C$41=IF($AO19="Yes",$AQ19,$KK19)))))</f>
        <v>0</v>
      </c>
      <c r="ADG19" s="136">
        <f t="array" ref="ADG19">INDEX('China n Importing Ports'!$R$20:$R$41,MATCH(2,1/(('China n Importing Ports'!$D$20:$D$41&lt;=$C19)*('China n Importing Ports'!$C$20:$C$41=IF($AO19="Yes",$AQ19,$KK19)))))</f>
        <v>0</v>
      </c>
      <c r="ADH19" s="136">
        <f t="array" ref="ADH19">INDEX('China n Importing Ports'!$S$20:$S$41,MATCH(2,1/(('China n Importing Ports'!$D$20:$D$41&lt;=$C19)*('China n Importing Ports'!$C$20:$C$41=IF($AO19="Yes",$AQ19,$KK19)))))</f>
        <v>4.53</v>
      </c>
      <c r="ADI19" s="136">
        <f t="array" ref="ADI19">INDEX('China n Importing Ports'!$T$20:$T$41,MATCH(2,1/(('China n Importing Ports'!$D$20:$D$41&lt;=$C19)*('China n Importing Ports'!$C$20:$C$41=IF($AO19="Yes",$AQ19,$KK19)))))</f>
        <v>0.36699999999999999</v>
      </c>
      <c r="ADJ19" s="136">
        <f t="array" ref="ADJ19">INDEX('China n Importing Ports'!$U$20:$U$41,MATCH(2,1/(('China n Importing Ports'!$D$20:$D$41&lt;=$C19)*('China n Importing Ports'!$C$20:$C$41=IF($AO19="Yes",$AQ19,$KK19)))))</f>
        <v>0.05</v>
      </c>
      <c r="ADK19" s="136">
        <f t="array" ref="ADK19">INDEX('China n Importing Ports'!$V$20:$V$41,MATCH(2,1/(('China n Importing Ports'!$D$20:$D$41&lt;=$C19)*('China n Importing Ports'!$C$20:$C$41=IF($AO19="Yes",$AQ19,$KK19)))))</f>
        <v>0</v>
      </c>
      <c r="ADL19" s="136">
        <f t="array" ref="ADL19">INDEX('China n Importing Ports'!$W$20:$W$41,MATCH(2,1/(('China n Importing Ports'!$D$20:$D$41&lt;=$C19)*('China n Importing Ports'!$C$20:$C$41=IF($AO19="Yes",$AQ19,$KK19)))))</f>
        <v>0</v>
      </c>
      <c r="ADM19" s="136">
        <f t="array" ref="ADM19">INDEX('China n Importing Ports'!$X$20:$X$41,MATCH(2,1/(('China n Importing Ports'!$D$20:$D$41&lt;=$C19)*('China n Importing Ports'!$C$20:$C$41=IF($AO19="Yes",$AQ19,$KK19)))))</f>
        <v>0</v>
      </c>
      <c r="ADN19" s="136">
        <f t="array" ref="ADN19">INDEX('China n Importing Ports'!$Y$20:$Y$41,MATCH(2,1/(('China n Importing Ports'!$D$20:$D$41&lt;=$C19)*('China n Importing Ports'!$C$20:$C$41=IF($AO19="Yes",$AQ19,$KK19)))))</f>
        <v>197</v>
      </c>
      <c r="ADO19" s="136">
        <f t="array" ref="ADO19">INDEX('China n Importing Ports'!$Z$20:$Z$41,MATCH(2,1/(('China n Importing Ports'!$D$20:$D$41&lt;=$C19)*('China n Importing Ports'!$C$20:$C$41=IF($AO19="Yes",$AQ19,$KK19)))))</f>
        <v>0</v>
      </c>
      <c r="ADP19" s="136">
        <f t="array" ref="ADP19">INDEX('China n Importing Ports'!$AA$20:$AA$41,MATCH(2,1/(('China n Importing Ports'!$D$20:$D$41&lt;=$C19)*('China n Importing Ports'!$C$20:$C$41=IF($AO19="Yes",$AQ19,$KK19)))))</f>
        <v>0</v>
      </c>
      <c r="ADR19" s="75" t="e">
        <f t="array" aca="1" ref="ADR19" ca="1">INDEX(Canals!$G$24:$G$29,MATCH(2,1/((Canals!$F$24:$F$29&lt;=$C19)*(Canals!$G$24:$G$29=_xlfn.IFS(AAC19="Handysize",Main!ACL19,AAC19="Supramax",ACE19,AAC19="Panamax",ABX19,AAC19="NeoPanamax",ABQ19,AAC19="Suezmax",ABJ19,AAC19="Capesize",ABC19,AAC19="VLOC",AAV19)))))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S19" s="75" t="e">
        <f t="array" aca="1" ref="ADS19" ca="1">INDEX(Canals!$H$24:$H$29,MATCH(2,1/((Canals!$F$24:$F$29&lt;=$C19)*(Canals!$G$24:$G$29=_xlfn.IFS(AAC19="Handysize",Main!ACL19,AAC19="Supramax",ACE19,AAC19="Panamax",ABX19,AAC19="NeoPanamax",ABQ19,AAC19="Suezmax",ABJ19,AAC19="Capesize",ABC19,AAC19="VLOC",AAV19)))))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T19" s="75" t="e">
        <f t="array" aca="1" ref="ADT19" ca="1">INDEX(Canals!$I$24:$I$29,MATCH(2,1/((Canals!$F$24:$F$29&lt;=$C19)*(Canals!$G$24:$G$29=_xlfn.IFS(AAC19="Handysize",Main!ACL19,AAC19="Supramax",ACE19,AAC19="Panamax",ABX19,AAC19="NeoPanamax",ABQ19,AAC19="Suezmax",ABJ19,AAC19="Capesize",ABC19,AAC19="VLOC",AAV19)))))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U19" s="75" t="e">
        <f t="array" aca="1" ref="ADU19" ca="1">INDEX(Canals!$J$24:$J$29,MATCH(2,1/((Canals!$F$24:$F$29&lt;=$C19)*(Canals!$G$24:$G$29=_xlfn.IFS(AAC19="Handysize",Main!ACL19,AAC19="Supramax",ACE19,AAC19="Panamax",ABX19,AAC19="NeoPanamax",ABQ19,AAC19="Suezmax",ABJ19,AAC19="Capesize",ABC19,AAC19="VLOC",AAV19)))))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V19" s="75" t="e">
        <f t="array" aca="1" ref="ADV19" ca="1">INDEX(Canals!$K$24:$K$29,MATCH(2,1/((Canals!$F$24:$F$29&lt;=$C19)*(Canals!$G$24:$G$29=_xlfn.IFS(AAC19="Handysize",Main!ACL19,AAC19="Supramax",ACE19,AAC19="Panamax",ABX19,AAC19="NeoPanamax",ABQ19,AAC19="Suezmax",ABJ19,AAC19="Capesize",ABC19,AAC19="VLOC",AAV19)))))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W19" s="75" t="e">
        <f t="array" aca="1" ref="ADW19" ca="1">INDEX(Canals!$L$24:$L$29,MATCH(2,1/((Canals!$F$24:$F$29&lt;=$C19)*(Canals!$G$24:$G$29=_xlfn.IFS(AAC19="Handysize",Main!ACL19,AAC19="Supramax",ACE19,AAC19="Panamax",ABX19,AAC19="NeoPanamax",ABQ19,AAC19="Suezmax",ABJ19,AAC19="Capesize",ABC19,AAC19="VLOC",AAV19)))))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X19" s="75" t="e">
        <f t="array" aca="1" ref="ADX19" ca="1">INDEX(Canals!$M$24:$M$29,MATCH(2,1/((Canals!$F$24:$F$29&lt;=$C19)*(Canals!$G$24:$G$29=_xlfn.IFS(AAC19="Handysize",Main!ACL19,AAC19="Supramax",ACE19,AAC19="Panamax",ABX19,AAC19="NeoPanamax",ABQ19,AAC19="Suezmax",ABJ19,AAC19="Capesize",ABC19,AAC19="VLOC",AAV19)))))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Y19" s="75" t="e">
        <f t="array" aca="1" ref="ADY19" ca="1">INDEX(Canals!$N$24:$N$29,MATCH(2,1/((Canals!$F$24:$F$29&lt;=$C19)*(Canals!$G$24:$G$29=_xlfn.IFS(AAC19="Handysize",Main!ACL19,AAC19="Supramax",ACE19,AAC19="Panamax",ABX19,AAC19="NeoPanamax",ABQ19,AAC19="Suezmax",ABJ19,AAC19="Capesize",ABC19,AAC19="VLOC",AAV19)))))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DZ19" s="75" t="e">
        <f t="array" aca="1" ref="ADZ19" ca="1">INDEX(Canals!$O$24:$O$29,MATCH(2,1/((Canals!$F$24:$F$29&lt;=$C19)*(Canals!$G$24:$G$29=_xlfn.IFS(AAC19="Handysize",Main!ACL19,AAC19="Supramax",ACE19,AAC19="Panamax",ABX19,AAC19="NeoPanamax",ABQ19,AAC19="Suezmax",ABJ19,AAC19="Capesize",ABC19,AAC19="VLOC",AAV19)))))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A19" s="75" t="e">
        <f t="array" aca="1" ref="AEA19" ca="1">INDEX(Canals!$P$24:$P$29,MATCH(2,1/((Canals!$F$24:$F$29&lt;=$C19)*(Canals!$G$24:$G$29=_xlfn.IFS(AAC19="Handysize",Main!ACL19,AAC19="Supramax",ACE19,AAC19="Panamax",ABX19,AAC19="NeoPanamax",ABQ19,AAC19="Suezmax",ABJ19,AAC19="Capesize",ABC19,AAC19="VLOC",AAV19)))))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B19" s="75" t="e">
        <f t="array" aca="1" ref="AEB19" ca="1">INDEX(Canals!$Q$24:$Q$29,MATCH(2,1/((Canals!$F$24:$F$29&lt;=$C19)*(Canals!$G$24:$G$29=_xlfn.IFS(AAC19="Handysize",Main!ACL19,AAC19="Supramax",ACE19,AAC19="Panamax",ABX19,AAC19="NeoPanamax",ABQ19,AAC19="Suezmax",ABJ19,AAC19="Capesize",ABC19,AAC19="VLOC",AAV19)))))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C19" s="75" t="e">
        <f t="array" aca="1" ref="AEC19" ca="1">INDEX(Canals!$R$24:$R$29,MATCH(2,1/((Canals!$F$24:$F$29&lt;=$C19)*(Canals!$G$24:$G$29=_xlfn.IFS(AAC19="Handysize",Main!ACL19,AAC19="Supramax",ACE19,AAC19="Panamax",ABX19,AAC19="NeoPanamax",ABQ19,AAC19="Suezmax",ABJ19,AAC19="Capesize",ABC19,AAC19="VLOC",AAV19)))))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D19" s="136" t="e">
        <f t="array" aca="1" ref="AED19" ca="1">INDEX(Canals!$S$24:$S$29,MATCH(2,1/((Canals!$F$24:$F$29&lt;=$C19)*(Canals!$G$24:$G$29=_xlfn.IFS(AAC19="Handysize",Main!ACL19,AAC19="Supramax",ACE19,AAC19="Panamax",ABX19,AAC19="NeoPanamax",ABQ19,AAC19="Suezmax",ABJ19,AAC19="Capesize",ABC19,AAC19="VLOC",AAV19)))))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E19" s="136" t="e">
        <f t="array" aca="1" ref="AEE19" ca="1">INDEX(Canals!$T$24:$T$29,MATCH(2,1/((Canals!$F$24:$F$29&lt;=$C19)*(Canals!$G$24:$G$29=_xlfn.IFS(AAC19="Handysize",Main!ACL19,AAC19="Supramax",ACE19,AAC19="Panamax",ABX19,AAC19="NeoPanamax",ABQ19,AAC19="Suezmax",ABJ19,AAC19="Capesize",ABC19,AAC19="VLOC",AAV19)))))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F19" s="136" t="e">
        <f t="array" aca="1" ref="AEF19" ca="1">INDEX(Canals!$U$24:$U$29,MATCH(2,1/((Canals!$F$24:$F$29&lt;=$C19)*(Canals!$G$24:$G$29=_xlfn.IFS(AAC19="Handysize",Main!ACL19,AAC19="Supramax",ACE19,AAC19="Panamax",ABX19,AAC19="NeoPanamax",ABQ19,AAC19="Suezmax",ABJ19,AAC19="Capesize",ABC19,AAC19="VLOC",AAV19)))))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G19" s="136" t="e">
        <f t="array" aca="1" ref="AEG19" ca="1">INDEX(Canals!$V$24:$V$29,MATCH(2,1/((Canals!$F$24:$F$29&lt;=$C19)*(Canals!$G$24:$G$29=_xlfn.IFS(AAC19="Handysize",Main!ACL19,AAC19="Supramax",ACE19,AAC19="Panamax",ABX19,AAC19="NeoPanamax",ABQ19,AAC19="Suezmax",ABJ19,AAC19="Capesize",ABC19,AAC19="VLOC",AAV19)))))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H19" s="136" t="e">
        <f t="array" aca="1" ref="AEH19" ca="1">INDEX(Canals!$W$24:$W$29,MATCH(2,1/((Canals!$F$24:$F$29&lt;=$C19)*(Canals!$G$24:$G$29=_xlfn.IFS(AAC19="Handysize",Main!ACL19,AAC19="Supramax",ACE19,AAC19="Panamax",ABX19,AAC19="NeoPanamax",ABQ19,AAC19="Suezmax",ABJ19,AAC19="Capesize",ABC19,AAC19="VLOC",AAV19)))))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I19" s="136" t="e">
        <f t="array" aca="1" ref="AEI19" ca="1">INDEX(Canals!$X$24:$X$29,MATCH(2,1/((Canals!$F$24:$F$29&lt;=$C19)*(Canals!$G$24:$G$29=_xlfn.IFS(AAC19="Handysize",Main!ACL19,AAC19="Supramax",ACE19,AAC19="Panamax",ABX19,AAC19="NeoPanamax",ABQ19,AAC19="Suezmax",ABJ19,AAC19="Capesize",ABC19,AAC19="VLOC",AAV19)))))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J19" s="136" t="e">
        <f t="array" aca="1" ref="AEJ19" ca="1">INDEX(Canals!$Y$24:$Y$29,MATCH(2,1/((Canals!$F$24:$F$29&lt;=$C19)*(Canals!$G$24:$G$29=_xlfn.IFS(AAC19="Handysize",Main!ACL19,AAC19="Supramax",ACE19,AAC19="Panamax",ABX19,AAC19="NeoPanamax",ABQ19,AAC19="Suezmax",ABJ19,AAC19="Capesize",ABC19,AAC19="VLOC",AAV19)))))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K19" s="136" t="e">
        <f t="array" aca="1" ref="AEK19" ca="1">INDEX(Canals!$Z$24:$Z$29,MATCH(2,1/((Canals!$F$24:$F$29&lt;=$C19)*(Canals!$G$24:$G$29=_xlfn.IFS(AAC19="Handysize",Main!ACL19,AAC19="Supramax",ACE19,AAC19="Panamax",ABX19,AAC19="NeoPanamax",ABQ19,AAC19="Suezmax",ABJ19,AAC19="Capesize",ABC19,AAC19="VLOC",AAV19)))))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L19" s="136" t="e">
        <f t="array" aca="1" ref="AEL19" ca="1">INDEX(Canals!$AA$24:$AA$29,MATCH(2,1/((Canals!$F$24:$F$29&lt;=$C19)*(Canals!$G$24:$G$29=_xlfn.IFS(AAC19="Handysize",Main!ACL19,AAC19="Supramax",ACE19,AAC19="Panamax",ABX19,AAC19="NeoPanamax",ABQ19,AAC19="Suezmax",ABJ19,AAC19="Capesize",ABC19,AAC19="VLOC",AAV19)))))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M19" s="136" t="e">
        <f t="array" aca="1" ref="AEM19" ca="1">INDEX(Canals!$AB$24:$AB$29,MATCH(2,1/((Canals!$F$24:$F$29&lt;=$C19)*(Canals!$G$24:$G$29=_xlfn.IFS(AAC19="Handysize",Main!ACL19,AAC19="Supramax",ACE19,AAC19="Panamax",ABX19,AAC19="NeoPanamax",ABQ19,AAC19="Suezmax",ABJ19,AAC19="Capesize",ABC19,AAC19="VLOC",AAV19)))))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N19" s="75" t="e">
        <f t="array" aca="1" ref="AEN19" ca="1">INDEX(Canals!$AC$24:$AC$29,MATCH(2,1/((Canals!$F$24:$F$29&lt;=$C19)*(Canals!$G$24:$G$29=_xlfn.IFS(AAC19="Handysize",Main!ACL19,AAC19="Supramax",ACE19,AAC19="Panamax",ABX19,AAC19="NeoPanamax",ABQ19,AAC19="Suezmax",ABJ19,AAC19="Capesize",ABC19,AAC19="VLOC",AAV19)))))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O19" s="75" t="e">
        <f t="array" aca="1" ref="AEO19" ca="1">INDEX(Canals!$AD$24:$AD$29,MATCH(2,1/((Canals!$F$24:$F$29&lt;=$C19)*(Canals!$G$24:$G$29=_xlfn.IFS(AAC19="Handysize",Main!ACL19,AAC19="Supramax",ACE19,AAC19="Panamax",ABX19,AAC19="NeoPanamax",ABQ19,AAC19="Suezmax",ABJ19,AAC19="Capesize",ABC19,AAC19="VLOC",AAV19)))))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P19" s="75" t="e">
        <f t="array" aca="1" ref="AEP19" ca="1">INDEX(Canals!$AE$24:$AE$29,MATCH(2,1/((Canals!$F$24:$F$29&lt;=$C19)*(Canals!$G$24:$G$29=_xlfn.IFS(AAC19="Handysize",Main!ACL19,AAC19="Supramax",ACE19,AAC19="Panamax",ABX19,AAC19="NeoPanamax",ABQ19,AAC19="Suezmax",ABJ19,AAC19="Capesize",ABC19,AAC19="VLOC",AAV19)))))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Q19" s="75" t="e">
        <f t="array" aca="1" ref="AEQ19" ca="1">INDEX(Canals!$AF$24:$AF$29,MATCH(2,1/((Canals!$F$24:$F$29&lt;=$C19)*(Canals!$G$24:$G$29=_xlfn.IFS(AAC19="Handysize",Main!ACL19,AAC19="Supramax",ACE19,AAC19="Panamax",ABX19,AAC19="NeoPanamax",ABQ19,AAC19="Suezmax",ABJ19,AAC19="Capesize",ABC19,AAC19="VLOC",AAV19)))))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R19" s="75" t="e">
        <f t="array" aca="1" ref="AER19" ca="1">INDEX(Canals!$AG$24:$AG$29,MATCH(2,1/((Canals!$F$24:$F$29&lt;=$C19)*(Canals!$G$24:$G$29=_xlfn.IFS(AAC19="Handysize",Main!ACL19,AAC19="Supramax",ACE19,AAC19="Panamax",ABX19,AAC19="NeoPanamax",ABQ19,AAC19="Suezmax",ABJ19,AAC19="Capesize",ABC19,AAC19="VLOC",AAV19)))))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S19" s="75" t="e">
        <f t="array" aca="1" ref="AES19" ca="1">INDEX(Canals!$AH$24:$AH$29,MATCH(2,1/((Canals!$F$24:$F$29&lt;=$C19)*(Canals!$G$24:$G$29=_xlfn.IFS(AAC19="Handysize",Main!ACL19,AAC19="Supramax",ACE19,AAC19="Panamax",ABX19,AAC19="NeoPanamax",ABQ19,AAC19="Suezmax",ABJ19,AAC19="Capesize",ABC19,AAC19="VLOC",AAV19)))))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T19" s="75" t="e">
        <f t="array" aca="1" ref="AET19" ca="1">INDEX(Canals!$AI$24:$AI$29,MATCH(2,1/((Canals!$F$24:$F$29&lt;=$C19)*(Canals!$G$24:$G$29=_xlfn.IFS(AAC19="Handysize",Main!ACL19,AAC19="Supramax",ACE19,AAC19="Panamax",ABX19,AAC19="NeoPanamax",ABQ19,AAC19="Suezmax",ABJ19,AAC19="Capesize",ABC19,AAC19="VLOC",AAV19)))))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U19" s="75" t="e">
        <f t="array" aca="1" ref="AEU19" ca="1">INDEX(Canals!$AJ$24:$AJ$29,MATCH(2,1/((Canals!$F$24:$F$29&lt;=$C19)*(Canals!$G$24:$G$29=_xlfn.IFS(AAC19="Handysize",Main!ACL19,AAC19="Supramax",ACE19,AAC19="Panamax",ABX19,AAC19="NeoPanamax",ABQ19,AAC19="Suezmax",ABJ19,AAC19="Capesize",ABC19,AAC19="VLOC",AAV19)))))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V19" s="75" t="e">
        <f t="array" aca="1" ref="AEV19" ca="1">INDEX(Canals!$AK$24:$AK$29,MATCH(2,1/((Canals!$F$24:$F$29&lt;=$C19)*(Canals!$G$24:$G$29=_xlfn.IFS(AAC19="Handysize",Main!ACL19,AAC19="Supramax",ACE19,AAC19="Panamax",ABX19,AAC19="NeoPanamax",ABQ19,AAC19="Suezmax",ABJ19,AAC19="Capesize",ABC19,AAC19="VLOC",AAV19)))))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W19" s="136" t="e">
        <f t="array" aca="1" ref="AEW19" ca="1">INDEX(Canals!$AL$24:$AL$29,MATCH(2,1/((Canals!$F$24:$F$29&lt;=$C19)*(Canals!$G$24:$G$29=_xlfn.IFS(AAC19="Handysize",Main!ACL19,AAC19="Supramax",ACE19,AAC19="Panamax",ABX19,AAC19="NeoPanamax",ABQ19,AAC19="Suezmax",ABJ19,AAC19="Capesize",ABC19,AAC19="VLOC",AAV19)))))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X19" s="136" t="e">
        <f t="array" aca="1" ref="AEX19" ca="1">INDEX(Canals!$AM$24:$AM$29,MATCH(2,1/((Canals!$F$24:$F$29&lt;=$C19)*(Canals!$G$24:$G$29=_xlfn.IFS(AAC19="Handysize",Main!ACL19,AAC19="Supramax",ACE19,AAC19="Panamax",ABX19,AAC19="NeoPanamax",ABQ19,AAC19="Suezmax",ABJ19,AAC19="Capesize",ABC19,AAC19="VLOC",AAV19)))))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Y19" s="136" t="e">
        <f t="array" aca="1" ref="AEY19" ca="1">INDEX(Canals!$AN$24:$AN$29,MATCH(2,1/((Canals!$F$24:$F$29&lt;=$C19)*(Canals!$G$24:$G$29=_xlfn.IFS(AAC19="Handysize",Main!ACL19,AAC19="Supramax",ACE19,AAC19="Panamax",ABX19,AAC19="NeoPanamax",ABQ19,AAC19="Suezmax",ABJ19,AAC19="Capesize",ABC19,AAC19="VLOC",AAV19)))))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EZ19" s="136" t="e">
        <f t="array" aca="1" ref="AEZ19" ca="1">INDEX(Canals!$AO$24:$AO$29,MATCH(2,1/((Canals!$F$24:$F$29&lt;=$C19)*(Canals!$G$24:$G$29=_xlfn.IFS(AAC19="Handysize",Main!ACL19,AAC19="Supramax",ACE19,AAC19="Panamax",ABX19,AAC19="NeoPanamax",ABQ19,AAC19="Suezmax",ABJ19,AAC19="Capesize",ABC19,AAC19="VLOC",AAV19)))))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A19" s="136" t="e">
        <f t="array" aca="1" ref="AFA19" ca="1">INDEX(Canals!$AP$24:$AP$29,MATCH(2,1/((Canals!$F$24:$F$29&lt;=$C19)*(Canals!$G$24:$G$29=_xlfn.IFS(AAC19="Handysize",Main!ACL19,AAC19="Supramax",ACE19,AAC19="Panamax",ABX19,AAC19="NeoPanamax",ABQ19,AAC19="Suezmax",ABJ19,AAC19="Capesize",ABC19,AAC19="VLOC",AAV19)))))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B19" s="136" t="e">
        <f t="array" aca="1" ref="AFB19" ca="1">INDEX(Canals!$AQ$24:$AQ$29,MATCH(2,1/((Canals!$F$24:$F$29&lt;=$C19)*(Canals!$G$24:$G$29=_xlfn.IFS(AAC19="Handysize",Main!ACL19,AAC19="Supramax",ACE19,AAC19="Panamax",ABX19,AAC19="NeoPanamax",ABQ19,AAC19="Suezmax",ABJ19,AAC19="Capesize",ABC19,AAC19="VLOC",AAV19)))))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C19" s="136" t="e">
        <f t="array" aca="1" ref="AFC19" ca="1">INDEX(Canals!$AR$24:$AR$29,MATCH(2,1/((Canals!$F$24:$F$29&lt;=$C19)*(Canals!$G$24:$G$29=_xlfn.IFS(AAC19="Handysize",Main!ACL19,AAC19="Supramax",ACE19,AAC19="Panamax",ABX19,AAC19="NeoPanamax",ABQ19,AAC19="Suezmax",ABJ19,AAC19="Capesize",ABC19,AAC19="VLOC",AAV19)))))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D19" s="136" t="e">
        <f t="array" aca="1" ref="AFD19" ca="1">INDEX(Canals!$AS$24:$AS$29,MATCH(2,1/((Canals!$F$24:$F$29&lt;=$C19)*(Canals!$G$24:$G$29=_xlfn.IFS(AAC19="Handysize",Main!ACL19,AAC19="Supramax",ACE19,AAC19="Panamax",ABX19,AAC19="NeoPanamax",ABQ19,AAC19="Suezmax",ABJ19,AAC19="Capesize",ABC19,AAC19="VLOC",AAV19)))))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E19" s="136" t="e">
        <f t="array" aca="1" ref="AFE19" ca="1">INDEX(Canals!$AT$24:$AT$29,MATCH(2,1/((Canals!$F$24:$F$29&lt;=$C19)*(Canals!$G$24:$G$29=_xlfn.IFS(AAC19="Handysize",Main!ACL19,AAC19="Supramax",ACE19,AAC19="Panamax",ABX19,AAC19="NeoPanamax",ABQ19,AAC19="Suezmax",ABJ19,AAC19="Capesize",ABC19,AAC19="VLOC",AAV19)))))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F19" s="136" t="e">
        <f t="array" aca="1" ref="AFF19" ca="1">INDEX(Canals!$AU$24:$AU$29,MATCH(2,1/((Canals!$F$24:$F$29&lt;=$C19)*(Canals!$G$24:$G$29=_xlfn.IFS(AAC19="Handysize",Main!ACL19,AAC19="Supramax",ACE19,AAC19="Panamax",ABX19,AAC19="NeoPanamax",ABQ19,AAC19="Suezmax",ABJ19,AAC19="Capesize",ABC19,AAC19="VLOC",AAV19)))))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G19" s="136" t="e">
        <f t="array" aca="1" ref="AFG19" ca="1">INDEX(Canals!$AV$24:$AV$29,MATCH(2,1/((Canals!$F$24:$F$29&lt;=$C19)*(Canals!$G$24:$G$29=_xlfn.IFS(AAC19="Handysize",Main!ACL19,AAC19="Supramax",ACE19,AAC19="Panamax",ABX19,AAC19="NeoPanamax",ABQ19,AAC19="Suezmax",ABJ19,AAC19="Capesize",ABC19,AAC19="VLOC",AAV19)))))</f>
        <v>#N/A</v>
      </c>
      <c r="AFI19" s="75" t="e">
        <f t="array" aca="1" ref="AFI19" ca="1">_xlfn.IFS(ADT19="DWT",AAA19,ADT19="NRT",AAE19,ADT19="GRT",AAF19)</f>
        <v>#NAME?</v>
      </c>
      <c r="AFJ19" s="279" t="e">
        <f t="shared" ca="1" si="176"/>
        <v>#NAME?</v>
      </c>
      <c r="AFK19" s="280" t="e">
        <f t="shared" ca="1" si="177"/>
        <v>#NAME?</v>
      </c>
      <c r="AFL19" s="280" t="e">
        <f t="shared" ca="1" si="178"/>
        <v>#NAME?</v>
      </c>
      <c r="AFM19" s="280" t="e">
        <f t="shared" ca="1" si="179"/>
        <v>#NAME?</v>
      </c>
      <c r="AFN19" s="280" t="e">
        <f t="shared" ca="1" si="180"/>
        <v>#NAME?</v>
      </c>
      <c r="AFO19" s="280" t="e">
        <f t="shared" ca="1" si="181"/>
        <v>#NAME?</v>
      </c>
      <c r="AFP19" s="280" t="e">
        <f t="shared" ca="1" si="182"/>
        <v>#NAME?</v>
      </c>
      <c r="AFQ19" s="280" t="e">
        <f t="shared" ca="1" si="183"/>
        <v>#NAME?</v>
      </c>
      <c r="AFR19" s="280" t="e">
        <f t="shared" ca="1" si="184"/>
        <v>#NAME?</v>
      </c>
      <c r="AFS19" s="75">
        <f t="shared" si="185"/>
        <v>61912.5</v>
      </c>
      <c r="AFT19" s="279" t="e">
        <f t="shared" ca="1" si="186"/>
        <v>#N/A</v>
      </c>
      <c r="AFU19" s="280" t="e">
        <f t="shared" ca="1" si="187"/>
        <v>#N/A</v>
      </c>
      <c r="AFV19" s="280" t="e">
        <f t="shared" ca="1" si="188"/>
        <v>#N/A</v>
      </c>
      <c r="AFW19" s="280" t="e">
        <f t="shared" ca="1" si="189"/>
        <v>#N/A</v>
      </c>
      <c r="AFX19" s="280" t="e">
        <f t="shared" ca="1" si="190"/>
        <v>#N/A</v>
      </c>
      <c r="AFY19" s="280" t="e">
        <f t="shared" ca="1" si="191"/>
        <v>#N/A</v>
      </c>
      <c r="AFZ19" s="280" t="e">
        <f t="shared" ca="1" si="192"/>
        <v>#N/A</v>
      </c>
      <c r="AGA19" s="280" t="e">
        <f t="shared" ca="1" si="193"/>
        <v>#N/A</v>
      </c>
      <c r="AGB19" s="280" t="e">
        <f t="shared" ca="1" si="194"/>
        <v>#N/A</v>
      </c>
      <c r="AGD19" s="75" t="e">
        <f t="array" aca="1" ref="AGD19" ca="1">_xlfn.IFS(AAC19="Handysize",Main!ACF19,AAC19="Supramax",ABY19,AAC19="Panamax",ABR19,AAC19="NeoPanamax",ABK19,AAC19="Suezmax",ABD19,AAC19="Capesize",AAW19,AAC19="VLOC",AAP19)*$JI19</f>
        <v>#NAME?</v>
      </c>
      <c r="AGE19" s="274" t="e">
        <f t="array" aca="1" ref="AGE19" ca="1">_xlfn.IFS(AAC19="Handysize",Main!ACG19,AAC19="Supramax",ABZ19,AAC19="Panamax",ABS19,AAC19="NeoPanamax",ABL19,AAC19="Suezmax",ABE19,AAC19="Capesize",AAX19,AAC19="VLOC",AAQ19)*$JI19</f>
        <v>#NAME?</v>
      </c>
      <c r="AGF19" s="71" t="e">
        <f t="array" aca="1" ref="AGF19" ca="1">_xlfn.IFS(AAC19="Handysize",Main!AAH19,AAC19="Supramax",AAI19,AAC19="Panamax",AAJ19,AAC19="NeoPanamax",AAK19,AAC19="Suezmax",AAL19,AAC19="Capesize",AAM19,AAC19="VLOC",AAN19)</f>
        <v>#NAME?</v>
      </c>
      <c r="AGG19" s="71" t="e">
        <f t="array" aca="1" ref="AGG19" ca="1">_xlfn.IFS(AAC19="Handysize",Main!ACT19,AAC19="Supramax",ACU19,AAC19="Panamax",ACV19,AAC19="NeoPanamax",ACW19,AAC19="Suezmax",ACX19,AAC19="Capesize",ACY19,AAC19="VLOC",ACZ19)</f>
        <v>#NAME?</v>
      </c>
      <c r="AGH19" s="70">
        <f t="array" ref="AGH19">INDEX('Ship Speeds'!$G$11:$G$1011,MATCH(2,1/(('Ship Speeds'!$E$11:$E$1011&lt;=Main!$C19)*('Ship Speeds'!$F$11:$F$1011=Main!AAB19))))</f>
        <v>11</v>
      </c>
      <c r="AGI19" s="403">
        <f t="shared" si="195"/>
        <v>18.663243921562554</v>
      </c>
      <c r="AGJ19" s="401">
        <f t="shared" si="196"/>
        <v>1.87818</v>
      </c>
      <c r="AGK19" s="70" t="e">
        <f t="shared" ca="1" si="197"/>
        <v>#NAME?</v>
      </c>
      <c r="AGL19" s="70" t="e">
        <f t="shared" ca="1" si="198"/>
        <v>#NAME?</v>
      </c>
      <c r="AGM19" s="70" t="e">
        <f t="shared" ca="1" si="199"/>
        <v>#NAME?</v>
      </c>
      <c r="AGN19" s="70" t="e">
        <f t="shared" ca="1" si="200"/>
        <v>#NAME?</v>
      </c>
      <c r="AGO19" s="72" t="e">
        <f t="shared" ca="1" si="201"/>
        <v>#N/A</v>
      </c>
      <c r="AGP19" s="70" t="e">
        <f t="shared" ca="1" si="202"/>
        <v>#NAME?</v>
      </c>
      <c r="AGQ19" s="70" t="e">
        <f t="array" aca="1" ref="AGQ19" ca="1">INDEX(ACN19:ACR19,MATCH(_xlfn.IFS(AAC19="Handysize",Main!ACJ19,AAC19="Supramax",ACC19,AAC19="Panamax",ABV19,AAC19="NeoPanamax",ABO19,AAC19="Suezmax",ABH19,AAC19="Capesize",ABA19,AAC19="VLOC",AAT19),$ACN$7:$ACR$7,0))</f>
        <v>#NAME?</v>
      </c>
      <c r="AGR19" s="70" t="e">
        <f t="array" aca="1" ref="AGR19" ca="1">INDEX(ACN19:ACR19,MATCH(_xlfn.IFS(AAC19="Handysize",Main!ACK19,AAC19="Supramax",ACD19,AAC19="Panamax",ABW19,AAC19="NeoPanamax",ABP19,AAC19="Suezmax",ABI19,AAC19="Capesize",ABB19,AAC19="VLOC",AAU19),$ACN$7:$ACR$7,0))</f>
        <v>#NAME?</v>
      </c>
      <c r="AGS19" s="71" t="e">
        <f t="shared" ca="1" si="203"/>
        <v>#NAME?</v>
      </c>
      <c r="AGT19" s="71" t="e">
        <f t="shared" ca="1" si="204"/>
        <v>#NAME?</v>
      </c>
      <c r="AGU19" s="281">
        <f t="shared" si="205"/>
        <v>7.0759999999999987</v>
      </c>
      <c r="AGV19" s="71">
        <f t="shared" si="206"/>
        <v>1744.2057659694747</v>
      </c>
      <c r="AGW19" s="71" t="e">
        <f t="shared" ca="1" si="207"/>
        <v>#NAME?</v>
      </c>
      <c r="AGX19" s="71" t="e">
        <f t="shared" ca="1" si="208"/>
        <v>#NAME?</v>
      </c>
      <c r="AGY19" s="71">
        <f t="shared" si="209"/>
        <v>23099.067269643871</v>
      </c>
      <c r="AGZ19" s="71" t="e">
        <f t="shared" ca="1" si="210"/>
        <v>#NAME?</v>
      </c>
      <c r="AHA19" s="71" t="e">
        <f t="shared" ca="1" si="211"/>
        <v>#NAME?</v>
      </c>
      <c r="AHB19" s="71">
        <f t="shared" si="212"/>
        <v>16399.09934991521</v>
      </c>
      <c r="AHC19" s="71" t="e">
        <f t="shared" ca="1" si="213"/>
        <v>#NAME?</v>
      </c>
      <c r="AHD19" s="71" t="e">
        <f t="shared" ca="1" si="214"/>
        <v>#NAME?</v>
      </c>
      <c r="AHE19" s="71">
        <f t="shared" si="215"/>
        <v>0</v>
      </c>
      <c r="AHF19" s="71" t="e">
        <f t="shared" ca="1" si="216"/>
        <v>#NAME?</v>
      </c>
      <c r="AHG19" s="71" t="e">
        <f t="shared" ca="1" si="217"/>
        <v>#NAME?</v>
      </c>
      <c r="AHH19" s="72">
        <f t="shared" si="218"/>
        <v>5605.0202798191067</v>
      </c>
      <c r="AHI19" s="72" t="e">
        <f t="shared" ca="1" si="219"/>
        <v>#NAME?</v>
      </c>
      <c r="AHJ19" s="71" t="e">
        <f t="shared" ca="1" si="220"/>
        <v>#NAME?</v>
      </c>
      <c r="AHK19" s="71" t="e">
        <f t="array" aca="1" ref="AHK19" ca="1">INDEX('Ship Time Charter Rates'!$H$22:$H$1021,MATCH(2,1/(('Ship Time Charter Rates'!$G$22:$G$1021=_xlfn.IFS(AAC19="Handysize",Main!ACH19,AAC19="Supramax",ACA19,AAC19="Panamax",ABT19,AAC19="NeoPanamax",ABM19,AAC19="Suezmax",ABF19,AAC19="Capesize",AAY19,AAC19="VLOC",AAR19))*('Ship Time Charter Rates'!$E$22:$E$1021&lt;=Main!$C19)*(NOT(ISBLANK('Ship Time Charter Rates'!$H$22:$H$1021))))))</f>
        <v>#N/A</v>
      </c>
      <c r="AHL19" s="71" t="e">
        <f t="shared" ca="1" si="221"/>
        <v>#NAME?</v>
      </c>
      <c r="AHM19" s="70" t="e">
        <f t="shared" ca="1" si="222"/>
        <v>#N/A</v>
      </c>
      <c r="AHN19" s="71" t="e">
        <f t="shared" ca="1" si="223"/>
        <v>#NAME?</v>
      </c>
      <c r="AHO19" s="71" t="e">
        <f t="shared" ca="1" si="306"/>
        <v>#NAME?</v>
      </c>
      <c r="AHP19" s="72" t="e">
        <f t="shared" ca="1" si="307"/>
        <v>#NAME?</v>
      </c>
      <c r="AHR19" s="25">
        <f t="shared" si="323"/>
        <v>0</v>
      </c>
      <c r="AHS19" s="4" t="str">
        <f>VLOOKUP(AHR19,'Ship Time Charter Rates'!$F$10:$G$17,2,TRUE)</f>
        <v>Handysize</v>
      </c>
      <c r="AHT19" s="4" t="str">
        <f>VLOOKUP(AHR19,Canals!$E$5:$F$12,2,TRUE)</f>
        <v>Handysize</v>
      </c>
      <c r="AHU19" s="25">
        <f t="shared" si="224"/>
        <v>145.88999999999999</v>
      </c>
      <c r="AHV19" s="25">
        <f t="shared" si="225"/>
        <v>0</v>
      </c>
      <c r="AHW19" s="25">
        <f t="shared" si="226"/>
        <v>4797</v>
      </c>
      <c r="AHY19" s="75">
        <f t="array" ref="AHY19">INDEX('Indices Mines Exporting Ports'!$R$20:$R$51,MATCH(2,1/(('Indices Mines Exporting Ports'!$D$20:$D$51&lt;=Main!$C19)*('Indices Mines Exporting Ports'!$Q$20:$Q$51=$AQ19))))</f>
        <v>0</v>
      </c>
      <c r="AHZ19" s="75">
        <f t="array" ref="AHZ19">INDEX('Indices Mines Exporting Ports'!$S$20:$S$51,MATCH(2,1/(('Indices Mines Exporting Ports'!$D$20:$D$51&lt;=Main!$C19)*('Indices Mines Exporting Ports'!$Q$20:$Q$51=$AQ19))))</f>
        <v>0</v>
      </c>
      <c r="AIA19" s="75">
        <f t="array" ref="AIA19">INDEX('Indices Mines Exporting Ports'!$T$20:$T$51,MATCH(2,1/(('Indices Mines Exporting Ports'!$D$20:$D$51&lt;=Main!$C19)*('Indices Mines Exporting Ports'!$Q$20:$Q$51=$AQ19))))</f>
        <v>0</v>
      </c>
      <c r="AIB19" s="75">
        <f t="array" ref="AIB19">INDEX('Indices Mines Exporting Ports'!$U$20:$U$51,MATCH(2,1/(('Indices Mines Exporting Ports'!$D$20:$D$51&lt;=Main!$C19)*('Indices Mines Exporting Ports'!$Q$20:$Q$51=$AQ19))))</f>
        <v>0</v>
      </c>
      <c r="AIC19" s="75">
        <f t="array" ref="AIC19">INDEX('Indices Mines Exporting Ports'!$V$20:$V$51,MATCH(2,1/(('Indices Mines Exporting Ports'!$D$20:$D$51&lt;=Main!$C19)*('Indices Mines Exporting Ports'!$Q$20:$Q$51=$AQ19))))</f>
        <v>0</v>
      </c>
      <c r="AID19" s="75">
        <f t="array" ref="AID19">INDEX('Indices Mines Exporting Ports'!$W$20:$W$51,MATCH(2,1/(('Indices Mines Exporting Ports'!$D$20:$D$51&lt;=Main!$C19)*('Indices Mines Exporting Ports'!$Q$20:$Q$51=$AQ19))))</f>
        <v>0</v>
      </c>
      <c r="AIE19" s="75">
        <f t="array" ref="AIE19">INDEX('Indices Mines Exporting Ports'!$X$20:$X$51,MATCH(2,1/(('Indices Mines Exporting Ports'!$D$20:$D$51&lt;=Main!$C19)*('Indices Mines Exporting Ports'!$Q$20:$Q$51=$AQ19))))</f>
        <v>0</v>
      </c>
      <c r="AIG19" s="75">
        <f t="array" ref="AIG19">INDEX('Port Linkages'!$E$18:$E$157,MATCH(2,1/(('Port Linkages'!$C$18:$C$157=$AQ19)*('Port Linkages'!$D$18:$D$157=IF($AO19="no",$AQ19,$KK19))*('Port Linkages'!$A$18:$A$157&lt;=$C19))))</f>
        <v>0</v>
      </c>
      <c r="AIH19" s="75">
        <f t="array" ref="AIH19">INDEX('Port Linkages'!$F$18:$F$157,MATCH(2,1/(('Port Linkages'!$C$18:$C$157=$AQ19)*('Port Linkages'!$D$18:$D$157=IF($AO19="no",$AQ19,$KK19))*('Port Linkages'!$A$18:$A$157&lt;=$C19))))</f>
        <v>0</v>
      </c>
      <c r="AII19" s="75">
        <f t="array" ref="AII19">INDEX('Port Linkages'!$G$18:$G$157,MATCH(2,1/(('Port Linkages'!$C$18:$C$157=$AQ19)*('Port Linkages'!$D$18:$D$157=IF($AO19="no",$AQ19,$KK19))*('Port Linkages'!$A$18:$A$157&lt;=$C19))))</f>
        <v>0</v>
      </c>
      <c r="AIJ19" s="75">
        <f t="array" ref="AIJ19">INDEX('Port Linkages'!$H$18:$H$157,MATCH(2,1/(('Port Linkages'!$C$18:$C$157=$AQ19)*('Port Linkages'!$D$18:$D$157=IF($AO19="no",$AQ19,$KK19))*('Port Linkages'!$A$18:$A$157&lt;=$C19))))</f>
        <v>0</v>
      </c>
      <c r="AIK19" s="75">
        <f t="array" ref="AIK19">INDEX('Port Linkages'!$I$18:$I$157,MATCH(2,1/(('Port Linkages'!$C$18:$C$157=$AQ19)*('Port Linkages'!$D$18:$D$157=IF($AO19="no",$AQ19,$KK19))*('Port Linkages'!$A$18:$A$157&lt;=$C19))))</f>
        <v>0</v>
      </c>
      <c r="AIL19" s="75">
        <f t="array" ref="AIL19">INDEX('Port Linkages'!$J$18:$J$157,MATCH(2,1/(('Port Linkages'!$C$18:$C$157=$AQ19)*('Port Linkages'!$D$18:$D$157=IF($AO19="no",$AQ19,$KK19))*('Port Linkages'!$A$18:$A$157&lt;=$C19))))</f>
        <v>0</v>
      </c>
      <c r="AIM19" s="75">
        <f t="array" ref="AIM19">INDEX('Port Linkages'!$K$18:$K$157,MATCH(2,1/(('Port Linkages'!$C$18:$C$157=$AQ19)*('Port Linkages'!$D$18:$D$157=IF($AO19="no",$AQ19,$KK19))*('Port Linkages'!$A$18:$A$157&lt;=$C19))))</f>
        <v>0</v>
      </c>
      <c r="AIN19" s="75">
        <f t="array" ref="AIN19">INDEX('Port Linkages'!$L$18:$L$157,MATCH(2,1/(('Port Linkages'!$C$18:$C$157=$AQ19)*('Port Linkages'!$D$18:$D$157=IF($AO19="no",$AQ19,$KK19))*('Port Linkages'!$A$18:$A$157&lt;=$C19))))</f>
        <v>0</v>
      </c>
      <c r="AIO19" s="75">
        <f t="array" ref="AIO19">INDEX('Port Linkages'!$M$18:$M$157,MATCH(2,1/(('Port Linkages'!$C$18:$C$157=$AQ19)*('Port Linkages'!$D$18:$D$157=IF($AO19="no",$AQ19,$KK19))*('Port Linkages'!$A$18:$A$157&lt;=$C19))))</f>
        <v>0</v>
      </c>
      <c r="AIP19" s="75">
        <f t="array" ref="AIP19">INDEX('Port Linkages'!$N$18:$N$157,MATCH(2,1/(('Port Linkages'!$C$18:$C$157=$AQ19)*('Port Linkages'!$D$18:$D$157=IF($AO19="no",$AQ19,$KK19))*('Port Linkages'!$A$18:$A$157&lt;=$C19))))</f>
        <v>0</v>
      </c>
      <c r="AIQ19" s="75">
        <f t="array" ref="AIQ19">INDEX('Port Linkages'!$O$18:$O$157,MATCH(2,1/(('Port Linkages'!$C$18:$C$157=$AQ19)*('Port Linkages'!$D$18:$D$157=IF($AO19="no",$AQ19,$KK19))*('Port Linkages'!$A$18:$A$157&lt;=$C19))))</f>
        <v>0</v>
      </c>
      <c r="AIR19" s="75">
        <f t="array" ref="AIR19">INDEX('Port Linkages'!$P$18:$P$157,MATCH(2,1/(('Port Linkages'!$C$18:$C$157=$AQ19)*('Port Linkages'!$D$18:$D$157=IF($AO19="no",$AQ19,$KK19))*('Port Linkages'!$A$18:$A$157&lt;=$C19))))</f>
        <v>0</v>
      </c>
      <c r="AIS19" s="75">
        <f t="array" ref="AIS19">INDEX('Port Linkages'!$Q$18:$Q$157,MATCH(2,1/(('Port Linkages'!$C$18:$C$157=$AQ19)*('Port Linkages'!$D$18:$D$157=IF($AO19="no",$AQ19,$KK19))*('Port Linkages'!$A$18:$A$157&lt;=$C19))))</f>
        <v>0</v>
      </c>
      <c r="AIT19" s="75">
        <f t="array" ref="AIT19">INDEX('Port Linkages'!$R$18:$R$157,MATCH(2,1/(('Port Linkages'!$C$18:$C$157=$AQ19)*('Port Linkages'!$D$18:$D$157=IF($AO19="no",$AQ19,$KK19))*('Port Linkages'!$A$18:$A$157&lt;=$C19))))</f>
        <v>0</v>
      </c>
      <c r="AIU19" s="75">
        <f t="array" ref="AIU19">INDEX('Port Linkages'!$S$18:$S$157,MATCH(2,1/(('Port Linkages'!$C$18:$C$157=$AQ19)*('Port Linkages'!$D$18:$D$157=IF($AO19="no",$AQ19,$KK19))*('Port Linkages'!$A$18:$A$157&lt;=$C19))))</f>
        <v>0</v>
      </c>
      <c r="AIV19" s="75">
        <f t="array" ref="AIV19">INDEX('Port Linkages'!$T$18:$T$157,MATCH(2,1/(('Port Linkages'!$C$18:$C$157=$AQ19)*('Port Linkages'!$D$18:$D$157=IF($AO19="no",$AQ19,$KK19))*('Port Linkages'!$A$18:$A$157&lt;=$C19))))</f>
        <v>0</v>
      </c>
      <c r="AIW19" s="75">
        <f t="array" ref="AIW19">INDEX('Port Linkages'!$U$18:$U$157,MATCH(2,1/(('Port Linkages'!$C$18:$C$157=$AQ19)*('Port Linkages'!$D$18:$D$157=IF($AO19="no",$AQ19,$KK19))*('Port Linkages'!$A$18:$A$157&lt;=$C19))))</f>
        <v>0</v>
      </c>
      <c r="AIX19" s="75">
        <f t="array" ref="AIX19">INDEX('Port Linkages'!$V$18:$V$157,MATCH(2,1/(('Port Linkages'!$C$18:$C$157=$AQ19)*('Port Linkages'!$D$18:$D$157=IF($AO19="no",$AQ19,$KK19))*('Port Linkages'!$A$18:$A$157&lt;=$C19))))</f>
        <v>0</v>
      </c>
      <c r="AIY19" s="75">
        <f t="array" ref="AIY19">INDEX('Port Linkages'!$W$18:$W$157,MATCH(2,1/(('Port Linkages'!$C$18:$C$157=$AQ19)*('Port Linkages'!$D$18:$D$157=IF($AO19="no",$AQ19,$KK19))*('Port Linkages'!$A$18:$A$157&lt;=$C19))))</f>
        <v>0</v>
      </c>
      <c r="AIZ19" s="75">
        <f t="array" ref="AIZ19">INDEX('Port Linkages'!$X$18:$X$157,MATCH(2,1/(('Port Linkages'!$C$18:$C$157=$AQ19)*('Port Linkages'!$D$18:$D$157=IF($AO19="no",$AQ19,$KK19))*('Port Linkages'!$A$18:$A$157&lt;=$C19))))</f>
        <v>0</v>
      </c>
      <c r="AJA19" s="75">
        <f t="array" ref="AJA19">INDEX('Port Linkages'!$Y$18:$Y$157,MATCH(2,1/(('Port Linkages'!$C$18:$C$157=$AQ19)*('Port Linkages'!$D$18:$D$157=IF($AO19="no",$AQ19,$KK19))*('Port Linkages'!$A$18:$A$157&lt;=$C19))))</f>
        <v>0</v>
      </c>
      <c r="AJB19" s="75">
        <f t="array" ref="AJB19">INDEX('Port Linkages'!$Z$18:$Z$157,MATCH(2,1/(('Port Linkages'!$C$18:$C$157=$AQ19)*('Port Linkages'!$D$18:$D$157=IF($AO19="no",$AQ19,$KK19))*('Port Linkages'!$A$18:$A$157&lt;=$C19))))</f>
        <v>0</v>
      </c>
      <c r="AJC19" s="75">
        <f t="array" ref="AJC19">INDEX('Port Linkages'!$AA$18:$AA$157,MATCH(2,1/(('Port Linkages'!$C$18:$C$157=$AQ19)*('Port Linkages'!$D$18:$D$157=IF($AO19="no",$AQ19,$KK19))*('Port Linkages'!$A$18:$A$157&lt;=$C19))))</f>
        <v>0</v>
      </c>
      <c r="AJD19" s="75">
        <f t="array" ref="AJD19">INDEX('Port Linkages'!$AB$18:$AB$157,MATCH(2,1/(('Port Linkages'!$C$18:$C$157=$AQ19)*('Port Linkages'!$D$18:$D$157=IF($AO19="no",$AQ19,$KK19))*('Port Linkages'!$A$18:$A$157&lt;=$C19))))</f>
        <v>0</v>
      </c>
      <c r="AJE19" s="75">
        <f t="array" ref="AJE19">INDEX('Port Linkages'!$AC$18:$AC$157,MATCH(2,1/(('Port Linkages'!$C$18:$C$157=$AQ19)*('Port Linkages'!$D$18:$D$157=IF($AO19="no",$AQ19,$KK19))*('Port Linkages'!$A$18:$A$157&lt;=$C19))))</f>
        <v>0</v>
      </c>
      <c r="AJF19" s="75">
        <f t="array" ref="AJF19">INDEX('Port Linkages'!$AD$18:$AD$157,MATCH(2,1/(('Port Linkages'!$C$18:$C$157=$AQ19)*('Port Linkages'!$D$18:$D$157=IF($AO19="no",$AQ19,$KK19))*('Port Linkages'!$A$18:$A$157&lt;=$C19))))</f>
        <v>0</v>
      </c>
      <c r="AJG19" s="75">
        <f t="array" ref="AJG19">INDEX('Port Linkages'!$AE$18:$AE$157,MATCH(2,1/(('Port Linkages'!$C$18:$C$157=$AQ19)*('Port Linkages'!$D$18:$D$157=IF($AO19="no",$AQ19,$KK19))*('Port Linkages'!$A$18:$A$157&lt;=$C19))))</f>
        <v>0</v>
      </c>
      <c r="AJH19" s="75">
        <f t="array" ref="AJH19">INDEX('Port Linkages'!$AF$18:$AF$157,MATCH(2,1/(('Port Linkages'!$C$18:$C$157=$AQ19)*('Port Linkages'!$D$18:$D$157=IF($AO19="no",$AQ19,$KK19))*('Port Linkages'!$A$18:$A$157&lt;=$C19))))</f>
        <v>0</v>
      </c>
      <c r="AJI19" s="75">
        <f t="array" ref="AJI19">INDEX('Port Linkages'!$AG$18:$AG$157,MATCH(2,1/(('Port Linkages'!$C$18:$C$157=$AQ19)*('Port Linkages'!$D$18:$D$157=IF($AO19="no",$AQ19,$KK19))*('Port Linkages'!$A$18:$A$157&lt;=$C19))))</f>
        <v>0</v>
      </c>
      <c r="AJJ19" s="75">
        <f t="array" ref="AJJ19">INDEX('Port Linkages'!$AH$18:$AH$157,MATCH(2,1/(('Port Linkages'!$C$18:$C$157=$AQ19)*('Port Linkages'!$D$18:$D$157=IF($AO19="no",$AQ19,$KK19))*('Port Linkages'!$A$18:$A$157&lt;=$C19))))</f>
        <v>0</v>
      </c>
      <c r="AJK19" s="75">
        <f t="array" ref="AJK19">INDEX('Port Linkages'!$AI$18:$AI$157,MATCH(2,1/(('Port Linkages'!$C$18:$C$157=$AQ19)*('Port Linkages'!$D$18:$D$157=IF($AO19="no",$AQ19,$KK19))*('Port Linkages'!$A$18:$A$157&lt;=$C19))))</f>
        <v>0</v>
      </c>
      <c r="AJL19" s="75">
        <f t="array" ref="AJL19">INDEX('Port Linkages'!$AJ$18:$AJ$157,MATCH(2,1/(('Port Linkages'!$C$18:$C$157=$AQ19)*('Port Linkages'!$D$18:$D$157=IF($AO19="no",$AQ19,$KK19))*('Port Linkages'!$A$18:$A$157&lt;=$C19))))</f>
        <v>0</v>
      </c>
      <c r="AJM19" s="75">
        <f t="array" ref="AJM19">INDEX('Port Linkages'!$AK$18:$AK$157,MATCH(2,1/(('Port Linkages'!$C$18:$C$157=$AQ19)*('Port Linkages'!$D$18:$D$157=IF($AO19="no",$AQ19,$KK19))*('Port Linkages'!$A$18:$A$157&lt;=$C19))))</f>
        <v>0</v>
      </c>
      <c r="AJN19" s="75">
        <f t="array" ref="AJN19">INDEX('Port Linkages'!$AL$18:$AL$157,MATCH(2,1/(('Port Linkages'!$C$18:$C$157=$AQ19)*('Port Linkages'!$D$18:$D$157=IF($AO19="no",$AQ19,$KK19))*('Port Linkages'!$A$18:$A$157&lt;=$C19))))</f>
        <v>0</v>
      </c>
      <c r="AJO19" s="75">
        <f t="array" ref="AJO19">INDEX('Port Linkages'!$AM$18:$AM$157,MATCH(2,1/(('Port Linkages'!$C$18:$C$157=$AQ19)*('Port Linkages'!$D$18:$D$157=IF($AO19="no",$AQ19,$KK19))*('Port Linkages'!$A$18:$A$157&lt;=$C19))))</f>
        <v>0</v>
      </c>
      <c r="AJP19" s="75">
        <f t="array" ref="AJP19">INDEX('Port Linkages'!$AN$18:$AN$157,MATCH(2,1/(('Port Linkages'!$C$18:$C$157=$AQ19)*('Port Linkages'!$D$18:$D$157=IF($AO19="no",$AQ19,$KK19))*('Port Linkages'!$A$18:$A$157&lt;=$C19))))</f>
        <v>0</v>
      </c>
      <c r="AJQ19" s="75">
        <f t="array" ref="AJQ19">INDEX('Port Linkages'!$AO$18:$AO$157,MATCH(2,1/(('Port Linkages'!$C$18:$C$157=$AQ19)*('Port Linkages'!$D$18:$D$157=IF($AO19="no",$AQ19,$KK19))*('Port Linkages'!$A$18:$A$157&lt;=$C19))))</f>
        <v>0</v>
      </c>
      <c r="AJR19" s="75">
        <f t="array" ref="AJR19">INDEX('Port Linkages'!$AP$18:$AP$157,MATCH(2,1/(('Port Linkages'!$C$18:$C$157=$AQ19)*('Port Linkages'!$D$18:$D$157=IF($AO19="no",$AQ19,$KK19))*('Port Linkages'!$A$18:$A$157&lt;=$C19))))</f>
        <v>0</v>
      </c>
      <c r="AJS19" s="75">
        <f t="array" ref="AJS19">INDEX('Port Linkages'!$AQ$18:$AQ$157,MATCH(2,1/(('Port Linkages'!$C$18:$C$157=$AQ19)*('Port Linkages'!$D$18:$D$157=IF($AO19="no",$AQ19,$KK19))*('Port Linkages'!$A$18:$A$157&lt;=$C19))))</f>
        <v>0</v>
      </c>
      <c r="AJT19" s="75">
        <f t="array" ref="AJT19">INDEX('Port Linkages'!$AR$18:$AR$157,MATCH(2,1/(('Port Linkages'!$C$18:$C$157=$AQ19)*('Port Linkages'!$D$18:$D$157=IF($AO19="no",$AQ19,$KK19))*('Port Linkages'!$A$18:$A$157&lt;=$C19))))</f>
        <v>0</v>
      </c>
      <c r="AJU19" s="75">
        <f t="array" ref="AJU19">INDEX('Port Linkages'!$AS$18:$AS$157,MATCH(2,1/(('Port Linkages'!$C$18:$C$157=$AQ19)*('Port Linkages'!$D$18:$D$157=IF($AO19="no",$AQ19,$KK19))*('Port Linkages'!$A$18:$A$157&lt;=$C19))))</f>
        <v>0</v>
      </c>
      <c r="AJV19" s="75">
        <f t="array" ref="AJV19">INDEX('Port Linkages'!$AT$18:$AT$157,MATCH(2,1/(('Port Linkages'!$C$18:$C$157=$AQ19)*('Port Linkages'!$D$18:$D$157=IF($AO19="no",$AQ19,$KK19))*('Port Linkages'!$A$18:$A$157&lt;=$C19))))</f>
        <v>0</v>
      </c>
      <c r="AJW19" s="75">
        <f t="array" ref="AJW19">INDEX('Port Linkages'!$AU$18:$AU$157,MATCH(2,1/(('Port Linkages'!$C$18:$C$157=$AQ19)*('Port Linkages'!$D$18:$D$157=IF($AO19="no",$AQ19,$KK19))*('Port Linkages'!$A$18:$A$157&lt;=$C19))))</f>
        <v>0</v>
      </c>
      <c r="AJX19" s="75">
        <f t="array" ref="AJX19">INDEX('Port Linkages'!$AV$18:$AV$157,MATCH(2,1/(('Port Linkages'!$C$18:$C$157=$AQ19)*('Port Linkages'!$D$18:$D$157=IF($AO19="no",$AQ19,$KK19))*('Port Linkages'!$A$18:$A$157&lt;=$C19))))</f>
        <v>0</v>
      </c>
      <c r="AJY19" s="75">
        <f t="array" ref="AJY19">INDEX('Port Linkages'!$AW$18:$AW$157,MATCH(2,1/(('Port Linkages'!$C$18:$C$157=$AQ19)*('Port Linkages'!$D$18:$D$157=IF($AO19="no",$AQ19,$KK19))*('Port Linkages'!$A$18:$A$157&lt;=$C19))))</f>
        <v>0</v>
      </c>
      <c r="AJZ19" s="75">
        <f t="array" ref="AJZ19">INDEX('Port Linkages'!$AX$18:$AX$157,MATCH(2,1/(('Port Linkages'!$C$18:$C$157=$AQ19)*('Port Linkages'!$D$18:$D$157=IF($AO19="no",$AQ19,$KK19))*('Port Linkages'!$A$18:$A$157&lt;=$C19))))</f>
        <v>0</v>
      </c>
      <c r="AKA19" s="75">
        <f t="array" ref="AKA19">INDEX('Port Linkages'!$AY$18:$AY$157,MATCH(2,1/(('Port Linkages'!$C$18:$C$157=$AQ19)*('Port Linkages'!$D$18:$D$157=IF($AO19="no",$AQ19,$KK19))*('Port Linkages'!$A$18:$A$157&lt;=$C19))))</f>
        <v>0</v>
      </c>
      <c r="AKB19" s="75">
        <f t="array" ref="AKB19">INDEX('Port Linkages'!$AZ$18:$AZ$157,MATCH(2,1/(('Port Linkages'!$C$18:$C$157=$AQ19)*('Port Linkages'!$D$18:$D$157=IF($AO19="no",$AQ19,$KK19))*('Port Linkages'!$A$18:$A$157&lt;=$C19))))</f>
        <v>0</v>
      </c>
      <c r="AKC19" s="75">
        <f t="array" ref="AKC19">INDEX('Port Linkages'!$BA$18:$BA$157,MATCH(2,1/(('Port Linkages'!$C$18:$C$157=$AQ19)*('Port Linkages'!$D$18:$D$157=IF($AO19="no",$AQ19,$KK19))*('Port Linkages'!$A$18:$A$157&lt;=$C19))))</f>
        <v>0</v>
      </c>
      <c r="AKE19" s="25" t="e">
        <f t="array" aca="1" ref="AKE19" ca="1">INDEX('Ship Fuel Prices'!$F$5:$F$1004,MATCH(2,1/(('Ship Fuel Prices'!$E$5:$E$1004=_xlfn.IFS(AHT19="Handysize",Main!AJZ19,AHT19="Supramax",AJS19,AHT19="Panamax",AJL19,AHT19="NeoPanamax",AJE19,AHT19="Suezmax",AIX19,AHT19="Capesize",AIQ19,AHT19="VLOC",AIJ19))*('Ship Fuel Prices'!$D$5:$D$1004&lt;=Main!$C19))))</f>
        <v>#N/A</v>
      </c>
      <c r="AKF19" s="25" t="e">
        <f t="array" aca="1" ref="AKF19" ca="1">INDEX('Ship Fuel Prices'!$G$5:$G$1004,MATCH(2,1/(('Ship Fuel Prices'!$E$5:$E$1004=_xlfn.IFS(AHT19="Handysize",Main!AJZ19,AHT19="Supramax",AJS19,AHT19="Panamax",AJL19,AHT19="NeoPanamax",AJE19,AHT19="Suezmax",AIX19,AHT19="Capesize",AIQ19,AHT19="VLOC",AIJ19))*('Ship Fuel Prices'!$D$5:$D$1004&lt;=Main!$C19))))</f>
        <v>#N/A</v>
      </c>
      <c r="AKG19" s="25" t="e">
        <f t="array" aca="1" ref="AKG19" ca="1">INDEX('Ship Fuel Prices'!$H$5:$H$1004,MATCH(2,1/(('Ship Fuel Prices'!$E$5:$E$1004=_xlfn.IFS(AHT19="Handysize",Main!AJZ19,AHT19="Supramax",AJS19,AHT19="Panamax",AJL19,AHT19="NeoPanamax",AJE19,AHT19="Suezmax",AIX19,AHT19="Capesize",AIQ19,AHT19="VLOC",AIJ19))*('Ship Fuel Prices'!$D$5:$D$1004&lt;=Main!$C19))))</f>
        <v>#N/A</v>
      </c>
      <c r="AKH19" s="25" t="e">
        <f t="array" aca="1" ref="AKH19" ca="1">INDEX('Ship Fuel Prices'!$I$5:$I$1004,MATCH(2,1/(('Ship Fuel Prices'!$E$5:$E$1004=_xlfn.IFS(AHT19="Handysize",Main!AJZ19,AHT19="Supramax",AJS19,AHT19="Panamax",AJL19,AHT19="NeoPanamax",AJE19,AHT19="Suezmax",AIX19,AHT19="Capesize",AIQ19,AHT19="VLOC",AIJ19))*('Ship Fuel Prices'!$D$5:$D$1004&lt;=Main!$C19))))</f>
        <v>#N/A</v>
      </c>
      <c r="AKI19" s="25" t="e">
        <f t="array" aca="1" ref="AKI19" ca="1">INDEX('Ship Fuel Prices'!$J$5:$J$1004,MATCH(2,1/(('Ship Fuel Prices'!$E$5:$E$1004=_xlfn.IFS(AHT19="Handysize",Main!AJZ19,AHT19="Supramax",AJS19,AHT19="Panamax",AJL19,AHT19="NeoPanamax",AJE19,AHT19="Suezmax",AIX19,AHT19="Capesize",AIQ19,AHT19="VLOC",AIJ19))*('Ship Fuel Prices'!$D$5:$D$1004&lt;=Main!$C19))))</f>
        <v>#N/A</v>
      </c>
      <c r="AKK19" s="75">
        <f t="array" ref="AKK19">INDEX('China n Importing Ports'!$E$20:$E$41,MATCH(2,1/(('China n Importing Ports'!$D$20:$D$41&lt;=$C19)*('China n Importing Ports'!$C$20:$C$41=IF($AO19="No",$AQ19,$KK19)))))</f>
        <v>0</v>
      </c>
      <c r="AKL19" s="75">
        <f t="array" ref="AKL19">INDEX('China n Importing Ports'!$F$20:$F$41,MATCH(2,1/(('China n Importing Ports'!$D$20:$D$41&lt;=$C19)*('China n Importing Ports'!$C$20:$C$41=IF($AO19="No",$AQ19,$KK19)))))</f>
        <v>0</v>
      </c>
      <c r="AKM19" s="75">
        <f t="array" ref="AKM19">INDEX('China n Importing Ports'!$G$20:$G$41,MATCH(2,1/(('China n Importing Ports'!$D$20:$D$41&lt;=$C19)*('China n Importing Ports'!$C$20:$C$41=IF($AO19="No",$AQ19,$KK19)))))</f>
        <v>0</v>
      </c>
      <c r="AKN19" s="75">
        <f t="array" ref="AKN19">INDEX('China n Importing Ports'!$H$20:$H$41,MATCH(2,1/(('China n Importing Ports'!$D$20:$D$41&lt;=$C19)*('China n Importing Ports'!$C$20:$C$41=IF($AO19="No",$AQ19,$KK19)))))</f>
        <v>0</v>
      </c>
      <c r="AKO19" s="75">
        <f t="array" ref="AKO19">INDEX('China n Importing Ports'!$I$20:$I$41,MATCH(2,1/(('China n Importing Ports'!$D$20:$D$41&lt;=$C19)*('China n Importing Ports'!$C$20:$C$41=IF($AO19="No",$AQ19,$KK19)))))</f>
        <v>0</v>
      </c>
      <c r="AKP19" s="75">
        <f t="array" ref="AKP19">INDEX('China n Importing Ports'!$J$20:$J$41,MATCH(2,1/(('China n Importing Ports'!$D$20:$D$41&lt;=$C19)*('China n Importing Ports'!$C$20:$C$41=IF($AO19="No",$AQ19,$KK19)))))</f>
        <v>0</v>
      </c>
      <c r="AKQ19" s="75">
        <f t="array" ref="AKQ19">INDEX('China n Importing Ports'!$K$20:$K$41,MATCH(2,1/(('China n Importing Ports'!$D$20:$D$41&lt;=$C19)*('China n Importing Ports'!$C$20:$C$41=IF($AO19="No",$AQ19,$KK19)))))</f>
        <v>0</v>
      </c>
      <c r="AKR19" s="75">
        <f t="array" ref="AKR19">INDEX('China n Importing Ports'!$L$20:$L$41,MATCH(2,1/(('China n Importing Ports'!$D$20:$D$41&lt;=$C19)*('China n Importing Ports'!$C$20:$C$41=IF($AO19="No",$AQ19,$KK19)))))</f>
        <v>0</v>
      </c>
      <c r="AKS19" s="75">
        <f t="array" ref="AKS19">INDEX('China n Importing Ports'!$M$20:$M$41,MATCH(2,1/(('China n Importing Ports'!$D$20:$D$41&lt;=$C19)*('China n Importing Ports'!$C$20:$C$41=IF($AO19="No",$AQ19,$KK19)))))</f>
        <v>0</v>
      </c>
      <c r="AKT19" s="75">
        <f t="array" ref="AKT19">INDEX('China n Importing Ports'!$N$20:$N$41,MATCH(2,1/(('China n Importing Ports'!$D$20:$D$41&lt;=$C19)*('China n Importing Ports'!$C$20:$C$41=IF($AO19="No",$AQ19,$KK19)))))</f>
        <v>0</v>
      </c>
      <c r="AKU19" s="75">
        <f t="array" ref="AKU19">INDEX('China n Importing Ports'!$O$20:$O$41,MATCH(2,1/(('China n Importing Ports'!$D$20:$D$41&lt;=$C19)*('China n Importing Ports'!$C$20:$C$41=IF($AO19="No",$AQ19,$KK19)))))</f>
        <v>0</v>
      </c>
      <c r="AKV19" s="136">
        <f t="array" ref="AKV19">INDEX('China n Importing Ports'!$P$20:$P$41,MATCH(2,1/(('China n Importing Ports'!$D$20:$D$41&lt;=$C19)*('China n Importing Ports'!$C$20:$C$41=IF($AO19="No",$AQ19,$KK19)))))</f>
        <v>0</v>
      </c>
      <c r="AKW19" s="136">
        <f t="array" ref="AKW19">INDEX('China n Importing Ports'!$Q$20:$Q$41,MATCH(2,1/(('China n Importing Ports'!$D$20:$D$41&lt;=$C19)*('China n Importing Ports'!$C$20:$C$41=IF($AO19="No",$AQ19,$KK19)))))</f>
        <v>0</v>
      </c>
      <c r="AKX19" s="136">
        <f t="array" ref="AKX19">INDEX('China n Importing Ports'!$R$20:$R$41,MATCH(2,1/(('China n Importing Ports'!$D$20:$D$41&lt;=$C19)*('China n Importing Ports'!$C$20:$C$41=IF($AO19="No",$AQ19,$KK19)))))</f>
        <v>0</v>
      </c>
      <c r="AKY19" s="136">
        <f t="array" ref="AKY19">INDEX('China n Importing Ports'!$S$20:$S$41,MATCH(2,1/(('China n Importing Ports'!$D$20:$D$41&lt;=$C19)*('China n Importing Ports'!$C$20:$C$41=IF($AO19="No",$AQ19,$KK19)))))</f>
        <v>0</v>
      </c>
      <c r="AKZ19" s="136">
        <f t="array" ref="AKZ19">INDEX('China n Importing Ports'!$T$20:$T$41,MATCH(2,1/(('China n Importing Ports'!$D$20:$D$41&lt;=$C19)*('China n Importing Ports'!$C$20:$C$41=IF($AO19="No",$AQ19,$KK19)))))</f>
        <v>0</v>
      </c>
      <c r="ALA19" s="136">
        <f t="array" ref="ALA19">INDEX('China n Importing Ports'!$U$20:$U$41,MATCH(2,1/(('China n Importing Ports'!$D$20:$D$41&lt;=$C19)*('China n Importing Ports'!$C$20:$C$41=IF($AO19="No",$AQ19,$KK19)))))</f>
        <v>0</v>
      </c>
      <c r="ALB19" s="136">
        <f t="array" ref="ALB19">INDEX('China n Importing Ports'!$V$20:$V$41,MATCH(2,1/(('China n Importing Ports'!$D$20:$D$41&lt;=$C19)*('China n Importing Ports'!$C$20:$C$41=IF($AO19="No",$AQ19,$KK19)))))</f>
        <v>0</v>
      </c>
      <c r="ALC19" s="136">
        <f t="array" ref="ALC19">INDEX('China n Importing Ports'!$W$20:$W$41,MATCH(2,1/(('China n Importing Ports'!$D$20:$D$41&lt;=$C19)*('China n Importing Ports'!$C$20:$C$41=IF($AO19="No",$AQ19,$KK19)))))</f>
        <v>0</v>
      </c>
      <c r="ALD19" s="136">
        <f t="array" ref="ALD19">INDEX('China n Importing Ports'!$X$20:$X$41,MATCH(2,1/(('China n Importing Ports'!$D$20:$D$41&lt;=$C19)*('China n Importing Ports'!$C$20:$C$41=IF($AO19="No",$AQ19,$KK19)))))</f>
        <v>0</v>
      </c>
      <c r="ALE19" s="136">
        <f t="array" ref="ALE19">INDEX('China n Importing Ports'!$Y$20:$Y$41,MATCH(2,1/(('China n Importing Ports'!$D$20:$D$41&lt;=$C19)*('China n Importing Ports'!$C$20:$C$41=IF($AO19="No",$AQ19,$KK19)))))</f>
        <v>0</v>
      </c>
      <c r="ALF19" s="136">
        <f t="array" ref="ALF19">INDEX('China n Importing Ports'!$Z$20:$Z$41,MATCH(2,1/(('China n Importing Ports'!$D$20:$D$41&lt;=$C19)*('China n Importing Ports'!$C$20:$C$41=IF($AO19="No",$AQ19,$KK19)))))</f>
        <v>0</v>
      </c>
      <c r="ALG19" s="136">
        <f t="array" ref="ALG19">INDEX('China n Importing Ports'!$AA$20:$AA$41,MATCH(2,1/(('China n Importing Ports'!$D$20:$D$41&lt;=$C19)*('China n Importing Ports'!$C$20:$C$41=IF($AO19="No",$AQ19,$KK19)))))</f>
        <v>0</v>
      </c>
      <c r="ALI19" s="75" t="e">
        <f t="array" aca="1" ref="ALI19" ca="1">INDEX(Canals!$G$24:$G$29,MATCH(2,1/((Canals!$F$24:$F$29&lt;=$C19)*(Canals!$G$24:$G$29=_xlfn.IFS(AHT19="Handysize",AKC19,AHT19="Supramax",AJV19,AHT19="Panamax",AJO19,AHT19="NeoPanamax",AJH19,AHT19="Suezmax",AJA19,AHT19="Capesize",AIT19,AHT19="VLOC",AIM19)))))</f>
        <v>#N/A</v>
      </c>
      <c r="ALJ19" s="75" t="e">
        <f t="array" aca="1" ref="ALJ19" ca="1">INDEX(Canals!$H$24:$H$29,MATCH(2,1/((Canals!$F$24:$F$29&lt;=$C19)*(Canals!$G$24:$G$29=_xlfn.IFS(AHT19="Handysize",AKC19,AHT19="Supramax",AJV19,AHT19="Panamax",AJO19,AHT19="NeoPanamax",AJH19,AHT19="Suezmax",AJA19,AHT19="Capesize",AIT19,AHT19="VLOC",AIM19)))))</f>
        <v>#N/A</v>
      </c>
      <c r="ALK19" s="75" t="e">
        <f t="array" aca="1" ref="ALK19" ca="1">INDEX(Canals!$I$24:$I$29,MATCH(2,1/((Canals!$F$24:$F$29&lt;=$C19)*(Canals!$G$24:$G$29=_xlfn.IFS(AHT19="Handysize",AKC19,AHT19="Supramax",AJV19,AHT19="Panamax",AJO19,AHT19="NeoPanamax",AJH19,AHT19="Suezmax",AJA19,AHT19="Capesize",AIT19,AHT19="VLOC",AIM19)))))</f>
        <v>#N/A</v>
      </c>
      <c r="ALL19" s="75" t="e">
        <f t="array" aca="1" ref="ALL19" ca="1">INDEX(Canals!$J$24:$J$29,MATCH(2,1/((Canals!$F$24:$F$29&lt;=$C19)*(Canals!$G$24:$G$29=_xlfn.IFS(AHT19="Handysize",Main!AKC19,AHT19="Supramax",AJV19,AHT19="Panamax",AJO19,AHT19="NeoPanamax",AJH19,AHT19="Suezmax",AJA19,AHT19="Capesize",AIT19,AHT19="VLOC",AIM19)))))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M19" s="75" t="e">
        <f t="array" aca="1" ref="ALM19" ca="1">INDEX(Canals!$K$24:$K$29,MATCH(2,1/((Canals!$F$24:$F$29&lt;=$C19)*(Canals!$G$24:$G$29=_xlfn.IFS(AHT19="Handysize",Main!AKC19,AHT19="Supramax",AJV19,AHT19="Panamax",AJO19,AHT19="NeoPanamax",AJH19,AHT19="Suezmax",AJA19,AHT19="Capesize",AIT19,AHT19="VLOC",AIM19)))))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N19" s="75" t="e">
        <f t="array" aca="1" ref="ALN19" ca="1">INDEX(Canals!$L$24:$L$29,MATCH(2,1/((Canals!$F$24:$F$29&lt;=$C19)*(Canals!$G$24:$G$29=_xlfn.IFS(AHT19="Handysize",Main!AKC19,AHT19="Supramax",AJV19,AHT19="Panamax",AJO19,AHT19="NeoPanamax",AJH19,AHT19="Suezmax",AJA19,AHT19="Capesize",AIT19,AHT19="VLOC",AIM19)))))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O19" s="75" t="e">
        <f t="array" aca="1" ref="ALO19" ca="1">INDEX(Canals!$M$24:$M$29,MATCH(2,1/((Canals!$F$24:$F$29&lt;=$C19)*(Canals!$G$24:$G$29=_xlfn.IFS(AHT19="Handysize",Main!AKC19,AHT19="Supramax",AJV19,AHT19="Panamax",AJO19,AHT19="NeoPanamax",AJH19,AHT19="Suezmax",AJA19,AHT19="Capesize",AIT19,AHT19="VLOC",AIM19)))))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P19" s="75" t="e">
        <f t="array" aca="1" ref="ALP19" ca="1">INDEX(Canals!$N$24:$N$29,MATCH(2,1/((Canals!$F$24:$F$29&lt;=$C19)*(Canals!$G$24:$G$29=_xlfn.IFS(AHT19="Handysize",Main!AKC19,AHT19="Supramax",AJV19,AHT19="Panamax",AJO19,AHT19="NeoPanamax",AJH19,AHT19="Suezmax",AJA19,AHT19="Capesize",AIT19,AHT19="VLOC",AIM19)))))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Q19" s="75" t="e">
        <f t="array" aca="1" ref="ALQ19" ca="1">INDEX(Canals!$O$24:$O$29,MATCH(2,1/((Canals!$F$24:$F$29&lt;=$C19)*(Canals!$G$24:$G$29=_xlfn.IFS(AHT19="Handysize",Main!AKC19,AHT19="Supramax",AJV19,AHT19="Panamax",AJO19,AHT19="NeoPanamax",AJH19,AHT19="Suezmax",AJA19,AHT19="Capesize",AIT19,AHT19="VLOC",AIM19)))))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R19" s="75" t="e">
        <f t="array" aca="1" ref="ALR19" ca="1">INDEX(Canals!$P$24:$P$29,MATCH(2,1/((Canals!$F$24:$F$29&lt;=$C19)*(Canals!$G$24:$G$29=_xlfn.IFS(AHT19="Handysize",Main!AKC19,AHT19="Supramax",AJV19,AHT19="Panamax",AJO19,AHT19="NeoPanamax",AJH19,AHT19="Suezmax",AJA19,AHT19="Capesize",AIT19,AHT19="VLOC",AIM19)))))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S19" s="75" t="e">
        <f t="array" aca="1" ref="ALS19" ca="1">INDEX(Canals!$Q$24:$Q$29,MATCH(2,1/((Canals!$F$24:$F$29&lt;=$C19)*(Canals!$G$24:$G$29=_xlfn.IFS(AHT19="Handysize",Main!AKC19,AHT19="Supramax",AJV19,AHT19="Panamax",AJO19,AHT19="NeoPanamax",AJH19,AHT19="Suezmax",AJA19,AHT19="Capesize",AIT19,AHT19="VLOC",AIM19)))))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T19" s="75" t="e">
        <f t="array" aca="1" ref="ALT19" ca="1">INDEX(Canals!$R$24:$R$29,MATCH(2,1/((Canals!$F$24:$F$29&lt;=$C19)*(Canals!$G$24:$G$29=_xlfn.IFS(AHT19="Handysize",Main!AKC19,AHT19="Supramax",AJV19,AHT19="Panamax",AJO19,AHT19="NeoPanamax",AJH19,AHT19="Suezmax",AJA19,AHT19="Capesize",AIT19,AHT19="VLOC",AIM19)))))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U19" s="136" t="e">
        <f t="array" aca="1" ref="ALU19" ca="1">INDEX(Canals!$S$24:$S$29,MATCH(2,1/((Canals!$F$24:$F$29&lt;=$C19)*(Canals!$G$24:$G$29=_xlfn.IFS(AHT19="Handysize",Main!AKC19,AHT19="Supramax",AJV19,AHT19="Panamax",AJO19,AHT19="NeoPanamax",AJH19,AHT19="Suezmax",AJA19,AHT19="Capesize",AIT19,AHT19="VLOC",AIM19)))))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V19" s="136" t="e">
        <f t="array" aca="1" ref="ALV19" ca="1">INDEX(Canals!$T$24:$T$29,MATCH(2,1/((Canals!$F$24:$F$29&lt;=$C19)*(Canals!$G$24:$G$29=_xlfn.IFS(AHT19="Handysize",Main!AKC19,AHT19="Supramax",AJV19,AHT19="Panamax",AJO19,AHT19="NeoPanamax",AJH19,AHT19="Suezmax",AJA19,AHT19="Capesize",AIT19,AHT19="VLOC",AIM19)))))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W19" s="136" t="e">
        <f t="array" aca="1" ref="ALW19" ca="1">INDEX(Canals!$U$24:$U$29,MATCH(2,1/((Canals!$F$24:$F$29&lt;=$C19)*(Canals!$G$24:$G$29=_xlfn.IFS(AHT19="Handysize",Main!AKC19,AHT19="Supramax",AJV19,AHT19="Panamax",AJO19,AHT19="NeoPanamax",AJH19,AHT19="Suezmax",AJA19,AHT19="Capesize",AIT19,AHT19="VLOC",AIM19)))))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X19" s="136" t="e">
        <f t="array" aca="1" ref="ALX19" ca="1">INDEX(Canals!$V$24:$V$29,MATCH(2,1/((Canals!$F$24:$F$29&lt;=$C19)*(Canals!$G$24:$G$29=_xlfn.IFS(AHT19="Handysize",Main!AKC19,AHT19="Supramax",AJV19,AHT19="Panamax",AJO19,AHT19="NeoPanamax",AJH19,AHT19="Suezmax",AJA19,AHT19="Capesize",AIT19,AHT19="VLOC",AIM19)))))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Y19" s="136" t="e">
        <f t="array" aca="1" ref="ALY19" ca="1">INDEX(Canals!$W$24:$W$29,MATCH(2,1/((Canals!$F$24:$F$29&lt;=$C19)*(Canals!$G$24:$G$29=_xlfn.IFS(AHT19="Handysize",Main!AKC19,AHT19="Supramax",AJV19,AHT19="Panamax",AJO19,AHT19="NeoPanamax",AJH19,AHT19="Suezmax",AJA19,AHT19="Capesize",AIT19,AHT19="VLOC",AIM19)))))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LZ19" s="136" t="e">
        <f t="array" aca="1" ref="ALZ19" ca="1">INDEX(Canals!$X$24:$X$29,MATCH(2,1/((Canals!$F$24:$F$29&lt;=$C19)*(Canals!$G$24:$G$29=_xlfn.IFS(AHT19="Handysize",Main!AKC19,AHT19="Supramax",AJV19,AHT19="Panamax",AJO19,AHT19="NeoPanamax",AJH19,AHT19="Suezmax",AJA19,AHT19="Capesize",AIT19,AHT19="VLOC",AIM19)))))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A19" s="136" t="e">
        <f t="array" aca="1" ref="AMA19" ca="1">INDEX(Canals!$Y$24:$Y$29,MATCH(2,1/((Canals!$F$24:$F$29&lt;=$C19)*(Canals!$G$24:$G$29=_xlfn.IFS(AHT19="Handysize",Main!AKC19,AHT19="Supramax",AJV19,AHT19="Panamax",AJO19,AHT19="NeoPanamax",AJH19,AHT19="Suezmax",AJA19,AHT19="Capesize",AIT19,AHT19="VLOC",AIM19)))))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B19" s="136" t="e">
        <f t="array" aca="1" ref="AMB19" ca="1">INDEX(Canals!$Z$24:$Z$29,MATCH(2,1/((Canals!$F$24:$F$29&lt;=$C19)*(Canals!$G$24:$G$29=_xlfn.IFS(AHT19="Handysize",Main!AKC19,AHT19="Supramax",AJV19,AHT19="Panamax",AJO19,AHT19="NeoPanamax",AJH19,AHT19="Suezmax",AJA19,AHT19="Capesize",AIT19,AHT19="VLOC",AIM19)))))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C19" s="136" t="e">
        <f t="array" aca="1" ref="AMC19" ca="1">INDEX(Canals!$AA$24:$AA$29,MATCH(2,1/((Canals!$F$24:$F$29&lt;=$C19)*(Canals!$G$24:$G$29=_xlfn.IFS(AHT19="Handysize",Main!AKC19,AHT19="Supramax",AJV19,AHT19="Panamax",AJO19,AHT19="NeoPanamax",AJH19,AHT19="Suezmax",AJA19,AHT19="Capesize",AIT19,AHT19="VLOC",AIM19)))))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D19" s="136" t="e">
        <f t="array" aca="1" ref="AMD19" ca="1">INDEX(Canals!$AB$24:$AB$29,MATCH(2,1/((Canals!$F$24:$F$29&lt;=$C19)*(Canals!$G$24:$G$29=_xlfn.IFS(AHT19="Handysize",Main!AKC19,AHT19="Supramax",AJV19,AHT19="Panamax",AJO19,AHT19="NeoPanamax",AJH19,AHT19="Suezmax",AJA19,AHT19="Capesize",AIT19,AHT19="VLOC",AIM19)))))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E19" s="75" t="e">
        <f t="array" aca="1" ref="AME19" ca="1">INDEX(Canals!$AC$24:$AC$29,MATCH(2,1/((Canals!$F$24:$F$29&lt;=$C19)*(Canals!$G$24:$G$29=_xlfn.IFS(AHT19="Handysize",Main!AKC19,AHT19="Supramax",AJV19,AHT19="Panamax",AJO19,AHT19="NeoPanamax",AJH19,AHT19="Suezmax",AJA19,AHT19="Capesize",AIT19,AHT19="VLOC",AIM19)))))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F19" s="75" t="e">
        <f t="array" aca="1" ref="AMF19" ca="1">INDEX(Canals!$AD$24:$AD$29,MATCH(2,1/((Canals!$F$24:$F$29&lt;=$C19)*(Canals!$G$24:$G$29=_xlfn.IFS(AHT19="Handysize",Main!AKC19,AHT19="Supramax",AJV19,AHT19="Panamax",AJO19,AHT19="NeoPanamax",AJH19,AHT19="Suezmax",AJA19,AHT19="Capesize",AIT19,AHT19="VLOC",AIM19)))))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G19" s="75" t="e">
        <f t="array" aca="1" ref="AMG19" ca="1">INDEX(Canals!$AE$24:$AE$29,MATCH(2,1/((Canals!$F$24:$F$29&lt;=$C19)*(Canals!$G$24:$G$29=_xlfn.IFS(AHT19="Handysize",Main!AKC19,AHT19="Supramax",AJV19,AHT19="Panamax",AJO19,AHT19="NeoPanamax",AJH19,AHT19="Suezmax",AJA19,AHT19="Capesize",AIT19,AHT19="VLOC",AIM19)))))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H19" s="75" t="e">
        <f t="array" aca="1" ref="AMH19" ca="1">INDEX(Canals!$AF$24:$AF$29,MATCH(2,1/((Canals!$F$24:$F$29&lt;=$C19)*(Canals!$G$24:$G$29=_xlfn.IFS(AHT19="Handysize",Main!AKC19,AHT19="Supramax",AJV19,AHT19="Panamax",AJO19,AHT19="NeoPanamax",AJH19,AHT19="Suezmax",AJA19,AHT19="Capesize",AIT19,AHT19="VLOC",AIM19)))))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I19" s="75" t="e">
        <f t="array" aca="1" ref="AMI19" ca="1">INDEX(Canals!$AG$24:$AG$29,MATCH(2,1/((Canals!$F$24:$F$29&lt;=$C19)*(Canals!$G$24:$G$29=_xlfn.IFS(AHT19="Handysize",Main!AKC19,AHT19="Supramax",AJV19,AHT19="Panamax",AJO19,AHT19="NeoPanamax",AJH19,AHT19="Suezmax",AJA19,AHT19="Capesize",AIT19,AHT19="VLOC",AIM19)))))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J19" s="75" t="e">
        <f t="array" aca="1" ref="AMJ19" ca="1">INDEX(Canals!$AH$24:$AH$29,MATCH(2,1/((Canals!$F$24:$F$29&lt;=$C19)*(Canals!$G$24:$G$29=_xlfn.IFS(AHT19="Handysize",Main!AKC19,AHT19="Supramax",AJV19,AHT19="Panamax",AJO19,AHT19="NeoPanamax",AJH19,AHT19="Suezmax",AJA19,AHT19="Capesize",AIT19,AHT19="VLOC",AIM19)))))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K19" s="75" t="e">
        <f t="array" aca="1" ref="AMK19" ca="1">INDEX(Canals!$AI$24:$AI$29,MATCH(2,1/((Canals!$F$24:$F$29&lt;=$C19)*(Canals!$G$24:$G$29=_xlfn.IFS(AHT19="Handysize",Main!AKC19,AHT19="Supramax",AJV19,AHT19="Panamax",AJO19,AHT19="NeoPanamax",AJH19,AHT19="Suezmax",AJA19,AHT19="Capesize",AIT19,AHT19="VLOC",AIM19)))))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L19" s="75" t="e">
        <f t="array" aca="1" ref="AML19" ca="1">INDEX(Canals!$AJ$24:$AJ$29,MATCH(2,1/((Canals!$F$24:$F$29&lt;=$C19)*(Canals!$G$24:$G$29=_xlfn.IFS(AHT19="Handysize",Main!AKC19,AHT19="Supramax",AJV19,AHT19="Panamax",AJO19,AHT19="NeoPanamax",AJH19,AHT19="Suezmax",AJA19,AHT19="Capesize",AIT19,AHT19="VLOC",AIM19)))))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M19" s="75" t="e">
        <f t="array" aca="1" ref="AMM19" ca="1">INDEX(Canals!$AK$24:$AK$29,MATCH(2,1/((Canals!$F$24:$F$29&lt;=$C19)*(Canals!$G$24:$G$29=_xlfn.IFS(AHT19="Handysize",Main!AKC19,AHT19="Supramax",AJV19,AHT19="Panamax",AJO19,AHT19="NeoPanamax",AJH19,AHT19="Suezmax",AJA19,AHT19="Capesize",AIT19,AHT19="VLOC",AIM19)))))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N19" s="136" t="e">
        <f t="array" aca="1" ref="AMN19" ca="1">INDEX(Canals!$AL$24:$AL$29,MATCH(2,1/((Canals!$F$24:$F$29&lt;=$C19)*(Canals!$G$24:$G$29=_xlfn.IFS(AHT19="Handysize",Main!AKC19,AHT19="Supramax",AJV19,AHT19="Panamax",AJO19,AHT19="NeoPanamax",AJH19,AHT19="Suezmax",AJA19,AHT19="Capesize",AIT19,AHT19="VLOC",AIM19)))))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O19" s="136" t="e">
        <f t="array" aca="1" ref="AMO19" ca="1">INDEX(Canals!$AM$24:$AM$29,MATCH(2,1/((Canals!$F$24:$F$29&lt;=$C19)*(Canals!$G$24:$G$29=_xlfn.IFS(AHT19="Handysize",Main!AKC19,AHT19="Supramax",AJV19,AHT19="Panamax",AJO19,AHT19="NeoPanamax",AJH19,AHT19="Suezmax",AJA19,AHT19="Capesize",AIT19,AHT19="VLOC",AIM19)))))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P19" s="136" t="e">
        <f t="array" aca="1" ref="AMP19" ca="1">INDEX(Canals!$AN$24:$AN$29,MATCH(2,1/((Canals!$F$24:$F$29&lt;=$C19)*(Canals!$G$24:$G$29=_xlfn.IFS(AHT19="Handysize",Main!AKC19,AHT19="Supramax",AJV19,AHT19="Panamax",AJO19,AHT19="NeoPanamax",AJH19,AHT19="Suezmax",AJA19,AHT19="Capesize",AIT19,AHT19="VLOC",AIM19)))))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Q19" s="136" t="e">
        <f t="array" aca="1" ref="AMQ19" ca="1">INDEX(Canals!$AO$24:$AO$29,MATCH(2,1/((Canals!$F$24:$F$29&lt;=$C19)*(Canals!$G$24:$G$29=_xlfn.IFS(AHT19="Handysize",Main!AKC19,AHT19="Supramax",AJV19,AHT19="Panamax",AJO19,AHT19="NeoPanamax",AJH19,AHT19="Suezmax",AJA19,AHT19="Capesize",AIT19,AHT19="VLOC",AIM19)))))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R19" s="136" t="e">
        <f t="array" aca="1" ref="AMR19" ca="1">INDEX(Canals!$AP$24:$AP$29,MATCH(2,1/((Canals!$F$24:$F$29&lt;=$C19)*(Canals!$G$24:$G$29=_xlfn.IFS(AHT19="Handysize",Main!AKC19,AHT19="Supramax",AJV19,AHT19="Panamax",AJO19,AHT19="NeoPanamax",AJH19,AHT19="Suezmax",AJA19,AHT19="Capesize",AIT19,AHT19="VLOC",AIM19)))))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S19" s="136" t="e">
        <f t="array" aca="1" ref="AMS19" ca="1">INDEX(Canals!$AQ$24:$AQ$29,MATCH(2,1/((Canals!$F$24:$F$29&lt;=$C19)*(Canals!$G$24:$G$29=_xlfn.IFS(AHT19="Handysize",Main!AKC19,AHT19="Supramax",AJV19,AHT19="Panamax",AJO19,AHT19="NeoPanamax",AJH19,AHT19="Suezmax",AJA19,AHT19="Capesize",AIT19,AHT19="VLOC",AIM19)))))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T19" s="136" t="e">
        <f t="array" aca="1" ref="AMT19" ca="1">INDEX(Canals!$AR$24:$AR$29,MATCH(2,1/((Canals!$F$24:$F$29&lt;=$C19)*(Canals!$G$24:$G$29=_xlfn.IFS(AHT19="Handysize",Main!AKC19,AHT19="Supramax",AJV19,AHT19="Panamax",AJO19,AHT19="NeoPanamax",AJH19,AHT19="Suezmax",AJA19,AHT19="Capesize",AIT19,AHT19="VLOC",AIM19)))))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U19" s="136" t="e">
        <f t="array" aca="1" ref="AMU19" ca="1">INDEX(Canals!$AS$24:$AS$29,MATCH(2,1/((Canals!$F$24:$F$29&lt;=$C19)*(Canals!$G$24:$G$29=_xlfn.IFS(AHT19="Handysize",Main!AKC19,AHT19="Supramax",AJV19,AHT19="Panamax",AJO19,AHT19="NeoPanamax",AJH19,AHT19="Suezmax",AJA19,AHT19="Capesize",AIT19,AHT19="VLOC",AIM19)))))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V19" s="136" t="e">
        <f t="array" aca="1" ref="AMV19" ca="1">INDEX(Canals!$AT$24:$AT$29,MATCH(2,1/((Canals!$F$24:$F$29&lt;=$C19)*(Canals!$G$24:$G$29=_xlfn.IFS(AHT19="Handysize",Main!AKC19,AHT19="Supramax",AJV19,AHT19="Panamax",AJO19,AHT19="NeoPanamax",AJH19,AHT19="Suezmax",AJA19,AHT19="Capesize",AIT19,AHT19="VLOC",AIM19)))))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W19" s="136" t="e">
        <f t="array" aca="1" ref="AMW19" ca="1">INDEX(Canals!$AU$24:$AU$29,MATCH(2,1/((Canals!$F$24:$F$29&lt;=$C19)*(Canals!$G$24:$G$29=_xlfn.IFS(AHT19="Handysize",Main!AKC19,AHT19="Supramax",AJV19,AHT19="Panamax",AJO19,AHT19="NeoPanamax",AJH19,AHT19="Suezmax",AJA19,AHT19="Capesize",AIT19,AHT19="VLOC",AIM19)))))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X19" s="136" t="e">
        <f t="array" aca="1" ref="AMX19" ca="1">INDEX(Canals!$AV$24:$AV$29,MATCH(2,1/((Canals!$F$24:$F$29&lt;=$C19)*(Canals!$G$24:$G$29=_xlfn.IFS(AHT19="Handysize",Main!AKC19,AHT19="Supramax",AJV19,AHT19="Panamax",AJO19,AHT19="NeoPanamax",AJH19,AHT19="Suezmax",AJA19,AHT19="Capesize",AIT19,AHT19="VLOC",AIM19)))))</f>
        <v>#N/A</v>
      </c>
      <c r="AMZ19" s="75" t="e">
        <f t="array" aca="1" ref="AMZ19" ca="1">_xlfn.IFS(ALK19="DWT",AHR19,ALK19="NRT",AHV19,ALK19="GRT",AHW19,ALK19=0,0)</f>
        <v>#NAME?</v>
      </c>
      <c r="ANA19" s="279" t="e">
        <f t="shared" ca="1" si="227"/>
        <v>#NAME?</v>
      </c>
      <c r="ANB19" s="280" t="e">
        <f t="shared" ca="1" si="228"/>
        <v>#NAME?</v>
      </c>
      <c r="ANC19" s="280" t="e">
        <f t="shared" ca="1" si="229"/>
        <v>#NAME?</v>
      </c>
      <c r="AND19" s="280" t="e">
        <f t="shared" ca="1" si="230"/>
        <v>#NAME?</v>
      </c>
      <c r="ANE19" s="280" t="e">
        <f t="shared" ca="1" si="231"/>
        <v>#NAME?</v>
      </c>
      <c r="ANF19" s="280" t="e">
        <f t="shared" ca="1" si="232"/>
        <v>#NAME?</v>
      </c>
      <c r="ANG19" s="280" t="e">
        <f t="shared" ca="1" si="233"/>
        <v>#NAME?</v>
      </c>
      <c r="ANH19" s="280" t="e">
        <f t="shared" ca="1" si="234"/>
        <v>#NAME?</v>
      </c>
      <c r="ANI19" s="280" t="e">
        <f t="shared" ca="1" si="235"/>
        <v>#NAME?</v>
      </c>
      <c r="ANJ19" s="75">
        <f t="shared" si="236"/>
        <v>0</v>
      </c>
      <c r="ANK19" s="279" t="e">
        <f t="shared" ca="1" si="237"/>
        <v>#N/A</v>
      </c>
      <c r="ANL19" s="280" t="e">
        <f t="shared" ca="1" si="238"/>
        <v>#N/A</v>
      </c>
      <c r="ANM19" s="280" t="e">
        <f t="shared" ca="1" si="239"/>
        <v>#N/A</v>
      </c>
      <c r="ANN19" s="280" t="e">
        <f t="shared" ca="1" si="240"/>
        <v>#N/A</v>
      </c>
      <c r="ANO19" s="280" t="e">
        <f t="shared" ca="1" si="241"/>
        <v>#N/A</v>
      </c>
      <c r="ANP19" s="280" t="e">
        <f t="shared" ca="1" si="242"/>
        <v>#N/A</v>
      </c>
      <c r="ANQ19" s="280" t="e">
        <f t="shared" ca="1" si="243"/>
        <v>#N/A</v>
      </c>
      <c r="ANR19" s="280" t="e">
        <f t="shared" ca="1" si="244"/>
        <v>#N/A</v>
      </c>
      <c r="ANS19" s="280" t="e">
        <f t="shared" ca="1" si="245"/>
        <v>#N/A</v>
      </c>
      <c r="ANU19" s="75" t="e">
        <f t="array" aca="1" ref="ANU19" ca="1">_xlfn.IFS(AHT19="Handysize",Main!AJW19,AHT19="Supramax",AJP19,AHT19="Panamax",AJI19,AHT19="NeoPanamax",AJB19,AHT19="Suezmax",AIU19,AHT19="Capesize",AIN19,AHT19="VLOC",AIG19)*$JI19</f>
        <v>#NAME?</v>
      </c>
      <c r="ANV19" s="274" t="e">
        <f t="array" aca="1" ref="ANV19" ca="1">_xlfn.IFS(AHT19="Handysize",Main!AJX19,AHT19="Supramax",AJQ19,AHT19="Panamax",AJJ19,AHT19="NeoPanamax",AJC19,AHT19="Suezmax",AIV19,AHT19="Capesize",AIO19,AHT19="VLOC",AIH19)*$JI19</f>
        <v>#NAME?</v>
      </c>
      <c r="ANW19" s="71" t="e">
        <f t="array" aca="1" ref="ANW19" ca="1">_xlfn.IFS(AHT19="Handysize",Main!AHY19,AHT19="Supramax",AHZ19,AHT19="Panamax",AIA19,AHT19="NeoPanamax",AIB19,AHT19="Suezmax",AIC19,AHT19="Capesize",AID19,AHT19="VLOC",AIE19)</f>
        <v>#NAME?</v>
      </c>
      <c r="ANX19" s="71" t="e">
        <f t="array" aca="1" ref="ANX19" ca="1">_xlfn.IFS(AHT19="Handysize",Main!AKK19,AHT19="Supramax",AKL19,AHT19="Panamax",AKM19,AHT19="NeoPanamax",AKN19,AHT19="Suezmax",AKO19,AHT19="Capesize",AKP19,AHT19="VLOC",AKQ19)</f>
        <v>#NAME?</v>
      </c>
      <c r="ANY19" s="70">
        <f t="array" ref="ANY19">INDEX('Ship Speeds'!$G$11:$G$1011,MATCH(2,1/(('Ship Speeds'!$E$11:$E$1011&lt;=Main!$C19)*('Ship Speeds'!$F$11:$F$1011=Main!AHS19))))</f>
        <v>11</v>
      </c>
      <c r="ANZ19" s="403">
        <f t="shared" si="246"/>
        <v>0</v>
      </c>
      <c r="AOA19" s="401">
        <f t="shared" si="247"/>
        <v>1.2</v>
      </c>
      <c r="AOB19" s="70" t="e">
        <f t="shared" ca="1" si="248"/>
        <v>#NAME?</v>
      </c>
      <c r="AOC19" s="70" t="e">
        <f t="shared" ca="1" si="249"/>
        <v>#NAME?</v>
      </c>
      <c r="AOD19" s="70" t="e">
        <f t="shared" ca="1" si="250"/>
        <v>#NAME?</v>
      </c>
      <c r="AOE19" s="70" t="e">
        <f t="shared" ca="1" si="251"/>
        <v>#NAME?</v>
      </c>
      <c r="AOF19" s="72" t="e">
        <f t="shared" ca="1" si="252"/>
        <v>#N/A</v>
      </c>
      <c r="AOG19" s="70" t="e">
        <f t="shared" ca="1" si="253"/>
        <v>#NAME?</v>
      </c>
      <c r="AOH19" s="70" t="e">
        <f t="array" aca="1" ref="AOH19" ca="1">IF(ANU19=0,0,INDEX(AKE19:AKI19,MATCH(_xlfn.IFS(AHT19="Handysize",Main!AKA19,AHT19="Supramax",AJT19,AHT19="Panamax",AJM19,AHT19="NeoPanamax",AJF19,AHT19="Suezmax",AIY19,AHT19="Capesize",AIR19,AHT19="VLOC",AIK19),$AKE$7:$AKI$7,0)))</f>
        <v>#NAME?</v>
      </c>
      <c r="AOI19" s="70" t="e">
        <f t="array" aca="1" ref="AOI19" ca="1">IF(ANU19=0,0,INDEX(AKE19:AKI19,MATCH(_xlfn.IFS(AHT19="Handysize",Main!AKB19,AHT19="Supramax",AJU19,AHT19="Panamax",AJN19,AHT19="NeoPanamax",AJG19,AHT19="Suezmax",AIZ19,AHT19="Capesize",AIS19,AHT19="VLOC",AIL19),$AKE$7:$AKI$7,0)))</f>
        <v>#NAME?</v>
      </c>
      <c r="AOJ19" s="71" t="e">
        <f t="shared" ca="1" si="254"/>
        <v>#NAME?</v>
      </c>
      <c r="AOK19" s="71" t="e">
        <f t="shared" ca="1" si="255"/>
        <v>#NAME?</v>
      </c>
      <c r="AOL19" s="281" t="e">
        <f t="shared" ca="1" si="256"/>
        <v>#NAME?</v>
      </c>
      <c r="AOM19" s="71" t="e">
        <f t="shared" ca="1" si="257"/>
        <v>#NAME?</v>
      </c>
      <c r="AON19" s="71" t="e">
        <f t="shared" ca="1" si="258"/>
        <v>#NAME?</v>
      </c>
      <c r="AOO19" s="71" t="e">
        <f t="shared" ca="1" si="259"/>
        <v>#NAME?</v>
      </c>
      <c r="AOP19" s="71" t="e">
        <f t="shared" ca="1" si="260"/>
        <v>#NAME?</v>
      </c>
      <c r="AOQ19" s="71" t="e">
        <f t="shared" ca="1" si="261"/>
        <v>#NAME?</v>
      </c>
      <c r="AOR19" s="71" t="e">
        <f t="shared" ca="1" si="262"/>
        <v>#NAME?</v>
      </c>
      <c r="AOS19" s="71" t="e">
        <f t="shared" ca="1" si="263"/>
        <v>#NAME?</v>
      </c>
      <c r="AOT19" s="71" t="e">
        <f t="shared" ca="1" si="264"/>
        <v>#NAME?</v>
      </c>
      <c r="AOU19" s="71" t="e">
        <f t="shared" ca="1" si="265"/>
        <v>#NAME?</v>
      </c>
      <c r="AOV19" s="71" t="e">
        <f t="shared" ca="1" si="266"/>
        <v>#NAME?</v>
      </c>
      <c r="AOW19" s="71" t="e">
        <f t="shared" ca="1" si="267"/>
        <v>#NAME?</v>
      </c>
      <c r="AOX19" s="71" t="e">
        <f t="shared" ca="1" si="268"/>
        <v>#NAME?</v>
      </c>
      <c r="AOY19" s="72" t="e">
        <f t="shared" ca="1" si="269"/>
        <v>#NAME?</v>
      </c>
      <c r="AOZ19" s="72" t="e">
        <f t="shared" ca="1" si="270"/>
        <v>#NAME?</v>
      </c>
      <c r="APA19" s="71" t="e">
        <f t="shared" ca="1" si="271"/>
        <v>#NAME?</v>
      </c>
      <c r="APB19" s="71" t="e">
        <f t="array" aca="1" ref="APB19" ca="1">IF(ANU19=0,0,INDEX('Ship Time Charter Rates'!$H$22:$H$1021,MATCH(2,1/(('Ship Time Charter Rates'!$G$22:$G$1021=_xlfn.IFS(AHT19="Handysize",Main!AJY19,AHT19="Supramax",AJR19,AHT19="Panamax",AJK19,AHT19="NeoPanamax",AJD19,AHT19="Suezmax",AIW19,AHT19="Capesize",AIP19,AHT19="VLOC",AII19))*('Ship Time Charter Rates'!$E$22:$E$1021&lt;=Main!$C19)*(NOT(ISBLANK('Ship Time Charter Rates'!$H$22:$H$1021)))))))</f>
        <v>#NAME?</v>
      </c>
      <c r="APC19" s="71" t="e">
        <f t="shared" ca="1" si="272"/>
        <v>#NAME?</v>
      </c>
      <c r="APD19" s="70" t="e">
        <f t="shared" ca="1" si="273"/>
        <v>#NAME?</v>
      </c>
      <c r="APE19" s="71" t="e">
        <f t="shared" ca="1" si="274"/>
        <v>#NAME?</v>
      </c>
      <c r="APF19" s="71" t="e">
        <f t="shared" ca="1" si="308"/>
        <v>#NAME?</v>
      </c>
      <c r="APG19" s="72" t="e">
        <f t="shared" ca="1" si="309"/>
        <v>#NAME?</v>
      </c>
      <c r="API19" s="287" t="s">
        <v>39</v>
      </c>
      <c r="APK19" s="289" t="e">
        <f t="shared" ca="1" si="275"/>
        <v>#NAME?</v>
      </c>
      <c r="APL19" s="289" t="e">
        <f t="shared" ca="1" si="276"/>
        <v>#NAME?</v>
      </c>
      <c r="APM19" s="289" t="e">
        <f t="shared" ca="1" si="277"/>
        <v>#NAME?</v>
      </c>
      <c r="APO19" s="287" t="s">
        <v>39</v>
      </c>
    </row>
    <row r="20" spans="2:1107">
      <c r="C20" s="5">
        <v>43923</v>
      </c>
      <c r="D20" s="7" t="s">
        <v>20</v>
      </c>
      <c r="E20" s="86" t="s">
        <v>439</v>
      </c>
      <c r="F20" s="6">
        <v>50</v>
      </c>
      <c r="G20" s="1" t="s">
        <v>185</v>
      </c>
      <c r="H20" s="1" t="s">
        <v>5</v>
      </c>
      <c r="I20" s="15"/>
      <c r="J20" s="15"/>
      <c r="K20" s="15"/>
      <c r="L20" s="15"/>
      <c r="M20" s="15"/>
      <c r="N20" s="15"/>
      <c r="O20" s="15"/>
      <c r="P20" s="8"/>
      <c r="Q20" s="98"/>
      <c r="R20" s="7" t="s">
        <v>95</v>
      </c>
      <c r="T20" s="287" t="s">
        <v>39</v>
      </c>
      <c r="V20" s="4"/>
      <c r="W20" s="16" t="str">
        <f t="shared" si="0"/>
        <v>not used yet</v>
      </c>
      <c r="X20" s="16" t="str">
        <f t="shared" si="0"/>
        <v>not used yet</v>
      </c>
      <c r="Y20" s="16" t="str">
        <f t="shared" si="0"/>
        <v>not used yet</v>
      </c>
      <c r="Z20" s="16" t="str">
        <f t="shared" si="0"/>
        <v>not used yet</v>
      </c>
      <c r="AA20" s="16" t="str">
        <f t="shared" si="0"/>
        <v>not used yet</v>
      </c>
      <c r="AB20" s="16" t="str">
        <f t="shared" si="0"/>
        <v>not used yet</v>
      </c>
      <c r="AC20" s="16" t="str">
        <f t="shared" si="0"/>
        <v>not used yet</v>
      </c>
      <c r="AE20" s="88" t="str">
        <f t="shared" si="1"/>
        <v>Chalco Boffa</v>
      </c>
      <c r="AF20" s="16">
        <f t="shared" si="310"/>
        <v>0.42</v>
      </c>
      <c r="AG20" s="16">
        <f t="shared" si="311"/>
        <v>0.371</v>
      </c>
      <c r="AH20" s="61">
        <f t="shared" si="312"/>
        <v>1.9E-2</v>
      </c>
      <c r="AI20" s="61">
        <f t="shared" si="313"/>
        <v>1.4E-2</v>
      </c>
      <c r="AJ20" s="61">
        <f t="shared" si="314"/>
        <v>4.9999999999999992E-3</v>
      </c>
      <c r="AK20" s="16">
        <f t="shared" si="315"/>
        <v>3.5000000000000003E-2</v>
      </c>
      <c r="AL20" s="16">
        <f t="shared" si="316"/>
        <v>0.1</v>
      </c>
      <c r="AM20" s="24" t="str">
        <f t="shared" si="3"/>
        <v>LT</v>
      </c>
      <c r="AN20" s="427">
        <f t="shared" si="278"/>
        <v>157950</v>
      </c>
      <c r="AO20" s="127" t="str">
        <f t="array" ref="AO20">IFERROR(IF(AND(AN20&gt;'Indices Mines Exporting Ports'!$D$11,MATCH(2,1/(('Indices Mines Exporting Ports'!$B$3:$B$10&lt;=C20)*('Indices Mines Exporting Ports'!$C$3:$C$10=E20)))),"Yes","No"),"No")</f>
        <v>No</v>
      </c>
      <c r="AP20" s="126" t="str">
        <f t="array" ref="AP20">IF(AO20="Yes",INDEX('Indices Mines Exporting Ports'!$D$3:$D$10,MATCH(2,1/(('Indices Mines Exporting Ports'!$B$3:$B$10&lt;=Main!C20)*('Indices Mines Exporting Ports'!$C$3:$C$10=Main!AE20)))),IF(NOT(ISBLANK(Q20)),Q20,IP20))</f>
        <v>Chalco_Boffa_offshore</v>
      </c>
      <c r="AQ20" s="262">
        <f t="array" ref="AQ20">IF(AO20="no",0,INDEX('Indices Mines Exporting Ports'!$E$3:$E$10,MATCH(2,1/(('Indices Mines Exporting Ports'!$B$3:$B$10&lt;=Main!$C20)*('Indices Mines Exporting Ports'!$D$3:$D$10=Main!$AP20)))))</f>
        <v>0</v>
      </c>
      <c r="AR20" s="267">
        <f t="array" ref="AR20">IF(AO20="No",0,AN20/ROUND(AN20/INDEX('Indices Mines Exporting Ports'!$F$3:$F$10,MATCH(2,1/(('Indices Mines Exporting Ports'!$B$3:$B$10&lt;=Main!C20)*('Indices Mines Exporting Ports'!$C$3:$C$10=Main!AE20)))),0))</f>
        <v>0</v>
      </c>
      <c r="AS20" s="127" t="str">
        <f t="shared" si="4"/>
        <v>Qingdao</v>
      </c>
      <c r="AT20" s="100" t="str">
        <f t="shared" si="317"/>
        <v>Guinea 45/3 LT</v>
      </c>
      <c r="AU20" s="100" t="str">
        <f t="shared" si="318"/>
        <v>CBIX LT</v>
      </c>
      <c r="AV20" s="242" t="s">
        <v>4</v>
      </c>
      <c r="AW20" s="242" t="s">
        <v>5</v>
      </c>
      <c r="AX20" s="292" t="e">
        <f t="shared" ca="1" si="6"/>
        <v>#NAME?</v>
      </c>
      <c r="AY20" s="291" t="e">
        <f t="shared" ca="1" si="7"/>
        <v>#NAME?</v>
      </c>
      <c r="AZ20" s="292" t="e">
        <f t="shared" ca="1" si="8"/>
        <v>#NAME?</v>
      </c>
      <c r="BA20" s="102">
        <f t="shared" si="9"/>
        <v>0.33</v>
      </c>
      <c r="BB20" s="12"/>
      <c r="BC20" s="306" t="s">
        <v>403</v>
      </c>
      <c r="BD20" s="407" t="e">
        <f t="shared" ca="1" si="279"/>
        <v>#NAME?</v>
      </c>
      <c r="BE20" s="407">
        <f t="shared" si="279"/>
        <v>0</v>
      </c>
      <c r="BF20" s="407">
        <f t="shared" si="279"/>
        <v>0</v>
      </c>
      <c r="BG20" s="407" t="e">
        <f t="shared" ca="1" si="280"/>
        <v>#NAME?</v>
      </c>
      <c r="BH20" s="407">
        <f t="shared" si="281"/>
        <v>0</v>
      </c>
      <c r="BI20" s="263" t="e">
        <f t="shared" ca="1" si="282"/>
        <v>#NAME?</v>
      </c>
      <c r="BK20" s="287" t="s">
        <v>39</v>
      </c>
      <c r="BM20" s="291" t="e">
        <f t="shared" ca="1" si="283"/>
        <v>#NAME?</v>
      </c>
      <c r="BN20" s="298">
        <f t="shared" si="284"/>
        <v>0.42</v>
      </c>
      <c r="BO20" s="298">
        <f t="shared" si="285"/>
        <v>0.371</v>
      </c>
      <c r="BP20" s="298">
        <f t="shared" si="286"/>
        <v>1.9E-2</v>
      </c>
      <c r="BQ20" s="298">
        <f t="shared" si="287"/>
        <v>1.4E-2</v>
      </c>
      <c r="BR20" s="298">
        <f t="shared" si="288"/>
        <v>4.9999999999999992E-3</v>
      </c>
      <c r="BS20" s="298">
        <f t="shared" si="289"/>
        <v>3.5000000000000003E-2</v>
      </c>
      <c r="BT20" s="298">
        <f t="shared" si="290"/>
        <v>0.1</v>
      </c>
      <c r="BU20" s="307" t="str">
        <f t="shared" si="291"/>
        <v>LT</v>
      </c>
      <c r="BV20" s="291">
        <f t="shared" si="292"/>
        <v>0.33</v>
      </c>
      <c r="BX20" s="300">
        <f t="array" ref="BX20">INDEX('Processing Factors'!$D$8:$D$29,MATCH(2,1/(('Processing Factors'!$B$8:$B$29&lt;=Main!$C20)*('Processing Factors'!$C$8:$C$29=Main!BU20))))</f>
        <v>0</v>
      </c>
      <c r="BY20" s="299">
        <f t="array" ref="BY20">INDEX('Processing Factors'!$E$8:$E$29,MATCH(2,1/(('Processing Factors'!$B$8:$B$29&lt;=Main!$C20)*('Processing Factors'!$C$8:$C$29=Main!BU20))))</f>
        <v>1</v>
      </c>
      <c r="BZ20" s="299">
        <f t="array" ref="BZ20">INDEX('Processing Factors'!$F$8:$F$29,MATCH(2,1/(('Processing Factors'!$B$8:$B$29&lt;=Main!$C20)*('Processing Factors'!$C$8:$C$29=Main!BU20))))</f>
        <v>0.9</v>
      </c>
      <c r="CA20" s="299">
        <f t="array" ref="CA20">INDEX('Processing Factors'!$G$8:$G$29,MATCH(2,1/(('Processing Factors'!$B$8:$B$29&lt;=Main!$C20)*('Processing Factors'!$C$8:$C$29=Main!BU20))))</f>
        <v>3.5999999999999997E-2</v>
      </c>
      <c r="CB20" s="299">
        <f t="array" ref="CB20">INDEX('Processing Factors'!$H$8:$H$29,MATCH(2,1/(('Processing Factors'!$B$8:$B$29&lt;=Main!$C20)*('Processing Factors'!$C$8:$C$29=Main!BU20))))</f>
        <v>12.15</v>
      </c>
      <c r="CC20" s="300">
        <f t="array" ref="CC20">INDEX('Processing Factors'!$I$8:$I$29,MATCH(2,1/(('Processing Factors'!$B$8:$B$29&lt;=Main!$C20)*('Processing Factors'!$C$8:$C$29=Main!BU20))))</f>
        <v>0</v>
      </c>
      <c r="CD20" s="300">
        <f t="array" ref="CD20">INDEX('Processing Factors'!$J$8:$J$29,MATCH(2,1/(('Processing Factors'!$B$8:$B$29&lt;=Main!$C20)*('Processing Factors'!$C$8:$C$29=Main!BU20))))</f>
        <v>0.9</v>
      </c>
      <c r="CE20" s="299">
        <f t="array" ref="CE20">INDEX('Processing Factors'!$K$8:$K$29,MATCH(2,1/(('Processing Factors'!$B$8:$B$29&lt;=Main!$C20)*('Processing Factors'!$C$8:$C$29=Main!BU20))))</f>
        <v>3.5000000000000003E-2</v>
      </c>
      <c r="CG20" s="302">
        <f t="shared" si="10"/>
        <v>0.38500000000000001</v>
      </c>
      <c r="CH20" s="302">
        <f t="shared" si="11"/>
        <v>1.4E-2</v>
      </c>
      <c r="CI20" s="302">
        <f t="shared" si="12"/>
        <v>0.371</v>
      </c>
      <c r="CJ20" s="299">
        <f t="shared" si="13"/>
        <v>2.9949086552860136</v>
      </c>
      <c r="CK20" s="281" t="e">
        <f t="shared" ca="1" si="14"/>
        <v>#NAME?</v>
      </c>
      <c r="CL20" s="299">
        <f t="shared" si="15"/>
        <v>7.2735849056603769E-2</v>
      </c>
      <c r="CM20" s="281">
        <f t="shared" si="16"/>
        <v>17.474695222756704</v>
      </c>
      <c r="CN20" s="281">
        <f t="shared" si="17"/>
        <v>50.37416442905598</v>
      </c>
      <c r="CO20" s="281">
        <f t="shared" si="18"/>
        <v>1.2210288298473715</v>
      </c>
      <c r="CP20" s="299">
        <f t="shared" si="19"/>
        <v>2.1036445043426175</v>
      </c>
      <c r="CQ20" s="281">
        <f t="shared" si="20"/>
        <v>8.9187867623344452</v>
      </c>
      <c r="CR20" s="281" t="e">
        <f t="shared" ca="1" si="21"/>
        <v>#NAME?</v>
      </c>
      <c r="CT20" s="287" t="s">
        <v>39</v>
      </c>
      <c r="CV20" s="305" t="e">
        <f t="shared" ca="1" si="22"/>
        <v>#NAME?</v>
      </c>
      <c r="CW20" s="61">
        <f t="array" ref="CW20">INDEX('Indices Mines Exporting Ports'!E$20:E$51, MATCH(2,1/(('Indices Mines Exporting Ports'!$C$20:$C$51=$AT20)*('Indices Mines Exporting Ports'!$D$20:$D$51&lt;=$C20))))</f>
        <v>0.45</v>
      </c>
      <c r="CX20" s="61">
        <f t="array" ref="CX20">INDEX('Indices Mines Exporting Ports'!F$20:F$51, MATCH(2,1/(('Indices Mines Exporting Ports'!$C$20:$C$51=$AT20)*('Indices Mines Exporting Ports'!$D$20:$D$51&lt;=$C20))))</f>
        <v>0.40250000000000002</v>
      </c>
      <c r="CY20" s="61">
        <f t="array" ref="CY20">INDEX('Indices Mines Exporting Ports'!G$20:G$51, MATCH(2,1/(('Indices Mines Exporting Ports'!$C$20:$C$51=$AT20)*('Indices Mines Exporting Ports'!$D$20:$D$51&lt;=$C20))))</f>
        <v>0.03</v>
      </c>
      <c r="CZ20" s="61">
        <f t="array" ref="CZ20">INDEX('Indices Mines Exporting Ports'!H$20:H$51, MATCH(2,1/(('Indices Mines Exporting Ports'!$C$20:$C$51=$AT20)*('Indices Mines Exporting Ports'!$D$20:$D$51&lt;=$C20))))</f>
        <v>1.2500000000000001E-2</v>
      </c>
      <c r="DA20" s="61">
        <f t="array" ref="DA20">INDEX('Indices Mines Exporting Ports'!I$20:I$51, MATCH(2,1/(('Indices Mines Exporting Ports'!$C$20:$C$51=$AT20)*('Indices Mines Exporting Ports'!$D$20:$D$51&lt;=$C20))))</f>
        <v>1.7499999999999998E-2</v>
      </c>
      <c r="DB20" s="61">
        <f t="array" ref="DB20">INDEX('Indices Mines Exporting Ports'!J$20:J$51, MATCH(2,1/(('Indices Mines Exporting Ports'!$C$20:$C$51=$AT20)*('Indices Mines Exporting Ports'!$D$20:$D$51&lt;=$C20))))</f>
        <v>3.5000000000000003E-2</v>
      </c>
      <c r="DC20" s="61">
        <f t="array" ref="DC20">INDEX('Indices Mines Exporting Ports'!K$20:K$51, MATCH(2,1/(('Indices Mines Exporting Ports'!$C$20:$C$51=$AT20)*('Indices Mines Exporting Ports'!$D$20:$D$51&lt;=$C20))))</f>
        <v>0.1</v>
      </c>
      <c r="DD20" s="103" t="str">
        <f t="array" ref="DD20">INDEX('Indices Mines Exporting Ports'!L$20:L$51, MATCH(2,1/(('Indices Mines Exporting Ports'!$C$20:$C$51=$AT20)*('Indices Mines Exporting Ports'!$D$20:$D$51&lt;=$C20))))</f>
        <v>LT</v>
      </c>
      <c r="DE20" s="243">
        <f t="array" ref="DE20">INDEX('Indices Mines Exporting Ports'!M$20:M$51, MATCH(2,1/(('Indices Mines Exporting Ports'!$C$20:$C$51=$AT20)*('Indices Mines Exporting Ports'!$D$20:$D$51&lt;=$C20))))</f>
        <v>0.33</v>
      </c>
      <c r="DG20" s="300">
        <f t="array" ref="DG20">INDEX('Processing Factors'!$D$8:$D$29,MATCH(2,1/(('Processing Factors'!$B$8:$B$29&lt;=Main!$C20)*('Processing Factors'!$C$8:$C$29=Main!DD20))))</f>
        <v>0</v>
      </c>
      <c r="DH20" s="299">
        <f t="array" ref="DH20">INDEX('Processing Factors'!$E$8:$E$29,MATCH(2,1/(('Processing Factors'!$B$8:$B$29&lt;=Main!$C20)*('Processing Factors'!$C$8:$C$29=Main!DD20))))</f>
        <v>1</v>
      </c>
      <c r="DI20" s="299">
        <f t="array" ref="DI20">INDEX('Processing Factors'!$F$8:$F$29,MATCH(2,1/(('Processing Factors'!$B$8:$B$29&lt;=Main!$C20)*('Processing Factors'!$C$8:$C$29=Main!DD20))))</f>
        <v>0.9</v>
      </c>
      <c r="DJ20" s="299">
        <f t="array" ref="DJ20">INDEX('Processing Factors'!$G$8:$G$29,MATCH(2,1/(('Processing Factors'!$B$8:$B$29&lt;=Main!$C20)*('Processing Factors'!$C$8:$C$29=Main!DD20))))</f>
        <v>3.5999999999999997E-2</v>
      </c>
      <c r="DK20" s="299">
        <f t="array" ref="DK20">INDEX('Processing Factors'!$H$8:$H$29,MATCH(2,1/(('Processing Factors'!$B$8:$B$29&lt;=Main!$C20)*('Processing Factors'!$C$8:$C$29=Main!DD20))))</f>
        <v>12.15</v>
      </c>
      <c r="DL20" s="300">
        <f t="array" ref="DL20">INDEX('Processing Factors'!$I$8:$I$29,MATCH(2,1/(('Processing Factors'!$B$8:$B$29&lt;=Main!$C20)*('Processing Factors'!$C$8:$C$29=Main!DD20))))</f>
        <v>0</v>
      </c>
      <c r="DM20" s="300">
        <f t="array" ref="DM20">INDEX('Processing Factors'!$J$8:$J$29,MATCH(2,1/(('Processing Factors'!$B$8:$B$29&lt;=Main!$C20)*('Processing Factors'!$C$8:$C$29=Main!DD20))))</f>
        <v>0.9</v>
      </c>
      <c r="DN20" s="299">
        <f t="array" ref="DN20">INDEX('Processing Factors'!$K$8:$K$29,MATCH(2,1/(('Processing Factors'!$B$8:$B$29&lt;=Main!$C20)*('Processing Factors'!$C$8:$C$29=Main!DD20))))</f>
        <v>3.5000000000000003E-2</v>
      </c>
      <c r="DP20" s="302">
        <f t="shared" si="23"/>
        <v>0.41500000000000004</v>
      </c>
      <c r="DQ20" s="302">
        <f t="shared" si="24"/>
        <v>1.2500000000000001E-2</v>
      </c>
      <c r="DR20" s="302">
        <f t="shared" si="25"/>
        <v>0.40250000000000002</v>
      </c>
      <c r="DS20" s="299">
        <f t="shared" si="26"/>
        <v>2.7605244996549341</v>
      </c>
      <c r="DT20" s="304">
        <v>0</v>
      </c>
      <c r="DU20" s="299">
        <f t="shared" si="27"/>
        <v>6.6055900621118019E-2</v>
      </c>
      <c r="DV20" s="281">
        <f t="shared" si="28"/>
        <v>15.869846107391274</v>
      </c>
      <c r="DW20" s="281">
        <f t="shared" si="29"/>
        <v>50.37416442905598</v>
      </c>
      <c r="DX20" s="281">
        <f t="shared" si="30"/>
        <v>1.2210288298473715</v>
      </c>
      <c r="DY20" s="299">
        <f t="shared" si="31"/>
        <v>1.8625804002760522</v>
      </c>
      <c r="DZ20" s="281">
        <f t="shared" si="32"/>
        <v>7.8967512730754059</v>
      </c>
      <c r="EA20" s="281">
        <f t="shared" si="33"/>
        <v>75.361790639370028</v>
      </c>
      <c r="EC20" s="287" t="s">
        <v>39</v>
      </c>
      <c r="EE20" s="305" t="e">
        <f t="shared" ca="1" si="34"/>
        <v>#NAME?</v>
      </c>
      <c r="EF20" s="16">
        <f t="array" ref="EF20">INDEX('Indices Mines Exporting Ports'!E$20:E$51, MATCH(2,1/(('Indices Mines Exporting Ports'!$C$20:$C$51=$AU20)*('Indices Mines Exporting Ports'!$D$20:$D$51&lt;=$C20))))</f>
        <v>0.5</v>
      </c>
      <c r="EG20" s="16">
        <f t="array" ref="EG20">INDEX('Indices Mines Exporting Ports'!F$20:F$51, MATCH(2,1/(('Indices Mines Exporting Ports'!$C$20:$C$51=$AU20)*('Indices Mines Exporting Ports'!$D$20:$D$51&lt;=$C20))))</f>
        <v>0.45</v>
      </c>
      <c r="EH20" s="16">
        <f t="array" ref="EH20">INDEX('Indices Mines Exporting Ports'!G$20:G$51, MATCH(2,1/(('Indices Mines Exporting Ports'!$C$20:$C$51=$AU20)*('Indices Mines Exporting Ports'!$D$20:$D$51&lt;=$C20))))</f>
        <v>0.05</v>
      </c>
      <c r="EI20" s="16">
        <f t="array" ref="EI20">INDEX('Indices Mines Exporting Ports'!H$20:H$51, MATCH(2,1/(('Indices Mines Exporting Ports'!$C$20:$C$51=$AU20)*('Indices Mines Exporting Ports'!$D$20:$D$51&lt;=$C20))))</f>
        <v>0.05</v>
      </c>
      <c r="EJ20" s="16">
        <f t="array" ref="EJ20">INDEX('Indices Mines Exporting Ports'!I$20:I$51, MATCH(2,1/(('Indices Mines Exporting Ports'!$C$20:$C$51=$AU20)*('Indices Mines Exporting Ports'!$D$20:$D$51&lt;=$C20))))</f>
        <v>0</v>
      </c>
      <c r="EK20" s="16">
        <f t="array" ref="EK20">INDEX('Indices Mines Exporting Ports'!J$20:J$51, MATCH(2,1/(('Indices Mines Exporting Ports'!$C$20:$C$51=$AU20)*('Indices Mines Exporting Ports'!$D$20:$D$51&lt;=$C20))))</f>
        <v>0</v>
      </c>
      <c r="EL20" s="16">
        <f t="array" ref="EL20">INDEX('Indices Mines Exporting Ports'!K$20:K$51, MATCH(2,1/(('Indices Mines Exporting Ports'!$C$20:$C$51=$AU20)*('Indices Mines Exporting Ports'!$D$20:$D$51&lt;=$C20))))</f>
        <v>0.1</v>
      </c>
      <c r="EM20" s="103" t="str">
        <f t="array" ref="EM20">INDEX('Indices Mines Exporting Ports'!L$20:L$51, MATCH(2,1/(('Indices Mines Exporting Ports'!$C$20:$C$51=$AU20)*('Indices Mines Exporting Ports'!$D$20:$D$51&lt;=$C20))))</f>
        <v>LT</v>
      </c>
      <c r="EN20" s="243">
        <f t="array" ref="EN20">INDEX('Indices Mines Exporting Ports'!M$20:M$51, MATCH(2,1/(('Indices Mines Exporting Ports'!$C$20:$C$51=$AU20)*('Indices Mines Exporting Ports'!$D$20:$D$51&lt;=$C20))))</f>
        <v>0</v>
      </c>
      <c r="EP20" s="300">
        <f t="array" ref="EP20">INDEX('Processing Factors'!$D$8:$D$29,MATCH(2,1/(('Processing Factors'!$B$8:$B$29&lt;=Main!$C20)*('Processing Factors'!$C$8:$C$29=Main!EM20))))</f>
        <v>0</v>
      </c>
      <c r="EQ20" s="299">
        <f t="array" ref="EQ20">INDEX('Processing Factors'!$E$8:$E$29,MATCH(2,1/(('Processing Factors'!$B$8:$B$29&lt;=Main!$C20)*('Processing Factors'!$C$8:$C$29=Main!EM20))))</f>
        <v>1</v>
      </c>
      <c r="ER20" s="299">
        <f t="array" ref="ER20">INDEX('Processing Factors'!$F$8:$F$29,MATCH(2,1/(('Processing Factors'!$B$8:$B$29&lt;=Main!$C20)*('Processing Factors'!$C$8:$C$29=Main!EM20))))</f>
        <v>0.9</v>
      </c>
      <c r="ES20" s="299">
        <f t="array" ref="ES20">INDEX('Processing Factors'!$G$8:$G$29,MATCH(2,1/(('Processing Factors'!$B$8:$B$29&lt;=Main!$C20)*('Processing Factors'!$C$8:$C$29=Main!EM20))))</f>
        <v>3.5999999999999997E-2</v>
      </c>
      <c r="ET20" s="299">
        <f t="array" ref="ET20">INDEX('Processing Factors'!$H$8:$H$29,MATCH(2,1/(('Processing Factors'!$B$8:$B$29&lt;=Main!$C20)*('Processing Factors'!$C$8:$C$29=Main!EM20))))</f>
        <v>12.15</v>
      </c>
      <c r="EU20" s="300">
        <f t="array" ref="EU20">INDEX('Processing Factors'!$I$8:$I$29,MATCH(2,1/(('Processing Factors'!$B$8:$B$29&lt;=Main!$C20)*('Processing Factors'!$C$8:$C$29=Main!EM20))))</f>
        <v>0</v>
      </c>
      <c r="EV20" s="300">
        <f t="array" ref="EV20">INDEX('Processing Factors'!$J$8:$J$29,MATCH(2,1/(('Processing Factors'!$B$8:$B$29&lt;=Main!$C20)*('Processing Factors'!$C$8:$C$29=Main!EM20))))</f>
        <v>0.9</v>
      </c>
      <c r="EW20" s="299">
        <f t="array" ref="EW20">INDEX('Processing Factors'!$K$8:$K$29,MATCH(2,1/(('Processing Factors'!$B$8:$B$29&lt;=Main!$C20)*('Processing Factors'!$C$8:$C$29=Main!EM20))))</f>
        <v>3.5000000000000003E-2</v>
      </c>
      <c r="EY20" s="302">
        <f t="shared" si="35"/>
        <v>0.5</v>
      </c>
      <c r="EZ20" s="302">
        <f t="shared" si="36"/>
        <v>0.05</v>
      </c>
      <c r="FA20" s="302">
        <f t="shared" si="37"/>
        <v>0.45</v>
      </c>
      <c r="FB20" s="299">
        <f t="shared" si="38"/>
        <v>2.4691358024691357</v>
      </c>
      <c r="FC20" s="304">
        <v>0</v>
      </c>
      <c r="FD20" s="299">
        <f t="shared" si="39"/>
        <v>0.14611111111111114</v>
      </c>
      <c r="FE20" s="281">
        <f t="shared" si="40"/>
        <v>35.103008604987139</v>
      </c>
      <c r="FF20" s="281">
        <f t="shared" si="41"/>
        <v>50.37416442905598</v>
      </c>
      <c r="FG20" s="281">
        <f t="shared" si="42"/>
        <v>1.2210288298473715</v>
      </c>
      <c r="FH20" s="299">
        <f t="shared" si="43"/>
        <v>1.6512469135802468</v>
      </c>
      <c r="FI20" s="281">
        <f t="shared" si="44"/>
        <v>7.0007641898540713</v>
      </c>
      <c r="FJ20" s="281">
        <f t="shared" si="45"/>
        <v>93.698966053744556</v>
      </c>
      <c r="FL20" s="287" t="s">
        <v>39</v>
      </c>
      <c r="FN20" s="315" t="e">
        <f t="shared" ca="1" si="293"/>
        <v>#NAME?</v>
      </c>
      <c r="FO20" s="316">
        <f t="shared" si="294"/>
        <v>0.42</v>
      </c>
      <c r="FP20" s="316">
        <f t="shared" si="295"/>
        <v>0.371</v>
      </c>
      <c r="FQ20" s="316">
        <f t="shared" si="296"/>
        <v>1.9E-2</v>
      </c>
      <c r="FR20" s="316">
        <f t="shared" si="297"/>
        <v>1.4E-2</v>
      </c>
      <c r="FS20" s="316">
        <f t="shared" si="298"/>
        <v>4.9999999999999992E-3</v>
      </c>
      <c r="FT20" s="316">
        <f t="shared" si="299"/>
        <v>3.5000000000000003E-2</v>
      </c>
      <c r="FU20" s="316">
        <f t="shared" si="300"/>
        <v>0.1</v>
      </c>
      <c r="FV20" s="317" t="str">
        <f t="shared" si="301"/>
        <v>LT</v>
      </c>
      <c r="FW20" s="318">
        <v>0</v>
      </c>
      <c r="FX20" s="237"/>
      <c r="FY20" s="319">
        <f t="array" ref="FY20">INDEX('Processing Factors'!$D$8:$D$29,MATCH(2,1/(('Processing Factors'!$B$8:$B$29&lt;=Main!$C20)*('Processing Factors'!$C$8:$C$29=Main!FV20))))</f>
        <v>0</v>
      </c>
      <c r="FZ20" s="320">
        <f t="array" ref="FZ20">INDEX('Processing Factors'!$E$8:$E$29,MATCH(2,1/(('Processing Factors'!$B$8:$B$29&lt;=Main!$C20)*('Processing Factors'!$C$8:$C$29=Main!FV20))))</f>
        <v>1</v>
      </c>
      <c r="GA20" s="320">
        <f t="array" ref="GA20">INDEX('Processing Factors'!$F$8:$F$29,MATCH(2,1/(('Processing Factors'!$B$8:$B$29&lt;=Main!$C20)*('Processing Factors'!$C$8:$C$29=Main!FV20))))</f>
        <v>0.9</v>
      </c>
      <c r="GB20" s="320">
        <f t="array" ref="GB20">INDEX('Processing Factors'!$G$8:$G$29,MATCH(2,1/(('Processing Factors'!$B$8:$B$29&lt;=Main!$C20)*('Processing Factors'!$C$8:$C$29=Main!FV20))))</f>
        <v>3.5999999999999997E-2</v>
      </c>
      <c r="GC20" s="320">
        <f t="array" ref="GC20">INDEX('Processing Factors'!$H$8:$H$29,MATCH(2,1/(('Processing Factors'!$B$8:$B$29&lt;=Main!$C20)*('Processing Factors'!$C$8:$C$29=Main!FV20))))</f>
        <v>12.15</v>
      </c>
      <c r="GD20" s="319">
        <f t="array" ref="GD20">INDEX('Processing Factors'!$I$8:$I$29,MATCH(2,1/(('Processing Factors'!$B$8:$B$29&lt;=Main!$C20)*('Processing Factors'!$C$8:$C$29=Main!FV20))))</f>
        <v>0</v>
      </c>
      <c r="GE20" s="321">
        <v>0.92</v>
      </c>
      <c r="GF20" s="320">
        <f t="array" ref="GF20">INDEX('Processing Factors'!$K$8:$K$29,MATCH(2,1/(('Processing Factors'!$B$8:$B$29&lt;=Main!$C20)*('Processing Factors'!$C$8:$C$29=Main!FV20))))</f>
        <v>3.5000000000000003E-2</v>
      </c>
      <c r="GG20" s="237"/>
      <c r="GH20" s="322">
        <f t="shared" si="46"/>
        <v>0.38500000000000001</v>
      </c>
      <c r="GI20" s="322">
        <f t="shared" si="47"/>
        <v>1.4E-2</v>
      </c>
      <c r="GJ20" s="322">
        <f t="shared" si="48"/>
        <v>0.371</v>
      </c>
      <c r="GK20" s="320">
        <f t="shared" si="49"/>
        <v>2.9298019453884914</v>
      </c>
      <c r="GL20" s="323" t="e">
        <f t="shared" ca="1" si="50"/>
        <v>#NAME?</v>
      </c>
      <c r="GM20" s="320">
        <f t="shared" si="51"/>
        <v>7.191550451189499E-2</v>
      </c>
      <c r="GN20" s="323">
        <f t="shared" si="52"/>
        <v>17.277608489290774</v>
      </c>
      <c r="GO20" s="323">
        <f t="shared" si="53"/>
        <v>50.37416442905598</v>
      </c>
      <c r="GP20" s="323">
        <f t="shared" si="54"/>
        <v>1.2210288298473715</v>
      </c>
      <c r="GQ20" s="320">
        <f t="shared" si="55"/>
        <v>2.0377174499003865</v>
      </c>
      <c r="GR20" s="323">
        <f t="shared" si="56"/>
        <v>8.6392769215674967</v>
      </c>
      <c r="GS20" s="323" t="e">
        <f t="shared" ca="1" si="57"/>
        <v>#NAME?</v>
      </c>
      <c r="GT20" s="237"/>
      <c r="GU20" s="324" t="e">
        <f t="shared" ca="1" si="58"/>
        <v>#NAME?</v>
      </c>
      <c r="GV20" s="325">
        <f t="array" ref="GV20">INDEX('Indices Mines Exporting Ports'!E$20:E$51, MATCH(2,1/(('Indices Mines Exporting Ports'!$C$20:$C$51=$BC20)*('Indices Mines Exporting Ports'!$D$20:$D$51&lt;=$C20))))</f>
        <v>0.5</v>
      </c>
      <c r="GW20" s="325">
        <f t="array" ref="GW20">INDEX('Indices Mines Exporting Ports'!F$20:F$51, MATCH(2,1/(('Indices Mines Exporting Ports'!$C$20:$C$51=$BC20)*('Indices Mines Exporting Ports'!$D$20:$D$51&lt;=$C20))))</f>
        <v>0.45</v>
      </c>
      <c r="GX20" s="325">
        <f t="array" ref="GX20">INDEX('Indices Mines Exporting Ports'!G$20:G$51, MATCH(2,1/(('Indices Mines Exporting Ports'!$C$20:$C$51=$BC20)*('Indices Mines Exporting Ports'!$D$20:$D$51&lt;=$C20))))</f>
        <v>0.05</v>
      </c>
      <c r="GY20" s="325">
        <f t="array" ref="GY20">INDEX('Indices Mines Exporting Ports'!H$20:H$51, MATCH(2,1/(('Indices Mines Exporting Ports'!$C$20:$C$51=$BC20)*('Indices Mines Exporting Ports'!$D$20:$D$51&lt;=$C20))))</f>
        <v>0.05</v>
      </c>
      <c r="GZ20" s="325">
        <f t="array" ref="GZ20">INDEX('Indices Mines Exporting Ports'!I$20:I$51, MATCH(2,1/(('Indices Mines Exporting Ports'!$C$20:$C$51=$BC20)*('Indices Mines Exporting Ports'!$D$20:$D$51&lt;=$C20))))</f>
        <v>0</v>
      </c>
      <c r="HA20" s="325">
        <f t="array" ref="HA20">INDEX('Indices Mines Exporting Ports'!J$20:J$51, MATCH(2,1/(('Indices Mines Exporting Ports'!$C$20:$C$51=$BC20)*('Indices Mines Exporting Ports'!$D$20:$D$51&lt;=$C20))))</f>
        <v>0</v>
      </c>
      <c r="HB20" s="325">
        <f t="array" ref="HB20">INDEX('Indices Mines Exporting Ports'!K$20:K$51, MATCH(2,1/(('Indices Mines Exporting Ports'!$C$20:$C$51=$BC20)*('Indices Mines Exporting Ports'!$D$20:$D$51&lt;=$C20))))</f>
        <v>0.1</v>
      </c>
      <c r="HC20" s="326" t="str">
        <f t="array" ref="HC20">INDEX('Indices Mines Exporting Ports'!L$20:L$51, MATCH(2,1/(('Indices Mines Exporting Ports'!$C$20:$C$51=$BC20)*('Indices Mines Exporting Ports'!$D$20:$D$51&lt;=$C20))))</f>
        <v>LT</v>
      </c>
      <c r="HD20" s="262">
        <f t="array" ref="HD20">INDEX('Indices Mines Exporting Ports'!M$20:M$51, MATCH(2,1/(('Indices Mines Exporting Ports'!$C$20:$C$51=$BC20)*('Indices Mines Exporting Ports'!$D$20:$D$51&lt;=$C20))))</f>
        <v>0</v>
      </c>
      <c r="HE20" s="237"/>
      <c r="HF20" s="319">
        <f t="array" ref="HF20">INDEX('Processing Factors'!$D$8:$D$29,MATCH(2,1/(('Processing Factors'!$B$8:$B$29&lt;=Main!$C20)*('Processing Factors'!$C$8:$C$29=Main!HC20))))</f>
        <v>0</v>
      </c>
      <c r="HG20" s="320">
        <f t="array" ref="HG20">INDEX('Processing Factors'!$E$8:$E$29,MATCH(2,1/(('Processing Factors'!$B$8:$B$29&lt;=Main!$C20)*('Processing Factors'!$C$8:$C$29=Main!HC20))))</f>
        <v>1</v>
      </c>
      <c r="HH20" s="320">
        <f t="array" ref="HH20">INDEX('Processing Factors'!$F$8:$F$29,MATCH(2,1/(('Processing Factors'!$B$8:$B$29&lt;=Main!$C20)*('Processing Factors'!$C$8:$C$29=Main!HC20))))</f>
        <v>0.9</v>
      </c>
      <c r="HI20" s="320">
        <f t="array" ref="HI20">INDEX('Processing Factors'!$G$8:$G$29,MATCH(2,1/(('Processing Factors'!$B$8:$B$29&lt;=Main!$C20)*('Processing Factors'!$C$8:$C$29=Main!HC20))))</f>
        <v>3.5999999999999997E-2</v>
      </c>
      <c r="HJ20" s="320">
        <f t="array" ref="HJ20">INDEX('Processing Factors'!$H$8:$H$29,MATCH(2,1/(('Processing Factors'!$B$8:$B$29&lt;=Main!$C20)*('Processing Factors'!$C$8:$C$29=Main!HC20))))</f>
        <v>12.15</v>
      </c>
      <c r="HK20" s="319">
        <f t="array" ref="HK20">INDEX('Processing Factors'!$I$8:$I$29,MATCH(2,1/(('Processing Factors'!$B$8:$B$29&lt;=Main!$C20)*('Processing Factors'!$C$8:$C$29=Main!HC20))))</f>
        <v>0</v>
      </c>
      <c r="HL20" s="321">
        <v>0.92</v>
      </c>
      <c r="HM20" s="320">
        <f t="array" ref="HM20">INDEX('Processing Factors'!$K$8:$K$29,MATCH(2,1/(('Processing Factors'!$B$8:$B$29&lt;=Main!$C20)*('Processing Factors'!$C$8:$C$29=Main!HC20))))</f>
        <v>3.5000000000000003E-2</v>
      </c>
      <c r="HN20" s="237"/>
      <c r="HO20" s="322">
        <f t="shared" si="59"/>
        <v>0.5</v>
      </c>
      <c r="HP20" s="322">
        <f t="shared" si="60"/>
        <v>0.05</v>
      </c>
      <c r="HQ20" s="322">
        <f t="shared" si="61"/>
        <v>0.45</v>
      </c>
      <c r="HR20" s="320">
        <f t="shared" si="62"/>
        <v>2.4154589371980677</v>
      </c>
      <c r="HS20" s="263">
        <v>0</v>
      </c>
      <c r="HT20" s="320">
        <f t="shared" si="63"/>
        <v>0.14369565217391306</v>
      </c>
      <c r="HU20" s="323">
        <f t="shared" si="64"/>
        <v>34.522697667559676</v>
      </c>
      <c r="HV20" s="323">
        <f t="shared" si="65"/>
        <v>50.37416442905598</v>
      </c>
      <c r="HW20" s="323">
        <f t="shared" si="66"/>
        <v>1.2210288298473715</v>
      </c>
      <c r="HX20" s="320">
        <f t="shared" si="67"/>
        <v>1.5951545893719807</v>
      </c>
      <c r="HY20" s="323">
        <f t="shared" si="68"/>
        <v>6.7629504919671319</v>
      </c>
      <c r="HZ20" s="323">
        <f t="shared" si="69"/>
        <v>92.880841418430151</v>
      </c>
      <c r="IB20" s="287" t="s">
        <v>39</v>
      </c>
      <c r="ID20" s="89" t="str">
        <f t="shared" si="70"/>
        <v>Chalco Boffa</v>
      </c>
      <c r="IE20" s="18">
        <f t="shared" si="319"/>
        <v>43923</v>
      </c>
      <c r="IF20" s="94">
        <f t="array" ref="IF20">INDEX('Indices Mines Exporting Ports'!E$20:E$51, MATCH(2,1/(('Indices Mines Exporting Ports'!$C$20:$C$51=$ID20)*('Indices Mines Exporting Ports'!$D$20:$D$51&lt;=$IE20))))</f>
        <v>0.42</v>
      </c>
      <c r="IG20" s="94">
        <f t="array" ref="IG20">INDEX('Indices Mines Exporting Ports'!F$20:F$51, MATCH(2,1/(('Indices Mines Exporting Ports'!$C$20:$C$51=$ID20)*('Indices Mines Exporting Ports'!$D$20:$D$51&lt;=$IE20))))</f>
        <v>0.371</v>
      </c>
      <c r="IH20" s="95">
        <f t="array" ref="IH20">INDEX('Indices Mines Exporting Ports'!G$20:G$51, MATCH(2,1/(('Indices Mines Exporting Ports'!$C$20:$C$51=$ID20)*('Indices Mines Exporting Ports'!$D$20:$D$51&lt;=$IE20))))</f>
        <v>1.9E-2</v>
      </c>
      <c r="II20" s="95">
        <f t="array" ref="II20">INDEX('Indices Mines Exporting Ports'!H$20:H$51, MATCH(2,1/(('Indices Mines Exporting Ports'!$C$20:$C$51=$ID20)*('Indices Mines Exporting Ports'!$D$20:$D$51&lt;=$IE20))))</f>
        <v>1.4E-2</v>
      </c>
      <c r="IJ20" s="95">
        <f t="array" ref="IJ20">INDEX('Indices Mines Exporting Ports'!I$20:I$51, MATCH(2,1/(('Indices Mines Exporting Ports'!$C$20:$C$51=$ID20)*('Indices Mines Exporting Ports'!$D$20:$D$51&lt;=$IE20))))</f>
        <v>4.9999999999999992E-3</v>
      </c>
      <c r="IK20" s="94">
        <f t="array" ref="IK20">INDEX('Indices Mines Exporting Ports'!J$20:J$51, MATCH(2,1/(('Indices Mines Exporting Ports'!$C$20:$C$51=$ID20)*('Indices Mines Exporting Ports'!$D$20:$D$51&lt;=$IE20))))</f>
        <v>3.5000000000000003E-2</v>
      </c>
      <c r="IL20" s="94">
        <f t="array" ref="IL20">INDEX('Indices Mines Exporting Ports'!K$20:K$51, MATCH(2,1/(('Indices Mines Exporting Ports'!$C$20:$C$51=$ID20)*('Indices Mines Exporting Ports'!$D$20:$D$51&lt;=$IE20))))</f>
        <v>0.1</v>
      </c>
      <c r="IM20" s="93" t="str">
        <f t="array" ref="IM20">INDEX('Indices Mines Exporting Ports'!L$20:L$51, MATCH(2,1/(('Indices Mines Exporting Ports'!$C$20:$C$51=$ID20)*('Indices Mines Exporting Ports'!$D$20:$D$51&lt;=$IE20))))</f>
        <v>LT</v>
      </c>
      <c r="IN20" s="101">
        <f t="array" ref="IN20">INDEX('Indices Mines Exporting Ports'!M$20:M$51, MATCH(2,1/(('Indices Mines Exporting Ports'!$C$20:$C$51=$ID20)*('Indices Mines Exporting Ports'!$D$20:$D$51&lt;=$IE20))))</f>
        <v>0.33</v>
      </c>
      <c r="IO20" s="96">
        <f t="array" ref="IO20">INDEX('Indices Mines Exporting Ports'!N$20:N$51, MATCH(2,1/(('Indices Mines Exporting Ports'!$C$20:$C$51=$ID20)*('Indices Mines Exporting Ports'!$D$20:$D$51&lt;=$IE20))))</f>
        <v>180000</v>
      </c>
      <c r="IP20" s="95" t="str">
        <f t="array" ref="IP20">INDEX('Indices Mines Exporting Ports'!Q$20:Q$51, MATCH(2,1/(('Indices Mines Exporting Ports'!$C$20:$C$51=$ID20)*('Indices Mines Exporting Ports'!$D$20:$D$51&lt;=$IE20))))</f>
        <v>Chalco_Boffa_offshore</v>
      </c>
      <c r="IQ20" s="95" t="str">
        <f t="array" ref="IQ20">INDEX('Indices Mines Exporting Ports'!O$20:O$51, MATCH(2,1/(('Indices Mines Exporting Ports'!$C$20:$C$51=$ID20)*('Indices Mines Exporting Ports'!$D$20:$D$51&lt;=$IE20))))</f>
        <v>Guinea 45/3 LT</v>
      </c>
      <c r="IR20" s="95" t="str">
        <f t="array" ref="IR20">INDEX('Indices Mines Exporting Ports'!P$20:P$51, MATCH(2,1/(('Indices Mines Exporting Ports'!$C$20:$C$51=$ID20)*('Indices Mines Exporting Ports'!$D$20:$D$51&lt;=$IE20))))</f>
        <v>CBIX LT</v>
      </c>
      <c r="IT20" s="287" t="s">
        <v>39</v>
      </c>
      <c r="IV20" s="292">
        <f>VLOOKUP($C20,'China Price Series'!$C$10:$D$1009,2,TRUE)/$JA20/(VLOOKUP($C20,'China Price Series'!$C$10:$E$1009,3,TRUE)*$JG20/$JF20)</f>
        <v>4.146021763708311</v>
      </c>
      <c r="IW20" s="292">
        <f>VLOOKUP($C20,'China Price Series'!$G$10:$H$1009,2,TRUE)/$JA20/(VLOOKUP($C20,'China Price Series'!$G$10:$I$1009,3,TRUE))</f>
        <v>240.24872809496895</v>
      </c>
      <c r="IX20" s="292">
        <f>VLOOKUP($C20,'China Price Series'!$K$10:$L$1009,2,TRUE)/$JA20</f>
        <v>33.91746749576032</v>
      </c>
      <c r="IY20" s="292">
        <f>VLOOKUP($C20,'China Price Series'!$N$10:$O$1009,2,TRUE)/$JA20</f>
        <v>4.23968343697004</v>
      </c>
      <c r="JA20" s="277">
        <f t="array" ref="JA20">INDEX('FX rates'!E$10:E$1009,MATCH(2,1/(('FX rates'!$D$10:$D$1009&lt;=Main!$C20)*(NOT(ISBLANK('FX rates'!E$10:E$1009))))))</f>
        <v>7.0759999999999987</v>
      </c>
      <c r="JB20" s="277">
        <f t="array" ref="JB20">INDEX('FX rates'!F$10:F$1009,MATCH(2,1/(('FX rates'!$D$10:$D$1009&lt;=Main!$C20)*(NOT(ISBLANK('FX rates'!F$10:F$1009))))))</f>
        <v>0.59156405988048044</v>
      </c>
      <c r="JC20" s="277">
        <f t="array" ref="JC20">INDEX('FX rates'!G$10:G$1009,MATCH(2,1/(('FX rates'!$D$10:$D$1009&lt;=Main!$C20)*(NOT(ISBLANK('FX rates'!G$10:G$1009))))))</f>
        <v>1</v>
      </c>
      <c r="JD20" s="277">
        <f t="array" ref="JD20">INDEX('FX rates'!H$10:H$1009,MATCH(2,1/(('FX rates'!$D$10:$D$1009&lt;=Main!$C20)*(NOT(ISBLANK('FX rates'!H$10:H$1009))))))</f>
        <v>1.35</v>
      </c>
      <c r="JF20" s="111">
        <f t="array" ref="JF20">INDEX('Global factors'!C$5:C$23,MATCH(2,1/(('Global factors'!$B$5:$B$23&lt;=Main!$C20)*(NOT(ISBLANK('Global factors'!C$5:C$23))))))</f>
        <v>239000</v>
      </c>
      <c r="JG20" s="112">
        <f t="array" ref="JG20">INDEX('Global factors'!D$5:D$23,MATCH(2,1/(('Global factors'!$B$5:$B$23&lt;=Main!$C20)*(NOT(ISBLANK('Global factors'!D$5:D$23))))))</f>
        <v>1000</v>
      </c>
      <c r="JH20" s="112">
        <f t="array" ref="JH20">INDEX('Global factors'!E$5:E$23,MATCH(2,1/(('Global factors'!$B$5:$B$23&lt;=Main!$C20)*(NOT(ISBLANK('Global factors'!E$5:E$23))))))</f>
        <v>24</v>
      </c>
      <c r="JI20" s="112">
        <f t="array" ref="JI20">INDEX('Global factors'!F$5:F$23,MATCH(2,1/(('Global factors'!$B$5:$B$23&lt;=Main!$C20)*(NOT(ISBLANK('Global factors'!F$5:F$23))))))</f>
        <v>2</v>
      </c>
      <c r="JJ20" s="117">
        <f t="array" ref="JJ20">INDEX('Global factors'!G$5:G$23,MATCH(2,1/(('Global factors'!$B$5:$B$23&lt;=Main!$C20)*(NOT(ISBLANK('Global factors'!G$5:G$23))))))</f>
        <v>0.08</v>
      </c>
      <c r="JK20" s="113">
        <f t="array" ref="JK20">INDEX('Global factors'!H$5:H$23,MATCH(2,1/(('Global factors'!$B$5:$B$23&lt;=Main!$C20)*(NOT(ISBLANK('Global factors'!H$5:H$23))))))</f>
        <v>101.96</v>
      </c>
      <c r="JL20" s="113">
        <f t="array" ref="JL20">INDEX('Global factors'!I$5:I$23,MATCH(2,1/(('Global factors'!$B$5:$B$23&lt;=Main!$C20)*(NOT(ISBLANK('Global factors'!I$5:I$23))))))</f>
        <v>60.08</v>
      </c>
      <c r="JM20" s="114">
        <f t="array" ref="JM20">INDEX('Global factors'!J$5:J$23,MATCH(2,1/(('Global factors'!$B$5:$B$23&lt;=Main!$C20)*(NOT(ISBLANK('Global factors'!J$5:J$23))))))</f>
        <v>0.84853528628495334</v>
      </c>
      <c r="JN20" s="115">
        <f t="array" ref="JN20">INDEX('Global factors'!K$5:K$23,MATCH(2,1/(('Global factors'!$B$5:$B$23&lt;=Main!$C20)*(NOT(ISBLANK('Global factors'!K$5:K$23))))))</f>
        <v>0.97499999999999998</v>
      </c>
      <c r="JO20" s="116">
        <f t="array" ref="JO20">INDEX('Global factors'!L$5:L$23,MATCH(2,1/(('Global factors'!$B$5:$B$23&lt;=Main!$C20)*(NOT(ISBLANK('Global factors'!L$5:L$23))))))</f>
        <v>8.7299999999999997E-4</v>
      </c>
      <c r="JP20" s="116">
        <f t="array" ref="JP20">INDEX('Global factors'!M$5:M$23,MATCH(2,1/(('Global factors'!$B$5:$B$23&lt;=Main!$C20)*(NOT(ISBLANK('Global factors'!M$5:M$23))))))</f>
        <v>145.88999999999999</v>
      </c>
      <c r="JQ20" s="116">
        <f t="array" ref="JQ20">INDEX('Global factors'!N$5:N$23,MATCH(2,1/(('Global factors'!$B$5:$B$23&lt;=Main!$C20)*(NOT(ISBLANK('Global factors'!N$5:N$23))))))</f>
        <v>0.40339999999999998</v>
      </c>
      <c r="JR20" s="116">
        <f t="array" ref="JR20">INDEX('Global factors'!O$5:O$23,MATCH(2,1/(('Global factors'!$B$5:$B$23&lt;=Main!$C20)*(NOT(ISBLANK('Global factors'!O$5:O$23))))))</f>
        <v>0</v>
      </c>
      <c r="JS20" s="116">
        <f t="array" ref="JS20">INDEX('Global factors'!P$5:P$23,MATCH(2,1/(('Global factors'!$B$5:$B$23&lt;=Main!$C20)*(NOT(ISBLANK('Global factors'!P$5:P$23))))))</f>
        <v>0.51890000000000003</v>
      </c>
      <c r="JT20" s="116">
        <f t="array" ref="JT20">INDEX('Global factors'!Q$5:Q$23,MATCH(2,1/(('Global factors'!$B$5:$B$23&lt;=Main!$C20)*(NOT(ISBLANK('Global factors'!Q$5:Q$23))))))</f>
        <v>4797</v>
      </c>
      <c r="JU20" s="116">
        <f t="array" ref="JU20">INDEX('Global factors'!R$5:R$23,MATCH(2,1/(('Global factors'!$B$5:$B$23&lt;=Main!$C20)*(NOT(ISBLANK('Global factors'!R$5:R$23))))))</f>
        <v>7</v>
      </c>
      <c r="JV20" s="115">
        <f t="array" ref="JV20">INDEX('Global factors'!S$5:S$23,MATCH(2,1/(('Global factors'!$B$5:$B$23&lt;=Main!$C20)*(NOT(ISBLANK('Global factors'!S$5:S$23))))))</f>
        <v>0.12</v>
      </c>
      <c r="JW20" s="115">
        <f t="array" ref="JW20">INDEX('Global factors'!T$5:T$23,MATCH(2,1/(('Global factors'!$B$5:$B$23&lt;=Main!$C20)*(NOT(ISBLANK('Global factors'!T$5:T$23))))))</f>
        <v>0.5</v>
      </c>
      <c r="JX20" s="116">
        <f t="array" ref="JX20">INDEX('Global factors'!U$5:U$23,MATCH(2,1/(('Global factors'!$B$5:$B$23&lt;=Main!$C20)*(NOT(ISBLANK('Global factors'!U$5:U$23))))))</f>
        <v>0.5</v>
      </c>
      <c r="JY20" s="116">
        <f t="array" ref="JY20">INDEX('Global factors'!V$5:V$23,MATCH(2,1/(('Global factors'!$B$5:$B$23&lt;=Main!$C20)*(NOT(ISBLANK('Global factors'!V$5:V$23))))))</f>
        <v>10000</v>
      </c>
      <c r="JZ20" s="116">
        <f t="array" ref="JZ20">INDEX('Global factors'!W$5:W$23,MATCH(2,1/(('Global factors'!$B$5:$B$23&lt;=Main!$C20)*(NOT(ISBLANK('Global factors'!W$5:W$23))))))</f>
        <v>0.10680000000000001</v>
      </c>
      <c r="KA20" s="116">
        <f t="array" ref="KA20">INDEX('Global factors'!X$5:X$23,MATCH(2,1/(('Global factors'!$B$5:$B$23&lt;=Main!$C20)*(NOT(ISBLANK('Global factors'!X$5:X$23))))))</f>
        <v>1.2</v>
      </c>
      <c r="KB20" s="116">
        <v>0</v>
      </c>
      <c r="KC20" s="272">
        <f t="array" ref="KC20">INDEX('Global factors'!Y$5:Y$23,MATCH(2,1/(('Global factors'!$B$5:$B$23&lt;=Main!$C20)*(NOT(ISBLANK('Global factors'!Y$5:Y$23))))))</f>
        <v>23643.7088248818</v>
      </c>
      <c r="KD20" s="273">
        <f t="array" ref="KD20">INDEX('Global factors'!Z$5:Z$23,MATCH(2,1/(('Global factors'!$B$5:$B$23&lt;=Main!$C20)*(NOT(ISBLANK('Global factors'!Z$5:Z$23))))))</f>
        <v>0.62802869915581405</v>
      </c>
      <c r="KE20" s="273">
        <v>0</v>
      </c>
      <c r="KF20" s="273">
        <v>0</v>
      </c>
      <c r="KG20" s="116">
        <v>0</v>
      </c>
      <c r="KH20" s="116">
        <f t="array" ref="KH20">INDEX('Global factors'!AB$5:AB$23,MATCH(2,1/(('Global factors'!$B$5:$B$23&lt;=Main!$C20)*(NOT(ISBLANK('Global factors'!AB$5:AB$23))))))</f>
        <v>6.2556361557795204E-2</v>
      </c>
      <c r="KI20" s="116">
        <f t="array" ref="KI20">INDEX('Global factors'!AC$5:AC$23,MATCH(2,1/(('Global factors'!$B$5:$B$23&lt;=Main!$C20)*(NOT(ISBLANK('Global factors'!AC$5:AC$23))))))</f>
        <v>8.6923129044225601E-4</v>
      </c>
      <c r="KJ20" s="116">
        <f t="array" ref="KJ20">INDEX('Global factors'!AD$5:AD$23,MATCH(2,1/(('Global factors'!$B$5:$B$23&lt;=Main!$C20)*(NOT(ISBLANK('Global factors'!AD$5:AD$23))))))</f>
        <v>1.1499999999999999</v>
      </c>
      <c r="KK20" s="116" t="str">
        <f t="array" ref="KK20">INDEX('Global factors'!AE$5:AE$23,MATCH(2,1/(('Global factors'!$B$5:$B$23&lt;=Main!$C20)*(NOT(ISBLANK('Global factors'!AE$5:AE$23))))))</f>
        <v>Qingdao</v>
      </c>
      <c r="KL20" s="290">
        <f t="array" ref="KL20">INDEX('Global factors'!AF$5:AF$23,MATCH(2,1/(('Global factors'!$B$5:$B$23&lt;=Main!$C20)*(NOT(ISBLANK('Global factors'!AF$5:AF$23))))))</f>
        <v>3.0000000000000001E-3</v>
      </c>
      <c r="KM20" s="290">
        <f t="array" ref="KM20">INDEX('Global factors'!AG$5:AG$23,MATCH(2,1/(('Global factors'!$B$5:$B$23&lt;=Main!$C20)*(NOT(ISBLANK('Global factors'!AG$5:AG$23))))))</f>
        <v>0.05</v>
      </c>
      <c r="KO20" s="287" t="s">
        <v>39</v>
      </c>
      <c r="KQ20" s="25">
        <f t="shared" si="320"/>
        <v>180000</v>
      </c>
      <c r="KR20" s="4" t="str">
        <f>VLOOKUP(KQ20,'Ship Time Charter Rates'!$F$10:$G$17,2,TRUE)</f>
        <v>Capesize</v>
      </c>
      <c r="KS20" s="4" t="str">
        <f>VLOOKUP(KQ20,Canals!$E$5:$F$12,2,TRUE)</f>
        <v>Capesize</v>
      </c>
      <c r="KT20" s="25">
        <f t="shared" si="71"/>
        <v>303.02999999999997</v>
      </c>
      <c r="KU20" s="25">
        <f t="shared" si="72"/>
        <v>72612</v>
      </c>
      <c r="KV20" s="25">
        <f t="shared" si="73"/>
        <v>98199</v>
      </c>
      <c r="KX20" s="75">
        <f t="array" ref="KX20">INDEX('Indices Mines Exporting Ports'!$R$20:$R$51,MATCH(2,1/(('Indices Mines Exporting Ports'!$D$20:$D$51&lt;=Main!$C20)*('Indices Mines Exporting Ports'!$Q$20:$Q$51=$AP20))))</f>
        <v>30000</v>
      </c>
      <c r="KY20" s="75">
        <f t="array" ref="KY20">INDEX('Indices Mines Exporting Ports'!$S$20:$S$51,MATCH(2,1/(('Indices Mines Exporting Ports'!$D$20:$D$51&lt;=Main!$C20)*('Indices Mines Exporting Ports'!$Q$20:$Q$51=$AP20))))</f>
        <v>30000</v>
      </c>
      <c r="KZ20" s="75">
        <f t="array" ref="KZ20">INDEX('Indices Mines Exporting Ports'!$T$20:$T$51,MATCH(2,1/(('Indices Mines Exporting Ports'!$D$20:$D$51&lt;=Main!$C20)*('Indices Mines Exporting Ports'!$Q$20:$Q$51=$AP20))))</f>
        <v>30000</v>
      </c>
      <c r="LA20" s="75">
        <f t="array" ref="LA20">INDEX('Indices Mines Exporting Ports'!$U$20:$U$51,MATCH(2,1/(('Indices Mines Exporting Ports'!$D$20:$D$51&lt;=Main!$C20)*('Indices Mines Exporting Ports'!$Q$20:$Q$51=$AP20))))</f>
        <v>30000</v>
      </c>
      <c r="LB20" s="75">
        <f t="array" ref="LB20">INDEX('Indices Mines Exporting Ports'!$V$20:$V$51,MATCH(2,1/(('Indices Mines Exporting Ports'!$D$20:$D$51&lt;=Main!$C20)*('Indices Mines Exporting Ports'!$Q$20:$Q$51=$AP20))))</f>
        <v>30000</v>
      </c>
      <c r="LC20" s="75">
        <f t="array" ref="LC20">INDEX('Indices Mines Exporting Ports'!$W$20:$W$51,MATCH(2,1/(('Indices Mines Exporting Ports'!$D$20:$D$51&lt;=Main!$C20)*('Indices Mines Exporting Ports'!$Q$20:$Q$51=$AP20))))</f>
        <v>30000</v>
      </c>
      <c r="LD20" s="75">
        <f t="array" ref="LD20">INDEX('Indices Mines Exporting Ports'!$X$20:$X$51,MATCH(2,1/(('Indices Mines Exporting Ports'!$D$20:$D$51&lt;=Main!$C20)*('Indices Mines Exporting Ports'!$Q$20:$Q$51=$AP20))))</f>
        <v>30000</v>
      </c>
      <c r="LF20" s="75">
        <f t="array" ref="LF20">INDEX('Port Linkages'!$E$18:$E$157,MATCH(2,1/(('Port Linkages'!$C$18:$C$157=$AP20)*('Port Linkages'!$D$18:$D$157=IF($AO20="Yes",$AQ20,$AS20))*('Port Linkages'!$A$18:$A$157&lt;=$C20))))</f>
        <v>11050</v>
      </c>
      <c r="LG20" s="75">
        <f t="array" ref="LG20">INDEX('Port Linkages'!$F$18:$F$157,MATCH(2,1/(('Port Linkages'!$C$18:$C$157=$AP20)*('Port Linkages'!$D$18:$D$157=IF($AO20="Yes",$AQ20,$AS20))*('Port Linkages'!$A$18:$A$157&lt;=$C20))))</f>
        <v>0</v>
      </c>
      <c r="LH20" s="75" t="str">
        <f t="array" ref="LH20">INDEX('Port Linkages'!$G$18:$G$157,MATCH(2,1/(('Port Linkages'!$C$18:$C$157=$AP20)*('Port Linkages'!$D$18:$D$157=IF($AO20="Yes",$AQ20,$AS20))*('Port Linkages'!$A$18:$A$157&lt;=$C20))))</f>
        <v>VLOC_General</v>
      </c>
      <c r="LI20" s="75" t="str">
        <f t="array" ref="LI20">INDEX('Port Linkages'!$H$18:$H$157,MATCH(2,1/(('Port Linkages'!$C$18:$C$157=$AP20)*('Port Linkages'!$D$18:$D$157=IF($AO20="Yes",$AQ20,$AS20))*('Port Linkages'!$A$18:$A$157&lt;=$C20))))</f>
        <v>Singapore</v>
      </c>
      <c r="LJ20" s="75" t="str">
        <f t="array" ref="LJ20">INDEX('Port Linkages'!$I$18:$I$157,MATCH(2,1/(('Port Linkages'!$C$18:$C$157=$AP20)*('Port Linkages'!$D$18:$D$157=IF($AO20="Yes",$AQ20,$AS20))*('Port Linkages'!$A$18:$A$157&lt;=$C20))))</f>
        <v>VLSFO</v>
      </c>
      <c r="LK20" s="75" t="str">
        <f t="array" ref="LK20">INDEX('Port Linkages'!$J$18:$J$157,MATCH(2,1/(('Port Linkages'!$C$18:$C$157=$AP20)*('Port Linkages'!$D$18:$D$157=IF($AO20="Yes",$AQ20,$AS20))*('Port Linkages'!$A$18:$A$157&lt;=$C20))))</f>
        <v>MGO_Regular</v>
      </c>
      <c r="LL20" s="75" t="str">
        <f t="array" ref="LL20">INDEX('Port Linkages'!$K$18:$K$157,MATCH(2,1/(('Port Linkages'!$C$18:$C$157=$AP20)*('Port Linkages'!$D$18:$D$157=IF($AO20="Yes",$AQ20,$AS20))*('Port Linkages'!$A$18:$A$157&lt;=$C20))))</f>
        <v>none</v>
      </c>
      <c r="LM20" s="75">
        <f t="array" ref="LM20">INDEX('Port Linkages'!$L$18:$L$157,MATCH(2,1/(('Port Linkages'!$C$18:$C$157=$AP20)*('Port Linkages'!$D$18:$D$157=IF($AO20="Yes",$AQ20,$AS20))*('Port Linkages'!$A$18:$A$157&lt;=$C20))))</f>
        <v>11050</v>
      </c>
      <c r="LN20" s="75">
        <f t="array" ref="LN20">INDEX('Port Linkages'!$M$18:$M$157,MATCH(2,1/(('Port Linkages'!$C$18:$C$157=$AP20)*('Port Linkages'!$D$18:$D$157=IF($AO20="Yes",$AQ20,$AS20))*('Port Linkages'!$A$18:$A$157&lt;=$C20))))</f>
        <v>0</v>
      </c>
      <c r="LO20" s="75" t="str">
        <f t="array" ref="LO20">INDEX('Port Linkages'!$N$18:$N$157,MATCH(2,1/(('Port Linkages'!$C$18:$C$157=$AP20)*('Port Linkages'!$D$18:$D$157=IF($AO20="Yes",$AQ20,$AS20))*('Port Linkages'!$A$18:$A$157&lt;=$C20))))</f>
        <v>Capesize_General</v>
      </c>
      <c r="LP20" s="75" t="str">
        <f t="array" ref="LP20">INDEX('Port Linkages'!$O$18:$O$157,MATCH(2,1/(('Port Linkages'!$C$18:$C$157=$AP20)*('Port Linkages'!$D$18:$D$157=IF($AO20="Yes",$AQ20,$AS20))*('Port Linkages'!$A$18:$A$157&lt;=$C20))))</f>
        <v>Singapore</v>
      </c>
      <c r="LQ20" s="75" t="str">
        <f t="array" ref="LQ20">INDEX('Port Linkages'!$P$18:$P$157,MATCH(2,1/(('Port Linkages'!$C$18:$C$157=$AP20)*('Port Linkages'!$D$18:$D$157=IF($AO20="Yes",$AQ20,$AS20))*('Port Linkages'!$A$18:$A$157&lt;=$C20))))</f>
        <v>VLSFO</v>
      </c>
      <c r="LR20" s="75" t="str">
        <f t="array" ref="LR20">INDEX('Port Linkages'!$Q$18:$Q$157,MATCH(2,1/(('Port Linkages'!$C$18:$C$157=$AP20)*('Port Linkages'!$D$18:$D$157=IF($AO20="Yes",$AQ20,$AS20))*('Port Linkages'!$A$18:$A$157&lt;=$C20))))</f>
        <v>MGO_Regular</v>
      </c>
      <c r="LS20" s="75" t="str">
        <f t="array" ref="LS20">INDEX('Port Linkages'!$R$18:$R$157,MATCH(2,1/(('Port Linkages'!$C$18:$C$157=$AP20)*('Port Linkages'!$D$18:$D$157=IF($AO20="Yes",$AQ20,$AS20))*('Port Linkages'!$A$18:$A$157&lt;=$C20))))</f>
        <v>none</v>
      </c>
      <c r="LT20" s="75">
        <f t="array" ref="LT20">INDEX('Port Linkages'!$S$18:$S$157,MATCH(2,1/(('Port Linkages'!$C$18:$C$157=$AP20)*('Port Linkages'!$D$18:$D$157=IF($AO20="Yes",$AQ20,$AS20))*('Port Linkages'!$A$18:$A$157&lt;=$C20))))</f>
        <v>11050</v>
      </c>
      <c r="LU20" s="75">
        <f t="array" ref="LU20">INDEX('Port Linkages'!$T$18:$T$157,MATCH(2,1/(('Port Linkages'!$C$18:$C$157=$AP20)*('Port Linkages'!$D$18:$D$157=IF($AO20="Yes",$AQ20,$AS20))*('Port Linkages'!$A$18:$A$157&lt;=$C20))))</f>
        <v>0</v>
      </c>
      <c r="LV20" s="75" t="str">
        <f t="array" ref="LV20">INDEX('Port Linkages'!$U$18:$U$157,MATCH(2,1/(('Port Linkages'!$C$18:$C$157=$AP20)*('Port Linkages'!$D$18:$D$157=IF($AO20="Yes",$AQ20,$AS20))*('Port Linkages'!$A$18:$A$157&lt;=$C20))))</f>
        <v>Capesize_General</v>
      </c>
      <c r="LW20" s="75" t="str">
        <f t="array" ref="LW20">INDEX('Port Linkages'!$V$18:$V$157,MATCH(2,1/(('Port Linkages'!$C$18:$C$157=$AP20)*('Port Linkages'!$D$18:$D$157=IF($AO20="Yes",$AQ20,$AS20))*('Port Linkages'!$A$18:$A$157&lt;=$C20))))</f>
        <v>Singapore</v>
      </c>
      <c r="LX20" s="75" t="str">
        <f t="array" ref="LX20">INDEX('Port Linkages'!$W$18:$W$157,MATCH(2,1/(('Port Linkages'!$C$18:$C$157=$AP20)*('Port Linkages'!$D$18:$D$157=IF($AO20="Yes",$AQ20,$AS20))*('Port Linkages'!$A$18:$A$157&lt;=$C20))))</f>
        <v>VLSFO</v>
      </c>
      <c r="LY20" s="75" t="str">
        <f t="array" ref="LY20">INDEX('Port Linkages'!$X$18:$X$157,MATCH(2,1/(('Port Linkages'!$C$18:$C$157=$AP20)*('Port Linkages'!$D$18:$D$157=IF($AO20="Yes",$AQ20,$AS20))*('Port Linkages'!$A$18:$A$157&lt;=$C20))))</f>
        <v>MGO_Regular</v>
      </c>
      <c r="LZ20" s="75" t="str">
        <f t="array" ref="LZ20">INDEX('Port Linkages'!$Y$18:$Y$157,MATCH(2,1/(('Port Linkages'!$C$18:$C$157=$AP20)*('Port Linkages'!$D$18:$D$157=IF($AO20="Yes",$AQ20,$AS20))*('Port Linkages'!$A$18:$A$157&lt;=$C20))))</f>
        <v>none</v>
      </c>
      <c r="MA20" s="75">
        <f t="array" ref="MA20">INDEX('Port Linkages'!$Z$18:$Z$157,MATCH(2,1/(('Port Linkages'!$C$18:$C$157=$AP20)*('Port Linkages'!$D$18:$D$157=IF($AO20="Yes",$AQ20,$AS20))*('Port Linkages'!$A$18:$A$157&lt;=$C20))))</f>
        <v>11050</v>
      </c>
      <c r="MB20" s="75">
        <f t="array" ref="MB20">INDEX('Port Linkages'!$AA$18:$AA$157,MATCH(2,1/(('Port Linkages'!$C$18:$C$157=$AP20)*('Port Linkages'!$D$18:$D$157=IF($AO20="Yes",$AQ20,$AS20))*('Port Linkages'!$A$18:$A$157&lt;=$C20))))</f>
        <v>0</v>
      </c>
      <c r="MC20" s="75" t="str">
        <f t="array" ref="MC20">INDEX('Port Linkages'!$AB$18:$AB$157,MATCH(2,1/(('Port Linkages'!$C$18:$C$157=$AP20)*('Port Linkages'!$D$18:$D$157=IF($AO20="Yes",$AQ20,$AS20))*('Port Linkages'!$A$18:$A$157&lt;=$C20))))</f>
        <v>Capesize_General</v>
      </c>
      <c r="MD20" s="75" t="str">
        <f t="array" ref="MD20">INDEX('Port Linkages'!$AC$18:$AC$157,MATCH(2,1/(('Port Linkages'!$C$18:$C$157=$AP20)*('Port Linkages'!$D$18:$D$157=IF($AO20="Yes",$AQ20,$AS20))*('Port Linkages'!$A$18:$A$157&lt;=$C20))))</f>
        <v>Singapore</v>
      </c>
      <c r="ME20" s="75" t="str">
        <f t="array" ref="ME20">INDEX('Port Linkages'!$AD$18:$AD$157,MATCH(2,1/(('Port Linkages'!$C$18:$C$157=$AP20)*('Port Linkages'!$D$18:$D$157=IF($AO20="Yes",$AQ20,$AS20))*('Port Linkages'!$A$18:$A$157&lt;=$C20))))</f>
        <v>VLSFO</v>
      </c>
      <c r="MF20" s="75" t="str">
        <f t="array" ref="MF20">INDEX('Port Linkages'!$AE$18:$AE$157,MATCH(2,1/(('Port Linkages'!$C$18:$C$157=$AP20)*('Port Linkages'!$D$18:$D$157=IF($AO20="Yes",$AQ20,$AS20))*('Port Linkages'!$A$18:$A$157&lt;=$C20))))</f>
        <v>MGO_Regular</v>
      </c>
      <c r="MG20" s="75" t="str">
        <f t="array" ref="MG20">INDEX('Port Linkages'!$AF$18:$AF$157,MATCH(2,1/(('Port Linkages'!$C$18:$C$157=$AP20)*('Port Linkages'!$D$18:$D$157=IF($AO20="Yes",$AQ20,$AS20))*('Port Linkages'!$A$18:$A$157&lt;=$C20))))</f>
        <v>none</v>
      </c>
      <c r="MH20" s="75">
        <f t="array" ref="MH20">INDEX('Port Linkages'!$AG$18:$AG$157,MATCH(2,1/(('Port Linkages'!$C$18:$C$157=$AP20)*('Port Linkages'!$D$18:$D$157=IF($AO20="Yes",$AQ20,$AS20))*('Port Linkages'!$A$18:$A$157&lt;=$C20))))</f>
        <v>11050</v>
      </c>
      <c r="MI20" s="75">
        <f t="array" ref="MI20">INDEX('Port Linkages'!$AH$18:$AH$157,MATCH(2,1/(('Port Linkages'!$C$18:$C$157=$AP20)*('Port Linkages'!$D$18:$D$157=IF($AO20="Yes",$AQ20,$AS20))*('Port Linkages'!$A$18:$A$157&lt;=$C20))))</f>
        <v>0</v>
      </c>
      <c r="MJ20" s="75" t="str">
        <f t="array" ref="MJ20">INDEX('Port Linkages'!$AI$18:$AI$157,MATCH(2,1/(('Port Linkages'!$C$18:$C$157=$AP20)*('Port Linkages'!$D$18:$D$157=IF($AO20="Yes",$AQ20,$AS20))*('Port Linkages'!$A$18:$A$157&lt;=$C20))))</f>
        <v>Panamax_General</v>
      </c>
      <c r="MK20" s="75" t="str">
        <f t="array" ref="MK20">INDEX('Port Linkages'!$AJ$18:$AJ$157,MATCH(2,1/(('Port Linkages'!$C$18:$C$157=$AP20)*('Port Linkages'!$D$18:$D$157=IF($AO20="Yes",$AQ20,$AS20))*('Port Linkages'!$A$18:$A$157&lt;=$C20))))</f>
        <v>Singapore</v>
      </c>
      <c r="ML20" s="75" t="str">
        <f t="array" ref="ML20">INDEX('Port Linkages'!$AK$18:$AK$157,MATCH(2,1/(('Port Linkages'!$C$18:$C$157=$AP20)*('Port Linkages'!$D$18:$D$157=IF($AO20="Yes",$AQ20,$AS20))*('Port Linkages'!$A$18:$A$157&lt;=$C20))))</f>
        <v>VLSFO</v>
      </c>
      <c r="MM20" s="75" t="str">
        <f t="array" ref="MM20">INDEX('Port Linkages'!$AL$18:$AL$157,MATCH(2,1/(('Port Linkages'!$C$18:$C$157=$AP20)*('Port Linkages'!$D$18:$D$157=IF($AO20="Yes",$AQ20,$AS20))*('Port Linkages'!$A$18:$A$157&lt;=$C20))))</f>
        <v>MGO_Regular</v>
      </c>
      <c r="MN20" s="75" t="str">
        <f t="array" ref="MN20">INDEX('Port Linkages'!$AM$18:$AM$157,MATCH(2,1/(('Port Linkages'!$C$18:$C$157=$AP20)*('Port Linkages'!$D$18:$D$157=IF($AO20="Yes",$AQ20,$AS20))*('Port Linkages'!$A$18:$A$157&lt;=$C20))))</f>
        <v>none</v>
      </c>
      <c r="MO20" s="75">
        <f t="array" ref="MO20">INDEX('Port Linkages'!$AN$18:$AN$157,MATCH(2,1/(('Port Linkages'!$C$18:$C$157=$AP20)*('Port Linkages'!$D$18:$D$157=IF($AO20="Yes",$AQ20,$AS20))*('Port Linkages'!$A$18:$A$157&lt;=$C20))))</f>
        <v>11050</v>
      </c>
      <c r="MP20" s="75">
        <f t="array" ref="MP20">INDEX('Port Linkages'!$AO$18:$AO$157,MATCH(2,1/(('Port Linkages'!$C$18:$C$157=$AP20)*('Port Linkages'!$D$18:$D$157=IF($AO20="Yes",$AQ20,$AS20))*('Port Linkages'!$A$18:$A$157&lt;=$C20))))</f>
        <v>0</v>
      </c>
      <c r="MQ20" s="75" t="str">
        <f t="array" ref="MQ20">INDEX('Port Linkages'!$AP$18:$AP$157,MATCH(2,1/(('Port Linkages'!$C$18:$C$157=$AP20)*('Port Linkages'!$D$18:$D$157=IF($AO20="Yes",$AQ20,$AS20))*('Port Linkages'!$A$18:$A$157&lt;=$C20))))</f>
        <v>Supramax_General</v>
      </c>
      <c r="MR20" s="75" t="str">
        <f t="array" ref="MR20">INDEX('Port Linkages'!$AQ$18:$AQ$157,MATCH(2,1/(('Port Linkages'!$C$18:$C$157=$AP20)*('Port Linkages'!$D$18:$D$157=IF($AO20="Yes",$AQ20,$AS20))*('Port Linkages'!$A$18:$A$157&lt;=$C20))))</f>
        <v>Singapore</v>
      </c>
      <c r="MS20" s="75" t="str">
        <f t="array" ref="MS20">INDEX('Port Linkages'!$AR$18:$AR$157,MATCH(2,1/(('Port Linkages'!$C$18:$C$157=$AP20)*('Port Linkages'!$D$18:$D$157=IF($AO20="Yes",$AQ20,$AS20))*('Port Linkages'!$A$18:$A$157&lt;=$C20))))</f>
        <v>VLSFO</v>
      </c>
      <c r="MT20" s="75" t="str">
        <f t="array" ref="MT20">INDEX('Port Linkages'!$AS$18:$AS$157,MATCH(2,1/(('Port Linkages'!$C$18:$C$157=$AP20)*('Port Linkages'!$D$18:$D$157=IF($AO20="Yes",$AQ20,$AS20))*('Port Linkages'!$A$18:$A$157&lt;=$C20))))</f>
        <v>MGO_Regular</v>
      </c>
      <c r="MU20" s="75" t="str">
        <f t="array" ref="MU20">INDEX('Port Linkages'!$AT$18:$AT$157,MATCH(2,1/(('Port Linkages'!$C$18:$C$157=$AP20)*('Port Linkages'!$D$18:$D$157=IF($AO20="Yes",$AQ20,$AS20))*('Port Linkages'!$A$18:$A$157&lt;=$C20))))</f>
        <v>none</v>
      </c>
      <c r="MV20" s="75">
        <f t="array" ref="MV20">INDEX('Port Linkages'!$AU$18:$AU$157,MATCH(2,1/(('Port Linkages'!$C$18:$C$157=$AP20)*('Port Linkages'!$D$18:$D$157=IF($AO20="Yes",$AQ20,$AS20))*('Port Linkages'!$A$18:$A$157&lt;=$C20))))</f>
        <v>11050</v>
      </c>
      <c r="MW20" s="75">
        <f t="array" ref="MW20">INDEX('Port Linkages'!$AV$18:$AV$157,MATCH(2,1/(('Port Linkages'!$C$18:$C$157=$AP20)*('Port Linkages'!$D$18:$D$157=IF($AO20="Yes",$AQ20,$AS20))*('Port Linkages'!$A$18:$A$157&lt;=$C20))))</f>
        <v>0</v>
      </c>
      <c r="MX20" s="75" t="str">
        <f t="array" ref="MX20">INDEX('Port Linkages'!$AW$18:$AW$157,MATCH(2,1/(('Port Linkages'!$C$18:$C$157=$AP20)*('Port Linkages'!$D$18:$D$157=IF($AO20="Yes",$AQ20,$AS20))*('Port Linkages'!$A$18:$A$157&lt;=$C20))))</f>
        <v>Handysize_General</v>
      </c>
      <c r="MY20" s="75" t="str">
        <f t="array" ref="MY20">INDEX('Port Linkages'!$AX$18:$AX$157,MATCH(2,1/(('Port Linkages'!$C$18:$C$157=$AP20)*('Port Linkages'!$D$18:$D$157=IF($AO20="Yes",$AQ20,$AS20))*('Port Linkages'!$A$18:$A$157&lt;=$C20))))</f>
        <v>Singapore</v>
      </c>
      <c r="MZ20" s="75" t="str">
        <f t="array" ref="MZ20">INDEX('Port Linkages'!$AY$18:$AY$157,MATCH(2,1/(('Port Linkages'!$C$18:$C$157=$AP20)*('Port Linkages'!$D$18:$D$157=IF($AO20="Yes",$AQ20,$AS20))*('Port Linkages'!$A$18:$A$157&lt;=$C20))))</f>
        <v>VLSFO</v>
      </c>
      <c r="NA20" s="75" t="str">
        <f t="array" ref="NA20">INDEX('Port Linkages'!$AZ$18:$AZ$157,MATCH(2,1/(('Port Linkages'!$C$18:$C$157=$AP20)*('Port Linkages'!$D$18:$D$157=IF($AO20="Yes",$AQ20,$AS20))*('Port Linkages'!$A$18:$A$157&lt;=$C20))))</f>
        <v>MGO_Regular</v>
      </c>
      <c r="NB20" s="75" t="str">
        <f t="array" ref="NB20">INDEX('Port Linkages'!$BA$18:$BA$157,MATCH(2,1/(('Port Linkages'!$C$18:$C$157=$AP20)*('Port Linkages'!$D$18:$D$157=IF($AO20="Yes",$AQ20,$AS20))*('Port Linkages'!$A$18:$A$157&lt;=$C20))))</f>
        <v>none</v>
      </c>
      <c r="ND20" s="25" t="e">
        <f t="array" aca="1" ref="ND20" ca="1">INDEX('Ship Fuel Prices'!$F$5:$F$1004,MATCH(2,1/(('Ship Fuel Prices'!$E$5:$E$1004=_xlfn.IFS(KS20="Handysize",Main!MY20,KS20="Supramax",MR20,KS20="Panamax",MK20,KS20="NeoPanamax",MD20,KS20="Suezmax",LW20,KS20="Capesize",LP20,KS20="VLOC",LI20))*('Ship Fuel Prices'!$D$5:$D$1004&lt;=Main!$C20))))</f>
        <v>#N/A</v>
      </c>
      <c r="NE20" s="25" t="e">
        <f t="array" aca="1" ref="NE20" ca="1">INDEX('Ship Fuel Prices'!$G$5:$G$1004,MATCH(2,1/(('Ship Fuel Prices'!$E$5:$E$1004=_xlfn.IFS(KS20="Handysize",Main!MY20,KS20="Supramax",MR20,KS20="Panamax",MK20,KS20="NeoPanamax",MD20,KS20="Suezmax",LW20,KS20="Capesize",LP20,KS20="VLOC",LI20))*('Ship Fuel Prices'!$D$5:$D$1004&lt;=Main!$C20))))</f>
        <v>#N/A</v>
      </c>
      <c r="NF20" s="25" t="e">
        <f t="array" aca="1" ref="NF20" ca="1">INDEX('Ship Fuel Prices'!$H$5:$H$1004,MATCH(2,1/(('Ship Fuel Prices'!$E$5:$E$1004=_xlfn.IFS(KS20="Handysize",Main!MY20,KS20="Supramax",MR20,KS20="Panamax",MK20,KS20="NeoPanamax",MD20,KS20="Suezmax",LW20,KS20="Capesize",LP20,KS20="VLOC",LI20))*('Ship Fuel Prices'!$D$5:$D$1004&lt;=Main!$C20))))</f>
        <v>#N/A</v>
      </c>
      <c r="NG20" s="25" t="e">
        <f t="array" aca="1" ref="NG20" ca="1">INDEX('Ship Fuel Prices'!$I$5:$I$1004,MATCH(2,1/(('Ship Fuel Prices'!$E$5:$E$1004=_xlfn.IFS(KS20="Handysize",Main!MY20,KS20="Supramax",MR20,KS20="Panamax",MK20,KS20="NeoPanamax",MD20,KS20="Suezmax",LW20,KS20="Capesize",LP20,KS20="VLOC",LI20))*('Ship Fuel Prices'!$D$5:$D$1004&lt;=Main!$C20))))</f>
        <v>#N/A</v>
      </c>
      <c r="NH20" s="25" t="e">
        <f t="array" aca="1" ref="NH20" ca="1">INDEX('Ship Fuel Prices'!$J$5:$J$1004,MATCH(2,1/(('Ship Fuel Prices'!$E$5:$E$1004=_xlfn.IFS(KS20="Handysize",Main!MY20,KS20="Supramax",MR20,KS20="Panamax",MK20,KS20="NeoPanamax",MD20,KS20="Suezmax",LW20,KS20="Capesize",LP20,KS20="VLOC",LI20))*('Ship Fuel Prices'!$D$5:$D$1004&lt;=Main!$C20))))</f>
        <v>#N/A</v>
      </c>
      <c r="NJ20" s="75">
        <f t="array" ref="NJ20">INDEX('China n Importing Ports'!$E$20:$E$41,MATCH(2,1/(('China n Importing Ports'!$D$20:$D$41&lt;=$C20)*('China n Importing Ports'!$C$20:$C$41=IF($AO20="Yes",$AQ20,$AS20)))))</f>
        <v>42500</v>
      </c>
      <c r="NK20" s="75">
        <f t="array" ref="NK20">INDEX('China n Importing Ports'!$F$20:$F$41,MATCH(2,1/(('China n Importing Ports'!$D$20:$D$41&lt;=$C20)*('China n Importing Ports'!$C$20:$C$41=IF($AO20="Yes",$AQ20,$AS20)))))</f>
        <v>42500</v>
      </c>
      <c r="NL20" s="75">
        <f t="array" ref="NL20">INDEX('China n Importing Ports'!$G$20:$G$41,MATCH(2,1/(('China n Importing Ports'!$D$20:$D$41&lt;=$C20)*('China n Importing Ports'!$C$20:$C$41=IF($AO20="Yes",$AQ20,$AS20)))))</f>
        <v>42500</v>
      </c>
      <c r="NM20" s="75">
        <f t="array" ref="NM20">INDEX('China n Importing Ports'!$H$20:$H$41,MATCH(2,1/(('China n Importing Ports'!$D$20:$D$41&lt;=$C20)*('China n Importing Ports'!$C$20:$C$41=IF($AO20="Yes",$AQ20,$AS20)))))</f>
        <v>42500</v>
      </c>
      <c r="NN20" s="75">
        <f t="array" ref="NN20">INDEX('China n Importing Ports'!$I$20:$I$41,MATCH(2,1/(('China n Importing Ports'!$D$20:$D$41&lt;=$C20)*('China n Importing Ports'!$C$20:$C$41=IF($AO20="Yes",$AQ20,$AS20)))))</f>
        <v>42500</v>
      </c>
      <c r="NO20" s="75">
        <f t="array" ref="NO20">INDEX('China n Importing Ports'!$J$20:$J$41,MATCH(2,1/(('China n Importing Ports'!$D$20:$D$41&lt;=$C20)*('China n Importing Ports'!$C$20:$C$41=IF($AO20="Yes",$AQ20,$AS20)))))</f>
        <v>42500</v>
      </c>
      <c r="NP20" s="75">
        <f t="array" ref="NP20">INDEX('China n Importing Ports'!$K$20:$K$41,MATCH(2,1/(('China n Importing Ports'!$D$20:$D$41&lt;=$C20)*('China n Importing Ports'!$C$20:$C$41=IF($AO20="Yes",$AQ20,$AS20)))))</f>
        <v>42500</v>
      </c>
      <c r="NQ20" s="75" t="str">
        <f t="array" ref="NQ20">INDEX('China n Importing Ports'!$L$20:$L$41,MATCH(2,1/(('China n Importing Ports'!$D$20:$D$41&lt;=$C20)*('China n Importing Ports'!$C$20:$C$41=IF($AO20="Yes",$AQ20,$AS20)))))</f>
        <v>RMB</v>
      </c>
      <c r="NR20" s="75">
        <f t="array" ref="NR20">INDEX('China n Importing Ports'!$M$20:$M$41,MATCH(2,1/(('China n Importing Ports'!$D$20:$D$41&lt;=$C20)*('China n Importing Ports'!$C$20:$C$41=IF($AO20="Yes",$AQ20,$AS20)))))</f>
        <v>12342</v>
      </c>
      <c r="NS20" s="75">
        <f t="array" ref="NS20">INDEX('China n Importing Ports'!$N$20:$N$41,MATCH(2,1/(('China n Importing Ports'!$D$20:$D$41&lt;=$C20)*('China n Importing Ports'!$C$20:$C$41=IF($AO20="Yes",$AQ20,$AS20)))))</f>
        <v>0</v>
      </c>
      <c r="NT20" s="75">
        <f t="array" ref="NT20">INDEX('China n Importing Ports'!$O$20:$O$41,MATCH(2,1/(('China n Importing Ports'!$D$20:$D$41&lt;=$C20)*('China n Importing Ports'!$C$20:$C$41=IF($AO20="Yes",$AQ20,$AS20)))))</f>
        <v>0</v>
      </c>
      <c r="NU20" s="136">
        <f t="array" ref="NU20">INDEX('China n Importing Ports'!$P$20:$P$41,MATCH(2,1/(('China n Importing Ports'!$D$20:$D$41&lt;=$C20)*('China n Importing Ports'!$C$20:$C$41=IF($AO20="Yes",$AQ20,$AS20)))))</f>
        <v>2.64</v>
      </c>
      <c r="NV20" s="136">
        <f t="array" ref="NV20">INDEX('China n Importing Ports'!$Q$20:$Q$41,MATCH(2,1/(('China n Importing Ports'!$D$20:$D$41&lt;=$C20)*('China n Importing Ports'!$C$20:$C$41=IF($AO20="Yes",$AQ20,$AS20)))))</f>
        <v>0</v>
      </c>
      <c r="NW20" s="136">
        <f t="array" ref="NW20">INDEX('China n Importing Ports'!$R$20:$R$41,MATCH(2,1/(('China n Importing Ports'!$D$20:$D$41&lt;=$C20)*('China n Importing Ports'!$C$20:$C$41=IF($AO20="Yes",$AQ20,$AS20)))))</f>
        <v>0</v>
      </c>
      <c r="NX20" s="136">
        <f t="array" ref="NX20">INDEX('China n Importing Ports'!$S$20:$S$41,MATCH(2,1/(('China n Importing Ports'!$D$20:$D$41&lt;=$C20)*('China n Importing Ports'!$C$20:$C$41=IF($AO20="Yes",$AQ20,$AS20)))))</f>
        <v>4.53</v>
      </c>
      <c r="NY20" s="136">
        <f t="array" ref="NY20">INDEX('China n Importing Ports'!$T$20:$T$41,MATCH(2,1/(('China n Importing Ports'!$D$20:$D$41&lt;=$C20)*('China n Importing Ports'!$C$20:$C$41=IF($AO20="Yes",$AQ20,$AS20)))))</f>
        <v>0.36699999999999999</v>
      </c>
      <c r="NZ20" s="136">
        <f t="array" ref="NZ20">INDEX('China n Importing Ports'!$U$20:$U$41,MATCH(2,1/(('China n Importing Ports'!$D$20:$D$41&lt;=$C20)*('China n Importing Ports'!$C$20:$C$41=IF($AO20="Yes",$AQ20,$AS20)))))</f>
        <v>0.05</v>
      </c>
      <c r="OA20" s="136">
        <f t="array" ref="OA20">INDEX('China n Importing Ports'!$V$20:$V$41,MATCH(2,1/(('China n Importing Ports'!$D$20:$D$41&lt;=$C20)*('China n Importing Ports'!$C$20:$C$41=IF($AO20="Yes",$AQ20,$AS20)))))</f>
        <v>0</v>
      </c>
      <c r="OB20" s="136">
        <f t="array" ref="OB20">INDEX('China n Importing Ports'!$W$20:$W$41,MATCH(2,1/(('China n Importing Ports'!$D$20:$D$41&lt;=$C20)*('China n Importing Ports'!$C$20:$C$41=IF($AO20="Yes",$AQ20,$AS20)))))</f>
        <v>0</v>
      </c>
      <c r="OC20" s="136">
        <f t="array" ref="OC20">INDEX('China n Importing Ports'!$X$20:$X$41,MATCH(2,1/(('China n Importing Ports'!$D$20:$D$41&lt;=$C20)*('China n Importing Ports'!$C$20:$C$41=IF($AO20="Yes",$AQ20,$AS20)))))</f>
        <v>0</v>
      </c>
      <c r="OD20" s="136">
        <f t="array" ref="OD20">INDEX('China n Importing Ports'!$Y$20:$Y$41,MATCH(2,1/(('China n Importing Ports'!$D$20:$D$41&lt;=$C20)*('China n Importing Ports'!$C$20:$C$41=IF($AO20="Yes",$AQ20,$AS20)))))</f>
        <v>197</v>
      </c>
      <c r="OE20" s="136">
        <f t="array" ref="OE20">INDEX('China n Importing Ports'!$Z$20:$Z$41,MATCH(2,1/(('China n Importing Ports'!$D$20:$D$41&lt;=$C20)*('China n Importing Ports'!$C$20:$C$41=IF($AO20="Yes",$AQ20,$AS20)))))</f>
        <v>0</v>
      </c>
      <c r="OF20" s="136">
        <f t="array" ref="OF20">INDEX('China n Importing Ports'!$AA$20:$AA$41,MATCH(2,1/(('China n Importing Ports'!$D$20:$D$41&lt;=$C20)*('China n Importing Ports'!$C$20:$C$41=IF($AO20="Yes",$AQ20,$AS20)))))</f>
        <v>0</v>
      </c>
      <c r="OH20" s="75" t="e">
        <f t="array" aca="1" ref="OH20" ca="1">INDEX(Canals!$G$24:$G$29,MATCH(2,1/((Canals!$F$24:$F$29&lt;=$C20)*(Canals!$G$24:$G$29=_xlfn.IFS(KS20="Handysize",Main!NB20,KS20="Supramax",MU20,KS20="Panamax",MN20,KS20="NeoPanamax",MG20,KS20="Suezmax",LZ20,KS20="Capesize",LS20,KS20="VLOC",LL20)))))</f>
        <v>#N/A</v>
      </c>
      <c r="OI20" s="75" t="e">
        <f t="array" aca="1" ref="OI20" ca="1">INDEX(Canals!$H$24:$H$29,MATCH(2,1/((Canals!$F$24:$F$29&lt;=$C20)*(Canals!$G$24:$G$29=_xlfn.IFS(KS20="Handysize",Main!NB20,KS20="Supramax",MU20,KS20="Panamax",MN20,KS20="NeoPanamax",MG20,KS20="Suezmax",LZ20,KS20="Capesize",LS20,KS20="VLOC",LL20)))))</f>
        <v>#N/A</v>
      </c>
      <c r="OJ20" s="75" t="e">
        <f t="array" aca="1" ref="OJ20" ca="1">INDEX(Canals!$I$24:$I$29,MATCH(2,1/((Canals!$F$24:$F$29&lt;=$C20)*(Canals!$G$24:$G$29=_xlfn.IFS(KS20="Handysize",Main!NB20,KS20="Supramax",MU20,KS20="Panamax",MN20,KS20="NeoPanamax",MG20,KS20="Suezmax",LZ20,KS20="Capesize",LS20,KS20="VLOC",LL20)))))</f>
        <v>#N/A</v>
      </c>
      <c r="OK20" s="75" t="e">
        <f t="array" aca="1" ref="OK20" ca="1">INDEX(Canals!$J$24:$J$29,MATCH(2,1/((Canals!$F$24:$F$29&lt;=$C20)*(Canals!$G$24:$G$29=_xlfn.IFS(KS20="Handysize",Main!NB20,KS20="Supramax",MU20,KS20="Panamax",MN20,KS20="NeoPanamax",MG20,KS20="Suezmax",LZ20,KS20="Capesize",LS20,KS20="VLOC",LL20)))))</f>
        <v>#N/A</v>
      </c>
      <c r="OL20" s="75" t="e">
        <f t="array" aca="1" ref="OL20" ca="1">INDEX(Canals!$K$24:$K$29,MATCH(2,1/((Canals!$F$24:$F$29&lt;=$C20)*(Canals!$G$24:$G$29=_xlfn.IFS(KS20="Handysize",Main!NB20,KS20="Supramax",MU20,KS20="Panamax",MN20,KS20="NeoPanamax",MG20,KS20="Suezmax",LZ20,KS20="Capesize",LS20,KS20="VLOC",LL20)))))</f>
        <v>#N/A</v>
      </c>
      <c r="OM20" s="75" t="e">
        <f t="array" aca="1" ref="OM20" ca="1">INDEX(Canals!$L$24:$L$29,MATCH(2,1/((Canals!$F$24:$F$29&lt;=$C20)*(Canals!$G$24:$G$29=_xlfn.IFS(KS20="Handysize",Main!NB20,KS20="Supramax",MU20,KS20="Panamax",MN20,KS20="NeoPanamax",MG20,KS20="Suezmax",LZ20,KS20="Capesize",LS20,KS20="VLOC",LL20)))))</f>
        <v>#N/A</v>
      </c>
      <c r="ON20" s="75" t="e">
        <f t="array" aca="1" ref="ON20" ca="1">INDEX(Canals!$M$24:$M$29,MATCH(2,1/((Canals!$F$24:$F$29&lt;=$C20)*(Canals!$G$24:$G$29=_xlfn.IFS(KS20="Handysize",Main!NB20,KS20="Supramax",MU20,KS20="Panamax",MN20,KS20="NeoPanamax",MG20,KS20="Suezmax",LZ20,KS20="Capesize",LS20,KS20="VLOC",LL20)))))</f>
        <v>#N/A</v>
      </c>
      <c r="OO20" s="75" t="e">
        <f t="array" aca="1" ref="OO20" ca="1">INDEX(Canals!$N$24:$N$29,MATCH(2,1/((Canals!$F$24:$F$29&lt;=$C20)*(Canals!$G$24:$G$29=_xlfn.IFS(KS20="Handysize",Main!NB20,KS20="Supramax",MU20,KS20="Panamax",MN20,KS20="NeoPanamax",MG20,KS20="Suezmax",LZ20,KS20="Capesize",LS20,KS20="VLOC",LL20)))))</f>
        <v>#N/A</v>
      </c>
      <c r="OP20" s="75" t="e">
        <f t="array" aca="1" ref="OP20" ca="1">INDEX(Canals!$O$24:$O$29,MATCH(2,1/((Canals!$F$24:$F$29&lt;=$C20)*(Canals!$G$24:$G$29=_xlfn.IFS(KS20="Handysize",Main!NB20,KS20="Supramax",MU20,KS20="Panamax",MN20,KS20="NeoPanamax",MG20,KS20="Suezmax",LZ20,KS20="Capesize",LS20,KS20="VLOC",LL20)))))</f>
        <v>#N/A</v>
      </c>
      <c r="OQ20" s="75" t="e">
        <f t="array" aca="1" ref="OQ20" ca="1">INDEX(Canals!$P$24:$P$29,MATCH(2,1/((Canals!$F$24:$F$29&lt;=$C20)*(Canals!$G$24:$G$29=_xlfn.IFS(KS20="Handysize",Main!NB20,KS20="Supramax",MU20,KS20="Panamax",MN20,KS20="NeoPanamax",MG20,KS20="Suezmax",LZ20,KS20="Capesize",LS20,KS20="VLOC",LL20)))))</f>
        <v>#N/A</v>
      </c>
      <c r="OR20" s="75" t="e">
        <f t="array" aca="1" ref="OR20" ca="1">INDEX(Canals!$Q$24:$Q$29,MATCH(2,1/((Canals!$F$24:$F$29&lt;=$C20)*(Canals!$G$24:$G$29=_xlfn.IFS(KS20="Handysize",Main!NB20,KS20="Supramax",MU20,KS20="Panamax",MN20,KS20="NeoPanamax",MG20,KS20="Suezmax",LZ20,KS20="Capesize",LS20,KS20="VLOC",LL20)))))</f>
        <v>#N/A</v>
      </c>
      <c r="OS20" s="75" t="e">
        <f t="array" aca="1" ref="OS20" ca="1">INDEX(Canals!$R$24:$R$29,MATCH(2,1/((Canals!$F$24:$F$29&lt;=$C20)*(Canals!$G$24:$G$29=_xlfn.IFS(KS20="Handysize",Main!NB20,KS20="Supramax",MU20,KS20="Panamax",MN20,KS20="NeoPanamax",MG20,KS20="Suezmax",LZ20,KS20="Capesize",LS20,KS20="VLOC",LL20)))))</f>
        <v>#N/A</v>
      </c>
      <c r="OT20" s="136" t="e">
        <f t="array" aca="1" ref="OT20" ca="1">INDEX(Canals!$S$24:$S$29,MATCH(2,1/((Canals!$F$24:$F$29&lt;=$C20)*(Canals!$G$24:$G$29=_xlfn.IFS(KS20="Handysize",Main!NB20,KS20="Supramax",MU20,KS20="Panamax",MN20,KS20="NeoPanamax",MG20,KS20="Suezmax",LZ20,KS20="Capesize",LS20,KS20="VLOC",LL20)))))</f>
        <v>#N/A</v>
      </c>
      <c r="OU20" s="136" t="e">
        <f t="array" aca="1" ref="OU20" ca="1">INDEX(Canals!$T$24:$T$29,MATCH(2,1/((Canals!$F$24:$F$29&lt;=$C20)*(Canals!$G$24:$G$29=_xlfn.IFS(KS20="Handysize",Main!NB20,KS20="Supramax",MU20,KS20="Panamax",MN20,KS20="NeoPanamax",MG20,KS20="Suezmax",LZ20,KS20="Capesize",LS20,KS20="VLOC",LL20)))))</f>
        <v>#N/A</v>
      </c>
      <c r="OV20" s="136" t="e">
        <f t="array" aca="1" ref="OV20" ca="1">INDEX(Canals!$U$24:$U$29,MATCH(2,1/((Canals!$F$24:$F$29&lt;=$C20)*(Canals!$G$24:$G$29=_xlfn.IFS(KS20="Handysize",Main!NB20,KS20="Supramax",MU20,KS20="Panamax",MN20,KS20="NeoPanamax",MG20,KS20="Suezmax",LZ20,KS20="Capesize",LS20,KS20="VLOC",LL20)))))</f>
        <v>#N/A</v>
      </c>
      <c r="OW20" s="136" t="e">
        <f t="array" aca="1" ref="OW20" ca="1">INDEX(Canals!$V$24:$V$29,MATCH(2,1/((Canals!$F$24:$F$29&lt;=$C20)*(Canals!$G$24:$G$29=_xlfn.IFS(KS20="Handysize",Main!NB20,KS20="Supramax",MU20,KS20="Panamax",MN20,KS20="NeoPanamax",MG20,KS20="Suezmax",LZ20,KS20="Capesize",LS20,KS20="VLOC",LL20)))))</f>
        <v>#N/A</v>
      </c>
      <c r="OX20" s="136" t="e">
        <f t="array" aca="1" ref="OX20" ca="1">INDEX(Canals!$W$24:$W$29,MATCH(2,1/((Canals!$F$24:$F$29&lt;=$C20)*(Canals!$G$24:$G$29=_xlfn.IFS(KS20="Handysize",Main!NB20,KS20="Supramax",MU20,KS20="Panamax",MN20,KS20="NeoPanamax",MG20,KS20="Suezmax",LZ20,KS20="Capesize",LS20,KS20="VLOC",LL20)))))</f>
        <v>#N/A</v>
      </c>
      <c r="OY20" s="136" t="e">
        <f t="array" aca="1" ref="OY20" ca="1">INDEX(Canals!$X$24:$X$29,MATCH(2,1/((Canals!$F$24:$F$29&lt;=$C20)*(Canals!$G$24:$G$29=_xlfn.IFS(KS20="Handysize",Main!NB20,KS20="Supramax",MU20,KS20="Panamax",MN20,KS20="NeoPanamax",MG20,KS20="Suezmax",LZ20,KS20="Capesize",LS20,KS20="VLOC",LL20)))))</f>
        <v>#N/A</v>
      </c>
      <c r="OZ20" s="136" t="e">
        <f t="array" aca="1" ref="OZ20" ca="1">INDEX(Canals!$Y$24:$Y$29,MATCH(2,1/((Canals!$F$24:$F$29&lt;=$C20)*(Canals!$G$24:$G$29=_xlfn.IFS(KS20="Handysize",Main!NB20,KS20="Supramax",MU20,KS20="Panamax",MN20,KS20="NeoPanamax",MG20,KS20="Suezmax",LZ20,KS20="Capesize",LS20,KS20="VLOC",LL20)))))</f>
        <v>#N/A</v>
      </c>
      <c r="PA20" s="136" t="e">
        <f t="array" aca="1" ref="PA20" ca="1">INDEX(Canals!$Z$24:$Z$29,MATCH(2,1/((Canals!$F$24:$F$29&lt;=$C20)*(Canals!$G$24:$G$29=_xlfn.IFS(KS20="Handysize",Main!NB20,KS20="Supramax",MU20,KS20="Panamax",MN20,KS20="NeoPanamax",MG20,KS20="Suezmax",LZ20,KS20="Capesize",LS20,KS20="VLOC",LL20)))))</f>
        <v>#N/A</v>
      </c>
      <c r="PB20" s="136" t="e">
        <f t="array" aca="1" ref="PB20" ca="1">INDEX(Canals!$AA$24:$AA$29,MATCH(2,1/((Canals!$F$24:$F$29&lt;=$C20)*(Canals!$G$24:$G$29=_xlfn.IFS(KS20="Handysize",Main!NB20,KS20="Supramax",MU20,KS20="Panamax",MN20,KS20="NeoPanamax",MG20,KS20="Suezmax",LZ20,KS20="Capesize",LS20,KS20="VLOC",LL20)))))</f>
        <v>#N/A</v>
      </c>
      <c r="PC20" s="136" t="e">
        <f t="array" aca="1" ref="PC20" ca="1">INDEX(Canals!$AB$24:$AB$29,MATCH(2,1/((Canals!$F$24:$F$29&lt;=$C20)*(Canals!$G$24:$G$29=_xlfn.IFS(KS20="Handysize",Main!NB20,KS20="Supramax",MU20,KS20="Panamax",MN20,KS20="NeoPanamax",MG20,KS20="Suezmax",LZ20,KS20="Capesize",LS20,KS20="VLOC",LL20)))))</f>
        <v>#N/A</v>
      </c>
      <c r="PD20" s="75" t="e">
        <f t="array" aca="1" ref="PD20" ca="1">INDEX(Canals!$AC$24:$AC$29,MATCH(2,1/((Canals!$F$24:$F$29&lt;=$C20)*(Canals!$G$24:$G$29=_xlfn.IFS(KS20="Handysize",Main!NB20,KS20="Supramax",MU20,KS20="Panamax",MN20,KS20="NeoPanamax",MG20,KS20="Suezmax",LZ20,KS20="Capesize",LS20,KS20="VLOC",LL20)))))</f>
        <v>#N/A</v>
      </c>
      <c r="PE20" s="75" t="e">
        <f t="array" aca="1" ref="PE20" ca="1">INDEX(Canals!$AD$24:$AD$29,MATCH(2,1/((Canals!$F$24:$F$29&lt;=$C20)*(Canals!$G$24:$G$29=_xlfn.IFS(KS20="Handysize",Main!NB20,KS20="Supramax",MU20,KS20="Panamax",MN20,KS20="NeoPanamax",MG20,KS20="Suezmax",LZ20,KS20="Capesize",LS20,KS20="VLOC",LL20)))))</f>
        <v>#N/A</v>
      </c>
      <c r="PF20" s="75" t="e">
        <f t="array" aca="1" ref="PF20" ca="1">INDEX(Canals!$AE$24:$AE$29,MATCH(2,1/((Canals!$F$24:$F$29&lt;=$C20)*(Canals!$G$24:$G$29=_xlfn.IFS(KS20="Handysize",Main!NB20,KS20="Supramax",MU20,KS20="Panamax",MN20,KS20="NeoPanamax",MG20,KS20="Suezmax",LZ20,KS20="Capesize",LS20,KS20="VLOC",LL20)))))</f>
        <v>#N/A</v>
      </c>
      <c r="PG20" s="75" t="e">
        <f t="array" aca="1" ref="PG20" ca="1">INDEX(Canals!$AF$24:$AF$29,MATCH(2,1/((Canals!$F$24:$F$29&lt;=$C20)*(Canals!$G$24:$G$29=_xlfn.IFS(KS20="Handysize",Main!NB20,KS20="Supramax",MU20,KS20="Panamax",MN20,KS20="NeoPanamax",MG20,KS20="Suezmax",LZ20,KS20="Capesize",LS20,KS20="VLOC",LL20)))))</f>
        <v>#N/A</v>
      </c>
      <c r="PH20" s="75" t="e">
        <f t="array" aca="1" ref="PH20" ca="1">INDEX(Canals!$AG$24:$AG$29,MATCH(2,1/((Canals!$F$24:$F$29&lt;=$C20)*(Canals!$G$24:$G$29=_xlfn.IFS(KS20="Handysize",Main!NB20,KS20="Supramax",MU20,KS20="Panamax",MN20,KS20="NeoPanamax",MG20,KS20="Suezmax",LZ20,KS20="Capesize",LS20,KS20="VLOC",LL20)))))</f>
        <v>#N/A</v>
      </c>
      <c r="PI20" s="75" t="e">
        <f t="array" aca="1" ref="PI20" ca="1">INDEX(Canals!$AH$24:$AH$29,MATCH(2,1/((Canals!$F$24:$F$29&lt;=$C20)*(Canals!$G$24:$G$29=_xlfn.IFS(KS20="Handysize",Main!NB20,KS20="Supramax",MU20,KS20="Panamax",MN20,KS20="NeoPanamax",MG20,KS20="Suezmax",LZ20,KS20="Capesize",LS20,KS20="VLOC",LL20)))))</f>
        <v>#N/A</v>
      </c>
      <c r="PJ20" s="75" t="e">
        <f t="array" aca="1" ref="PJ20" ca="1">INDEX(Canals!$AI$24:$AI$29,MATCH(2,1/((Canals!$F$24:$F$29&lt;=$C20)*(Canals!$G$24:$G$29=_xlfn.IFS(KS20="Handysize",Main!NB20,KS20="Supramax",MU20,KS20="Panamax",MN20,KS20="NeoPanamax",MG20,KS20="Suezmax",LZ20,KS20="Capesize",LS20,KS20="VLOC",LL20)))))</f>
        <v>#N/A</v>
      </c>
      <c r="PK20" s="75" t="e">
        <f t="array" aca="1" ref="PK20" ca="1">INDEX(Canals!$AJ$24:$AJ$29,MATCH(2,1/((Canals!$F$24:$F$29&lt;=$C20)*(Canals!$G$24:$G$29=_xlfn.IFS(KS20="Handysize",Main!NB20,KS20="Supramax",MU20,KS20="Panamax",MN20,KS20="NeoPanamax",MG20,KS20="Suezmax",LZ20,KS20="Capesize",LS20,KS20="VLOC",LL20)))))</f>
        <v>#N/A</v>
      </c>
      <c r="PL20" s="75" t="e">
        <f t="array" aca="1" ref="PL20" ca="1">INDEX(Canals!$AK$24:$AK$29,MATCH(2,1/((Canals!$F$24:$F$29&lt;=$C20)*(Canals!$G$24:$G$29=_xlfn.IFS(KS20="Handysize",Main!NB20,KS20="Supramax",MU20,KS20="Panamax",MN20,KS20="NeoPanamax",MG20,KS20="Suezmax",LZ20,KS20="Capesize",LS20,KS20="VLOC",LL20)))))</f>
        <v>#N/A</v>
      </c>
      <c r="PM20" s="136" t="e">
        <f t="array" aca="1" ref="PM20" ca="1">INDEX(Canals!$AL$24:$AL$29,MATCH(2,1/((Canals!$F$24:$F$29&lt;=$C20)*(Canals!$G$24:$G$29=_xlfn.IFS(KS20="Handysize",Main!NB20,KS20="Supramax",MU20,KS20="Panamax",MN20,KS20="NeoPanamax",MG20,KS20="Suezmax",LZ20,KS20="Capesize",LS20,KS20="VLOC",LL20)))))</f>
        <v>#N/A</v>
      </c>
      <c r="PN20" s="136" t="e">
        <f t="array" aca="1" ref="PN20" ca="1">INDEX(Canals!$AM$24:$AM$29,MATCH(2,1/((Canals!$F$24:$F$29&lt;=$C20)*(Canals!$G$24:$G$29=_xlfn.IFS(KS20="Handysize",Main!NB20,KS20="Supramax",MU20,KS20="Panamax",MN20,KS20="NeoPanamax",MG20,KS20="Suezmax",LZ20,KS20="Capesize",LS20,KS20="VLOC",LL20)))))</f>
        <v>#N/A</v>
      </c>
      <c r="PO20" s="136" t="e">
        <f t="array" aca="1" ref="PO20" ca="1">INDEX(Canals!$AN$24:$AN$29,MATCH(2,1/((Canals!$F$24:$F$29&lt;=$C20)*(Canals!$G$24:$G$29=_xlfn.IFS(KS20="Handysize",Main!NB20,KS20="Supramax",MU20,KS20="Panamax",MN20,KS20="NeoPanamax",MG20,KS20="Suezmax",LZ20,KS20="Capesize",LS20,KS20="VLOC",LL20)))))</f>
        <v>#N/A</v>
      </c>
      <c r="PP20" s="136" t="e">
        <f t="array" aca="1" ref="PP20" ca="1">INDEX(Canals!$AO$24:$AO$29,MATCH(2,1/((Canals!$F$24:$F$29&lt;=$C20)*(Canals!$G$24:$G$29=_xlfn.IFS(KS20="Handysize",Main!NB20,KS20="Supramax",MU20,KS20="Panamax",MN20,KS20="NeoPanamax",MG20,KS20="Suezmax",LZ20,KS20="Capesize",LS20,KS20="VLOC",LL20)))))</f>
        <v>#N/A</v>
      </c>
      <c r="PQ20" s="136" t="e">
        <f t="array" aca="1" ref="PQ20" ca="1">INDEX(Canals!$AP$24:$AP$29,MATCH(2,1/((Canals!$F$24:$F$29&lt;=$C20)*(Canals!$G$24:$G$29=_xlfn.IFS(KS20="Handysize",Main!NB20,KS20="Supramax",MU20,KS20="Panamax",MN20,KS20="NeoPanamax",MG20,KS20="Suezmax",LZ20,KS20="Capesize",LS20,KS20="VLOC",LL20)))))</f>
        <v>#N/A</v>
      </c>
      <c r="PR20" s="136" t="e">
        <f t="array" aca="1" ref="PR20" ca="1">INDEX(Canals!$AQ$24:$AQ$29,MATCH(2,1/((Canals!$F$24:$F$29&lt;=$C20)*(Canals!$G$24:$G$29=_xlfn.IFS(KS20="Handysize",Main!NB20,KS20="Supramax",MU20,KS20="Panamax",MN20,KS20="NeoPanamax",MG20,KS20="Suezmax",LZ20,KS20="Capesize",LS20,KS20="VLOC",LL20)))))</f>
        <v>#N/A</v>
      </c>
      <c r="PS20" s="136" t="e">
        <f t="array" aca="1" ref="PS20" ca="1">INDEX(Canals!$AR$24:$AR$29,MATCH(2,1/((Canals!$F$24:$F$29&lt;=$C20)*(Canals!$G$24:$G$29=_xlfn.IFS(KS20="Handysize",Main!NB20,KS20="Supramax",MU20,KS20="Panamax",MN20,KS20="NeoPanamax",MG20,KS20="Suezmax",LZ20,KS20="Capesize",LS20,KS20="VLOC",LL20)))))</f>
        <v>#N/A</v>
      </c>
      <c r="PT20" s="136" t="e">
        <f t="array" aca="1" ref="PT20" ca="1">INDEX(Canals!$AS$24:$AS$29,MATCH(2,1/((Canals!$F$24:$F$29&lt;=$C20)*(Canals!$G$24:$G$29=_xlfn.IFS(KS20="Handysize",Main!NB20,KS20="Supramax",MU20,KS20="Panamax",MN20,KS20="NeoPanamax",MG20,KS20="Suezmax",LZ20,KS20="Capesize",LS20,KS20="VLOC",LL20)))))</f>
        <v>#N/A</v>
      </c>
      <c r="PU20" s="136" t="e">
        <f t="array" aca="1" ref="PU20" ca="1">INDEX(Canals!$AT$24:$AT$29,MATCH(2,1/((Canals!$F$24:$F$29&lt;=$C20)*(Canals!$G$24:$G$29=_xlfn.IFS(KS20="Handysize",Main!NB20,KS20="Supramax",MU20,KS20="Panamax",MN20,KS20="NeoPanamax",MG20,KS20="Suezmax",LZ20,KS20="Capesize",LS20,KS20="VLOC",LL20)))))</f>
        <v>#N/A</v>
      </c>
      <c r="PV20" s="136" t="e">
        <f t="array" aca="1" ref="PV20" ca="1">INDEX(Canals!$AU$24:$AU$29,MATCH(2,1/((Canals!$F$24:$F$29&lt;=$C20)*(Canals!$G$24:$G$29=_xlfn.IFS(KS20="Handysize",Main!NB20,KS20="Supramax",MU20,KS20="Panamax",MN20,KS20="NeoPanamax",MG20,KS20="Suezmax",LZ20,KS20="Capesize",LS20,KS20="VLOC",LL20)))))</f>
        <v>#N/A</v>
      </c>
      <c r="PW20" s="136" t="e">
        <f t="array" aca="1" ref="PW20" ca="1">INDEX(Canals!$AV$24:$AV$29,MATCH(2,1/((Canals!$F$24:$F$29&lt;=$C20)*(Canals!$G$24:$G$29=_xlfn.IFS(KS20="Handysize",Main!NB20,KS20="Supramax",MU20,KS20="Panamax",MN20,KS20="NeoPanamax",MG20,KS20="Suezmax",LZ20,KS20="Capesize",LS20,KS20="VLOC",LL20)))))</f>
        <v>#N/A</v>
      </c>
      <c r="PY20" s="75" t="e">
        <f t="array" aca="1" ref="PY20" ca="1">_xlfn.IFS(OJ20="DWT",KQ20,OJ20="NRT",KU20,OJ20="GRT",KV20)</f>
        <v>#NAME?</v>
      </c>
      <c r="PZ20" s="279" t="e">
        <f t="shared" ca="1" si="74"/>
        <v>#NAME?</v>
      </c>
      <c r="QA20" s="280" t="e">
        <f t="shared" ca="1" si="75"/>
        <v>#NAME?</v>
      </c>
      <c r="QB20" s="280" t="e">
        <f t="shared" ca="1" si="76"/>
        <v>#NAME?</v>
      </c>
      <c r="QC20" s="280" t="e">
        <f t="shared" ca="1" si="77"/>
        <v>#NAME?</v>
      </c>
      <c r="QD20" s="280" t="e">
        <f t="shared" ca="1" si="78"/>
        <v>#NAME?</v>
      </c>
      <c r="QE20" s="280" t="e">
        <f t="shared" ca="1" si="79"/>
        <v>#NAME?</v>
      </c>
      <c r="QF20" s="280" t="e">
        <f t="shared" ca="1" si="80"/>
        <v>#NAME?</v>
      </c>
      <c r="QG20" s="280" t="e">
        <f t="shared" ca="1" si="81"/>
        <v>#NAME?</v>
      </c>
      <c r="QH20" s="280" t="e">
        <f t="shared" ca="1" si="82"/>
        <v>#NAME?</v>
      </c>
      <c r="QI20" s="75">
        <f t="shared" si="83"/>
        <v>175500</v>
      </c>
      <c r="QJ20" s="279" t="e">
        <f t="shared" ca="1" si="84"/>
        <v>#N/A</v>
      </c>
      <c r="QK20" s="280" t="e">
        <f t="shared" ca="1" si="85"/>
        <v>#N/A</v>
      </c>
      <c r="QL20" s="280" t="e">
        <f t="shared" ca="1" si="86"/>
        <v>#N/A</v>
      </c>
      <c r="QM20" s="280" t="e">
        <f t="shared" ca="1" si="87"/>
        <v>#N/A</v>
      </c>
      <c r="QN20" s="280" t="e">
        <f t="shared" ca="1" si="88"/>
        <v>#N/A</v>
      </c>
      <c r="QO20" s="280" t="e">
        <f t="shared" ca="1" si="89"/>
        <v>#N/A</v>
      </c>
      <c r="QP20" s="280" t="e">
        <f t="shared" ca="1" si="90"/>
        <v>#N/A</v>
      </c>
      <c r="QQ20" s="280" t="e">
        <f t="shared" ca="1" si="91"/>
        <v>#N/A</v>
      </c>
      <c r="QR20" s="280" t="e">
        <f t="shared" ca="1" si="92"/>
        <v>#N/A</v>
      </c>
      <c r="QT20" s="75" t="e">
        <f t="array" aca="1" ref="QT20" ca="1">_xlfn.IFS(KS20="Handysize",Main!MV20,KS20="Supramax",MO20,KS20="Panamax",MH20,KS20="NeoPanamax",MA20,KS20="Suezmax",LT20,KS20="Capesize",LM20,KS20="VLOC",LF20)*$JI20</f>
        <v>#NAME?</v>
      </c>
      <c r="QU20" s="274" t="e">
        <f t="array" aca="1" ref="QU20" ca="1">_xlfn.IFS(KS20="Handysize",Main!MW20,KS20="Supramax",MP20,KS20="Panamax",MI20,KS20="NeoPanamax",MB20,KS20="Suezmax",LU20,KS20="Capesize",LN20,KS20="VLOC",LG20)*$JI20</f>
        <v>#NAME?</v>
      </c>
      <c r="QV20" s="71" t="e">
        <f t="array" aca="1" ref="QV20" ca="1">_xlfn.IFS(KS20="Handysize",Main!KX20,KS20="Supramax",KY20,KS20="Panamax",KZ20,KS20="NeoPanamax",LA20,KS20="Suezmax",LB20,KS20="Capesize",LC20,KS20="VLOC",LD20)</f>
        <v>#NAME?</v>
      </c>
      <c r="QW20" s="71" t="e">
        <f t="array" aca="1" ref="QW20" ca="1">_xlfn.IFS(KS20="Handysize",Main!NJ20,KS20="Supramax",NK20,KS20="Panamax",NL20,KS20="NeoPanamax",NM20,KS20="Suezmax",NN20,KS20="Capesize",NO20,KS20="VLOC",NP20)</f>
        <v>#NAME?</v>
      </c>
      <c r="QX20" s="70">
        <f t="array" ref="QX20">INDEX('Ship Speeds'!$G$11:$G$1011,MATCH(2,1/(('Ship Speeds'!$E$11:$E$1011&lt;=Main!$C20)*('Ship Speeds'!$F$11:$F$1011=Main!KR20))))</f>
        <v>11</v>
      </c>
      <c r="QY20" s="403">
        <f t="shared" si="93"/>
        <v>35.906192279020722</v>
      </c>
      <c r="QZ20" s="401">
        <f t="shared" si="94"/>
        <v>3.1223999999999998</v>
      </c>
      <c r="RA20" s="70" t="e">
        <f t="shared" ca="1" si="95"/>
        <v>#NAME?</v>
      </c>
      <c r="RB20" s="70" t="e">
        <f t="shared" ca="1" si="96"/>
        <v>#NAME?</v>
      </c>
      <c r="RC20" s="70" t="e">
        <f t="shared" ca="1" si="97"/>
        <v>#NAME?</v>
      </c>
      <c r="RD20" s="70" t="e">
        <f t="shared" ca="1" si="98"/>
        <v>#NAME?</v>
      </c>
      <c r="RE20" s="72" t="e">
        <f t="shared" ca="1" si="99"/>
        <v>#N/A</v>
      </c>
      <c r="RF20" s="70" t="e">
        <f t="shared" ca="1" si="100"/>
        <v>#NAME?</v>
      </c>
      <c r="RG20" s="70" t="e">
        <f t="array" aca="1" ref="RG20" ca="1">INDEX(ND20:NH20,MATCH(_xlfn.IFS(KS20="Handysize",Main!MZ20,KS20="Supramax",MS20,KS20="Panamax",ML20,KS20="NeoPanamax",ME20,KS20="Suezmax",LX20,KS20="Capesize",LQ20,KS20="VLOC",LJ20),$ND$7:$NH$7,0))</f>
        <v>#NAME?</v>
      </c>
      <c r="RH20" s="70" t="e">
        <f t="array" aca="1" ref="RH20" ca="1">INDEX(ND20:NH20,MATCH(_xlfn.IFS(KS20="Handysize",Main!NA20,KS20="Supramax",MT20,KS20="Panamax",MM20,KS20="NeoPanamax",MF20,KS20="Suezmax",LY20,KS20="Capesize",LR20,KS20="VLOC",LK20),$ND$7:$NH$7,0))</f>
        <v>#NAME?</v>
      </c>
      <c r="RI20" s="71" t="e">
        <f t="shared" ca="1" si="101"/>
        <v>#NAME?</v>
      </c>
      <c r="RJ20" s="71" t="e">
        <f t="shared" ca="1" si="102"/>
        <v>#NAME?</v>
      </c>
      <c r="RK20" s="281">
        <f t="shared" si="103"/>
        <v>7.0759999999999987</v>
      </c>
      <c r="RL20" s="71">
        <f t="shared" si="104"/>
        <v>1744.2057659694747</v>
      </c>
      <c r="RM20" s="71" t="e">
        <f t="shared" ca="1" si="105"/>
        <v>#NAME?</v>
      </c>
      <c r="RN20" s="71" t="e">
        <f t="shared" ca="1" si="106"/>
        <v>#NAME?</v>
      </c>
      <c r="RO20" s="71">
        <f t="shared" si="107"/>
        <v>65477.6710005653</v>
      </c>
      <c r="RP20" s="71" t="e">
        <f t="shared" ca="1" si="108"/>
        <v>#NAME?</v>
      </c>
      <c r="RQ20" s="71" t="e">
        <f t="shared" ca="1" si="109"/>
        <v>#NAME?</v>
      </c>
      <c r="RR20" s="71">
        <f t="shared" si="110"/>
        <v>46485.635952515557</v>
      </c>
      <c r="RS20" s="71" t="e">
        <f t="shared" ca="1" si="111"/>
        <v>#NAME?</v>
      </c>
      <c r="RT20" s="71" t="e">
        <f t="shared" ca="1" si="112"/>
        <v>#NAME?</v>
      </c>
      <c r="RU20" s="71">
        <f t="shared" si="113"/>
        <v>0</v>
      </c>
      <c r="RV20" s="71" t="e">
        <f t="shared" ca="1" si="114"/>
        <v>#NAME?</v>
      </c>
      <c r="RW20" s="71" t="e">
        <f t="shared" ca="1" si="115"/>
        <v>#NAME?</v>
      </c>
      <c r="RX20" s="72">
        <f t="shared" si="116"/>
        <v>8436.5333521763714</v>
      </c>
      <c r="RY20" s="72" t="e">
        <f t="shared" ca="1" si="117"/>
        <v>#NAME?</v>
      </c>
      <c r="RZ20" s="71" t="e">
        <f t="shared" ca="1" si="118"/>
        <v>#NAME?</v>
      </c>
      <c r="SA20" s="71" t="e">
        <f t="array" aca="1" ref="SA20" ca="1">INDEX('Ship Time Charter Rates'!$H$22:$H$1021,MATCH(2,1/(('Ship Time Charter Rates'!$G$22:$G$1021=_xlfn.IFS(KS20="Handysize",Main!MX20,KS20="Supramax",MQ20,KS20="Panamax",MJ20,KS20="NeoPanamax",MC20,KS20="Suezmax",LV20,KS20="Capesize",LO20,KS20="VLOC",LH20))*('Ship Time Charter Rates'!$E$22:$E$1021&lt;=Main!$C20)*(NOT(ISBLANK('Ship Time Charter Rates'!$H$22:$H$1021))))))</f>
        <v>#N/A</v>
      </c>
      <c r="SB20" s="71" t="e">
        <f t="shared" ca="1" si="119"/>
        <v>#NAME?</v>
      </c>
      <c r="SC20" s="70" t="e">
        <f t="shared" ca="1" si="120"/>
        <v>#N/A</v>
      </c>
      <c r="SD20" s="71" t="e">
        <f t="shared" ca="1" si="121"/>
        <v>#NAME?</v>
      </c>
      <c r="SE20" s="71" t="e">
        <f t="shared" ca="1" si="302"/>
        <v>#NAME?</v>
      </c>
      <c r="SF20" s="72" t="e">
        <f t="shared" ca="1" si="303"/>
        <v>#NAME?</v>
      </c>
      <c r="SH20" s="25">
        <f t="shared" si="321"/>
        <v>0</v>
      </c>
      <c r="SI20" s="4" t="str">
        <f>VLOOKUP(SH20,'Ship Time Charter Rates'!$F$10:$G$17,2,TRUE)</f>
        <v>Handysize</v>
      </c>
      <c r="SJ20" s="4" t="str">
        <f>VLOOKUP(SH20,Canals!$E$5:$F$12,2,TRUE)</f>
        <v>Handysize</v>
      </c>
      <c r="SK20" s="25">
        <f t="shared" si="122"/>
        <v>145.88999999999999</v>
      </c>
      <c r="SL20" s="25">
        <f t="shared" si="123"/>
        <v>0</v>
      </c>
      <c r="SM20" s="25">
        <f t="shared" si="124"/>
        <v>4797</v>
      </c>
      <c r="SO20" s="75">
        <f t="array" ref="SO20">INDEX('Indices Mines Exporting Ports'!$R$20:$R$51,MATCH(2,1/(('Indices Mines Exporting Ports'!$D$20:$D$51&lt;=Main!$C20)*('Indices Mines Exporting Ports'!$Q$20:$Q$51=$AQ20))))</f>
        <v>0</v>
      </c>
      <c r="SP20" s="75">
        <f t="array" ref="SP20">INDEX('Indices Mines Exporting Ports'!$S$20:$S$51,MATCH(2,1/(('Indices Mines Exporting Ports'!$D$20:$D$51&lt;=Main!$C20)*('Indices Mines Exporting Ports'!$Q$20:$Q$51=$AQ20))))</f>
        <v>0</v>
      </c>
      <c r="SQ20" s="75">
        <f t="array" ref="SQ20">INDEX('Indices Mines Exporting Ports'!$T$20:$T$51,MATCH(2,1/(('Indices Mines Exporting Ports'!$D$20:$D$51&lt;=Main!$C20)*('Indices Mines Exporting Ports'!$Q$20:$Q$51=$AQ20))))</f>
        <v>0</v>
      </c>
      <c r="SR20" s="75">
        <f t="array" ref="SR20">INDEX('Indices Mines Exporting Ports'!$U$20:$U$51,MATCH(2,1/(('Indices Mines Exporting Ports'!$D$20:$D$51&lt;=Main!$C20)*('Indices Mines Exporting Ports'!$Q$20:$Q$51=$AQ20))))</f>
        <v>0</v>
      </c>
      <c r="SS20" s="75">
        <f t="array" ref="SS20">INDEX('Indices Mines Exporting Ports'!$V$20:$V$51,MATCH(2,1/(('Indices Mines Exporting Ports'!$D$20:$D$51&lt;=Main!$C20)*('Indices Mines Exporting Ports'!$Q$20:$Q$51=$AQ20))))</f>
        <v>0</v>
      </c>
      <c r="ST20" s="75">
        <f t="array" ref="ST20">INDEX('Indices Mines Exporting Ports'!$W$20:$W$51,MATCH(2,1/(('Indices Mines Exporting Ports'!$D$20:$D$51&lt;=Main!$C20)*('Indices Mines Exporting Ports'!$Q$20:$Q$51=$AQ20))))</f>
        <v>0</v>
      </c>
      <c r="SU20" s="75">
        <f t="array" ref="SU20">INDEX('Indices Mines Exporting Ports'!$X$20:$X$51,MATCH(2,1/(('Indices Mines Exporting Ports'!$D$20:$D$51&lt;=Main!$C20)*('Indices Mines Exporting Ports'!$Q$20:$Q$51=$AQ20))))</f>
        <v>0</v>
      </c>
      <c r="SW20" s="75">
        <f t="array" ref="SW20">INDEX('Port Linkages'!$E$18:$E$157,MATCH(2,1/(('Port Linkages'!$C$18:$C$157=$AQ20)*('Port Linkages'!$D$18:$D$157=IF($AO20="no",$AQ20,$AS20))*('Port Linkages'!$A$18:$A$157&lt;=$C20))))</f>
        <v>0</v>
      </c>
      <c r="SX20" s="75">
        <f t="array" ref="SX20">INDEX('Port Linkages'!$F$18:$F$157,MATCH(2,1/(('Port Linkages'!$C$18:$C$157=$AQ20)*('Port Linkages'!$D$18:$D$157=IF($AO20="no",$AQ20,$AS20))*('Port Linkages'!$A$18:$A$157&lt;=$C20))))</f>
        <v>0</v>
      </c>
      <c r="SY20" s="75">
        <f t="array" ref="SY20">INDEX('Port Linkages'!$G$18:$G$157,MATCH(2,1/(('Port Linkages'!$C$18:$C$157=$AQ20)*('Port Linkages'!$D$18:$D$157=IF($AO20="no",$AQ20,$AS20))*('Port Linkages'!$A$18:$A$157&lt;=$C20))))</f>
        <v>0</v>
      </c>
      <c r="SZ20" s="75">
        <f t="array" ref="SZ20">INDEX('Port Linkages'!$H$18:$H$157,MATCH(2,1/(('Port Linkages'!$C$18:$C$157=$AQ20)*('Port Linkages'!$D$18:$D$157=IF($AO20="no",$AQ20,$AS20))*('Port Linkages'!$A$18:$A$157&lt;=$C20))))</f>
        <v>0</v>
      </c>
      <c r="TA20" s="75">
        <f t="array" ref="TA20">INDEX('Port Linkages'!$I$18:$I$157,MATCH(2,1/(('Port Linkages'!$C$18:$C$157=$AQ20)*('Port Linkages'!$D$18:$D$157=IF($AO20="no",$AQ20,$AS20))*('Port Linkages'!$A$18:$A$157&lt;=$C20))))</f>
        <v>0</v>
      </c>
      <c r="TB20" s="75">
        <f t="array" ref="TB20">INDEX('Port Linkages'!$J$18:$J$157,MATCH(2,1/(('Port Linkages'!$C$18:$C$157=$AQ20)*('Port Linkages'!$D$18:$D$157=IF($AO20="no",$AQ20,$AS20))*('Port Linkages'!$A$18:$A$157&lt;=$C20))))</f>
        <v>0</v>
      </c>
      <c r="TC20" s="75">
        <f t="array" ref="TC20">INDEX('Port Linkages'!$K$18:$K$157,MATCH(2,1/(('Port Linkages'!$C$18:$C$157=$AQ20)*('Port Linkages'!$D$18:$D$157=IF($AO20="no",$AQ20,$AS20))*('Port Linkages'!$A$18:$A$157&lt;=$C20))))</f>
        <v>0</v>
      </c>
      <c r="TD20" s="75">
        <f t="array" ref="TD20">INDEX('Port Linkages'!$L$18:$L$157,MATCH(2,1/(('Port Linkages'!$C$18:$C$157=$AQ20)*('Port Linkages'!$D$18:$D$157=IF($AO20="no",$AQ20,$AS20))*('Port Linkages'!$A$18:$A$157&lt;=$C20))))</f>
        <v>0</v>
      </c>
      <c r="TE20" s="75">
        <f t="array" ref="TE20">INDEX('Port Linkages'!$M$18:$M$157,MATCH(2,1/(('Port Linkages'!$C$18:$C$157=$AQ20)*('Port Linkages'!$D$18:$D$157=IF($AO20="no",$AQ20,$AS20))*('Port Linkages'!$A$18:$A$157&lt;=$C20))))</f>
        <v>0</v>
      </c>
      <c r="TF20" s="75">
        <f t="array" ref="TF20">INDEX('Port Linkages'!$N$18:$N$157,MATCH(2,1/(('Port Linkages'!$C$18:$C$157=$AQ20)*('Port Linkages'!$D$18:$D$157=IF($AO20="no",$AQ20,$AS20))*('Port Linkages'!$A$18:$A$157&lt;=$C20))))</f>
        <v>0</v>
      </c>
      <c r="TG20" s="75">
        <f t="array" ref="TG20">INDEX('Port Linkages'!$O$18:$O$157,MATCH(2,1/(('Port Linkages'!$C$18:$C$157=$AQ20)*('Port Linkages'!$D$18:$D$157=IF($AO20="no",$AQ20,$AS20))*('Port Linkages'!$A$18:$A$157&lt;=$C20))))</f>
        <v>0</v>
      </c>
      <c r="TH20" s="75">
        <f t="array" ref="TH20">INDEX('Port Linkages'!$P$18:$P$157,MATCH(2,1/(('Port Linkages'!$C$18:$C$157=$AQ20)*('Port Linkages'!$D$18:$D$157=IF($AO20="no",$AQ20,$AS20))*('Port Linkages'!$A$18:$A$157&lt;=$C20))))</f>
        <v>0</v>
      </c>
      <c r="TI20" s="75">
        <f t="array" ref="TI20">INDEX('Port Linkages'!$Q$18:$Q$157,MATCH(2,1/(('Port Linkages'!$C$18:$C$157=$AQ20)*('Port Linkages'!$D$18:$D$157=IF($AO20="no",$AQ20,$AS20))*('Port Linkages'!$A$18:$A$157&lt;=$C20))))</f>
        <v>0</v>
      </c>
      <c r="TJ20" s="75">
        <f t="array" ref="TJ20">INDEX('Port Linkages'!$R$18:$R$157,MATCH(2,1/(('Port Linkages'!$C$18:$C$157=$AQ20)*('Port Linkages'!$D$18:$D$157=IF($AO20="no",$AQ20,$AS20))*('Port Linkages'!$A$18:$A$157&lt;=$C20))))</f>
        <v>0</v>
      </c>
      <c r="TK20" s="75">
        <f t="array" ref="TK20">INDEX('Port Linkages'!$S$18:$S$157,MATCH(2,1/(('Port Linkages'!$C$18:$C$157=$AQ20)*('Port Linkages'!$D$18:$D$157=IF($AO20="no",$AQ20,$AS20))*('Port Linkages'!$A$18:$A$157&lt;=$C20))))</f>
        <v>0</v>
      </c>
      <c r="TL20" s="75">
        <f t="array" ref="TL20">INDEX('Port Linkages'!$T$18:$T$157,MATCH(2,1/(('Port Linkages'!$C$18:$C$157=$AQ20)*('Port Linkages'!$D$18:$D$157=IF($AO20="no",$AQ20,$AS20))*('Port Linkages'!$A$18:$A$157&lt;=$C20))))</f>
        <v>0</v>
      </c>
      <c r="TM20" s="75">
        <f t="array" ref="TM20">INDEX('Port Linkages'!$U$18:$U$157,MATCH(2,1/(('Port Linkages'!$C$18:$C$157=$AQ20)*('Port Linkages'!$D$18:$D$157=IF($AO20="no",$AQ20,$AS20))*('Port Linkages'!$A$18:$A$157&lt;=$C20))))</f>
        <v>0</v>
      </c>
      <c r="TN20" s="75">
        <f t="array" ref="TN20">INDEX('Port Linkages'!$V$18:$V$157,MATCH(2,1/(('Port Linkages'!$C$18:$C$157=$AQ20)*('Port Linkages'!$D$18:$D$157=IF($AO20="no",$AQ20,$AS20))*('Port Linkages'!$A$18:$A$157&lt;=$C20))))</f>
        <v>0</v>
      </c>
      <c r="TO20" s="75">
        <f t="array" ref="TO20">INDEX('Port Linkages'!$W$18:$W$157,MATCH(2,1/(('Port Linkages'!$C$18:$C$157=$AQ20)*('Port Linkages'!$D$18:$D$157=IF($AO20="no",$AQ20,$AS20))*('Port Linkages'!$A$18:$A$157&lt;=$C20))))</f>
        <v>0</v>
      </c>
      <c r="TP20" s="75">
        <f t="array" ref="TP20">INDEX('Port Linkages'!$X$18:$X$157,MATCH(2,1/(('Port Linkages'!$C$18:$C$157=$AQ20)*('Port Linkages'!$D$18:$D$157=IF($AO20="no",$AQ20,$AS20))*('Port Linkages'!$A$18:$A$157&lt;=$C20))))</f>
        <v>0</v>
      </c>
      <c r="TQ20" s="75">
        <f t="array" ref="TQ20">INDEX('Port Linkages'!$Y$18:$Y$157,MATCH(2,1/(('Port Linkages'!$C$18:$C$157=$AQ20)*('Port Linkages'!$D$18:$D$157=IF($AO20="no",$AQ20,$AS20))*('Port Linkages'!$A$18:$A$157&lt;=$C20))))</f>
        <v>0</v>
      </c>
      <c r="TR20" s="75">
        <f t="array" ref="TR20">INDEX('Port Linkages'!$Z$18:$Z$157,MATCH(2,1/(('Port Linkages'!$C$18:$C$157=$AQ20)*('Port Linkages'!$D$18:$D$157=IF($AO20="no",$AQ20,$AS20))*('Port Linkages'!$A$18:$A$157&lt;=$C20))))</f>
        <v>0</v>
      </c>
      <c r="TS20" s="75">
        <f t="array" ref="TS20">INDEX('Port Linkages'!$AA$18:$AA$157,MATCH(2,1/(('Port Linkages'!$C$18:$C$157=$AQ20)*('Port Linkages'!$D$18:$D$157=IF($AO20="no",$AQ20,$AS20))*('Port Linkages'!$A$18:$A$157&lt;=$C20))))</f>
        <v>0</v>
      </c>
      <c r="TT20" s="75">
        <f t="array" ref="TT20">INDEX('Port Linkages'!$AB$18:$AB$157,MATCH(2,1/(('Port Linkages'!$C$18:$C$157=$AQ20)*('Port Linkages'!$D$18:$D$157=IF($AO20="no",$AQ20,$AS20))*('Port Linkages'!$A$18:$A$157&lt;=$C20))))</f>
        <v>0</v>
      </c>
      <c r="TU20" s="75">
        <f t="array" ref="TU20">INDEX('Port Linkages'!$AC$18:$AC$157,MATCH(2,1/(('Port Linkages'!$C$18:$C$157=$AQ20)*('Port Linkages'!$D$18:$D$157=IF($AO20="no",$AQ20,$AS20))*('Port Linkages'!$A$18:$A$157&lt;=$C20))))</f>
        <v>0</v>
      </c>
      <c r="TV20" s="75">
        <f t="array" ref="TV20">INDEX('Port Linkages'!$AD$18:$AD$157,MATCH(2,1/(('Port Linkages'!$C$18:$C$157=$AQ20)*('Port Linkages'!$D$18:$D$157=IF($AO20="no",$AQ20,$AS20))*('Port Linkages'!$A$18:$A$157&lt;=$C20))))</f>
        <v>0</v>
      </c>
      <c r="TW20" s="75">
        <f t="array" ref="TW20">INDEX('Port Linkages'!$AE$18:$AE$157,MATCH(2,1/(('Port Linkages'!$C$18:$C$157=$AQ20)*('Port Linkages'!$D$18:$D$157=IF($AO20="no",$AQ20,$AS20))*('Port Linkages'!$A$18:$A$157&lt;=$C20))))</f>
        <v>0</v>
      </c>
      <c r="TX20" s="75">
        <f t="array" ref="TX20">INDEX('Port Linkages'!$AF$18:$AF$157,MATCH(2,1/(('Port Linkages'!$C$18:$C$157=$AQ20)*('Port Linkages'!$D$18:$D$157=IF($AO20="no",$AQ20,$AS20))*('Port Linkages'!$A$18:$A$157&lt;=$C20))))</f>
        <v>0</v>
      </c>
      <c r="TY20" s="75">
        <f t="array" ref="TY20">INDEX('Port Linkages'!$AG$18:$AG$157,MATCH(2,1/(('Port Linkages'!$C$18:$C$157=$AQ20)*('Port Linkages'!$D$18:$D$157=IF($AO20="no",$AQ20,$AS20))*('Port Linkages'!$A$18:$A$157&lt;=$C20))))</f>
        <v>0</v>
      </c>
      <c r="TZ20" s="75">
        <f t="array" ref="TZ20">INDEX('Port Linkages'!$AH$18:$AH$157,MATCH(2,1/(('Port Linkages'!$C$18:$C$157=$AQ20)*('Port Linkages'!$D$18:$D$157=IF($AO20="no",$AQ20,$AS20))*('Port Linkages'!$A$18:$A$157&lt;=$C20))))</f>
        <v>0</v>
      </c>
      <c r="UA20" s="75">
        <f t="array" ref="UA20">INDEX('Port Linkages'!$AI$18:$AI$157,MATCH(2,1/(('Port Linkages'!$C$18:$C$157=$AQ20)*('Port Linkages'!$D$18:$D$157=IF($AO20="no",$AQ20,$AS20))*('Port Linkages'!$A$18:$A$157&lt;=$C20))))</f>
        <v>0</v>
      </c>
      <c r="UB20" s="75">
        <f t="array" ref="UB20">INDEX('Port Linkages'!$AJ$18:$AJ$157,MATCH(2,1/(('Port Linkages'!$C$18:$C$157=$AQ20)*('Port Linkages'!$D$18:$D$157=IF($AO20="no",$AQ20,$AS20))*('Port Linkages'!$A$18:$A$157&lt;=$C20))))</f>
        <v>0</v>
      </c>
      <c r="UC20" s="75">
        <f t="array" ref="UC20">INDEX('Port Linkages'!$AK$18:$AK$157,MATCH(2,1/(('Port Linkages'!$C$18:$C$157=$AQ20)*('Port Linkages'!$D$18:$D$157=IF($AO20="no",$AQ20,$AS20))*('Port Linkages'!$A$18:$A$157&lt;=$C20))))</f>
        <v>0</v>
      </c>
      <c r="UD20" s="75">
        <f t="array" ref="UD20">INDEX('Port Linkages'!$AL$18:$AL$157,MATCH(2,1/(('Port Linkages'!$C$18:$C$157=$AQ20)*('Port Linkages'!$D$18:$D$157=IF($AO20="no",$AQ20,$AS20))*('Port Linkages'!$A$18:$A$157&lt;=$C20))))</f>
        <v>0</v>
      </c>
      <c r="UE20" s="75">
        <f t="array" ref="UE20">INDEX('Port Linkages'!$AM$18:$AM$157,MATCH(2,1/(('Port Linkages'!$C$18:$C$157=$AQ20)*('Port Linkages'!$D$18:$D$157=IF($AO20="no",$AQ20,$AS20))*('Port Linkages'!$A$18:$A$157&lt;=$C20))))</f>
        <v>0</v>
      </c>
      <c r="UF20" s="75">
        <f t="array" ref="UF20">INDEX('Port Linkages'!$AN$18:$AN$157,MATCH(2,1/(('Port Linkages'!$C$18:$C$157=$AQ20)*('Port Linkages'!$D$18:$D$157=IF($AO20="no",$AQ20,$AS20))*('Port Linkages'!$A$18:$A$157&lt;=$C20))))</f>
        <v>0</v>
      </c>
      <c r="UG20" s="75">
        <f t="array" ref="UG20">INDEX('Port Linkages'!$AO$18:$AO$157,MATCH(2,1/(('Port Linkages'!$C$18:$C$157=$AQ20)*('Port Linkages'!$D$18:$D$157=IF($AO20="no",$AQ20,$AS20))*('Port Linkages'!$A$18:$A$157&lt;=$C20))))</f>
        <v>0</v>
      </c>
      <c r="UH20" s="75">
        <f t="array" ref="UH20">INDEX('Port Linkages'!$AP$18:$AP$157,MATCH(2,1/(('Port Linkages'!$C$18:$C$157=$AQ20)*('Port Linkages'!$D$18:$D$157=IF($AO20="no",$AQ20,$AS20))*('Port Linkages'!$A$18:$A$157&lt;=$C20))))</f>
        <v>0</v>
      </c>
      <c r="UI20" s="75">
        <f t="array" ref="UI20">INDEX('Port Linkages'!$AQ$18:$AQ$157,MATCH(2,1/(('Port Linkages'!$C$18:$C$157=$AQ20)*('Port Linkages'!$D$18:$D$157=IF($AO20="no",$AQ20,$AS20))*('Port Linkages'!$A$18:$A$157&lt;=$C20))))</f>
        <v>0</v>
      </c>
      <c r="UJ20" s="75">
        <f t="array" ref="UJ20">INDEX('Port Linkages'!$AR$18:$AR$157,MATCH(2,1/(('Port Linkages'!$C$18:$C$157=$AQ20)*('Port Linkages'!$D$18:$D$157=IF($AO20="no",$AQ20,$AS20))*('Port Linkages'!$A$18:$A$157&lt;=$C20))))</f>
        <v>0</v>
      </c>
      <c r="UK20" s="75">
        <f t="array" ref="UK20">INDEX('Port Linkages'!$AS$18:$AS$157,MATCH(2,1/(('Port Linkages'!$C$18:$C$157=$AQ20)*('Port Linkages'!$D$18:$D$157=IF($AO20="no",$AQ20,$AS20))*('Port Linkages'!$A$18:$A$157&lt;=$C20))))</f>
        <v>0</v>
      </c>
      <c r="UL20" s="75">
        <f t="array" ref="UL20">INDEX('Port Linkages'!$AT$18:$AT$157,MATCH(2,1/(('Port Linkages'!$C$18:$C$157=$AQ20)*('Port Linkages'!$D$18:$D$157=IF($AO20="no",$AQ20,$AS20))*('Port Linkages'!$A$18:$A$157&lt;=$C20))))</f>
        <v>0</v>
      </c>
      <c r="UM20" s="75">
        <f t="array" ref="UM20">INDEX('Port Linkages'!$AU$18:$AU$157,MATCH(2,1/(('Port Linkages'!$C$18:$C$157=$AQ20)*('Port Linkages'!$D$18:$D$157=IF($AO20="no",$AQ20,$AS20))*('Port Linkages'!$A$18:$A$157&lt;=$C20))))</f>
        <v>0</v>
      </c>
      <c r="UN20" s="75">
        <f t="array" ref="UN20">INDEX('Port Linkages'!$AV$18:$AV$157,MATCH(2,1/(('Port Linkages'!$C$18:$C$157=$AQ20)*('Port Linkages'!$D$18:$D$157=IF($AO20="no",$AQ20,$AS20))*('Port Linkages'!$A$18:$A$157&lt;=$C20))))</f>
        <v>0</v>
      </c>
      <c r="UO20" s="75">
        <f t="array" ref="UO20">INDEX('Port Linkages'!$AW$18:$AW$157,MATCH(2,1/(('Port Linkages'!$C$18:$C$157=$AQ20)*('Port Linkages'!$D$18:$D$157=IF($AO20="no",$AQ20,$AS20))*('Port Linkages'!$A$18:$A$157&lt;=$C20))))</f>
        <v>0</v>
      </c>
      <c r="UP20" s="75">
        <f t="array" ref="UP20">INDEX('Port Linkages'!$AX$18:$AX$157,MATCH(2,1/(('Port Linkages'!$C$18:$C$157=$AQ20)*('Port Linkages'!$D$18:$D$157=IF($AO20="no",$AQ20,$AS20))*('Port Linkages'!$A$18:$A$157&lt;=$C20))))</f>
        <v>0</v>
      </c>
      <c r="UQ20" s="75">
        <f t="array" ref="UQ20">INDEX('Port Linkages'!$AY$18:$AY$157,MATCH(2,1/(('Port Linkages'!$C$18:$C$157=$AQ20)*('Port Linkages'!$D$18:$D$157=IF($AO20="no",$AQ20,$AS20))*('Port Linkages'!$A$18:$A$157&lt;=$C20))))</f>
        <v>0</v>
      </c>
      <c r="UR20" s="75">
        <f t="array" ref="UR20">INDEX('Port Linkages'!$AZ$18:$AZ$157,MATCH(2,1/(('Port Linkages'!$C$18:$C$157=$AQ20)*('Port Linkages'!$D$18:$D$157=IF($AO20="no",$AQ20,$AS20))*('Port Linkages'!$A$18:$A$157&lt;=$C20))))</f>
        <v>0</v>
      </c>
      <c r="US20" s="75">
        <f t="array" ref="US20">INDEX('Port Linkages'!$BA$18:$BA$157,MATCH(2,1/(('Port Linkages'!$C$18:$C$157=$AQ20)*('Port Linkages'!$D$18:$D$157=IF($AO20="no",$AQ20,$AS20))*('Port Linkages'!$A$18:$A$157&lt;=$C20))))</f>
        <v>0</v>
      </c>
      <c r="UU20" s="25" t="e">
        <f t="array" aca="1" ref="UU20" ca="1">INDEX('Ship Fuel Prices'!$F$5:$F$1004,MATCH(2,1/(('Ship Fuel Prices'!$E$5:$E$1004=_xlfn.IFS(SJ20="Handysize",Main!UP20,SJ20="Supramax",UI20,SJ20="Panamax",UB20,SJ20="NeoPanamax",TU20,SJ20="Suezmax",TN20,SJ20="Capesize",TG20,SJ20="VLOC",SZ20))*('Ship Fuel Prices'!$D$5:$D$1004&lt;=Main!$C20))))</f>
        <v>#N/A</v>
      </c>
      <c r="UV20" s="25" t="e">
        <f t="array" aca="1" ref="UV20" ca="1">INDEX('Ship Fuel Prices'!$G$5:$G$1004,MATCH(2,1/(('Ship Fuel Prices'!$E$5:$E$1004=_xlfn.IFS(SJ20="Handysize",Main!UP20,SJ20="Supramax",UI20,SJ20="Panamax",UB20,SJ20="NeoPanamax",TU20,SJ20="Suezmax",TN20,SJ20="Capesize",TG20,SJ20="VLOC",SZ20))*('Ship Fuel Prices'!$D$5:$D$1004&lt;=Main!$C20))))</f>
        <v>#N/A</v>
      </c>
      <c r="UW20" s="25" t="e">
        <f t="array" aca="1" ref="UW20" ca="1">INDEX('Ship Fuel Prices'!$H$5:$H$1004,MATCH(2,1/(('Ship Fuel Prices'!$E$5:$E$1004=_xlfn.IFS(SJ20="Handysize",Main!UP20,SJ20="Supramax",UI20,SJ20="Panamax",UB20,SJ20="NeoPanamax",TU20,SJ20="Suezmax",TN20,SJ20="Capesize",TG20,SJ20="VLOC",SZ20))*('Ship Fuel Prices'!$D$5:$D$1004&lt;=Main!$C20))))</f>
        <v>#N/A</v>
      </c>
      <c r="UX20" s="25" t="e">
        <f t="array" aca="1" ref="UX20" ca="1">INDEX('Ship Fuel Prices'!$I$5:$I$1004,MATCH(2,1/(('Ship Fuel Prices'!$E$5:$E$1004=_xlfn.IFS(SJ20="Handysize",Main!UP20,SJ20="Supramax",UI20,SJ20="Panamax",UB20,SJ20="NeoPanamax",TU20,SJ20="Suezmax",TN20,SJ20="Capesize",TG20,SJ20="VLOC",SZ20))*('Ship Fuel Prices'!$D$5:$D$1004&lt;=Main!$C20))))</f>
        <v>#N/A</v>
      </c>
      <c r="UY20" s="25" t="e">
        <f t="array" aca="1" ref="UY20" ca="1">INDEX('Ship Fuel Prices'!$J$5:$J$1004,MATCH(2,1/(('Ship Fuel Prices'!$E$5:$E$1004=_xlfn.IFS(SJ20="Handysize",Main!UP20,SJ20="Supramax",UI20,SJ20="Panamax",UB20,SJ20="NeoPanamax",TU20,SJ20="Suezmax",TN20,SJ20="Capesize",TG20,SJ20="VLOC",SZ20))*('Ship Fuel Prices'!$D$5:$D$1004&lt;=Main!$C20))))</f>
        <v>#N/A</v>
      </c>
      <c r="VA20" s="75">
        <f t="array" ref="VA20">INDEX('China n Importing Ports'!$E$20:$E$41,MATCH(2,1/(('China n Importing Ports'!$D$20:$D$41&lt;=$C20)*('China n Importing Ports'!$C$20:$C$41=IF($AO20="No",$AQ20,$AS20)))))</f>
        <v>0</v>
      </c>
      <c r="VB20" s="75">
        <f t="array" ref="VB20">INDEX('China n Importing Ports'!$F$20:$F$41,MATCH(2,1/(('China n Importing Ports'!$D$20:$D$41&lt;=$C20)*('China n Importing Ports'!$C$20:$C$41=IF($AO20="No",$AQ20,$AS20)))))</f>
        <v>0</v>
      </c>
      <c r="VC20" s="75">
        <f t="array" ref="VC20">INDEX('China n Importing Ports'!$G$20:$G$41,MATCH(2,1/(('China n Importing Ports'!$D$20:$D$41&lt;=$C20)*('China n Importing Ports'!$C$20:$C$41=IF($AO20="No",$AQ20,$AS20)))))</f>
        <v>0</v>
      </c>
      <c r="VD20" s="75">
        <f t="array" ref="VD20">INDEX('China n Importing Ports'!$H$20:$H$41,MATCH(2,1/(('China n Importing Ports'!$D$20:$D$41&lt;=$C20)*('China n Importing Ports'!$C$20:$C$41=IF($AO20="No",$AQ20,$AS20)))))</f>
        <v>0</v>
      </c>
      <c r="VE20" s="75">
        <f t="array" ref="VE20">INDEX('China n Importing Ports'!$I$20:$I$41,MATCH(2,1/(('China n Importing Ports'!$D$20:$D$41&lt;=$C20)*('China n Importing Ports'!$C$20:$C$41=IF($AO20="No",$AQ20,$AS20)))))</f>
        <v>0</v>
      </c>
      <c r="VF20" s="75">
        <f t="array" ref="VF20">INDEX('China n Importing Ports'!$J$20:$J$41,MATCH(2,1/(('China n Importing Ports'!$D$20:$D$41&lt;=$C20)*('China n Importing Ports'!$C$20:$C$41=IF($AO20="No",$AQ20,$AS20)))))</f>
        <v>0</v>
      </c>
      <c r="VG20" s="75">
        <f t="array" ref="VG20">INDEX('China n Importing Ports'!$K$20:$K$41,MATCH(2,1/(('China n Importing Ports'!$D$20:$D$41&lt;=$C20)*('China n Importing Ports'!$C$20:$C$41=IF($AO20="No",$AQ20,$AS20)))))</f>
        <v>0</v>
      </c>
      <c r="VH20" s="75">
        <f t="array" ref="VH20">INDEX('China n Importing Ports'!$L$20:$L$41,MATCH(2,1/(('China n Importing Ports'!$D$20:$D$41&lt;=$C20)*('China n Importing Ports'!$C$20:$C$41=IF($AO20="No",$AQ20,$AS20)))))</f>
        <v>0</v>
      </c>
      <c r="VI20" s="75">
        <f t="array" ref="VI20">INDEX('China n Importing Ports'!$M$20:$M$41,MATCH(2,1/(('China n Importing Ports'!$D$20:$D$41&lt;=$C20)*('China n Importing Ports'!$C$20:$C$41=IF($AO20="No",$AQ20,$AS20)))))</f>
        <v>0</v>
      </c>
      <c r="VJ20" s="75">
        <f t="array" ref="VJ20">INDEX('China n Importing Ports'!$N$20:$N$41,MATCH(2,1/(('China n Importing Ports'!$D$20:$D$41&lt;=$C20)*('China n Importing Ports'!$C$20:$C$41=IF($AO20="No",$AQ20,$AS20)))))</f>
        <v>0</v>
      </c>
      <c r="VK20" s="75">
        <f t="array" ref="VK20">INDEX('China n Importing Ports'!$O$20:$O$41,MATCH(2,1/(('China n Importing Ports'!$D$20:$D$41&lt;=$C20)*('China n Importing Ports'!$C$20:$C$41=IF($AO20="No",$AQ20,$AS20)))))</f>
        <v>0</v>
      </c>
      <c r="VL20" s="136">
        <f t="array" ref="VL20">INDEX('China n Importing Ports'!$P$20:$P$41,MATCH(2,1/(('China n Importing Ports'!$D$20:$D$41&lt;=$C20)*('China n Importing Ports'!$C$20:$C$41=IF($AO20="No",$AQ20,$AS20)))))</f>
        <v>0</v>
      </c>
      <c r="VM20" s="136">
        <f t="array" ref="VM20">INDEX('China n Importing Ports'!$Q$20:$Q$41,MATCH(2,1/(('China n Importing Ports'!$D$20:$D$41&lt;=$C20)*('China n Importing Ports'!$C$20:$C$41=IF($AO20="No",$AQ20,$AS20)))))</f>
        <v>0</v>
      </c>
      <c r="VN20" s="136">
        <f t="array" ref="VN20">INDEX('China n Importing Ports'!$R$20:$R$41,MATCH(2,1/(('China n Importing Ports'!$D$20:$D$41&lt;=$C20)*('China n Importing Ports'!$C$20:$C$41=IF($AO20="No",$AQ20,$AS20)))))</f>
        <v>0</v>
      </c>
      <c r="VO20" s="136">
        <f t="array" ref="VO20">INDEX('China n Importing Ports'!$S$20:$S$41,MATCH(2,1/(('China n Importing Ports'!$D$20:$D$41&lt;=$C20)*('China n Importing Ports'!$C$20:$C$41=IF($AO20="No",$AQ20,$AS20)))))</f>
        <v>0</v>
      </c>
      <c r="VP20" s="136">
        <f t="array" ref="VP20">INDEX('China n Importing Ports'!$T$20:$T$41,MATCH(2,1/(('China n Importing Ports'!$D$20:$D$41&lt;=$C20)*('China n Importing Ports'!$C$20:$C$41=IF($AO20="No",$AQ20,$AS20)))))</f>
        <v>0</v>
      </c>
      <c r="VQ20" s="136">
        <f t="array" ref="VQ20">INDEX('China n Importing Ports'!$U$20:$U$41,MATCH(2,1/(('China n Importing Ports'!$D$20:$D$41&lt;=$C20)*('China n Importing Ports'!$C$20:$C$41=IF($AO20="No",$AQ20,$AS20)))))</f>
        <v>0</v>
      </c>
      <c r="VR20" s="136">
        <f t="array" ref="VR20">INDEX('China n Importing Ports'!$V$20:$V$41,MATCH(2,1/(('China n Importing Ports'!$D$20:$D$41&lt;=$C20)*('China n Importing Ports'!$C$20:$C$41=IF($AO20="No",$AQ20,$AS20)))))</f>
        <v>0</v>
      </c>
      <c r="VS20" s="136">
        <f t="array" ref="VS20">INDEX('China n Importing Ports'!$W$20:$W$41,MATCH(2,1/(('China n Importing Ports'!$D$20:$D$41&lt;=$C20)*('China n Importing Ports'!$C$20:$C$41=IF($AO20="No",$AQ20,$AS20)))))</f>
        <v>0</v>
      </c>
      <c r="VT20" s="136">
        <f t="array" ref="VT20">INDEX('China n Importing Ports'!$X$20:$X$41,MATCH(2,1/(('China n Importing Ports'!$D$20:$D$41&lt;=$C20)*('China n Importing Ports'!$C$20:$C$41=IF($AO20="No",$AQ20,$AS20)))))</f>
        <v>0</v>
      </c>
      <c r="VU20" s="136">
        <f t="array" ref="VU20">INDEX('China n Importing Ports'!$Y$20:$Y$41,MATCH(2,1/(('China n Importing Ports'!$D$20:$D$41&lt;=$C20)*('China n Importing Ports'!$C$20:$C$41=IF($AO20="No",$AQ20,$AS20)))))</f>
        <v>0</v>
      </c>
      <c r="VV20" s="136">
        <f t="array" ref="VV20">INDEX('China n Importing Ports'!$Z$20:$Z$41,MATCH(2,1/(('China n Importing Ports'!$D$20:$D$41&lt;=$C20)*('China n Importing Ports'!$C$20:$C$41=IF($AO20="No",$AQ20,$AS20)))))</f>
        <v>0</v>
      </c>
      <c r="VW20" s="136">
        <f t="array" ref="VW20">INDEX('China n Importing Ports'!$AA$20:$AA$41,MATCH(2,1/(('China n Importing Ports'!$D$20:$D$41&lt;=$C20)*('China n Importing Ports'!$C$20:$C$41=IF($AO20="No",$AQ20,$AS20)))))</f>
        <v>0</v>
      </c>
      <c r="VY20" s="75" t="e">
        <f t="array" aca="1" ref="VY20" ca="1">INDEX(Canals!$G$24:$G$29,MATCH(2,1/((Canals!$F$24:$F$29&lt;=$C20)*(Canals!$G$24:$G$29=_xlfn.IFS(SJ20="Handysize",US20,SJ20="Supramax",UL20,SJ20="Panamax",UE20,SJ20="NeoPanamax",TX20,SJ20="Suezmax",TQ20,SJ20="Capesize",TJ20,SJ20="VLOC",TC20)))))</f>
        <v>#N/A</v>
      </c>
      <c r="VZ20" s="75" t="e">
        <f t="array" aca="1" ref="VZ20" ca="1">INDEX(Canals!$H$24:$H$29,MATCH(2,1/((Canals!$F$24:$F$29&lt;=$C20)*(Canals!$G$24:$G$29=_xlfn.IFS(SJ20="Handysize",US20,SJ20="Supramax",UL20,SJ20="Panamax",UE20,SJ20="NeoPanamax",TX20,SJ20="Suezmax",TQ20,SJ20="Capesize",TJ20,SJ20="VLOC",TC20)))))</f>
        <v>#N/A</v>
      </c>
      <c r="WA20" s="75" t="e">
        <f t="array" aca="1" ref="WA20" ca="1">INDEX(Canals!$I$24:$I$29,MATCH(2,1/((Canals!$F$24:$F$29&lt;=$C20)*(Canals!$G$24:$G$29=_xlfn.IFS(SJ20="Handysize",US20,SJ20="Supramax",UL20,SJ20="Panamax",UE20,SJ20="NeoPanamax",TX20,SJ20="Suezmax",TQ20,SJ20="Capesize",TJ20,SJ20="VLOC",TC20)))))</f>
        <v>#N/A</v>
      </c>
      <c r="WB20" s="75" t="e">
        <f t="array" aca="1" ref="WB20" ca="1">INDEX(Canals!$J$24:$J$29,MATCH(2,1/((Canals!$F$24:$F$29&lt;=$C20)*(Canals!$G$24:$G$29=_xlfn.IFS(SJ20="Handysize",Main!US20,SJ20="Supramax",UL20,SJ20="Panamax",UE20,SJ20="NeoPanamax",TX20,SJ20="Suezmax",TQ20,SJ20="Capesize",TJ20,SJ20="VLOC",TC20)))))</f>
        <v>#N/A</v>
      </c>
      <c r="WC20" s="75" t="e">
        <f t="array" aca="1" ref="WC20" ca="1">INDEX(Canals!$K$24:$K$29,MATCH(2,1/((Canals!$F$24:$F$29&lt;=$C20)*(Canals!$G$24:$G$29=_xlfn.IFS(SJ20="Handysize",Main!US20,SJ20="Supramax",UL20,SJ20="Panamax",UE20,SJ20="NeoPanamax",TX20,SJ20="Suezmax",TQ20,SJ20="Capesize",TJ20,SJ20="VLOC",TC20)))))</f>
        <v>#N/A</v>
      </c>
      <c r="WD20" s="75" t="e">
        <f t="array" aca="1" ref="WD20" ca="1">INDEX(Canals!$L$24:$L$29,MATCH(2,1/((Canals!$F$24:$F$29&lt;=$C20)*(Canals!$G$24:$G$29=_xlfn.IFS(SJ20="Handysize",Main!US20,SJ20="Supramax",UL20,SJ20="Panamax",UE20,SJ20="NeoPanamax",TX20,SJ20="Suezmax",TQ20,SJ20="Capesize",TJ20,SJ20="VLOC",TC20)))))</f>
        <v>#N/A</v>
      </c>
      <c r="WE20" s="75" t="e">
        <f t="array" aca="1" ref="WE20" ca="1">INDEX(Canals!$M$24:$M$29,MATCH(2,1/((Canals!$F$24:$F$29&lt;=$C20)*(Canals!$G$24:$G$29=_xlfn.IFS(SJ20="Handysize",Main!US20,SJ20="Supramax",UL20,SJ20="Panamax",UE20,SJ20="NeoPanamax",TX20,SJ20="Suezmax",TQ20,SJ20="Capesize",TJ20,SJ20="VLOC",TC20)))))</f>
        <v>#N/A</v>
      </c>
      <c r="WF20" s="75" t="e">
        <f t="array" aca="1" ref="WF20" ca="1">INDEX(Canals!$N$24:$N$29,MATCH(2,1/((Canals!$F$24:$F$29&lt;=$C20)*(Canals!$G$24:$G$29=_xlfn.IFS(SJ20="Handysize",Main!US20,SJ20="Supramax",UL20,SJ20="Panamax",UE20,SJ20="NeoPanamax",TX20,SJ20="Suezmax",TQ20,SJ20="Capesize",TJ20,SJ20="VLOC",TC20)))))</f>
        <v>#N/A</v>
      </c>
      <c r="WG20" s="75" t="e">
        <f t="array" aca="1" ref="WG20" ca="1">INDEX(Canals!$O$24:$O$29,MATCH(2,1/((Canals!$F$24:$F$29&lt;=$C20)*(Canals!$G$24:$G$29=_xlfn.IFS(SJ20="Handysize",Main!US20,SJ20="Supramax",UL20,SJ20="Panamax",UE20,SJ20="NeoPanamax",TX20,SJ20="Suezmax",TQ20,SJ20="Capesize",TJ20,SJ20="VLOC",TC20)))))</f>
        <v>#N/A</v>
      </c>
      <c r="WH20" s="75" t="e">
        <f t="array" aca="1" ref="WH20" ca="1">INDEX(Canals!$P$24:$P$29,MATCH(2,1/((Canals!$F$24:$F$29&lt;=$C20)*(Canals!$G$24:$G$29=_xlfn.IFS(SJ20="Handysize",Main!US20,SJ20="Supramax",UL20,SJ20="Panamax",UE20,SJ20="NeoPanamax",TX20,SJ20="Suezmax",TQ20,SJ20="Capesize",TJ20,SJ20="VLOC",TC20)))))</f>
        <v>#N/A</v>
      </c>
      <c r="WI20" s="75" t="e">
        <f t="array" aca="1" ref="WI20" ca="1">INDEX(Canals!$Q$24:$Q$29,MATCH(2,1/((Canals!$F$24:$F$29&lt;=$C20)*(Canals!$G$24:$G$29=_xlfn.IFS(SJ20="Handysize",Main!US20,SJ20="Supramax",UL20,SJ20="Panamax",UE20,SJ20="NeoPanamax",TX20,SJ20="Suezmax",TQ20,SJ20="Capesize",TJ20,SJ20="VLOC",TC20)))))</f>
        <v>#N/A</v>
      </c>
      <c r="WJ20" s="75" t="e">
        <f t="array" aca="1" ref="WJ20" ca="1">INDEX(Canals!$R$24:$R$29,MATCH(2,1/((Canals!$F$24:$F$29&lt;=$C20)*(Canals!$G$24:$G$29=_xlfn.IFS(SJ20="Handysize",Main!US20,SJ20="Supramax",UL20,SJ20="Panamax",UE20,SJ20="NeoPanamax",TX20,SJ20="Suezmax",TQ20,SJ20="Capesize",TJ20,SJ20="VLOC",TC20)))))</f>
        <v>#N/A</v>
      </c>
      <c r="WK20" s="136" t="e">
        <f t="array" aca="1" ref="WK20" ca="1">INDEX(Canals!$S$24:$S$29,MATCH(2,1/((Canals!$F$24:$F$29&lt;=$C20)*(Canals!$G$24:$G$29=_xlfn.IFS(SJ20="Handysize",Main!US20,SJ20="Supramax",UL20,SJ20="Panamax",UE20,SJ20="NeoPanamax",TX20,SJ20="Suezmax",TQ20,SJ20="Capesize",TJ20,SJ20="VLOC",TC20)))))</f>
        <v>#N/A</v>
      </c>
      <c r="WL20" s="136" t="e">
        <f t="array" aca="1" ref="WL20" ca="1">INDEX(Canals!$T$24:$T$29,MATCH(2,1/((Canals!$F$24:$F$29&lt;=$C20)*(Canals!$G$24:$G$29=_xlfn.IFS(SJ20="Handysize",Main!US20,SJ20="Supramax",UL20,SJ20="Panamax",UE20,SJ20="NeoPanamax",TX20,SJ20="Suezmax",TQ20,SJ20="Capesize",TJ20,SJ20="VLOC",TC20)))))</f>
        <v>#N/A</v>
      </c>
      <c r="WM20" s="136" t="e">
        <f t="array" aca="1" ref="WM20" ca="1">INDEX(Canals!$U$24:$U$29,MATCH(2,1/((Canals!$F$24:$F$29&lt;=$C20)*(Canals!$G$24:$G$29=_xlfn.IFS(SJ20="Handysize",Main!US20,SJ20="Supramax",UL20,SJ20="Panamax",UE20,SJ20="NeoPanamax",TX20,SJ20="Suezmax",TQ20,SJ20="Capesize",TJ20,SJ20="VLOC",TC20)))))</f>
        <v>#N/A</v>
      </c>
      <c r="WN20" s="136" t="e">
        <f t="array" aca="1" ref="WN20" ca="1">INDEX(Canals!$V$24:$V$29,MATCH(2,1/((Canals!$F$24:$F$29&lt;=$C20)*(Canals!$G$24:$G$29=_xlfn.IFS(SJ20="Handysize",Main!US20,SJ20="Supramax",UL20,SJ20="Panamax",UE20,SJ20="NeoPanamax",TX20,SJ20="Suezmax",TQ20,SJ20="Capesize",TJ20,SJ20="VLOC",TC20)))))</f>
        <v>#N/A</v>
      </c>
      <c r="WO20" s="136" t="e">
        <f t="array" aca="1" ref="WO20" ca="1">INDEX(Canals!$W$24:$W$29,MATCH(2,1/((Canals!$F$24:$F$29&lt;=$C20)*(Canals!$G$24:$G$29=_xlfn.IFS(SJ20="Handysize",Main!US20,SJ20="Supramax",UL20,SJ20="Panamax",UE20,SJ20="NeoPanamax",TX20,SJ20="Suezmax",TQ20,SJ20="Capesize",TJ20,SJ20="VLOC",TC20)))))</f>
        <v>#N/A</v>
      </c>
      <c r="WP20" s="136" t="e">
        <f t="array" aca="1" ref="WP20" ca="1">INDEX(Canals!$X$24:$X$29,MATCH(2,1/((Canals!$F$24:$F$29&lt;=$C20)*(Canals!$G$24:$G$29=_xlfn.IFS(SJ20="Handysize",Main!US20,SJ20="Supramax",UL20,SJ20="Panamax",UE20,SJ20="NeoPanamax",TX20,SJ20="Suezmax",TQ20,SJ20="Capesize",TJ20,SJ20="VLOC",TC20)))))</f>
        <v>#N/A</v>
      </c>
      <c r="WQ20" s="136" t="e">
        <f t="array" aca="1" ref="WQ20" ca="1">INDEX(Canals!$Y$24:$Y$29,MATCH(2,1/((Canals!$F$24:$F$29&lt;=$C20)*(Canals!$G$24:$G$29=_xlfn.IFS(SJ20="Handysize",Main!US20,SJ20="Supramax",UL20,SJ20="Panamax",UE20,SJ20="NeoPanamax",TX20,SJ20="Suezmax",TQ20,SJ20="Capesize",TJ20,SJ20="VLOC",TC20)))))</f>
        <v>#N/A</v>
      </c>
      <c r="WR20" s="136" t="e">
        <f t="array" aca="1" ref="WR20" ca="1">INDEX(Canals!$Z$24:$Z$29,MATCH(2,1/((Canals!$F$24:$F$29&lt;=$C20)*(Canals!$G$24:$G$29=_xlfn.IFS(SJ20="Handysize",Main!US20,SJ20="Supramax",UL20,SJ20="Panamax",UE20,SJ20="NeoPanamax",TX20,SJ20="Suezmax",TQ20,SJ20="Capesize",TJ20,SJ20="VLOC",TC20)))))</f>
        <v>#N/A</v>
      </c>
      <c r="WS20" s="136" t="e">
        <f t="array" aca="1" ref="WS20" ca="1">INDEX(Canals!$AA$24:$AA$29,MATCH(2,1/((Canals!$F$24:$F$29&lt;=$C20)*(Canals!$G$24:$G$29=_xlfn.IFS(SJ20="Handysize",Main!US20,SJ20="Supramax",UL20,SJ20="Panamax",UE20,SJ20="NeoPanamax",TX20,SJ20="Suezmax",TQ20,SJ20="Capesize",TJ20,SJ20="VLOC",TC20)))))</f>
        <v>#N/A</v>
      </c>
      <c r="WT20" s="136" t="e">
        <f t="array" aca="1" ref="WT20" ca="1">INDEX(Canals!$AB$24:$AB$29,MATCH(2,1/((Canals!$F$24:$F$29&lt;=$C20)*(Canals!$G$24:$G$29=_xlfn.IFS(SJ20="Handysize",Main!US20,SJ20="Supramax",UL20,SJ20="Panamax",UE20,SJ20="NeoPanamax",TX20,SJ20="Suezmax",TQ20,SJ20="Capesize",TJ20,SJ20="VLOC",TC20)))))</f>
        <v>#N/A</v>
      </c>
      <c r="WU20" s="75" t="e">
        <f t="array" aca="1" ref="WU20" ca="1">INDEX(Canals!$AC$24:$AC$29,MATCH(2,1/((Canals!$F$24:$F$29&lt;=$C20)*(Canals!$G$24:$G$29=_xlfn.IFS(SJ20="Handysize",Main!US20,SJ20="Supramax",UL20,SJ20="Panamax",UE20,SJ20="NeoPanamax",TX20,SJ20="Suezmax",TQ20,SJ20="Capesize",TJ20,SJ20="VLOC",TC20)))))</f>
        <v>#N/A</v>
      </c>
      <c r="WV20" s="75" t="e">
        <f t="array" aca="1" ref="WV20" ca="1">INDEX(Canals!$AD$24:$AD$29,MATCH(2,1/((Canals!$F$24:$F$29&lt;=$C20)*(Canals!$G$24:$G$29=_xlfn.IFS(SJ20="Handysize",Main!US20,SJ20="Supramax",UL20,SJ20="Panamax",UE20,SJ20="NeoPanamax",TX20,SJ20="Suezmax",TQ20,SJ20="Capesize",TJ20,SJ20="VLOC",TC20)))))</f>
        <v>#N/A</v>
      </c>
      <c r="WW20" s="75" t="e">
        <f t="array" aca="1" ref="WW20" ca="1">INDEX(Canals!$AE$24:$AE$29,MATCH(2,1/((Canals!$F$24:$F$29&lt;=$C20)*(Canals!$G$24:$G$29=_xlfn.IFS(SJ20="Handysize",Main!US20,SJ20="Supramax",UL20,SJ20="Panamax",UE20,SJ20="NeoPanamax",TX20,SJ20="Suezmax",TQ20,SJ20="Capesize",TJ20,SJ20="VLOC",TC20)))))</f>
        <v>#N/A</v>
      </c>
      <c r="WX20" s="75" t="e">
        <f t="array" aca="1" ref="WX20" ca="1">INDEX(Canals!$AF$24:$AF$29,MATCH(2,1/((Canals!$F$24:$F$29&lt;=$C20)*(Canals!$G$24:$G$29=_xlfn.IFS(SJ20="Handysize",Main!US20,SJ20="Supramax",UL20,SJ20="Panamax",UE20,SJ20="NeoPanamax",TX20,SJ20="Suezmax",TQ20,SJ20="Capesize",TJ20,SJ20="VLOC",TC20)))))</f>
        <v>#N/A</v>
      </c>
      <c r="WY20" s="75" t="e">
        <f t="array" aca="1" ref="WY20" ca="1">INDEX(Canals!$AG$24:$AG$29,MATCH(2,1/((Canals!$F$24:$F$29&lt;=$C20)*(Canals!$G$24:$G$29=_xlfn.IFS(SJ20="Handysize",Main!US20,SJ20="Supramax",UL20,SJ20="Panamax",UE20,SJ20="NeoPanamax",TX20,SJ20="Suezmax",TQ20,SJ20="Capesize",TJ20,SJ20="VLOC",TC20)))))</f>
        <v>#N/A</v>
      </c>
      <c r="WZ20" s="75" t="e">
        <f t="array" aca="1" ref="WZ20" ca="1">INDEX(Canals!$AH$24:$AH$29,MATCH(2,1/((Canals!$F$24:$F$29&lt;=$C20)*(Canals!$G$24:$G$29=_xlfn.IFS(SJ20="Handysize",Main!US20,SJ20="Supramax",UL20,SJ20="Panamax",UE20,SJ20="NeoPanamax",TX20,SJ20="Suezmax",TQ20,SJ20="Capesize",TJ20,SJ20="VLOC",TC20)))))</f>
        <v>#N/A</v>
      </c>
      <c r="XA20" s="75" t="e">
        <f t="array" aca="1" ref="XA20" ca="1">INDEX(Canals!$AI$24:$AI$29,MATCH(2,1/((Canals!$F$24:$F$29&lt;=$C20)*(Canals!$G$24:$G$29=_xlfn.IFS(SJ20="Handysize",Main!US20,SJ20="Supramax",UL20,SJ20="Panamax",UE20,SJ20="NeoPanamax",TX20,SJ20="Suezmax",TQ20,SJ20="Capesize",TJ20,SJ20="VLOC",TC20)))))</f>
        <v>#N/A</v>
      </c>
      <c r="XB20" s="75" t="e">
        <f t="array" aca="1" ref="XB20" ca="1">INDEX(Canals!$AJ$24:$AJ$29,MATCH(2,1/((Canals!$F$24:$F$29&lt;=$C20)*(Canals!$G$24:$G$29=_xlfn.IFS(SJ20="Handysize",Main!US20,SJ20="Supramax",UL20,SJ20="Panamax",UE20,SJ20="NeoPanamax",TX20,SJ20="Suezmax",TQ20,SJ20="Capesize",TJ20,SJ20="VLOC",TC20)))))</f>
        <v>#N/A</v>
      </c>
      <c r="XC20" s="75" t="e">
        <f t="array" aca="1" ref="XC20" ca="1">INDEX(Canals!$AK$24:$AK$29,MATCH(2,1/((Canals!$F$24:$F$29&lt;=$C20)*(Canals!$G$24:$G$29=_xlfn.IFS(SJ20="Handysize",Main!US20,SJ20="Supramax",UL20,SJ20="Panamax",UE20,SJ20="NeoPanamax",TX20,SJ20="Suezmax",TQ20,SJ20="Capesize",TJ20,SJ20="VLOC",TC20)))))</f>
        <v>#N/A</v>
      </c>
      <c r="XD20" s="136" t="e">
        <f t="array" aca="1" ref="XD20" ca="1">INDEX(Canals!$AL$24:$AL$29,MATCH(2,1/((Canals!$F$24:$F$29&lt;=$C20)*(Canals!$G$24:$G$29=_xlfn.IFS(SJ20="Handysize",Main!US20,SJ20="Supramax",UL20,SJ20="Panamax",UE20,SJ20="NeoPanamax",TX20,SJ20="Suezmax",TQ20,SJ20="Capesize",TJ20,SJ20="VLOC",TC20)))))</f>
        <v>#N/A</v>
      </c>
      <c r="XE20" s="136" t="e">
        <f t="array" aca="1" ref="XE20" ca="1">INDEX(Canals!$AM$24:$AM$29,MATCH(2,1/((Canals!$F$24:$F$29&lt;=$C20)*(Canals!$G$24:$G$29=_xlfn.IFS(SJ20="Handysize",Main!US20,SJ20="Supramax",UL20,SJ20="Panamax",UE20,SJ20="NeoPanamax",TX20,SJ20="Suezmax",TQ20,SJ20="Capesize",TJ20,SJ20="VLOC",TC20)))))</f>
        <v>#N/A</v>
      </c>
      <c r="XF20" s="136" t="e">
        <f t="array" aca="1" ref="XF20" ca="1">INDEX(Canals!$AN$24:$AN$29,MATCH(2,1/((Canals!$F$24:$F$29&lt;=$C20)*(Canals!$G$24:$G$29=_xlfn.IFS(SJ20="Handysize",Main!US20,SJ20="Supramax",UL20,SJ20="Panamax",UE20,SJ20="NeoPanamax",TX20,SJ20="Suezmax",TQ20,SJ20="Capesize",TJ20,SJ20="VLOC",TC20)))))</f>
        <v>#N/A</v>
      </c>
      <c r="XG20" s="136" t="e">
        <f t="array" aca="1" ref="XG20" ca="1">INDEX(Canals!$AO$24:$AO$29,MATCH(2,1/((Canals!$F$24:$F$29&lt;=$C20)*(Canals!$G$24:$G$29=_xlfn.IFS(SJ20="Handysize",Main!US20,SJ20="Supramax",UL20,SJ20="Panamax",UE20,SJ20="NeoPanamax",TX20,SJ20="Suezmax",TQ20,SJ20="Capesize",TJ20,SJ20="VLOC",TC20)))))</f>
        <v>#N/A</v>
      </c>
      <c r="XH20" s="136" t="e">
        <f t="array" aca="1" ref="XH20" ca="1">INDEX(Canals!$AP$24:$AP$29,MATCH(2,1/((Canals!$F$24:$F$29&lt;=$C20)*(Canals!$G$24:$G$29=_xlfn.IFS(SJ20="Handysize",Main!US20,SJ20="Supramax",UL20,SJ20="Panamax",UE20,SJ20="NeoPanamax",TX20,SJ20="Suezmax",TQ20,SJ20="Capesize",TJ20,SJ20="VLOC",TC20)))))</f>
        <v>#N/A</v>
      </c>
      <c r="XI20" s="136" t="e">
        <f t="array" aca="1" ref="XI20" ca="1">INDEX(Canals!$AQ$24:$AQ$29,MATCH(2,1/((Canals!$F$24:$F$29&lt;=$C20)*(Canals!$G$24:$G$29=_xlfn.IFS(SJ20="Handysize",Main!US20,SJ20="Supramax",UL20,SJ20="Panamax",UE20,SJ20="NeoPanamax",TX20,SJ20="Suezmax",TQ20,SJ20="Capesize",TJ20,SJ20="VLOC",TC20)))))</f>
        <v>#N/A</v>
      </c>
      <c r="XJ20" s="136" t="e">
        <f t="array" aca="1" ref="XJ20" ca="1">INDEX(Canals!$AR$24:$AR$29,MATCH(2,1/((Canals!$F$24:$F$29&lt;=$C20)*(Canals!$G$24:$G$29=_xlfn.IFS(SJ20="Handysize",Main!US20,SJ20="Supramax",UL20,SJ20="Panamax",UE20,SJ20="NeoPanamax",TX20,SJ20="Suezmax",TQ20,SJ20="Capesize",TJ20,SJ20="VLOC",TC20)))))</f>
        <v>#N/A</v>
      </c>
      <c r="XK20" s="136" t="e">
        <f t="array" aca="1" ref="XK20" ca="1">INDEX(Canals!$AS$24:$AS$29,MATCH(2,1/((Canals!$F$24:$F$29&lt;=$C20)*(Canals!$G$24:$G$29=_xlfn.IFS(SJ20="Handysize",Main!US20,SJ20="Supramax",UL20,SJ20="Panamax",UE20,SJ20="NeoPanamax",TX20,SJ20="Suezmax",TQ20,SJ20="Capesize",TJ20,SJ20="VLOC",TC20)))))</f>
        <v>#N/A</v>
      </c>
      <c r="XL20" s="136" t="e">
        <f t="array" aca="1" ref="XL20" ca="1">INDEX(Canals!$AT$24:$AT$29,MATCH(2,1/((Canals!$F$24:$F$29&lt;=$C20)*(Canals!$G$24:$G$29=_xlfn.IFS(SJ20="Handysize",Main!US20,SJ20="Supramax",UL20,SJ20="Panamax",UE20,SJ20="NeoPanamax",TX20,SJ20="Suezmax",TQ20,SJ20="Capesize",TJ20,SJ20="VLOC",TC20)))))</f>
        <v>#N/A</v>
      </c>
      <c r="XM20" s="136" t="e">
        <f t="array" aca="1" ref="XM20" ca="1">INDEX(Canals!$AU$24:$AU$29,MATCH(2,1/((Canals!$F$24:$F$29&lt;=$C20)*(Canals!$G$24:$G$29=_xlfn.IFS(SJ20="Handysize",Main!US20,SJ20="Supramax",UL20,SJ20="Panamax",UE20,SJ20="NeoPanamax",TX20,SJ20="Suezmax",TQ20,SJ20="Capesize",TJ20,SJ20="VLOC",TC20)))))</f>
        <v>#N/A</v>
      </c>
      <c r="XN20" s="136" t="e">
        <f t="array" aca="1" ref="XN20" ca="1">INDEX(Canals!$AV$24:$AV$29,MATCH(2,1/((Canals!$F$24:$F$29&lt;=$C20)*(Canals!$G$24:$G$29=_xlfn.IFS(SJ20="Handysize",Main!US20,SJ20="Supramax",UL20,SJ20="Panamax",UE20,SJ20="NeoPanamax",TX20,SJ20="Suezmax",TQ20,SJ20="Capesize",TJ20,SJ20="VLOC",TC20)))))</f>
        <v>#N/A</v>
      </c>
      <c r="XP20" s="75" t="e">
        <f t="array" aca="1" ref="XP20" ca="1">_xlfn.IFS(WA20="DWT",SH20,WA20="NRT",SL20,WA20="GRT",SM20,WA20=0,0)</f>
        <v>#NAME?</v>
      </c>
      <c r="XQ20" s="279" t="e">
        <f t="shared" ca="1" si="125"/>
        <v>#NAME?</v>
      </c>
      <c r="XR20" s="280" t="e">
        <f t="shared" ca="1" si="126"/>
        <v>#NAME?</v>
      </c>
      <c r="XS20" s="280" t="e">
        <f t="shared" ca="1" si="127"/>
        <v>#NAME?</v>
      </c>
      <c r="XT20" s="280" t="e">
        <f t="shared" ca="1" si="128"/>
        <v>#NAME?</v>
      </c>
      <c r="XU20" s="280" t="e">
        <f t="shared" ca="1" si="129"/>
        <v>#NAME?</v>
      </c>
      <c r="XV20" s="280" t="e">
        <f t="shared" ca="1" si="130"/>
        <v>#NAME?</v>
      </c>
      <c r="XW20" s="280" t="e">
        <f t="shared" ca="1" si="131"/>
        <v>#NAME?</v>
      </c>
      <c r="XX20" s="280" t="e">
        <f t="shared" ca="1" si="132"/>
        <v>#NAME?</v>
      </c>
      <c r="XY20" s="280" t="e">
        <f t="shared" ca="1" si="133"/>
        <v>#NAME?</v>
      </c>
      <c r="XZ20" s="75">
        <f t="shared" si="134"/>
        <v>0</v>
      </c>
      <c r="YA20" s="279" t="e">
        <f t="shared" ca="1" si="135"/>
        <v>#N/A</v>
      </c>
      <c r="YB20" s="280" t="e">
        <f t="shared" ca="1" si="136"/>
        <v>#N/A</v>
      </c>
      <c r="YC20" s="280" t="e">
        <f t="shared" ca="1" si="137"/>
        <v>#N/A</v>
      </c>
      <c r="YD20" s="280" t="e">
        <f t="shared" ca="1" si="138"/>
        <v>#N/A</v>
      </c>
      <c r="YE20" s="280" t="e">
        <f t="shared" ca="1" si="139"/>
        <v>#N/A</v>
      </c>
      <c r="YF20" s="280" t="e">
        <f t="shared" ca="1" si="140"/>
        <v>#N/A</v>
      </c>
      <c r="YG20" s="280" t="e">
        <f t="shared" ca="1" si="141"/>
        <v>#N/A</v>
      </c>
      <c r="YH20" s="280" t="e">
        <f t="shared" ca="1" si="142"/>
        <v>#N/A</v>
      </c>
      <c r="YI20" s="280" t="e">
        <f t="shared" ca="1" si="143"/>
        <v>#N/A</v>
      </c>
      <c r="YK20" s="75" t="e">
        <f t="array" aca="1" ref="YK20" ca="1">_xlfn.IFS(SJ20="Handysize",Main!UM20,SJ20="Supramax",UF20,SJ20="Panamax",TY20,SJ20="NeoPanamax",TR20,SJ20="Suezmax",TK20,SJ20="Capesize",TD20,SJ20="VLOC",SW20)*$JI20</f>
        <v>#NAME?</v>
      </c>
      <c r="YL20" s="274" t="e">
        <f t="array" aca="1" ref="YL20" ca="1">_xlfn.IFS(SJ20="Handysize",Main!UN20,SJ20="Supramax",UG20,SJ20="Panamax",TZ20,SJ20="NeoPanamax",TS20,SJ20="Suezmax",TL20,SJ20="Capesize",TE20,SJ20="VLOC",SX20)*$JI20</f>
        <v>#NAME?</v>
      </c>
      <c r="YM20" s="71" t="e">
        <f t="array" aca="1" ref="YM20" ca="1">_xlfn.IFS(SJ20="Handysize",Main!SO20,SJ20="Supramax",SP20,SJ20="Panamax",SQ20,SJ20="NeoPanamax",SR20,SJ20="Suezmax",SS20,SJ20="Capesize",ST20,SJ20="VLOC",SU20)</f>
        <v>#NAME?</v>
      </c>
      <c r="YN20" s="71" t="e">
        <f t="array" aca="1" ref="YN20" ca="1">_xlfn.IFS(SJ20="Handysize",Main!VA20,SJ20="Supramax",VB20,SJ20="Panamax",VC20,SJ20="NeoPanamax",VD20,SJ20="Suezmax",VE20,SJ20="Capesize",VF20,SJ20="VLOC",VG20)</f>
        <v>#NAME?</v>
      </c>
      <c r="YO20" s="70">
        <f t="array" ref="YO20">INDEX('Ship Speeds'!$G$11:$G$1011,MATCH(2,1/(('Ship Speeds'!$E$11:$E$1011&lt;=Main!$C20)*('Ship Speeds'!$F$11:$F$1011=Main!SI20))))</f>
        <v>11</v>
      </c>
      <c r="YP20" s="403">
        <f t="shared" si="144"/>
        <v>0</v>
      </c>
      <c r="YQ20" s="401">
        <f t="shared" si="145"/>
        <v>1.2</v>
      </c>
      <c r="YR20" s="70" t="e">
        <f t="shared" ca="1" si="146"/>
        <v>#NAME?</v>
      </c>
      <c r="YS20" s="70" t="e">
        <f t="shared" ca="1" si="147"/>
        <v>#NAME?</v>
      </c>
      <c r="YT20" s="70" t="e">
        <f t="shared" ca="1" si="148"/>
        <v>#NAME?</v>
      </c>
      <c r="YU20" s="70" t="e">
        <f t="shared" ca="1" si="149"/>
        <v>#NAME?</v>
      </c>
      <c r="YV20" s="72" t="e">
        <f t="shared" ca="1" si="150"/>
        <v>#N/A</v>
      </c>
      <c r="YW20" s="70" t="e">
        <f t="shared" ca="1" si="151"/>
        <v>#NAME?</v>
      </c>
      <c r="YX20" s="70" t="e">
        <f t="array" aca="1" ref="YX20" ca="1">IF(YK20=0,0,INDEX(UU20:UY20,MATCH(_xlfn.IFS(SJ20="Handysize",Main!UQ20,SJ20="Supramax",UJ20,SJ20="Panamax",UC20,SJ20="NeoPanamax",TV20,SJ20="Suezmax",TO20,SJ20="Capesize",TH20,SJ20="VLOC",TA20),$UU$7:$UY$7,0)))</f>
        <v>#NAME?</v>
      </c>
      <c r="YY20" s="70" t="e">
        <f t="array" aca="1" ref="YY20" ca="1">IF(YK20=0,0,INDEX(UU20:UY20,MATCH(_xlfn.IFS(SJ20="Handysize",Main!UR20,SJ20="Supramax",UK20,SJ20="Panamax",UD20,SJ20="NeoPanamax",TW20,SJ20="Suezmax",TP20,SJ20="Capesize",TI20,SJ20="VLOC",TB20),$UU$7:$UY$7,0)))</f>
        <v>#NAME?</v>
      </c>
      <c r="YZ20" s="71" t="e">
        <f t="shared" ca="1" si="152"/>
        <v>#NAME?</v>
      </c>
      <c r="ZA20" s="71" t="e">
        <f t="shared" ca="1" si="153"/>
        <v>#NAME?</v>
      </c>
      <c r="ZB20" s="281" t="e">
        <f t="shared" ca="1" si="154"/>
        <v>#NAME?</v>
      </c>
      <c r="ZC20" s="71" t="e">
        <f t="shared" ca="1" si="155"/>
        <v>#NAME?</v>
      </c>
      <c r="ZD20" s="71" t="e">
        <f t="shared" ca="1" si="156"/>
        <v>#NAME?</v>
      </c>
      <c r="ZE20" s="71" t="e">
        <f t="shared" ca="1" si="157"/>
        <v>#NAME?</v>
      </c>
      <c r="ZF20" s="71" t="e">
        <f t="shared" ca="1" si="158"/>
        <v>#NAME?</v>
      </c>
      <c r="ZG20" s="71" t="e">
        <f t="shared" ca="1" si="159"/>
        <v>#NAME?</v>
      </c>
      <c r="ZH20" s="71" t="e">
        <f t="shared" ca="1" si="160"/>
        <v>#NAME?</v>
      </c>
      <c r="ZI20" s="71" t="e">
        <f t="shared" ca="1" si="161"/>
        <v>#NAME?</v>
      </c>
      <c r="ZJ20" s="71" t="e">
        <f t="shared" ca="1" si="162"/>
        <v>#NAME?</v>
      </c>
      <c r="ZK20" s="71" t="e">
        <f t="shared" ca="1" si="163"/>
        <v>#NAME?</v>
      </c>
      <c r="ZL20" s="71" t="e">
        <f t="shared" ca="1" si="164"/>
        <v>#NAME?</v>
      </c>
      <c r="ZM20" s="71" t="e">
        <f t="shared" ca="1" si="165"/>
        <v>#NAME?</v>
      </c>
      <c r="ZN20" s="71" t="e">
        <f t="shared" ca="1" si="166"/>
        <v>#NAME?</v>
      </c>
      <c r="ZO20" s="72" t="e">
        <f t="shared" ca="1" si="167"/>
        <v>#NAME?</v>
      </c>
      <c r="ZP20" s="72" t="e">
        <f t="shared" ca="1" si="168"/>
        <v>#NAME?</v>
      </c>
      <c r="ZQ20" s="71" t="e">
        <f t="shared" ca="1" si="169"/>
        <v>#NAME?</v>
      </c>
      <c r="ZR20" s="71" t="e">
        <f t="array" aca="1" ref="ZR20" ca="1">IF(YK20=0,0,INDEX('Ship Time Charter Rates'!$H$22:$H$1021,MATCH(2,1/(('Ship Time Charter Rates'!$G$22:$G$1021=_xlfn.IFS(SJ20="Handysize",Main!UO20,SJ20="Supramax",UH20,SJ20="Panamax",UA20,SJ20="NeoPanamax",TT20,SJ20="Suezmax",TM20,SJ20="Capesize",TF20,SJ20="VLOC",SY20))*('Ship Time Charter Rates'!$E$22:$E$1021&lt;=Main!$C20)*(NOT(ISBLANK('Ship Time Charter Rates'!$H$22:$H$1021)))))))</f>
        <v>#NAME?</v>
      </c>
      <c r="ZS20" s="71" t="e">
        <f t="shared" ca="1" si="170"/>
        <v>#NAME?</v>
      </c>
      <c r="ZT20" s="70" t="e">
        <f t="shared" ca="1" si="171"/>
        <v>#NAME?</v>
      </c>
      <c r="ZU20" s="71" t="e">
        <f t="shared" ca="1" si="172"/>
        <v>#NAME?</v>
      </c>
      <c r="ZV20" s="71" t="e">
        <f t="shared" ca="1" si="304"/>
        <v>#NAME?</v>
      </c>
      <c r="ZW20" s="72" t="e">
        <f t="shared" ca="1" si="305"/>
        <v>#NAME?</v>
      </c>
      <c r="ZY20" s="287" t="s">
        <v>39</v>
      </c>
      <c r="AAA20" s="25">
        <f t="shared" si="322"/>
        <v>180000</v>
      </c>
      <c r="AAB20" s="4" t="str">
        <f>VLOOKUP(AAA20,'Ship Time Charter Rates'!$F$10:$G$17,2,TRUE)</f>
        <v>Capesize</v>
      </c>
      <c r="AAC20" s="4" t="str">
        <f>VLOOKUP(AAA20,Canals!$E$5:$F$12,2,TRUE)</f>
        <v>Capesize</v>
      </c>
      <c r="AAD20" s="25">
        <f t="shared" si="173"/>
        <v>303.02999999999997</v>
      </c>
      <c r="AAE20" s="25">
        <f t="shared" si="174"/>
        <v>72612</v>
      </c>
      <c r="AAF20" s="25">
        <f t="shared" si="175"/>
        <v>98199</v>
      </c>
      <c r="AAH20" s="75">
        <f t="array" ref="AAH20">INDEX('Indices Mines Exporting Ports'!$R$20:$R$51,MATCH(2,1/(('Indices Mines Exporting Ports'!$D$20:$D$51&lt;=Main!$C20)*('Indices Mines Exporting Ports'!$Q$20:$Q$51=$AP20))))</f>
        <v>30000</v>
      </c>
      <c r="AAI20" s="75">
        <f t="array" ref="AAI20">INDEX('Indices Mines Exporting Ports'!$S$20:$S$51,MATCH(2,1/(('Indices Mines Exporting Ports'!$D$20:$D$51&lt;=Main!$C20)*('Indices Mines Exporting Ports'!$Q$20:$Q$51=$AP20))))</f>
        <v>30000</v>
      </c>
      <c r="AAJ20" s="75">
        <f t="array" ref="AAJ20">INDEX('Indices Mines Exporting Ports'!$T$20:$T$51,MATCH(2,1/(('Indices Mines Exporting Ports'!$D$20:$D$51&lt;=Main!$C20)*('Indices Mines Exporting Ports'!$Q$20:$Q$51=$AP20))))</f>
        <v>30000</v>
      </c>
      <c r="AAK20" s="75">
        <f t="array" ref="AAK20">INDEX('Indices Mines Exporting Ports'!$U$20:$U$51,MATCH(2,1/(('Indices Mines Exporting Ports'!$D$20:$D$51&lt;=Main!$C20)*('Indices Mines Exporting Ports'!$Q$20:$Q$51=$AP20))))</f>
        <v>30000</v>
      </c>
      <c r="AAL20" s="75">
        <f t="array" ref="AAL20">INDEX('Indices Mines Exporting Ports'!$V$20:$V$51,MATCH(2,1/(('Indices Mines Exporting Ports'!$D$20:$D$51&lt;=Main!$C20)*('Indices Mines Exporting Ports'!$Q$20:$Q$51=$AP20))))</f>
        <v>30000</v>
      </c>
      <c r="AAM20" s="75">
        <f t="array" ref="AAM20">INDEX('Indices Mines Exporting Ports'!$W$20:$W$51,MATCH(2,1/(('Indices Mines Exporting Ports'!$D$20:$D$51&lt;=Main!$C20)*('Indices Mines Exporting Ports'!$Q$20:$Q$51=$AP20))))</f>
        <v>30000</v>
      </c>
      <c r="AAN20" s="75">
        <f t="array" ref="AAN20">INDEX('Indices Mines Exporting Ports'!$X$20:$X$51,MATCH(2,1/(('Indices Mines Exporting Ports'!$D$20:$D$51&lt;=Main!$C20)*('Indices Mines Exporting Ports'!$Q$20:$Q$51=$AP20))))</f>
        <v>30000</v>
      </c>
      <c r="AAP20" s="75">
        <f t="array" ref="AAP20">INDEX('Port Linkages'!$E$18:$E$157,MATCH(2,1/(('Port Linkages'!$C$18:$C$157=$AP20)*('Port Linkages'!$D$18:$D$157=IF($AO20="Yes",$AQ20,$KK20))*('Port Linkages'!$A$18:$A$157&lt;=$C20))))</f>
        <v>11050</v>
      </c>
      <c r="AAQ20" s="75">
        <f t="array" ref="AAQ20">INDEX('Port Linkages'!$F$18:$F$157,MATCH(2,1/(('Port Linkages'!$C$18:$C$157=$AP20)*('Port Linkages'!$D$18:$D$157=IF($AO20="Yes",$AQ20,$KK20))*('Port Linkages'!$A$18:$A$157&lt;=$C20))))</f>
        <v>0</v>
      </c>
      <c r="AAR20" s="75" t="str">
        <f t="array" ref="AAR20">INDEX('Port Linkages'!$G$18:$G$157,MATCH(2,1/(('Port Linkages'!$C$18:$C$157=$AP20)*('Port Linkages'!$D$18:$D$157=IF($AO20="Yes",$AQ20,$KK20))*('Port Linkages'!$A$18:$A$157&lt;=$C20))))</f>
        <v>VLOC_General</v>
      </c>
      <c r="AAS20" s="75" t="str">
        <f t="array" ref="AAS20">INDEX('Port Linkages'!$H$18:$H$157,MATCH(2,1/(('Port Linkages'!$C$18:$C$157=$AP20)*('Port Linkages'!$D$18:$D$157=IF($AO20="Yes",$AQ20,$KK20))*('Port Linkages'!$A$18:$A$157&lt;=$C20))))</f>
        <v>Singapore</v>
      </c>
      <c r="AAT20" s="75" t="str">
        <f t="array" ref="AAT20">INDEX('Port Linkages'!$I$18:$I$157,MATCH(2,1/(('Port Linkages'!$C$18:$C$157=$AP20)*('Port Linkages'!$D$18:$D$157=IF($AO20="Yes",$AQ20,$KK20))*('Port Linkages'!$A$18:$A$157&lt;=$C20))))</f>
        <v>VLSFO</v>
      </c>
      <c r="AAU20" s="75" t="str">
        <f t="array" ref="AAU20">INDEX('Port Linkages'!$J$18:$J$157,MATCH(2,1/(('Port Linkages'!$C$18:$C$157=$AP20)*('Port Linkages'!$D$18:$D$157=IF($AO20="Yes",$AQ20,$KK20))*('Port Linkages'!$A$18:$A$157&lt;=$C20))))</f>
        <v>MGO_Regular</v>
      </c>
      <c r="AAV20" s="75" t="str">
        <f t="array" ref="AAV20">INDEX('Port Linkages'!$K$18:$K$157,MATCH(2,1/(('Port Linkages'!$C$18:$C$157=$AP20)*('Port Linkages'!$D$18:$D$157=IF($AO20="Yes",$AQ20,$KK20))*('Port Linkages'!$A$18:$A$157&lt;=$C20))))</f>
        <v>none</v>
      </c>
      <c r="AAW20" s="75">
        <f t="array" ref="AAW20">INDEX('Port Linkages'!$L$18:$L$157,MATCH(2,1/(('Port Linkages'!$C$18:$C$157=$AP20)*('Port Linkages'!$D$18:$D$157=IF($AO20="Yes",$AQ20,$KK20))*('Port Linkages'!$A$18:$A$157&lt;=$C20))))</f>
        <v>11050</v>
      </c>
      <c r="AAX20" s="75">
        <f t="array" ref="AAX20">INDEX('Port Linkages'!$M$18:$M$157,MATCH(2,1/(('Port Linkages'!$C$18:$C$157=$AP20)*('Port Linkages'!$D$18:$D$157=IF($AO20="Yes",$AQ20,$KK20))*('Port Linkages'!$A$18:$A$157&lt;=$C20))))</f>
        <v>0</v>
      </c>
      <c r="AAY20" s="75" t="str">
        <f t="array" ref="AAY20">INDEX('Port Linkages'!$N$18:$N$157,MATCH(2,1/(('Port Linkages'!$C$18:$C$157=$AP20)*('Port Linkages'!$D$18:$D$157=IF($AO20="Yes",$AQ20,$KK20))*('Port Linkages'!$A$18:$A$157&lt;=$C20))))</f>
        <v>Capesize_General</v>
      </c>
      <c r="AAZ20" s="75" t="str">
        <f t="array" ref="AAZ20">INDEX('Port Linkages'!$O$18:$O$157,MATCH(2,1/(('Port Linkages'!$C$18:$C$157=$AP20)*('Port Linkages'!$D$18:$D$157=IF($AO20="Yes",$AQ20,$KK20))*('Port Linkages'!$A$18:$A$157&lt;=$C20))))</f>
        <v>Singapore</v>
      </c>
      <c r="ABA20" s="75" t="str">
        <f t="array" ref="ABA20">INDEX('Port Linkages'!$P$18:$P$157,MATCH(2,1/(('Port Linkages'!$C$18:$C$157=$AP20)*('Port Linkages'!$D$18:$D$157=IF($AO20="Yes",$AQ20,$KK20))*('Port Linkages'!$A$18:$A$157&lt;=$C20))))</f>
        <v>VLSFO</v>
      </c>
      <c r="ABB20" s="75" t="str">
        <f t="array" ref="ABB20">INDEX('Port Linkages'!$Q$18:$Q$157,MATCH(2,1/(('Port Linkages'!$C$18:$C$157=$AP20)*('Port Linkages'!$D$18:$D$157=IF($AO20="Yes",$AQ20,$KK20))*('Port Linkages'!$A$18:$A$157&lt;=$C20))))</f>
        <v>MGO_Regular</v>
      </c>
      <c r="ABC20" s="75" t="str">
        <f t="array" ref="ABC20">INDEX('Port Linkages'!$R$18:$R$157,MATCH(2,1/(('Port Linkages'!$C$18:$C$157=$AP20)*('Port Linkages'!$D$18:$D$157=IF($AO20="Yes",$AQ20,$KK20))*('Port Linkages'!$A$18:$A$157&lt;=$C20))))</f>
        <v>none</v>
      </c>
      <c r="ABD20" s="75">
        <f t="array" ref="ABD20">INDEX('Port Linkages'!$S$18:$S$157,MATCH(2,1/(('Port Linkages'!$C$18:$C$157=$AP20)*('Port Linkages'!$D$18:$D$157=IF($AO20="Yes",$AQ20,$KK20))*('Port Linkages'!$A$18:$A$157&lt;=$C20))))</f>
        <v>11050</v>
      </c>
      <c r="ABE20" s="75">
        <f t="array" ref="ABE20">INDEX('Port Linkages'!$T$18:$T$157,MATCH(2,1/(('Port Linkages'!$C$18:$C$157=$AP20)*('Port Linkages'!$D$18:$D$157=IF($AO20="Yes",$AQ20,$KK20))*('Port Linkages'!$A$18:$A$157&lt;=$C20))))</f>
        <v>0</v>
      </c>
      <c r="ABF20" s="75" t="str">
        <f t="array" ref="ABF20">INDEX('Port Linkages'!$U$18:$U$157,MATCH(2,1/(('Port Linkages'!$C$18:$C$157=$AP20)*('Port Linkages'!$D$18:$D$157=IF($AO20="Yes",$AQ20,$KK20))*('Port Linkages'!$A$18:$A$157&lt;=$C20))))</f>
        <v>Capesize_General</v>
      </c>
      <c r="ABG20" s="75" t="str">
        <f t="array" ref="ABG20">INDEX('Port Linkages'!$V$18:$V$157,MATCH(2,1/(('Port Linkages'!$C$18:$C$157=$AP20)*('Port Linkages'!$D$18:$D$157=IF($AO20="Yes",$AQ20,$KK20))*('Port Linkages'!$A$18:$A$157&lt;=$C20))))</f>
        <v>Singapore</v>
      </c>
      <c r="ABH20" s="75" t="str">
        <f t="array" ref="ABH20">INDEX('Port Linkages'!$W$18:$W$157,MATCH(2,1/(('Port Linkages'!$C$18:$C$157=$AP20)*('Port Linkages'!$D$18:$D$157=IF($AO20="Yes",$AQ20,$KK20))*('Port Linkages'!$A$18:$A$157&lt;=$C20))))</f>
        <v>VLSFO</v>
      </c>
      <c r="ABI20" s="75" t="str">
        <f t="array" ref="ABI20">INDEX('Port Linkages'!$X$18:$X$157,MATCH(2,1/(('Port Linkages'!$C$18:$C$157=$AP20)*('Port Linkages'!$D$18:$D$157=IF($AO20="Yes",$AQ20,$KK20))*('Port Linkages'!$A$18:$A$157&lt;=$C20))))</f>
        <v>MGO_Regular</v>
      </c>
      <c r="ABJ20" s="75" t="str">
        <f t="array" ref="ABJ20">INDEX('Port Linkages'!$Y$18:$Y$157,MATCH(2,1/(('Port Linkages'!$C$18:$C$157=$AP20)*('Port Linkages'!$D$18:$D$157=IF($AO20="Yes",$AQ20,$KK20))*('Port Linkages'!$A$18:$A$157&lt;=$C20))))</f>
        <v>none</v>
      </c>
      <c r="ABK20" s="75">
        <f t="array" ref="ABK20">INDEX('Port Linkages'!$Z$18:$Z$157,MATCH(2,1/(('Port Linkages'!$C$18:$C$157=$AP20)*('Port Linkages'!$D$18:$D$157=IF($AO20="Yes",$AQ20,$KK20))*('Port Linkages'!$A$18:$A$157&lt;=$C20))))</f>
        <v>11050</v>
      </c>
      <c r="ABL20" s="75">
        <f t="array" ref="ABL20">INDEX('Port Linkages'!$AA$18:$AA$157,MATCH(2,1/(('Port Linkages'!$C$18:$C$157=$AP20)*('Port Linkages'!$D$18:$D$157=IF($AO20="Yes",$AQ20,$KK20))*('Port Linkages'!$A$18:$A$157&lt;=$C20))))</f>
        <v>0</v>
      </c>
      <c r="ABM20" s="75" t="str">
        <f t="array" ref="ABM20">INDEX('Port Linkages'!$AB$18:$AB$157,MATCH(2,1/(('Port Linkages'!$C$18:$C$157=$AP20)*('Port Linkages'!$D$18:$D$157=IF($AO20="Yes",$AQ20,$KK20))*('Port Linkages'!$A$18:$A$157&lt;=$C20))))</f>
        <v>Capesize_General</v>
      </c>
      <c r="ABN20" s="75" t="str">
        <f t="array" ref="ABN20">INDEX('Port Linkages'!$AC$18:$AC$157,MATCH(2,1/(('Port Linkages'!$C$18:$C$157=$AP20)*('Port Linkages'!$D$18:$D$157=IF($AO20="Yes",$AQ20,$KK20))*('Port Linkages'!$A$18:$A$157&lt;=$C20))))</f>
        <v>Singapore</v>
      </c>
      <c r="ABO20" s="75" t="str">
        <f t="array" ref="ABO20">INDEX('Port Linkages'!$AD$18:$AD$157,MATCH(2,1/(('Port Linkages'!$C$18:$C$157=$AP20)*('Port Linkages'!$D$18:$D$157=IF($AO20="Yes",$AQ20,$KK20))*('Port Linkages'!$A$18:$A$157&lt;=$C20))))</f>
        <v>VLSFO</v>
      </c>
      <c r="ABP20" s="75" t="str">
        <f t="array" ref="ABP20">INDEX('Port Linkages'!$AE$18:$AE$157,MATCH(2,1/(('Port Linkages'!$C$18:$C$157=$AP20)*('Port Linkages'!$D$18:$D$157=IF($AO20="Yes",$AQ20,$KK20))*('Port Linkages'!$A$18:$A$157&lt;=$C20))))</f>
        <v>MGO_Regular</v>
      </c>
      <c r="ABQ20" s="75" t="str">
        <f t="array" ref="ABQ20">INDEX('Port Linkages'!$AF$18:$AF$157,MATCH(2,1/(('Port Linkages'!$C$18:$C$157=$AP20)*('Port Linkages'!$D$18:$D$157=IF($AO20="Yes",$AQ20,$KK20))*('Port Linkages'!$A$18:$A$157&lt;=$C20))))</f>
        <v>none</v>
      </c>
      <c r="ABR20" s="75">
        <f t="array" ref="ABR20">INDEX('Port Linkages'!$AG$18:$AG$157,MATCH(2,1/(('Port Linkages'!$C$18:$C$157=$AP20)*('Port Linkages'!$D$18:$D$157=IF($AO20="Yes",$AQ20,$KK20))*('Port Linkages'!$A$18:$A$157&lt;=$C20))))</f>
        <v>11050</v>
      </c>
      <c r="ABS20" s="75">
        <f t="array" ref="ABS20">INDEX('Port Linkages'!$AH$18:$AH$157,MATCH(2,1/(('Port Linkages'!$C$18:$C$157=$AP20)*('Port Linkages'!$D$18:$D$157=IF($AO20="Yes",$AQ20,$KK20))*('Port Linkages'!$A$18:$A$157&lt;=$C20))))</f>
        <v>0</v>
      </c>
      <c r="ABT20" s="75" t="str">
        <f t="array" ref="ABT20">INDEX('Port Linkages'!$AI$18:$AI$157,MATCH(2,1/(('Port Linkages'!$C$18:$C$157=$AP20)*('Port Linkages'!$D$18:$D$157=IF($AO20="Yes",$AQ20,$KK20))*('Port Linkages'!$A$18:$A$157&lt;=$C20))))</f>
        <v>Panamax_General</v>
      </c>
      <c r="ABU20" s="75" t="str">
        <f t="array" ref="ABU20">INDEX('Port Linkages'!$AJ$18:$AJ$157,MATCH(2,1/(('Port Linkages'!$C$18:$C$157=$AP20)*('Port Linkages'!$D$18:$D$157=IF($AO20="Yes",$AQ20,$KK20))*('Port Linkages'!$A$18:$A$157&lt;=$C20))))</f>
        <v>Singapore</v>
      </c>
      <c r="ABV20" s="75" t="str">
        <f t="array" ref="ABV20">INDEX('Port Linkages'!$AK$18:$AK$157,MATCH(2,1/(('Port Linkages'!$C$18:$C$157=$AP20)*('Port Linkages'!$D$18:$D$157=IF($AO20="Yes",$AQ20,$KK20))*('Port Linkages'!$A$18:$A$157&lt;=$C20))))</f>
        <v>VLSFO</v>
      </c>
      <c r="ABW20" s="75" t="str">
        <f t="array" ref="ABW20">INDEX('Port Linkages'!$AL$18:$AL$157,MATCH(2,1/(('Port Linkages'!$C$18:$C$157=$AP20)*('Port Linkages'!$D$18:$D$157=IF($AO20="Yes",$AQ20,$KK20))*('Port Linkages'!$A$18:$A$157&lt;=$C20))))</f>
        <v>MGO_Regular</v>
      </c>
      <c r="ABX20" s="75" t="str">
        <f t="array" ref="ABX20">INDEX('Port Linkages'!$AM$18:$AM$157,MATCH(2,1/(('Port Linkages'!$C$18:$C$157=$AP20)*('Port Linkages'!$D$18:$D$157=IF($AO20="Yes",$AQ20,$KK20))*('Port Linkages'!$A$18:$A$157&lt;=$C20))))</f>
        <v>none</v>
      </c>
      <c r="ABY20" s="75">
        <f t="array" ref="ABY20">INDEX('Port Linkages'!$AN$18:$AN$157,MATCH(2,1/(('Port Linkages'!$C$18:$C$157=$AP20)*('Port Linkages'!$D$18:$D$157=IF($AO20="Yes",$AQ20,$KK20))*('Port Linkages'!$A$18:$A$157&lt;=$C20))))</f>
        <v>11050</v>
      </c>
      <c r="ABZ20" s="75">
        <f t="array" ref="ABZ20">INDEX('Port Linkages'!$AO$18:$AO$157,MATCH(2,1/(('Port Linkages'!$C$18:$C$157=$AP20)*('Port Linkages'!$D$18:$D$157=IF($AO20="Yes",$AQ20,$KK20))*('Port Linkages'!$A$18:$A$157&lt;=$C20))))</f>
        <v>0</v>
      </c>
      <c r="ACA20" s="75" t="str">
        <f t="array" ref="ACA20">INDEX('Port Linkages'!$AP$18:$AP$157,MATCH(2,1/(('Port Linkages'!$C$18:$C$157=$AP20)*('Port Linkages'!$D$18:$D$157=IF($AO20="Yes",$AQ20,$KK20))*('Port Linkages'!$A$18:$A$157&lt;=$C20))))</f>
        <v>Supramax_General</v>
      </c>
      <c r="ACB20" s="75" t="str">
        <f t="array" ref="ACB20">INDEX('Port Linkages'!$AQ$18:$AQ$157,MATCH(2,1/(('Port Linkages'!$C$18:$C$157=$AP20)*('Port Linkages'!$D$18:$D$157=IF($AO20="Yes",$AQ20,$KK20))*('Port Linkages'!$A$18:$A$157&lt;=$C20))))</f>
        <v>Singapore</v>
      </c>
      <c r="ACC20" s="75" t="str">
        <f t="array" ref="ACC20">INDEX('Port Linkages'!$AR$18:$AR$157,MATCH(2,1/(('Port Linkages'!$C$18:$C$157=$AP20)*('Port Linkages'!$D$18:$D$157=IF($AO20="Yes",$AQ20,$KK20))*('Port Linkages'!$A$18:$A$157&lt;=$C20))))</f>
        <v>VLSFO</v>
      </c>
      <c r="ACD20" s="75" t="str">
        <f t="array" ref="ACD20">INDEX('Port Linkages'!$AS$18:$AS$157,MATCH(2,1/(('Port Linkages'!$C$18:$C$157=$AP20)*('Port Linkages'!$D$18:$D$157=IF($AO20="Yes",$AQ20,$KK20))*('Port Linkages'!$A$18:$A$157&lt;=$C20))))</f>
        <v>MGO_Regular</v>
      </c>
      <c r="ACE20" s="75" t="str">
        <f t="array" ref="ACE20">INDEX('Port Linkages'!$AT$18:$AT$157,MATCH(2,1/(('Port Linkages'!$C$18:$C$157=$AP20)*('Port Linkages'!$D$18:$D$157=IF($AO20="Yes",$AQ20,$KK20))*('Port Linkages'!$A$18:$A$157&lt;=$C20))))</f>
        <v>none</v>
      </c>
      <c r="ACF20" s="75">
        <f t="array" ref="ACF20">INDEX('Port Linkages'!$AU$18:$AU$157,MATCH(2,1/(('Port Linkages'!$C$18:$C$157=$AP20)*('Port Linkages'!$D$18:$D$157=IF($AO20="Yes",$AQ20,$KK20))*('Port Linkages'!$A$18:$A$157&lt;=$C20))))</f>
        <v>11050</v>
      </c>
      <c r="ACG20" s="75">
        <f t="array" ref="ACG20">INDEX('Port Linkages'!$AV$18:$AV$157,MATCH(2,1/(('Port Linkages'!$C$18:$C$157=$AP20)*('Port Linkages'!$D$18:$D$157=IF($AO20="Yes",$AQ20,$KK20))*('Port Linkages'!$A$18:$A$157&lt;=$C20))))</f>
        <v>0</v>
      </c>
      <c r="ACH20" s="75" t="str">
        <f t="array" ref="ACH20">INDEX('Port Linkages'!$AW$18:$AW$157,MATCH(2,1/(('Port Linkages'!$C$18:$C$157=$AP20)*('Port Linkages'!$D$18:$D$157=IF($AO20="Yes",$AQ20,$KK20))*('Port Linkages'!$A$18:$A$157&lt;=$C20))))</f>
        <v>Handysize_General</v>
      </c>
      <c r="ACI20" s="75" t="str">
        <f t="array" ref="ACI20">INDEX('Port Linkages'!$AX$18:$AX$157,MATCH(2,1/(('Port Linkages'!$C$18:$C$157=$AP20)*('Port Linkages'!$D$18:$D$157=IF($AO20="Yes",$AQ20,$KK20))*('Port Linkages'!$A$18:$A$157&lt;=$C20))))</f>
        <v>Singapore</v>
      </c>
      <c r="ACJ20" s="75" t="str">
        <f t="array" ref="ACJ20">INDEX('Port Linkages'!$AY$18:$AY$157,MATCH(2,1/(('Port Linkages'!$C$18:$C$157=$AP20)*('Port Linkages'!$D$18:$D$157=IF($AO20="Yes",$AQ20,$KK20))*('Port Linkages'!$A$18:$A$157&lt;=$C20))))</f>
        <v>VLSFO</v>
      </c>
      <c r="ACK20" s="75" t="str">
        <f t="array" ref="ACK20">INDEX('Port Linkages'!$AZ$18:$AZ$157,MATCH(2,1/(('Port Linkages'!$C$18:$C$157=$AP20)*('Port Linkages'!$D$18:$D$157=IF($AO20="Yes",$AQ20,$KK20))*('Port Linkages'!$A$18:$A$157&lt;=$C20))))</f>
        <v>MGO_Regular</v>
      </c>
      <c r="ACL20" s="75" t="str">
        <f t="array" ref="ACL20">INDEX('Port Linkages'!$BA$18:$BA$157,MATCH(2,1/(('Port Linkages'!$C$18:$C$157=$AP20)*('Port Linkages'!$D$18:$D$157=IF($AO20="Yes",$AQ20,$KK20))*('Port Linkages'!$A$18:$A$157&lt;=$C20))))</f>
        <v>none</v>
      </c>
      <c r="ACN20" s="25" t="e">
        <f t="array" aca="1" ref="ACN20" ca="1">INDEX('Ship Fuel Prices'!$F$5:$F$1004,MATCH(2,1/(('Ship Fuel Prices'!$E$5:$E$1004=_xlfn.IFS(AAC20="Handysize",Main!ACI20,AAC20="Supramax",ACB20,AAC20="Panamax",ABU20,AAC20="NeoPanamax",ABN20,AAC20="Suezmax",ABG20,AAC20="Capesize",AAZ20,AAC20="VLOC",AAS20))*('Ship Fuel Prices'!$D$5:$D$1004&lt;=Main!$C20))))</f>
        <v>#N/A</v>
      </c>
      <c r="ACO20" s="25" t="e">
        <f t="array" aca="1" ref="ACO20" ca="1">INDEX('Ship Fuel Prices'!$G$5:$G$1004,MATCH(2,1/(('Ship Fuel Prices'!$E$5:$E$1004=_xlfn.IFS(AAC20="Handysize",Main!ACI20,AAC20="Supramax",ACB20,AAC20="Panamax",ABU20,AAC20="NeoPanamax",ABN20,AAC20="Suezmax",ABG20,AAC20="Capesize",AAZ20,AAC20="VLOC",AAS20))*('Ship Fuel Prices'!$D$5:$D$1004&lt;=Main!$C20))))</f>
        <v>#N/A</v>
      </c>
      <c r="ACP20" s="25" t="e">
        <f t="array" aca="1" ref="ACP20" ca="1">INDEX('Ship Fuel Prices'!$H$5:$H$1004,MATCH(2,1/(('Ship Fuel Prices'!$E$5:$E$1004=_xlfn.IFS(AAC20="Handysize",Main!ACI20,AAC20="Supramax",ACB20,AAC20="Panamax",ABU20,AAC20="NeoPanamax",ABN20,AAC20="Suezmax",ABG20,AAC20="Capesize",AAZ20,AAC20="VLOC",AAS20))*('Ship Fuel Prices'!$D$5:$D$1004&lt;=Main!$C20))))</f>
        <v>#N/A</v>
      </c>
      <c r="ACQ20" s="25" t="e">
        <f t="array" aca="1" ref="ACQ20" ca="1">INDEX('Ship Fuel Prices'!$I$5:$I$1004,MATCH(2,1/(('Ship Fuel Prices'!$E$5:$E$1004=_xlfn.IFS(AAC20="Handysize",Main!ACI20,AAC20="Supramax",ACB20,AAC20="Panamax",ABU20,AAC20="NeoPanamax",ABN20,AAC20="Suezmax",ABG20,AAC20="Capesize",AAZ20,AAC20="VLOC",AAS20))*('Ship Fuel Prices'!$D$5:$D$1004&lt;=Main!$C20))))</f>
        <v>#N/A</v>
      </c>
      <c r="ACR20" s="25" t="e">
        <f t="array" aca="1" ref="ACR20" ca="1">INDEX('Ship Fuel Prices'!$J$5:$J$1004,MATCH(2,1/(('Ship Fuel Prices'!$E$5:$E$1004=_xlfn.IFS(AAC20="Handysize",Main!ACI20,AAC20="Supramax",ACB20,AAC20="Panamax",ABU20,AAC20="NeoPanamax",ABN20,AAC20="Suezmax",ABG20,AAC20="Capesize",AAZ20,AAC20="VLOC",AAS20))*('Ship Fuel Prices'!$D$5:$D$1004&lt;=Main!$C20))))</f>
        <v>#N/A</v>
      </c>
      <c r="ACT20" s="75">
        <f t="array" ref="ACT20">INDEX('China n Importing Ports'!$E$20:$E$41,MATCH(2,1/(('China n Importing Ports'!$D$20:$D$41&lt;=$C20)*('China n Importing Ports'!$C$20:$C$41=IF($AO20="Yes",$AQ20,$KK20)))))</f>
        <v>42500</v>
      </c>
      <c r="ACU20" s="75">
        <f t="array" ref="ACU20">INDEX('China n Importing Ports'!$F$20:$F$41,MATCH(2,1/(('China n Importing Ports'!$D$20:$D$41&lt;=$C20)*('China n Importing Ports'!$C$20:$C$41=IF($AO20="Yes",$AQ20,$KK20)))))</f>
        <v>42500</v>
      </c>
      <c r="ACV20" s="75">
        <f t="array" ref="ACV20">INDEX('China n Importing Ports'!$G$20:$G$41,MATCH(2,1/(('China n Importing Ports'!$D$20:$D$41&lt;=$C20)*('China n Importing Ports'!$C$20:$C$41=IF($AO20="Yes",$AQ20,$KK20)))))</f>
        <v>42500</v>
      </c>
      <c r="ACW20" s="75">
        <f t="array" ref="ACW20">INDEX('China n Importing Ports'!$H$20:$H$41,MATCH(2,1/(('China n Importing Ports'!$D$20:$D$41&lt;=$C20)*('China n Importing Ports'!$C$20:$C$41=IF($AO20="Yes",$AQ20,$KK20)))))</f>
        <v>42500</v>
      </c>
      <c r="ACX20" s="75">
        <f t="array" ref="ACX20">INDEX('China n Importing Ports'!$I$20:$I$41,MATCH(2,1/(('China n Importing Ports'!$D$20:$D$41&lt;=$C20)*('China n Importing Ports'!$C$20:$C$41=IF($AO20="Yes",$AQ20,$KK20)))))</f>
        <v>42500</v>
      </c>
      <c r="ACY20" s="75">
        <f t="array" ref="ACY20">INDEX('China n Importing Ports'!$J$20:$J$41,MATCH(2,1/(('China n Importing Ports'!$D$20:$D$41&lt;=$C20)*('China n Importing Ports'!$C$20:$C$41=IF($AO20="Yes",$AQ20,$KK20)))))</f>
        <v>42500</v>
      </c>
      <c r="ACZ20" s="75">
        <f t="array" ref="ACZ20">INDEX('China n Importing Ports'!$K$20:$K$41,MATCH(2,1/(('China n Importing Ports'!$D$20:$D$41&lt;=$C20)*('China n Importing Ports'!$C$20:$C$41=IF($AO20="Yes",$AQ20,$KK20)))))</f>
        <v>42500</v>
      </c>
      <c r="ADA20" s="75" t="str">
        <f t="array" ref="ADA20">INDEX('China n Importing Ports'!$L$20:$L$41,MATCH(2,1/(('China n Importing Ports'!$D$20:$D$41&lt;=$C20)*('China n Importing Ports'!$C$20:$C$41=IF($AO20="Yes",$AQ20,$KK20)))))</f>
        <v>RMB</v>
      </c>
      <c r="ADB20" s="75">
        <f t="array" ref="ADB20">INDEX('China n Importing Ports'!$M$20:$M$41,MATCH(2,1/(('China n Importing Ports'!$D$20:$D$41&lt;=$C20)*('China n Importing Ports'!$C$20:$C$41=IF($AO20="Yes",$AQ20,$KK20)))))</f>
        <v>12342</v>
      </c>
      <c r="ADC20" s="75">
        <f t="array" ref="ADC20">INDEX('China n Importing Ports'!$N$20:$N$41,MATCH(2,1/(('China n Importing Ports'!$D$20:$D$41&lt;=$C20)*('China n Importing Ports'!$C$20:$C$41=IF($AO20="Yes",$AQ20,$KK20)))))</f>
        <v>0</v>
      </c>
      <c r="ADD20" s="75">
        <f t="array" ref="ADD20">INDEX('China n Importing Ports'!$O$20:$O$41,MATCH(2,1/(('China n Importing Ports'!$D$20:$D$41&lt;=$C20)*('China n Importing Ports'!$C$20:$C$41=IF($AO20="Yes",$AQ20,$KK20)))))</f>
        <v>0</v>
      </c>
      <c r="ADE20" s="136">
        <f t="array" ref="ADE20">INDEX('China n Importing Ports'!$P$20:$P$41,MATCH(2,1/(('China n Importing Ports'!$D$20:$D$41&lt;=$C20)*('China n Importing Ports'!$C$20:$C$41=IF($AO20="Yes",$AQ20,$KK20)))))</f>
        <v>2.64</v>
      </c>
      <c r="ADF20" s="136">
        <f t="array" ref="ADF20">INDEX('China n Importing Ports'!$Q$20:$Q$41,MATCH(2,1/(('China n Importing Ports'!$D$20:$D$41&lt;=$C20)*('China n Importing Ports'!$C$20:$C$41=IF($AO20="Yes",$AQ20,$KK20)))))</f>
        <v>0</v>
      </c>
      <c r="ADG20" s="136">
        <f t="array" ref="ADG20">INDEX('China n Importing Ports'!$R$20:$R$41,MATCH(2,1/(('China n Importing Ports'!$D$20:$D$41&lt;=$C20)*('China n Importing Ports'!$C$20:$C$41=IF($AO20="Yes",$AQ20,$KK20)))))</f>
        <v>0</v>
      </c>
      <c r="ADH20" s="136">
        <f t="array" ref="ADH20">INDEX('China n Importing Ports'!$S$20:$S$41,MATCH(2,1/(('China n Importing Ports'!$D$20:$D$41&lt;=$C20)*('China n Importing Ports'!$C$20:$C$41=IF($AO20="Yes",$AQ20,$KK20)))))</f>
        <v>4.53</v>
      </c>
      <c r="ADI20" s="136">
        <f t="array" ref="ADI20">INDEX('China n Importing Ports'!$T$20:$T$41,MATCH(2,1/(('China n Importing Ports'!$D$20:$D$41&lt;=$C20)*('China n Importing Ports'!$C$20:$C$41=IF($AO20="Yes",$AQ20,$KK20)))))</f>
        <v>0.36699999999999999</v>
      </c>
      <c r="ADJ20" s="136">
        <f t="array" ref="ADJ20">INDEX('China n Importing Ports'!$U$20:$U$41,MATCH(2,1/(('China n Importing Ports'!$D$20:$D$41&lt;=$C20)*('China n Importing Ports'!$C$20:$C$41=IF($AO20="Yes",$AQ20,$KK20)))))</f>
        <v>0.05</v>
      </c>
      <c r="ADK20" s="136">
        <f t="array" ref="ADK20">INDEX('China n Importing Ports'!$V$20:$V$41,MATCH(2,1/(('China n Importing Ports'!$D$20:$D$41&lt;=$C20)*('China n Importing Ports'!$C$20:$C$41=IF($AO20="Yes",$AQ20,$KK20)))))</f>
        <v>0</v>
      </c>
      <c r="ADL20" s="136">
        <f t="array" ref="ADL20">INDEX('China n Importing Ports'!$W$20:$W$41,MATCH(2,1/(('China n Importing Ports'!$D$20:$D$41&lt;=$C20)*('China n Importing Ports'!$C$20:$C$41=IF($AO20="Yes",$AQ20,$KK20)))))</f>
        <v>0</v>
      </c>
      <c r="ADM20" s="136">
        <f t="array" ref="ADM20">INDEX('China n Importing Ports'!$X$20:$X$41,MATCH(2,1/(('China n Importing Ports'!$D$20:$D$41&lt;=$C20)*('China n Importing Ports'!$C$20:$C$41=IF($AO20="Yes",$AQ20,$KK20)))))</f>
        <v>0</v>
      </c>
      <c r="ADN20" s="136">
        <f t="array" ref="ADN20">INDEX('China n Importing Ports'!$Y$20:$Y$41,MATCH(2,1/(('China n Importing Ports'!$D$20:$D$41&lt;=$C20)*('China n Importing Ports'!$C$20:$C$41=IF($AO20="Yes",$AQ20,$KK20)))))</f>
        <v>197</v>
      </c>
      <c r="ADO20" s="136">
        <f t="array" ref="ADO20">INDEX('China n Importing Ports'!$Z$20:$Z$41,MATCH(2,1/(('China n Importing Ports'!$D$20:$D$41&lt;=$C20)*('China n Importing Ports'!$C$20:$C$41=IF($AO20="Yes",$AQ20,$KK20)))))</f>
        <v>0</v>
      </c>
      <c r="ADP20" s="136">
        <f t="array" ref="ADP20">INDEX('China n Importing Ports'!$AA$20:$AA$41,MATCH(2,1/(('China n Importing Ports'!$D$20:$D$41&lt;=$C20)*('China n Importing Ports'!$C$20:$C$41=IF($AO20="Yes",$AQ20,$KK20)))))</f>
        <v>0</v>
      </c>
      <c r="ADR20" s="75" t="e">
        <f t="array" aca="1" ref="ADR20" ca="1">INDEX(Canals!$G$24:$G$29,MATCH(2,1/((Canals!$F$24:$F$29&lt;=$C20)*(Canals!$G$24:$G$29=_xlfn.IFS(AAC20="Handysize",Main!ACL20,AAC20="Supramax",ACE20,AAC20="Panamax",ABX20,AAC20="NeoPanamax",ABQ20,AAC20="Suezmax",ABJ20,AAC20="Capesize",ABC20,AAC20="VLOC",AAV20)))))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S20" s="75" t="e">
        <f t="array" aca="1" ref="ADS20" ca="1">INDEX(Canals!$H$24:$H$29,MATCH(2,1/((Canals!$F$24:$F$29&lt;=$C20)*(Canals!$G$24:$G$29=_xlfn.IFS(AAC20="Handysize",Main!ACL20,AAC20="Supramax",ACE20,AAC20="Panamax",ABX20,AAC20="NeoPanamax",ABQ20,AAC20="Suezmax",ABJ20,AAC20="Capesize",ABC20,AAC20="VLOC",AAV20)))))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T20" s="75" t="e">
        <f t="array" aca="1" ref="ADT20" ca="1">INDEX(Canals!$I$24:$I$29,MATCH(2,1/((Canals!$F$24:$F$29&lt;=$C20)*(Canals!$G$24:$G$29=_xlfn.IFS(AAC20="Handysize",Main!ACL20,AAC20="Supramax",ACE20,AAC20="Panamax",ABX20,AAC20="NeoPanamax",ABQ20,AAC20="Suezmax",ABJ20,AAC20="Capesize",ABC20,AAC20="VLOC",AAV20)))))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U20" s="75" t="e">
        <f t="array" aca="1" ref="ADU20" ca="1">INDEX(Canals!$J$24:$J$29,MATCH(2,1/((Canals!$F$24:$F$29&lt;=$C20)*(Canals!$G$24:$G$29=_xlfn.IFS(AAC20="Handysize",Main!ACL20,AAC20="Supramax",ACE20,AAC20="Panamax",ABX20,AAC20="NeoPanamax",ABQ20,AAC20="Suezmax",ABJ20,AAC20="Capesize",ABC20,AAC20="VLOC",AAV20)))))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V20" s="75" t="e">
        <f t="array" aca="1" ref="ADV20" ca="1">INDEX(Canals!$K$24:$K$29,MATCH(2,1/((Canals!$F$24:$F$29&lt;=$C20)*(Canals!$G$24:$G$29=_xlfn.IFS(AAC20="Handysize",Main!ACL20,AAC20="Supramax",ACE20,AAC20="Panamax",ABX20,AAC20="NeoPanamax",ABQ20,AAC20="Suezmax",ABJ20,AAC20="Capesize",ABC20,AAC20="VLOC",AAV20)))))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W20" s="75" t="e">
        <f t="array" aca="1" ref="ADW20" ca="1">INDEX(Canals!$L$24:$L$29,MATCH(2,1/((Canals!$F$24:$F$29&lt;=$C20)*(Canals!$G$24:$G$29=_xlfn.IFS(AAC20="Handysize",Main!ACL20,AAC20="Supramax",ACE20,AAC20="Panamax",ABX20,AAC20="NeoPanamax",ABQ20,AAC20="Suezmax",ABJ20,AAC20="Capesize",ABC20,AAC20="VLOC",AAV20)))))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X20" s="75" t="e">
        <f t="array" aca="1" ref="ADX20" ca="1">INDEX(Canals!$M$24:$M$29,MATCH(2,1/((Canals!$F$24:$F$29&lt;=$C20)*(Canals!$G$24:$G$29=_xlfn.IFS(AAC20="Handysize",Main!ACL20,AAC20="Supramax",ACE20,AAC20="Panamax",ABX20,AAC20="NeoPanamax",ABQ20,AAC20="Suezmax",ABJ20,AAC20="Capesize",ABC20,AAC20="VLOC",AAV20)))))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Y20" s="75" t="e">
        <f t="array" aca="1" ref="ADY20" ca="1">INDEX(Canals!$N$24:$N$29,MATCH(2,1/((Canals!$F$24:$F$29&lt;=$C20)*(Canals!$G$24:$G$29=_xlfn.IFS(AAC20="Handysize",Main!ACL20,AAC20="Supramax",ACE20,AAC20="Panamax",ABX20,AAC20="NeoPanamax",ABQ20,AAC20="Suezmax",ABJ20,AAC20="Capesize",ABC20,AAC20="VLOC",AAV20)))))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DZ20" s="75" t="e">
        <f t="array" aca="1" ref="ADZ20" ca="1">INDEX(Canals!$O$24:$O$29,MATCH(2,1/((Canals!$F$24:$F$29&lt;=$C20)*(Canals!$G$24:$G$29=_xlfn.IFS(AAC20="Handysize",Main!ACL20,AAC20="Supramax",ACE20,AAC20="Panamax",ABX20,AAC20="NeoPanamax",ABQ20,AAC20="Suezmax",ABJ20,AAC20="Capesize",ABC20,AAC20="VLOC",AAV20)))))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A20" s="75" t="e">
        <f t="array" aca="1" ref="AEA20" ca="1">INDEX(Canals!$P$24:$P$29,MATCH(2,1/((Canals!$F$24:$F$29&lt;=$C20)*(Canals!$G$24:$G$29=_xlfn.IFS(AAC20="Handysize",Main!ACL20,AAC20="Supramax",ACE20,AAC20="Panamax",ABX20,AAC20="NeoPanamax",ABQ20,AAC20="Suezmax",ABJ20,AAC20="Capesize",ABC20,AAC20="VLOC",AAV20)))))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B20" s="75" t="e">
        <f t="array" aca="1" ref="AEB20" ca="1">INDEX(Canals!$Q$24:$Q$29,MATCH(2,1/((Canals!$F$24:$F$29&lt;=$C20)*(Canals!$G$24:$G$29=_xlfn.IFS(AAC20="Handysize",Main!ACL20,AAC20="Supramax",ACE20,AAC20="Panamax",ABX20,AAC20="NeoPanamax",ABQ20,AAC20="Suezmax",ABJ20,AAC20="Capesize",ABC20,AAC20="VLOC",AAV20)))))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C20" s="75" t="e">
        <f t="array" aca="1" ref="AEC20" ca="1">INDEX(Canals!$R$24:$R$29,MATCH(2,1/((Canals!$F$24:$F$29&lt;=$C20)*(Canals!$G$24:$G$29=_xlfn.IFS(AAC20="Handysize",Main!ACL20,AAC20="Supramax",ACE20,AAC20="Panamax",ABX20,AAC20="NeoPanamax",ABQ20,AAC20="Suezmax",ABJ20,AAC20="Capesize",ABC20,AAC20="VLOC",AAV20)))))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D20" s="136" t="e">
        <f t="array" aca="1" ref="AED20" ca="1">INDEX(Canals!$S$24:$S$29,MATCH(2,1/((Canals!$F$24:$F$29&lt;=$C20)*(Canals!$G$24:$G$29=_xlfn.IFS(AAC20="Handysize",Main!ACL20,AAC20="Supramax",ACE20,AAC20="Panamax",ABX20,AAC20="NeoPanamax",ABQ20,AAC20="Suezmax",ABJ20,AAC20="Capesize",ABC20,AAC20="VLOC",AAV20)))))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E20" s="136" t="e">
        <f t="array" aca="1" ref="AEE20" ca="1">INDEX(Canals!$T$24:$T$29,MATCH(2,1/((Canals!$F$24:$F$29&lt;=$C20)*(Canals!$G$24:$G$29=_xlfn.IFS(AAC20="Handysize",Main!ACL20,AAC20="Supramax",ACE20,AAC20="Panamax",ABX20,AAC20="NeoPanamax",ABQ20,AAC20="Suezmax",ABJ20,AAC20="Capesize",ABC20,AAC20="VLOC",AAV20)))))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F20" s="136" t="e">
        <f t="array" aca="1" ref="AEF20" ca="1">INDEX(Canals!$U$24:$U$29,MATCH(2,1/((Canals!$F$24:$F$29&lt;=$C20)*(Canals!$G$24:$G$29=_xlfn.IFS(AAC20="Handysize",Main!ACL20,AAC20="Supramax",ACE20,AAC20="Panamax",ABX20,AAC20="NeoPanamax",ABQ20,AAC20="Suezmax",ABJ20,AAC20="Capesize",ABC20,AAC20="VLOC",AAV20)))))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G20" s="136" t="e">
        <f t="array" aca="1" ref="AEG20" ca="1">INDEX(Canals!$V$24:$V$29,MATCH(2,1/((Canals!$F$24:$F$29&lt;=$C20)*(Canals!$G$24:$G$29=_xlfn.IFS(AAC20="Handysize",Main!ACL20,AAC20="Supramax",ACE20,AAC20="Panamax",ABX20,AAC20="NeoPanamax",ABQ20,AAC20="Suezmax",ABJ20,AAC20="Capesize",ABC20,AAC20="VLOC",AAV20)))))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H20" s="136" t="e">
        <f t="array" aca="1" ref="AEH20" ca="1">INDEX(Canals!$W$24:$W$29,MATCH(2,1/((Canals!$F$24:$F$29&lt;=$C20)*(Canals!$G$24:$G$29=_xlfn.IFS(AAC20="Handysize",Main!ACL20,AAC20="Supramax",ACE20,AAC20="Panamax",ABX20,AAC20="NeoPanamax",ABQ20,AAC20="Suezmax",ABJ20,AAC20="Capesize",ABC20,AAC20="VLOC",AAV20)))))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I20" s="136" t="e">
        <f t="array" aca="1" ref="AEI20" ca="1">INDEX(Canals!$X$24:$X$29,MATCH(2,1/((Canals!$F$24:$F$29&lt;=$C20)*(Canals!$G$24:$G$29=_xlfn.IFS(AAC20="Handysize",Main!ACL20,AAC20="Supramax",ACE20,AAC20="Panamax",ABX20,AAC20="NeoPanamax",ABQ20,AAC20="Suezmax",ABJ20,AAC20="Capesize",ABC20,AAC20="VLOC",AAV20)))))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J20" s="136" t="e">
        <f t="array" aca="1" ref="AEJ20" ca="1">INDEX(Canals!$Y$24:$Y$29,MATCH(2,1/((Canals!$F$24:$F$29&lt;=$C20)*(Canals!$G$24:$G$29=_xlfn.IFS(AAC20="Handysize",Main!ACL20,AAC20="Supramax",ACE20,AAC20="Panamax",ABX20,AAC20="NeoPanamax",ABQ20,AAC20="Suezmax",ABJ20,AAC20="Capesize",ABC20,AAC20="VLOC",AAV20)))))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K20" s="136" t="e">
        <f t="array" aca="1" ref="AEK20" ca="1">INDEX(Canals!$Z$24:$Z$29,MATCH(2,1/((Canals!$F$24:$F$29&lt;=$C20)*(Canals!$G$24:$G$29=_xlfn.IFS(AAC20="Handysize",Main!ACL20,AAC20="Supramax",ACE20,AAC20="Panamax",ABX20,AAC20="NeoPanamax",ABQ20,AAC20="Suezmax",ABJ20,AAC20="Capesize",ABC20,AAC20="VLOC",AAV20)))))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L20" s="136" t="e">
        <f t="array" aca="1" ref="AEL20" ca="1">INDEX(Canals!$AA$24:$AA$29,MATCH(2,1/((Canals!$F$24:$F$29&lt;=$C20)*(Canals!$G$24:$G$29=_xlfn.IFS(AAC20="Handysize",Main!ACL20,AAC20="Supramax",ACE20,AAC20="Panamax",ABX20,AAC20="NeoPanamax",ABQ20,AAC20="Suezmax",ABJ20,AAC20="Capesize",ABC20,AAC20="VLOC",AAV20)))))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M20" s="136" t="e">
        <f t="array" aca="1" ref="AEM20" ca="1">INDEX(Canals!$AB$24:$AB$29,MATCH(2,1/((Canals!$F$24:$F$29&lt;=$C20)*(Canals!$G$24:$G$29=_xlfn.IFS(AAC20="Handysize",Main!ACL20,AAC20="Supramax",ACE20,AAC20="Panamax",ABX20,AAC20="NeoPanamax",ABQ20,AAC20="Suezmax",ABJ20,AAC20="Capesize",ABC20,AAC20="VLOC",AAV20)))))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N20" s="75" t="e">
        <f t="array" aca="1" ref="AEN20" ca="1">INDEX(Canals!$AC$24:$AC$29,MATCH(2,1/((Canals!$F$24:$F$29&lt;=$C20)*(Canals!$G$24:$G$29=_xlfn.IFS(AAC20="Handysize",Main!ACL20,AAC20="Supramax",ACE20,AAC20="Panamax",ABX20,AAC20="NeoPanamax",ABQ20,AAC20="Suezmax",ABJ20,AAC20="Capesize",ABC20,AAC20="VLOC",AAV20)))))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O20" s="75" t="e">
        <f t="array" aca="1" ref="AEO20" ca="1">INDEX(Canals!$AD$24:$AD$29,MATCH(2,1/((Canals!$F$24:$F$29&lt;=$C20)*(Canals!$G$24:$G$29=_xlfn.IFS(AAC20="Handysize",Main!ACL20,AAC20="Supramax",ACE20,AAC20="Panamax",ABX20,AAC20="NeoPanamax",ABQ20,AAC20="Suezmax",ABJ20,AAC20="Capesize",ABC20,AAC20="VLOC",AAV20)))))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P20" s="75" t="e">
        <f t="array" aca="1" ref="AEP20" ca="1">INDEX(Canals!$AE$24:$AE$29,MATCH(2,1/((Canals!$F$24:$F$29&lt;=$C20)*(Canals!$G$24:$G$29=_xlfn.IFS(AAC20="Handysize",Main!ACL20,AAC20="Supramax",ACE20,AAC20="Panamax",ABX20,AAC20="NeoPanamax",ABQ20,AAC20="Suezmax",ABJ20,AAC20="Capesize",ABC20,AAC20="VLOC",AAV20)))))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Q20" s="75" t="e">
        <f t="array" aca="1" ref="AEQ20" ca="1">INDEX(Canals!$AF$24:$AF$29,MATCH(2,1/((Canals!$F$24:$F$29&lt;=$C20)*(Canals!$G$24:$G$29=_xlfn.IFS(AAC20="Handysize",Main!ACL20,AAC20="Supramax",ACE20,AAC20="Panamax",ABX20,AAC20="NeoPanamax",ABQ20,AAC20="Suezmax",ABJ20,AAC20="Capesize",ABC20,AAC20="VLOC",AAV20)))))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R20" s="75" t="e">
        <f t="array" aca="1" ref="AER20" ca="1">INDEX(Canals!$AG$24:$AG$29,MATCH(2,1/((Canals!$F$24:$F$29&lt;=$C20)*(Canals!$G$24:$G$29=_xlfn.IFS(AAC20="Handysize",Main!ACL20,AAC20="Supramax",ACE20,AAC20="Panamax",ABX20,AAC20="NeoPanamax",ABQ20,AAC20="Suezmax",ABJ20,AAC20="Capesize",ABC20,AAC20="VLOC",AAV20)))))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S20" s="75" t="e">
        <f t="array" aca="1" ref="AES20" ca="1">INDEX(Canals!$AH$24:$AH$29,MATCH(2,1/((Canals!$F$24:$F$29&lt;=$C20)*(Canals!$G$24:$G$29=_xlfn.IFS(AAC20="Handysize",Main!ACL20,AAC20="Supramax",ACE20,AAC20="Panamax",ABX20,AAC20="NeoPanamax",ABQ20,AAC20="Suezmax",ABJ20,AAC20="Capesize",ABC20,AAC20="VLOC",AAV20)))))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T20" s="75" t="e">
        <f t="array" aca="1" ref="AET20" ca="1">INDEX(Canals!$AI$24:$AI$29,MATCH(2,1/((Canals!$F$24:$F$29&lt;=$C20)*(Canals!$G$24:$G$29=_xlfn.IFS(AAC20="Handysize",Main!ACL20,AAC20="Supramax",ACE20,AAC20="Panamax",ABX20,AAC20="NeoPanamax",ABQ20,AAC20="Suezmax",ABJ20,AAC20="Capesize",ABC20,AAC20="VLOC",AAV20)))))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U20" s="75" t="e">
        <f t="array" aca="1" ref="AEU20" ca="1">INDEX(Canals!$AJ$24:$AJ$29,MATCH(2,1/((Canals!$F$24:$F$29&lt;=$C20)*(Canals!$G$24:$G$29=_xlfn.IFS(AAC20="Handysize",Main!ACL20,AAC20="Supramax",ACE20,AAC20="Panamax",ABX20,AAC20="NeoPanamax",ABQ20,AAC20="Suezmax",ABJ20,AAC20="Capesize",ABC20,AAC20="VLOC",AAV20)))))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V20" s="75" t="e">
        <f t="array" aca="1" ref="AEV20" ca="1">INDEX(Canals!$AK$24:$AK$29,MATCH(2,1/((Canals!$F$24:$F$29&lt;=$C20)*(Canals!$G$24:$G$29=_xlfn.IFS(AAC20="Handysize",Main!ACL20,AAC20="Supramax",ACE20,AAC20="Panamax",ABX20,AAC20="NeoPanamax",ABQ20,AAC20="Suezmax",ABJ20,AAC20="Capesize",ABC20,AAC20="VLOC",AAV20)))))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W20" s="136" t="e">
        <f t="array" aca="1" ref="AEW20" ca="1">INDEX(Canals!$AL$24:$AL$29,MATCH(2,1/((Canals!$F$24:$F$29&lt;=$C20)*(Canals!$G$24:$G$29=_xlfn.IFS(AAC20="Handysize",Main!ACL20,AAC20="Supramax",ACE20,AAC20="Panamax",ABX20,AAC20="NeoPanamax",ABQ20,AAC20="Suezmax",ABJ20,AAC20="Capesize",ABC20,AAC20="VLOC",AAV20)))))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X20" s="136" t="e">
        <f t="array" aca="1" ref="AEX20" ca="1">INDEX(Canals!$AM$24:$AM$29,MATCH(2,1/((Canals!$F$24:$F$29&lt;=$C20)*(Canals!$G$24:$G$29=_xlfn.IFS(AAC20="Handysize",Main!ACL20,AAC20="Supramax",ACE20,AAC20="Panamax",ABX20,AAC20="NeoPanamax",ABQ20,AAC20="Suezmax",ABJ20,AAC20="Capesize",ABC20,AAC20="VLOC",AAV20)))))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Y20" s="136" t="e">
        <f t="array" aca="1" ref="AEY20" ca="1">INDEX(Canals!$AN$24:$AN$29,MATCH(2,1/((Canals!$F$24:$F$29&lt;=$C20)*(Canals!$G$24:$G$29=_xlfn.IFS(AAC20="Handysize",Main!ACL20,AAC20="Supramax",ACE20,AAC20="Panamax",ABX20,AAC20="NeoPanamax",ABQ20,AAC20="Suezmax",ABJ20,AAC20="Capesize",ABC20,AAC20="VLOC",AAV20)))))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EZ20" s="136" t="e">
        <f t="array" aca="1" ref="AEZ20" ca="1">INDEX(Canals!$AO$24:$AO$29,MATCH(2,1/((Canals!$F$24:$F$29&lt;=$C20)*(Canals!$G$24:$G$29=_xlfn.IFS(AAC20="Handysize",Main!ACL20,AAC20="Supramax",ACE20,AAC20="Panamax",ABX20,AAC20="NeoPanamax",ABQ20,AAC20="Suezmax",ABJ20,AAC20="Capesize",ABC20,AAC20="VLOC",AAV20)))))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A20" s="136" t="e">
        <f t="array" aca="1" ref="AFA20" ca="1">INDEX(Canals!$AP$24:$AP$29,MATCH(2,1/((Canals!$F$24:$F$29&lt;=$C20)*(Canals!$G$24:$G$29=_xlfn.IFS(AAC20="Handysize",Main!ACL20,AAC20="Supramax",ACE20,AAC20="Panamax",ABX20,AAC20="NeoPanamax",ABQ20,AAC20="Suezmax",ABJ20,AAC20="Capesize",ABC20,AAC20="VLOC",AAV20)))))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B20" s="136" t="e">
        <f t="array" aca="1" ref="AFB20" ca="1">INDEX(Canals!$AQ$24:$AQ$29,MATCH(2,1/((Canals!$F$24:$F$29&lt;=$C20)*(Canals!$G$24:$G$29=_xlfn.IFS(AAC20="Handysize",Main!ACL20,AAC20="Supramax",ACE20,AAC20="Panamax",ABX20,AAC20="NeoPanamax",ABQ20,AAC20="Suezmax",ABJ20,AAC20="Capesize",ABC20,AAC20="VLOC",AAV20)))))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C20" s="136" t="e">
        <f t="array" aca="1" ref="AFC20" ca="1">INDEX(Canals!$AR$24:$AR$29,MATCH(2,1/((Canals!$F$24:$F$29&lt;=$C20)*(Canals!$G$24:$G$29=_xlfn.IFS(AAC20="Handysize",Main!ACL20,AAC20="Supramax",ACE20,AAC20="Panamax",ABX20,AAC20="NeoPanamax",ABQ20,AAC20="Suezmax",ABJ20,AAC20="Capesize",ABC20,AAC20="VLOC",AAV20)))))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D20" s="136" t="e">
        <f t="array" aca="1" ref="AFD20" ca="1">INDEX(Canals!$AS$24:$AS$29,MATCH(2,1/((Canals!$F$24:$F$29&lt;=$C20)*(Canals!$G$24:$G$29=_xlfn.IFS(AAC20="Handysize",Main!ACL20,AAC20="Supramax",ACE20,AAC20="Panamax",ABX20,AAC20="NeoPanamax",ABQ20,AAC20="Suezmax",ABJ20,AAC20="Capesize",ABC20,AAC20="VLOC",AAV20)))))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E20" s="136" t="e">
        <f t="array" aca="1" ref="AFE20" ca="1">INDEX(Canals!$AT$24:$AT$29,MATCH(2,1/((Canals!$F$24:$F$29&lt;=$C20)*(Canals!$G$24:$G$29=_xlfn.IFS(AAC20="Handysize",Main!ACL20,AAC20="Supramax",ACE20,AAC20="Panamax",ABX20,AAC20="NeoPanamax",ABQ20,AAC20="Suezmax",ABJ20,AAC20="Capesize",ABC20,AAC20="VLOC",AAV20)))))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F20" s="136" t="e">
        <f t="array" aca="1" ref="AFF20" ca="1">INDEX(Canals!$AU$24:$AU$29,MATCH(2,1/((Canals!$F$24:$F$29&lt;=$C20)*(Canals!$G$24:$G$29=_xlfn.IFS(AAC20="Handysize",Main!ACL20,AAC20="Supramax",ACE20,AAC20="Panamax",ABX20,AAC20="NeoPanamax",ABQ20,AAC20="Suezmax",ABJ20,AAC20="Capesize",ABC20,AAC20="VLOC",AAV20)))))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G20" s="136" t="e">
        <f t="array" aca="1" ref="AFG20" ca="1">INDEX(Canals!$AV$24:$AV$29,MATCH(2,1/((Canals!$F$24:$F$29&lt;=$C20)*(Canals!$G$24:$G$29=_xlfn.IFS(AAC20="Handysize",Main!ACL20,AAC20="Supramax",ACE20,AAC20="Panamax",ABX20,AAC20="NeoPanamax",ABQ20,AAC20="Suezmax",ABJ20,AAC20="Capesize",ABC20,AAC20="VLOC",AAV20)))))</f>
        <v>#N/A</v>
      </c>
      <c r="AFI20" s="75" t="e">
        <f t="array" aca="1" ref="AFI20" ca="1">_xlfn.IFS(ADT20="DWT",AAA20,ADT20="NRT",AAE20,ADT20="GRT",AAF20)</f>
        <v>#NAME?</v>
      </c>
      <c r="AFJ20" s="279" t="e">
        <f t="shared" ca="1" si="176"/>
        <v>#NAME?</v>
      </c>
      <c r="AFK20" s="280" t="e">
        <f t="shared" ca="1" si="177"/>
        <v>#NAME?</v>
      </c>
      <c r="AFL20" s="280" t="e">
        <f t="shared" ca="1" si="178"/>
        <v>#NAME?</v>
      </c>
      <c r="AFM20" s="280" t="e">
        <f t="shared" ca="1" si="179"/>
        <v>#NAME?</v>
      </c>
      <c r="AFN20" s="280" t="e">
        <f t="shared" ca="1" si="180"/>
        <v>#NAME?</v>
      </c>
      <c r="AFO20" s="280" t="e">
        <f t="shared" ca="1" si="181"/>
        <v>#NAME?</v>
      </c>
      <c r="AFP20" s="280" t="e">
        <f t="shared" ca="1" si="182"/>
        <v>#NAME?</v>
      </c>
      <c r="AFQ20" s="280" t="e">
        <f t="shared" ca="1" si="183"/>
        <v>#NAME?</v>
      </c>
      <c r="AFR20" s="280" t="e">
        <f t="shared" ca="1" si="184"/>
        <v>#NAME?</v>
      </c>
      <c r="AFS20" s="75">
        <f t="shared" si="185"/>
        <v>175500</v>
      </c>
      <c r="AFT20" s="279" t="e">
        <f t="shared" ca="1" si="186"/>
        <v>#N/A</v>
      </c>
      <c r="AFU20" s="280" t="e">
        <f t="shared" ca="1" si="187"/>
        <v>#N/A</v>
      </c>
      <c r="AFV20" s="280" t="e">
        <f t="shared" ca="1" si="188"/>
        <v>#N/A</v>
      </c>
      <c r="AFW20" s="280" t="e">
        <f t="shared" ca="1" si="189"/>
        <v>#N/A</v>
      </c>
      <c r="AFX20" s="280" t="e">
        <f t="shared" ca="1" si="190"/>
        <v>#N/A</v>
      </c>
      <c r="AFY20" s="280" t="e">
        <f t="shared" ca="1" si="191"/>
        <v>#N/A</v>
      </c>
      <c r="AFZ20" s="280" t="e">
        <f t="shared" ca="1" si="192"/>
        <v>#N/A</v>
      </c>
      <c r="AGA20" s="280" t="e">
        <f t="shared" ca="1" si="193"/>
        <v>#N/A</v>
      </c>
      <c r="AGB20" s="280" t="e">
        <f t="shared" ca="1" si="194"/>
        <v>#N/A</v>
      </c>
      <c r="AGD20" s="75" t="e">
        <f t="array" aca="1" ref="AGD20" ca="1">_xlfn.IFS(AAC20="Handysize",Main!ACF20,AAC20="Supramax",ABY20,AAC20="Panamax",ABR20,AAC20="NeoPanamax",ABK20,AAC20="Suezmax",ABD20,AAC20="Capesize",AAW20,AAC20="VLOC",AAP20)*$JI20</f>
        <v>#NAME?</v>
      </c>
      <c r="AGE20" s="274" t="e">
        <f t="array" aca="1" ref="AGE20" ca="1">_xlfn.IFS(AAC20="Handysize",Main!ACG20,AAC20="Supramax",ABZ20,AAC20="Panamax",ABS20,AAC20="NeoPanamax",ABL20,AAC20="Suezmax",ABE20,AAC20="Capesize",AAX20,AAC20="VLOC",AAQ20)*$JI20</f>
        <v>#NAME?</v>
      </c>
      <c r="AGF20" s="71" t="e">
        <f t="array" aca="1" ref="AGF20" ca="1">_xlfn.IFS(AAC20="Handysize",Main!AAH20,AAC20="Supramax",AAI20,AAC20="Panamax",AAJ20,AAC20="NeoPanamax",AAK20,AAC20="Suezmax",AAL20,AAC20="Capesize",AAM20,AAC20="VLOC",AAN20)</f>
        <v>#NAME?</v>
      </c>
      <c r="AGG20" s="71" t="e">
        <f t="array" aca="1" ref="AGG20" ca="1">_xlfn.IFS(AAC20="Handysize",Main!ACT20,AAC20="Supramax",ACU20,AAC20="Panamax",ACV20,AAC20="NeoPanamax",ACW20,AAC20="Suezmax",ACX20,AAC20="Capesize",ACY20,AAC20="VLOC",ACZ20)</f>
        <v>#NAME?</v>
      </c>
      <c r="AGH20" s="70">
        <f t="array" ref="AGH20">INDEX('Ship Speeds'!$G$11:$G$1011,MATCH(2,1/(('Ship Speeds'!$E$11:$E$1011&lt;=Main!$C20)*('Ship Speeds'!$F$11:$F$1011=Main!AAB20))))</f>
        <v>11</v>
      </c>
      <c r="AGI20" s="403">
        <f t="shared" si="195"/>
        <v>35.906192279020722</v>
      </c>
      <c r="AGJ20" s="401">
        <f t="shared" si="196"/>
        <v>3.1223999999999998</v>
      </c>
      <c r="AGK20" s="70" t="e">
        <f t="shared" ca="1" si="197"/>
        <v>#NAME?</v>
      </c>
      <c r="AGL20" s="70" t="e">
        <f t="shared" ca="1" si="198"/>
        <v>#NAME?</v>
      </c>
      <c r="AGM20" s="70" t="e">
        <f t="shared" ca="1" si="199"/>
        <v>#NAME?</v>
      </c>
      <c r="AGN20" s="70" t="e">
        <f t="shared" ca="1" si="200"/>
        <v>#NAME?</v>
      </c>
      <c r="AGO20" s="72" t="e">
        <f t="shared" ca="1" si="201"/>
        <v>#N/A</v>
      </c>
      <c r="AGP20" s="70" t="e">
        <f t="shared" ca="1" si="202"/>
        <v>#NAME?</v>
      </c>
      <c r="AGQ20" s="70" t="e">
        <f t="array" aca="1" ref="AGQ20" ca="1">INDEX(ACN20:ACR20,MATCH(_xlfn.IFS(AAC20="Handysize",Main!ACJ20,AAC20="Supramax",ACC20,AAC20="Panamax",ABV20,AAC20="NeoPanamax",ABO20,AAC20="Suezmax",ABH20,AAC20="Capesize",ABA20,AAC20="VLOC",AAT20),$ACN$7:$ACR$7,0))</f>
        <v>#NAME?</v>
      </c>
      <c r="AGR20" s="70" t="e">
        <f t="array" aca="1" ref="AGR20" ca="1">INDEX(ACN20:ACR20,MATCH(_xlfn.IFS(AAC20="Handysize",Main!ACK20,AAC20="Supramax",ACD20,AAC20="Panamax",ABW20,AAC20="NeoPanamax",ABP20,AAC20="Suezmax",ABI20,AAC20="Capesize",ABB20,AAC20="VLOC",AAU20),$ACN$7:$ACR$7,0))</f>
        <v>#NAME?</v>
      </c>
      <c r="AGS20" s="71" t="e">
        <f t="shared" ca="1" si="203"/>
        <v>#NAME?</v>
      </c>
      <c r="AGT20" s="71" t="e">
        <f t="shared" ca="1" si="204"/>
        <v>#NAME?</v>
      </c>
      <c r="AGU20" s="281">
        <f t="shared" si="205"/>
        <v>7.0759999999999987</v>
      </c>
      <c r="AGV20" s="71">
        <f t="shared" si="206"/>
        <v>1744.2057659694747</v>
      </c>
      <c r="AGW20" s="71" t="e">
        <f t="shared" ca="1" si="207"/>
        <v>#NAME?</v>
      </c>
      <c r="AGX20" s="71" t="e">
        <f t="shared" ca="1" si="208"/>
        <v>#NAME?</v>
      </c>
      <c r="AGY20" s="71">
        <f t="shared" si="209"/>
        <v>65477.6710005653</v>
      </c>
      <c r="AGZ20" s="71" t="e">
        <f t="shared" ca="1" si="210"/>
        <v>#NAME?</v>
      </c>
      <c r="AHA20" s="71" t="e">
        <f t="shared" ca="1" si="211"/>
        <v>#NAME?</v>
      </c>
      <c r="AHB20" s="71">
        <f t="shared" si="212"/>
        <v>46485.635952515557</v>
      </c>
      <c r="AHC20" s="71" t="e">
        <f t="shared" ca="1" si="213"/>
        <v>#NAME?</v>
      </c>
      <c r="AHD20" s="71" t="e">
        <f t="shared" ca="1" si="214"/>
        <v>#NAME?</v>
      </c>
      <c r="AHE20" s="71">
        <f t="shared" si="215"/>
        <v>0</v>
      </c>
      <c r="AHF20" s="71" t="e">
        <f t="shared" ca="1" si="216"/>
        <v>#NAME?</v>
      </c>
      <c r="AHG20" s="71" t="e">
        <f t="shared" ca="1" si="217"/>
        <v>#NAME?</v>
      </c>
      <c r="AHH20" s="72">
        <f t="shared" si="218"/>
        <v>8436.5333521763714</v>
      </c>
      <c r="AHI20" s="72" t="e">
        <f t="shared" ca="1" si="219"/>
        <v>#NAME?</v>
      </c>
      <c r="AHJ20" s="71" t="e">
        <f t="shared" ca="1" si="220"/>
        <v>#NAME?</v>
      </c>
      <c r="AHK20" s="71" t="e">
        <f t="array" aca="1" ref="AHK20" ca="1">INDEX('Ship Time Charter Rates'!$H$22:$H$1021,MATCH(2,1/(('Ship Time Charter Rates'!$G$22:$G$1021=_xlfn.IFS(AAC20="Handysize",Main!ACH20,AAC20="Supramax",ACA20,AAC20="Panamax",ABT20,AAC20="NeoPanamax",ABM20,AAC20="Suezmax",ABF20,AAC20="Capesize",AAY20,AAC20="VLOC",AAR20))*('Ship Time Charter Rates'!$E$22:$E$1021&lt;=Main!$C20)*(NOT(ISBLANK('Ship Time Charter Rates'!$H$22:$H$1021))))))</f>
        <v>#N/A</v>
      </c>
      <c r="AHL20" s="71" t="e">
        <f t="shared" ca="1" si="221"/>
        <v>#NAME?</v>
      </c>
      <c r="AHM20" s="70" t="e">
        <f t="shared" ca="1" si="222"/>
        <v>#N/A</v>
      </c>
      <c r="AHN20" s="71" t="e">
        <f t="shared" ca="1" si="223"/>
        <v>#NAME?</v>
      </c>
      <c r="AHO20" s="71" t="e">
        <f t="shared" ca="1" si="306"/>
        <v>#NAME?</v>
      </c>
      <c r="AHP20" s="72" t="e">
        <f t="shared" ca="1" si="307"/>
        <v>#NAME?</v>
      </c>
      <c r="AHR20" s="25">
        <f t="shared" si="323"/>
        <v>0</v>
      </c>
      <c r="AHS20" s="4" t="str">
        <f>VLOOKUP(AHR20,'Ship Time Charter Rates'!$F$10:$G$17,2,TRUE)</f>
        <v>Handysize</v>
      </c>
      <c r="AHT20" s="4" t="str">
        <f>VLOOKUP(AHR20,Canals!$E$5:$F$12,2,TRUE)</f>
        <v>Handysize</v>
      </c>
      <c r="AHU20" s="25">
        <f t="shared" si="224"/>
        <v>145.88999999999999</v>
      </c>
      <c r="AHV20" s="25">
        <f t="shared" si="225"/>
        <v>0</v>
      </c>
      <c r="AHW20" s="25">
        <f t="shared" si="226"/>
        <v>4797</v>
      </c>
      <c r="AHY20" s="75">
        <f t="array" ref="AHY20">INDEX('Indices Mines Exporting Ports'!$R$20:$R$51,MATCH(2,1/(('Indices Mines Exporting Ports'!$D$20:$D$51&lt;=Main!$C20)*('Indices Mines Exporting Ports'!$Q$20:$Q$51=$AQ20))))</f>
        <v>0</v>
      </c>
      <c r="AHZ20" s="75">
        <f t="array" ref="AHZ20">INDEX('Indices Mines Exporting Ports'!$S$20:$S$51,MATCH(2,1/(('Indices Mines Exporting Ports'!$D$20:$D$51&lt;=Main!$C20)*('Indices Mines Exporting Ports'!$Q$20:$Q$51=$AQ20))))</f>
        <v>0</v>
      </c>
      <c r="AIA20" s="75">
        <f t="array" ref="AIA20">INDEX('Indices Mines Exporting Ports'!$T$20:$T$51,MATCH(2,1/(('Indices Mines Exporting Ports'!$D$20:$D$51&lt;=Main!$C20)*('Indices Mines Exporting Ports'!$Q$20:$Q$51=$AQ20))))</f>
        <v>0</v>
      </c>
      <c r="AIB20" s="75">
        <f t="array" ref="AIB20">INDEX('Indices Mines Exporting Ports'!$U$20:$U$51,MATCH(2,1/(('Indices Mines Exporting Ports'!$D$20:$D$51&lt;=Main!$C20)*('Indices Mines Exporting Ports'!$Q$20:$Q$51=$AQ20))))</f>
        <v>0</v>
      </c>
      <c r="AIC20" s="75">
        <f t="array" ref="AIC20">INDEX('Indices Mines Exporting Ports'!$V$20:$V$51,MATCH(2,1/(('Indices Mines Exporting Ports'!$D$20:$D$51&lt;=Main!$C20)*('Indices Mines Exporting Ports'!$Q$20:$Q$51=$AQ20))))</f>
        <v>0</v>
      </c>
      <c r="AID20" s="75">
        <f t="array" ref="AID20">INDEX('Indices Mines Exporting Ports'!$W$20:$W$51,MATCH(2,1/(('Indices Mines Exporting Ports'!$D$20:$D$51&lt;=Main!$C20)*('Indices Mines Exporting Ports'!$Q$20:$Q$51=$AQ20))))</f>
        <v>0</v>
      </c>
      <c r="AIE20" s="75">
        <f t="array" ref="AIE20">INDEX('Indices Mines Exporting Ports'!$X$20:$X$51,MATCH(2,1/(('Indices Mines Exporting Ports'!$D$20:$D$51&lt;=Main!$C20)*('Indices Mines Exporting Ports'!$Q$20:$Q$51=$AQ20))))</f>
        <v>0</v>
      </c>
      <c r="AIG20" s="75">
        <f t="array" ref="AIG20">INDEX('Port Linkages'!$E$18:$E$157,MATCH(2,1/(('Port Linkages'!$C$18:$C$157=$AQ20)*('Port Linkages'!$D$18:$D$157=IF($AO20="no",$AQ20,$KK20))*('Port Linkages'!$A$18:$A$157&lt;=$C20))))</f>
        <v>0</v>
      </c>
      <c r="AIH20" s="75">
        <f t="array" ref="AIH20">INDEX('Port Linkages'!$F$18:$F$157,MATCH(2,1/(('Port Linkages'!$C$18:$C$157=$AQ20)*('Port Linkages'!$D$18:$D$157=IF($AO20="no",$AQ20,$KK20))*('Port Linkages'!$A$18:$A$157&lt;=$C20))))</f>
        <v>0</v>
      </c>
      <c r="AII20" s="75">
        <f t="array" ref="AII20">INDEX('Port Linkages'!$G$18:$G$157,MATCH(2,1/(('Port Linkages'!$C$18:$C$157=$AQ20)*('Port Linkages'!$D$18:$D$157=IF($AO20="no",$AQ20,$KK20))*('Port Linkages'!$A$18:$A$157&lt;=$C20))))</f>
        <v>0</v>
      </c>
      <c r="AIJ20" s="75">
        <f t="array" ref="AIJ20">INDEX('Port Linkages'!$H$18:$H$157,MATCH(2,1/(('Port Linkages'!$C$18:$C$157=$AQ20)*('Port Linkages'!$D$18:$D$157=IF($AO20="no",$AQ20,$KK20))*('Port Linkages'!$A$18:$A$157&lt;=$C20))))</f>
        <v>0</v>
      </c>
      <c r="AIK20" s="75">
        <f t="array" ref="AIK20">INDEX('Port Linkages'!$I$18:$I$157,MATCH(2,1/(('Port Linkages'!$C$18:$C$157=$AQ20)*('Port Linkages'!$D$18:$D$157=IF($AO20="no",$AQ20,$KK20))*('Port Linkages'!$A$18:$A$157&lt;=$C20))))</f>
        <v>0</v>
      </c>
      <c r="AIL20" s="75">
        <f t="array" ref="AIL20">INDEX('Port Linkages'!$J$18:$J$157,MATCH(2,1/(('Port Linkages'!$C$18:$C$157=$AQ20)*('Port Linkages'!$D$18:$D$157=IF($AO20="no",$AQ20,$KK20))*('Port Linkages'!$A$18:$A$157&lt;=$C20))))</f>
        <v>0</v>
      </c>
      <c r="AIM20" s="75">
        <f t="array" ref="AIM20">INDEX('Port Linkages'!$K$18:$K$157,MATCH(2,1/(('Port Linkages'!$C$18:$C$157=$AQ20)*('Port Linkages'!$D$18:$D$157=IF($AO20="no",$AQ20,$KK20))*('Port Linkages'!$A$18:$A$157&lt;=$C20))))</f>
        <v>0</v>
      </c>
      <c r="AIN20" s="75">
        <f t="array" ref="AIN20">INDEX('Port Linkages'!$L$18:$L$157,MATCH(2,1/(('Port Linkages'!$C$18:$C$157=$AQ20)*('Port Linkages'!$D$18:$D$157=IF($AO20="no",$AQ20,$KK20))*('Port Linkages'!$A$18:$A$157&lt;=$C20))))</f>
        <v>0</v>
      </c>
      <c r="AIO20" s="75">
        <f t="array" ref="AIO20">INDEX('Port Linkages'!$M$18:$M$157,MATCH(2,1/(('Port Linkages'!$C$18:$C$157=$AQ20)*('Port Linkages'!$D$18:$D$157=IF($AO20="no",$AQ20,$KK20))*('Port Linkages'!$A$18:$A$157&lt;=$C20))))</f>
        <v>0</v>
      </c>
      <c r="AIP20" s="75">
        <f t="array" ref="AIP20">INDEX('Port Linkages'!$N$18:$N$157,MATCH(2,1/(('Port Linkages'!$C$18:$C$157=$AQ20)*('Port Linkages'!$D$18:$D$157=IF($AO20="no",$AQ20,$KK20))*('Port Linkages'!$A$18:$A$157&lt;=$C20))))</f>
        <v>0</v>
      </c>
      <c r="AIQ20" s="75">
        <f t="array" ref="AIQ20">INDEX('Port Linkages'!$O$18:$O$157,MATCH(2,1/(('Port Linkages'!$C$18:$C$157=$AQ20)*('Port Linkages'!$D$18:$D$157=IF($AO20="no",$AQ20,$KK20))*('Port Linkages'!$A$18:$A$157&lt;=$C20))))</f>
        <v>0</v>
      </c>
      <c r="AIR20" s="75">
        <f t="array" ref="AIR20">INDEX('Port Linkages'!$P$18:$P$157,MATCH(2,1/(('Port Linkages'!$C$18:$C$157=$AQ20)*('Port Linkages'!$D$18:$D$157=IF($AO20="no",$AQ20,$KK20))*('Port Linkages'!$A$18:$A$157&lt;=$C20))))</f>
        <v>0</v>
      </c>
      <c r="AIS20" s="75">
        <f t="array" ref="AIS20">INDEX('Port Linkages'!$Q$18:$Q$157,MATCH(2,1/(('Port Linkages'!$C$18:$C$157=$AQ20)*('Port Linkages'!$D$18:$D$157=IF($AO20="no",$AQ20,$KK20))*('Port Linkages'!$A$18:$A$157&lt;=$C20))))</f>
        <v>0</v>
      </c>
      <c r="AIT20" s="75">
        <f t="array" ref="AIT20">INDEX('Port Linkages'!$R$18:$R$157,MATCH(2,1/(('Port Linkages'!$C$18:$C$157=$AQ20)*('Port Linkages'!$D$18:$D$157=IF($AO20="no",$AQ20,$KK20))*('Port Linkages'!$A$18:$A$157&lt;=$C20))))</f>
        <v>0</v>
      </c>
      <c r="AIU20" s="75">
        <f t="array" ref="AIU20">INDEX('Port Linkages'!$S$18:$S$157,MATCH(2,1/(('Port Linkages'!$C$18:$C$157=$AQ20)*('Port Linkages'!$D$18:$D$157=IF($AO20="no",$AQ20,$KK20))*('Port Linkages'!$A$18:$A$157&lt;=$C20))))</f>
        <v>0</v>
      </c>
      <c r="AIV20" s="75">
        <f t="array" ref="AIV20">INDEX('Port Linkages'!$T$18:$T$157,MATCH(2,1/(('Port Linkages'!$C$18:$C$157=$AQ20)*('Port Linkages'!$D$18:$D$157=IF($AO20="no",$AQ20,$KK20))*('Port Linkages'!$A$18:$A$157&lt;=$C20))))</f>
        <v>0</v>
      </c>
      <c r="AIW20" s="75">
        <f t="array" ref="AIW20">INDEX('Port Linkages'!$U$18:$U$157,MATCH(2,1/(('Port Linkages'!$C$18:$C$157=$AQ20)*('Port Linkages'!$D$18:$D$157=IF($AO20="no",$AQ20,$KK20))*('Port Linkages'!$A$18:$A$157&lt;=$C20))))</f>
        <v>0</v>
      </c>
      <c r="AIX20" s="75">
        <f t="array" ref="AIX20">INDEX('Port Linkages'!$V$18:$V$157,MATCH(2,1/(('Port Linkages'!$C$18:$C$157=$AQ20)*('Port Linkages'!$D$18:$D$157=IF($AO20="no",$AQ20,$KK20))*('Port Linkages'!$A$18:$A$157&lt;=$C20))))</f>
        <v>0</v>
      </c>
      <c r="AIY20" s="75">
        <f t="array" ref="AIY20">INDEX('Port Linkages'!$W$18:$W$157,MATCH(2,1/(('Port Linkages'!$C$18:$C$157=$AQ20)*('Port Linkages'!$D$18:$D$157=IF($AO20="no",$AQ20,$KK20))*('Port Linkages'!$A$18:$A$157&lt;=$C20))))</f>
        <v>0</v>
      </c>
      <c r="AIZ20" s="75">
        <f t="array" ref="AIZ20">INDEX('Port Linkages'!$X$18:$X$157,MATCH(2,1/(('Port Linkages'!$C$18:$C$157=$AQ20)*('Port Linkages'!$D$18:$D$157=IF($AO20="no",$AQ20,$KK20))*('Port Linkages'!$A$18:$A$157&lt;=$C20))))</f>
        <v>0</v>
      </c>
      <c r="AJA20" s="75">
        <f t="array" ref="AJA20">INDEX('Port Linkages'!$Y$18:$Y$157,MATCH(2,1/(('Port Linkages'!$C$18:$C$157=$AQ20)*('Port Linkages'!$D$18:$D$157=IF($AO20="no",$AQ20,$KK20))*('Port Linkages'!$A$18:$A$157&lt;=$C20))))</f>
        <v>0</v>
      </c>
      <c r="AJB20" s="75">
        <f t="array" ref="AJB20">INDEX('Port Linkages'!$Z$18:$Z$157,MATCH(2,1/(('Port Linkages'!$C$18:$C$157=$AQ20)*('Port Linkages'!$D$18:$D$157=IF($AO20="no",$AQ20,$KK20))*('Port Linkages'!$A$18:$A$157&lt;=$C20))))</f>
        <v>0</v>
      </c>
      <c r="AJC20" s="75">
        <f t="array" ref="AJC20">INDEX('Port Linkages'!$AA$18:$AA$157,MATCH(2,1/(('Port Linkages'!$C$18:$C$157=$AQ20)*('Port Linkages'!$D$18:$D$157=IF($AO20="no",$AQ20,$KK20))*('Port Linkages'!$A$18:$A$157&lt;=$C20))))</f>
        <v>0</v>
      </c>
      <c r="AJD20" s="75">
        <f t="array" ref="AJD20">INDEX('Port Linkages'!$AB$18:$AB$157,MATCH(2,1/(('Port Linkages'!$C$18:$C$157=$AQ20)*('Port Linkages'!$D$18:$D$157=IF($AO20="no",$AQ20,$KK20))*('Port Linkages'!$A$18:$A$157&lt;=$C20))))</f>
        <v>0</v>
      </c>
      <c r="AJE20" s="75">
        <f t="array" ref="AJE20">INDEX('Port Linkages'!$AC$18:$AC$157,MATCH(2,1/(('Port Linkages'!$C$18:$C$157=$AQ20)*('Port Linkages'!$D$18:$D$157=IF($AO20="no",$AQ20,$KK20))*('Port Linkages'!$A$18:$A$157&lt;=$C20))))</f>
        <v>0</v>
      </c>
      <c r="AJF20" s="75">
        <f t="array" ref="AJF20">INDEX('Port Linkages'!$AD$18:$AD$157,MATCH(2,1/(('Port Linkages'!$C$18:$C$157=$AQ20)*('Port Linkages'!$D$18:$D$157=IF($AO20="no",$AQ20,$KK20))*('Port Linkages'!$A$18:$A$157&lt;=$C20))))</f>
        <v>0</v>
      </c>
      <c r="AJG20" s="75">
        <f t="array" ref="AJG20">INDEX('Port Linkages'!$AE$18:$AE$157,MATCH(2,1/(('Port Linkages'!$C$18:$C$157=$AQ20)*('Port Linkages'!$D$18:$D$157=IF($AO20="no",$AQ20,$KK20))*('Port Linkages'!$A$18:$A$157&lt;=$C20))))</f>
        <v>0</v>
      </c>
      <c r="AJH20" s="75">
        <f t="array" ref="AJH20">INDEX('Port Linkages'!$AF$18:$AF$157,MATCH(2,1/(('Port Linkages'!$C$18:$C$157=$AQ20)*('Port Linkages'!$D$18:$D$157=IF($AO20="no",$AQ20,$KK20))*('Port Linkages'!$A$18:$A$157&lt;=$C20))))</f>
        <v>0</v>
      </c>
      <c r="AJI20" s="75">
        <f t="array" ref="AJI20">INDEX('Port Linkages'!$AG$18:$AG$157,MATCH(2,1/(('Port Linkages'!$C$18:$C$157=$AQ20)*('Port Linkages'!$D$18:$D$157=IF($AO20="no",$AQ20,$KK20))*('Port Linkages'!$A$18:$A$157&lt;=$C20))))</f>
        <v>0</v>
      </c>
      <c r="AJJ20" s="75">
        <f t="array" ref="AJJ20">INDEX('Port Linkages'!$AH$18:$AH$157,MATCH(2,1/(('Port Linkages'!$C$18:$C$157=$AQ20)*('Port Linkages'!$D$18:$D$157=IF($AO20="no",$AQ20,$KK20))*('Port Linkages'!$A$18:$A$157&lt;=$C20))))</f>
        <v>0</v>
      </c>
      <c r="AJK20" s="75">
        <f t="array" ref="AJK20">INDEX('Port Linkages'!$AI$18:$AI$157,MATCH(2,1/(('Port Linkages'!$C$18:$C$157=$AQ20)*('Port Linkages'!$D$18:$D$157=IF($AO20="no",$AQ20,$KK20))*('Port Linkages'!$A$18:$A$157&lt;=$C20))))</f>
        <v>0</v>
      </c>
      <c r="AJL20" s="75">
        <f t="array" ref="AJL20">INDEX('Port Linkages'!$AJ$18:$AJ$157,MATCH(2,1/(('Port Linkages'!$C$18:$C$157=$AQ20)*('Port Linkages'!$D$18:$D$157=IF($AO20="no",$AQ20,$KK20))*('Port Linkages'!$A$18:$A$157&lt;=$C20))))</f>
        <v>0</v>
      </c>
      <c r="AJM20" s="75">
        <f t="array" ref="AJM20">INDEX('Port Linkages'!$AK$18:$AK$157,MATCH(2,1/(('Port Linkages'!$C$18:$C$157=$AQ20)*('Port Linkages'!$D$18:$D$157=IF($AO20="no",$AQ20,$KK20))*('Port Linkages'!$A$18:$A$157&lt;=$C20))))</f>
        <v>0</v>
      </c>
      <c r="AJN20" s="75">
        <f t="array" ref="AJN20">INDEX('Port Linkages'!$AL$18:$AL$157,MATCH(2,1/(('Port Linkages'!$C$18:$C$157=$AQ20)*('Port Linkages'!$D$18:$D$157=IF($AO20="no",$AQ20,$KK20))*('Port Linkages'!$A$18:$A$157&lt;=$C20))))</f>
        <v>0</v>
      </c>
      <c r="AJO20" s="75">
        <f t="array" ref="AJO20">INDEX('Port Linkages'!$AM$18:$AM$157,MATCH(2,1/(('Port Linkages'!$C$18:$C$157=$AQ20)*('Port Linkages'!$D$18:$D$157=IF($AO20="no",$AQ20,$KK20))*('Port Linkages'!$A$18:$A$157&lt;=$C20))))</f>
        <v>0</v>
      </c>
      <c r="AJP20" s="75">
        <f t="array" ref="AJP20">INDEX('Port Linkages'!$AN$18:$AN$157,MATCH(2,1/(('Port Linkages'!$C$18:$C$157=$AQ20)*('Port Linkages'!$D$18:$D$157=IF($AO20="no",$AQ20,$KK20))*('Port Linkages'!$A$18:$A$157&lt;=$C20))))</f>
        <v>0</v>
      </c>
      <c r="AJQ20" s="75">
        <f t="array" ref="AJQ20">INDEX('Port Linkages'!$AO$18:$AO$157,MATCH(2,1/(('Port Linkages'!$C$18:$C$157=$AQ20)*('Port Linkages'!$D$18:$D$157=IF($AO20="no",$AQ20,$KK20))*('Port Linkages'!$A$18:$A$157&lt;=$C20))))</f>
        <v>0</v>
      </c>
      <c r="AJR20" s="75">
        <f t="array" ref="AJR20">INDEX('Port Linkages'!$AP$18:$AP$157,MATCH(2,1/(('Port Linkages'!$C$18:$C$157=$AQ20)*('Port Linkages'!$D$18:$D$157=IF($AO20="no",$AQ20,$KK20))*('Port Linkages'!$A$18:$A$157&lt;=$C20))))</f>
        <v>0</v>
      </c>
      <c r="AJS20" s="75">
        <f t="array" ref="AJS20">INDEX('Port Linkages'!$AQ$18:$AQ$157,MATCH(2,1/(('Port Linkages'!$C$18:$C$157=$AQ20)*('Port Linkages'!$D$18:$D$157=IF($AO20="no",$AQ20,$KK20))*('Port Linkages'!$A$18:$A$157&lt;=$C20))))</f>
        <v>0</v>
      </c>
      <c r="AJT20" s="75">
        <f t="array" ref="AJT20">INDEX('Port Linkages'!$AR$18:$AR$157,MATCH(2,1/(('Port Linkages'!$C$18:$C$157=$AQ20)*('Port Linkages'!$D$18:$D$157=IF($AO20="no",$AQ20,$KK20))*('Port Linkages'!$A$18:$A$157&lt;=$C20))))</f>
        <v>0</v>
      </c>
      <c r="AJU20" s="75">
        <f t="array" ref="AJU20">INDEX('Port Linkages'!$AS$18:$AS$157,MATCH(2,1/(('Port Linkages'!$C$18:$C$157=$AQ20)*('Port Linkages'!$D$18:$D$157=IF($AO20="no",$AQ20,$KK20))*('Port Linkages'!$A$18:$A$157&lt;=$C20))))</f>
        <v>0</v>
      </c>
      <c r="AJV20" s="75">
        <f t="array" ref="AJV20">INDEX('Port Linkages'!$AT$18:$AT$157,MATCH(2,1/(('Port Linkages'!$C$18:$C$157=$AQ20)*('Port Linkages'!$D$18:$D$157=IF($AO20="no",$AQ20,$KK20))*('Port Linkages'!$A$18:$A$157&lt;=$C20))))</f>
        <v>0</v>
      </c>
      <c r="AJW20" s="75">
        <f t="array" ref="AJW20">INDEX('Port Linkages'!$AU$18:$AU$157,MATCH(2,1/(('Port Linkages'!$C$18:$C$157=$AQ20)*('Port Linkages'!$D$18:$D$157=IF($AO20="no",$AQ20,$KK20))*('Port Linkages'!$A$18:$A$157&lt;=$C20))))</f>
        <v>0</v>
      </c>
      <c r="AJX20" s="75">
        <f t="array" ref="AJX20">INDEX('Port Linkages'!$AV$18:$AV$157,MATCH(2,1/(('Port Linkages'!$C$18:$C$157=$AQ20)*('Port Linkages'!$D$18:$D$157=IF($AO20="no",$AQ20,$KK20))*('Port Linkages'!$A$18:$A$157&lt;=$C20))))</f>
        <v>0</v>
      </c>
      <c r="AJY20" s="75">
        <f t="array" ref="AJY20">INDEX('Port Linkages'!$AW$18:$AW$157,MATCH(2,1/(('Port Linkages'!$C$18:$C$157=$AQ20)*('Port Linkages'!$D$18:$D$157=IF($AO20="no",$AQ20,$KK20))*('Port Linkages'!$A$18:$A$157&lt;=$C20))))</f>
        <v>0</v>
      </c>
      <c r="AJZ20" s="75">
        <f t="array" ref="AJZ20">INDEX('Port Linkages'!$AX$18:$AX$157,MATCH(2,1/(('Port Linkages'!$C$18:$C$157=$AQ20)*('Port Linkages'!$D$18:$D$157=IF($AO20="no",$AQ20,$KK20))*('Port Linkages'!$A$18:$A$157&lt;=$C20))))</f>
        <v>0</v>
      </c>
      <c r="AKA20" s="75">
        <f t="array" ref="AKA20">INDEX('Port Linkages'!$AY$18:$AY$157,MATCH(2,1/(('Port Linkages'!$C$18:$C$157=$AQ20)*('Port Linkages'!$D$18:$D$157=IF($AO20="no",$AQ20,$KK20))*('Port Linkages'!$A$18:$A$157&lt;=$C20))))</f>
        <v>0</v>
      </c>
      <c r="AKB20" s="75">
        <f t="array" ref="AKB20">INDEX('Port Linkages'!$AZ$18:$AZ$157,MATCH(2,1/(('Port Linkages'!$C$18:$C$157=$AQ20)*('Port Linkages'!$D$18:$D$157=IF($AO20="no",$AQ20,$KK20))*('Port Linkages'!$A$18:$A$157&lt;=$C20))))</f>
        <v>0</v>
      </c>
      <c r="AKC20" s="75">
        <f t="array" ref="AKC20">INDEX('Port Linkages'!$BA$18:$BA$157,MATCH(2,1/(('Port Linkages'!$C$18:$C$157=$AQ20)*('Port Linkages'!$D$18:$D$157=IF($AO20="no",$AQ20,$KK20))*('Port Linkages'!$A$18:$A$157&lt;=$C20))))</f>
        <v>0</v>
      </c>
      <c r="AKE20" s="25" t="e">
        <f t="array" aca="1" ref="AKE20" ca="1">INDEX('Ship Fuel Prices'!$F$5:$F$1004,MATCH(2,1/(('Ship Fuel Prices'!$E$5:$E$1004=_xlfn.IFS(AHT20="Handysize",Main!AJZ20,AHT20="Supramax",AJS20,AHT20="Panamax",AJL20,AHT20="NeoPanamax",AJE20,AHT20="Suezmax",AIX20,AHT20="Capesize",AIQ20,AHT20="VLOC",AIJ20))*('Ship Fuel Prices'!$D$5:$D$1004&lt;=Main!$C20))))</f>
        <v>#N/A</v>
      </c>
      <c r="AKF20" s="25" t="e">
        <f t="array" aca="1" ref="AKF20" ca="1">INDEX('Ship Fuel Prices'!$G$5:$G$1004,MATCH(2,1/(('Ship Fuel Prices'!$E$5:$E$1004=_xlfn.IFS(AHT20="Handysize",Main!AJZ20,AHT20="Supramax",AJS20,AHT20="Panamax",AJL20,AHT20="NeoPanamax",AJE20,AHT20="Suezmax",AIX20,AHT20="Capesize",AIQ20,AHT20="VLOC",AIJ20))*('Ship Fuel Prices'!$D$5:$D$1004&lt;=Main!$C20))))</f>
        <v>#N/A</v>
      </c>
      <c r="AKG20" s="25" t="e">
        <f t="array" aca="1" ref="AKG20" ca="1">INDEX('Ship Fuel Prices'!$H$5:$H$1004,MATCH(2,1/(('Ship Fuel Prices'!$E$5:$E$1004=_xlfn.IFS(AHT20="Handysize",Main!AJZ20,AHT20="Supramax",AJS20,AHT20="Panamax",AJL20,AHT20="NeoPanamax",AJE20,AHT20="Suezmax",AIX20,AHT20="Capesize",AIQ20,AHT20="VLOC",AIJ20))*('Ship Fuel Prices'!$D$5:$D$1004&lt;=Main!$C20))))</f>
        <v>#N/A</v>
      </c>
      <c r="AKH20" s="25" t="e">
        <f t="array" aca="1" ref="AKH20" ca="1">INDEX('Ship Fuel Prices'!$I$5:$I$1004,MATCH(2,1/(('Ship Fuel Prices'!$E$5:$E$1004=_xlfn.IFS(AHT20="Handysize",Main!AJZ20,AHT20="Supramax",AJS20,AHT20="Panamax",AJL20,AHT20="NeoPanamax",AJE20,AHT20="Suezmax",AIX20,AHT20="Capesize",AIQ20,AHT20="VLOC",AIJ20))*('Ship Fuel Prices'!$D$5:$D$1004&lt;=Main!$C20))))</f>
        <v>#N/A</v>
      </c>
      <c r="AKI20" s="25" t="e">
        <f t="array" aca="1" ref="AKI20" ca="1">INDEX('Ship Fuel Prices'!$J$5:$J$1004,MATCH(2,1/(('Ship Fuel Prices'!$E$5:$E$1004=_xlfn.IFS(AHT20="Handysize",Main!AJZ20,AHT20="Supramax",AJS20,AHT20="Panamax",AJL20,AHT20="NeoPanamax",AJE20,AHT20="Suezmax",AIX20,AHT20="Capesize",AIQ20,AHT20="VLOC",AIJ20))*('Ship Fuel Prices'!$D$5:$D$1004&lt;=Main!$C20))))</f>
        <v>#N/A</v>
      </c>
      <c r="AKK20" s="75">
        <f t="array" ref="AKK20">INDEX('China n Importing Ports'!$E$20:$E$41,MATCH(2,1/(('China n Importing Ports'!$D$20:$D$41&lt;=$C20)*('China n Importing Ports'!$C$20:$C$41=IF($AO20="No",$AQ20,$KK20)))))</f>
        <v>0</v>
      </c>
      <c r="AKL20" s="75">
        <f t="array" ref="AKL20">INDEX('China n Importing Ports'!$F$20:$F$41,MATCH(2,1/(('China n Importing Ports'!$D$20:$D$41&lt;=$C20)*('China n Importing Ports'!$C$20:$C$41=IF($AO20="No",$AQ20,$KK20)))))</f>
        <v>0</v>
      </c>
      <c r="AKM20" s="75">
        <f t="array" ref="AKM20">INDEX('China n Importing Ports'!$G$20:$G$41,MATCH(2,1/(('China n Importing Ports'!$D$20:$D$41&lt;=$C20)*('China n Importing Ports'!$C$20:$C$41=IF($AO20="No",$AQ20,$KK20)))))</f>
        <v>0</v>
      </c>
      <c r="AKN20" s="75">
        <f t="array" ref="AKN20">INDEX('China n Importing Ports'!$H$20:$H$41,MATCH(2,1/(('China n Importing Ports'!$D$20:$D$41&lt;=$C20)*('China n Importing Ports'!$C$20:$C$41=IF($AO20="No",$AQ20,$KK20)))))</f>
        <v>0</v>
      </c>
      <c r="AKO20" s="75">
        <f t="array" ref="AKO20">INDEX('China n Importing Ports'!$I$20:$I$41,MATCH(2,1/(('China n Importing Ports'!$D$20:$D$41&lt;=$C20)*('China n Importing Ports'!$C$20:$C$41=IF($AO20="No",$AQ20,$KK20)))))</f>
        <v>0</v>
      </c>
      <c r="AKP20" s="75">
        <f t="array" ref="AKP20">INDEX('China n Importing Ports'!$J$20:$J$41,MATCH(2,1/(('China n Importing Ports'!$D$20:$D$41&lt;=$C20)*('China n Importing Ports'!$C$20:$C$41=IF($AO20="No",$AQ20,$KK20)))))</f>
        <v>0</v>
      </c>
      <c r="AKQ20" s="75">
        <f t="array" ref="AKQ20">INDEX('China n Importing Ports'!$K$20:$K$41,MATCH(2,1/(('China n Importing Ports'!$D$20:$D$41&lt;=$C20)*('China n Importing Ports'!$C$20:$C$41=IF($AO20="No",$AQ20,$KK20)))))</f>
        <v>0</v>
      </c>
      <c r="AKR20" s="75">
        <f t="array" ref="AKR20">INDEX('China n Importing Ports'!$L$20:$L$41,MATCH(2,1/(('China n Importing Ports'!$D$20:$D$41&lt;=$C20)*('China n Importing Ports'!$C$20:$C$41=IF($AO20="No",$AQ20,$KK20)))))</f>
        <v>0</v>
      </c>
      <c r="AKS20" s="75">
        <f t="array" ref="AKS20">INDEX('China n Importing Ports'!$M$20:$M$41,MATCH(2,1/(('China n Importing Ports'!$D$20:$D$41&lt;=$C20)*('China n Importing Ports'!$C$20:$C$41=IF($AO20="No",$AQ20,$KK20)))))</f>
        <v>0</v>
      </c>
      <c r="AKT20" s="75">
        <f t="array" ref="AKT20">INDEX('China n Importing Ports'!$N$20:$N$41,MATCH(2,1/(('China n Importing Ports'!$D$20:$D$41&lt;=$C20)*('China n Importing Ports'!$C$20:$C$41=IF($AO20="No",$AQ20,$KK20)))))</f>
        <v>0</v>
      </c>
      <c r="AKU20" s="75">
        <f t="array" ref="AKU20">INDEX('China n Importing Ports'!$O$20:$O$41,MATCH(2,1/(('China n Importing Ports'!$D$20:$D$41&lt;=$C20)*('China n Importing Ports'!$C$20:$C$41=IF($AO20="No",$AQ20,$KK20)))))</f>
        <v>0</v>
      </c>
      <c r="AKV20" s="136">
        <f t="array" ref="AKV20">INDEX('China n Importing Ports'!$P$20:$P$41,MATCH(2,1/(('China n Importing Ports'!$D$20:$D$41&lt;=$C20)*('China n Importing Ports'!$C$20:$C$41=IF($AO20="No",$AQ20,$KK20)))))</f>
        <v>0</v>
      </c>
      <c r="AKW20" s="136">
        <f t="array" ref="AKW20">INDEX('China n Importing Ports'!$Q$20:$Q$41,MATCH(2,1/(('China n Importing Ports'!$D$20:$D$41&lt;=$C20)*('China n Importing Ports'!$C$20:$C$41=IF($AO20="No",$AQ20,$KK20)))))</f>
        <v>0</v>
      </c>
      <c r="AKX20" s="136">
        <f t="array" ref="AKX20">INDEX('China n Importing Ports'!$R$20:$R$41,MATCH(2,1/(('China n Importing Ports'!$D$20:$D$41&lt;=$C20)*('China n Importing Ports'!$C$20:$C$41=IF($AO20="No",$AQ20,$KK20)))))</f>
        <v>0</v>
      </c>
      <c r="AKY20" s="136">
        <f t="array" ref="AKY20">INDEX('China n Importing Ports'!$S$20:$S$41,MATCH(2,1/(('China n Importing Ports'!$D$20:$D$41&lt;=$C20)*('China n Importing Ports'!$C$20:$C$41=IF($AO20="No",$AQ20,$KK20)))))</f>
        <v>0</v>
      </c>
      <c r="AKZ20" s="136">
        <f t="array" ref="AKZ20">INDEX('China n Importing Ports'!$T$20:$T$41,MATCH(2,1/(('China n Importing Ports'!$D$20:$D$41&lt;=$C20)*('China n Importing Ports'!$C$20:$C$41=IF($AO20="No",$AQ20,$KK20)))))</f>
        <v>0</v>
      </c>
      <c r="ALA20" s="136">
        <f t="array" ref="ALA20">INDEX('China n Importing Ports'!$U$20:$U$41,MATCH(2,1/(('China n Importing Ports'!$D$20:$D$41&lt;=$C20)*('China n Importing Ports'!$C$20:$C$41=IF($AO20="No",$AQ20,$KK20)))))</f>
        <v>0</v>
      </c>
      <c r="ALB20" s="136">
        <f t="array" ref="ALB20">INDEX('China n Importing Ports'!$V$20:$V$41,MATCH(2,1/(('China n Importing Ports'!$D$20:$D$41&lt;=$C20)*('China n Importing Ports'!$C$20:$C$41=IF($AO20="No",$AQ20,$KK20)))))</f>
        <v>0</v>
      </c>
      <c r="ALC20" s="136">
        <f t="array" ref="ALC20">INDEX('China n Importing Ports'!$W$20:$W$41,MATCH(2,1/(('China n Importing Ports'!$D$20:$D$41&lt;=$C20)*('China n Importing Ports'!$C$20:$C$41=IF($AO20="No",$AQ20,$KK20)))))</f>
        <v>0</v>
      </c>
      <c r="ALD20" s="136">
        <f t="array" ref="ALD20">INDEX('China n Importing Ports'!$X$20:$X$41,MATCH(2,1/(('China n Importing Ports'!$D$20:$D$41&lt;=$C20)*('China n Importing Ports'!$C$20:$C$41=IF($AO20="No",$AQ20,$KK20)))))</f>
        <v>0</v>
      </c>
      <c r="ALE20" s="136">
        <f t="array" ref="ALE20">INDEX('China n Importing Ports'!$Y$20:$Y$41,MATCH(2,1/(('China n Importing Ports'!$D$20:$D$41&lt;=$C20)*('China n Importing Ports'!$C$20:$C$41=IF($AO20="No",$AQ20,$KK20)))))</f>
        <v>0</v>
      </c>
      <c r="ALF20" s="136">
        <f t="array" ref="ALF20">INDEX('China n Importing Ports'!$Z$20:$Z$41,MATCH(2,1/(('China n Importing Ports'!$D$20:$D$41&lt;=$C20)*('China n Importing Ports'!$C$20:$C$41=IF($AO20="No",$AQ20,$KK20)))))</f>
        <v>0</v>
      </c>
      <c r="ALG20" s="136">
        <f t="array" ref="ALG20">INDEX('China n Importing Ports'!$AA$20:$AA$41,MATCH(2,1/(('China n Importing Ports'!$D$20:$D$41&lt;=$C20)*('China n Importing Ports'!$C$20:$C$41=IF($AO20="No",$AQ20,$KK20)))))</f>
        <v>0</v>
      </c>
      <c r="ALI20" s="75" t="e">
        <f t="array" aca="1" ref="ALI20" ca="1">INDEX(Canals!$G$24:$G$29,MATCH(2,1/((Canals!$F$24:$F$29&lt;=$C20)*(Canals!$G$24:$G$29=_xlfn.IFS(AHT20="Handysize",AKC20,AHT20="Supramax",AJV20,AHT20="Panamax",AJO20,AHT20="NeoPanamax",AJH20,AHT20="Suezmax",AJA20,AHT20="Capesize",AIT20,AHT20="VLOC",AIM20)))))</f>
        <v>#N/A</v>
      </c>
      <c r="ALJ20" s="75" t="e">
        <f t="array" aca="1" ref="ALJ20" ca="1">INDEX(Canals!$H$24:$H$29,MATCH(2,1/((Canals!$F$24:$F$29&lt;=$C20)*(Canals!$G$24:$G$29=_xlfn.IFS(AHT20="Handysize",AKC20,AHT20="Supramax",AJV20,AHT20="Panamax",AJO20,AHT20="NeoPanamax",AJH20,AHT20="Suezmax",AJA20,AHT20="Capesize",AIT20,AHT20="VLOC",AIM20)))))</f>
        <v>#N/A</v>
      </c>
      <c r="ALK20" s="75" t="e">
        <f t="array" aca="1" ref="ALK20" ca="1">INDEX(Canals!$I$24:$I$29,MATCH(2,1/((Canals!$F$24:$F$29&lt;=$C20)*(Canals!$G$24:$G$29=_xlfn.IFS(AHT20="Handysize",AKC20,AHT20="Supramax",AJV20,AHT20="Panamax",AJO20,AHT20="NeoPanamax",AJH20,AHT20="Suezmax",AJA20,AHT20="Capesize",AIT20,AHT20="VLOC",AIM20)))))</f>
        <v>#N/A</v>
      </c>
      <c r="ALL20" s="75" t="e">
        <f t="array" aca="1" ref="ALL20" ca="1">INDEX(Canals!$J$24:$J$29,MATCH(2,1/((Canals!$F$24:$F$29&lt;=$C20)*(Canals!$G$24:$G$29=_xlfn.IFS(AHT20="Handysize",Main!AKC20,AHT20="Supramax",AJV20,AHT20="Panamax",AJO20,AHT20="NeoPanamax",AJH20,AHT20="Suezmax",AJA20,AHT20="Capesize",AIT20,AHT20="VLOC",AIM20)))))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M20" s="75" t="e">
        <f t="array" aca="1" ref="ALM20" ca="1">INDEX(Canals!$K$24:$K$29,MATCH(2,1/((Canals!$F$24:$F$29&lt;=$C20)*(Canals!$G$24:$G$29=_xlfn.IFS(AHT20="Handysize",Main!AKC20,AHT20="Supramax",AJV20,AHT20="Panamax",AJO20,AHT20="NeoPanamax",AJH20,AHT20="Suezmax",AJA20,AHT20="Capesize",AIT20,AHT20="VLOC",AIM20)))))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N20" s="75" t="e">
        <f t="array" aca="1" ref="ALN20" ca="1">INDEX(Canals!$L$24:$L$29,MATCH(2,1/((Canals!$F$24:$F$29&lt;=$C20)*(Canals!$G$24:$G$29=_xlfn.IFS(AHT20="Handysize",Main!AKC20,AHT20="Supramax",AJV20,AHT20="Panamax",AJO20,AHT20="NeoPanamax",AJH20,AHT20="Suezmax",AJA20,AHT20="Capesize",AIT20,AHT20="VLOC",AIM20)))))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O20" s="75" t="e">
        <f t="array" aca="1" ref="ALO20" ca="1">INDEX(Canals!$M$24:$M$29,MATCH(2,1/((Canals!$F$24:$F$29&lt;=$C20)*(Canals!$G$24:$G$29=_xlfn.IFS(AHT20="Handysize",Main!AKC20,AHT20="Supramax",AJV20,AHT20="Panamax",AJO20,AHT20="NeoPanamax",AJH20,AHT20="Suezmax",AJA20,AHT20="Capesize",AIT20,AHT20="VLOC",AIM20)))))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P20" s="75" t="e">
        <f t="array" aca="1" ref="ALP20" ca="1">INDEX(Canals!$N$24:$N$29,MATCH(2,1/((Canals!$F$24:$F$29&lt;=$C20)*(Canals!$G$24:$G$29=_xlfn.IFS(AHT20="Handysize",Main!AKC20,AHT20="Supramax",AJV20,AHT20="Panamax",AJO20,AHT20="NeoPanamax",AJH20,AHT20="Suezmax",AJA20,AHT20="Capesize",AIT20,AHT20="VLOC",AIM20)))))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Q20" s="75" t="e">
        <f t="array" aca="1" ref="ALQ20" ca="1">INDEX(Canals!$O$24:$O$29,MATCH(2,1/((Canals!$F$24:$F$29&lt;=$C20)*(Canals!$G$24:$G$29=_xlfn.IFS(AHT20="Handysize",Main!AKC20,AHT20="Supramax",AJV20,AHT20="Panamax",AJO20,AHT20="NeoPanamax",AJH20,AHT20="Suezmax",AJA20,AHT20="Capesize",AIT20,AHT20="VLOC",AIM20)))))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R20" s="75" t="e">
        <f t="array" aca="1" ref="ALR20" ca="1">INDEX(Canals!$P$24:$P$29,MATCH(2,1/((Canals!$F$24:$F$29&lt;=$C20)*(Canals!$G$24:$G$29=_xlfn.IFS(AHT20="Handysize",Main!AKC20,AHT20="Supramax",AJV20,AHT20="Panamax",AJO20,AHT20="NeoPanamax",AJH20,AHT20="Suezmax",AJA20,AHT20="Capesize",AIT20,AHT20="VLOC",AIM20)))))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S20" s="75" t="e">
        <f t="array" aca="1" ref="ALS20" ca="1">INDEX(Canals!$Q$24:$Q$29,MATCH(2,1/((Canals!$F$24:$F$29&lt;=$C20)*(Canals!$G$24:$G$29=_xlfn.IFS(AHT20="Handysize",Main!AKC20,AHT20="Supramax",AJV20,AHT20="Panamax",AJO20,AHT20="NeoPanamax",AJH20,AHT20="Suezmax",AJA20,AHT20="Capesize",AIT20,AHT20="VLOC",AIM20)))))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T20" s="75" t="e">
        <f t="array" aca="1" ref="ALT20" ca="1">INDEX(Canals!$R$24:$R$29,MATCH(2,1/((Canals!$F$24:$F$29&lt;=$C20)*(Canals!$G$24:$G$29=_xlfn.IFS(AHT20="Handysize",Main!AKC20,AHT20="Supramax",AJV20,AHT20="Panamax",AJO20,AHT20="NeoPanamax",AJH20,AHT20="Suezmax",AJA20,AHT20="Capesize",AIT20,AHT20="VLOC",AIM20)))))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U20" s="136" t="e">
        <f t="array" aca="1" ref="ALU20" ca="1">INDEX(Canals!$S$24:$S$29,MATCH(2,1/((Canals!$F$24:$F$29&lt;=$C20)*(Canals!$G$24:$G$29=_xlfn.IFS(AHT20="Handysize",Main!AKC20,AHT20="Supramax",AJV20,AHT20="Panamax",AJO20,AHT20="NeoPanamax",AJH20,AHT20="Suezmax",AJA20,AHT20="Capesize",AIT20,AHT20="VLOC",AIM20)))))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V20" s="136" t="e">
        <f t="array" aca="1" ref="ALV20" ca="1">INDEX(Canals!$T$24:$T$29,MATCH(2,1/((Canals!$F$24:$F$29&lt;=$C20)*(Canals!$G$24:$G$29=_xlfn.IFS(AHT20="Handysize",Main!AKC20,AHT20="Supramax",AJV20,AHT20="Panamax",AJO20,AHT20="NeoPanamax",AJH20,AHT20="Suezmax",AJA20,AHT20="Capesize",AIT20,AHT20="VLOC",AIM20)))))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W20" s="136" t="e">
        <f t="array" aca="1" ref="ALW20" ca="1">INDEX(Canals!$U$24:$U$29,MATCH(2,1/((Canals!$F$24:$F$29&lt;=$C20)*(Canals!$G$24:$G$29=_xlfn.IFS(AHT20="Handysize",Main!AKC20,AHT20="Supramax",AJV20,AHT20="Panamax",AJO20,AHT20="NeoPanamax",AJH20,AHT20="Suezmax",AJA20,AHT20="Capesize",AIT20,AHT20="VLOC",AIM20)))))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X20" s="136" t="e">
        <f t="array" aca="1" ref="ALX20" ca="1">INDEX(Canals!$V$24:$V$29,MATCH(2,1/((Canals!$F$24:$F$29&lt;=$C20)*(Canals!$G$24:$G$29=_xlfn.IFS(AHT20="Handysize",Main!AKC20,AHT20="Supramax",AJV20,AHT20="Panamax",AJO20,AHT20="NeoPanamax",AJH20,AHT20="Suezmax",AJA20,AHT20="Capesize",AIT20,AHT20="VLOC",AIM20)))))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Y20" s="136" t="e">
        <f t="array" aca="1" ref="ALY20" ca="1">INDEX(Canals!$W$24:$W$29,MATCH(2,1/((Canals!$F$24:$F$29&lt;=$C20)*(Canals!$G$24:$G$29=_xlfn.IFS(AHT20="Handysize",Main!AKC20,AHT20="Supramax",AJV20,AHT20="Panamax",AJO20,AHT20="NeoPanamax",AJH20,AHT20="Suezmax",AJA20,AHT20="Capesize",AIT20,AHT20="VLOC",AIM20)))))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LZ20" s="136" t="e">
        <f t="array" aca="1" ref="ALZ20" ca="1">INDEX(Canals!$X$24:$X$29,MATCH(2,1/((Canals!$F$24:$F$29&lt;=$C20)*(Canals!$G$24:$G$29=_xlfn.IFS(AHT20="Handysize",Main!AKC20,AHT20="Supramax",AJV20,AHT20="Panamax",AJO20,AHT20="NeoPanamax",AJH20,AHT20="Suezmax",AJA20,AHT20="Capesize",AIT20,AHT20="VLOC",AIM20)))))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A20" s="136" t="e">
        <f t="array" aca="1" ref="AMA20" ca="1">INDEX(Canals!$Y$24:$Y$29,MATCH(2,1/((Canals!$F$24:$F$29&lt;=$C20)*(Canals!$G$24:$G$29=_xlfn.IFS(AHT20="Handysize",Main!AKC20,AHT20="Supramax",AJV20,AHT20="Panamax",AJO20,AHT20="NeoPanamax",AJH20,AHT20="Suezmax",AJA20,AHT20="Capesize",AIT20,AHT20="VLOC",AIM20)))))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B20" s="136" t="e">
        <f t="array" aca="1" ref="AMB20" ca="1">INDEX(Canals!$Z$24:$Z$29,MATCH(2,1/((Canals!$F$24:$F$29&lt;=$C20)*(Canals!$G$24:$G$29=_xlfn.IFS(AHT20="Handysize",Main!AKC20,AHT20="Supramax",AJV20,AHT20="Panamax",AJO20,AHT20="NeoPanamax",AJH20,AHT20="Suezmax",AJA20,AHT20="Capesize",AIT20,AHT20="VLOC",AIM20)))))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C20" s="136" t="e">
        <f t="array" aca="1" ref="AMC20" ca="1">INDEX(Canals!$AA$24:$AA$29,MATCH(2,1/((Canals!$F$24:$F$29&lt;=$C20)*(Canals!$G$24:$G$29=_xlfn.IFS(AHT20="Handysize",Main!AKC20,AHT20="Supramax",AJV20,AHT20="Panamax",AJO20,AHT20="NeoPanamax",AJH20,AHT20="Suezmax",AJA20,AHT20="Capesize",AIT20,AHT20="VLOC",AIM20)))))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D20" s="136" t="e">
        <f t="array" aca="1" ref="AMD20" ca="1">INDEX(Canals!$AB$24:$AB$29,MATCH(2,1/((Canals!$F$24:$F$29&lt;=$C20)*(Canals!$G$24:$G$29=_xlfn.IFS(AHT20="Handysize",Main!AKC20,AHT20="Supramax",AJV20,AHT20="Panamax",AJO20,AHT20="NeoPanamax",AJH20,AHT20="Suezmax",AJA20,AHT20="Capesize",AIT20,AHT20="VLOC",AIM20)))))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E20" s="75" t="e">
        <f t="array" aca="1" ref="AME20" ca="1">INDEX(Canals!$AC$24:$AC$29,MATCH(2,1/((Canals!$F$24:$F$29&lt;=$C20)*(Canals!$G$24:$G$29=_xlfn.IFS(AHT20="Handysize",Main!AKC20,AHT20="Supramax",AJV20,AHT20="Panamax",AJO20,AHT20="NeoPanamax",AJH20,AHT20="Suezmax",AJA20,AHT20="Capesize",AIT20,AHT20="VLOC",AIM20)))))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F20" s="75" t="e">
        <f t="array" aca="1" ref="AMF20" ca="1">INDEX(Canals!$AD$24:$AD$29,MATCH(2,1/((Canals!$F$24:$F$29&lt;=$C20)*(Canals!$G$24:$G$29=_xlfn.IFS(AHT20="Handysize",Main!AKC20,AHT20="Supramax",AJV20,AHT20="Panamax",AJO20,AHT20="NeoPanamax",AJH20,AHT20="Suezmax",AJA20,AHT20="Capesize",AIT20,AHT20="VLOC",AIM20)))))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G20" s="75" t="e">
        <f t="array" aca="1" ref="AMG20" ca="1">INDEX(Canals!$AE$24:$AE$29,MATCH(2,1/((Canals!$F$24:$F$29&lt;=$C20)*(Canals!$G$24:$G$29=_xlfn.IFS(AHT20="Handysize",Main!AKC20,AHT20="Supramax",AJV20,AHT20="Panamax",AJO20,AHT20="NeoPanamax",AJH20,AHT20="Suezmax",AJA20,AHT20="Capesize",AIT20,AHT20="VLOC",AIM20)))))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H20" s="75" t="e">
        <f t="array" aca="1" ref="AMH20" ca="1">INDEX(Canals!$AF$24:$AF$29,MATCH(2,1/((Canals!$F$24:$F$29&lt;=$C20)*(Canals!$G$24:$G$29=_xlfn.IFS(AHT20="Handysize",Main!AKC20,AHT20="Supramax",AJV20,AHT20="Panamax",AJO20,AHT20="NeoPanamax",AJH20,AHT20="Suezmax",AJA20,AHT20="Capesize",AIT20,AHT20="VLOC",AIM20)))))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I20" s="75" t="e">
        <f t="array" aca="1" ref="AMI20" ca="1">INDEX(Canals!$AG$24:$AG$29,MATCH(2,1/((Canals!$F$24:$F$29&lt;=$C20)*(Canals!$G$24:$G$29=_xlfn.IFS(AHT20="Handysize",Main!AKC20,AHT20="Supramax",AJV20,AHT20="Panamax",AJO20,AHT20="NeoPanamax",AJH20,AHT20="Suezmax",AJA20,AHT20="Capesize",AIT20,AHT20="VLOC",AIM20)))))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J20" s="75" t="e">
        <f t="array" aca="1" ref="AMJ20" ca="1">INDEX(Canals!$AH$24:$AH$29,MATCH(2,1/((Canals!$F$24:$F$29&lt;=$C20)*(Canals!$G$24:$G$29=_xlfn.IFS(AHT20="Handysize",Main!AKC20,AHT20="Supramax",AJV20,AHT20="Panamax",AJO20,AHT20="NeoPanamax",AJH20,AHT20="Suezmax",AJA20,AHT20="Capesize",AIT20,AHT20="VLOC",AIM20)))))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K20" s="75" t="e">
        <f t="array" aca="1" ref="AMK20" ca="1">INDEX(Canals!$AI$24:$AI$29,MATCH(2,1/((Canals!$F$24:$F$29&lt;=$C20)*(Canals!$G$24:$G$29=_xlfn.IFS(AHT20="Handysize",Main!AKC20,AHT20="Supramax",AJV20,AHT20="Panamax",AJO20,AHT20="NeoPanamax",AJH20,AHT20="Suezmax",AJA20,AHT20="Capesize",AIT20,AHT20="VLOC",AIM20)))))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L20" s="75" t="e">
        <f t="array" aca="1" ref="AML20" ca="1">INDEX(Canals!$AJ$24:$AJ$29,MATCH(2,1/((Canals!$F$24:$F$29&lt;=$C20)*(Canals!$G$24:$G$29=_xlfn.IFS(AHT20="Handysize",Main!AKC20,AHT20="Supramax",AJV20,AHT20="Panamax",AJO20,AHT20="NeoPanamax",AJH20,AHT20="Suezmax",AJA20,AHT20="Capesize",AIT20,AHT20="VLOC",AIM20)))))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M20" s="75" t="e">
        <f t="array" aca="1" ref="AMM20" ca="1">INDEX(Canals!$AK$24:$AK$29,MATCH(2,1/((Canals!$F$24:$F$29&lt;=$C20)*(Canals!$G$24:$G$29=_xlfn.IFS(AHT20="Handysize",Main!AKC20,AHT20="Supramax",AJV20,AHT20="Panamax",AJO20,AHT20="NeoPanamax",AJH20,AHT20="Suezmax",AJA20,AHT20="Capesize",AIT20,AHT20="VLOC",AIM20)))))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N20" s="136" t="e">
        <f t="array" aca="1" ref="AMN20" ca="1">INDEX(Canals!$AL$24:$AL$29,MATCH(2,1/((Canals!$F$24:$F$29&lt;=$C20)*(Canals!$G$24:$G$29=_xlfn.IFS(AHT20="Handysize",Main!AKC20,AHT20="Supramax",AJV20,AHT20="Panamax",AJO20,AHT20="NeoPanamax",AJH20,AHT20="Suezmax",AJA20,AHT20="Capesize",AIT20,AHT20="VLOC",AIM20)))))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O20" s="136" t="e">
        <f t="array" aca="1" ref="AMO20" ca="1">INDEX(Canals!$AM$24:$AM$29,MATCH(2,1/((Canals!$F$24:$F$29&lt;=$C20)*(Canals!$G$24:$G$29=_xlfn.IFS(AHT20="Handysize",Main!AKC20,AHT20="Supramax",AJV20,AHT20="Panamax",AJO20,AHT20="NeoPanamax",AJH20,AHT20="Suezmax",AJA20,AHT20="Capesize",AIT20,AHT20="VLOC",AIM20)))))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P20" s="136" t="e">
        <f t="array" aca="1" ref="AMP20" ca="1">INDEX(Canals!$AN$24:$AN$29,MATCH(2,1/((Canals!$F$24:$F$29&lt;=$C20)*(Canals!$G$24:$G$29=_xlfn.IFS(AHT20="Handysize",Main!AKC20,AHT20="Supramax",AJV20,AHT20="Panamax",AJO20,AHT20="NeoPanamax",AJH20,AHT20="Suezmax",AJA20,AHT20="Capesize",AIT20,AHT20="VLOC",AIM20)))))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Q20" s="136" t="e">
        <f t="array" aca="1" ref="AMQ20" ca="1">INDEX(Canals!$AO$24:$AO$29,MATCH(2,1/((Canals!$F$24:$F$29&lt;=$C20)*(Canals!$G$24:$G$29=_xlfn.IFS(AHT20="Handysize",Main!AKC20,AHT20="Supramax",AJV20,AHT20="Panamax",AJO20,AHT20="NeoPanamax",AJH20,AHT20="Suezmax",AJA20,AHT20="Capesize",AIT20,AHT20="VLOC",AIM20)))))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R20" s="136" t="e">
        <f t="array" aca="1" ref="AMR20" ca="1">INDEX(Canals!$AP$24:$AP$29,MATCH(2,1/((Canals!$F$24:$F$29&lt;=$C20)*(Canals!$G$24:$G$29=_xlfn.IFS(AHT20="Handysize",Main!AKC20,AHT20="Supramax",AJV20,AHT20="Panamax",AJO20,AHT20="NeoPanamax",AJH20,AHT20="Suezmax",AJA20,AHT20="Capesize",AIT20,AHT20="VLOC",AIM20)))))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S20" s="136" t="e">
        <f t="array" aca="1" ref="AMS20" ca="1">INDEX(Canals!$AQ$24:$AQ$29,MATCH(2,1/((Canals!$F$24:$F$29&lt;=$C20)*(Canals!$G$24:$G$29=_xlfn.IFS(AHT20="Handysize",Main!AKC20,AHT20="Supramax",AJV20,AHT20="Panamax",AJO20,AHT20="NeoPanamax",AJH20,AHT20="Suezmax",AJA20,AHT20="Capesize",AIT20,AHT20="VLOC",AIM20)))))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T20" s="136" t="e">
        <f t="array" aca="1" ref="AMT20" ca="1">INDEX(Canals!$AR$24:$AR$29,MATCH(2,1/((Canals!$F$24:$F$29&lt;=$C20)*(Canals!$G$24:$G$29=_xlfn.IFS(AHT20="Handysize",Main!AKC20,AHT20="Supramax",AJV20,AHT20="Panamax",AJO20,AHT20="NeoPanamax",AJH20,AHT20="Suezmax",AJA20,AHT20="Capesize",AIT20,AHT20="VLOC",AIM20)))))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U20" s="136" t="e">
        <f t="array" aca="1" ref="AMU20" ca="1">INDEX(Canals!$AS$24:$AS$29,MATCH(2,1/((Canals!$F$24:$F$29&lt;=$C20)*(Canals!$G$24:$G$29=_xlfn.IFS(AHT20="Handysize",Main!AKC20,AHT20="Supramax",AJV20,AHT20="Panamax",AJO20,AHT20="NeoPanamax",AJH20,AHT20="Suezmax",AJA20,AHT20="Capesize",AIT20,AHT20="VLOC",AIM20)))))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V20" s="136" t="e">
        <f t="array" aca="1" ref="AMV20" ca="1">INDEX(Canals!$AT$24:$AT$29,MATCH(2,1/((Canals!$F$24:$F$29&lt;=$C20)*(Canals!$G$24:$G$29=_xlfn.IFS(AHT20="Handysize",Main!AKC20,AHT20="Supramax",AJV20,AHT20="Panamax",AJO20,AHT20="NeoPanamax",AJH20,AHT20="Suezmax",AJA20,AHT20="Capesize",AIT20,AHT20="VLOC",AIM20)))))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W20" s="136" t="e">
        <f t="array" aca="1" ref="AMW20" ca="1">INDEX(Canals!$AU$24:$AU$29,MATCH(2,1/((Canals!$F$24:$F$29&lt;=$C20)*(Canals!$G$24:$G$29=_xlfn.IFS(AHT20="Handysize",Main!AKC20,AHT20="Supramax",AJV20,AHT20="Panamax",AJO20,AHT20="NeoPanamax",AJH20,AHT20="Suezmax",AJA20,AHT20="Capesize",AIT20,AHT20="VLOC",AIM20)))))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X20" s="136" t="e">
        <f t="array" aca="1" ref="AMX20" ca="1">INDEX(Canals!$AV$24:$AV$29,MATCH(2,1/((Canals!$F$24:$F$29&lt;=$C20)*(Canals!$G$24:$G$29=_xlfn.IFS(AHT20="Handysize",Main!AKC20,AHT20="Supramax",AJV20,AHT20="Panamax",AJO20,AHT20="NeoPanamax",AJH20,AHT20="Suezmax",AJA20,AHT20="Capesize",AIT20,AHT20="VLOC",AIM20)))))</f>
        <v>#N/A</v>
      </c>
      <c r="AMZ20" s="75" t="e">
        <f t="array" aca="1" ref="AMZ20" ca="1">_xlfn.IFS(ALK20="DWT",AHR20,ALK20="NRT",AHV20,ALK20="GRT",AHW20,ALK20=0,0)</f>
        <v>#NAME?</v>
      </c>
      <c r="ANA20" s="279" t="e">
        <f t="shared" ca="1" si="227"/>
        <v>#NAME?</v>
      </c>
      <c r="ANB20" s="280" t="e">
        <f t="shared" ca="1" si="228"/>
        <v>#NAME?</v>
      </c>
      <c r="ANC20" s="280" t="e">
        <f t="shared" ca="1" si="229"/>
        <v>#NAME?</v>
      </c>
      <c r="AND20" s="280" t="e">
        <f t="shared" ca="1" si="230"/>
        <v>#NAME?</v>
      </c>
      <c r="ANE20" s="280" t="e">
        <f t="shared" ca="1" si="231"/>
        <v>#NAME?</v>
      </c>
      <c r="ANF20" s="280" t="e">
        <f t="shared" ca="1" si="232"/>
        <v>#NAME?</v>
      </c>
      <c r="ANG20" s="280" t="e">
        <f t="shared" ca="1" si="233"/>
        <v>#NAME?</v>
      </c>
      <c r="ANH20" s="280" t="e">
        <f t="shared" ca="1" si="234"/>
        <v>#NAME?</v>
      </c>
      <c r="ANI20" s="280" t="e">
        <f t="shared" ca="1" si="235"/>
        <v>#NAME?</v>
      </c>
      <c r="ANJ20" s="75">
        <f t="shared" si="236"/>
        <v>0</v>
      </c>
      <c r="ANK20" s="279" t="e">
        <f t="shared" ca="1" si="237"/>
        <v>#N/A</v>
      </c>
      <c r="ANL20" s="280" t="e">
        <f t="shared" ca="1" si="238"/>
        <v>#N/A</v>
      </c>
      <c r="ANM20" s="280" t="e">
        <f t="shared" ca="1" si="239"/>
        <v>#N/A</v>
      </c>
      <c r="ANN20" s="280" t="e">
        <f t="shared" ca="1" si="240"/>
        <v>#N/A</v>
      </c>
      <c r="ANO20" s="280" t="e">
        <f t="shared" ca="1" si="241"/>
        <v>#N/A</v>
      </c>
      <c r="ANP20" s="280" t="e">
        <f t="shared" ca="1" si="242"/>
        <v>#N/A</v>
      </c>
      <c r="ANQ20" s="280" t="e">
        <f t="shared" ca="1" si="243"/>
        <v>#N/A</v>
      </c>
      <c r="ANR20" s="280" t="e">
        <f t="shared" ca="1" si="244"/>
        <v>#N/A</v>
      </c>
      <c r="ANS20" s="280" t="e">
        <f t="shared" ca="1" si="245"/>
        <v>#N/A</v>
      </c>
      <c r="ANU20" s="75" t="e">
        <f t="array" aca="1" ref="ANU20" ca="1">_xlfn.IFS(AHT20="Handysize",Main!AJW20,AHT20="Supramax",AJP20,AHT20="Panamax",AJI20,AHT20="NeoPanamax",AJB20,AHT20="Suezmax",AIU20,AHT20="Capesize",AIN20,AHT20="VLOC",AIG20)*$JI20</f>
        <v>#NAME?</v>
      </c>
      <c r="ANV20" s="274" t="e">
        <f t="array" aca="1" ref="ANV20" ca="1">_xlfn.IFS(AHT20="Handysize",Main!AJX20,AHT20="Supramax",AJQ20,AHT20="Panamax",AJJ20,AHT20="NeoPanamax",AJC20,AHT20="Suezmax",AIV20,AHT20="Capesize",AIO20,AHT20="VLOC",AIH20)*$JI20</f>
        <v>#NAME?</v>
      </c>
      <c r="ANW20" s="71" t="e">
        <f t="array" aca="1" ref="ANW20" ca="1">_xlfn.IFS(AHT20="Handysize",Main!AHY20,AHT20="Supramax",AHZ20,AHT20="Panamax",AIA20,AHT20="NeoPanamax",AIB20,AHT20="Suezmax",AIC20,AHT20="Capesize",AID20,AHT20="VLOC",AIE20)</f>
        <v>#NAME?</v>
      </c>
      <c r="ANX20" s="71" t="e">
        <f t="array" aca="1" ref="ANX20" ca="1">_xlfn.IFS(AHT20="Handysize",Main!AKK20,AHT20="Supramax",AKL20,AHT20="Panamax",AKM20,AHT20="NeoPanamax",AKN20,AHT20="Suezmax",AKO20,AHT20="Capesize",AKP20,AHT20="VLOC",AKQ20)</f>
        <v>#NAME?</v>
      </c>
      <c r="ANY20" s="70">
        <f t="array" ref="ANY20">INDEX('Ship Speeds'!$G$11:$G$1011,MATCH(2,1/(('Ship Speeds'!$E$11:$E$1011&lt;=Main!$C20)*('Ship Speeds'!$F$11:$F$1011=Main!AHS20))))</f>
        <v>11</v>
      </c>
      <c r="ANZ20" s="403">
        <f t="shared" si="246"/>
        <v>0</v>
      </c>
      <c r="AOA20" s="401">
        <f t="shared" si="247"/>
        <v>1.2</v>
      </c>
      <c r="AOB20" s="70" t="e">
        <f t="shared" ca="1" si="248"/>
        <v>#NAME?</v>
      </c>
      <c r="AOC20" s="70" t="e">
        <f t="shared" ca="1" si="249"/>
        <v>#NAME?</v>
      </c>
      <c r="AOD20" s="70" t="e">
        <f t="shared" ca="1" si="250"/>
        <v>#NAME?</v>
      </c>
      <c r="AOE20" s="70" t="e">
        <f t="shared" ca="1" si="251"/>
        <v>#NAME?</v>
      </c>
      <c r="AOF20" s="72" t="e">
        <f t="shared" ca="1" si="252"/>
        <v>#N/A</v>
      </c>
      <c r="AOG20" s="70" t="e">
        <f t="shared" ca="1" si="253"/>
        <v>#NAME?</v>
      </c>
      <c r="AOH20" s="70" t="e">
        <f t="array" aca="1" ref="AOH20" ca="1">IF(ANU20=0,0,INDEX(AKE20:AKI20,MATCH(_xlfn.IFS(AHT20="Handysize",Main!AKA20,AHT20="Supramax",AJT20,AHT20="Panamax",AJM20,AHT20="NeoPanamax",AJF20,AHT20="Suezmax",AIY20,AHT20="Capesize",AIR20,AHT20="VLOC",AIK20),$AKE$7:$AKI$7,0)))</f>
        <v>#NAME?</v>
      </c>
      <c r="AOI20" s="70" t="e">
        <f t="array" aca="1" ref="AOI20" ca="1">IF(ANU20=0,0,INDEX(AKE20:AKI20,MATCH(_xlfn.IFS(AHT20="Handysize",Main!AKB20,AHT20="Supramax",AJU20,AHT20="Panamax",AJN20,AHT20="NeoPanamax",AJG20,AHT20="Suezmax",AIZ20,AHT20="Capesize",AIS20,AHT20="VLOC",AIL20),$AKE$7:$AKI$7,0)))</f>
        <v>#NAME?</v>
      </c>
      <c r="AOJ20" s="71" t="e">
        <f t="shared" ca="1" si="254"/>
        <v>#NAME?</v>
      </c>
      <c r="AOK20" s="71" t="e">
        <f t="shared" ca="1" si="255"/>
        <v>#NAME?</v>
      </c>
      <c r="AOL20" s="281" t="e">
        <f t="shared" ca="1" si="256"/>
        <v>#NAME?</v>
      </c>
      <c r="AOM20" s="71" t="e">
        <f t="shared" ca="1" si="257"/>
        <v>#NAME?</v>
      </c>
      <c r="AON20" s="71" t="e">
        <f t="shared" ca="1" si="258"/>
        <v>#NAME?</v>
      </c>
      <c r="AOO20" s="71" t="e">
        <f t="shared" ca="1" si="259"/>
        <v>#NAME?</v>
      </c>
      <c r="AOP20" s="71" t="e">
        <f t="shared" ca="1" si="260"/>
        <v>#NAME?</v>
      </c>
      <c r="AOQ20" s="71" t="e">
        <f t="shared" ca="1" si="261"/>
        <v>#NAME?</v>
      </c>
      <c r="AOR20" s="71" t="e">
        <f t="shared" ca="1" si="262"/>
        <v>#NAME?</v>
      </c>
      <c r="AOS20" s="71" t="e">
        <f t="shared" ca="1" si="263"/>
        <v>#NAME?</v>
      </c>
      <c r="AOT20" s="71" t="e">
        <f t="shared" ca="1" si="264"/>
        <v>#NAME?</v>
      </c>
      <c r="AOU20" s="71" t="e">
        <f t="shared" ca="1" si="265"/>
        <v>#NAME?</v>
      </c>
      <c r="AOV20" s="71" t="e">
        <f t="shared" ca="1" si="266"/>
        <v>#NAME?</v>
      </c>
      <c r="AOW20" s="71" t="e">
        <f t="shared" ca="1" si="267"/>
        <v>#NAME?</v>
      </c>
      <c r="AOX20" s="71" t="e">
        <f t="shared" ca="1" si="268"/>
        <v>#NAME?</v>
      </c>
      <c r="AOY20" s="72" t="e">
        <f t="shared" ca="1" si="269"/>
        <v>#NAME?</v>
      </c>
      <c r="AOZ20" s="72" t="e">
        <f t="shared" ca="1" si="270"/>
        <v>#NAME?</v>
      </c>
      <c r="APA20" s="71" t="e">
        <f t="shared" ca="1" si="271"/>
        <v>#NAME?</v>
      </c>
      <c r="APB20" s="71" t="e">
        <f t="array" aca="1" ref="APB20" ca="1">IF(ANU20=0,0,INDEX('Ship Time Charter Rates'!$H$22:$H$1021,MATCH(2,1/(('Ship Time Charter Rates'!$G$22:$G$1021=_xlfn.IFS(AHT20="Handysize",Main!AJY20,AHT20="Supramax",AJR20,AHT20="Panamax",AJK20,AHT20="NeoPanamax",AJD20,AHT20="Suezmax",AIW20,AHT20="Capesize",AIP20,AHT20="VLOC",AII20))*('Ship Time Charter Rates'!$E$22:$E$1021&lt;=Main!$C20)*(NOT(ISBLANK('Ship Time Charter Rates'!$H$22:$H$1021)))))))</f>
        <v>#NAME?</v>
      </c>
      <c r="APC20" s="71" t="e">
        <f t="shared" ca="1" si="272"/>
        <v>#NAME?</v>
      </c>
      <c r="APD20" s="70" t="e">
        <f t="shared" ca="1" si="273"/>
        <v>#NAME?</v>
      </c>
      <c r="APE20" s="71" t="e">
        <f t="shared" ca="1" si="274"/>
        <v>#NAME?</v>
      </c>
      <c r="APF20" s="71" t="e">
        <f t="shared" ca="1" si="308"/>
        <v>#NAME?</v>
      </c>
      <c r="APG20" s="72" t="e">
        <f t="shared" ca="1" si="309"/>
        <v>#NAME?</v>
      </c>
      <c r="API20" s="287" t="s">
        <v>39</v>
      </c>
      <c r="APK20" s="289" t="e">
        <f t="shared" ca="1" si="275"/>
        <v>#NAME?</v>
      </c>
      <c r="APL20" s="289" t="e">
        <f t="shared" ca="1" si="276"/>
        <v>#NAME?</v>
      </c>
      <c r="APM20" s="289" t="e">
        <f t="shared" ca="1" si="277"/>
        <v>#NAME?</v>
      </c>
      <c r="APO20" s="287" t="s">
        <v>39</v>
      </c>
    </row>
    <row r="21" spans="2:1107">
      <c r="C21" s="5">
        <v>43923</v>
      </c>
      <c r="D21" s="7" t="s">
        <v>20</v>
      </c>
      <c r="E21" s="86" t="s">
        <v>440</v>
      </c>
      <c r="F21" s="6">
        <v>50</v>
      </c>
      <c r="G21" s="1" t="s">
        <v>185</v>
      </c>
      <c r="H21" s="1" t="s">
        <v>5</v>
      </c>
      <c r="I21" s="15"/>
      <c r="J21" s="15"/>
      <c r="K21" s="15"/>
      <c r="L21" s="15"/>
      <c r="M21" s="15"/>
      <c r="N21" s="15"/>
      <c r="O21" s="15"/>
      <c r="P21" s="8"/>
      <c r="Q21" s="98"/>
      <c r="R21" s="7" t="s">
        <v>95</v>
      </c>
      <c r="T21" s="287" t="s">
        <v>39</v>
      </c>
      <c r="V21" s="4"/>
      <c r="W21" s="16" t="str">
        <f t="shared" si="0"/>
        <v>not used yet</v>
      </c>
      <c r="X21" s="16" t="str">
        <f t="shared" si="0"/>
        <v>not used yet</v>
      </c>
      <c r="Y21" s="16" t="str">
        <f t="shared" si="0"/>
        <v>not used yet</v>
      </c>
      <c r="Z21" s="16" t="str">
        <f t="shared" si="0"/>
        <v>not used yet</v>
      </c>
      <c r="AA21" s="16" t="str">
        <f t="shared" si="0"/>
        <v>not used yet</v>
      </c>
      <c r="AB21" s="16" t="str">
        <f t="shared" si="0"/>
        <v>not used yet</v>
      </c>
      <c r="AC21" s="16" t="str">
        <f t="shared" si="0"/>
        <v>not used yet</v>
      </c>
      <c r="AE21" s="88" t="str">
        <f t="shared" si="1"/>
        <v>Rennell Island</v>
      </c>
      <c r="AF21" s="16">
        <f t="shared" si="310"/>
        <v>0.48</v>
      </c>
      <c r="AG21" s="16">
        <f t="shared" si="311"/>
        <v>0.47</v>
      </c>
      <c r="AH21" s="61">
        <f t="shared" si="312"/>
        <v>1.0999999999999999E-2</v>
      </c>
      <c r="AI21" s="61">
        <f t="shared" si="313"/>
        <v>0.01</v>
      </c>
      <c r="AJ21" s="61">
        <f t="shared" si="314"/>
        <v>9.9999999999999915E-4</v>
      </c>
      <c r="AK21" s="16">
        <f t="shared" si="315"/>
        <v>0</v>
      </c>
      <c r="AL21" s="16">
        <f t="shared" si="316"/>
        <v>0.15</v>
      </c>
      <c r="AM21" s="24" t="str">
        <f t="shared" si="3"/>
        <v>HT-D</v>
      </c>
      <c r="AN21" s="427">
        <f t="shared" si="278"/>
        <v>59670</v>
      </c>
      <c r="AO21" s="127" t="str">
        <f t="array" ref="AO21">IFERROR(IF(AND(AN21&gt;'Indices Mines Exporting Ports'!$D$11,MATCH(2,1/(('Indices Mines Exporting Ports'!$B$3:$B$10&lt;=C21)*('Indices Mines Exporting Ports'!$C$3:$C$10=E21)))),"Yes","No"),"No")</f>
        <v>No</v>
      </c>
      <c r="AP21" s="126" t="str">
        <f t="array" ref="AP21">IF(AO21="Yes",INDEX('Indices Mines Exporting Ports'!$D$3:$D$10,MATCH(2,1/(('Indices Mines Exporting Ports'!$B$3:$B$10&lt;=Main!C21)*('Indices Mines Exporting Ports'!$C$3:$C$10=Main!AE21)))),IF(NOT(ISBLANK(Q21)),Q21,IP21))</f>
        <v>Rennell_Is._offshore</v>
      </c>
      <c r="AQ21" s="262">
        <f t="array" ref="AQ21">IF(AO21="no",0,INDEX('Indices Mines Exporting Ports'!$E$3:$E$10,MATCH(2,1/(('Indices Mines Exporting Ports'!$B$3:$B$10&lt;=Main!$C21)*('Indices Mines Exporting Ports'!$D$3:$D$10=Main!$AP21)))))</f>
        <v>0</v>
      </c>
      <c r="AR21" s="267">
        <f t="array" ref="AR21">IF(AO21="No",0,AN21/ROUND(AN21/INDEX('Indices Mines Exporting Ports'!$F$3:$F$10,MATCH(2,1/(('Indices Mines Exporting Ports'!$B$3:$B$10&lt;=Main!C21)*('Indices Mines Exporting Ports'!$C$3:$C$10=Main!AE21)))),0))</f>
        <v>0</v>
      </c>
      <c r="AS21" s="127" t="str">
        <f t="shared" si="4"/>
        <v>Qingdao</v>
      </c>
      <c r="AT21" s="100" t="str">
        <f t="shared" si="317"/>
        <v>CBIX HT</v>
      </c>
      <c r="AU21" s="100" t="str">
        <f t="shared" si="318"/>
        <v>CBIX HT</v>
      </c>
      <c r="AV21" s="242" t="s">
        <v>4</v>
      </c>
      <c r="AW21" s="242" t="s">
        <v>5</v>
      </c>
      <c r="AX21" s="292" t="e">
        <f t="shared" ca="1" si="6"/>
        <v>#NAME?</v>
      </c>
      <c r="AY21" s="291" t="e">
        <f t="shared" ca="1" si="7"/>
        <v>#NAME?</v>
      </c>
      <c r="AZ21" s="292" t="e">
        <f t="shared" ca="1" si="8"/>
        <v>#NAME?</v>
      </c>
      <c r="BA21" s="102">
        <f t="shared" si="9"/>
        <v>2.5</v>
      </c>
      <c r="BB21" s="12"/>
      <c r="BC21" s="306" t="s">
        <v>403</v>
      </c>
      <c r="BD21" s="407">
        <f t="shared" si="279"/>
        <v>0</v>
      </c>
      <c r="BE21" s="407">
        <f t="shared" si="279"/>
        <v>0</v>
      </c>
      <c r="BF21" s="407">
        <f t="shared" si="279"/>
        <v>0</v>
      </c>
      <c r="BG21" s="407">
        <f t="shared" si="280"/>
        <v>0</v>
      </c>
      <c r="BH21" s="407" t="e">
        <f t="shared" ca="1" si="281"/>
        <v>#NAME?</v>
      </c>
      <c r="BI21" s="263" t="e">
        <f t="shared" ca="1" si="282"/>
        <v>#NAME?</v>
      </c>
      <c r="BK21" s="287" t="s">
        <v>39</v>
      </c>
      <c r="BM21" s="291" t="e">
        <f t="shared" ca="1" si="283"/>
        <v>#NAME?</v>
      </c>
      <c r="BN21" s="298">
        <f t="shared" si="284"/>
        <v>0.48</v>
      </c>
      <c r="BO21" s="298">
        <f t="shared" si="285"/>
        <v>0.47</v>
      </c>
      <c r="BP21" s="298">
        <f t="shared" si="286"/>
        <v>1.0999999999999999E-2</v>
      </c>
      <c r="BQ21" s="298">
        <f t="shared" si="287"/>
        <v>0.01</v>
      </c>
      <c r="BR21" s="298">
        <f t="shared" si="288"/>
        <v>9.9999999999999915E-4</v>
      </c>
      <c r="BS21" s="298">
        <f t="shared" si="289"/>
        <v>0</v>
      </c>
      <c r="BT21" s="298">
        <f t="shared" si="290"/>
        <v>0.15</v>
      </c>
      <c r="BU21" s="307" t="str">
        <f t="shared" si="291"/>
        <v>HT-D</v>
      </c>
      <c r="BV21" s="291">
        <f t="shared" si="292"/>
        <v>2.5</v>
      </c>
      <c r="BX21" s="300">
        <f t="array" ref="BX21">INDEX('Processing Factors'!$D$8:$D$29,MATCH(2,1/(('Processing Factors'!$B$8:$B$29&lt;=Main!$C21)*('Processing Factors'!$C$8:$C$29=Main!BU21))))</f>
        <v>1</v>
      </c>
      <c r="BY21" s="299">
        <f t="array" ref="BY21">INDEX('Processing Factors'!$E$8:$E$29,MATCH(2,1/(('Processing Factors'!$B$8:$B$29&lt;=Main!$C21)*('Processing Factors'!$C$8:$C$29=Main!BU21))))</f>
        <v>1.23</v>
      </c>
      <c r="BZ21" s="299">
        <f t="array" ref="BZ21">INDEX('Processing Factors'!$F$8:$F$29,MATCH(2,1/(('Processing Factors'!$B$8:$B$29&lt;=Main!$C21)*('Processing Factors'!$C$8:$C$29=Main!BU21))))</f>
        <v>0.6</v>
      </c>
      <c r="CA21" s="299">
        <f t="array" ref="CA21">INDEX('Processing Factors'!$G$8:$G$29,MATCH(2,1/(('Processing Factors'!$B$8:$B$29&lt;=Main!$C21)*('Processing Factors'!$C$8:$C$29=Main!BU21))))</f>
        <v>0.22</v>
      </c>
      <c r="CB21" s="299">
        <f t="array" ref="CB21">INDEX('Processing Factors'!$H$8:$H$29,MATCH(2,1/(('Processing Factors'!$B$8:$B$29&lt;=Main!$C21)*('Processing Factors'!$C$8:$C$29=Main!BU21))))</f>
        <v>13.5</v>
      </c>
      <c r="CC21" s="300">
        <f t="array" ref="CC21">INDEX('Processing Factors'!$I$8:$I$29,MATCH(2,1/(('Processing Factors'!$B$8:$B$29&lt;=Main!$C21)*('Processing Factors'!$C$8:$C$29=Main!BU21))))</f>
        <v>1</v>
      </c>
      <c r="CD21" s="300">
        <f t="array" ref="CD21">INDEX('Processing Factors'!$J$8:$J$29,MATCH(2,1/(('Processing Factors'!$B$8:$B$29&lt;=Main!$C21)*('Processing Factors'!$C$8:$C$29=Main!BU21))))</f>
        <v>0.9</v>
      </c>
      <c r="CE21" s="299">
        <f t="array" ref="CE21">INDEX('Processing Factors'!$K$8:$K$29,MATCH(2,1/(('Processing Factors'!$B$8:$B$29&lt;=Main!$C21)*('Processing Factors'!$C$8:$C$29=Main!BU21))))</f>
        <v>3.5000000000000003E-2</v>
      </c>
      <c r="CG21" s="302">
        <f t="shared" si="10"/>
        <v>0.48</v>
      </c>
      <c r="CH21" s="302">
        <f t="shared" si="11"/>
        <v>1.0999999999999999E-2</v>
      </c>
      <c r="CI21" s="302">
        <f t="shared" si="12"/>
        <v>0.46647</v>
      </c>
      <c r="CJ21" s="299">
        <f t="shared" si="13"/>
        <v>2.381956205353208</v>
      </c>
      <c r="CK21" s="281" t="e">
        <f t="shared" ca="1" si="14"/>
        <v>#NAME?</v>
      </c>
      <c r="CL21" s="299">
        <f t="shared" si="15"/>
        <v>5.0720910955331169E-2</v>
      </c>
      <c r="CM21" s="281">
        <f t="shared" si="16"/>
        <v>12.18563434483649</v>
      </c>
      <c r="CN21" s="281">
        <f t="shared" si="17"/>
        <v>55.9712938100622</v>
      </c>
      <c r="CO21" s="281">
        <f t="shared" si="18"/>
        <v>7.4618428490672706</v>
      </c>
      <c r="CP21" s="299">
        <f t="shared" si="19"/>
        <v>1.6526771163085392</v>
      </c>
      <c r="CQ21" s="281">
        <f t="shared" si="20"/>
        <v>7.0068277966727219</v>
      </c>
      <c r="CR21" s="281" t="e">
        <f t="shared" ca="1" si="21"/>
        <v>#NAME?</v>
      </c>
      <c r="CT21" s="287" t="s">
        <v>39</v>
      </c>
      <c r="CV21" s="305" t="e">
        <f t="shared" ca="1" si="22"/>
        <v>#NAME?</v>
      </c>
      <c r="CW21" s="61">
        <f t="array" ref="CW21">INDEX('Indices Mines Exporting Ports'!E$20:E$51, MATCH(2,1/(('Indices Mines Exporting Ports'!$C$20:$C$51=$AT21)*('Indices Mines Exporting Ports'!$D$20:$D$51&lt;=$C21))))</f>
        <v>0.5</v>
      </c>
      <c r="CX21" s="61">
        <f t="array" ref="CX21">INDEX('Indices Mines Exporting Ports'!F$20:F$51, MATCH(2,1/(('Indices Mines Exporting Ports'!$C$20:$C$51=$AT21)*('Indices Mines Exporting Ports'!$D$20:$D$51&lt;=$C21))))</f>
        <v>0.45</v>
      </c>
      <c r="CY21" s="61">
        <f t="array" ref="CY21">INDEX('Indices Mines Exporting Ports'!G$20:G$51, MATCH(2,1/(('Indices Mines Exporting Ports'!$C$20:$C$51=$AT21)*('Indices Mines Exporting Ports'!$D$20:$D$51&lt;=$C21))))</f>
        <v>0.05</v>
      </c>
      <c r="CZ21" s="61">
        <f t="array" ref="CZ21">INDEX('Indices Mines Exporting Ports'!H$20:H$51, MATCH(2,1/(('Indices Mines Exporting Ports'!$C$20:$C$51=$AT21)*('Indices Mines Exporting Ports'!$D$20:$D$51&lt;=$C21))))</f>
        <v>0.05</v>
      </c>
      <c r="DA21" s="61">
        <f t="array" ref="DA21">INDEX('Indices Mines Exporting Ports'!I$20:I$51, MATCH(2,1/(('Indices Mines Exporting Ports'!$C$20:$C$51=$AT21)*('Indices Mines Exporting Ports'!$D$20:$D$51&lt;=$C21))))</f>
        <v>0</v>
      </c>
      <c r="DB21" s="61">
        <f t="array" ref="DB21">INDEX('Indices Mines Exporting Ports'!J$20:J$51, MATCH(2,1/(('Indices Mines Exporting Ports'!$C$20:$C$51=$AT21)*('Indices Mines Exporting Ports'!$D$20:$D$51&lt;=$C21))))</f>
        <v>0</v>
      </c>
      <c r="DC21" s="61">
        <f t="array" ref="DC21">INDEX('Indices Mines Exporting Ports'!K$20:K$51, MATCH(2,1/(('Indices Mines Exporting Ports'!$C$20:$C$51=$AT21)*('Indices Mines Exporting Ports'!$D$20:$D$51&lt;=$C21))))</f>
        <v>0.1</v>
      </c>
      <c r="DD21" s="103" t="str">
        <f t="array" ref="DD21">INDEX('Indices Mines Exporting Ports'!L$20:L$51, MATCH(2,1/(('Indices Mines Exporting Ports'!$C$20:$C$51=$AT21)*('Indices Mines Exporting Ports'!$D$20:$D$51&lt;=$C21))))</f>
        <v>LT</v>
      </c>
      <c r="DE21" s="243">
        <f t="array" ref="DE21">INDEX('Indices Mines Exporting Ports'!M$20:M$51, MATCH(2,1/(('Indices Mines Exporting Ports'!$C$20:$C$51=$AT21)*('Indices Mines Exporting Ports'!$D$20:$D$51&lt;=$C21))))</f>
        <v>0</v>
      </c>
      <c r="DG21" s="300">
        <f t="array" ref="DG21">INDEX('Processing Factors'!$D$8:$D$29,MATCH(2,1/(('Processing Factors'!$B$8:$B$29&lt;=Main!$C21)*('Processing Factors'!$C$8:$C$29=Main!DD21))))</f>
        <v>0</v>
      </c>
      <c r="DH21" s="299">
        <f t="array" ref="DH21">INDEX('Processing Factors'!$E$8:$E$29,MATCH(2,1/(('Processing Factors'!$B$8:$B$29&lt;=Main!$C21)*('Processing Factors'!$C$8:$C$29=Main!DD21))))</f>
        <v>1</v>
      </c>
      <c r="DI21" s="299">
        <f t="array" ref="DI21">INDEX('Processing Factors'!$F$8:$F$29,MATCH(2,1/(('Processing Factors'!$B$8:$B$29&lt;=Main!$C21)*('Processing Factors'!$C$8:$C$29=Main!DD21))))</f>
        <v>0.9</v>
      </c>
      <c r="DJ21" s="299">
        <f t="array" ref="DJ21">INDEX('Processing Factors'!$G$8:$G$29,MATCH(2,1/(('Processing Factors'!$B$8:$B$29&lt;=Main!$C21)*('Processing Factors'!$C$8:$C$29=Main!DD21))))</f>
        <v>3.5999999999999997E-2</v>
      </c>
      <c r="DK21" s="299">
        <f t="array" ref="DK21">INDEX('Processing Factors'!$H$8:$H$29,MATCH(2,1/(('Processing Factors'!$B$8:$B$29&lt;=Main!$C21)*('Processing Factors'!$C$8:$C$29=Main!DD21))))</f>
        <v>12.15</v>
      </c>
      <c r="DL21" s="300">
        <f t="array" ref="DL21">INDEX('Processing Factors'!$I$8:$I$29,MATCH(2,1/(('Processing Factors'!$B$8:$B$29&lt;=Main!$C21)*('Processing Factors'!$C$8:$C$29=Main!DD21))))</f>
        <v>0</v>
      </c>
      <c r="DM21" s="300">
        <f t="array" ref="DM21">INDEX('Processing Factors'!$J$8:$J$29,MATCH(2,1/(('Processing Factors'!$B$8:$B$29&lt;=Main!$C21)*('Processing Factors'!$C$8:$C$29=Main!DD21))))</f>
        <v>0.9</v>
      </c>
      <c r="DN21" s="299">
        <f t="array" ref="DN21">INDEX('Processing Factors'!$K$8:$K$29,MATCH(2,1/(('Processing Factors'!$B$8:$B$29&lt;=Main!$C21)*('Processing Factors'!$C$8:$C$29=Main!DD21))))</f>
        <v>3.5000000000000003E-2</v>
      </c>
      <c r="DP21" s="302">
        <f t="shared" si="23"/>
        <v>0.5</v>
      </c>
      <c r="DQ21" s="302">
        <f t="shared" si="24"/>
        <v>0.05</v>
      </c>
      <c r="DR21" s="302">
        <f t="shared" si="25"/>
        <v>0.45</v>
      </c>
      <c r="DS21" s="299">
        <f t="shared" si="26"/>
        <v>2.4691358024691357</v>
      </c>
      <c r="DT21" s="304">
        <v>0</v>
      </c>
      <c r="DU21" s="299">
        <f t="shared" si="27"/>
        <v>0.14611111111111114</v>
      </c>
      <c r="DV21" s="281">
        <f t="shared" si="28"/>
        <v>35.103008604987139</v>
      </c>
      <c r="DW21" s="281">
        <f t="shared" si="29"/>
        <v>50.37416442905598</v>
      </c>
      <c r="DX21" s="281">
        <f t="shared" si="30"/>
        <v>1.2210288298473715</v>
      </c>
      <c r="DY21" s="299">
        <f t="shared" si="31"/>
        <v>1.8352469135802467</v>
      </c>
      <c r="DZ21" s="281">
        <f t="shared" si="32"/>
        <v>7.7808659422565585</v>
      </c>
      <c r="EA21" s="281">
        <f t="shared" si="33"/>
        <v>94.479067806147043</v>
      </c>
      <c r="EC21" s="287" t="s">
        <v>39</v>
      </c>
      <c r="EE21" s="305" t="e">
        <f t="shared" ca="1" si="34"/>
        <v>#NAME?</v>
      </c>
      <c r="EF21" s="16">
        <f t="array" ref="EF21">INDEX('Indices Mines Exporting Ports'!E$20:E$51, MATCH(2,1/(('Indices Mines Exporting Ports'!$C$20:$C$51=$AU21)*('Indices Mines Exporting Ports'!$D$20:$D$51&lt;=$C21))))</f>
        <v>0.5</v>
      </c>
      <c r="EG21" s="16">
        <f t="array" ref="EG21">INDEX('Indices Mines Exporting Ports'!F$20:F$51, MATCH(2,1/(('Indices Mines Exporting Ports'!$C$20:$C$51=$AU21)*('Indices Mines Exporting Ports'!$D$20:$D$51&lt;=$C21))))</f>
        <v>0.45</v>
      </c>
      <c r="EH21" s="16">
        <f t="array" ref="EH21">INDEX('Indices Mines Exporting Ports'!G$20:G$51, MATCH(2,1/(('Indices Mines Exporting Ports'!$C$20:$C$51=$AU21)*('Indices Mines Exporting Ports'!$D$20:$D$51&lt;=$C21))))</f>
        <v>0.05</v>
      </c>
      <c r="EI21" s="16">
        <f t="array" ref="EI21">INDEX('Indices Mines Exporting Ports'!H$20:H$51, MATCH(2,1/(('Indices Mines Exporting Ports'!$C$20:$C$51=$AU21)*('Indices Mines Exporting Ports'!$D$20:$D$51&lt;=$C21))))</f>
        <v>0.05</v>
      </c>
      <c r="EJ21" s="16">
        <f t="array" ref="EJ21">INDEX('Indices Mines Exporting Ports'!I$20:I$51, MATCH(2,1/(('Indices Mines Exporting Ports'!$C$20:$C$51=$AU21)*('Indices Mines Exporting Ports'!$D$20:$D$51&lt;=$C21))))</f>
        <v>0</v>
      </c>
      <c r="EK21" s="16">
        <f t="array" ref="EK21">INDEX('Indices Mines Exporting Ports'!J$20:J$51, MATCH(2,1/(('Indices Mines Exporting Ports'!$C$20:$C$51=$AU21)*('Indices Mines Exporting Ports'!$D$20:$D$51&lt;=$C21))))</f>
        <v>0</v>
      </c>
      <c r="EL21" s="16">
        <f t="array" ref="EL21">INDEX('Indices Mines Exporting Ports'!K$20:K$51, MATCH(2,1/(('Indices Mines Exporting Ports'!$C$20:$C$51=$AU21)*('Indices Mines Exporting Ports'!$D$20:$D$51&lt;=$C21))))</f>
        <v>0.1</v>
      </c>
      <c r="EM21" s="103" t="str">
        <f t="array" ref="EM21">INDEX('Indices Mines Exporting Ports'!L$20:L$51, MATCH(2,1/(('Indices Mines Exporting Ports'!$C$20:$C$51=$AU21)*('Indices Mines Exporting Ports'!$D$20:$D$51&lt;=$C21))))</f>
        <v>LT</v>
      </c>
      <c r="EN21" s="243">
        <f t="array" ref="EN21">INDEX('Indices Mines Exporting Ports'!M$20:M$51, MATCH(2,1/(('Indices Mines Exporting Ports'!$C$20:$C$51=$AU21)*('Indices Mines Exporting Ports'!$D$20:$D$51&lt;=$C21))))</f>
        <v>0</v>
      </c>
      <c r="EP21" s="300">
        <f t="array" ref="EP21">INDEX('Processing Factors'!$D$8:$D$29,MATCH(2,1/(('Processing Factors'!$B$8:$B$29&lt;=Main!$C21)*('Processing Factors'!$C$8:$C$29=Main!EM21))))</f>
        <v>0</v>
      </c>
      <c r="EQ21" s="299">
        <f t="array" ref="EQ21">INDEX('Processing Factors'!$E$8:$E$29,MATCH(2,1/(('Processing Factors'!$B$8:$B$29&lt;=Main!$C21)*('Processing Factors'!$C$8:$C$29=Main!EM21))))</f>
        <v>1</v>
      </c>
      <c r="ER21" s="299">
        <f t="array" ref="ER21">INDEX('Processing Factors'!$F$8:$F$29,MATCH(2,1/(('Processing Factors'!$B$8:$B$29&lt;=Main!$C21)*('Processing Factors'!$C$8:$C$29=Main!EM21))))</f>
        <v>0.9</v>
      </c>
      <c r="ES21" s="299">
        <f t="array" ref="ES21">INDEX('Processing Factors'!$G$8:$G$29,MATCH(2,1/(('Processing Factors'!$B$8:$B$29&lt;=Main!$C21)*('Processing Factors'!$C$8:$C$29=Main!EM21))))</f>
        <v>3.5999999999999997E-2</v>
      </c>
      <c r="ET21" s="299">
        <f t="array" ref="ET21">INDEX('Processing Factors'!$H$8:$H$29,MATCH(2,1/(('Processing Factors'!$B$8:$B$29&lt;=Main!$C21)*('Processing Factors'!$C$8:$C$29=Main!EM21))))</f>
        <v>12.15</v>
      </c>
      <c r="EU21" s="300">
        <f t="array" ref="EU21">INDEX('Processing Factors'!$I$8:$I$29,MATCH(2,1/(('Processing Factors'!$B$8:$B$29&lt;=Main!$C21)*('Processing Factors'!$C$8:$C$29=Main!EM21))))</f>
        <v>0</v>
      </c>
      <c r="EV21" s="300">
        <f t="array" ref="EV21">INDEX('Processing Factors'!$J$8:$J$29,MATCH(2,1/(('Processing Factors'!$B$8:$B$29&lt;=Main!$C21)*('Processing Factors'!$C$8:$C$29=Main!EM21))))</f>
        <v>0.9</v>
      </c>
      <c r="EW21" s="299">
        <f t="array" ref="EW21">INDEX('Processing Factors'!$K$8:$K$29,MATCH(2,1/(('Processing Factors'!$B$8:$B$29&lt;=Main!$C21)*('Processing Factors'!$C$8:$C$29=Main!EM21))))</f>
        <v>3.5000000000000003E-2</v>
      </c>
      <c r="EY21" s="302">
        <f t="shared" si="35"/>
        <v>0.5</v>
      </c>
      <c r="EZ21" s="302">
        <f t="shared" si="36"/>
        <v>0.05</v>
      </c>
      <c r="FA21" s="302">
        <f t="shared" si="37"/>
        <v>0.45</v>
      </c>
      <c r="FB21" s="299">
        <f t="shared" si="38"/>
        <v>2.4691358024691357</v>
      </c>
      <c r="FC21" s="304">
        <v>0</v>
      </c>
      <c r="FD21" s="299">
        <f t="shared" si="39"/>
        <v>0.14611111111111114</v>
      </c>
      <c r="FE21" s="281">
        <f t="shared" si="40"/>
        <v>35.103008604987139</v>
      </c>
      <c r="FF21" s="281">
        <f t="shared" si="41"/>
        <v>50.37416442905598</v>
      </c>
      <c r="FG21" s="281">
        <f t="shared" si="42"/>
        <v>1.2210288298473715</v>
      </c>
      <c r="FH21" s="299">
        <f t="shared" si="43"/>
        <v>1.8352469135802467</v>
      </c>
      <c r="FI21" s="281">
        <f t="shared" si="44"/>
        <v>7.7808659422565585</v>
      </c>
      <c r="FJ21" s="281">
        <f t="shared" si="45"/>
        <v>94.479067806147043</v>
      </c>
      <c r="FL21" s="287" t="s">
        <v>39</v>
      </c>
      <c r="FN21" s="315" t="e">
        <f t="shared" ca="1" si="293"/>
        <v>#NAME?</v>
      </c>
      <c r="FO21" s="316">
        <f t="shared" si="294"/>
        <v>0.48</v>
      </c>
      <c r="FP21" s="316">
        <f t="shared" si="295"/>
        <v>0.47</v>
      </c>
      <c r="FQ21" s="316">
        <f t="shared" si="296"/>
        <v>1.0999999999999999E-2</v>
      </c>
      <c r="FR21" s="316">
        <f t="shared" si="297"/>
        <v>0.01</v>
      </c>
      <c r="FS21" s="316">
        <f t="shared" si="298"/>
        <v>9.9999999999999915E-4</v>
      </c>
      <c r="FT21" s="316">
        <f t="shared" si="299"/>
        <v>0</v>
      </c>
      <c r="FU21" s="316">
        <f t="shared" si="300"/>
        <v>0.15</v>
      </c>
      <c r="FV21" s="317" t="str">
        <f t="shared" si="301"/>
        <v>HT-D</v>
      </c>
      <c r="FW21" s="318">
        <v>0</v>
      </c>
      <c r="FX21" s="237"/>
      <c r="FY21" s="319">
        <f t="array" ref="FY21">INDEX('Processing Factors'!$D$8:$D$29,MATCH(2,1/(('Processing Factors'!$B$8:$B$29&lt;=Main!$C21)*('Processing Factors'!$C$8:$C$29=Main!FV21))))</f>
        <v>1</v>
      </c>
      <c r="FZ21" s="320">
        <f t="array" ref="FZ21">INDEX('Processing Factors'!$E$8:$E$29,MATCH(2,1/(('Processing Factors'!$B$8:$B$29&lt;=Main!$C21)*('Processing Factors'!$C$8:$C$29=Main!FV21))))</f>
        <v>1.23</v>
      </c>
      <c r="GA21" s="320">
        <f t="array" ref="GA21">INDEX('Processing Factors'!$F$8:$F$29,MATCH(2,1/(('Processing Factors'!$B$8:$B$29&lt;=Main!$C21)*('Processing Factors'!$C$8:$C$29=Main!FV21))))</f>
        <v>0.6</v>
      </c>
      <c r="GB21" s="320">
        <f t="array" ref="GB21">INDEX('Processing Factors'!$G$8:$G$29,MATCH(2,1/(('Processing Factors'!$B$8:$B$29&lt;=Main!$C21)*('Processing Factors'!$C$8:$C$29=Main!FV21))))</f>
        <v>0.22</v>
      </c>
      <c r="GC21" s="320">
        <f t="array" ref="GC21">INDEX('Processing Factors'!$H$8:$H$29,MATCH(2,1/(('Processing Factors'!$B$8:$B$29&lt;=Main!$C21)*('Processing Factors'!$C$8:$C$29=Main!FV21))))</f>
        <v>13.5</v>
      </c>
      <c r="GD21" s="319">
        <f t="array" ref="GD21">INDEX('Processing Factors'!$I$8:$I$29,MATCH(2,1/(('Processing Factors'!$B$8:$B$29&lt;=Main!$C21)*('Processing Factors'!$C$8:$C$29=Main!FV21))))</f>
        <v>1</v>
      </c>
      <c r="GE21" s="321">
        <v>0.92</v>
      </c>
      <c r="GF21" s="320">
        <f t="array" ref="GF21">INDEX('Processing Factors'!$K$8:$K$29,MATCH(2,1/(('Processing Factors'!$B$8:$B$29&lt;=Main!$C21)*('Processing Factors'!$C$8:$C$29=Main!FV21))))</f>
        <v>3.5000000000000003E-2</v>
      </c>
      <c r="GG21" s="237"/>
      <c r="GH21" s="322">
        <f t="shared" si="46"/>
        <v>0.48</v>
      </c>
      <c r="GI21" s="322">
        <f t="shared" si="47"/>
        <v>1.0999999999999999E-2</v>
      </c>
      <c r="GJ21" s="322">
        <f t="shared" si="48"/>
        <v>0.46647</v>
      </c>
      <c r="GK21" s="320">
        <f t="shared" si="49"/>
        <v>2.3301745487150947</v>
      </c>
      <c r="GL21" s="323" t="e">
        <f t="shared" ca="1" si="50"/>
        <v>#NAME?</v>
      </c>
      <c r="GM21" s="320">
        <f t="shared" si="51"/>
        <v>5.037915202151963E-2</v>
      </c>
      <c r="GN21" s="323">
        <f t="shared" si="52"/>
        <v>12.103527195673175</v>
      </c>
      <c r="GO21" s="323">
        <f t="shared" si="53"/>
        <v>55.9712938100622</v>
      </c>
      <c r="GP21" s="323">
        <f t="shared" si="54"/>
        <v>7.4618428490672706</v>
      </c>
      <c r="GQ21" s="320">
        <f t="shared" si="55"/>
        <v>1.6005537007366142</v>
      </c>
      <c r="GR21" s="323">
        <f t="shared" si="56"/>
        <v>6.7858410149941255</v>
      </c>
      <c r="GS21" s="323" t="e">
        <f t="shared" ca="1" si="57"/>
        <v>#NAME?</v>
      </c>
      <c r="GT21" s="237"/>
      <c r="GU21" s="324" t="e">
        <f t="shared" ca="1" si="58"/>
        <v>#NAME?</v>
      </c>
      <c r="GV21" s="325">
        <f t="array" ref="GV21">INDEX('Indices Mines Exporting Ports'!E$20:E$51, MATCH(2,1/(('Indices Mines Exporting Ports'!$C$20:$C$51=$BC21)*('Indices Mines Exporting Ports'!$D$20:$D$51&lt;=$C21))))</f>
        <v>0.5</v>
      </c>
      <c r="GW21" s="325">
        <f t="array" ref="GW21">INDEX('Indices Mines Exporting Ports'!F$20:F$51, MATCH(2,1/(('Indices Mines Exporting Ports'!$C$20:$C$51=$BC21)*('Indices Mines Exporting Ports'!$D$20:$D$51&lt;=$C21))))</f>
        <v>0.45</v>
      </c>
      <c r="GX21" s="325">
        <f t="array" ref="GX21">INDEX('Indices Mines Exporting Ports'!G$20:G$51, MATCH(2,1/(('Indices Mines Exporting Ports'!$C$20:$C$51=$BC21)*('Indices Mines Exporting Ports'!$D$20:$D$51&lt;=$C21))))</f>
        <v>0.05</v>
      </c>
      <c r="GY21" s="325">
        <f t="array" ref="GY21">INDEX('Indices Mines Exporting Ports'!H$20:H$51, MATCH(2,1/(('Indices Mines Exporting Ports'!$C$20:$C$51=$BC21)*('Indices Mines Exporting Ports'!$D$20:$D$51&lt;=$C21))))</f>
        <v>0.05</v>
      </c>
      <c r="GZ21" s="325">
        <f t="array" ref="GZ21">INDEX('Indices Mines Exporting Ports'!I$20:I$51, MATCH(2,1/(('Indices Mines Exporting Ports'!$C$20:$C$51=$BC21)*('Indices Mines Exporting Ports'!$D$20:$D$51&lt;=$C21))))</f>
        <v>0</v>
      </c>
      <c r="HA21" s="325">
        <f t="array" ref="HA21">INDEX('Indices Mines Exporting Ports'!J$20:J$51, MATCH(2,1/(('Indices Mines Exporting Ports'!$C$20:$C$51=$BC21)*('Indices Mines Exporting Ports'!$D$20:$D$51&lt;=$C21))))</f>
        <v>0</v>
      </c>
      <c r="HB21" s="325">
        <f t="array" ref="HB21">INDEX('Indices Mines Exporting Ports'!K$20:K$51, MATCH(2,1/(('Indices Mines Exporting Ports'!$C$20:$C$51=$BC21)*('Indices Mines Exporting Ports'!$D$20:$D$51&lt;=$C21))))</f>
        <v>0.1</v>
      </c>
      <c r="HC21" s="326" t="str">
        <f t="array" ref="HC21">INDEX('Indices Mines Exporting Ports'!L$20:L$51, MATCH(2,1/(('Indices Mines Exporting Ports'!$C$20:$C$51=$BC21)*('Indices Mines Exporting Ports'!$D$20:$D$51&lt;=$C21))))</f>
        <v>LT</v>
      </c>
      <c r="HD21" s="262">
        <f t="array" ref="HD21">INDEX('Indices Mines Exporting Ports'!M$20:M$51, MATCH(2,1/(('Indices Mines Exporting Ports'!$C$20:$C$51=$BC21)*('Indices Mines Exporting Ports'!$D$20:$D$51&lt;=$C21))))</f>
        <v>0</v>
      </c>
      <c r="HE21" s="237"/>
      <c r="HF21" s="319">
        <f t="array" ref="HF21">INDEX('Processing Factors'!$D$8:$D$29,MATCH(2,1/(('Processing Factors'!$B$8:$B$29&lt;=Main!$C21)*('Processing Factors'!$C$8:$C$29=Main!HC21))))</f>
        <v>0</v>
      </c>
      <c r="HG21" s="320">
        <f t="array" ref="HG21">INDEX('Processing Factors'!$E$8:$E$29,MATCH(2,1/(('Processing Factors'!$B$8:$B$29&lt;=Main!$C21)*('Processing Factors'!$C$8:$C$29=Main!HC21))))</f>
        <v>1</v>
      </c>
      <c r="HH21" s="320">
        <f t="array" ref="HH21">INDEX('Processing Factors'!$F$8:$F$29,MATCH(2,1/(('Processing Factors'!$B$8:$B$29&lt;=Main!$C21)*('Processing Factors'!$C$8:$C$29=Main!HC21))))</f>
        <v>0.9</v>
      </c>
      <c r="HI21" s="320">
        <f t="array" ref="HI21">INDEX('Processing Factors'!$G$8:$G$29,MATCH(2,1/(('Processing Factors'!$B$8:$B$29&lt;=Main!$C21)*('Processing Factors'!$C$8:$C$29=Main!HC21))))</f>
        <v>3.5999999999999997E-2</v>
      </c>
      <c r="HJ21" s="320">
        <f t="array" ref="HJ21">INDEX('Processing Factors'!$H$8:$H$29,MATCH(2,1/(('Processing Factors'!$B$8:$B$29&lt;=Main!$C21)*('Processing Factors'!$C$8:$C$29=Main!HC21))))</f>
        <v>12.15</v>
      </c>
      <c r="HK21" s="319">
        <f t="array" ref="HK21">INDEX('Processing Factors'!$I$8:$I$29,MATCH(2,1/(('Processing Factors'!$B$8:$B$29&lt;=Main!$C21)*('Processing Factors'!$C$8:$C$29=Main!HC21))))</f>
        <v>0</v>
      </c>
      <c r="HL21" s="321">
        <v>0.92</v>
      </c>
      <c r="HM21" s="320">
        <f t="array" ref="HM21">INDEX('Processing Factors'!$K$8:$K$29,MATCH(2,1/(('Processing Factors'!$B$8:$B$29&lt;=Main!$C21)*('Processing Factors'!$C$8:$C$29=Main!HC21))))</f>
        <v>3.5000000000000003E-2</v>
      </c>
      <c r="HN21" s="237"/>
      <c r="HO21" s="322">
        <f t="shared" si="59"/>
        <v>0.5</v>
      </c>
      <c r="HP21" s="322">
        <f t="shared" si="60"/>
        <v>0.05</v>
      </c>
      <c r="HQ21" s="322">
        <f t="shared" si="61"/>
        <v>0.45</v>
      </c>
      <c r="HR21" s="320">
        <f t="shared" si="62"/>
        <v>2.4154589371980677</v>
      </c>
      <c r="HS21" s="263">
        <v>0</v>
      </c>
      <c r="HT21" s="320">
        <f t="shared" si="63"/>
        <v>0.14369565217391306</v>
      </c>
      <c r="HU21" s="323">
        <f t="shared" si="64"/>
        <v>34.522697667559676</v>
      </c>
      <c r="HV21" s="323">
        <f t="shared" si="65"/>
        <v>50.37416442905598</v>
      </c>
      <c r="HW21" s="323">
        <f t="shared" si="66"/>
        <v>1.2210288298473715</v>
      </c>
      <c r="HX21" s="320">
        <f t="shared" si="67"/>
        <v>1.7791545893719807</v>
      </c>
      <c r="HY21" s="323">
        <f t="shared" si="68"/>
        <v>7.5430522443696191</v>
      </c>
      <c r="HZ21" s="323">
        <f t="shared" si="69"/>
        <v>93.660943170832638</v>
      </c>
      <c r="IB21" s="287" t="s">
        <v>39</v>
      </c>
      <c r="ID21" s="89" t="str">
        <f t="shared" si="70"/>
        <v>Rennell Island</v>
      </c>
      <c r="IE21" s="18">
        <f t="shared" si="319"/>
        <v>43923</v>
      </c>
      <c r="IF21" s="94">
        <f t="array" ref="IF21">INDEX('Indices Mines Exporting Ports'!E$20:E$51, MATCH(2,1/(('Indices Mines Exporting Ports'!$C$20:$C$51=$ID21)*('Indices Mines Exporting Ports'!$D$20:$D$51&lt;=$IE21))))</f>
        <v>0.48</v>
      </c>
      <c r="IG21" s="94">
        <f t="array" ref="IG21">INDEX('Indices Mines Exporting Ports'!F$20:F$51, MATCH(2,1/(('Indices Mines Exporting Ports'!$C$20:$C$51=$ID21)*('Indices Mines Exporting Ports'!$D$20:$D$51&lt;=$IE21))))</f>
        <v>0.47</v>
      </c>
      <c r="IH21" s="95">
        <f t="array" ref="IH21">INDEX('Indices Mines Exporting Ports'!G$20:G$51, MATCH(2,1/(('Indices Mines Exporting Ports'!$C$20:$C$51=$ID21)*('Indices Mines Exporting Ports'!$D$20:$D$51&lt;=$IE21))))</f>
        <v>1.0999999999999999E-2</v>
      </c>
      <c r="II21" s="95">
        <f t="array" ref="II21">INDEX('Indices Mines Exporting Ports'!H$20:H$51, MATCH(2,1/(('Indices Mines Exporting Ports'!$C$20:$C$51=$ID21)*('Indices Mines Exporting Ports'!$D$20:$D$51&lt;=$IE21))))</f>
        <v>0.01</v>
      </c>
      <c r="IJ21" s="95">
        <f t="array" ref="IJ21">INDEX('Indices Mines Exporting Ports'!I$20:I$51, MATCH(2,1/(('Indices Mines Exporting Ports'!$C$20:$C$51=$ID21)*('Indices Mines Exporting Ports'!$D$20:$D$51&lt;=$IE21))))</f>
        <v>9.9999999999999915E-4</v>
      </c>
      <c r="IK21" s="94">
        <f t="array" ref="IK21">INDEX('Indices Mines Exporting Ports'!J$20:J$51, MATCH(2,1/(('Indices Mines Exporting Ports'!$C$20:$C$51=$ID21)*('Indices Mines Exporting Ports'!$D$20:$D$51&lt;=$IE21))))</f>
        <v>0</v>
      </c>
      <c r="IL21" s="94">
        <f t="array" ref="IL21">INDEX('Indices Mines Exporting Ports'!K$20:K$51, MATCH(2,1/(('Indices Mines Exporting Ports'!$C$20:$C$51=$ID21)*('Indices Mines Exporting Ports'!$D$20:$D$51&lt;=$IE21))))</f>
        <v>0.15</v>
      </c>
      <c r="IM21" s="93" t="str">
        <f t="array" ref="IM21">INDEX('Indices Mines Exporting Ports'!L$20:L$51, MATCH(2,1/(('Indices Mines Exporting Ports'!$C$20:$C$51=$ID21)*('Indices Mines Exporting Ports'!$D$20:$D$51&lt;=$IE21))))</f>
        <v>HT-D</v>
      </c>
      <c r="IN21" s="101">
        <f t="array" ref="IN21">INDEX('Indices Mines Exporting Ports'!M$20:M$51, MATCH(2,1/(('Indices Mines Exporting Ports'!$C$20:$C$51=$ID21)*('Indices Mines Exporting Ports'!$D$20:$D$51&lt;=$IE21))))</f>
        <v>2.5</v>
      </c>
      <c r="IO21" s="96">
        <f t="array" ref="IO21">INDEX('Indices Mines Exporting Ports'!N$20:N$51, MATCH(2,1/(('Indices Mines Exporting Ports'!$C$20:$C$51=$ID21)*('Indices Mines Exporting Ports'!$D$20:$D$51&lt;=$IE21))))</f>
        <v>72000</v>
      </c>
      <c r="IP21" s="95" t="str">
        <f t="array" ref="IP21">INDEX('Indices Mines Exporting Ports'!Q$20:Q$51, MATCH(2,1/(('Indices Mines Exporting Ports'!$C$20:$C$51=$ID21)*('Indices Mines Exporting Ports'!$D$20:$D$51&lt;=$IE21))))</f>
        <v>Rennell_Is._offshore</v>
      </c>
      <c r="IQ21" s="95" t="str">
        <f t="array" ref="IQ21">INDEX('Indices Mines Exporting Ports'!O$20:O$51, MATCH(2,1/(('Indices Mines Exporting Ports'!$C$20:$C$51=$ID21)*('Indices Mines Exporting Ports'!$D$20:$D$51&lt;=$IE21))))</f>
        <v>CBIX HT</v>
      </c>
      <c r="IR21" s="95" t="str">
        <f t="array" ref="IR21">INDEX('Indices Mines Exporting Ports'!P$20:P$51, MATCH(2,1/(('Indices Mines Exporting Ports'!$C$20:$C$51=$ID21)*('Indices Mines Exporting Ports'!$D$20:$D$51&lt;=$IE21))))</f>
        <v>CBIX HT</v>
      </c>
      <c r="IT21" s="287" t="s">
        <v>39</v>
      </c>
      <c r="IV21" s="292">
        <f>VLOOKUP($C21,'China Price Series'!$C$10:$D$1009,2,TRUE)/$JA21/(VLOOKUP($C21,'China Price Series'!$C$10:$E$1009,3,TRUE)*$JG21/$JF21)</f>
        <v>4.146021763708311</v>
      </c>
      <c r="IW21" s="292">
        <f>VLOOKUP($C21,'China Price Series'!$G$10:$H$1009,2,TRUE)/$JA21/(VLOOKUP($C21,'China Price Series'!$G$10:$I$1009,3,TRUE))</f>
        <v>240.24872809496895</v>
      </c>
      <c r="IX21" s="292">
        <f>VLOOKUP($C21,'China Price Series'!$K$10:$L$1009,2,TRUE)/$JA21</f>
        <v>33.91746749576032</v>
      </c>
      <c r="IY21" s="292">
        <f>VLOOKUP($C21,'China Price Series'!$N$10:$O$1009,2,TRUE)/$JA21</f>
        <v>4.23968343697004</v>
      </c>
      <c r="JA21" s="277">
        <f t="array" ref="JA21">INDEX('FX rates'!E$10:E$1009,MATCH(2,1/(('FX rates'!$D$10:$D$1009&lt;=Main!$C21)*(NOT(ISBLANK('FX rates'!E$10:E$1009))))))</f>
        <v>7.0759999999999987</v>
      </c>
      <c r="JB21" s="277">
        <f t="array" ref="JB21">INDEX('FX rates'!F$10:F$1009,MATCH(2,1/(('FX rates'!$D$10:$D$1009&lt;=Main!$C21)*(NOT(ISBLANK('FX rates'!F$10:F$1009))))))</f>
        <v>0.59156405988048044</v>
      </c>
      <c r="JC21" s="277">
        <f t="array" ref="JC21">INDEX('FX rates'!G$10:G$1009,MATCH(2,1/(('FX rates'!$D$10:$D$1009&lt;=Main!$C21)*(NOT(ISBLANK('FX rates'!G$10:G$1009))))))</f>
        <v>1</v>
      </c>
      <c r="JD21" s="277">
        <f t="array" ref="JD21">INDEX('FX rates'!H$10:H$1009,MATCH(2,1/(('FX rates'!$D$10:$D$1009&lt;=Main!$C21)*(NOT(ISBLANK('FX rates'!H$10:H$1009))))))</f>
        <v>1.35</v>
      </c>
      <c r="JF21" s="111">
        <f t="array" ref="JF21">INDEX('Global factors'!C$5:C$23,MATCH(2,1/(('Global factors'!$B$5:$B$23&lt;=Main!$C21)*(NOT(ISBLANK('Global factors'!C$5:C$23))))))</f>
        <v>239000</v>
      </c>
      <c r="JG21" s="112">
        <f t="array" ref="JG21">INDEX('Global factors'!D$5:D$23,MATCH(2,1/(('Global factors'!$B$5:$B$23&lt;=Main!$C21)*(NOT(ISBLANK('Global factors'!D$5:D$23))))))</f>
        <v>1000</v>
      </c>
      <c r="JH21" s="112">
        <f t="array" ref="JH21">INDEX('Global factors'!E$5:E$23,MATCH(2,1/(('Global factors'!$B$5:$B$23&lt;=Main!$C21)*(NOT(ISBLANK('Global factors'!E$5:E$23))))))</f>
        <v>24</v>
      </c>
      <c r="JI21" s="112">
        <f t="array" ref="JI21">INDEX('Global factors'!F$5:F$23,MATCH(2,1/(('Global factors'!$B$5:$B$23&lt;=Main!$C21)*(NOT(ISBLANK('Global factors'!F$5:F$23))))))</f>
        <v>2</v>
      </c>
      <c r="JJ21" s="117">
        <f t="array" ref="JJ21">INDEX('Global factors'!G$5:G$23,MATCH(2,1/(('Global factors'!$B$5:$B$23&lt;=Main!$C21)*(NOT(ISBLANK('Global factors'!G$5:G$23))))))</f>
        <v>0.08</v>
      </c>
      <c r="JK21" s="113">
        <f t="array" ref="JK21">INDEX('Global factors'!H$5:H$23,MATCH(2,1/(('Global factors'!$B$5:$B$23&lt;=Main!$C21)*(NOT(ISBLANK('Global factors'!H$5:H$23))))))</f>
        <v>101.96</v>
      </c>
      <c r="JL21" s="113">
        <f t="array" ref="JL21">INDEX('Global factors'!I$5:I$23,MATCH(2,1/(('Global factors'!$B$5:$B$23&lt;=Main!$C21)*(NOT(ISBLANK('Global factors'!I$5:I$23))))))</f>
        <v>60.08</v>
      </c>
      <c r="JM21" s="114">
        <f t="array" ref="JM21">INDEX('Global factors'!J$5:J$23,MATCH(2,1/(('Global factors'!$B$5:$B$23&lt;=Main!$C21)*(NOT(ISBLANK('Global factors'!J$5:J$23))))))</f>
        <v>0.84853528628495334</v>
      </c>
      <c r="JN21" s="115">
        <f t="array" ref="JN21">INDEX('Global factors'!K$5:K$23,MATCH(2,1/(('Global factors'!$B$5:$B$23&lt;=Main!$C21)*(NOT(ISBLANK('Global factors'!K$5:K$23))))))</f>
        <v>0.97499999999999998</v>
      </c>
      <c r="JO21" s="116">
        <f t="array" ref="JO21">INDEX('Global factors'!L$5:L$23,MATCH(2,1/(('Global factors'!$B$5:$B$23&lt;=Main!$C21)*(NOT(ISBLANK('Global factors'!L$5:L$23))))))</f>
        <v>8.7299999999999997E-4</v>
      </c>
      <c r="JP21" s="116">
        <f t="array" ref="JP21">INDEX('Global factors'!M$5:M$23,MATCH(2,1/(('Global factors'!$B$5:$B$23&lt;=Main!$C21)*(NOT(ISBLANK('Global factors'!M$5:M$23))))))</f>
        <v>145.88999999999999</v>
      </c>
      <c r="JQ21" s="116">
        <f t="array" ref="JQ21">INDEX('Global factors'!N$5:N$23,MATCH(2,1/(('Global factors'!$B$5:$B$23&lt;=Main!$C21)*(NOT(ISBLANK('Global factors'!N$5:N$23))))))</f>
        <v>0.40339999999999998</v>
      </c>
      <c r="JR21" s="116">
        <f t="array" ref="JR21">INDEX('Global factors'!O$5:O$23,MATCH(2,1/(('Global factors'!$B$5:$B$23&lt;=Main!$C21)*(NOT(ISBLANK('Global factors'!O$5:O$23))))))</f>
        <v>0</v>
      </c>
      <c r="JS21" s="116">
        <f t="array" ref="JS21">INDEX('Global factors'!P$5:P$23,MATCH(2,1/(('Global factors'!$B$5:$B$23&lt;=Main!$C21)*(NOT(ISBLANK('Global factors'!P$5:P$23))))))</f>
        <v>0.51890000000000003</v>
      </c>
      <c r="JT21" s="116">
        <f t="array" ref="JT21">INDEX('Global factors'!Q$5:Q$23,MATCH(2,1/(('Global factors'!$B$5:$B$23&lt;=Main!$C21)*(NOT(ISBLANK('Global factors'!Q$5:Q$23))))))</f>
        <v>4797</v>
      </c>
      <c r="JU21" s="116">
        <f t="array" ref="JU21">INDEX('Global factors'!R$5:R$23,MATCH(2,1/(('Global factors'!$B$5:$B$23&lt;=Main!$C21)*(NOT(ISBLANK('Global factors'!R$5:R$23))))))</f>
        <v>7</v>
      </c>
      <c r="JV21" s="115">
        <f t="array" ref="JV21">INDEX('Global factors'!S$5:S$23,MATCH(2,1/(('Global factors'!$B$5:$B$23&lt;=Main!$C21)*(NOT(ISBLANK('Global factors'!S$5:S$23))))))</f>
        <v>0.12</v>
      </c>
      <c r="JW21" s="115">
        <f t="array" ref="JW21">INDEX('Global factors'!T$5:T$23,MATCH(2,1/(('Global factors'!$B$5:$B$23&lt;=Main!$C21)*(NOT(ISBLANK('Global factors'!T$5:T$23))))))</f>
        <v>0.5</v>
      </c>
      <c r="JX21" s="116">
        <f t="array" ref="JX21">INDEX('Global factors'!U$5:U$23,MATCH(2,1/(('Global factors'!$B$5:$B$23&lt;=Main!$C21)*(NOT(ISBLANK('Global factors'!U$5:U$23))))))</f>
        <v>0.5</v>
      </c>
      <c r="JY21" s="116">
        <f t="array" ref="JY21">INDEX('Global factors'!V$5:V$23,MATCH(2,1/(('Global factors'!$B$5:$B$23&lt;=Main!$C21)*(NOT(ISBLANK('Global factors'!V$5:V$23))))))</f>
        <v>10000</v>
      </c>
      <c r="JZ21" s="116">
        <f t="array" ref="JZ21">INDEX('Global factors'!W$5:W$23,MATCH(2,1/(('Global factors'!$B$5:$B$23&lt;=Main!$C21)*(NOT(ISBLANK('Global factors'!W$5:W$23))))))</f>
        <v>0.10680000000000001</v>
      </c>
      <c r="KA21" s="116">
        <f t="array" ref="KA21">INDEX('Global factors'!X$5:X$23,MATCH(2,1/(('Global factors'!$B$5:$B$23&lt;=Main!$C21)*(NOT(ISBLANK('Global factors'!X$5:X$23))))))</f>
        <v>1.2</v>
      </c>
      <c r="KB21" s="116">
        <v>0</v>
      </c>
      <c r="KC21" s="272">
        <f t="array" ref="KC21">INDEX('Global factors'!Y$5:Y$23,MATCH(2,1/(('Global factors'!$B$5:$B$23&lt;=Main!$C21)*(NOT(ISBLANK('Global factors'!Y$5:Y$23))))))</f>
        <v>23643.7088248818</v>
      </c>
      <c r="KD21" s="273">
        <f t="array" ref="KD21">INDEX('Global factors'!Z$5:Z$23,MATCH(2,1/(('Global factors'!$B$5:$B$23&lt;=Main!$C21)*(NOT(ISBLANK('Global factors'!Z$5:Z$23))))))</f>
        <v>0.62802869915581405</v>
      </c>
      <c r="KE21" s="273">
        <v>0</v>
      </c>
      <c r="KF21" s="273">
        <v>0</v>
      </c>
      <c r="KG21" s="116">
        <v>0</v>
      </c>
      <c r="KH21" s="116">
        <f t="array" ref="KH21">INDEX('Global factors'!AB$5:AB$23,MATCH(2,1/(('Global factors'!$B$5:$B$23&lt;=Main!$C21)*(NOT(ISBLANK('Global factors'!AB$5:AB$23))))))</f>
        <v>6.2556361557795204E-2</v>
      </c>
      <c r="KI21" s="116">
        <f t="array" ref="KI21">INDEX('Global factors'!AC$5:AC$23,MATCH(2,1/(('Global factors'!$B$5:$B$23&lt;=Main!$C21)*(NOT(ISBLANK('Global factors'!AC$5:AC$23))))))</f>
        <v>8.6923129044225601E-4</v>
      </c>
      <c r="KJ21" s="116">
        <f t="array" ref="KJ21">INDEX('Global factors'!AD$5:AD$23,MATCH(2,1/(('Global factors'!$B$5:$B$23&lt;=Main!$C21)*(NOT(ISBLANK('Global factors'!AD$5:AD$23))))))</f>
        <v>1.1499999999999999</v>
      </c>
      <c r="KK21" s="116" t="str">
        <f t="array" ref="KK21">INDEX('Global factors'!AE$5:AE$23,MATCH(2,1/(('Global factors'!$B$5:$B$23&lt;=Main!$C21)*(NOT(ISBLANK('Global factors'!AE$5:AE$23))))))</f>
        <v>Qingdao</v>
      </c>
      <c r="KL21" s="290">
        <f t="array" ref="KL21">INDEX('Global factors'!AF$5:AF$23,MATCH(2,1/(('Global factors'!$B$5:$B$23&lt;=Main!$C21)*(NOT(ISBLANK('Global factors'!AF$5:AF$23))))))</f>
        <v>3.0000000000000001E-3</v>
      </c>
      <c r="KM21" s="290">
        <f t="array" ref="KM21">INDEX('Global factors'!AG$5:AG$23,MATCH(2,1/(('Global factors'!$B$5:$B$23&lt;=Main!$C21)*(NOT(ISBLANK('Global factors'!AG$5:AG$23))))))</f>
        <v>0.05</v>
      </c>
      <c r="KO21" s="287" t="s">
        <v>39</v>
      </c>
      <c r="KQ21" s="25">
        <f t="shared" si="320"/>
        <v>72000</v>
      </c>
      <c r="KR21" s="4" t="str">
        <f>VLOOKUP(KQ21,'Ship Time Charter Rates'!$F$10:$G$17,2,TRUE)</f>
        <v>Panamax</v>
      </c>
      <c r="KS21" s="4" t="str">
        <f>VLOOKUP(KQ21,Canals!$E$5:$F$12,2,TRUE)</f>
        <v>Panamax</v>
      </c>
      <c r="KT21" s="25">
        <f t="shared" si="71"/>
        <v>208.74599999999998</v>
      </c>
      <c r="KU21" s="25">
        <f t="shared" si="72"/>
        <v>29044.799999999999</v>
      </c>
      <c r="KV21" s="25">
        <f t="shared" si="73"/>
        <v>42157.8</v>
      </c>
      <c r="KX21" s="75">
        <f t="array" ref="KX21">INDEX('Indices Mines Exporting Ports'!$R$20:$R$51,MATCH(2,1/(('Indices Mines Exporting Ports'!$D$20:$D$51&lt;=Main!$C21)*('Indices Mines Exporting Ports'!$Q$20:$Q$51=$AP21))))</f>
        <v>15000</v>
      </c>
      <c r="KY21" s="75">
        <f t="array" ref="KY21">INDEX('Indices Mines Exporting Ports'!$S$20:$S$51,MATCH(2,1/(('Indices Mines Exporting Ports'!$D$20:$D$51&lt;=Main!$C21)*('Indices Mines Exporting Ports'!$Q$20:$Q$51=$AP21))))</f>
        <v>15000</v>
      </c>
      <c r="KZ21" s="75">
        <f t="array" ref="KZ21">INDEX('Indices Mines Exporting Ports'!$T$20:$T$51,MATCH(2,1/(('Indices Mines Exporting Ports'!$D$20:$D$51&lt;=Main!$C21)*('Indices Mines Exporting Ports'!$Q$20:$Q$51=$AP21))))</f>
        <v>15000</v>
      </c>
      <c r="LA21" s="75">
        <f t="array" ref="LA21">INDEX('Indices Mines Exporting Ports'!$U$20:$U$51,MATCH(2,1/(('Indices Mines Exporting Ports'!$D$20:$D$51&lt;=Main!$C21)*('Indices Mines Exporting Ports'!$Q$20:$Q$51=$AP21))))</f>
        <v>15000</v>
      </c>
      <c r="LB21" s="75">
        <f t="array" ref="LB21">INDEX('Indices Mines Exporting Ports'!$V$20:$V$51,MATCH(2,1/(('Indices Mines Exporting Ports'!$D$20:$D$51&lt;=Main!$C21)*('Indices Mines Exporting Ports'!$Q$20:$Q$51=$AP21))))</f>
        <v>15000</v>
      </c>
      <c r="LC21" s="75">
        <f t="array" ref="LC21">INDEX('Indices Mines Exporting Ports'!$W$20:$W$51,MATCH(2,1/(('Indices Mines Exporting Ports'!$D$20:$D$51&lt;=Main!$C21)*('Indices Mines Exporting Ports'!$Q$20:$Q$51=$AP21))))</f>
        <v>15000</v>
      </c>
      <c r="LD21" s="75">
        <f t="array" ref="LD21">INDEX('Indices Mines Exporting Ports'!$X$20:$X$51,MATCH(2,1/(('Indices Mines Exporting Ports'!$D$20:$D$51&lt;=Main!$C21)*('Indices Mines Exporting Ports'!$Q$20:$Q$51=$AP21))))</f>
        <v>15000</v>
      </c>
      <c r="LF21" s="75">
        <f t="array" ref="LF21">INDEX('Port Linkages'!$E$18:$E$157,MATCH(2,1/(('Port Linkages'!$C$18:$C$157=$AP21)*('Port Linkages'!$D$18:$D$157=IF($AO21="Yes",$AQ21,$AS21))*('Port Linkages'!$A$18:$A$157&lt;=$C21))))</f>
        <v>3542</v>
      </c>
      <c r="LG21" s="75">
        <f t="array" ref="LG21">INDEX('Port Linkages'!$F$18:$F$157,MATCH(2,1/(('Port Linkages'!$C$18:$C$157=$AP21)*('Port Linkages'!$D$18:$D$157=IF($AO21="Yes",$AQ21,$AS21))*('Port Linkages'!$A$18:$A$157&lt;=$C21))))</f>
        <v>0</v>
      </c>
      <c r="LH21" s="75" t="str">
        <f t="array" ref="LH21">INDEX('Port Linkages'!$G$18:$G$157,MATCH(2,1/(('Port Linkages'!$C$18:$C$157=$AP21)*('Port Linkages'!$D$18:$D$157=IF($AO21="Yes",$AQ21,$AS21))*('Port Linkages'!$A$18:$A$157&lt;=$C21))))</f>
        <v>VLOC_General</v>
      </c>
      <c r="LI21" s="75" t="str">
        <f t="array" ref="LI21">INDEX('Port Linkages'!$H$18:$H$157,MATCH(2,1/(('Port Linkages'!$C$18:$C$157=$AP21)*('Port Linkages'!$D$18:$D$157=IF($AO21="Yes",$AQ21,$AS21))*('Port Linkages'!$A$18:$A$157&lt;=$C21))))</f>
        <v>Singapore</v>
      </c>
      <c r="LJ21" s="75" t="str">
        <f t="array" ref="LJ21">INDEX('Port Linkages'!$I$18:$I$157,MATCH(2,1/(('Port Linkages'!$C$18:$C$157=$AP21)*('Port Linkages'!$D$18:$D$157=IF($AO21="Yes",$AQ21,$AS21))*('Port Linkages'!$A$18:$A$157&lt;=$C21))))</f>
        <v>VLSFO</v>
      </c>
      <c r="LK21" s="75" t="str">
        <f t="array" ref="LK21">INDEX('Port Linkages'!$J$18:$J$157,MATCH(2,1/(('Port Linkages'!$C$18:$C$157=$AP21)*('Port Linkages'!$D$18:$D$157=IF($AO21="Yes",$AQ21,$AS21))*('Port Linkages'!$A$18:$A$157&lt;=$C21))))</f>
        <v>MGO_Regular</v>
      </c>
      <c r="LL21" s="75" t="str">
        <f t="array" ref="LL21">INDEX('Port Linkages'!$K$18:$K$157,MATCH(2,1/(('Port Linkages'!$C$18:$C$157=$AP21)*('Port Linkages'!$D$18:$D$157=IF($AO21="Yes",$AQ21,$AS21))*('Port Linkages'!$A$18:$A$157&lt;=$C21))))</f>
        <v>none</v>
      </c>
      <c r="LM21" s="75">
        <f t="array" ref="LM21">INDEX('Port Linkages'!$L$18:$L$157,MATCH(2,1/(('Port Linkages'!$C$18:$C$157=$AP21)*('Port Linkages'!$D$18:$D$157=IF($AO21="Yes",$AQ21,$AS21))*('Port Linkages'!$A$18:$A$157&lt;=$C21))))</f>
        <v>3542</v>
      </c>
      <c r="LN21" s="75">
        <f t="array" ref="LN21">INDEX('Port Linkages'!$M$18:$M$157,MATCH(2,1/(('Port Linkages'!$C$18:$C$157=$AP21)*('Port Linkages'!$D$18:$D$157=IF($AO21="Yes",$AQ21,$AS21))*('Port Linkages'!$A$18:$A$157&lt;=$C21))))</f>
        <v>0</v>
      </c>
      <c r="LO21" s="75" t="str">
        <f t="array" ref="LO21">INDEX('Port Linkages'!$N$18:$N$157,MATCH(2,1/(('Port Linkages'!$C$18:$C$157=$AP21)*('Port Linkages'!$D$18:$D$157=IF($AO21="Yes",$AQ21,$AS21))*('Port Linkages'!$A$18:$A$157&lt;=$C21))))</f>
        <v>Capesize_General</v>
      </c>
      <c r="LP21" s="75" t="str">
        <f t="array" ref="LP21">INDEX('Port Linkages'!$O$18:$O$157,MATCH(2,1/(('Port Linkages'!$C$18:$C$157=$AP21)*('Port Linkages'!$D$18:$D$157=IF($AO21="Yes",$AQ21,$AS21))*('Port Linkages'!$A$18:$A$157&lt;=$C21))))</f>
        <v>Singapore</v>
      </c>
      <c r="LQ21" s="75" t="str">
        <f t="array" ref="LQ21">INDEX('Port Linkages'!$P$18:$P$157,MATCH(2,1/(('Port Linkages'!$C$18:$C$157=$AP21)*('Port Linkages'!$D$18:$D$157=IF($AO21="Yes",$AQ21,$AS21))*('Port Linkages'!$A$18:$A$157&lt;=$C21))))</f>
        <v>VLSFO</v>
      </c>
      <c r="LR21" s="75" t="str">
        <f t="array" ref="LR21">INDEX('Port Linkages'!$Q$18:$Q$157,MATCH(2,1/(('Port Linkages'!$C$18:$C$157=$AP21)*('Port Linkages'!$D$18:$D$157=IF($AO21="Yes",$AQ21,$AS21))*('Port Linkages'!$A$18:$A$157&lt;=$C21))))</f>
        <v>MGO_Regular</v>
      </c>
      <c r="LS21" s="75" t="str">
        <f t="array" ref="LS21">INDEX('Port Linkages'!$R$18:$R$157,MATCH(2,1/(('Port Linkages'!$C$18:$C$157=$AP21)*('Port Linkages'!$D$18:$D$157=IF($AO21="Yes",$AQ21,$AS21))*('Port Linkages'!$A$18:$A$157&lt;=$C21))))</f>
        <v>none</v>
      </c>
      <c r="LT21" s="75">
        <f t="array" ref="LT21">INDEX('Port Linkages'!$S$18:$S$157,MATCH(2,1/(('Port Linkages'!$C$18:$C$157=$AP21)*('Port Linkages'!$D$18:$D$157=IF($AO21="Yes",$AQ21,$AS21))*('Port Linkages'!$A$18:$A$157&lt;=$C21))))</f>
        <v>3542</v>
      </c>
      <c r="LU21" s="75">
        <f t="array" ref="LU21">INDEX('Port Linkages'!$T$18:$T$157,MATCH(2,1/(('Port Linkages'!$C$18:$C$157=$AP21)*('Port Linkages'!$D$18:$D$157=IF($AO21="Yes",$AQ21,$AS21))*('Port Linkages'!$A$18:$A$157&lt;=$C21))))</f>
        <v>0</v>
      </c>
      <c r="LV21" s="75" t="str">
        <f t="array" ref="LV21">INDEX('Port Linkages'!$U$18:$U$157,MATCH(2,1/(('Port Linkages'!$C$18:$C$157=$AP21)*('Port Linkages'!$D$18:$D$157=IF($AO21="Yes",$AQ21,$AS21))*('Port Linkages'!$A$18:$A$157&lt;=$C21))))</f>
        <v>Capesize_General</v>
      </c>
      <c r="LW21" s="75" t="str">
        <f t="array" ref="LW21">INDEX('Port Linkages'!$V$18:$V$157,MATCH(2,1/(('Port Linkages'!$C$18:$C$157=$AP21)*('Port Linkages'!$D$18:$D$157=IF($AO21="Yes",$AQ21,$AS21))*('Port Linkages'!$A$18:$A$157&lt;=$C21))))</f>
        <v>Singapore</v>
      </c>
      <c r="LX21" s="75" t="str">
        <f t="array" ref="LX21">INDEX('Port Linkages'!$W$18:$W$157,MATCH(2,1/(('Port Linkages'!$C$18:$C$157=$AP21)*('Port Linkages'!$D$18:$D$157=IF($AO21="Yes",$AQ21,$AS21))*('Port Linkages'!$A$18:$A$157&lt;=$C21))))</f>
        <v>VLSFO</v>
      </c>
      <c r="LY21" s="75" t="str">
        <f t="array" ref="LY21">INDEX('Port Linkages'!$X$18:$X$157,MATCH(2,1/(('Port Linkages'!$C$18:$C$157=$AP21)*('Port Linkages'!$D$18:$D$157=IF($AO21="Yes",$AQ21,$AS21))*('Port Linkages'!$A$18:$A$157&lt;=$C21))))</f>
        <v>MGO_Regular</v>
      </c>
      <c r="LZ21" s="75" t="str">
        <f t="array" ref="LZ21">INDEX('Port Linkages'!$Y$18:$Y$157,MATCH(2,1/(('Port Linkages'!$C$18:$C$157=$AP21)*('Port Linkages'!$D$18:$D$157=IF($AO21="Yes",$AQ21,$AS21))*('Port Linkages'!$A$18:$A$157&lt;=$C21))))</f>
        <v>none</v>
      </c>
      <c r="MA21" s="75">
        <f t="array" ref="MA21">INDEX('Port Linkages'!$Z$18:$Z$157,MATCH(2,1/(('Port Linkages'!$C$18:$C$157=$AP21)*('Port Linkages'!$D$18:$D$157=IF($AO21="Yes",$AQ21,$AS21))*('Port Linkages'!$A$18:$A$157&lt;=$C21))))</f>
        <v>3542</v>
      </c>
      <c r="MB21" s="75">
        <f t="array" ref="MB21">INDEX('Port Linkages'!$AA$18:$AA$157,MATCH(2,1/(('Port Linkages'!$C$18:$C$157=$AP21)*('Port Linkages'!$D$18:$D$157=IF($AO21="Yes",$AQ21,$AS21))*('Port Linkages'!$A$18:$A$157&lt;=$C21))))</f>
        <v>0</v>
      </c>
      <c r="MC21" s="75" t="str">
        <f t="array" ref="MC21">INDEX('Port Linkages'!$AB$18:$AB$157,MATCH(2,1/(('Port Linkages'!$C$18:$C$157=$AP21)*('Port Linkages'!$D$18:$D$157=IF($AO21="Yes",$AQ21,$AS21))*('Port Linkages'!$A$18:$A$157&lt;=$C21))))</f>
        <v>Capesize_General</v>
      </c>
      <c r="MD21" s="75" t="str">
        <f t="array" ref="MD21">INDEX('Port Linkages'!$AC$18:$AC$157,MATCH(2,1/(('Port Linkages'!$C$18:$C$157=$AP21)*('Port Linkages'!$D$18:$D$157=IF($AO21="Yes",$AQ21,$AS21))*('Port Linkages'!$A$18:$A$157&lt;=$C21))))</f>
        <v>Singapore</v>
      </c>
      <c r="ME21" s="75" t="str">
        <f t="array" ref="ME21">INDEX('Port Linkages'!$AD$18:$AD$157,MATCH(2,1/(('Port Linkages'!$C$18:$C$157=$AP21)*('Port Linkages'!$D$18:$D$157=IF($AO21="Yes",$AQ21,$AS21))*('Port Linkages'!$A$18:$A$157&lt;=$C21))))</f>
        <v>VLSFO</v>
      </c>
      <c r="MF21" s="75" t="str">
        <f t="array" ref="MF21">INDEX('Port Linkages'!$AE$18:$AE$157,MATCH(2,1/(('Port Linkages'!$C$18:$C$157=$AP21)*('Port Linkages'!$D$18:$D$157=IF($AO21="Yes",$AQ21,$AS21))*('Port Linkages'!$A$18:$A$157&lt;=$C21))))</f>
        <v>MGO_Regular</v>
      </c>
      <c r="MG21" s="75" t="str">
        <f t="array" ref="MG21">INDEX('Port Linkages'!$AF$18:$AF$157,MATCH(2,1/(('Port Linkages'!$C$18:$C$157=$AP21)*('Port Linkages'!$D$18:$D$157=IF($AO21="Yes",$AQ21,$AS21))*('Port Linkages'!$A$18:$A$157&lt;=$C21))))</f>
        <v>none</v>
      </c>
      <c r="MH21" s="75">
        <f t="array" ref="MH21">INDEX('Port Linkages'!$AG$18:$AG$157,MATCH(2,1/(('Port Linkages'!$C$18:$C$157=$AP21)*('Port Linkages'!$D$18:$D$157=IF($AO21="Yes",$AQ21,$AS21))*('Port Linkages'!$A$18:$A$157&lt;=$C21))))</f>
        <v>3542</v>
      </c>
      <c r="MI21" s="75">
        <f t="array" ref="MI21">INDEX('Port Linkages'!$AH$18:$AH$157,MATCH(2,1/(('Port Linkages'!$C$18:$C$157=$AP21)*('Port Linkages'!$D$18:$D$157=IF($AO21="Yes",$AQ21,$AS21))*('Port Linkages'!$A$18:$A$157&lt;=$C21))))</f>
        <v>0</v>
      </c>
      <c r="MJ21" s="75" t="str">
        <f t="array" ref="MJ21">INDEX('Port Linkages'!$AI$18:$AI$157,MATCH(2,1/(('Port Linkages'!$C$18:$C$157=$AP21)*('Port Linkages'!$D$18:$D$157=IF($AO21="Yes",$AQ21,$AS21))*('Port Linkages'!$A$18:$A$157&lt;=$C21))))</f>
        <v>Panamax_General</v>
      </c>
      <c r="MK21" s="75" t="str">
        <f t="array" ref="MK21">INDEX('Port Linkages'!$AJ$18:$AJ$157,MATCH(2,1/(('Port Linkages'!$C$18:$C$157=$AP21)*('Port Linkages'!$D$18:$D$157=IF($AO21="Yes",$AQ21,$AS21))*('Port Linkages'!$A$18:$A$157&lt;=$C21))))</f>
        <v>Singapore</v>
      </c>
      <c r="ML21" s="75" t="str">
        <f t="array" ref="ML21">INDEX('Port Linkages'!$AK$18:$AK$157,MATCH(2,1/(('Port Linkages'!$C$18:$C$157=$AP21)*('Port Linkages'!$D$18:$D$157=IF($AO21="Yes",$AQ21,$AS21))*('Port Linkages'!$A$18:$A$157&lt;=$C21))))</f>
        <v>VLSFO</v>
      </c>
      <c r="MM21" s="75" t="str">
        <f t="array" ref="MM21">INDEX('Port Linkages'!$AL$18:$AL$157,MATCH(2,1/(('Port Linkages'!$C$18:$C$157=$AP21)*('Port Linkages'!$D$18:$D$157=IF($AO21="Yes",$AQ21,$AS21))*('Port Linkages'!$A$18:$A$157&lt;=$C21))))</f>
        <v>MGO_Regular</v>
      </c>
      <c r="MN21" s="75" t="str">
        <f t="array" ref="MN21">INDEX('Port Linkages'!$AM$18:$AM$157,MATCH(2,1/(('Port Linkages'!$C$18:$C$157=$AP21)*('Port Linkages'!$D$18:$D$157=IF($AO21="Yes",$AQ21,$AS21))*('Port Linkages'!$A$18:$A$157&lt;=$C21))))</f>
        <v>none</v>
      </c>
      <c r="MO21" s="75">
        <f t="array" ref="MO21">INDEX('Port Linkages'!$AN$18:$AN$157,MATCH(2,1/(('Port Linkages'!$C$18:$C$157=$AP21)*('Port Linkages'!$D$18:$D$157=IF($AO21="Yes",$AQ21,$AS21))*('Port Linkages'!$A$18:$A$157&lt;=$C21))))</f>
        <v>3542</v>
      </c>
      <c r="MP21" s="75">
        <f t="array" ref="MP21">INDEX('Port Linkages'!$AO$18:$AO$157,MATCH(2,1/(('Port Linkages'!$C$18:$C$157=$AP21)*('Port Linkages'!$D$18:$D$157=IF($AO21="Yes",$AQ21,$AS21))*('Port Linkages'!$A$18:$A$157&lt;=$C21))))</f>
        <v>0</v>
      </c>
      <c r="MQ21" s="75" t="str">
        <f t="array" ref="MQ21">INDEX('Port Linkages'!$AP$18:$AP$157,MATCH(2,1/(('Port Linkages'!$C$18:$C$157=$AP21)*('Port Linkages'!$D$18:$D$157=IF($AO21="Yes",$AQ21,$AS21))*('Port Linkages'!$A$18:$A$157&lt;=$C21))))</f>
        <v>Supramax_General</v>
      </c>
      <c r="MR21" s="75" t="str">
        <f t="array" ref="MR21">INDEX('Port Linkages'!$AQ$18:$AQ$157,MATCH(2,1/(('Port Linkages'!$C$18:$C$157=$AP21)*('Port Linkages'!$D$18:$D$157=IF($AO21="Yes",$AQ21,$AS21))*('Port Linkages'!$A$18:$A$157&lt;=$C21))))</f>
        <v>Singapore</v>
      </c>
      <c r="MS21" s="75" t="str">
        <f t="array" ref="MS21">INDEX('Port Linkages'!$AR$18:$AR$157,MATCH(2,1/(('Port Linkages'!$C$18:$C$157=$AP21)*('Port Linkages'!$D$18:$D$157=IF($AO21="Yes",$AQ21,$AS21))*('Port Linkages'!$A$18:$A$157&lt;=$C21))))</f>
        <v>VLSFO</v>
      </c>
      <c r="MT21" s="75" t="str">
        <f t="array" ref="MT21">INDEX('Port Linkages'!$AS$18:$AS$157,MATCH(2,1/(('Port Linkages'!$C$18:$C$157=$AP21)*('Port Linkages'!$D$18:$D$157=IF($AO21="Yes",$AQ21,$AS21))*('Port Linkages'!$A$18:$A$157&lt;=$C21))))</f>
        <v>MGO_Regular</v>
      </c>
      <c r="MU21" s="75" t="str">
        <f t="array" ref="MU21">INDEX('Port Linkages'!$AT$18:$AT$157,MATCH(2,1/(('Port Linkages'!$C$18:$C$157=$AP21)*('Port Linkages'!$D$18:$D$157=IF($AO21="Yes",$AQ21,$AS21))*('Port Linkages'!$A$18:$A$157&lt;=$C21))))</f>
        <v>none</v>
      </c>
      <c r="MV21" s="75">
        <f t="array" ref="MV21">INDEX('Port Linkages'!$AU$18:$AU$157,MATCH(2,1/(('Port Linkages'!$C$18:$C$157=$AP21)*('Port Linkages'!$D$18:$D$157=IF($AO21="Yes",$AQ21,$AS21))*('Port Linkages'!$A$18:$A$157&lt;=$C21))))</f>
        <v>3542</v>
      </c>
      <c r="MW21" s="75">
        <f t="array" ref="MW21">INDEX('Port Linkages'!$AV$18:$AV$157,MATCH(2,1/(('Port Linkages'!$C$18:$C$157=$AP21)*('Port Linkages'!$D$18:$D$157=IF($AO21="Yes",$AQ21,$AS21))*('Port Linkages'!$A$18:$A$157&lt;=$C21))))</f>
        <v>0</v>
      </c>
      <c r="MX21" s="75" t="str">
        <f t="array" ref="MX21">INDEX('Port Linkages'!$AW$18:$AW$157,MATCH(2,1/(('Port Linkages'!$C$18:$C$157=$AP21)*('Port Linkages'!$D$18:$D$157=IF($AO21="Yes",$AQ21,$AS21))*('Port Linkages'!$A$18:$A$157&lt;=$C21))))</f>
        <v>Handysize_General</v>
      </c>
      <c r="MY21" s="75" t="str">
        <f t="array" ref="MY21">INDEX('Port Linkages'!$AX$18:$AX$157,MATCH(2,1/(('Port Linkages'!$C$18:$C$157=$AP21)*('Port Linkages'!$D$18:$D$157=IF($AO21="Yes",$AQ21,$AS21))*('Port Linkages'!$A$18:$A$157&lt;=$C21))))</f>
        <v>Singapore</v>
      </c>
      <c r="MZ21" s="75" t="str">
        <f t="array" ref="MZ21">INDEX('Port Linkages'!$AY$18:$AY$157,MATCH(2,1/(('Port Linkages'!$C$18:$C$157=$AP21)*('Port Linkages'!$D$18:$D$157=IF($AO21="Yes",$AQ21,$AS21))*('Port Linkages'!$A$18:$A$157&lt;=$C21))))</f>
        <v>VLSFO</v>
      </c>
      <c r="NA21" s="75" t="str">
        <f t="array" ref="NA21">INDEX('Port Linkages'!$AZ$18:$AZ$157,MATCH(2,1/(('Port Linkages'!$C$18:$C$157=$AP21)*('Port Linkages'!$D$18:$D$157=IF($AO21="Yes",$AQ21,$AS21))*('Port Linkages'!$A$18:$A$157&lt;=$C21))))</f>
        <v>MGO_Regular</v>
      </c>
      <c r="NB21" s="75" t="str">
        <f t="array" ref="NB21">INDEX('Port Linkages'!$BA$18:$BA$157,MATCH(2,1/(('Port Linkages'!$C$18:$C$157=$AP21)*('Port Linkages'!$D$18:$D$157=IF($AO21="Yes",$AQ21,$AS21))*('Port Linkages'!$A$18:$A$157&lt;=$C21))))</f>
        <v>none</v>
      </c>
      <c r="ND21" s="25" t="e">
        <f t="array" aca="1" ref="ND21" ca="1">INDEX('Ship Fuel Prices'!$F$5:$F$1004,MATCH(2,1/(('Ship Fuel Prices'!$E$5:$E$1004=_xlfn.IFS(KS21="Handysize",Main!MY21,KS21="Supramax",MR21,KS21="Panamax",MK21,KS21="NeoPanamax",MD21,KS21="Suezmax",LW21,KS21="Capesize",LP21,KS21="VLOC",LI21))*('Ship Fuel Prices'!$D$5:$D$1004&lt;=Main!$C21))))</f>
        <v>#N/A</v>
      </c>
      <c r="NE21" s="25" t="e">
        <f t="array" aca="1" ref="NE21" ca="1">INDEX('Ship Fuel Prices'!$G$5:$G$1004,MATCH(2,1/(('Ship Fuel Prices'!$E$5:$E$1004=_xlfn.IFS(KS21="Handysize",Main!MY21,KS21="Supramax",MR21,KS21="Panamax",MK21,KS21="NeoPanamax",MD21,KS21="Suezmax",LW21,KS21="Capesize",LP21,KS21="VLOC",LI21))*('Ship Fuel Prices'!$D$5:$D$1004&lt;=Main!$C21))))</f>
        <v>#N/A</v>
      </c>
      <c r="NF21" s="25" t="e">
        <f t="array" aca="1" ref="NF21" ca="1">INDEX('Ship Fuel Prices'!$H$5:$H$1004,MATCH(2,1/(('Ship Fuel Prices'!$E$5:$E$1004=_xlfn.IFS(KS21="Handysize",Main!MY21,KS21="Supramax",MR21,KS21="Panamax",MK21,KS21="NeoPanamax",MD21,KS21="Suezmax",LW21,KS21="Capesize",LP21,KS21="VLOC",LI21))*('Ship Fuel Prices'!$D$5:$D$1004&lt;=Main!$C21))))</f>
        <v>#N/A</v>
      </c>
      <c r="NG21" s="25" t="e">
        <f t="array" aca="1" ref="NG21" ca="1">INDEX('Ship Fuel Prices'!$I$5:$I$1004,MATCH(2,1/(('Ship Fuel Prices'!$E$5:$E$1004=_xlfn.IFS(KS21="Handysize",Main!MY21,KS21="Supramax",MR21,KS21="Panamax",MK21,KS21="NeoPanamax",MD21,KS21="Suezmax",LW21,KS21="Capesize",LP21,KS21="VLOC",LI21))*('Ship Fuel Prices'!$D$5:$D$1004&lt;=Main!$C21))))</f>
        <v>#N/A</v>
      </c>
      <c r="NH21" s="25" t="e">
        <f t="array" aca="1" ref="NH21" ca="1">INDEX('Ship Fuel Prices'!$J$5:$J$1004,MATCH(2,1/(('Ship Fuel Prices'!$E$5:$E$1004=_xlfn.IFS(KS21="Handysize",Main!MY21,KS21="Supramax",MR21,KS21="Panamax",MK21,KS21="NeoPanamax",MD21,KS21="Suezmax",LW21,KS21="Capesize",LP21,KS21="VLOC",LI21))*('Ship Fuel Prices'!$D$5:$D$1004&lt;=Main!$C21))))</f>
        <v>#N/A</v>
      </c>
      <c r="NJ21" s="75">
        <f t="array" ref="NJ21">INDEX('China n Importing Ports'!$E$20:$E$41,MATCH(2,1/(('China n Importing Ports'!$D$20:$D$41&lt;=$C21)*('China n Importing Ports'!$C$20:$C$41=IF($AO21="Yes",$AQ21,$AS21)))))</f>
        <v>42500</v>
      </c>
      <c r="NK21" s="75">
        <f t="array" ref="NK21">INDEX('China n Importing Ports'!$F$20:$F$41,MATCH(2,1/(('China n Importing Ports'!$D$20:$D$41&lt;=$C21)*('China n Importing Ports'!$C$20:$C$41=IF($AO21="Yes",$AQ21,$AS21)))))</f>
        <v>42500</v>
      </c>
      <c r="NL21" s="75">
        <f t="array" ref="NL21">INDEX('China n Importing Ports'!$G$20:$G$41,MATCH(2,1/(('China n Importing Ports'!$D$20:$D$41&lt;=$C21)*('China n Importing Ports'!$C$20:$C$41=IF($AO21="Yes",$AQ21,$AS21)))))</f>
        <v>42500</v>
      </c>
      <c r="NM21" s="75">
        <f t="array" ref="NM21">INDEX('China n Importing Ports'!$H$20:$H$41,MATCH(2,1/(('China n Importing Ports'!$D$20:$D$41&lt;=$C21)*('China n Importing Ports'!$C$20:$C$41=IF($AO21="Yes",$AQ21,$AS21)))))</f>
        <v>42500</v>
      </c>
      <c r="NN21" s="75">
        <f t="array" ref="NN21">INDEX('China n Importing Ports'!$I$20:$I$41,MATCH(2,1/(('China n Importing Ports'!$D$20:$D$41&lt;=$C21)*('China n Importing Ports'!$C$20:$C$41=IF($AO21="Yes",$AQ21,$AS21)))))</f>
        <v>42500</v>
      </c>
      <c r="NO21" s="75">
        <f t="array" ref="NO21">INDEX('China n Importing Ports'!$J$20:$J$41,MATCH(2,1/(('China n Importing Ports'!$D$20:$D$41&lt;=$C21)*('China n Importing Ports'!$C$20:$C$41=IF($AO21="Yes",$AQ21,$AS21)))))</f>
        <v>42500</v>
      </c>
      <c r="NP21" s="75">
        <f t="array" ref="NP21">INDEX('China n Importing Ports'!$K$20:$K$41,MATCH(2,1/(('China n Importing Ports'!$D$20:$D$41&lt;=$C21)*('China n Importing Ports'!$C$20:$C$41=IF($AO21="Yes",$AQ21,$AS21)))))</f>
        <v>42500</v>
      </c>
      <c r="NQ21" s="75" t="str">
        <f t="array" ref="NQ21">INDEX('China n Importing Ports'!$L$20:$L$41,MATCH(2,1/(('China n Importing Ports'!$D$20:$D$41&lt;=$C21)*('China n Importing Ports'!$C$20:$C$41=IF($AO21="Yes",$AQ21,$AS21)))))</f>
        <v>RMB</v>
      </c>
      <c r="NR21" s="75">
        <f t="array" ref="NR21">INDEX('China n Importing Ports'!$M$20:$M$41,MATCH(2,1/(('China n Importing Ports'!$D$20:$D$41&lt;=$C21)*('China n Importing Ports'!$C$20:$C$41=IF($AO21="Yes",$AQ21,$AS21)))))</f>
        <v>12342</v>
      </c>
      <c r="NS21" s="75">
        <f t="array" ref="NS21">INDEX('China n Importing Ports'!$N$20:$N$41,MATCH(2,1/(('China n Importing Ports'!$D$20:$D$41&lt;=$C21)*('China n Importing Ports'!$C$20:$C$41=IF($AO21="Yes",$AQ21,$AS21)))))</f>
        <v>0</v>
      </c>
      <c r="NT21" s="75">
        <f t="array" ref="NT21">INDEX('China n Importing Ports'!$O$20:$O$41,MATCH(2,1/(('China n Importing Ports'!$D$20:$D$41&lt;=$C21)*('China n Importing Ports'!$C$20:$C$41=IF($AO21="Yes",$AQ21,$AS21)))))</f>
        <v>0</v>
      </c>
      <c r="NU21" s="136">
        <f t="array" ref="NU21">INDEX('China n Importing Ports'!$P$20:$P$41,MATCH(2,1/(('China n Importing Ports'!$D$20:$D$41&lt;=$C21)*('China n Importing Ports'!$C$20:$C$41=IF($AO21="Yes",$AQ21,$AS21)))))</f>
        <v>2.64</v>
      </c>
      <c r="NV21" s="136">
        <f t="array" ref="NV21">INDEX('China n Importing Ports'!$Q$20:$Q$41,MATCH(2,1/(('China n Importing Ports'!$D$20:$D$41&lt;=$C21)*('China n Importing Ports'!$C$20:$C$41=IF($AO21="Yes",$AQ21,$AS21)))))</f>
        <v>0</v>
      </c>
      <c r="NW21" s="136">
        <f t="array" ref="NW21">INDEX('China n Importing Ports'!$R$20:$R$41,MATCH(2,1/(('China n Importing Ports'!$D$20:$D$41&lt;=$C21)*('China n Importing Ports'!$C$20:$C$41=IF($AO21="Yes",$AQ21,$AS21)))))</f>
        <v>0</v>
      </c>
      <c r="NX21" s="136">
        <f t="array" ref="NX21">INDEX('China n Importing Ports'!$S$20:$S$41,MATCH(2,1/(('China n Importing Ports'!$D$20:$D$41&lt;=$C21)*('China n Importing Ports'!$C$20:$C$41=IF($AO21="Yes",$AQ21,$AS21)))))</f>
        <v>4.53</v>
      </c>
      <c r="NY21" s="136">
        <f t="array" ref="NY21">INDEX('China n Importing Ports'!$T$20:$T$41,MATCH(2,1/(('China n Importing Ports'!$D$20:$D$41&lt;=$C21)*('China n Importing Ports'!$C$20:$C$41=IF($AO21="Yes",$AQ21,$AS21)))))</f>
        <v>0.36699999999999999</v>
      </c>
      <c r="NZ21" s="136">
        <f t="array" ref="NZ21">INDEX('China n Importing Ports'!$U$20:$U$41,MATCH(2,1/(('China n Importing Ports'!$D$20:$D$41&lt;=$C21)*('China n Importing Ports'!$C$20:$C$41=IF($AO21="Yes",$AQ21,$AS21)))))</f>
        <v>0.05</v>
      </c>
      <c r="OA21" s="136">
        <f t="array" ref="OA21">INDEX('China n Importing Ports'!$V$20:$V$41,MATCH(2,1/(('China n Importing Ports'!$D$20:$D$41&lt;=$C21)*('China n Importing Ports'!$C$20:$C$41=IF($AO21="Yes",$AQ21,$AS21)))))</f>
        <v>0</v>
      </c>
      <c r="OB21" s="136">
        <f t="array" ref="OB21">INDEX('China n Importing Ports'!$W$20:$W$41,MATCH(2,1/(('China n Importing Ports'!$D$20:$D$41&lt;=$C21)*('China n Importing Ports'!$C$20:$C$41=IF($AO21="Yes",$AQ21,$AS21)))))</f>
        <v>0</v>
      </c>
      <c r="OC21" s="136">
        <f t="array" ref="OC21">INDEX('China n Importing Ports'!$X$20:$X$41,MATCH(2,1/(('China n Importing Ports'!$D$20:$D$41&lt;=$C21)*('China n Importing Ports'!$C$20:$C$41=IF($AO21="Yes",$AQ21,$AS21)))))</f>
        <v>0</v>
      </c>
      <c r="OD21" s="136">
        <f t="array" ref="OD21">INDEX('China n Importing Ports'!$Y$20:$Y$41,MATCH(2,1/(('China n Importing Ports'!$D$20:$D$41&lt;=$C21)*('China n Importing Ports'!$C$20:$C$41=IF($AO21="Yes",$AQ21,$AS21)))))</f>
        <v>197</v>
      </c>
      <c r="OE21" s="136">
        <f t="array" ref="OE21">INDEX('China n Importing Ports'!$Z$20:$Z$41,MATCH(2,1/(('China n Importing Ports'!$D$20:$D$41&lt;=$C21)*('China n Importing Ports'!$C$20:$C$41=IF($AO21="Yes",$AQ21,$AS21)))))</f>
        <v>0</v>
      </c>
      <c r="OF21" s="136">
        <f t="array" ref="OF21">INDEX('China n Importing Ports'!$AA$20:$AA$41,MATCH(2,1/(('China n Importing Ports'!$D$20:$D$41&lt;=$C21)*('China n Importing Ports'!$C$20:$C$41=IF($AO21="Yes",$AQ21,$AS21)))))</f>
        <v>0</v>
      </c>
      <c r="OH21" s="75" t="e">
        <f t="array" aca="1" ref="OH21" ca="1">INDEX(Canals!$G$24:$G$29,MATCH(2,1/((Canals!$F$24:$F$29&lt;=$C21)*(Canals!$G$24:$G$29=_xlfn.IFS(KS21="Handysize",Main!NB21,KS21="Supramax",MU21,KS21="Panamax",MN21,KS21="NeoPanamax",MG21,KS21="Suezmax",LZ21,KS21="Capesize",LS21,KS21="VLOC",LL21)))))</f>
        <v>#N/A</v>
      </c>
      <c r="OI21" s="75" t="e">
        <f t="array" aca="1" ref="OI21" ca="1">INDEX(Canals!$H$24:$H$29,MATCH(2,1/((Canals!$F$24:$F$29&lt;=$C21)*(Canals!$G$24:$G$29=_xlfn.IFS(KS21="Handysize",Main!NB21,KS21="Supramax",MU21,KS21="Panamax",MN21,KS21="NeoPanamax",MG21,KS21="Suezmax",LZ21,KS21="Capesize",LS21,KS21="VLOC",LL21)))))</f>
        <v>#N/A</v>
      </c>
      <c r="OJ21" s="75" t="e">
        <f t="array" aca="1" ref="OJ21" ca="1">INDEX(Canals!$I$24:$I$29,MATCH(2,1/((Canals!$F$24:$F$29&lt;=$C21)*(Canals!$G$24:$G$29=_xlfn.IFS(KS21="Handysize",Main!NB21,KS21="Supramax",MU21,KS21="Panamax",MN21,KS21="NeoPanamax",MG21,KS21="Suezmax",LZ21,KS21="Capesize",LS21,KS21="VLOC",LL21)))))</f>
        <v>#N/A</v>
      </c>
      <c r="OK21" s="75" t="e">
        <f t="array" aca="1" ref="OK21" ca="1">INDEX(Canals!$J$24:$J$29,MATCH(2,1/((Canals!$F$24:$F$29&lt;=$C21)*(Canals!$G$24:$G$29=_xlfn.IFS(KS21="Handysize",Main!NB21,KS21="Supramax",MU21,KS21="Panamax",MN21,KS21="NeoPanamax",MG21,KS21="Suezmax",LZ21,KS21="Capesize",LS21,KS21="VLOC",LL21)))))</f>
        <v>#N/A</v>
      </c>
      <c r="OL21" s="75" t="e">
        <f t="array" aca="1" ref="OL21" ca="1">INDEX(Canals!$K$24:$K$29,MATCH(2,1/((Canals!$F$24:$F$29&lt;=$C21)*(Canals!$G$24:$G$29=_xlfn.IFS(KS21="Handysize",Main!NB21,KS21="Supramax",MU21,KS21="Panamax",MN21,KS21="NeoPanamax",MG21,KS21="Suezmax",LZ21,KS21="Capesize",LS21,KS21="VLOC",LL21)))))</f>
        <v>#N/A</v>
      </c>
      <c r="OM21" s="75" t="e">
        <f t="array" aca="1" ref="OM21" ca="1">INDEX(Canals!$L$24:$L$29,MATCH(2,1/((Canals!$F$24:$F$29&lt;=$C21)*(Canals!$G$24:$G$29=_xlfn.IFS(KS21="Handysize",Main!NB21,KS21="Supramax",MU21,KS21="Panamax",MN21,KS21="NeoPanamax",MG21,KS21="Suezmax",LZ21,KS21="Capesize",LS21,KS21="VLOC",LL21)))))</f>
        <v>#N/A</v>
      </c>
      <c r="ON21" s="75" t="e">
        <f t="array" aca="1" ref="ON21" ca="1">INDEX(Canals!$M$24:$M$29,MATCH(2,1/((Canals!$F$24:$F$29&lt;=$C21)*(Canals!$G$24:$G$29=_xlfn.IFS(KS21="Handysize",Main!NB21,KS21="Supramax",MU21,KS21="Panamax",MN21,KS21="NeoPanamax",MG21,KS21="Suezmax",LZ21,KS21="Capesize",LS21,KS21="VLOC",LL21)))))</f>
        <v>#N/A</v>
      </c>
      <c r="OO21" s="75" t="e">
        <f t="array" aca="1" ref="OO21" ca="1">INDEX(Canals!$N$24:$N$29,MATCH(2,1/((Canals!$F$24:$F$29&lt;=$C21)*(Canals!$G$24:$G$29=_xlfn.IFS(KS21="Handysize",Main!NB21,KS21="Supramax",MU21,KS21="Panamax",MN21,KS21="NeoPanamax",MG21,KS21="Suezmax",LZ21,KS21="Capesize",LS21,KS21="VLOC",LL21)))))</f>
        <v>#N/A</v>
      </c>
      <c r="OP21" s="75" t="e">
        <f t="array" aca="1" ref="OP21" ca="1">INDEX(Canals!$O$24:$O$29,MATCH(2,1/((Canals!$F$24:$F$29&lt;=$C21)*(Canals!$G$24:$G$29=_xlfn.IFS(KS21="Handysize",Main!NB21,KS21="Supramax",MU21,KS21="Panamax",MN21,KS21="NeoPanamax",MG21,KS21="Suezmax",LZ21,KS21="Capesize",LS21,KS21="VLOC",LL21)))))</f>
        <v>#N/A</v>
      </c>
      <c r="OQ21" s="75" t="e">
        <f t="array" aca="1" ref="OQ21" ca="1">INDEX(Canals!$P$24:$P$29,MATCH(2,1/((Canals!$F$24:$F$29&lt;=$C21)*(Canals!$G$24:$G$29=_xlfn.IFS(KS21="Handysize",Main!NB21,KS21="Supramax",MU21,KS21="Panamax",MN21,KS21="NeoPanamax",MG21,KS21="Suezmax",LZ21,KS21="Capesize",LS21,KS21="VLOC",LL21)))))</f>
        <v>#N/A</v>
      </c>
      <c r="OR21" s="75" t="e">
        <f t="array" aca="1" ref="OR21" ca="1">INDEX(Canals!$Q$24:$Q$29,MATCH(2,1/((Canals!$F$24:$F$29&lt;=$C21)*(Canals!$G$24:$G$29=_xlfn.IFS(KS21="Handysize",Main!NB21,KS21="Supramax",MU21,KS21="Panamax",MN21,KS21="NeoPanamax",MG21,KS21="Suezmax",LZ21,KS21="Capesize",LS21,KS21="VLOC",LL21)))))</f>
        <v>#N/A</v>
      </c>
      <c r="OS21" s="75" t="e">
        <f t="array" aca="1" ref="OS21" ca="1">INDEX(Canals!$R$24:$R$29,MATCH(2,1/((Canals!$F$24:$F$29&lt;=$C21)*(Canals!$G$24:$G$29=_xlfn.IFS(KS21="Handysize",Main!NB21,KS21="Supramax",MU21,KS21="Panamax",MN21,KS21="NeoPanamax",MG21,KS21="Suezmax",LZ21,KS21="Capesize",LS21,KS21="VLOC",LL21)))))</f>
        <v>#N/A</v>
      </c>
      <c r="OT21" s="136" t="e">
        <f t="array" aca="1" ref="OT21" ca="1">INDEX(Canals!$S$24:$S$29,MATCH(2,1/((Canals!$F$24:$F$29&lt;=$C21)*(Canals!$G$24:$G$29=_xlfn.IFS(KS21="Handysize",Main!NB21,KS21="Supramax",MU21,KS21="Panamax",MN21,KS21="NeoPanamax",MG21,KS21="Suezmax",LZ21,KS21="Capesize",LS21,KS21="VLOC",LL21)))))</f>
        <v>#N/A</v>
      </c>
      <c r="OU21" s="136" t="e">
        <f t="array" aca="1" ref="OU21" ca="1">INDEX(Canals!$T$24:$T$29,MATCH(2,1/((Canals!$F$24:$F$29&lt;=$C21)*(Canals!$G$24:$G$29=_xlfn.IFS(KS21="Handysize",Main!NB21,KS21="Supramax",MU21,KS21="Panamax",MN21,KS21="NeoPanamax",MG21,KS21="Suezmax",LZ21,KS21="Capesize",LS21,KS21="VLOC",LL21)))))</f>
        <v>#N/A</v>
      </c>
      <c r="OV21" s="136" t="e">
        <f t="array" aca="1" ref="OV21" ca="1">INDEX(Canals!$U$24:$U$29,MATCH(2,1/((Canals!$F$24:$F$29&lt;=$C21)*(Canals!$G$24:$G$29=_xlfn.IFS(KS21="Handysize",Main!NB21,KS21="Supramax",MU21,KS21="Panamax",MN21,KS21="NeoPanamax",MG21,KS21="Suezmax",LZ21,KS21="Capesize",LS21,KS21="VLOC",LL21)))))</f>
        <v>#N/A</v>
      </c>
      <c r="OW21" s="136" t="e">
        <f t="array" aca="1" ref="OW21" ca="1">INDEX(Canals!$V$24:$V$29,MATCH(2,1/((Canals!$F$24:$F$29&lt;=$C21)*(Canals!$G$24:$G$29=_xlfn.IFS(KS21="Handysize",Main!NB21,KS21="Supramax",MU21,KS21="Panamax",MN21,KS21="NeoPanamax",MG21,KS21="Suezmax",LZ21,KS21="Capesize",LS21,KS21="VLOC",LL21)))))</f>
        <v>#N/A</v>
      </c>
      <c r="OX21" s="136" t="e">
        <f t="array" aca="1" ref="OX21" ca="1">INDEX(Canals!$W$24:$W$29,MATCH(2,1/((Canals!$F$24:$F$29&lt;=$C21)*(Canals!$G$24:$G$29=_xlfn.IFS(KS21="Handysize",Main!NB21,KS21="Supramax",MU21,KS21="Panamax",MN21,KS21="NeoPanamax",MG21,KS21="Suezmax",LZ21,KS21="Capesize",LS21,KS21="VLOC",LL21)))))</f>
        <v>#N/A</v>
      </c>
      <c r="OY21" s="136" t="e">
        <f t="array" aca="1" ref="OY21" ca="1">INDEX(Canals!$X$24:$X$29,MATCH(2,1/((Canals!$F$24:$F$29&lt;=$C21)*(Canals!$G$24:$G$29=_xlfn.IFS(KS21="Handysize",Main!NB21,KS21="Supramax",MU21,KS21="Panamax",MN21,KS21="NeoPanamax",MG21,KS21="Suezmax",LZ21,KS21="Capesize",LS21,KS21="VLOC",LL21)))))</f>
        <v>#N/A</v>
      </c>
      <c r="OZ21" s="136" t="e">
        <f t="array" aca="1" ref="OZ21" ca="1">INDEX(Canals!$Y$24:$Y$29,MATCH(2,1/((Canals!$F$24:$F$29&lt;=$C21)*(Canals!$G$24:$G$29=_xlfn.IFS(KS21="Handysize",Main!NB21,KS21="Supramax",MU21,KS21="Panamax",MN21,KS21="NeoPanamax",MG21,KS21="Suezmax",LZ21,KS21="Capesize",LS21,KS21="VLOC",LL21)))))</f>
        <v>#N/A</v>
      </c>
      <c r="PA21" s="136" t="e">
        <f t="array" aca="1" ref="PA21" ca="1">INDEX(Canals!$Z$24:$Z$29,MATCH(2,1/((Canals!$F$24:$F$29&lt;=$C21)*(Canals!$G$24:$G$29=_xlfn.IFS(KS21="Handysize",Main!NB21,KS21="Supramax",MU21,KS21="Panamax",MN21,KS21="NeoPanamax",MG21,KS21="Suezmax",LZ21,KS21="Capesize",LS21,KS21="VLOC",LL21)))))</f>
        <v>#N/A</v>
      </c>
      <c r="PB21" s="136" t="e">
        <f t="array" aca="1" ref="PB21" ca="1">INDEX(Canals!$AA$24:$AA$29,MATCH(2,1/((Canals!$F$24:$F$29&lt;=$C21)*(Canals!$G$24:$G$29=_xlfn.IFS(KS21="Handysize",Main!NB21,KS21="Supramax",MU21,KS21="Panamax",MN21,KS21="NeoPanamax",MG21,KS21="Suezmax",LZ21,KS21="Capesize",LS21,KS21="VLOC",LL21)))))</f>
        <v>#N/A</v>
      </c>
      <c r="PC21" s="136" t="e">
        <f t="array" aca="1" ref="PC21" ca="1">INDEX(Canals!$AB$24:$AB$29,MATCH(2,1/((Canals!$F$24:$F$29&lt;=$C21)*(Canals!$G$24:$G$29=_xlfn.IFS(KS21="Handysize",Main!NB21,KS21="Supramax",MU21,KS21="Panamax",MN21,KS21="NeoPanamax",MG21,KS21="Suezmax",LZ21,KS21="Capesize",LS21,KS21="VLOC",LL21)))))</f>
        <v>#N/A</v>
      </c>
      <c r="PD21" s="75" t="e">
        <f t="array" aca="1" ref="PD21" ca="1">INDEX(Canals!$AC$24:$AC$29,MATCH(2,1/((Canals!$F$24:$F$29&lt;=$C21)*(Canals!$G$24:$G$29=_xlfn.IFS(KS21="Handysize",Main!NB21,KS21="Supramax",MU21,KS21="Panamax",MN21,KS21="NeoPanamax",MG21,KS21="Suezmax",LZ21,KS21="Capesize",LS21,KS21="VLOC",LL21)))))</f>
        <v>#N/A</v>
      </c>
      <c r="PE21" s="75" t="e">
        <f t="array" aca="1" ref="PE21" ca="1">INDEX(Canals!$AD$24:$AD$29,MATCH(2,1/((Canals!$F$24:$F$29&lt;=$C21)*(Canals!$G$24:$G$29=_xlfn.IFS(KS21="Handysize",Main!NB21,KS21="Supramax",MU21,KS21="Panamax",MN21,KS21="NeoPanamax",MG21,KS21="Suezmax",LZ21,KS21="Capesize",LS21,KS21="VLOC",LL21)))))</f>
        <v>#N/A</v>
      </c>
      <c r="PF21" s="75" t="e">
        <f t="array" aca="1" ref="PF21" ca="1">INDEX(Canals!$AE$24:$AE$29,MATCH(2,1/((Canals!$F$24:$F$29&lt;=$C21)*(Canals!$G$24:$G$29=_xlfn.IFS(KS21="Handysize",Main!NB21,KS21="Supramax",MU21,KS21="Panamax",MN21,KS21="NeoPanamax",MG21,KS21="Suezmax",LZ21,KS21="Capesize",LS21,KS21="VLOC",LL21)))))</f>
        <v>#N/A</v>
      </c>
      <c r="PG21" s="75" t="e">
        <f t="array" aca="1" ref="PG21" ca="1">INDEX(Canals!$AF$24:$AF$29,MATCH(2,1/((Canals!$F$24:$F$29&lt;=$C21)*(Canals!$G$24:$G$29=_xlfn.IFS(KS21="Handysize",Main!NB21,KS21="Supramax",MU21,KS21="Panamax",MN21,KS21="NeoPanamax",MG21,KS21="Suezmax",LZ21,KS21="Capesize",LS21,KS21="VLOC",LL21)))))</f>
        <v>#N/A</v>
      </c>
      <c r="PH21" s="75" t="e">
        <f t="array" aca="1" ref="PH21" ca="1">INDEX(Canals!$AG$24:$AG$29,MATCH(2,1/((Canals!$F$24:$F$29&lt;=$C21)*(Canals!$G$24:$G$29=_xlfn.IFS(KS21="Handysize",Main!NB21,KS21="Supramax",MU21,KS21="Panamax",MN21,KS21="NeoPanamax",MG21,KS21="Suezmax",LZ21,KS21="Capesize",LS21,KS21="VLOC",LL21)))))</f>
        <v>#N/A</v>
      </c>
      <c r="PI21" s="75" t="e">
        <f t="array" aca="1" ref="PI21" ca="1">INDEX(Canals!$AH$24:$AH$29,MATCH(2,1/((Canals!$F$24:$F$29&lt;=$C21)*(Canals!$G$24:$G$29=_xlfn.IFS(KS21="Handysize",Main!NB21,KS21="Supramax",MU21,KS21="Panamax",MN21,KS21="NeoPanamax",MG21,KS21="Suezmax",LZ21,KS21="Capesize",LS21,KS21="VLOC",LL21)))))</f>
        <v>#N/A</v>
      </c>
      <c r="PJ21" s="75" t="e">
        <f t="array" aca="1" ref="PJ21" ca="1">INDEX(Canals!$AI$24:$AI$29,MATCH(2,1/((Canals!$F$24:$F$29&lt;=$C21)*(Canals!$G$24:$G$29=_xlfn.IFS(KS21="Handysize",Main!NB21,KS21="Supramax",MU21,KS21="Panamax",MN21,KS21="NeoPanamax",MG21,KS21="Suezmax",LZ21,KS21="Capesize",LS21,KS21="VLOC",LL21)))))</f>
        <v>#N/A</v>
      </c>
      <c r="PK21" s="75" t="e">
        <f t="array" aca="1" ref="PK21" ca="1">INDEX(Canals!$AJ$24:$AJ$29,MATCH(2,1/((Canals!$F$24:$F$29&lt;=$C21)*(Canals!$G$24:$G$29=_xlfn.IFS(KS21="Handysize",Main!NB21,KS21="Supramax",MU21,KS21="Panamax",MN21,KS21="NeoPanamax",MG21,KS21="Suezmax",LZ21,KS21="Capesize",LS21,KS21="VLOC",LL21)))))</f>
        <v>#N/A</v>
      </c>
      <c r="PL21" s="75" t="e">
        <f t="array" aca="1" ref="PL21" ca="1">INDEX(Canals!$AK$24:$AK$29,MATCH(2,1/((Canals!$F$24:$F$29&lt;=$C21)*(Canals!$G$24:$G$29=_xlfn.IFS(KS21="Handysize",Main!NB21,KS21="Supramax",MU21,KS21="Panamax",MN21,KS21="NeoPanamax",MG21,KS21="Suezmax",LZ21,KS21="Capesize",LS21,KS21="VLOC",LL21)))))</f>
        <v>#N/A</v>
      </c>
      <c r="PM21" s="136" t="e">
        <f t="array" aca="1" ref="PM21" ca="1">INDEX(Canals!$AL$24:$AL$29,MATCH(2,1/((Canals!$F$24:$F$29&lt;=$C21)*(Canals!$G$24:$G$29=_xlfn.IFS(KS21="Handysize",Main!NB21,KS21="Supramax",MU21,KS21="Panamax",MN21,KS21="NeoPanamax",MG21,KS21="Suezmax",LZ21,KS21="Capesize",LS21,KS21="VLOC",LL21)))))</f>
        <v>#N/A</v>
      </c>
      <c r="PN21" s="136" t="e">
        <f t="array" aca="1" ref="PN21" ca="1">INDEX(Canals!$AM$24:$AM$29,MATCH(2,1/((Canals!$F$24:$F$29&lt;=$C21)*(Canals!$G$24:$G$29=_xlfn.IFS(KS21="Handysize",Main!NB21,KS21="Supramax",MU21,KS21="Panamax",MN21,KS21="NeoPanamax",MG21,KS21="Suezmax",LZ21,KS21="Capesize",LS21,KS21="VLOC",LL21)))))</f>
        <v>#N/A</v>
      </c>
      <c r="PO21" s="136" t="e">
        <f t="array" aca="1" ref="PO21" ca="1">INDEX(Canals!$AN$24:$AN$29,MATCH(2,1/((Canals!$F$24:$F$29&lt;=$C21)*(Canals!$G$24:$G$29=_xlfn.IFS(KS21="Handysize",Main!NB21,KS21="Supramax",MU21,KS21="Panamax",MN21,KS21="NeoPanamax",MG21,KS21="Suezmax",LZ21,KS21="Capesize",LS21,KS21="VLOC",LL21)))))</f>
        <v>#N/A</v>
      </c>
      <c r="PP21" s="136" t="e">
        <f t="array" aca="1" ref="PP21" ca="1">INDEX(Canals!$AO$24:$AO$29,MATCH(2,1/((Canals!$F$24:$F$29&lt;=$C21)*(Canals!$G$24:$G$29=_xlfn.IFS(KS21="Handysize",Main!NB21,KS21="Supramax",MU21,KS21="Panamax",MN21,KS21="NeoPanamax",MG21,KS21="Suezmax",LZ21,KS21="Capesize",LS21,KS21="VLOC",LL21)))))</f>
        <v>#N/A</v>
      </c>
      <c r="PQ21" s="136" t="e">
        <f t="array" aca="1" ref="PQ21" ca="1">INDEX(Canals!$AP$24:$AP$29,MATCH(2,1/((Canals!$F$24:$F$29&lt;=$C21)*(Canals!$G$24:$G$29=_xlfn.IFS(KS21="Handysize",Main!NB21,KS21="Supramax",MU21,KS21="Panamax",MN21,KS21="NeoPanamax",MG21,KS21="Suezmax",LZ21,KS21="Capesize",LS21,KS21="VLOC",LL21)))))</f>
        <v>#N/A</v>
      </c>
      <c r="PR21" s="136" t="e">
        <f t="array" aca="1" ref="PR21" ca="1">INDEX(Canals!$AQ$24:$AQ$29,MATCH(2,1/((Canals!$F$24:$F$29&lt;=$C21)*(Canals!$G$24:$G$29=_xlfn.IFS(KS21="Handysize",Main!NB21,KS21="Supramax",MU21,KS21="Panamax",MN21,KS21="NeoPanamax",MG21,KS21="Suezmax",LZ21,KS21="Capesize",LS21,KS21="VLOC",LL21)))))</f>
        <v>#N/A</v>
      </c>
      <c r="PS21" s="136" t="e">
        <f t="array" aca="1" ref="PS21" ca="1">INDEX(Canals!$AR$24:$AR$29,MATCH(2,1/((Canals!$F$24:$F$29&lt;=$C21)*(Canals!$G$24:$G$29=_xlfn.IFS(KS21="Handysize",Main!NB21,KS21="Supramax",MU21,KS21="Panamax",MN21,KS21="NeoPanamax",MG21,KS21="Suezmax",LZ21,KS21="Capesize",LS21,KS21="VLOC",LL21)))))</f>
        <v>#N/A</v>
      </c>
      <c r="PT21" s="136" t="e">
        <f t="array" aca="1" ref="PT21" ca="1">INDEX(Canals!$AS$24:$AS$29,MATCH(2,1/((Canals!$F$24:$F$29&lt;=$C21)*(Canals!$G$24:$G$29=_xlfn.IFS(KS21="Handysize",Main!NB21,KS21="Supramax",MU21,KS21="Panamax",MN21,KS21="NeoPanamax",MG21,KS21="Suezmax",LZ21,KS21="Capesize",LS21,KS21="VLOC",LL21)))))</f>
        <v>#N/A</v>
      </c>
      <c r="PU21" s="136" t="e">
        <f t="array" aca="1" ref="PU21" ca="1">INDEX(Canals!$AT$24:$AT$29,MATCH(2,1/((Canals!$F$24:$F$29&lt;=$C21)*(Canals!$G$24:$G$29=_xlfn.IFS(KS21="Handysize",Main!NB21,KS21="Supramax",MU21,KS21="Panamax",MN21,KS21="NeoPanamax",MG21,KS21="Suezmax",LZ21,KS21="Capesize",LS21,KS21="VLOC",LL21)))))</f>
        <v>#N/A</v>
      </c>
      <c r="PV21" s="136" t="e">
        <f t="array" aca="1" ref="PV21" ca="1">INDEX(Canals!$AU$24:$AU$29,MATCH(2,1/((Canals!$F$24:$F$29&lt;=$C21)*(Canals!$G$24:$G$29=_xlfn.IFS(KS21="Handysize",Main!NB21,KS21="Supramax",MU21,KS21="Panamax",MN21,KS21="NeoPanamax",MG21,KS21="Suezmax",LZ21,KS21="Capesize",LS21,KS21="VLOC",LL21)))))</f>
        <v>#N/A</v>
      </c>
      <c r="PW21" s="136" t="e">
        <f t="array" aca="1" ref="PW21" ca="1">INDEX(Canals!$AV$24:$AV$29,MATCH(2,1/((Canals!$F$24:$F$29&lt;=$C21)*(Canals!$G$24:$G$29=_xlfn.IFS(KS21="Handysize",Main!NB21,KS21="Supramax",MU21,KS21="Panamax",MN21,KS21="NeoPanamax",MG21,KS21="Suezmax",LZ21,KS21="Capesize",LS21,KS21="VLOC",LL21)))))</f>
        <v>#N/A</v>
      </c>
      <c r="PY21" s="75" t="e">
        <f t="array" aca="1" ref="PY21" ca="1">_xlfn.IFS(OJ21="DWT",KQ21,OJ21="NRT",KU21,OJ21="GRT",KV21)</f>
        <v>#NAME?</v>
      </c>
      <c r="PZ21" s="279" t="e">
        <f t="shared" ca="1" si="74"/>
        <v>#NAME?</v>
      </c>
      <c r="QA21" s="280" t="e">
        <f t="shared" ca="1" si="75"/>
        <v>#NAME?</v>
      </c>
      <c r="QB21" s="280" t="e">
        <f t="shared" ca="1" si="76"/>
        <v>#NAME?</v>
      </c>
      <c r="QC21" s="280" t="e">
        <f t="shared" ca="1" si="77"/>
        <v>#NAME?</v>
      </c>
      <c r="QD21" s="280" t="e">
        <f t="shared" ca="1" si="78"/>
        <v>#NAME?</v>
      </c>
      <c r="QE21" s="280" t="e">
        <f t="shared" ca="1" si="79"/>
        <v>#NAME?</v>
      </c>
      <c r="QF21" s="280" t="e">
        <f t="shared" ca="1" si="80"/>
        <v>#NAME?</v>
      </c>
      <c r="QG21" s="280" t="e">
        <f t="shared" ca="1" si="81"/>
        <v>#NAME?</v>
      </c>
      <c r="QH21" s="280" t="e">
        <f t="shared" ca="1" si="82"/>
        <v>#NAME?</v>
      </c>
      <c r="QI21" s="75">
        <f t="shared" si="83"/>
        <v>70200</v>
      </c>
      <c r="QJ21" s="279" t="e">
        <f t="shared" ca="1" si="84"/>
        <v>#N/A</v>
      </c>
      <c r="QK21" s="280" t="e">
        <f t="shared" ca="1" si="85"/>
        <v>#N/A</v>
      </c>
      <c r="QL21" s="280" t="e">
        <f t="shared" ca="1" si="86"/>
        <v>#N/A</v>
      </c>
      <c r="QM21" s="280" t="e">
        <f t="shared" ca="1" si="87"/>
        <v>#N/A</v>
      </c>
      <c r="QN21" s="280" t="e">
        <f t="shared" ca="1" si="88"/>
        <v>#N/A</v>
      </c>
      <c r="QO21" s="280" t="e">
        <f t="shared" ca="1" si="89"/>
        <v>#N/A</v>
      </c>
      <c r="QP21" s="280" t="e">
        <f t="shared" ca="1" si="90"/>
        <v>#N/A</v>
      </c>
      <c r="QQ21" s="280" t="e">
        <f t="shared" ca="1" si="91"/>
        <v>#N/A</v>
      </c>
      <c r="QR21" s="280" t="e">
        <f t="shared" ca="1" si="92"/>
        <v>#N/A</v>
      </c>
      <c r="QT21" s="75" t="e">
        <f t="array" aca="1" ref="QT21" ca="1">_xlfn.IFS(KS21="Handysize",Main!MV21,KS21="Supramax",MO21,KS21="Panamax",MH21,KS21="NeoPanamax",MA21,KS21="Suezmax",LT21,KS21="Capesize",LM21,KS21="VLOC",LF21)*$JI21</f>
        <v>#NAME?</v>
      </c>
      <c r="QU21" s="274" t="e">
        <f t="array" aca="1" ref="QU21" ca="1">_xlfn.IFS(KS21="Handysize",Main!MW21,KS21="Supramax",MP21,KS21="Panamax",MI21,KS21="NeoPanamax",MB21,KS21="Suezmax",LU21,KS21="Capesize",LN21,KS21="VLOC",LG21)*$JI21</f>
        <v>#NAME?</v>
      </c>
      <c r="QV21" s="71" t="e">
        <f t="array" aca="1" ref="QV21" ca="1">_xlfn.IFS(KS21="Handysize",Main!KX21,KS21="Supramax",KY21,KS21="Panamax",KZ21,KS21="NeoPanamax",LA21,KS21="Suezmax",LB21,KS21="Capesize",LC21,KS21="VLOC",LD21)</f>
        <v>#NAME?</v>
      </c>
      <c r="QW21" s="71" t="e">
        <f t="array" aca="1" ref="QW21" ca="1">_xlfn.IFS(KS21="Handysize",Main!NJ21,KS21="Supramax",NK21,KS21="Panamax",NL21,KS21="NeoPanamax",NM21,KS21="Suezmax",NN21,KS21="Capesize",NO21,KS21="VLOC",NP21)</f>
        <v>#NAME?</v>
      </c>
      <c r="QX21" s="70">
        <f t="array" ref="QX21">INDEX('Ship Speeds'!$G$11:$G$1011,MATCH(2,1/(('Ship Speeds'!$E$11:$E$1011&lt;=Main!$C21)*('Ship Speeds'!$F$11:$F$1011=Main!KR21))))</f>
        <v>11</v>
      </c>
      <c r="QY21" s="403">
        <f t="shared" si="93"/>
        <v>20.195360324384602</v>
      </c>
      <c r="QZ21" s="401">
        <f t="shared" si="94"/>
        <v>1.96896</v>
      </c>
      <c r="RA21" s="70" t="e">
        <f t="shared" ca="1" si="95"/>
        <v>#NAME?</v>
      </c>
      <c r="RB21" s="70" t="e">
        <f t="shared" ca="1" si="96"/>
        <v>#NAME?</v>
      </c>
      <c r="RC21" s="70" t="e">
        <f t="shared" ca="1" si="97"/>
        <v>#NAME?</v>
      </c>
      <c r="RD21" s="70" t="e">
        <f t="shared" ca="1" si="98"/>
        <v>#NAME?</v>
      </c>
      <c r="RE21" s="72" t="e">
        <f t="shared" ca="1" si="99"/>
        <v>#N/A</v>
      </c>
      <c r="RF21" s="70" t="e">
        <f t="shared" ca="1" si="100"/>
        <v>#NAME?</v>
      </c>
      <c r="RG21" s="70" t="e">
        <f t="array" aca="1" ref="RG21" ca="1">INDEX(ND21:NH21,MATCH(_xlfn.IFS(KS21="Handysize",Main!MZ21,KS21="Supramax",MS21,KS21="Panamax",ML21,KS21="NeoPanamax",ME21,KS21="Suezmax",LX21,KS21="Capesize",LQ21,KS21="VLOC",LJ21),$ND$7:$NH$7,0))</f>
        <v>#NAME?</v>
      </c>
      <c r="RH21" s="70" t="e">
        <f t="array" aca="1" ref="RH21" ca="1">INDEX(ND21:NH21,MATCH(_xlfn.IFS(KS21="Handysize",Main!NA21,KS21="Supramax",MT21,KS21="Panamax",MM21,KS21="NeoPanamax",MF21,KS21="Suezmax",LY21,KS21="Capesize",LR21,KS21="VLOC",LK21),$ND$7:$NH$7,0))</f>
        <v>#NAME?</v>
      </c>
      <c r="RI21" s="71" t="e">
        <f t="shared" ca="1" si="101"/>
        <v>#NAME?</v>
      </c>
      <c r="RJ21" s="71" t="e">
        <f t="shared" ca="1" si="102"/>
        <v>#NAME?</v>
      </c>
      <c r="RK21" s="281">
        <f t="shared" si="103"/>
        <v>7.0759999999999987</v>
      </c>
      <c r="RL21" s="71">
        <f t="shared" si="104"/>
        <v>1744.2057659694747</v>
      </c>
      <c r="RM21" s="71" t="e">
        <f t="shared" ca="1" si="105"/>
        <v>#NAME?</v>
      </c>
      <c r="RN21" s="71" t="e">
        <f t="shared" ca="1" si="106"/>
        <v>#NAME?</v>
      </c>
      <c r="RO21" s="71">
        <f t="shared" si="107"/>
        <v>26191.068400226122</v>
      </c>
      <c r="RP21" s="71" t="e">
        <f t="shared" ca="1" si="108"/>
        <v>#NAME?</v>
      </c>
      <c r="RQ21" s="71" t="e">
        <f t="shared" ca="1" si="109"/>
        <v>#NAME?</v>
      </c>
      <c r="RR21" s="71">
        <f t="shared" si="110"/>
        <v>18594.254381006223</v>
      </c>
      <c r="RS21" s="71" t="e">
        <f t="shared" ca="1" si="111"/>
        <v>#NAME?</v>
      </c>
      <c r="RT21" s="71" t="e">
        <f t="shared" ca="1" si="112"/>
        <v>#NAME?</v>
      </c>
      <c r="RU21" s="71">
        <f t="shared" si="113"/>
        <v>0</v>
      </c>
      <c r="RV21" s="71" t="e">
        <f t="shared" ca="1" si="114"/>
        <v>#NAME?</v>
      </c>
      <c r="RW21" s="71" t="e">
        <f t="shared" ca="1" si="115"/>
        <v>#NAME?</v>
      </c>
      <c r="RX21" s="72">
        <f t="shared" si="116"/>
        <v>5811.6113623516121</v>
      </c>
      <c r="RY21" s="72" t="e">
        <f t="shared" ca="1" si="117"/>
        <v>#NAME?</v>
      </c>
      <c r="RZ21" s="71" t="e">
        <f t="shared" ca="1" si="118"/>
        <v>#NAME?</v>
      </c>
      <c r="SA21" s="71" t="e">
        <f t="array" aca="1" ref="SA21" ca="1">INDEX('Ship Time Charter Rates'!$H$22:$H$1021,MATCH(2,1/(('Ship Time Charter Rates'!$G$22:$G$1021=_xlfn.IFS(KS21="Handysize",Main!MX21,KS21="Supramax",MQ21,KS21="Panamax",MJ21,KS21="NeoPanamax",MC21,KS21="Suezmax",LV21,KS21="Capesize",LO21,KS21="VLOC",LH21))*('Ship Time Charter Rates'!$E$22:$E$1021&lt;=Main!$C21)*(NOT(ISBLANK('Ship Time Charter Rates'!$H$22:$H$1021))))))</f>
        <v>#N/A</v>
      </c>
      <c r="SB21" s="71" t="e">
        <f t="shared" ca="1" si="119"/>
        <v>#NAME?</v>
      </c>
      <c r="SC21" s="70" t="e">
        <f t="shared" ca="1" si="120"/>
        <v>#N/A</v>
      </c>
      <c r="SD21" s="71" t="e">
        <f t="shared" ca="1" si="121"/>
        <v>#NAME?</v>
      </c>
      <c r="SE21" s="71" t="e">
        <f t="shared" ca="1" si="302"/>
        <v>#NAME?</v>
      </c>
      <c r="SF21" s="72" t="e">
        <f t="shared" ca="1" si="303"/>
        <v>#NAME?</v>
      </c>
      <c r="SH21" s="25">
        <f t="shared" si="321"/>
        <v>0</v>
      </c>
      <c r="SI21" s="4" t="str">
        <f>VLOOKUP(SH21,'Ship Time Charter Rates'!$F$10:$G$17,2,TRUE)</f>
        <v>Handysize</v>
      </c>
      <c r="SJ21" s="4" t="str">
        <f>VLOOKUP(SH21,Canals!$E$5:$F$12,2,TRUE)</f>
        <v>Handysize</v>
      </c>
      <c r="SK21" s="25">
        <f t="shared" si="122"/>
        <v>145.88999999999999</v>
      </c>
      <c r="SL21" s="25">
        <f t="shared" si="123"/>
        <v>0</v>
      </c>
      <c r="SM21" s="25">
        <f t="shared" si="124"/>
        <v>4797</v>
      </c>
      <c r="SO21" s="75">
        <f t="array" ref="SO21">INDEX('Indices Mines Exporting Ports'!$R$20:$R$51,MATCH(2,1/(('Indices Mines Exporting Ports'!$D$20:$D$51&lt;=Main!$C21)*('Indices Mines Exporting Ports'!$Q$20:$Q$51=$AQ21))))</f>
        <v>0</v>
      </c>
      <c r="SP21" s="75">
        <f t="array" ref="SP21">INDEX('Indices Mines Exporting Ports'!$S$20:$S$51,MATCH(2,1/(('Indices Mines Exporting Ports'!$D$20:$D$51&lt;=Main!$C21)*('Indices Mines Exporting Ports'!$Q$20:$Q$51=$AQ21))))</f>
        <v>0</v>
      </c>
      <c r="SQ21" s="75">
        <f t="array" ref="SQ21">INDEX('Indices Mines Exporting Ports'!$T$20:$T$51,MATCH(2,1/(('Indices Mines Exporting Ports'!$D$20:$D$51&lt;=Main!$C21)*('Indices Mines Exporting Ports'!$Q$20:$Q$51=$AQ21))))</f>
        <v>0</v>
      </c>
      <c r="SR21" s="75">
        <f t="array" ref="SR21">INDEX('Indices Mines Exporting Ports'!$U$20:$U$51,MATCH(2,1/(('Indices Mines Exporting Ports'!$D$20:$D$51&lt;=Main!$C21)*('Indices Mines Exporting Ports'!$Q$20:$Q$51=$AQ21))))</f>
        <v>0</v>
      </c>
      <c r="SS21" s="75">
        <f t="array" ref="SS21">INDEX('Indices Mines Exporting Ports'!$V$20:$V$51,MATCH(2,1/(('Indices Mines Exporting Ports'!$D$20:$D$51&lt;=Main!$C21)*('Indices Mines Exporting Ports'!$Q$20:$Q$51=$AQ21))))</f>
        <v>0</v>
      </c>
      <c r="ST21" s="75">
        <f t="array" ref="ST21">INDEX('Indices Mines Exporting Ports'!$W$20:$W$51,MATCH(2,1/(('Indices Mines Exporting Ports'!$D$20:$D$51&lt;=Main!$C21)*('Indices Mines Exporting Ports'!$Q$20:$Q$51=$AQ21))))</f>
        <v>0</v>
      </c>
      <c r="SU21" s="75">
        <f t="array" ref="SU21">INDEX('Indices Mines Exporting Ports'!$X$20:$X$51,MATCH(2,1/(('Indices Mines Exporting Ports'!$D$20:$D$51&lt;=Main!$C21)*('Indices Mines Exporting Ports'!$Q$20:$Q$51=$AQ21))))</f>
        <v>0</v>
      </c>
      <c r="SW21" s="75">
        <f t="array" ref="SW21">INDEX('Port Linkages'!$E$18:$E$157,MATCH(2,1/(('Port Linkages'!$C$18:$C$157=$AQ21)*('Port Linkages'!$D$18:$D$157=IF($AO21="no",$AQ21,$AS21))*('Port Linkages'!$A$18:$A$157&lt;=$C21))))</f>
        <v>0</v>
      </c>
      <c r="SX21" s="75">
        <f t="array" ref="SX21">INDEX('Port Linkages'!$F$18:$F$157,MATCH(2,1/(('Port Linkages'!$C$18:$C$157=$AQ21)*('Port Linkages'!$D$18:$D$157=IF($AO21="no",$AQ21,$AS21))*('Port Linkages'!$A$18:$A$157&lt;=$C21))))</f>
        <v>0</v>
      </c>
      <c r="SY21" s="75">
        <f t="array" ref="SY21">INDEX('Port Linkages'!$G$18:$G$157,MATCH(2,1/(('Port Linkages'!$C$18:$C$157=$AQ21)*('Port Linkages'!$D$18:$D$157=IF($AO21="no",$AQ21,$AS21))*('Port Linkages'!$A$18:$A$157&lt;=$C21))))</f>
        <v>0</v>
      </c>
      <c r="SZ21" s="75">
        <f t="array" ref="SZ21">INDEX('Port Linkages'!$H$18:$H$157,MATCH(2,1/(('Port Linkages'!$C$18:$C$157=$AQ21)*('Port Linkages'!$D$18:$D$157=IF($AO21="no",$AQ21,$AS21))*('Port Linkages'!$A$18:$A$157&lt;=$C21))))</f>
        <v>0</v>
      </c>
      <c r="TA21" s="75">
        <f t="array" ref="TA21">INDEX('Port Linkages'!$I$18:$I$157,MATCH(2,1/(('Port Linkages'!$C$18:$C$157=$AQ21)*('Port Linkages'!$D$18:$D$157=IF($AO21="no",$AQ21,$AS21))*('Port Linkages'!$A$18:$A$157&lt;=$C21))))</f>
        <v>0</v>
      </c>
      <c r="TB21" s="75">
        <f t="array" ref="TB21">INDEX('Port Linkages'!$J$18:$J$157,MATCH(2,1/(('Port Linkages'!$C$18:$C$157=$AQ21)*('Port Linkages'!$D$18:$D$157=IF($AO21="no",$AQ21,$AS21))*('Port Linkages'!$A$18:$A$157&lt;=$C21))))</f>
        <v>0</v>
      </c>
      <c r="TC21" s="75">
        <f t="array" ref="TC21">INDEX('Port Linkages'!$K$18:$K$157,MATCH(2,1/(('Port Linkages'!$C$18:$C$157=$AQ21)*('Port Linkages'!$D$18:$D$157=IF($AO21="no",$AQ21,$AS21))*('Port Linkages'!$A$18:$A$157&lt;=$C21))))</f>
        <v>0</v>
      </c>
      <c r="TD21" s="75">
        <f t="array" ref="TD21">INDEX('Port Linkages'!$L$18:$L$157,MATCH(2,1/(('Port Linkages'!$C$18:$C$157=$AQ21)*('Port Linkages'!$D$18:$D$157=IF($AO21="no",$AQ21,$AS21))*('Port Linkages'!$A$18:$A$157&lt;=$C21))))</f>
        <v>0</v>
      </c>
      <c r="TE21" s="75">
        <f t="array" ref="TE21">INDEX('Port Linkages'!$M$18:$M$157,MATCH(2,1/(('Port Linkages'!$C$18:$C$157=$AQ21)*('Port Linkages'!$D$18:$D$157=IF($AO21="no",$AQ21,$AS21))*('Port Linkages'!$A$18:$A$157&lt;=$C21))))</f>
        <v>0</v>
      </c>
      <c r="TF21" s="75">
        <f t="array" ref="TF21">INDEX('Port Linkages'!$N$18:$N$157,MATCH(2,1/(('Port Linkages'!$C$18:$C$157=$AQ21)*('Port Linkages'!$D$18:$D$157=IF($AO21="no",$AQ21,$AS21))*('Port Linkages'!$A$18:$A$157&lt;=$C21))))</f>
        <v>0</v>
      </c>
      <c r="TG21" s="75">
        <f t="array" ref="TG21">INDEX('Port Linkages'!$O$18:$O$157,MATCH(2,1/(('Port Linkages'!$C$18:$C$157=$AQ21)*('Port Linkages'!$D$18:$D$157=IF($AO21="no",$AQ21,$AS21))*('Port Linkages'!$A$18:$A$157&lt;=$C21))))</f>
        <v>0</v>
      </c>
      <c r="TH21" s="75">
        <f t="array" ref="TH21">INDEX('Port Linkages'!$P$18:$P$157,MATCH(2,1/(('Port Linkages'!$C$18:$C$157=$AQ21)*('Port Linkages'!$D$18:$D$157=IF($AO21="no",$AQ21,$AS21))*('Port Linkages'!$A$18:$A$157&lt;=$C21))))</f>
        <v>0</v>
      </c>
      <c r="TI21" s="75">
        <f t="array" ref="TI21">INDEX('Port Linkages'!$Q$18:$Q$157,MATCH(2,1/(('Port Linkages'!$C$18:$C$157=$AQ21)*('Port Linkages'!$D$18:$D$157=IF($AO21="no",$AQ21,$AS21))*('Port Linkages'!$A$18:$A$157&lt;=$C21))))</f>
        <v>0</v>
      </c>
      <c r="TJ21" s="75">
        <f t="array" ref="TJ21">INDEX('Port Linkages'!$R$18:$R$157,MATCH(2,1/(('Port Linkages'!$C$18:$C$157=$AQ21)*('Port Linkages'!$D$18:$D$157=IF($AO21="no",$AQ21,$AS21))*('Port Linkages'!$A$18:$A$157&lt;=$C21))))</f>
        <v>0</v>
      </c>
      <c r="TK21" s="75">
        <f t="array" ref="TK21">INDEX('Port Linkages'!$S$18:$S$157,MATCH(2,1/(('Port Linkages'!$C$18:$C$157=$AQ21)*('Port Linkages'!$D$18:$D$157=IF($AO21="no",$AQ21,$AS21))*('Port Linkages'!$A$18:$A$157&lt;=$C21))))</f>
        <v>0</v>
      </c>
      <c r="TL21" s="75">
        <f t="array" ref="TL21">INDEX('Port Linkages'!$T$18:$T$157,MATCH(2,1/(('Port Linkages'!$C$18:$C$157=$AQ21)*('Port Linkages'!$D$18:$D$157=IF($AO21="no",$AQ21,$AS21))*('Port Linkages'!$A$18:$A$157&lt;=$C21))))</f>
        <v>0</v>
      </c>
      <c r="TM21" s="75">
        <f t="array" ref="TM21">INDEX('Port Linkages'!$U$18:$U$157,MATCH(2,1/(('Port Linkages'!$C$18:$C$157=$AQ21)*('Port Linkages'!$D$18:$D$157=IF($AO21="no",$AQ21,$AS21))*('Port Linkages'!$A$18:$A$157&lt;=$C21))))</f>
        <v>0</v>
      </c>
      <c r="TN21" s="75">
        <f t="array" ref="TN21">INDEX('Port Linkages'!$V$18:$V$157,MATCH(2,1/(('Port Linkages'!$C$18:$C$157=$AQ21)*('Port Linkages'!$D$18:$D$157=IF($AO21="no",$AQ21,$AS21))*('Port Linkages'!$A$18:$A$157&lt;=$C21))))</f>
        <v>0</v>
      </c>
      <c r="TO21" s="75">
        <f t="array" ref="TO21">INDEX('Port Linkages'!$W$18:$W$157,MATCH(2,1/(('Port Linkages'!$C$18:$C$157=$AQ21)*('Port Linkages'!$D$18:$D$157=IF($AO21="no",$AQ21,$AS21))*('Port Linkages'!$A$18:$A$157&lt;=$C21))))</f>
        <v>0</v>
      </c>
      <c r="TP21" s="75">
        <f t="array" ref="TP21">INDEX('Port Linkages'!$X$18:$X$157,MATCH(2,1/(('Port Linkages'!$C$18:$C$157=$AQ21)*('Port Linkages'!$D$18:$D$157=IF($AO21="no",$AQ21,$AS21))*('Port Linkages'!$A$18:$A$157&lt;=$C21))))</f>
        <v>0</v>
      </c>
      <c r="TQ21" s="75">
        <f t="array" ref="TQ21">INDEX('Port Linkages'!$Y$18:$Y$157,MATCH(2,1/(('Port Linkages'!$C$18:$C$157=$AQ21)*('Port Linkages'!$D$18:$D$157=IF($AO21="no",$AQ21,$AS21))*('Port Linkages'!$A$18:$A$157&lt;=$C21))))</f>
        <v>0</v>
      </c>
      <c r="TR21" s="75">
        <f t="array" ref="TR21">INDEX('Port Linkages'!$Z$18:$Z$157,MATCH(2,1/(('Port Linkages'!$C$18:$C$157=$AQ21)*('Port Linkages'!$D$18:$D$157=IF($AO21="no",$AQ21,$AS21))*('Port Linkages'!$A$18:$A$157&lt;=$C21))))</f>
        <v>0</v>
      </c>
      <c r="TS21" s="75">
        <f t="array" ref="TS21">INDEX('Port Linkages'!$AA$18:$AA$157,MATCH(2,1/(('Port Linkages'!$C$18:$C$157=$AQ21)*('Port Linkages'!$D$18:$D$157=IF($AO21="no",$AQ21,$AS21))*('Port Linkages'!$A$18:$A$157&lt;=$C21))))</f>
        <v>0</v>
      </c>
      <c r="TT21" s="75">
        <f t="array" ref="TT21">INDEX('Port Linkages'!$AB$18:$AB$157,MATCH(2,1/(('Port Linkages'!$C$18:$C$157=$AQ21)*('Port Linkages'!$D$18:$D$157=IF($AO21="no",$AQ21,$AS21))*('Port Linkages'!$A$18:$A$157&lt;=$C21))))</f>
        <v>0</v>
      </c>
      <c r="TU21" s="75">
        <f t="array" ref="TU21">INDEX('Port Linkages'!$AC$18:$AC$157,MATCH(2,1/(('Port Linkages'!$C$18:$C$157=$AQ21)*('Port Linkages'!$D$18:$D$157=IF($AO21="no",$AQ21,$AS21))*('Port Linkages'!$A$18:$A$157&lt;=$C21))))</f>
        <v>0</v>
      </c>
      <c r="TV21" s="75">
        <f t="array" ref="TV21">INDEX('Port Linkages'!$AD$18:$AD$157,MATCH(2,1/(('Port Linkages'!$C$18:$C$157=$AQ21)*('Port Linkages'!$D$18:$D$157=IF($AO21="no",$AQ21,$AS21))*('Port Linkages'!$A$18:$A$157&lt;=$C21))))</f>
        <v>0</v>
      </c>
      <c r="TW21" s="75">
        <f t="array" ref="TW21">INDEX('Port Linkages'!$AE$18:$AE$157,MATCH(2,1/(('Port Linkages'!$C$18:$C$157=$AQ21)*('Port Linkages'!$D$18:$D$157=IF($AO21="no",$AQ21,$AS21))*('Port Linkages'!$A$18:$A$157&lt;=$C21))))</f>
        <v>0</v>
      </c>
      <c r="TX21" s="75">
        <f t="array" ref="TX21">INDEX('Port Linkages'!$AF$18:$AF$157,MATCH(2,1/(('Port Linkages'!$C$18:$C$157=$AQ21)*('Port Linkages'!$D$18:$D$157=IF($AO21="no",$AQ21,$AS21))*('Port Linkages'!$A$18:$A$157&lt;=$C21))))</f>
        <v>0</v>
      </c>
      <c r="TY21" s="75">
        <f t="array" ref="TY21">INDEX('Port Linkages'!$AG$18:$AG$157,MATCH(2,1/(('Port Linkages'!$C$18:$C$157=$AQ21)*('Port Linkages'!$D$18:$D$157=IF($AO21="no",$AQ21,$AS21))*('Port Linkages'!$A$18:$A$157&lt;=$C21))))</f>
        <v>0</v>
      </c>
      <c r="TZ21" s="75">
        <f t="array" ref="TZ21">INDEX('Port Linkages'!$AH$18:$AH$157,MATCH(2,1/(('Port Linkages'!$C$18:$C$157=$AQ21)*('Port Linkages'!$D$18:$D$157=IF($AO21="no",$AQ21,$AS21))*('Port Linkages'!$A$18:$A$157&lt;=$C21))))</f>
        <v>0</v>
      </c>
      <c r="UA21" s="75">
        <f t="array" ref="UA21">INDEX('Port Linkages'!$AI$18:$AI$157,MATCH(2,1/(('Port Linkages'!$C$18:$C$157=$AQ21)*('Port Linkages'!$D$18:$D$157=IF($AO21="no",$AQ21,$AS21))*('Port Linkages'!$A$18:$A$157&lt;=$C21))))</f>
        <v>0</v>
      </c>
      <c r="UB21" s="75">
        <f t="array" ref="UB21">INDEX('Port Linkages'!$AJ$18:$AJ$157,MATCH(2,1/(('Port Linkages'!$C$18:$C$157=$AQ21)*('Port Linkages'!$D$18:$D$157=IF($AO21="no",$AQ21,$AS21))*('Port Linkages'!$A$18:$A$157&lt;=$C21))))</f>
        <v>0</v>
      </c>
      <c r="UC21" s="75">
        <f t="array" ref="UC21">INDEX('Port Linkages'!$AK$18:$AK$157,MATCH(2,1/(('Port Linkages'!$C$18:$C$157=$AQ21)*('Port Linkages'!$D$18:$D$157=IF($AO21="no",$AQ21,$AS21))*('Port Linkages'!$A$18:$A$157&lt;=$C21))))</f>
        <v>0</v>
      </c>
      <c r="UD21" s="75">
        <f t="array" ref="UD21">INDEX('Port Linkages'!$AL$18:$AL$157,MATCH(2,1/(('Port Linkages'!$C$18:$C$157=$AQ21)*('Port Linkages'!$D$18:$D$157=IF($AO21="no",$AQ21,$AS21))*('Port Linkages'!$A$18:$A$157&lt;=$C21))))</f>
        <v>0</v>
      </c>
      <c r="UE21" s="75">
        <f t="array" ref="UE21">INDEX('Port Linkages'!$AM$18:$AM$157,MATCH(2,1/(('Port Linkages'!$C$18:$C$157=$AQ21)*('Port Linkages'!$D$18:$D$157=IF($AO21="no",$AQ21,$AS21))*('Port Linkages'!$A$18:$A$157&lt;=$C21))))</f>
        <v>0</v>
      </c>
      <c r="UF21" s="75">
        <f t="array" ref="UF21">INDEX('Port Linkages'!$AN$18:$AN$157,MATCH(2,1/(('Port Linkages'!$C$18:$C$157=$AQ21)*('Port Linkages'!$D$18:$D$157=IF($AO21="no",$AQ21,$AS21))*('Port Linkages'!$A$18:$A$157&lt;=$C21))))</f>
        <v>0</v>
      </c>
      <c r="UG21" s="75">
        <f t="array" ref="UG21">INDEX('Port Linkages'!$AO$18:$AO$157,MATCH(2,1/(('Port Linkages'!$C$18:$C$157=$AQ21)*('Port Linkages'!$D$18:$D$157=IF($AO21="no",$AQ21,$AS21))*('Port Linkages'!$A$18:$A$157&lt;=$C21))))</f>
        <v>0</v>
      </c>
      <c r="UH21" s="75">
        <f t="array" ref="UH21">INDEX('Port Linkages'!$AP$18:$AP$157,MATCH(2,1/(('Port Linkages'!$C$18:$C$157=$AQ21)*('Port Linkages'!$D$18:$D$157=IF($AO21="no",$AQ21,$AS21))*('Port Linkages'!$A$18:$A$157&lt;=$C21))))</f>
        <v>0</v>
      </c>
      <c r="UI21" s="75">
        <f t="array" ref="UI21">INDEX('Port Linkages'!$AQ$18:$AQ$157,MATCH(2,1/(('Port Linkages'!$C$18:$C$157=$AQ21)*('Port Linkages'!$D$18:$D$157=IF($AO21="no",$AQ21,$AS21))*('Port Linkages'!$A$18:$A$157&lt;=$C21))))</f>
        <v>0</v>
      </c>
      <c r="UJ21" s="75">
        <f t="array" ref="UJ21">INDEX('Port Linkages'!$AR$18:$AR$157,MATCH(2,1/(('Port Linkages'!$C$18:$C$157=$AQ21)*('Port Linkages'!$D$18:$D$157=IF($AO21="no",$AQ21,$AS21))*('Port Linkages'!$A$18:$A$157&lt;=$C21))))</f>
        <v>0</v>
      </c>
      <c r="UK21" s="75">
        <f t="array" ref="UK21">INDEX('Port Linkages'!$AS$18:$AS$157,MATCH(2,1/(('Port Linkages'!$C$18:$C$157=$AQ21)*('Port Linkages'!$D$18:$D$157=IF($AO21="no",$AQ21,$AS21))*('Port Linkages'!$A$18:$A$157&lt;=$C21))))</f>
        <v>0</v>
      </c>
      <c r="UL21" s="75">
        <f t="array" ref="UL21">INDEX('Port Linkages'!$AT$18:$AT$157,MATCH(2,1/(('Port Linkages'!$C$18:$C$157=$AQ21)*('Port Linkages'!$D$18:$D$157=IF($AO21="no",$AQ21,$AS21))*('Port Linkages'!$A$18:$A$157&lt;=$C21))))</f>
        <v>0</v>
      </c>
      <c r="UM21" s="75">
        <f t="array" ref="UM21">INDEX('Port Linkages'!$AU$18:$AU$157,MATCH(2,1/(('Port Linkages'!$C$18:$C$157=$AQ21)*('Port Linkages'!$D$18:$D$157=IF($AO21="no",$AQ21,$AS21))*('Port Linkages'!$A$18:$A$157&lt;=$C21))))</f>
        <v>0</v>
      </c>
      <c r="UN21" s="75">
        <f t="array" ref="UN21">INDEX('Port Linkages'!$AV$18:$AV$157,MATCH(2,1/(('Port Linkages'!$C$18:$C$157=$AQ21)*('Port Linkages'!$D$18:$D$157=IF($AO21="no",$AQ21,$AS21))*('Port Linkages'!$A$18:$A$157&lt;=$C21))))</f>
        <v>0</v>
      </c>
      <c r="UO21" s="75">
        <f t="array" ref="UO21">INDEX('Port Linkages'!$AW$18:$AW$157,MATCH(2,1/(('Port Linkages'!$C$18:$C$157=$AQ21)*('Port Linkages'!$D$18:$D$157=IF($AO21="no",$AQ21,$AS21))*('Port Linkages'!$A$18:$A$157&lt;=$C21))))</f>
        <v>0</v>
      </c>
      <c r="UP21" s="75">
        <f t="array" ref="UP21">INDEX('Port Linkages'!$AX$18:$AX$157,MATCH(2,1/(('Port Linkages'!$C$18:$C$157=$AQ21)*('Port Linkages'!$D$18:$D$157=IF($AO21="no",$AQ21,$AS21))*('Port Linkages'!$A$18:$A$157&lt;=$C21))))</f>
        <v>0</v>
      </c>
      <c r="UQ21" s="75">
        <f t="array" ref="UQ21">INDEX('Port Linkages'!$AY$18:$AY$157,MATCH(2,1/(('Port Linkages'!$C$18:$C$157=$AQ21)*('Port Linkages'!$D$18:$D$157=IF($AO21="no",$AQ21,$AS21))*('Port Linkages'!$A$18:$A$157&lt;=$C21))))</f>
        <v>0</v>
      </c>
      <c r="UR21" s="75">
        <f t="array" ref="UR21">INDEX('Port Linkages'!$AZ$18:$AZ$157,MATCH(2,1/(('Port Linkages'!$C$18:$C$157=$AQ21)*('Port Linkages'!$D$18:$D$157=IF($AO21="no",$AQ21,$AS21))*('Port Linkages'!$A$18:$A$157&lt;=$C21))))</f>
        <v>0</v>
      </c>
      <c r="US21" s="75">
        <f t="array" ref="US21">INDEX('Port Linkages'!$BA$18:$BA$157,MATCH(2,1/(('Port Linkages'!$C$18:$C$157=$AQ21)*('Port Linkages'!$D$18:$D$157=IF($AO21="no",$AQ21,$AS21))*('Port Linkages'!$A$18:$A$157&lt;=$C21))))</f>
        <v>0</v>
      </c>
      <c r="UU21" s="25" t="e">
        <f t="array" aca="1" ref="UU21" ca="1">INDEX('Ship Fuel Prices'!$F$5:$F$1004,MATCH(2,1/(('Ship Fuel Prices'!$E$5:$E$1004=_xlfn.IFS(SJ21="Handysize",Main!UP21,SJ21="Supramax",UI21,SJ21="Panamax",UB21,SJ21="NeoPanamax",TU21,SJ21="Suezmax",TN21,SJ21="Capesize",TG21,SJ21="VLOC",SZ21))*('Ship Fuel Prices'!$D$5:$D$1004&lt;=Main!$C21))))</f>
        <v>#N/A</v>
      </c>
      <c r="UV21" s="25" t="e">
        <f t="array" aca="1" ref="UV21" ca="1">INDEX('Ship Fuel Prices'!$G$5:$G$1004,MATCH(2,1/(('Ship Fuel Prices'!$E$5:$E$1004=_xlfn.IFS(SJ21="Handysize",Main!UP21,SJ21="Supramax",UI21,SJ21="Panamax",UB21,SJ21="NeoPanamax",TU21,SJ21="Suezmax",TN21,SJ21="Capesize",TG21,SJ21="VLOC",SZ21))*('Ship Fuel Prices'!$D$5:$D$1004&lt;=Main!$C21))))</f>
        <v>#N/A</v>
      </c>
      <c r="UW21" s="25" t="e">
        <f t="array" aca="1" ref="UW21" ca="1">INDEX('Ship Fuel Prices'!$H$5:$H$1004,MATCH(2,1/(('Ship Fuel Prices'!$E$5:$E$1004=_xlfn.IFS(SJ21="Handysize",Main!UP21,SJ21="Supramax",UI21,SJ21="Panamax",UB21,SJ21="NeoPanamax",TU21,SJ21="Suezmax",TN21,SJ21="Capesize",TG21,SJ21="VLOC",SZ21))*('Ship Fuel Prices'!$D$5:$D$1004&lt;=Main!$C21))))</f>
        <v>#N/A</v>
      </c>
      <c r="UX21" s="25" t="e">
        <f t="array" aca="1" ref="UX21" ca="1">INDEX('Ship Fuel Prices'!$I$5:$I$1004,MATCH(2,1/(('Ship Fuel Prices'!$E$5:$E$1004=_xlfn.IFS(SJ21="Handysize",Main!UP21,SJ21="Supramax",UI21,SJ21="Panamax",UB21,SJ21="NeoPanamax",TU21,SJ21="Suezmax",TN21,SJ21="Capesize",TG21,SJ21="VLOC",SZ21))*('Ship Fuel Prices'!$D$5:$D$1004&lt;=Main!$C21))))</f>
        <v>#N/A</v>
      </c>
      <c r="UY21" s="25" t="e">
        <f t="array" aca="1" ref="UY21" ca="1">INDEX('Ship Fuel Prices'!$J$5:$J$1004,MATCH(2,1/(('Ship Fuel Prices'!$E$5:$E$1004=_xlfn.IFS(SJ21="Handysize",Main!UP21,SJ21="Supramax",UI21,SJ21="Panamax",UB21,SJ21="NeoPanamax",TU21,SJ21="Suezmax",TN21,SJ21="Capesize",TG21,SJ21="VLOC",SZ21))*('Ship Fuel Prices'!$D$5:$D$1004&lt;=Main!$C21))))</f>
        <v>#N/A</v>
      </c>
      <c r="VA21" s="75">
        <f t="array" ref="VA21">INDEX('China n Importing Ports'!$E$20:$E$41,MATCH(2,1/(('China n Importing Ports'!$D$20:$D$41&lt;=$C21)*('China n Importing Ports'!$C$20:$C$41=IF($AO21="No",$AQ21,$AS21)))))</f>
        <v>0</v>
      </c>
      <c r="VB21" s="75">
        <f t="array" ref="VB21">INDEX('China n Importing Ports'!$F$20:$F$41,MATCH(2,1/(('China n Importing Ports'!$D$20:$D$41&lt;=$C21)*('China n Importing Ports'!$C$20:$C$41=IF($AO21="No",$AQ21,$AS21)))))</f>
        <v>0</v>
      </c>
      <c r="VC21" s="75">
        <f t="array" ref="VC21">INDEX('China n Importing Ports'!$G$20:$G$41,MATCH(2,1/(('China n Importing Ports'!$D$20:$D$41&lt;=$C21)*('China n Importing Ports'!$C$20:$C$41=IF($AO21="No",$AQ21,$AS21)))))</f>
        <v>0</v>
      </c>
      <c r="VD21" s="75">
        <f t="array" ref="VD21">INDEX('China n Importing Ports'!$H$20:$H$41,MATCH(2,1/(('China n Importing Ports'!$D$20:$D$41&lt;=$C21)*('China n Importing Ports'!$C$20:$C$41=IF($AO21="No",$AQ21,$AS21)))))</f>
        <v>0</v>
      </c>
      <c r="VE21" s="75">
        <f t="array" ref="VE21">INDEX('China n Importing Ports'!$I$20:$I$41,MATCH(2,1/(('China n Importing Ports'!$D$20:$D$41&lt;=$C21)*('China n Importing Ports'!$C$20:$C$41=IF($AO21="No",$AQ21,$AS21)))))</f>
        <v>0</v>
      </c>
      <c r="VF21" s="75">
        <f t="array" ref="VF21">INDEX('China n Importing Ports'!$J$20:$J$41,MATCH(2,1/(('China n Importing Ports'!$D$20:$D$41&lt;=$C21)*('China n Importing Ports'!$C$20:$C$41=IF($AO21="No",$AQ21,$AS21)))))</f>
        <v>0</v>
      </c>
      <c r="VG21" s="75">
        <f t="array" ref="VG21">INDEX('China n Importing Ports'!$K$20:$K$41,MATCH(2,1/(('China n Importing Ports'!$D$20:$D$41&lt;=$C21)*('China n Importing Ports'!$C$20:$C$41=IF($AO21="No",$AQ21,$AS21)))))</f>
        <v>0</v>
      </c>
      <c r="VH21" s="75">
        <f t="array" ref="VH21">INDEX('China n Importing Ports'!$L$20:$L$41,MATCH(2,1/(('China n Importing Ports'!$D$20:$D$41&lt;=$C21)*('China n Importing Ports'!$C$20:$C$41=IF($AO21="No",$AQ21,$AS21)))))</f>
        <v>0</v>
      </c>
      <c r="VI21" s="75">
        <f t="array" ref="VI21">INDEX('China n Importing Ports'!$M$20:$M$41,MATCH(2,1/(('China n Importing Ports'!$D$20:$D$41&lt;=$C21)*('China n Importing Ports'!$C$20:$C$41=IF($AO21="No",$AQ21,$AS21)))))</f>
        <v>0</v>
      </c>
      <c r="VJ21" s="75">
        <f t="array" ref="VJ21">INDEX('China n Importing Ports'!$N$20:$N$41,MATCH(2,1/(('China n Importing Ports'!$D$20:$D$41&lt;=$C21)*('China n Importing Ports'!$C$20:$C$41=IF($AO21="No",$AQ21,$AS21)))))</f>
        <v>0</v>
      </c>
      <c r="VK21" s="75">
        <f t="array" ref="VK21">INDEX('China n Importing Ports'!$O$20:$O$41,MATCH(2,1/(('China n Importing Ports'!$D$20:$D$41&lt;=$C21)*('China n Importing Ports'!$C$20:$C$41=IF($AO21="No",$AQ21,$AS21)))))</f>
        <v>0</v>
      </c>
      <c r="VL21" s="136">
        <f t="array" ref="VL21">INDEX('China n Importing Ports'!$P$20:$P$41,MATCH(2,1/(('China n Importing Ports'!$D$20:$D$41&lt;=$C21)*('China n Importing Ports'!$C$20:$C$41=IF($AO21="No",$AQ21,$AS21)))))</f>
        <v>0</v>
      </c>
      <c r="VM21" s="136">
        <f t="array" ref="VM21">INDEX('China n Importing Ports'!$Q$20:$Q$41,MATCH(2,1/(('China n Importing Ports'!$D$20:$D$41&lt;=$C21)*('China n Importing Ports'!$C$20:$C$41=IF($AO21="No",$AQ21,$AS21)))))</f>
        <v>0</v>
      </c>
      <c r="VN21" s="136">
        <f t="array" ref="VN21">INDEX('China n Importing Ports'!$R$20:$R$41,MATCH(2,1/(('China n Importing Ports'!$D$20:$D$41&lt;=$C21)*('China n Importing Ports'!$C$20:$C$41=IF($AO21="No",$AQ21,$AS21)))))</f>
        <v>0</v>
      </c>
      <c r="VO21" s="136">
        <f t="array" ref="VO21">INDEX('China n Importing Ports'!$S$20:$S$41,MATCH(2,1/(('China n Importing Ports'!$D$20:$D$41&lt;=$C21)*('China n Importing Ports'!$C$20:$C$41=IF($AO21="No",$AQ21,$AS21)))))</f>
        <v>0</v>
      </c>
      <c r="VP21" s="136">
        <f t="array" ref="VP21">INDEX('China n Importing Ports'!$T$20:$T$41,MATCH(2,1/(('China n Importing Ports'!$D$20:$D$41&lt;=$C21)*('China n Importing Ports'!$C$20:$C$41=IF($AO21="No",$AQ21,$AS21)))))</f>
        <v>0</v>
      </c>
      <c r="VQ21" s="136">
        <f t="array" ref="VQ21">INDEX('China n Importing Ports'!$U$20:$U$41,MATCH(2,1/(('China n Importing Ports'!$D$20:$D$41&lt;=$C21)*('China n Importing Ports'!$C$20:$C$41=IF($AO21="No",$AQ21,$AS21)))))</f>
        <v>0</v>
      </c>
      <c r="VR21" s="136">
        <f t="array" ref="VR21">INDEX('China n Importing Ports'!$V$20:$V$41,MATCH(2,1/(('China n Importing Ports'!$D$20:$D$41&lt;=$C21)*('China n Importing Ports'!$C$20:$C$41=IF($AO21="No",$AQ21,$AS21)))))</f>
        <v>0</v>
      </c>
      <c r="VS21" s="136">
        <f t="array" ref="VS21">INDEX('China n Importing Ports'!$W$20:$W$41,MATCH(2,1/(('China n Importing Ports'!$D$20:$D$41&lt;=$C21)*('China n Importing Ports'!$C$20:$C$41=IF($AO21="No",$AQ21,$AS21)))))</f>
        <v>0</v>
      </c>
      <c r="VT21" s="136">
        <f t="array" ref="VT21">INDEX('China n Importing Ports'!$X$20:$X$41,MATCH(2,1/(('China n Importing Ports'!$D$20:$D$41&lt;=$C21)*('China n Importing Ports'!$C$20:$C$41=IF($AO21="No",$AQ21,$AS21)))))</f>
        <v>0</v>
      </c>
      <c r="VU21" s="136">
        <f t="array" ref="VU21">INDEX('China n Importing Ports'!$Y$20:$Y$41,MATCH(2,1/(('China n Importing Ports'!$D$20:$D$41&lt;=$C21)*('China n Importing Ports'!$C$20:$C$41=IF($AO21="No",$AQ21,$AS21)))))</f>
        <v>0</v>
      </c>
      <c r="VV21" s="136">
        <f t="array" ref="VV21">INDEX('China n Importing Ports'!$Z$20:$Z$41,MATCH(2,1/(('China n Importing Ports'!$D$20:$D$41&lt;=$C21)*('China n Importing Ports'!$C$20:$C$41=IF($AO21="No",$AQ21,$AS21)))))</f>
        <v>0</v>
      </c>
      <c r="VW21" s="136">
        <f t="array" ref="VW21">INDEX('China n Importing Ports'!$AA$20:$AA$41,MATCH(2,1/(('China n Importing Ports'!$D$20:$D$41&lt;=$C21)*('China n Importing Ports'!$C$20:$C$41=IF($AO21="No",$AQ21,$AS21)))))</f>
        <v>0</v>
      </c>
      <c r="VY21" s="75" t="e">
        <f t="array" aca="1" ref="VY21" ca="1">INDEX(Canals!$G$24:$G$29,MATCH(2,1/((Canals!$F$24:$F$29&lt;=$C21)*(Canals!$G$24:$G$29=_xlfn.IFS(SJ21="Handysize",US21,SJ21="Supramax",UL21,SJ21="Panamax",UE21,SJ21="NeoPanamax",TX21,SJ21="Suezmax",TQ21,SJ21="Capesize",TJ21,SJ21="VLOC",TC21)))))</f>
        <v>#N/A</v>
      </c>
      <c r="VZ21" s="75" t="e">
        <f t="array" aca="1" ref="VZ21" ca="1">INDEX(Canals!$H$24:$H$29,MATCH(2,1/((Canals!$F$24:$F$29&lt;=$C21)*(Canals!$G$24:$G$29=_xlfn.IFS(SJ21="Handysize",US21,SJ21="Supramax",UL21,SJ21="Panamax",UE21,SJ21="NeoPanamax",TX21,SJ21="Suezmax",TQ21,SJ21="Capesize",TJ21,SJ21="VLOC",TC21)))))</f>
        <v>#N/A</v>
      </c>
      <c r="WA21" s="75" t="e">
        <f t="array" aca="1" ref="WA21" ca="1">INDEX(Canals!$I$24:$I$29,MATCH(2,1/((Canals!$F$24:$F$29&lt;=$C21)*(Canals!$G$24:$G$29=_xlfn.IFS(SJ21="Handysize",US21,SJ21="Supramax",UL21,SJ21="Panamax",UE21,SJ21="NeoPanamax",TX21,SJ21="Suezmax",TQ21,SJ21="Capesize",TJ21,SJ21="VLOC",TC21)))))</f>
        <v>#N/A</v>
      </c>
      <c r="WB21" s="75" t="e">
        <f t="array" aca="1" ref="WB21" ca="1">INDEX(Canals!$J$24:$J$29,MATCH(2,1/((Canals!$F$24:$F$29&lt;=$C21)*(Canals!$G$24:$G$29=_xlfn.IFS(SJ21="Handysize",Main!US21,SJ21="Supramax",UL21,SJ21="Panamax",UE21,SJ21="NeoPanamax",TX21,SJ21="Suezmax",TQ21,SJ21="Capesize",TJ21,SJ21="VLOC",TC21)))))</f>
        <v>#N/A</v>
      </c>
      <c r="WC21" s="75" t="e">
        <f t="array" aca="1" ref="WC21" ca="1">INDEX(Canals!$K$24:$K$29,MATCH(2,1/((Canals!$F$24:$F$29&lt;=$C21)*(Canals!$G$24:$G$29=_xlfn.IFS(SJ21="Handysize",Main!US21,SJ21="Supramax",UL21,SJ21="Panamax",UE21,SJ21="NeoPanamax",TX21,SJ21="Suezmax",TQ21,SJ21="Capesize",TJ21,SJ21="VLOC",TC21)))))</f>
        <v>#N/A</v>
      </c>
      <c r="WD21" s="75" t="e">
        <f t="array" aca="1" ref="WD21" ca="1">INDEX(Canals!$L$24:$L$29,MATCH(2,1/((Canals!$F$24:$F$29&lt;=$C21)*(Canals!$G$24:$G$29=_xlfn.IFS(SJ21="Handysize",Main!US21,SJ21="Supramax",UL21,SJ21="Panamax",UE21,SJ21="NeoPanamax",TX21,SJ21="Suezmax",TQ21,SJ21="Capesize",TJ21,SJ21="VLOC",TC21)))))</f>
        <v>#N/A</v>
      </c>
      <c r="WE21" s="75" t="e">
        <f t="array" aca="1" ref="WE21" ca="1">INDEX(Canals!$M$24:$M$29,MATCH(2,1/((Canals!$F$24:$F$29&lt;=$C21)*(Canals!$G$24:$G$29=_xlfn.IFS(SJ21="Handysize",Main!US21,SJ21="Supramax",UL21,SJ21="Panamax",UE21,SJ21="NeoPanamax",TX21,SJ21="Suezmax",TQ21,SJ21="Capesize",TJ21,SJ21="VLOC",TC21)))))</f>
        <v>#N/A</v>
      </c>
      <c r="WF21" s="75" t="e">
        <f t="array" aca="1" ref="WF21" ca="1">INDEX(Canals!$N$24:$N$29,MATCH(2,1/((Canals!$F$24:$F$29&lt;=$C21)*(Canals!$G$24:$G$29=_xlfn.IFS(SJ21="Handysize",Main!US21,SJ21="Supramax",UL21,SJ21="Panamax",UE21,SJ21="NeoPanamax",TX21,SJ21="Suezmax",TQ21,SJ21="Capesize",TJ21,SJ21="VLOC",TC21)))))</f>
        <v>#N/A</v>
      </c>
      <c r="WG21" s="75" t="e">
        <f t="array" aca="1" ref="WG21" ca="1">INDEX(Canals!$O$24:$O$29,MATCH(2,1/((Canals!$F$24:$F$29&lt;=$C21)*(Canals!$G$24:$G$29=_xlfn.IFS(SJ21="Handysize",Main!US21,SJ21="Supramax",UL21,SJ21="Panamax",UE21,SJ21="NeoPanamax",TX21,SJ21="Suezmax",TQ21,SJ21="Capesize",TJ21,SJ21="VLOC",TC21)))))</f>
        <v>#N/A</v>
      </c>
      <c r="WH21" s="75" t="e">
        <f t="array" aca="1" ref="WH21" ca="1">INDEX(Canals!$P$24:$P$29,MATCH(2,1/((Canals!$F$24:$F$29&lt;=$C21)*(Canals!$G$24:$G$29=_xlfn.IFS(SJ21="Handysize",Main!US21,SJ21="Supramax",UL21,SJ21="Panamax",UE21,SJ21="NeoPanamax",TX21,SJ21="Suezmax",TQ21,SJ21="Capesize",TJ21,SJ21="VLOC",TC21)))))</f>
        <v>#N/A</v>
      </c>
      <c r="WI21" s="75" t="e">
        <f t="array" aca="1" ref="WI21" ca="1">INDEX(Canals!$Q$24:$Q$29,MATCH(2,1/((Canals!$F$24:$F$29&lt;=$C21)*(Canals!$G$24:$G$29=_xlfn.IFS(SJ21="Handysize",Main!US21,SJ21="Supramax",UL21,SJ21="Panamax",UE21,SJ21="NeoPanamax",TX21,SJ21="Suezmax",TQ21,SJ21="Capesize",TJ21,SJ21="VLOC",TC21)))))</f>
        <v>#N/A</v>
      </c>
      <c r="WJ21" s="75" t="e">
        <f t="array" aca="1" ref="WJ21" ca="1">INDEX(Canals!$R$24:$R$29,MATCH(2,1/((Canals!$F$24:$F$29&lt;=$C21)*(Canals!$G$24:$G$29=_xlfn.IFS(SJ21="Handysize",Main!US21,SJ21="Supramax",UL21,SJ21="Panamax",UE21,SJ21="NeoPanamax",TX21,SJ21="Suezmax",TQ21,SJ21="Capesize",TJ21,SJ21="VLOC",TC21)))))</f>
        <v>#N/A</v>
      </c>
      <c r="WK21" s="136" t="e">
        <f t="array" aca="1" ref="WK21" ca="1">INDEX(Canals!$S$24:$S$29,MATCH(2,1/((Canals!$F$24:$F$29&lt;=$C21)*(Canals!$G$24:$G$29=_xlfn.IFS(SJ21="Handysize",Main!US21,SJ21="Supramax",UL21,SJ21="Panamax",UE21,SJ21="NeoPanamax",TX21,SJ21="Suezmax",TQ21,SJ21="Capesize",TJ21,SJ21="VLOC",TC21)))))</f>
        <v>#N/A</v>
      </c>
      <c r="WL21" s="136" t="e">
        <f t="array" aca="1" ref="WL21" ca="1">INDEX(Canals!$T$24:$T$29,MATCH(2,1/((Canals!$F$24:$F$29&lt;=$C21)*(Canals!$G$24:$G$29=_xlfn.IFS(SJ21="Handysize",Main!US21,SJ21="Supramax",UL21,SJ21="Panamax",UE21,SJ21="NeoPanamax",TX21,SJ21="Suezmax",TQ21,SJ21="Capesize",TJ21,SJ21="VLOC",TC21)))))</f>
        <v>#N/A</v>
      </c>
      <c r="WM21" s="136" t="e">
        <f t="array" aca="1" ref="WM21" ca="1">INDEX(Canals!$U$24:$U$29,MATCH(2,1/((Canals!$F$24:$F$29&lt;=$C21)*(Canals!$G$24:$G$29=_xlfn.IFS(SJ21="Handysize",Main!US21,SJ21="Supramax",UL21,SJ21="Panamax",UE21,SJ21="NeoPanamax",TX21,SJ21="Suezmax",TQ21,SJ21="Capesize",TJ21,SJ21="VLOC",TC21)))))</f>
        <v>#N/A</v>
      </c>
      <c r="WN21" s="136" t="e">
        <f t="array" aca="1" ref="WN21" ca="1">INDEX(Canals!$V$24:$V$29,MATCH(2,1/((Canals!$F$24:$F$29&lt;=$C21)*(Canals!$G$24:$G$29=_xlfn.IFS(SJ21="Handysize",Main!US21,SJ21="Supramax",UL21,SJ21="Panamax",UE21,SJ21="NeoPanamax",TX21,SJ21="Suezmax",TQ21,SJ21="Capesize",TJ21,SJ21="VLOC",TC21)))))</f>
        <v>#N/A</v>
      </c>
      <c r="WO21" s="136" t="e">
        <f t="array" aca="1" ref="WO21" ca="1">INDEX(Canals!$W$24:$W$29,MATCH(2,1/((Canals!$F$24:$F$29&lt;=$C21)*(Canals!$G$24:$G$29=_xlfn.IFS(SJ21="Handysize",Main!US21,SJ21="Supramax",UL21,SJ21="Panamax",UE21,SJ21="NeoPanamax",TX21,SJ21="Suezmax",TQ21,SJ21="Capesize",TJ21,SJ21="VLOC",TC21)))))</f>
        <v>#N/A</v>
      </c>
      <c r="WP21" s="136" t="e">
        <f t="array" aca="1" ref="WP21" ca="1">INDEX(Canals!$X$24:$X$29,MATCH(2,1/((Canals!$F$24:$F$29&lt;=$C21)*(Canals!$G$24:$G$29=_xlfn.IFS(SJ21="Handysize",Main!US21,SJ21="Supramax",UL21,SJ21="Panamax",UE21,SJ21="NeoPanamax",TX21,SJ21="Suezmax",TQ21,SJ21="Capesize",TJ21,SJ21="VLOC",TC21)))))</f>
        <v>#N/A</v>
      </c>
      <c r="WQ21" s="136" t="e">
        <f t="array" aca="1" ref="WQ21" ca="1">INDEX(Canals!$Y$24:$Y$29,MATCH(2,1/((Canals!$F$24:$F$29&lt;=$C21)*(Canals!$G$24:$G$29=_xlfn.IFS(SJ21="Handysize",Main!US21,SJ21="Supramax",UL21,SJ21="Panamax",UE21,SJ21="NeoPanamax",TX21,SJ21="Suezmax",TQ21,SJ21="Capesize",TJ21,SJ21="VLOC",TC21)))))</f>
        <v>#N/A</v>
      </c>
      <c r="WR21" s="136" t="e">
        <f t="array" aca="1" ref="WR21" ca="1">INDEX(Canals!$Z$24:$Z$29,MATCH(2,1/((Canals!$F$24:$F$29&lt;=$C21)*(Canals!$G$24:$G$29=_xlfn.IFS(SJ21="Handysize",Main!US21,SJ21="Supramax",UL21,SJ21="Panamax",UE21,SJ21="NeoPanamax",TX21,SJ21="Suezmax",TQ21,SJ21="Capesize",TJ21,SJ21="VLOC",TC21)))))</f>
        <v>#N/A</v>
      </c>
      <c r="WS21" s="136" t="e">
        <f t="array" aca="1" ref="WS21" ca="1">INDEX(Canals!$AA$24:$AA$29,MATCH(2,1/((Canals!$F$24:$F$29&lt;=$C21)*(Canals!$G$24:$G$29=_xlfn.IFS(SJ21="Handysize",Main!US21,SJ21="Supramax",UL21,SJ21="Panamax",UE21,SJ21="NeoPanamax",TX21,SJ21="Suezmax",TQ21,SJ21="Capesize",TJ21,SJ21="VLOC",TC21)))))</f>
        <v>#N/A</v>
      </c>
      <c r="WT21" s="136" t="e">
        <f t="array" aca="1" ref="WT21" ca="1">INDEX(Canals!$AB$24:$AB$29,MATCH(2,1/((Canals!$F$24:$F$29&lt;=$C21)*(Canals!$G$24:$G$29=_xlfn.IFS(SJ21="Handysize",Main!US21,SJ21="Supramax",UL21,SJ21="Panamax",UE21,SJ21="NeoPanamax",TX21,SJ21="Suezmax",TQ21,SJ21="Capesize",TJ21,SJ21="VLOC",TC21)))))</f>
        <v>#N/A</v>
      </c>
      <c r="WU21" s="75" t="e">
        <f t="array" aca="1" ref="WU21" ca="1">INDEX(Canals!$AC$24:$AC$29,MATCH(2,1/((Canals!$F$24:$F$29&lt;=$C21)*(Canals!$G$24:$G$29=_xlfn.IFS(SJ21="Handysize",Main!US21,SJ21="Supramax",UL21,SJ21="Panamax",UE21,SJ21="NeoPanamax",TX21,SJ21="Suezmax",TQ21,SJ21="Capesize",TJ21,SJ21="VLOC",TC21)))))</f>
        <v>#N/A</v>
      </c>
      <c r="WV21" s="75" t="e">
        <f t="array" aca="1" ref="WV21" ca="1">INDEX(Canals!$AD$24:$AD$29,MATCH(2,1/((Canals!$F$24:$F$29&lt;=$C21)*(Canals!$G$24:$G$29=_xlfn.IFS(SJ21="Handysize",Main!US21,SJ21="Supramax",UL21,SJ21="Panamax",UE21,SJ21="NeoPanamax",TX21,SJ21="Suezmax",TQ21,SJ21="Capesize",TJ21,SJ21="VLOC",TC21)))))</f>
        <v>#N/A</v>
      </c>
      <c r="WW21" s="75" t="e">
        <f t="array" aca="1" ref="WW21" ca="1">INDEX(Canals!$AE$24:$AE$29,MATCH(2,1/((Canals!$F$24:$F$29&lt;=$C21)*(Canals!$G$24:$G$29=_xlfn.IFS(SJ21="Handysize",Main!US21,SJ21="Supramax",UL21,SJ21="Panamax",UE21,SJ21="NeoPanamax",TX21,SJ21="Suezmax",TQ21,SJ21="Capesize",TJ21,SJ21="VLOC",TC21)))))</f>
        <v>#N/A</v>
      </c>
      <c r="WX21" s="75" t="e">
        <f t="array" aca="1" ref="WX21" ca="1">INDEX(Canals!$AF$24:$AF$29,MATCH(2,1/((Canals!$F$24:$F$29&lt;=$C21)*(Canals!$G$24:$G$29=_xlfn.IFS(SJ21="Handysize",Main!US21,SJ21="Supramax",UL21,SJ21="Panamax",UE21,SJ21="NeoPanamax",TX21,SJ21="Suezmax",TQ21,SJ21="Capesize",TJ21,SJ21="VLOC",TC21)))))</f>
        <v>#N/A</v>
      </c>
      <c r="WY21" s="75" t="e">
        <f t="array" aca="1" ref="WY21" ca="1">INDEX(Canals!$AG$24:$AG$29,MATCH(2,1/((Canals!$F$24:$F$29&lt;=$C21)*(Canals!$G$24:$G$29=_xlfn.IFS(SJ21="Handysize",Main!US21,SJ21="Supramax",UL21,SJ21="Panamax",UE21,SJ21="NeoPanamax",TX21,SJ21="Suezmax",TQ21,SJ21="Capesize",TJ21,SJ21="VLOC",TC21)))))</f>
        <v>#N/A</v>
      </c>
      <c r="WZ21" s="75" t="e">
        <f t="array" aca="1" ref="WZ21" ca="1">INDEX(Canals!$AH$24:$AH$29,MATCH(2,1/((Canals!$F$24:$F$29&lt;=$C21)*(Canals!$G$24:$G$29=_xlfn.IFS(SJ21="Handysize",Main!US21,SJ21="Supramax",UL21,SJ21="Panamax",UE21,SJ21="NeoPanamax",TX21,SJ21="Suezmax",TQ21,SJ21="Capesize",TJ21,SJ21="VLOC",TC21)))))</f>
        <v>#N/A</v>
      </c>
      <c r="XA21" s="75" t="e">
        <f t="array" aca="1" ref="XA21" ca="1">INDEX(Canals!$AI$24:$AI$29,MATCH(2,1/((Canals!$F$24:$F$29&lt;=$C21)*(Canals!$G$24:$G$29=_xlfn.IFS(SJ21="Handysize",Main!US21,SJ21="Supramax",UL21,SJ21="Panamax",UE21,SJ21="NeoPanamax",TX21,SJ21="Suezmax",TQ21,SJ21="Capesize",TJ21,SJ21="VLOC",TC21)))))</f>
        <v>#N/A</v>
      </c>
      <c r="XB21" s="75" t="e">
        <f t="array" aca="1" ref="XB21" ca="1">INDEX(Canals!$AJ$24:$AJ$29,MATCH(2,1/((Canals!$F$24:$F$29&lt;=$C21)*(Canals!$G$24:$G$29=_xlfn.IFS(SJ21="Handysize",Main!US21,SJ21="Supramax",UL21,SJ21="Panamax",UE21,SJ21="NeoPanamax",TX21,SJ21="Suezmax",TQ21,SJ21="Capesize",TJ21,SJ21="VLOC",TC21)))))</f>
        <v>#N/A</v>
      </c>
      <c r="XC21" s="75" t="e">
        <f t="array" aca="1" ref="XC21" ca="1">INDEX(Canals!$AK$24:$AK$29,MATCH(2,1/((Canals!$F$24:$F$29&lt;=$C21)*(Canals!$G$24:$G$29=_xlfn.IFS(SJ21="Handysize",Main!US21,SJ21="Supramax",UL21,SJ21="Panamax",UE21,SJ21="NeoPanamax",TX21,SJ21="Suezmax",TQ21,SJ21="Capesize",TJ21,SJ21="VLOC",TC21)))))</f>
        <v>#N/A</v>
      </c>
      <c r="XD21" s="136" t="e">
        <f t="array" aca="1" ref="XD21" ca="1">INDEX(Canals!$AL$24:$AL$29,MATCH(2,1/((Canals!$F$24:$F$29&lt;=$C21)*(Canals!$G$24:$G$29=_xlfn.IFS(SJ21="Handysize",Main!US21,SJ21="Supramax",UL21,SJ21="Panamax",UE21,SJ21="NeoPanamax",TX21,SJ21="Suezmax",TQ21,SJ21="Capesize",TJ21,SJ21="VLOC",TC21)))))</f>
        <v>#N/A</v>
      </c>
      <c r="XE21" s="136" t="e">
        <f t="array" aca="1" ref="XE21" ca="1">INDEX(Canals!$AM$24:$AM$29,MATCH(2,1/((Canals!$F$24:$F$29&lt;=$C21)*(Canals!$G$24:$G$29=_xlfn.IFS(SJ21="Handysize",Main!US21,SJ21="Supramax",UL21,SJ21="Panamax",UE21,SJ21="NeoPanamax",TX21,SJ21="Suezmax",TQ21,SJ21="Capesize",TJ21,SJ21="VLOC",TC21)))))</f>
        <v>#N/A</v>
      </c>
      <c r="XF21" s="136" t="e">
        <f t="array" aca="1" ref="XF21" ca="1">INDEX(Canals!$AN$24:$AN$29,MATCH(2,1/((Canals!$F$24:$F$29&lt;=$C21)*(Canals!$G$24:$G$29=_xlfn.IFS(SJ21="Handysize",Main!US21,SJ21="Supramax",UL21,SJ21="Panamax",UE21,SJ21="NeoPanamax",TX21,SJ21="Suezmax",TQ21,SJ21="Capesize",TJ21,SJ21="VLOC",TC21)))))</f>
        <v>#N/A</v>
      </c>
      <c r="XG21" s="136" t="e">
        <f t="array" aca="1" ref="XG21" ca="1">INDEX(Canals!$AO$24:$AO$29,MATCH(2,1/((Canals!$F$24:$F$29&lt;=$C21)*(Canals!$G$24:$G$29=_xlfn.IFS(SJ21="Handysize",Main!US21,SJ21="Supramax",UL21,SJ21="Panamax",UE21,SJ21="NeoPanamax",TX21,SJ21="Suezmax",TQ21,SJ21="Capesize",TJ21,SJ21="VLOC",TC21)))))</f>
        <v>#N/A</v>
      </c>
      <c r="XH21" s="136" t="e">
        <f t="array" aca="1" ref="XH21" ca="1">INDEX(Canals!$AP$24:$AP$29,MATCH(2,1/((Canals!$F$24:$F$29&lt;=$C21)*(Canals!$G$24:$G$29=_xlfn.IFS(SJ21="Handysize",Main!US21,SJ21="Supramax",UL21,SJ21="Panamax",UE21,SJ21="NeoPanamax",TX21,SJ21="Suezmax",TQ21,SJ21="Capesize",TJ21,SJ21="VLOC",TC21)))))</f>
        <v>#N/A</v>
      </c>
      <c r="XI21" s="136" t="e">
        <f t="array" aca="1" ref="XI21" ca="1">INDEX(Canals!$AQ$24:$AQ$29,MATCH(2,1/((Canals!$F$24:$F$29&lt;=$C21)*(Canals!$G$24:$G$29=_xlfn.IFS(SJ21="Handysize",Main!US21,SJ21="Supramax",UL21,SJ21="Panamax",UE21,SJ21="NeoPanamax",TX21,SJ21="Suezmax",TQ21,SJ21="Capesize",TJ21,SJ21="VLOC",TC21)))))</f>
        <v>#N/A</v>
      </c>
      <c r="XJ21" s="136" t="e">
        <f t="array" aca="1" ref="XJ21" ca="1">INDEX(Canals!$AR$24:$AR$29,MATCH(2,1/((Canals!$F$24:$F$29&lt;=$C21)*(Canals!$G$24:$G$29=_xlfn.IFS(SJ21="Handysize",Main!US21,SJ21="Supramax",UL21,SJ21="Panamax",UE21,SJ21="NeoPanamax",TX21,SJ21="Suezmax",TQ21,SJ21="Capesize",TJ21,SJ21="VLOC",TC21)))))</f>
        <v>#N/A</v>
      </c>
      <c r="XK21" s="136" t="e">
        <f t="array" aca="1" ref="XK21" ca="1">INDEX(Canals!$AS$24:$AS$29,MATCH(2,1/((Canals!$F$24:$F$29&lt;=$C21)*(Canals!$G$24:$G$29=_xlfn.IFS(SJ21="Handysize",Main!US21,SJ21="Supramax",UL21,SJ21="Panamax",UE21,SJ21="NeoPanamax",TX21,SJ21="Suezmax",TQ21,SJ21="Capesize",TJ21,SJ21="VLOC",TC21)))))</f>
        <v>#N/A</v>
      </c>
      <c r="XL21" s="136" t="e">
        <f t="array" aca="1" ref="XL21" ca="1">INDEX(Canals!$AT$24:$AT$29,MATCH(2,1/((Canals!$F$24:$F$29&lt;=$C21)*(Canals!$G$24:$G$29=_xlfn.IFS(SJ21="Handysize",Main!US21,SJ21="Supramax",UL21,SJ21="Panamax",UE21,SJ21="NeoPanamax",TX21,SJ21="Suezmax",TQ21,SJ21="Capesize",TJ21,SJ21="VLOC",TC21)))))</f>
        <v>#N/A</v>
      </c>
      <c r="XM21" s="136" t="e">
        <f t="array" aca="1" ref="XM21" ca="1">INDEX(Canals!$AU$24:$AU$29,MATCH(2,1/((Canals!$F$24:$F$29&lt;=$C21)*(Canals!$G$24:$G$29=_xlfn.IFS(SJ21="Handysize",Main!US21,SJ21="Supramax",UL21,SJ21="Panamax",UE21,SJ21="NeoPanamax",TX21,SJ21="Suezmax",TQ21,SJ21="Capesize",TJ21,SJ21="VLOC",TC21)))))</f>
        <v>#N/A</v>
      </c>
      <c r="XN21" s="136" t="e">
        <f t="array" aca="1" ref="XN21" ca="1">INDEX(Canals!$AV$24:$AV$29,MATCH(2,1/((Canals!$F$24:$F$29&lt;=$C21)*(Canals!$G$24:$G$29=_xlfn.IFS(SJ21="Handysize",Main!US21,SJ21="Supramax",UL21,SJ21="Panamax",UE21,SJ21="NeoPanamax",TX21,SJ21="Suezmax",TQ21,SJ21="Capesize",TJ21,SJ21="VLOC",TC21)))))</f>
        <v>#N/A</v>
      </c>
      <c r="XP21" s="75" t="e">
        <f t="array" aca="1" ref="XP21" ca="1">_xlfn.IFS(WA21="DWT",SH21,WA21="NRT",SL21,WA21="GRT",SM21,WA21=0,0)</f>
        <v>#NAME?</v>
      </c>
      <c r="XQ21" s="279" t="e">
        <f t="shared" ca="1" si="125"/>
        <v>#NAME?</v>
      </c>
      <c r="XR21" s="280" t="e">
        <f t="shared" ca="1" si="126"/>
        <v>#NAME?</v>
      </c>
      <c r="XS21" s="280" t="e">
        <f t="shared" ca="1" si="127"/>
        <v>#NAME?</v>
      </c>
      <c r="XT21" s="280" t="e">
        <f t="shared" ca="1" si="128"/>
        <v>#NAME?</v>
      </c>
      <c r="XU21" s="280" t="e">
        <f t="shared" ca="1" si="129"/>
        <v>#NAME?</v>
      </c>
      <c r="XV21" s="280" t="e">
        <f t="shared" ca="1" si="130"/>
        <v>#NAME?</v>
      </c>
      <c r="XW21" s="280" t="e">
        <f t="shared" ca="1" si="131"/>
        <v>#NAME?</v>
      </c>
      <c r="XX21" s="280" t="e">
        <f t="shared" ca="1" si="132"/>
        <v>#NAME?</v>
      </c>
      <c r="XY21" s="280" t="e">
        <f t="shared" ca="1" si="133"/>
        <v>#NAME?</v>
      </c>
      <c r="XZ21" s="75">
        <f t="shared" si="134"/>
        <v>0</v>
      </c>
      <c r="YA21" s="279" t="e">
        <f t="shared" ca="1" si="135"/>
        <v>#N/A</v>
      </c>
      <c r="YB21" s="280" t="e">
        <f t="shared" ca="1" si="136"/>
        <v>#N/A</v>
      </c>
      <c r="YC21" s="280" t="e">
        <f t="shared" ca="1" si="137"/>
        <v>#N/A</v>
      </c>
      <c r="YD21" s="280" t="e">
        <f t="shared" ca="1" si="138"/>
        <v>#N/A</v>
      </c>
      <c r="YE21" s="280" t="e">
        <f t="shared" ca="1" si="139"/>
        <v>#N/A</v>
      </c>
      <c r="YF21" s="280" t="e">
        <f t="shared" ca="1" si="140"/>
        <v>#N/A</v>
      </c>
      <c r="YG21" s="280" t="e">
        <f t="shared" ca="1" si="141"/>
        <v>#N/A</v>
      </c>
      <c r="YH21" s="280" t="e">
        <f t="shared" ca="1" si="142"/>
        <v>#N/A</v>
      </c>
      <c r="YI21" s="280" t="e">
        <f t="shared" ca="1" si="143"/>
        <v>#N/A</v>
      </c>
      <c r="YK21" s="75" t="e">
        <f t="array" aca="1" ref="YK21" ca="1">_xlfn.IFS(SJ21="Handysize",Main!UM21,SJ21="Supramax",UF21,SJ21="Panamax",TY21,SJ21="NeoPanamax",TR21,SJ21="Suezmax",TK21,SJ21="Capesize",TD21,SJ21="VLOC",SW21)*$JI21</f>
        <v>#NAME?</v>
      </c>
      <c r="YL21" s="274" t="e">
        <f t="array" aca="1" ref="YL21" ca="1">_xlfn.IFS(SJ21="Handysize",Main!UN21,SJ21="Supramax",UG21,SJ21="Panamax",TZ21,SJ21="NeoPanamax",TS21,SJ21="Suezmax",TL21,SJ21="Capesize",TE21,SJ21="VLOC",SX21)*$JI21</f>
        <v>#NAME?</v>
      </c>
      <c r="YM21" s="71" t="e">
        <f t="array" aca="1" ref="YM21" ca="1">_xlfn.IFS(SJ21="Handysize",Main!SO21,SJ21="Supramax",SP21,SJ21="Panamax",SQ21,SJ21="NeoPanamax",SR21,SJ21="Suezmax",SS21,SJ21="Capesize",ST21,SJ21="VLOC",SU21)</f>
        <v>#NAME?</v>
      </c>
      <c r="YN21" s="71" t="e">
        <f t="array" aca="1" ref="YN21" ca="1">_xlfn.IFS(SJ21="Handysize",Main!VA21,SJ21="Supramax",VB21,SJ21="Panamax",VC21,SJ21="NeoPanamax",VD21,SJ21="Suezmax",VE21,SJ21="Capesize",VF21,SJ21="VLOC",VG21)</f>
        <v>#NAME?</v>
      </c>
      <c r="YO21" s="70">
        <f t="array" ref="YO21">INDEX('Ship Speeds'!$G$11:$G$1011,MATCH(2,1/(('Ship Speeds'!$E$11:$E$1011&lt;=Main!$C21)*('Ship Speeds'!$F$11:$F$1011=Main!SI21))))</f>
        <v>11</v>
      </c>
      <c r="YP21" s="403">
        <f t="shared" si="144"/>
        <v>0</v>
      </c>
      <c r="YQ21" s="401">
        <f t="shared" si="145"/>
        <v>1.2</v>
      </c>
      <c r="YR21" s="70" t="e">
        <f t="shared" ca="1" si="146"/>
        <v>#NAME?</v>
      </c>
      <c r="YS21" s="70" t="e">
        <f t="shared" ca="1" si="147"/>
        <v>#NAME?</v>
      </c>
      <c r="YT21" s="70" t="e">
        <f t="shared" ca="1" si="148"/>
        <v>#NAME?</v>
      </c>
      <c r="YU21" s="70" t="e">
        <f t="shared" ca="1" si="149"/>
        <v>#NAME?</v>
      </c>
      <c r="YV21" s="72" t="e">
        <f t="shared" ca="1" si="150"/>
        <v>#N/A</v>
      </c>
      <c r="YW21" s="70" t="e">
        <f t="shared" ca="1" si="151"/>
        <v>#NAME?</v>
      </c>
      <c r="YX21" s="70" t="e">
        <f t="array" aca="1" ref="YX21" ca="1">IF(YK21=0,0,INDEX(UU21:UY21,MATCH(_xlfn.IFS(SJ21="Handysize",Main!UQ21,SJ21="Supramax",UJ21,SJ21="Panamax",UC21,SJ21="NeoPanamax",TV21,SJ21="Suezmax",TO21,SJ21="Capesize",TH21,SJ21="VLOC",TA21),$UU$7:$UY$7,0)))</f>
        <v>#NAME?</v>
      </c>
      <c r="YY21" s="70" t="e">
        <f t="array" aca="1" ref="YY21" ca="1">IF(YK21=0,0,INDEX(UU21:UY21,MATCH(_xlfn.IFS(SJ21="Handysize",Main!UR21,SJ21="Supramax",UK21,SJ21="Panamax",UD21,SJ21="NeoPanamax",TW21,SJ21="Suezmax",TP21,SJ21="Capesize",TI21,SJ21="VLOC",TB21),$UU$7:$UY$7,0)))</f>
        <v>#NAME?</v>
      </c>
      <c r="YZ21" s="71" t="e">
        <f t="shared" ca="1" si="152"/>
        <v>#NAME?</v>
      </c>
      <c r="ZA21" s="71" t="e">
        <f t="shared" ca="1" si="153"/>
        <v>#NAME?</v>
      </c>
      <c r="ZB21" s="281" t="e">
        <f t="shared" ca="1" si="154"/>
        <v>#NAME?</v>
      </c>
      <c r="ZC21" s="71" t="e">
        <f t="shared" ca="1" si="155"/>
        <v>#NAME?</v>
      </c>
      <c r="ZD21" s="71" t="e">
        <f t="shared" ca="1" si="156"/>
        <v>#NAME?</v>
      </c>
      <c r="ZE21" s="71" t="e">
        <f t="shared" ca="1" si="157"/>
        <v>#NAME?</v>
      </c>
      <c r="ZF21" s="71" t="e">
        <f t="shared" ca="1" si="158"/>
        <v>#NAME?</v>
      </c>
      <c r="ZG21" s="71" t="e">
        <f t="shared" ca="1" si="159"/>
        <v>#NAME?</v>
      </c>
      <c r="ZH21" s="71" t="e">
        <f t="shared" ca="1" si="160"/>
        <v>#NAME?</v>
      </c>
      <c r="ZI21" s="71" t="e">
        <f t="shared" ca="1" si="161"/>
        <v>#NAME?</v>
      </c>
      <c r="ZJ21" s="71" t="e">
        <f t="shared" ca="1" si="162"/>
        <v>#NAME?</v>
      </c>
      <c r="ZK21" s="71" t="e">
        <f t="shared" ca="1" si="163"/>
        <v>#NAME?</v>
      </c>
      <c r="ZL21" s="71" t="e">
        <f t="shared" ca="1" si="164"/>
        <v>#NAME?</v>
      </c>
      <c r="ZM21" s="71" t="e">
        <f t="shared" ca="1" si="165"/>
        <v>#NAME?</v>
      </c>
      <c r="ZN21" s="71" t="e">
        <f t="shared" ca="1" si="166"/>
        <v>#NAME?</v>
      </c>
      <c r="ZO21" s="72" t="e">
        <f t="shared" ca="1" si="167"/>
        <v>#NAME?</v>
      </c>
      <c r="ZP21" s="72" t="e">
        <f t="shared" ca="1" si="168"/>
        <v>#NAME?</v>
      </c>
      <c r="ZQ21" s="71" t="e">
        <f t="shared" ca="1" si="169"/>
        <v>#NAME?</v>
      </c>
      <c r="ZR21" s="71" t="e">
        <f t="array" aca="1" ref="ZR21" ca="1">IF(YK21=0,0,INDEX('Ship Time Charter Rates'!$H$22:$H$1021,MATCH(2,1/(('Ship Time Charter Rates'!$G$22:$G$1021=_xlfn.IFS(SJ21="Handysize",Main!UO21,SJ21="Supramax",UH21,SJ21="Panamax",UA21,SJ21="NeoPanamax",TT21,SJ21="Suezmax",TM21,SJ21="Capesize",TF21,SJ21="VLOC",SY21))*('Ship Time Charter Rates'!$E$22:$E$1021&lt;=Main!$C21)*(NOT(ISBLANK('Ship Time Charter Rates'!$H$22:$H$1021)))))))</f>
        <v>#NAME?</v>
      </c>
      <c r="ZS21" s="71" t="e">
        <f t="shared" ca="1" si="170"/>
        <v>#NAME?</v>
      </c>
      <c r="ZT21" s="70" t="e">
        <f t="shared" ca="1" si="171"/>
        <v>#NAME?</v>
      </c>
      <c r="ZU21" s="71" t="e">
        <f t="shared" ca="1" si="172"/>
        <v>#NAME?</v>
      </c>
      <c r="ZV21" s="71" t="e">
        <f t="shared" ca="1" si="304"/>
        <v>#NAME?</v>
      </c>
      <c r="ZW21" s="72" t="e">
        <f t="shared" ca="1" si="305"/>
        <v>#NAME?</v>
      </c>
      <c r="ZY21" s="287" t="s">
        <v>39</v>
      </c>
      <c r="AAA21" s="25">
        <f t="shared" si="322"/>
        <v>72000</v>
      </c>
      <c r="AAB21" s="4" t="str">
        <f>VLOOKUP(AAA21,'Ship Time Charter Rates'!$F$10:$G$17,2,TRUE)</f>
        <v>Panamax</v>
      </c>
      <c r="AAC21" s="4" t="str">
        <f>VLOOKUP(AAA21,Canals!$E$5:$F$12,2,TRUE)</f>
        <v>Panamax</v>
      </c>
      <c r="AAD21" s="25">
        <f t="shared" si="173"/>
        <v>208.74599999999998</v>
      </c>
      <c r="AAE21" s="25">
        <f t="shared" si="174"/>
        <v>29044.799999999999</v>
      </c>
      <c r="AAF21" s="25">
        <f t="shared" si="175"/>
        <v>42157.8</v>
      </c>
      <c r="AAH21" s="75">
        <f t="array" ref="AAH21">INDEX('Indices Mines Exporting Ports'!$R$20:$R$51,MATCH(2,1/(('Indices Mines Exporting Ports'!$D$20:$D$51&lt;=Main!$C21)*('Indices Mines Exporting Ports'!$Q$20:$Q$51=$AP21))))</f>
        <v>15000</v>
      </c>
      <c r="AAI21" s="75">
        <f t="array" ref="AAI21">INDEX('Indices Mines Exporting Ports'!$S$20:$S$51,MATCH(2,1/(('Indices Mines Exporting Ports'!$D$20:$D$51&lt;=Main!$C21)*('Indices Mines Exporting Ports'!$Q$20:$Q$51=$AP21))))</f>
        <v>15000</v>
      </c>
      <c r="AAJ21" s="75">
        <f t="array" ref="AAJ21">INDEX('Indices Mines Exporting Ports'!$T$20:$T$51,MATCH(2,1/(('Indices Mines Exporting Ports'!$D$20:$D$51&lt;=Main!$C21)*('Indices Mines Exporting Ports'!$Q$20:$Q$51=$AP21))))</f>
        <v>15000</v>
      </c>
      <c r="AAK21" s="75">
        <f t="array" ref="AAK21">INDEX('Indices Mines Exporting Ports'!$U$20:$U$51,MATCH(2,1/(('Indices Mines Exporting Ports'!$D$20:$D$51&lt;=Main!$C21)*('Indices Mines Exporting Ports'!$Q$20:$Q$51=$AP21))))</f>
        <v>15000</v>
      </c>
      <c r="AAL21" s="75">
        <f t="array" ref="AAL21">INDEX('Indices Mines Exporting Ports'!$V$20:$V$51,MATCH(2,1/(('Indices Mines Exporting Ports'!$D$20:$D$51&lt;=Main!$C21)*('Indices Mines Exporting Ports'!$Q$20:$Q$51=$AP21))))</f>
        <v>15000</v>
      </c>
      <c r="AAM21" s="75">
        <f t="array" ref="AAM21">INDEX('Indices Mines Exporting Ports'!$W$20:$W$51,MATCH(2,1/(('Indices Mines Exporting Ports'!$D$20:$D$51&lt;=Main!$C21)*('Indices Mines Exporting Ports'!$Q$20:$Q$51=$AP21))))</f>
        <v>15000</v>
      </c>
      <c r="AAN21" s="75">
        <f t="array" ref="AAN21">INDEX('Indices Mines Exporting Ports'!$X$20:$X$51,MATCH(2,1/(('Indices Mines Exporting Ports'!$D$20:$D$51&lt;=Main!$C21)*('Indices Mines Exporting Ports'!$Q$20:$Q$51=$AP21))))</f>
        <v>15000</v>
      </c>
      <c r="AAP21" s="75">
        <f t="array" ref="AAP21">INDEX('Port Linkages'!$E$18:$E$157,MATCH(2,1/(('Port Linkages'!$C$18:$C$157=$AP21)*('Port Linkages'!$D$18:$D$157=IF($AO21="Yes",$AQ21,$KK21))*('Port Linkages'!$A$18:$A$157&lt;=$C21))))</f>
        <v>3542</v>
      </c>
      <c r="AAQ21" s="75">
        <f t="array" ref="AAQ21">INDEX('Port Linkages'!$F$18:$F$157,MATCH(2,1/(('Port Linkages'!$C$18:$C$157=$AP21)*('Port Linkages'!$D$18:$D$157=IF($AO21="Yes",$AQ21,$KK21))*('Port Linkages'!$A$18:$A$157&lt;=$C21))))</f>
        <v>0</v>
      </c>
      <c r="AAR21" s="75" t="str">
        <f t="array" ref="AAR21">INDEX('Port Linkages'!$G$18:$G$157,MATCH(2,1/(('Port Linkages'!$C$18:$C$157=$AP21)*('Port Linkages'!$D$18:$D$157=IF($AO21="Yes",$AQ21,$KK21))*('Port Linkages'!$A$18:$A$157&lt;=$C21))))</f>
        <v>VLOC_General</v>
      </c>
      <c r="AAS21" s="75" t="str">
        <f t="array" ref="AAS21">INDEX('Port Linkages'!$H$18:$H$157,MATCH(2,1/(('Port Linkages'!$C$18:$C$157=$AP21)*('Port Linkages'!$D$18:$D$157=IF($AO21="Yes",$AQ21,$KK21))*('Port Linkages'!$A$18:$A$157&lt;=$C21))))</f>
        <v>Singapore</v>
      </c>
      <c r="AAT21" s="75" t="str">
        <f t="array" ref="AAT21">INDEX('Port Linkages'!$I$18:$I$157,MATCH(2,1/(('Port Linkages'!$C$18:$C$157=$AP21)*('Port Linkages'!$D$18:$D$157=IF($AO21="Yes",$AQ21,$KK21))*('Port Linkages'!$A$18:$A$157&lt;=$C21))))</f>
        <v>VLSFO</v>
      </c>
      <c r="AAU21" s="75" t="str">
        <f t="array" ref="AAU21">INDEX('Port Linkages'!$J$18:$J$157,MATCH(2,1/(('Port Linkages'!$C$18:$C$157=$AP21)*('Port Linkages'!$D$18:$D$157=IF($AO21="Yes",$AQ21,$KK21))*('Port Linkages'!$A$18:$A$157&lt;=$C21))))</f>
        <v>MGO_Regular</v>
      </c>
      <c r="AAV21" s="75" t="str">
        <f t="array" ref="AAV21">INDEX('Port Linkages'!$K$18:$K$157,MATCH(2,1/(('Port Linkages'!$C$18:$C$157=$AP21)*('Port Linkages'!$D$18:$D$157=IF($AO21="Yes",$AQ21,$KK21))*('Port Linkages'!$A$18:$A$157&lt;=$C21))))</f>
        <v>none</v>
      </c>
      <c r="AAW21" s="75">
        <f t="array" ref="AAW21">INDEX('Port Linkages'!$L$18:$L$157,MATCH(2,1/(('Port Linkages'!$C$18:$C$157=$AP21)*('Port Linkages'!$D$18:$D$157=IF($AO21="Yes",$AQ21,$KK21))*('Port Linkages'!$A$18:$A$157&lt;=$C21))))</f>
        <v>3542</v>
      </c>
      <c r="AAX21" s="75">
        <f t="array" ref="AAX21">INDEX('Port Linkages'!$M$18:$M$157,MATCH(2,1/(('Port Linkages'!$C$18:$C$157=$AP21)*('Port Linkages'!$D$18:$D$157=IF($AO21="Yes",$AQ21,$KK21))*('Port Linkages'!$A$18:$A$157&lt;=$C21))))</f>
        <v>0</v>
      </c>
      <c r="AAY21" s="75" t="str">
        <f t="array" ref="AAY21">INDEX('Port Linkages'!$N$18:$N$157,MATCH(2,1/(('Port Linkages'!$C$18:$C$157=$AP21)*('Port Linkages'!$D$18:$D$157=IF($AO21="Yes",$AQ21,$KK21))*('Port Linkages'!$A$18:$A$157&lt;=$C21))))</f>
        <v>Capesize_General</v>
      </c>
      <c r="AAZ21" s="75" t="str">
        <f t="array" ref="AAZ21">INDEX('Port Linkages'!$O$18:$O$157,MATCH(2,1/(('Port Linkages'!$C$18:$C$157=$AP21)*('Port Linkages'!$D$18:$D$157=IF($AO21="Yes",$AQ21,$KK21))*('Port Linkages'!$A$18:$A$157&lt;=$C21))))</f>
        <v>Singapore</v>
      </c>
      <c r="ABA21" s="75" t="str">
        <f t="array" ref="ABA21">INDEX('Port Linkages'!$P$18:$P$157,MATCH(2,1/(('Port Linkages'!$C$18:$C$157=$AP21)*('Port Linkages'!$D$18:$D$157=IF($AO21="Yes",$AQ21,$KK21))*('Port Linkages'!$A$18:$A$157&lt;=$C21))))</f>
        <v>VLSFO</v>
      </c>
      <c r="ABB21" s="75" t="str">
        <f t="array" ref="ABB21">INDEX('Port Linkages'!$Q$18:$Q$157,MATCH(2,1/(('Port Linkages'!$C$18:$C$157=$AP21)*('Port Linkages'!$D$18:$D$157=IF($AO21="Yes",$AQ21,$KK21))*('Port Linkages'!$A$18:$A$157&lt;=$C21))))</f>
        <v>MGO_Regular</v>
      </c>
      <c r="ABC21" s="75" t="str">
        <f t="array" ref="ABC21">INDEX('Port Linkages'!$R$18:$R$157,MATCH(2,1/(('Port Linkages'!$C$18:$C$157=$AP21)*('Port Linkages'!$D$18:$D$157=IF($AO21="Yes",$AQ21,$KK21))*('Port Linkages'!$A$18:$A$157&lt;=$C21))))</f>
        <v>none</v>
      </c>
      <c r="ABD21" s="75">
        <f t="array" ref="ABD21">INDEX('Port Linkages'!$S$18:$S$157,MATCH(2,1/(('Port Linkages'!$C$18:$C$157=$AP21)*('Port Linkages'!$D$18:$D$157=IF($AO21="Yes",$AQ21,$KK21))*('Port Linkages'!$A$18:$A$157&lt;=$C21))))</f>
        <v>3542</v>
      </c>
      <c r="ABE21" s="75">
        <f t="array" ref="ABE21">INDEX('Port Linkages'!$T$18:$T$157,MATCH(2,1/(('Port Linkages'!$C$18:$C$157=$AP21)*('Port Linkages'!$D$18:$D$157=IF($AO21="Yes",$AQ21,$KK21))*('Port Linkages'!$A$18:$A$157&lt;=$C21))))</f>
        <v>0</v>
      </c>
      <c r="ABF21" s="75" t="str">
        <f t="array" ref="ABF21">INDEX('Port Linkages'!$U$18:$U$157,MATCH(2,1/(('Port Linkages'!$C$18:$C$157=$AP21)*('Port Linkages'!$D$18:$D$157=IF($AO21="Yes",$AQ21,$KK21))*('Port Linkages'!$A$18:$A$157&lt;=$C21))))</f>
        <v>Capesize_General</v>
      </c>
      <c r="ABG21" s="75" t="str">
        <f t="array" ref="ABG21">INDEX('Port Linkages'!$V$18:$V$157,MATCH(2,1/(('Port Linkages'!$C$18:$C$157=$AP21)*('Port Linkages'!$D$18:$D$157=IF($AO21="Yes",$AQ21,$KK21))*('Port Linkages'!$A$18:$A$157&lt;=$C21))))</f>
        <v>Singapore</v>
      </c>
      <c r="ABH21" s="75" t="str">
        <f t="array" ref="ABH21">INDEX('Port Linkages'!$W$18:$W$157,MATCH(2,1/(('Port Linkages'!$C$18:$C$157=$AP21)*('Port Linkages'!$D$18:$D$157=IF($AO21="Yes",$AQ21,$KK21))*('Port Linkages'!$A$18:$A$157&lt;=$C21))))</f>
        <v>VLSFO</v>
      </c>
      <c r="ABI21" s="75" t="str">
        <f t="array" ref="ABI21">INDEX('Port Linkages'!$X$18:$X$157,MATCH(2,1/(('Port Linkages'!$C$18:$C$157=$AP21)*('Port Linkages'!$D$18:$D$157=IF($AO21="Yes",$AQ21,$KK21))*('Port Linkages'!$A$18:$A$157&lt;=$C21))))</f>
        <v>MGO_Regular</v>
      </c>
      <c r="ABJ21" s="75" t="str">
        <f t="array" ref="ABJ21">INDEX('Port Linkages'!$Y$18:$Y$157,MATCH(2,1/(('Port Linkages'!$C$18:$C$157=$AP21)*('Port Linkages'!$D$18:$D$157=IF($AO21="Yes",$AQ21,$KK21))*('Port Linkages'!$A$18:$A$157&lt;=$C21))))</f>
        <v>none</v>
      </c>
      <c r="ABK21" s="75">
        <f t="array" ref="ABK21">INDEX('Port Linkages'!$Z$18:$Z$157,MATCH(2,1/(('Port Linkages'!$C$18:$C$157=$AP21)*('Port Linkages'!$D$18:$D$157=IF($AO21="Yes",$AQ21,$KK21))*('Port Linkages'!$A$18:$A$157&lt;=$C21))))</f>
        <v>3542</v>
      </c>
      <c r="ABL21" s="75">
        <f t="array" ref="ABL21">INDEX('Port Linkages'!$AA$18:$AA$157,MATCH(2,1/(('Port Linkages'!$C$18:$C$157=$AP21)*('Port Linkages'!$D$18:$D$157=IF($AO21="Yes",$AQ21,$KK21))*('Port Linkages'!$A$18:$A$157&lt;=$C21))))</f>
        <v>0</v>
      </c>
      <c r="ABM21" s="75" t="str">
        <f t="array" ref="ABM21">INDEX('Port Linkages'!$AB$18:$AB$157,MATCH(2,1/(('Port Linkages'!$C$18:$C$157=$AP21)*('Port Linkages'!$D$18:$D$157=IF($AO21="Yes",$AQ21,$KK21))*('Port Linkages'!$A$18:$A$157&lt;=$C21))))</f>
        <v>Capesize_General</v>
      </c>
      <c r="ABN21" s="75" t="str">
        <f t="array" ref="ABN21">INDEX('Port Linkages'!$AC$18:$AC$157,MATCH(2,1/(('Port Linkages'!$C$18:$C$157=$AP21)*('Port Linkages'!$D$18:$D$157=IF($AO21="Yes",$AQ21,$KK21))*('Port Linkages'!$A$18:$A$157&lt;=$C21))))</f>
        <v>Singapore</v>
      </c>
      <c r="ABO21" s="75" t="str">
        <f t="array" ref="ABO21">INDEX('Port Linkages'!$AD$18:$AD$157,MATCH(2,1/(('Port Linkages'!$C$18:$C$157=$AP21)*('Port Linkages'!$D$18:$D$157=IF($AO21="Yes",$AQ21,$KK21))*('Port Linkages'!$A$18:$A$157&lt;=$C21))))</f>
        <v>VLSFO</v>
      </c>
      <c r="ABP21" s="75" t="str">
        <f t="array" ref="ABP21">INDEX('Port Linkages'!$AE$18:$AE$157,MATCH(2,1/(('Port Linkages'!$C$18:$C$157=$AP21)*('Port Linkages'!$D$18:$D$157=IF($AO21="Yes",$AQ21,$KK21))*('Port Linkages'!$A$18:$A$157&lt;=$C21))))</f>
        <v>MGO_Regular</v>
      </c>
      <c r="ABQ21" s="75" t="str">
        <f t="array" ref="ABQ21">INDEX('Port Linkages'!$AF$18:$AF$157,MATCH(2,1/(('Port Linkages'!$C$18:$C$157=$AP21)*('Port Linkages'!$D$18:$D$157=IF($AO21="Yes",$AQ21,$KK21))*('Port Linkages'!$A$18:$A$157&lt;=$C21))))</f>
        <v>none</v>
      </c>
      <c r="ABR21" s="75">
        <f t="array" ref="ABR21">INDEX('Port Linkages'!$AG$18:$AG$157,MATCH(2,1/(('Port Linkages'!$C$18:$C$157=$AP21)*('Port Linkages'!$D$18:$D$157=IF($AO21="Yes",$AQ21,$KK21))*('Port Linkages'!$A$18:$A$157&lt;=$C21))))</f>
        <v>3542</v>
      </c>
      <c r="ABS21" s="75">
        <f t="array" ref="ABS21">INDEX('Port Linkages'!$AH$18:$AH$157,MATCH(2,1/(('Port Linkages'!$C$18:$C$157=$AP21)*('Port Linkages'!$D$18:$D$157=IF($AO21="Yes",$AQ21,$KK21))*('Port Linkages'!$A$18:$A$157&lt;=$C21))))</f>
        <v>0</v>
      </c>
      <c r="ABT21" s="75" t="str">
        <f t="array" ref="ABT21">INDEX('Port Linkages'!$AI$18:$AI$157,MATCH(2,1/(('Port Linkages'!$C$18:$C$157=$AP21)*('Port Linkages'!$D$18:$D$157=IF($AO21="Yes",$AQ21,$KK21))*('Port Linkages'!$A$18:$A$157&lt;=$C21))))</f>
        <v>Panamax_General</v>
      </c>
      <c r="ABU21" s="75" t="str">
        <f t="array" ref="ABU21">INDEX('Port Linkages'!$AJ$18:$AJ$157,MATCH(2,1/(('Port Linkages'!$C$18:$C$157=$AP21)*('Port Linkages'!$D$18:$D$157=IF($AO21="Yes",$AQ21,$KK21))*('Port Linkages'!$A$18:$A$157&lt;=$C21))))</f>
        <v>Singapore</v>
      </c>
      <c r="ABV21" s="75" t="str">
        <f t="array" ref="ABV21">INDEX('Port Linkages'!$AK$18:$AK$157,MATCH(2,1/(('Port Linkages'!$C$18:$C$157=$AP21)*('Port Linkages'!$D$18:$D$157=IF($AO21="Yes",$AQ21,$KK21))*('Port Linkages'!$A$18:$A$157&lt;=$C21))))</f>
        <v>VLSFO</v>
      </c>
      <c r="ABW21" s="75" t="str">
        <f t="array" ref="ABW21">INDEX('Port Linkages'!$AL$18:$AL$157,MATCH(2,1/(('Port Linkages'!$C$18:$C$157=$AP21)*('Port Linkages'!$D$18:$D$157=IF($AO21="Yes",$AQ21,$KK21))*('Port Linkages'!$A$18:$A$157&lt;=$C21))))</f>
        <v>MGO_Regular</v>
      </c>
      <c r="ABX21" s="75" t="str">
        <f t="array" ref="ABX21">INDEX('Port Linkages'!$AM$18:$AM$157,MATCH(2,1/(('Port Linkages'!$C$18:$C$157=$AP21)*('Port Linkages'!$D$18:$D$157=IF($AO21="Yes",$AQ21,$KK21))*('Port Linkages'!$A$18:$A$157&lt;=$C21))))</f>
        <v>none</v>
      </c>
      <c r="ABY21" s="75">
        <f t="array" ref="ABY21">INDEX('Port Linkages'!$AN$18:$AN$157,MATCH(2,1/(('Port Linkages'!$C$18:$C$157=$AP21)*('Port Linkages'!$D$18:$D$157=IF($AO21="Yes",$AQ21,$KK21))*('Port Linkages'!$A$18:$A$157&lt;=$C21))))</f>
        <v>3542</v>
      </c>
      <c r="ABZ21" s="75">
        <f t="array" ref="ABZ21">INDEX('Port Linkages'!$AO$18:$AO$157,MATCH(2,1/(('Port Linkages'!$C$18:$C$157=$AP21)*('Port Linkages'!$D$18:$D$157=IF($AO21="Yes",$AQ21,$KK21))*('Port Linkages'!$A$18:$A$157&lt;=$C21))))</f>
        <v>0</v>
      </c>
      <c r="ACA21" s="75" t="str">
        <f t="array" ref="ACA21">INDEX('Port Linkages'!$AP$18:$AP$157,MATCH(2,1/(('Port Linkages'!$C$18:$C$157=$AP21)*('Port Linkages'!$D$18:$D$157=IF($AO21="Yes",$AQ21,$KK21))*('Port Linkages'!$A$18:$A$157&lt;=$C21))))</f>
        <v>Supramax_General</v>
      </c>
      <c r="ACB21" s="75" t="str">
        <f t="array" ref="ACB21">INDEX('Port Linkages'!$AQ$18:$AQ$157,MATCH(2,1/(('Port Linkages'!$C$18:$C$157=$AP21)*('Port Linkages'!$D$18:$D$157=IF($AO21="Yes",$AQ21,$KK21))*('Port Linkages'!$A$18:$A$157&lt;=$C21))))</f>
        <v>Singapore</v>
      </c>
      <c r="ACC21" s="75" t="str">
        <f t="array" ref="ACC21">INDEX('Port Linkages'!$AR$18:$AR$157,MATCH(2,1/(('Port Linkages'!$C$18:$C$157=$AP21)*('Port Linkages'!$D$18:$D$157=IF($AO21="Yes",$AQ21,$KK21))*('Port Linkages'!$A$18:$A$157&lt;=$C21))))</f>
        <v>VLSFO</v>
      </c>
      <c r="ACD21" s="75" t="str">
        <f t="array" ref="ACD21">INDEX('Port Linkages'!$AS$18:$AS$157,MATCH(2,1/(('Port Linkages'!$C$18:$C$157=$AP21)*('Port Linkages'!$D$18:$D$157=IF($AO21="Yes",$AQ21,$KK21))*('Port Linkages'!$A$18:$A$157&lt;=$C21))))</f>
        <v>MGO_Regular</v>
      </c>
      <c r="ACE21" s="75" t="str">
        <f t="array" ref="ACE21">INDEX('Port Linkages'!$AT$18:$AT$157,MATCH(2,1/(('Port Linkages'!$C$18:$C$157=$AP21)*('Port Linkages'!$D$18:$D$157=IF($AO21="Yes",$AQ21,$KK21))*('Port Linkages'!$A$18:$A$157&lt;=$C21))))</f>
        <v>none</v>
      </c>
      <c r="ACF21" s="75">
        <f t="array" ref="ACF21">INDEX('Port Linkages'!$AU$18:$AU$157,MATCH(2,1/(('Port Linkages'!$C$18:$C$157=$AP21)*('Port Linkages'!$D$18:$D$157=IF($AO21="Yes",$AQ21,$KK21))*('Port Linkages'!$A$18:$A$157&lt;=$C21))))</f>
        <v>3542</v>
      </c>
      <c r="ACG21" s="75">
        <f t="array" ref="ACG21">INDEX('Port Linkages'!$AV$18:$AV$157,MATCH(2,1/(('Port Linkages'!$C$18:$C$157=$AP21)*('Port Linkages'!$D$18:$D$157=IF($AO21="Yes",$AQ21,$KK21))*('Port Linkages'!$A$18:$A$157&lt;=$C21))))</f>
        <v>0</v>
      </c>
      <c r="ACH21" s="75" t="str">
        <f t="array" ref="ACH21">INDEX('Port Linkages'!$AW$18:$AW$157,MATCH(2,1/(('Port Linkages'!$C$18:$C$157=$AP21)*('Port Linkages'!$D$18:$D$157=IF($AO21="Yes",$AQ21,$KK21))*('Port Linkages'!$A$18:$A$157&lt;=$C21))))</f>
        <v>Handysize_General</v>
      </c>
      <c r="ACI21" s="75" t="str">
        <f t="array" ref="ACI21">INDEX('Port Linkages'!$AX$18:$AX$157,MATCH(2,1/(('Port Linkages'!$C$18:$C$157=$AP21)*('Port Linkages'!$D$18:$D$157=IF($AO21="Yes",$AQ21,$KK21))*('Port Linkages'!$A$18:$A$157&lt;=$C21))))</f>
        <v>Singapore</v>
      </c>
      <c r="ACJ21" s="75" t="str">
        <f t="array" ref="ACJ21">INDEX('Port Linkages'!$AY$18:$AY$157,MATCH(2,1/(('Port Linkages'!$C$18:$C$157=$AP21)*('Port Linkages'!$D$18:$D$157=IF($AO21="Yes",$AQ21,$KK21))*('Port Linkages'!$A$18:$A$157&lt;=$C21))))</f>
        <v>VLSFO</v>
      </c>
      <c r="ACK21" s="75" t="str">
        <f t="array" ref="ACK21">INDEX('Port Linkages'!$AZ$18:$AZ$157,MATCH(2,1/(('Port Linkages'!$C$18:$C$157=$AP21)*('Port Linkages'!$D$18:$D$157=IF($AO21="Yes",$AQ21,$KK21))*('Port Linkages'!$A$18:$A$157&lt;=$C21))))</f>
        <v>MGO_Regular</v>
      </c>
      <c r="ACL21" s="75" t="str">
        <f t="array" ref="ACL21">INDEX('Port Linkages'!$BA$18:$BA$157,MATCH(2,1/(('Port Linkages'!$C$18:$C$157=$AP21)*('Port Linkages'!$D$18:$D$157=IF($AO21="Yes",$AQ21,$KK21))*('Port Linkages'!$A$18:$A$157&lt;=$C21))))</f>
        <v>none</v>
      </c>
      <c r="ACN21" s="25" t="e">
        <f t="array" aca="1" ref="ACN21" ca="1">INDEX('Ship Fuel Prices'!$F$5:$F$1004,MATCH(2,1/(('Ship Fuel Prices'!$E$5:$E$1004=_xlfn.IFS(AAC21="Handysize",Main!ACI21,AAC21="Supramax",ACB21,AAC21="Panamax",ABU21,AAC21="NeoPanamax",ABN21,AAC21="Suezmax",ABG21,AAC21="Capesize",AAZ21,AAC21="VLOC",AAS21))*('Ship Fuel Prices'!$D$5:$D$1004&lt;=Main!$C21))))</f>
        <v>#N/A</v>
      </c>
      <c r="ACO21" s="25" t="e">
        <f t="array" aca="1" ref="ACO21" ca="1">INDEX('Ship Fuel Prices'!$G$5:$G$1004,MATCH(2,1/(('Ship Fuel Prices'!$E$5:$E$1004=_xlfn.IFS(AAC21="Handysize",Main!ACI21,AAC21="Supramax",ACB21,AAC21="Panamax",ABU21,AAC21="NeoPanamax",ABN21,AAC21="Suezmax",ABG21,AAC21="Capesize",AAZ21,AAC21="VLOC",AAS21))*('Ship Fuel Prices'!$D$5:$D$1004&lt;=Main!$C21))))</f>
        <v>#N/A</v>
      </c>
      <c r="ACP21" s="25" t="e">
        <f t="array" aca="1" ref="ACP21" ca="1">INDEX('Ship Fuel Prices'!$H$5:$H$1004,MATCH(2,1/(('Ship Fuel Prices'!$E$5:$E$1004=_xlfn.IFS(AAC21="Handysize",Main!ACI21,AAC21="Supramax",ACB21,AAC21="Panamax",ABU21,AAC21="NeoPanamax",ABN21,AAC21="Suezmax",ABG21,AAC21="Capesize",AAZ21,AAC21="VLOC",AAS21))*('Ship Fuel Prices'!$D$5:$D$1004&lt;=Main!$C21))))</f>
        <v>#N/A</v>
      </c>
      <c r="ACQ21" s="25" t="e">
        <f t="array" aca="1" ref="ACQ21" ca="1">INDEX('Ship Fuel Prices'!$I$5:$I$1004,MATCH(2,1/(('Ship Fuel Prices'!$E$5:$E$1004=_xlfn.IFS(AAC21="Handysize",Main!ACI21,AAC21="Supramax",ACB21,AAC21="Panamax",ABU21,AAC21="NeoPanamax",ABN21,AAC21="Suezmax",ABG21,AAC21="Capesize",AAZ21,AAC21="VLOC",AAS21))*('Ship Fuel Prices'!$D$5:$D$1004&lt;=Main!$C21))))</f>
        <v>#N/A</v>
      </c>
      <c r="ACR21" s="25" t="e">
        <f t="array" aca="1" ref="ACR21" ca="1">INDEX('Ship Fuel Prices'!$J$5:$J$1004,MATCH(2,1/(('Ship Fuel Prices'!$E$5:$E$1004=_xlfn.IFS(AAC21="Handysize",Main!ACI21,AAC21="Supramax",ACB21,AAC21="Panamax",ABU21,AAC21="NeoPanamax",ABN21,AAC21="Suezmax",ABG21,AAC21="Capesize",AAZ21,AAC21="VLOC",AAS21))*('Ship Fuel Prices'!$D$5:$D$1004&lt;=Main!$C21))))</f>
        <v>#N/A</v>
      </c>
      <c r="ACT21" s="75">
        <f t="array" ref="ACT21">INDEX('China n Importing Ports'!$E$20:$E$41,MATCH(2,1/(('China n Importing Ports'!$D$20:$D$41&lt;=$C21)*('China n Importing Ports'!$C$20:$C$41=IF($AO21="Yes",$AQ21,$KK21)))))</f>
        <v>42500</v>
      </c>
      <c r="ACU21" s="75">
        <f t="array" ref="ACU21">INDEX('China n Importing Ports'!$F$20:$F$41,MATCH(2,1/(('China n Importing Ports'!$D$20:$D$41&lt;=$C21)*('China n Importing Ports'!$C$20:$C$41=IF($AO21="Yes",$AQ21,$KK21)))))</f>
        <v>42500</v>
      </c>
      <c r="ACV21" s="75">
        <f t="array" ref="ACV21">INDEX('China n Importing Ports'!$G$20:$G$41,MATCH(2,1/(('China n Importing Ports'!$D$20:$D$41&lt;=$C21)*('China n Importing Ports'!$C$20:$C$41=IF($AO21="Yes",$AQ21,$KK21)))))</f>
        <v>42500</v>
      </c>
      <c r="ACW21" s="75">
        <f t="array" ref="ACW21">INDEX('China n Importing Ports'!$H$20:$H$41,MATCH(2,1/(('China n Importing Ports'!$D$20:$D$41&lt;=$C21)*('China n Importing Ports'!$C$20:$C$41=IF($AO21="Yes",$AQ21,$KK21)))))</f>
        <v>42500</v>
      </c>
      <c r="ACX21" s="75">
        <f t="array" ref="ACX21">INDEX('China n Importing Ports'!$I$20:$I$41,MATCH(2,1/(('China n Importing Ports'!$D$20:$D$41&lt;=$C21)*('China n Importing Ports'!$C$20:$C$41=IF($AO21="Yes",$AQ21,$KK21)))))</f>
        <v>42500</v>
      </c>
      <c r="ACY21" s="75">
        <f t="array" ref="ACY21">INDEX('China n Importing Ports'!$J$20:$J$41,MATCH(2,1/(('China n Importing Ports'!$D$20:$D$41&lt;=$C21)*('China n Importing Ports'!$C$20:$C$41=IF($AO21="Yes",$AQ21,$KK21)))))</f>
        <v>42500</v>
      </c>
      <c r="ACZ21" s="75">
        <f t="array" ref="ACZ21">INDEX('China n Importing Ports'!$K$20:$K$41,MATCH(2,1/(('China n Importing Ports'!$D$20:$D$41&lt;=$C21)*('China n Importing Ports'!$C$20:$C$41=IF($AO21="Yes",$AQ21,$KK21)))))</f>
        <v>42500</v>
      </c>
      <c r="ADA21" s="75" t="str">
        <f t="array" ref="ADA21">INDEX('China n Importing Ports'!$L$20:$L$41,MATCH(2,1/(('China n Importing Ports'!$D$20:$D$41&lt;=$C21)*('China n Importing Ports'!$C$20:$C$41=IF($AO21="Yes",$AQ21,$KK21)))))</f>
        <v>RMB</v>
      </c>
      <c r="ADB21" s="75">
        <f t="array" ref="ADB21">INDEX('China n Importing Ports'!$M$20:$M$41,MATCH(2,1/(('China n Importing Ports'!$D$20:$D$41&lt;=$C21)*('China n Importing Ports'!$C$20:$C$41=IF($AO21="Yes",$AQ21,$KK21)))))</f>
        <v>12342</v>
      </c>
      <c r="ADC21" s="75">
        <f t="array" ref="ADC21">INDEX('China n Importing Ports'!$N$20:$N$41,MATCH(2,1/(('China n Importing Ports'!$D$20:$D$41&lt;=$C21)*('China n Importing Ports'!$C$20:$C$41=IF($AO21="Yes",$AQ21,$KK21)))))</f>
        <v>0</v>
      </c>
      <c r="ADD21" s="75">
        <f t="array" ref="ADD21">INDEX('China n Importing Ports'!$O$20:$O$41,MATCH(2,1/(('China n Importing Ports'!$D$20:$D$41&lt;=$C21)*('China n Importing Ports'!$C$20:$C$41=IF($AO21="Yes",$AQ21,$KK21)))))</f>
        <v>0</v>
      </c>
      <c r="ADE21" s="136">
        <f t="array" ref="ADE21">INDEX('China n Importing Ports'!$P$20:$P$41,MATCH(2,1/(('China n Importing Ports'!$D$20:$D$41&lt;=$C21)*('China n Importing Ports'!$C$20:$C$41=IF($AO21="Yes",$AQ21,$KK21)))))</f>
        <v>2.64</v>
      </c>
      <c r="ADF21" s="136">
        <f t="array" ref="ADF21">INDEX('China n Importing Ports'!$Q$20:$Q$41,MATCH(2,1/(('China n Importing Ports'!$D$20:$D$41&lt;=$C21)*('China n Importing Ports'!$C$20:$C$41=IF($AO21="Yes",$AQ21,$KK21)))))</f>
        <v>0</v>
      </c>
      <c r="ADG21" s="136">
        <f t="array" ref="ADG21">INDEX('China n Importing Ports'!$R$20:$R$41,MATCH(2,1/(('China n Importing Ports'!$D$20:$D$41&lt;=$C21)*('China n Importing Ports'!$C$20:$C$41=IF($AO21="Yes",$AQ21,$KK21)))))</f>
        <v>0</v>
      </c>
      <c r="ADH21" s="136">
        <f t="array" ref="ADH21">INDEX('China n Importing Ports'!$S$20:$S$41,MATCH(2,1/(('China n Importing Ports'!$D$20:$D$41&lt;=$C21)*('China n Importing Ports'!$C$20:$C$41=IF($AO21="Yes",$AQ21,$KK21)))))</f>
        <v>4.53</v>
      </c>
      <c r="ADI21" s="136">
        <f t="array" ref="ADI21">INDEX('China n Importing Ports'!$T$20:$T$41,MATCH(2,1/(('China n Importing Ports'!$D$20:$D$41&lt;=$C21)*('China n Importing Ports'!$C$20:$C$41=IF($AO21="Yes",$AQ21,$KK21)))))</f>
        <v>0.36699999999999999</v>
      </c>
      <c r="ADJ21" s="136">
        <f t="array" ref="ADJ21">INDEX('China n Importing Ports'!$U$20:$U$41,MATCH(2,1/(('China n Importing Ports'!$D$20:$D$41&lt;=$C21)*('China n Importing Ports'!$C$20:$C$41=IF($AO21="Yes",$AQ21,$KK21)))))</f>
        <v>0.05</v>
      </c>
      <c r="ADK21" s="136">
        <f t="array" ref="ADK21">INDEX('China n Importing Ports'!$V$20:$V$41,MATCH(2,1/(('China n Importing Ports'!$D$20:$D$41&lt;=$C21)*('China n Importing Ports'!$C$20:$C$41=IF($AO21="Yes",$AQ21,$KK21)))))</f>
        <v>0</v>
      </c>
      <c r="ADL21" s="136">
        <f t="array" ref="ADL21">INDEX('China n Importing Ports'!$W$20:$W$41,MATCH(2,1/(('China n Importing Ports'!$D$20:$D$41&lt;=$C21)*('China n Importing Ports'!$C$20:$C$41=IF($AO21="Yes",$AQ21,$KK21)))))</f>
        <v>0</v>
      </c>
      <c r="ADM21" s="136">
        <f t="array" ref="ADM21">INDEX('China n Importing Ports'!$X$20:$X$41,MATCH(2,1/(('China n Importing Ports'!$D$20:$D$41&lt;=$C21)*('China n Importing Ports'!$C$20:$C$41=IF($AO21="Yes",$AQ21,$KK21)))))</f>
        <v>0</v>
      </c>
      <c r="ADN21" s="136">
        <f t="array" ref="ADN21">INDEX('China n Importing Ports'!$Y$20:$Y$41,MATCH(2,1/(('China n Importing Ports'!$D$20:$D$41&lt;=$C21)*('China n Importing Ports'!$C$20:$C$41=IF($AO21="Yes",$AQ21,$KK21)))))</f>
        <v>197</v>
      </c>
      <c r="ADO21" s="136">
        <f t="array" ref="ADO21">INDEX('China n Importing Ports'!$Z$20:$Z$41,MATCH(2,1/(('China n Importing Ports'!$D$20:$D$41&lt;=$C21)*('China n Importing Ports'!$C$20:$C$41=IF($AO21="Yes",$AQ21,$KK21)))))</f>
        <v>0</v>
      </c>
      <c r="ADP21" s="136">
        <f t="array" ref="ADP21">INDEX('China n Importing Ports'!$AA$20:$AA$41,MATCH(2,1/(('China n Importing Ports'!$D$20:$D$41&lt;=$C21)*('China n Importing Ports'!$C$20:$C$41=IF($AO21="Yes",$AQ21,$KK21)))))</f>
        <v>0</v>
      </c>
      <c r="ADR21" s="75" t="e">
        <f t="array" aca="1" ref="ADR21" ca="1">INDEX(Canals!$G$24:$G$29,MATCH(2,1/((Canals!$F$24:$F$29&lt;=$C21)*(Canals!$G$24:$G$29=_xlfn.IFS(AAC21="Handysize",Main!ACL21,AAC21="Supramax",ACE21,AAC21="Panamax",ABX21,AAC21="NeoPanamax",ABQ21,AAC21="Suezmax",ABJ21,AAC21="Capesize",ABC21,AAC21="VLOC",AAV21)))))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S21" s="75" t="e">
        <f t="array" aca="1" ref="ADS21" ca="1">INDEX(Canals!$H$24:$H$29,MATCH(2,1/((Canals!$F$24:$F$29&lt;=$C21)*(Canals!$G$24:$G$29=_xlfn.IFS(AAC21="Handysize",Main!ACL21,AAC21="Supramax",ACE21,AAC21="Panamax",ABX21,AAC21="NeoPanamax",ABQ21,AAC21="Suezmax",ABJ21,AAC21="Capesize",ABC21,AAC21="VLOC",AAV21)))))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T21" s="75" t="e">
        <f t="array" aca="1" ref="ADT21" ca="1">INDEX(Canals!$I$24:$I$29,MATCH(2,1/((Canals!$F$24:$F$29&lt;=$C21)*(Canals!$G$24:$G$29=_xlfn.IFS(AAC21="Handysize",Main!ACL21,AAC21="Supramax",ACE21,AAC21="Panamax",ABX21,AAC21="NeoPanamax",ABQ21,AAC21="Suezmax",ABJ21,AAC21="Capesize",ABC21,AAC21="VLOC",AAV21)))))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U21" s="75" t="e">
        <f t="array" aca="1" ref="ADU21" ca="1">INDEX(Canals!$J$24:$J$29,MATCH(2,1/((Canals!$F$24:$F$29&lt;=$C21)*(Canals!$G$24:$G$29=_xlfn.IFS(AAC21="Handysize",Main!ACL21,AAC21="Supramax",ACE21,AAC21="Panamax",ABX21,AAC21="NeoPanamax",ABQ21,AAC21="Suezmax",ABJ21,AAC21="Capesize",ABC21,AAC21="VLOC",AAV21)))))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V21" s="75" t="e">
        <f t="array" aca="1" ref="ADV21" ca="1">INDEX(Canals!$K$24:$K$29,MATCH(2,1/((Canals!$F$24:$F$29&lt;=$C21)*(Canals!$G$24:$G$29=_xlfn.IFS(AAC21="Handysize",Main!ACL21,AAC21="Supramax",ACE21,AAC21="Panamax",ABX21,AAC21="NeoPanamax",ABQ21,AAC21="Suezmax",ABJ21,AAC21="Capesize",ABC21,AAC21="VLOC",AAV21)))))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W21" s="75" t="e">
        <f t="array" aca="1" ref="ADW21" ca="1">INDEX(Canals!$L$24:$L$29,MATCH(2,1/((Canals!$F$24:$F$29&lt;=$C21)*(Canals!$G$24:$G$29=_xlfn.IFS(AAC21="Handysize",Main!ACL21,AAC21="Supramax",ACE21,AAC21="Panamax",ABX21,AAC21="NeoPanamax",ABQ21,AAC21="Suezmax",ABJ21,AAC21="Capesize",ABC21,AAC21="VLOC",AAV21)))))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X21" s="75" t="e">
        <f t="array" aca="1" ref="ADX21" ca="1">INDEX(Canals!$M$24:$M$29,MATCH(2,1/((Canals!$F$24:$F$29&lt;=$C21)*(Canals!$G$24:$G$29=_xlfn.IFS(AAC21="Handysize",Main!ACL21,AAC21="Supramax",ACE21,AAC21="Panamax",ABX21,AAC21="NeoPanamax",ABQ21,AAC21="Suezmax",ABJ21,AAC21="Capesize",ABC21,AAC21="VLOC",AAV21)))))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Y21" s="75" t="e">
        <f t="array" aca="1" ref="ADY21" ca="1">INDEX(Canals!$N$24:$N$29,MATCH(2,1/((Canals!$F$24:$F$29&lt;=$C21)*(Canals!$G$24:$G$29=_xlfn.IFS(AAC21="Handysize",Main!ACL21,AAC21="Supramax",ACE21,AAC21="Panamax",ABX21,AAC21="NeoPanamax",ABQ21,AAC21="Suezmax",ABJ21,AAC21="Capesize",ABC21,AAC21="VLOC",AAV21)))))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DZ21" s="75" t="e">
        <f t="array" aca="1" ref="ADZ21" ca="1">INDEX(Canals!$O$24:$O$29,MATCH(2,1/((Canals!$F$24:$F$29&lt;=$C21)*(Canals!$G$24:$G$29=_xlfn.IFS(AAC21="Handysize",Main!ACL21,AAC21="Supramax",ACE21,AAC21="Panamax",ABX21,AAC21="NeoPanamax",ABQ21,AAC21="Suezmax",ABJ21,AAC21="Capesize",ABC21,AAC21="VLOC",AAV21)))))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A21" s="75" t="e">
        <f t="array" aca="1" ref="AEA21" ca="1">INDEX(Canals!$P$24:$P$29,MATCH(2,1/((Canals!$F$24:$F$29&lt;=$C21)*(Canals!$G$24:$G$29=_xlfn.IFS(AAC21="Handysize",Main!ACL21,AAC21="Supramax",ACE21,AAC21="Panamax",ABX21,AAC21="NeoPanamax",ABQ21,AAC21="Suezmax",ABJ21,AAC21="Capesize",ABC21,AAC21="VLOC",AAV21)))))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B21" s="75" t="e">
        <f t="array" aca="1" ref="AEB21" ca="1">INDEX(Canals!$Q$24:$Q$29,MATCH(2,1/((Canals!$F$24:$F$29&lt;=$C21)*(Canals!$G$24:$G$29=_xlfn.IFS(AAC21="Handysize",Main!ACL21,AAC21="Supramax",ACE21,AAC21="Panamax",ABX21,AAC21="NeoPanamax",ABQ21,AAC21="Suezmax",ABJ21,AAC21="Capesize",ABC21,AAC21="VLOC",AAV21)))))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C21" s="75" t="e">
        <f t="array" aca="1" ref="AEC21" ca="1">INDEX(Canals!$R$24:$R$29,MATCH(2,1/((Canals!$F$24:$F$29&lt;=$C21)*(Canals!$G$24:$G$29=_xlfn.IFS(AAC21="Handysize",Main!ACL21,AAC21="Supramax",ACE21,AAC21="Panamax",ABX21,AAC21="NeoPanamax",ABQ21,AAC21="Suezmax",ABJ21,AAC21="Capesize",ABC21,AAC21="VLOC",AAV21)))))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D21" s="136" t="e">
        <f t="array" aca="1" ref="AED21" ca="1">INDEX(Canals!$S$24:$S$29,MATCH(2,1/((Canals!$F$24:$F$29&lt;=$C21)*(Canals!$G$24:$G$29=_xlfn.IFS(AAC21="Handysize",Main!ACL21,AAC21="Supramax",ACE21,AAC21="Panamax",ABX21,AAC21="NeoPanamax",ABQ21,AAC21="Suezmax",ABJ21,AAC21="Capesize",ABC21,AAC21="VLOC",AAV21)))))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E21" s="136" t="e">
        <f t="array" aca="1" ref="AEE21" ca="1">INDEX(Canals!$T$24:$T$29,MATCH(2,1/((Canals!$F$24:$F$29&lt;=$C21)*(Canals!$G$24:$G$29=_xlfn.IFS(AAC21="Handysize",Main!ACL21,AAC21="Supramax",ACE21,AAC21="Panamax",ABX21,AAC21="NeoPanamax",ABQ21,AAC21="Suezmax",ABJ21,AAC21="Capesize",ABC21,AAC21="VLOC",AAV21)))))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F21" s="136" t="e">
        <f t="array" aca="1" ref="AEF21" ca="1">INDEX(Canals!$U$24:$U$29,MATCH(2,1/((Canals!$F$24:$F$29&lt;=$C21)*(Canals!$G$24:$G$29=_xlfn.IFS(AAC21="Handysize",Main!ACL21,AAC21="Supramax",ACE21,AAC21="Panamax",ABX21,AAC21="NeoPanamax",ABQ21,AAC21="Suezmax",ABJ21,AAC21="Capesize",ABC21,AAC21="VLOC",AAV21)))))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G21" s="136" t="e">
        <f t="array" aca="1" ref="AEG21" ca="1">INDEX(Canals!$V$24:$V$29,MATCH(2,1/((Canals!$F$24:$F$29&lt;=$C21)*(Canals!$G$24:$G$29=_xlfn.IFS(AAC21="Handysize",Main!ACL21,AAC21="Supramax",ACE21,AAC21="Panamax",ABX21,AAC21="NeoPanamax",ABQ21,AAC21="Suezmax",ABJ21,AAC21="Capesize",ABC21,AAC21="VLOC",AAV21)))))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H21" s="136" t="e">
        <f t="array" aca="1" ref="AEH21" ca="1">INDEX(Canals!$W$24:$W$29,MATCH(2,1/((Canals!$F$24:$F$29&lt;=$C21)*(Canals!$G$24:$G$29=_xlfn.IFS(AAC21="Handysize",Main!ACL21,AAC21="Supramax",ACE21,AAC21="Panamax",ABX21,AAC21="NeoPanamax",ABQ21,AAC21="Suezmax",ABJ21,AAC21="Capesize",ABC21,AAC21="VLOC",AAV21)))))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I21" s="136" t="e">
        <f t="array" aca="1" ref="AEI21" ca="1">INDEX(Canals!$X$24:$X$29,MATCH(2,1/((Canals!$F$24:$F$29&lt;=$C21)*(Canals!$G$24:$G$29=_xlfn.IFS(AAC21="Handysize",Main!ACL21,AAC21="Supramax",ACE21,AAC21="Panamax",ABX21,AAC21="NeoPanamax",ABQ21,AAC21="Suezmax",ABJ21,AAC21="Capesize",ABC21,AAC21="VLOC",AAV21)))))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J21" s="136" t="e">
        <f t="array" aca="1" ref="AEJ21" ca="1">INDEX(Canals!$Y$24:$Y$29,MATCH(2,1/((Canals!$F$24:$F$29&lt;=$C21)*(Canals!$G$24:$G$29=_xlfn.IFS(AAC21="Handysize",Main!ACL21,AAC21="Supramax",ACE21,AAC21="Panamax",ABX21,AAC21="NeoPanamax",ABQ21,AAC21="Suezmax",ABJ21,AAC21="Capesize",ABC21,AAC21="VLOC",AAV21)))))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K21" s="136" t="e">
        <f t="array" aca="1" ref="AEK21" ca="1">INDEX(Canals!$Z$24:$Z$29,MATCH(2,1/((Canals!$F$24:$F$29&lt;=$C21)*(Canals!$G$24:$G$29=_xlfn.IFS(AAC21="Handysize",Main!ACL21,AAC21="Supramax",ACE21,AAC21="Panamax",ABX21,AAC21="NeoPanamax",ABQ21,AAC21="Suezmax",ABJ21,AAC21="Capesize",ABC21,AAC21="VLOC",AAV21)))))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L21" s="136" t="e">
        <f t="array" aca="1" ref="AEL21" ca="1">INDEX(Canals!$AA$24:$AA$29,MATCH(2,1/((Canals!$F$24:$F$29&lt;=$C21)*(Canals!$G$24:$G$29=_xlfn.IFS(AAC21="Handysize",Main!ACL21,AAC21="Supramax",ACE21,AAC21="Panamax",ABX21,AAC21="NeoPanamax",ABQ21,AAC21="Suezmax",ABJ21,AAC21="Capesize",ABC21,AAC21="VLOC",AAV21)))))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M21" s="136" t="e">
        <f t="array" aca="1" ref="AEM21" ca="1">INDEX(Canals!$AB$24:$AB$29,MATCH(2,1/((Canals!$F$24:$F$29&lt;=$C21)*(Canals!$G$24:$G$29=_xlfn.IFS(AAC21="Handysize",Main!ACL21,AAC21="Supramax",ACE21,AAC21="Panamax",ABX21,AAC21="NeoPanamax",ABQ21,AAC21="Suezmax",ABJ21,AAC21="Capesize",ABC21,AAC21="VLOC",AAV21)))))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N21" s="75" t="e">
        <f t="array" aca="1" ref="AEN21" ca="1">INDEX(Canals!$AC$24:$AC$29,MATCH(2,1/((Canals!$F$24:$F$29&lt;=$C21)*(Canals!$G$24:$G$29=_xlfn.IFS(AAC21="Handysize",Main!ACL21,AAC21="Supramax",ACE21,AAC21="Panamax",ABX21,AAC21="NeoPanamax",ABQ21,AAC21="Suezmax",ABJ21,AAC21="Capesize",ABC21,AAC21="VLOC",AAV21)))))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O21" s="75" t="e">
        <f t="array" aca="1" ref="AEO21" ca="1">INDEX(Canals!$AD$24:$AD$29,MATCH(2,1/((Canals!$F$24:$F$29&lt;=$C21)*(Canals!$G$24:$G$29=_xlfn.IFS(AAC21="Handysize",Main!ACL21,AAC21="Supramax",ACE21,AAC21="Panamax",ABX21,AAC21="NeoPanamax",ABQ21,AAC21="Suezmax",ABJ21,AAC21="Capesize",ABC21,AAC21="VLOC",AAV21)))))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P21" s="75" t="e">
        <f t="array" aca="1" ref="AEP21" ca="1">INDEX(Canals!$AE$24:$AE$29,MATCH(2,1/((Canals!$F$24:$F$29&lt;=$C21)*(Canals!$G$24:$G$29=_xlfn.IFS(AAC21="Handysize",Main!ACL21,AAC21="Supramax",ACE21,AAC21="Panamax",ABX21,AAC21="NeoPanamax",ABQ21,AAC21="Suezmax",ABJ21,AAC21="Capesize",ABC21,AAC21="VLOC",AAV21)))))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Q21" s="75" t="e">
        <f t="array" aca="1" ref="AEQ21" ca="1">INDEX(Canals!$AF$24:$AF$29,MATCH(2,1/((Canals!$F$24:$F$29&lt;=$C21)*(Canals!$G$24:$G$29=_xlfn.IFS(AAC21="Handysize",Main!ACL21,AAC21="Supramax",ACE21,AAC21="Panamax",ABX21,AAC21="NeoPanamax",ABQ21,AAC21="Suezmax",ABJ21,AAC21="Capesize",ABC21,AAC21="VLOC",AAV21)))))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R21" s="75" t="e">
        <f t="array" aca="1" ref="AER21" ca="1">INDEX(Canals!$AG$24:$AG$29,MATCH(2,1/((Canals!$F$24:$F$29&lt;=$C21)*(Canals!$G$24:$G$29=_xlfn.IFS(AAC21="Handysize",Main!ACL21,AAC21="Supramax",ACE21,AAC21="Panamax",ABX21,AAC21="NeoPanamax",ABQ21,AAC21="Suezmax",ABJ21,AAC21="Capesize",ABC21,AAC21="VLOC",AAV21)))))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S21" s="75" t="e">
        <f t="array" aca="1" ref="AES21" ca="1">INDEX(Canals!$AH$24:$AH$29,MATCH(2,1/((Canals!$F$24:$F$29&lt;=$C21)*(Canals!$G$24:$G$29=_xlfn.IFS(AAC21="Handysize",Main!ACL21,AAC21="Supramax",ACE21,AAC21="Panamax",ABX21,AAC21="NeoPanamax",ABQ21,AAC21="Suezmax",ABJ21,AAC21="Capesize",ABC21,AAC21="VLOC",AAV21)))))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T21" s="75" t="e">
        <f t="array" aca="1" ref="AET21" ca="1">INDEX(Canals!$AI$24:$AI$29,MATCH(2,1/((Canals!$F$24:$F$29&lt;=$C21)*(Canals!$G$24:$G$29=_xlfn.IFS(AAC21="Handysize",Main!ACL21,AAC21="Supramax",ACE21,AAC21="Panamax",ABX21,AAC21="NeoPanamax",ABQ21,AAC21="Suezmax",ABJ21,AAC21="Capesize",ABC21,AAC21="VLOC",AAV21)))))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U21" s="75" t="e">
        <f t="array" aca="1" ref="AEU21" ca="1">INDEX(Canals!$AJ$24:$AJ$29,MATCH(2,1/((Canals!$F$24:$F$29&lt;=$C21)*(Canals!$G$24:$G$29=_xlfn.IFS(AAC21="Handysize",Main!ACL21,AAC21="Supramax",ACE21,AAC21="Panamax",ABX21,AAC21="NeoPanamax",ABQ21,AAC21="Suezmax",ABJ21,AAC21="Capesize",ABC21,AAC21="VLOC",AAV21)))))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V21" s="75" t="e">
        <f t="array" aca="1" ref="AEV21" ca="1">INDEX(Canals!$AK$24:$AK$29,MATCH(2,1/((Canals!$F$24:$F$29&lt;=$C21)*(Canals!$G$24:$G$29=_xlfn.IFS(AAC21="Handysize",Main!ACL21,AAC21="Supramax",ACE21,AAC21="Panamax",ABX21,AAC21="NeoPanamax",ABQ21,AAC21="Suezmax",ABJ21,AAC21="Capesize",ABC21,AAC21="VLOC",AAV21)))))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W21" s="136" t="e">
        <f t="array" aca="1" ref="AEW21" ca="1">INDEX(Canals!$AL$24:$AL$29,MATCH(2,1/((Canals!$F$24:$F$29&lt;=$C21)*(Canals!$G$24:$G$29=_xlfn.IFS(AAC21="Handysize",Main!ACL21,AAC21="Supramax",ACE21,AAC21="Panamax",ABX21,AAC21="NeoPanamax",ABQ21,AAC21="Suezmax",ABJ21,AAC21="Capesize",ABC21,AAC21="VLOC",AAV21)))))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X21" s="136" t="e">
        <f t="array" aca="1" ref="AEX21" ca="1">INDEX(Canals!$AM$24:$AM$29,MATCH(2,1/((Canals!$F$24:$F$29&lt;=$C21)*(Canals!$G$24:$G$29=_xlfn.IFS(AAC21="Handysize",Main!ACL21,AAC21="Supramax",ACE21,AAC21="Panamax",ABX21,AAC21="NeoPanamax",ABQ21,AAC21="Suezmax",ABJ21,AAC21="Capesize",ABC21,AAC21="VLOC",AAV21)))))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Y21" s="136" t="e">
        <f t="array" aca="1" ref="AEY21" ca="1">INDEX(Canals!$AN$24:$AN$29,MATCH(2,1/((Canals!$F$24:$F$29&lt;=$C21)*(Canals!$G$24:$G$29=_xlfn.IFS(AAC21="Handysize",Main!ACL21,AAC21="Supramax",ACE21,AAC21="Panamax",ABX21,AAC21="NeoPanamax",ABQ21,AAC21="Suezmax",ABJ21,AAC21="Capesize",ABC21,AAC21="VLOC",AAV21)))))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EZ21" s="136" t="e">
        <f t="array" aca="1" ref="AEZ21" ca="1">INDEX(Canals!$AO$24:$AO$29,MATCH(2,1/((Canals!$F$24:$F$29&lt;=$C21)*(Canals!$G$24:$G$29=_xlfn.IFS(AAC21="Handysize",Main!ACL21,AAC21="Supramax",ACE21,AAC21="Panamax",ABX21,AAC21="NeoPanamax",ABQ21,AAC21="Suezmax",ABJ21,AAC21="Capesize",ABC21,AAC21="VLOC",AAV21)))))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A21" s="136" t="e">
        <f t="array" aca="1" ref="AFA21" ca="1">INDEX(Canals!$AP$24:$AP$29,MATCH(2,1/((Canals!$F$24:$F$29&lt;=$C21)*(Canals!$G$24:$G$29=_xlfn.IFS(AAC21="Handysize",Main!ACL21,AAC21="Supramax",ACE21,AAC21="Panamax",ABX21,AAC21="NeoPanamax",ABQ21,AAC21="Suezmax",ABJ21,AAC21="Capesize",ABC21,AAC21="VLOC",AAV21)))))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B21" s="136" t="e">
        <f t="array" aca="1" ref="AFB21" ca="1">INDEX(Canals!$AQ$24:$AQ$29,MATCH(2,1/((Canals!$F$24:$F$29&lt;=$C21)*(Canals!$G$24:$G$29=_xlfn.IFS(AAC21="Handysize",Main!ACL21,AAC21="Supramax",ACE21,AAC21="Panamax",ABX21,AAC21="NeoPanamax",ABQ21,AAC21="Suezmax",ABJ21,AAC21="Capesize",ABC21,AAC21="VLOC",AAV21)))))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C21" s="136" t="e">
        <f t="array" aca="1" ref="AFC21" ca="1">INDEX(Canals!$AR$24:$AR$29,MATCH(2,1/((Canals!$F$24:$F$29&lt;=$C21)*(Canals!$G$24:$G$29=_xlfn.IFS(AAC21="Handysize",Main!ACL21,AAC21="Supramax",ACE21,AAC21="Panamax",ABX21,AAC21="NeoPanamax",ABQ21,AAC21="Suezmax",ABJ21,AAC21="Capesize",ABC21,AAC21="VLOC",AAV21)))))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D21" s="136" t="e">
        <f t="array" aca="1" ref="AFD21" ca="1">INDEX(Canals!$AS$24:$AS$29,MATCH(2,1/((Canals!$F$24:$F$29&lt;=$C21)*(Canals!$G$24:$G$29=_xlfn.IFS(AAC21="Handysize",Main!ACL21,AAC21="Supramax",ACE21,AAC21="Panamax",ABX21,AAC21="NeoPanamax",ABQ21,AAC21="Suezmax",ABJ21,AAC21="Capesize",ABC21,AAC21="VLOC",AAV21)))))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E21" s="136" t="e">
        <f t="array" aca="1" ref="AFE21" ca="1">INDEX(Canals!$AT$24:$AT$29,MATCH(2,1/((Canals!$F$24:$F$29&lt;=$C21)*(Canals!$G$24:$G$29=_xlfn.IFS(AAC21="Handysize",Main!ACL21,AAC21="Supramax",ACE21,AAC21="Panamax",ABX21,AAC21="NeoPanamax",ABQ21,AAC21="Suezmax",ABJ21,AAC21="Capesize",ABC21,AAC21="VLOC",AAV21)))))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F21" s="136" t="e">
        <f t="array" aca="1" ref="AFF21" ca="1">INDEX(Canals!$AU$24:$AU$29,MATCH(2,1/((Canals!$F$24:$F$29&lt;=$C21)*(Canals!$G$24:$G$29=_xlfn.IFS(AAC21="Handysize",Main!ACL21,AAC21="Supramax",ACE21,AAC21="Panamax",ABX21,AAC21="NeoPanamax",ABQ21,AAC21="Suezmax",ABJ21,AAC21="Capesize",ABC21,AAC21="VLOC",AAV21)))))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G21" s="136" t="e">
        <f t="array" aca="1" ref="AFG21" ca="1">INDEX(Canals!$AV$24:$AV$29,MATCH(2,1/((Canals!$F$24:$F$29&lt;=$C21)*(Canals!$G$24:$G$29=_xlfn.IFS(AAC21="Handysize",Main!ACL21,AAC21="Supramax",ACE21,AAC21="Panamax",ABX21,AAC21="NeoPanamax",ABQ21,AAC21="Suezmax",ABJ21,AAC21="Capesize",ABC21,AAC21="VLOC",AAV21)))))</f>
        <v>#N/A</v>
      </c>
      <c r="AFI21" s="75" t="e">
        <f t="array" aca="1" ref="AFI21" ca="1">_xlfn.IFS(ADT21="DWT",AAA21,ADT21="NRT",AAE21,ADT21="GRT",AAF21)</f>
        <v>#NAME?</v>
      </c>
      <c r="AFJ21" s="279" t="e">
        <f t="shared" ca="1" si="176"/>
        <v>#NAME?</v>
      </c>
      <c r="AFK21" s="280" t="e">
        <f t="shared" ca="1" si="177"/>
        <v>#NAME?</v>
      </c>
      <c r="AFL21" s="280" t="e">
        <f t="shared" ca="1" si="178"/>
        <v>#NAME?</v>
      </c>
      <c r="AFM21" s="280" t="e">
        <f t="shared" ca="1" si="179"/>
        <v>#NAME?</v>
      </c>
      <c r="AFN21" s="280" t="e">
        <f t="shared" ca="1" si="180"/>
        <v>#NAME?</v>
      </c>
      <c r="AFO21" s="280" t="e">
        <f t="shared" ca="1" si="181"/>
        <v>#NAME?</v>
      </c>
      <c r="AFP21" s="280" t="e">
        <f t="shared" ca="1" si="182"/>
        <v>#NAME?</v>
      </c>
      <c r="AFQ21" s="280" t="e">
        <f t="shared" ca="1" si="183"/>
        <v>#NAME?</v>
      </c>
      <c r="AFR21" s="280" t="e">
        <f t="shared" ca="1" si="184"/>
        <v>#NAME?</v>
      </c>
      <c r="AFS21" s="75">
        <f t="shared" si="185"/>
        <v>70200</v>
      </c>
      <c r="AFT21" s="279" t="e">
        <f t="shared" ca="1" si="186"/>
        <v>#N/A</v>
      </c>
      <c r="AFU21" s="280" t="e">
        <f t="shared" ca="1" si="187"/>
        <v>#N/A</v>
      </c>
      <c r="AFV21" s="280" t="e">
        <f t="shared" ca="1" si="188"/>
        <v>#N/A</v>
      </c>
      <c r="AFW21" s="280" t="e">
        <f t="shared" ca="1" si="189"/>
        <v>#N/A</v>
      </c>
      <c r="AFX21" s="280" t="e">
        <f t="shared" ca="1" si="190"/>
        <v>#N/A</v>
      </c>
      <c r="AFY21" s="280" t="e">
        <f t="shared" ca="1" si="191"/>
        <v>#N/A</v>
      </c>
      <c r="AFZ21" s="280" t="e">
        <f t="shared" ca="1" si="192"/>
        <v>#N/A</v>
      </c>
      <c r="AGA21" s="280" t="e">
        <f t="shared" ca="1" si="193"/>
        <v>#N/A</v>
      </c>
      <c r="AGB21" s="280" t="e">
        <f t="shared" ca="1" si="194"/>
        <v>#N/A</v>
      </c>
      <c r="AGD21" s="75" t="e">
        <f t="array" aca="1" ref="AGD21" ca="1">_xlfn.IFS(AAC21="Handysize",Main!ACF21,AAC21="Supramax",ABY21,AAC21="Panamax",ABR21,AAC21="NeoPanamax",ABK21,AAC21="Suezmax",ABD21,AAC21="Capesize",AAW21,AAC21="VLOC",AAP21)*$JI21</f>
        <v>#NAME?</v>
      </c>
      <c r="AGE21" s="274" t="e">
        <f t="array" aca="1" ref="AGE21" ca="1">_xlfn.IFS(AAC21="Handysize",Main!ACG21,AAC21="Supramax",ABZ21,AAC21="Panamax",ABS21,AAC21="NeoPanamax",ABL21,AAC21="Suezmax",ABE21,AAC21="Capesize",AAX21,AAC21="VLOC",AAQ21)*$JI21</f>
        <v>#NAME?</v>
      </c>
      <c r="AGF21" s="71" t="e">
        <f t="array" aca="1" ref="AGF21" ca="1">_xlfn.IFS(AAC21="Handysize",Main!AAH21,AAC21="Supramax",AAI21,AAC21="Panamax",AAJ21,AAC21="NeoPanamax",AAK21,AAC21="Suezmax",AAL21,AAC21="Capesize",AAM21,AAC21="VLOC",AAN21)</f>
        <v>#NAME?</v>
      </c>
      <c r="AGG21" s="71" t="e">
        <f t="array" aca="1" ref="AGG21" ca="1">_xlfn.IFS(AAC21="Handysize",Main!ACT21,AAC21="Supramax",ACU21,AAC21="Panamax",ACV21,AAC21="NeoPanamax",ACW21,AAC21="Suezmax",ACX21,AAC21="Capesize",ACY21,AAC21="VLOC",ACZ21)</f>
        <v>#NAME?</v>
      </c>
      <c r="AGH21" s="70">
        <f t="array" ref="AGH21">INDEX('Ship Speeds'!$G$11:$G$1011,MATCH(2,1/(('Ship Speeds'!$E$11:$E$1011&lt;=Main!$C21)*('Ship Speeds'!$F$11:$F$1011=Main!AAB21))))</f>
        <v>11</v>
      </c>
      <c r="AGI21" s="403">
        <f t="shared" si="195"/>
        <v>20.195360324384602</v>
      </c>
      <c r="AGJ21" s="401">
        <f t="shared" si="196"/>
        <v>1.96896</v>
      </c>
      <c r="AGK21" s="70" t="e">
        <f t="shared" ca="1" si="197"/>
        <v>#NAME?</v>
      </c>
      <c r="AGL21" s="70" t="e">
        <f t="shared" ca="1" si="198"/>
        <v>#NAME?</v>
      </c>
      <c r="AGM21" s="70" t="e">
        <f t="shared" ca="1" si="199"/>
        <v>#NAME?</v>
      </c>
      <c r="AGN21" s="70" t="e">
        <f t="shared" ca="1" si="200"/>
        <v>#NAME?</v>
      </c>
      <c r="AGO21" s="72" t="e">
        <f t="shared" ca="1" si="201"/>
        <v>#N/A</v>
      </c>
      <c r="AGP21" s="70" t="e">
        <f t="shared" ca="1" si="202"/>
        <v>#NAME?</v>
      </c>
      <c r="AGQ21" s="70" t="e">
        <f t="array" aca="1" ref="AGQ21" ca="1">INDEX(ACN21:ACR21,MATCH(_xlfn.IFS(AAC21="Handysize",Main!ACJ21,AAC21="Supramax",ACC21,AAC21="Panamax",ABV21,AAC21="NeoPanamax",ABO21,AAC21="Suezmax",ABH21,AAC21="Capesize",ABA21,AAC21="VLOC",AAT21),$ACN$7:$ACR$7,0))</f>
        <v>#NAME?</v>
      </c>
      <c r="AGR21" s="70" t="e">
        <f t="array" aca="1" ref="AGR21" ca="1">INDEX(ACN21:ACR21,MATCH(_xlfn.IFS(AAC21="Handysize",Main!ACK21,AAC21="Supramax",ACD21,AAC21="Panamax",ABW21,AAC21="NeoPanamax",ABP21,AAC21="Suezmax",ABI21,AAC21="Capesize",ABB21,AAC21="VLOC",AAU21),$ACN$7:$ACR$7,0))</f>
        <v>#NAME?</v>
      </c>
      <c r="AGS21" s="71" t="e">
        <f t="shared" ca="1" si="203"/>
        <v>#NAME?</v>
      </c>
      <c r="AGT21" s="71" t="e">
        <f t="shared" ca="1" si="204"/>
        <v>#NAME?</v>
      </c>
      <c r="AGU21" s="281">
        <f t="shared" si="205"/>
        <v>7.0759999999999987</v>
      </c>
      <c r="AGV21" s="71">
        <f t="shared" si="206"/>
        <v>1744.2057659694747</v>
      </c>
      <c r="AGW21" s="71" t="e">
        <f t="shared" ca="1" si="207"/>
        <v>#NAME?</v>
      </c>
      <c r="AGX21" s="71" t="e">
        <f t="shared" ca="1" si="208"/>
        <v>#NAME?</v>
      </c>
      <c r="AGY21" s="71">
        <f t="shared" si="209"/>
        <v>26191.068400226122</v>
      </c>
      <c r="AGZ21" s="71" t="e">
        <f t="shared" ca="1" si="210"/>
        <v>#NAME?</v>
      </c>
      <c r="AHA21" s="71" t="e">
        <f t="shared" ca="1" si="211"/>
        <v>#NAME?</v>
      </c>
      <c r="AHB21" s="71">
        <f t="shared" si="212"/>
        <v>18594.254381006223</v>
      </c>
      <c r="AHC21" s="71" t="e">
        <f t="shared" ca="1" si="213"/>
        <v>#NAME?</v>
      </c>
      <c r="AHD21" s="71" t="e">
        <f t="shared" ca="1" si="214"/>
        <v>#NAME?</v>
      </c>
      <c r="AHE21" s="71">
        <f t="shared" si="215"/>
        <v>0</v>
      </c>
      <c r="AHF21" s="71" t="e">
        <f t="shared" ca="1" si="216"/>
        <v>#NAME?</v>
      </c>
      <c r="AHG21" s="71" t="e">
        <f t="shared" ca="1" si="217"/>
        <v>#NAME?</v>
      </c>
      <c r="AHH21" s="72">
        <f t="shared" si="218"/>
        <v>5811.6113623516121</v>
      </c>
      <c r="AHI21" s="72" t="e">
        <f t="shared" ca="1" si="219"/>
        <v>#NAME?</v>
      </c>
      <c r="AHJ21" s="71" t="e">
        <f t="shared" ca="1" si="220"/>
        <v>#NAME?</v>
      </c>
      <c r="AHK21" s="71" t="e">
        <f t="array" aca="1" ref="AHK21" ca="1">INDEX('Ship Time Charter Rates'!$H$22:$H$1021,MATCH(2,1/(('Ship Time Charter Rates'!$G$22:$G$1021=_xlfn.IFS(AAC21="Handysize",Main!ACH21,AAC21="Supramax",ACA21,AAC21="Panamax",ABT21,AAC21="NeoPanamax",ABM21,AAC21="Suezmax",ABF21,AAC21="Capesize",AAY21,AAC21="VLOC",AAR21))*('Ship Time Charter Rates'!$E$22:$E$1021&lt;=Main!$C21)*(NOT(ISBLANK('Ship Time Charter Rates'!$H$22:$H$1021))))))</f>
        <v>#N/A</v>
      </c>
      <c r="AHL21" s="71" t="e">
        <f t="shared" ca="1" si="221"/>
        <v>#NAME?</v>
      </c>
      <c r="AHM21" s="70" t="e">
        <f t="shared" ca="1" si="222"/>
        <v>#N/A</v>
      </c>
      <c r="AHN21" s="71" t="e">
        <f t="shared" ca="1" si="223"/>
        <v>#NAME?</v>
      </c>
      <c r="AHO21" s="71" t="e">
        <f t="shared" ca="1" si="306"/>
        <v>#NAME?</v>
      </c>
      <c r="AHP21" s="72" t="e">
        <f t="shared" ca="1" si="307"/>
        <v>#NAME?</v>
      </c>
      <c r="AHR21" s="25">
        <f t="shared" si="323"/>
        <v>0</v>
      </c>
      <c r="AHS21" s="4" t="str">
        <f>VLOOKUP(AHR21,'Ship Time Charter Rates'!$F$10:$G$17,2,TRUE)</f>
        <v>Handysize</v>
      </c>
      <c r="AHT21" s="4" t="str">
        <f>VLOOKUP(AHR21,Canals!$E$5:$F$12,2,TRUE)</f>
        <v>Handysize</v>
      </c>
      <c r="AHU21" s="25">
        <f t="shared" si="224"/>
        <v>145.88999999999999</v>
      </c>
      <c r="AHV21" s="25">
        <f t="shared" si="225"/>
        <v>0</v>
      </c>
      <c r="AHW21" s="25">
        <f t="shared" si="226"/>
        <v>4797</v>
      </c>
      <c r="AHY21" s="75">
        <f t="array" ref="AHY21">INDEX('Indices Mines Exporting Ports'!$R$20:$R$51,MATCH(2,1/(('Indices Mines Exporting Ports'!$D$20:$D$51&lt;=Main!$C21)*('Indices Mines Exporting Ports'!$Q$20:$Q$51=$AQ21))))</f>
        <v>0</v>
      </c>
      <c r="AHZ21" s="75">
        <f t="array" ref="AHZ21">INDEX('Indices Mines Exporting Ports'!$S$20:$S$51,MATCH(2,1/(('Indices Mines Exporting Ports'!$D$20:$D$51&lt;=Main!$C21)*('Indices Mines Exporting Ports'!$Q$20:$Q$51=$AQ21))))</f>
        <v>0</v>
      </c>
      <c r="AIA21" s="75">
        <f t="array" ref="AIA21">INDEX('Indices Mines Exporting Ports'!$T$20:$T$51,MATCH(2,1/(('Indices Mines Exporting Ports'!$D$20:$D$51&lt;=Main!$C21)*('Indices Mines Exporting Ports'!$Q$20:$Q$51=$AQ21))))</f>
        <v>0</v>
      </c>
      <c r="AIB21" s="75">
        <f t="array" ref="AIB21">INDEX('Indices Mines Exporting Ports'!$U$20:$U$51,MATCH(2,1/(('Indices Mines Exporting Ports'!$D$20:$D$51&lt;=Main!$C21)*('Indices Mines Exporting Ports'!$Q$20:$Q$51=$AQ21))))</f>
        <v>0</v>
      </c>
      <c r="AIC21" s="75">
        <f t="array" ref="AIC21">INDEX('Indices Mines Exporting Ports'!$V$20:$V$51,MATCH(2,1/(('Indices Mines Exporting Ports'!$D$20:$D$51&lt;=Main!$C21)*('Indices Mines Exporting Ports'!$Q$20:$Q$51=$AQ21))))</f>
        <v>0</v>
      </c>
      <c r="AID21" s="75">
        <f t="array" ref="AID21">INDEX('Indices Mines Exporting Ports'!$W$20:$W$51,MATCH(2,1/(('Indices Mines Exporting Ports'!$D$20:$D$51&lt;=Main!$C21)*('Indices Mines Exporting Ports'!$Q$20:$Q$51=$AQ21))))</f>
        <v>0</v>
      </c>
      <c r="AIE21" s="75">
        <f t="array" ref="AIE21">INDEX('Indices Mines Exporting Ports'!$X$20:$X$51,MATCH(2,1/(('Indices Mines Exporting Ports'!$D$20:$D$51&lt;=Main!$C21)*('Indices Mines Exporting Ports'!$Q$20:$Q$51=$AQ21))))</f>
        <v>0</v>
      </c>
      <c r="AIG21" s="75">
        <f t="array" ref="AIG21">INDEX('Port Linkages'!$E$18:$E$157,MATCH(2,1/(('Port Linkages'!$C$18:$C$157=$AQ21)*('Port Linkages'!$D$18:$D$157=IF($AO21="no",$AQ21,$KK21))*('Port Linkages'!$A$18:$A$157&lt;=$C21))))</f>
        <v>0</v>
      </c>
      <c r="AIH21" s="75">
        <f t="array" ref="AIH21">INDEX('Port Linkages'!$F$18:$F$157,MATCH(2,1/(('Port Linkages'!$C$18:$C$157=$AQ21)*('Port Linkages'!$D$18:$D$157=IF($AO21="no",$AQ21,$KK21))*('Port Linkages'!$A$18:$A$157&lt;=$C21))))</f>
        <v>0</v>
      </c>
      <c r="AII21" s="75">
        <f t="array" ref="AII21">INDEX('Port Linkages'!$G$18:$G$157,MATCH(2,1/(('Port Linkages'!$C$18:$C$157=$AQ21)*('Port Linkages'!$D$18:$D$157=IF($AO21="no",$AQ21,$KK21))*('Port Linkages'!$A$18:$A$157&lt;=$C21))))</f>
        <v>0</v>
      </c>
      <c r="AIJ21" s="75">
        <f t="array" ref="AIJ21">INDEX('Port Linkages'!$H$18:$H$157,MATCH(2,1/(('Port Linkages'!$C$18:$C$157=$AQ21)*('Port Linkages'!$D$18:$D$157=IF($AO21="no",$AQ21,$KK21))*('Port Linkages'!$A$18:$A$157&lt;=$C21))))</f>
        <v>0</v>
      </c>
      <c r="AIK21" s="75">
        <f t="array" ref="AIK21">INDEX('Port Linkages'!$I$18:$I$157,MATCH(2,1/(('Port Linkages'!$C$18:$C$157=$AQ21)*('Port Linkages'!$D$18:$D$157=IF($AO21="no",$AQ21,$KK21))*('Port Linkages'!$A$18:$A$157&lt;=$C21))))</f>
        <v>0</v>
      </c>
      <c r="AIL21" s="75">
        <f t="array" ref="AIL21">INDEX('Port Linkages'!$J$18:$J$157,MATCH(2,1/(('Port Linkages'!$C$18:$C$157=$AQ21)*('Port Linkages'!$D$18:$D$157=IF($AO21="no",$AQ21,$KK21))*('Port Linkages'!$A$18:$A$157&lt;=$C21))))</f>
        <v>0</v>
      </c>
      <c r="AIM21" s="75">
        <f t="array" ref="AIM21">INDEX('Port Linkages'!$K$18:$K$157,MATCH(2,1/(('Port Linkages'!$C$18:$C$157=$AQ21)*('Port Linkages'!$D$18:$D$157=IF($AO21="no",$AQ21,$KK21))*('Port Linkages'!$A$18:$A$157&lt;=$C21))))</f>
        <v>0</v>
      </c>
      <c r="AIN21" s="75">
        <f t="array" ref="AIN21">INDEX('Port Linkages'!$L$18:$L$157,MATCH(2,1/(('Port Linkages'!$C$18:$C$157=$AQ21)*('Port Linkages'!$D$18:$D$157=IF($AO21="no",$AQ21,$KK21))*('Port Linkages'!$A$18:$A$157&lt;=$C21))))</f>
        <v>0</v>
      </c>
      <c r="AIO21" s="75">
        <f t="array" ref="AIO21">INDEX('Port Linkages'!$M$18:$M$157,MATCH(2,1/(('Port Linkages'!$C$18:$C$157=$AQ21)*('Port Linkages'!$D$18:$D$157=IF($AO21="no",$AQ21,$KK21))*('Port Linkages'!$A$18:$A$157&lt;=$C21))))</f>
        <v>0</v>
      </c>
      <c r="AIP21" s="75">
        <f t="array" ref="AIP21">INDEX('Port Linkages'!$N$18:$N$157,MATCH(2,1/(('Port Linkages'!$C$18:$C$157=$AQ21)*('Port Linkages'!$D$18:$D$157=IF($AO21="no",$AQ21,$KK21))*('Port Linkages'!$A$18:$A$157&lt;=$C21))))</f>
        <v>0</v>
      </c>
      <c r="AIQ21" s="75">
        <f t="array" ref="AIQ21">INDEX('Port Linkages'!$O$18:$O$157,MATCH(2,1/(('Port Linkages'!$C$18:$C$157=$AQ21)*('Port Linkages'!$D$18:$D$157=IF($AO21="no",$AQ21,$KK21))*('Port Linkages'!$A$18:$A$157&lt;=$C21))))</f>
        <v>0</v>
      </c>
      <c r="AIR21" s="75">
        <f t="array" ref="AIR21">INDEX('Port Linkages'!$P$18:$P$157,MATCH(2,1/(('Port Linkages'!$C$18:$C$157=$AQ21)*('Port Linkages'!$D$18:$D$157=IF($AO21="no",$AQ21,$KK21))*('Port Linkages'!$A$18:$A$157&lt;=$C21))))</f>
        <v>0</v>
      </c>
      <c r="AIS21" s="75">
        <f t="array" ref="AIS21">INDEX('Port Linkages'!$Q$18:$Q$157,MATCH(2,1/(('Port Linkages'!$C$18:$C$157=$AQ21)*('Port Linkages'!$D$18:$D$157=IF($AO21="no",$AQ21,$KK21))*('Port Linkages'!$A$18:$A$157&lt;=$C21))))</f>
        <v>0</v>
      </c>
      <c r="AIT21" s="75">
        <f t="array" ref="AIT21">INDEX('Port Linkages'!$R$18:$R$157,MATCH(2,1/(('Port Linkages'!$C$18:$C$157=$AQ21)*('Port Linkages'!$D$18:$D$157=IF($AO21="no",$AQ21,$KK21))*('Port Linkages'!$A$18:$A$157&lt;=$C21))))</f>
        <v>0</v>
      </c>
      <c r="AIU21" s="75">
        <f t="array" ref="AIU21">INDEX('Port Linkages'!$S$18:$S$157,MATCH(2,1/(('Port Linkages'!$C$18:$C$157=$AQ21)*('Port Linkages'!$D$18:$D$157=IF($AO21="no",$AQ21,$KK21))*('Port Linkages'!$A$18:$A$157&lt;=$C21))))</f>
        <v>0</v>
      </c>
      <c r="AIV21" s="75">
        <f t="array" ref="AIV21">INDEX('Port Linkages'!$T$18:$T$157,MATCH(2,1/(('Port Linkages'!$C$18:$C$157=$AQ21)*('Port Linkages'!$D$18:$D$157=IF($AO21="no",$AQ21,$KK21))*('Port Linkages'!$A$18:$A$157&lt;=$C21))))</f>
        <v>0</v>
      </c>
      <c r="AIW21" s="75">
        <f t="array" ref="AIW21">INDEX('Port Linkages'!$U$18:$U$157,MATCH(2,1/(('Port Linkages'!$C$18:$C$157=$AQ21)*('Port Linkages'!$D$18:$D$157=IF($AO21="no",$AQ21,$KK21))*('Port Linkages'!$A$18:$A$157&lt;=$C21))))</f>
        <v>0</v>
      </c>
      <c r="AIX21" s="75">
        <f t="array" ref="AIX21">INDEX('Port Linkages'!$V$18:$V$157,MATCH(2,1/(('Port Linkages'!$C$18:$C$157=$AQ21)*('Port Linkages'!$D$18:$D$157=IF($AO21="no",$AQ21,$KK21))*('Port Linkages'!$A$18:$A$157&lt;=$C21))))</f>
        <v>0</v>
      </c>
      <c r="AIY21" s="75">
        <f t="array" ref="AIY21">INDEX('Port Linkages'!$W$18:$W$157,MATCH(2,1/(('Port Linkages'!$C$18:$C$157=$AQ21)*('Port Linkages'!$D$18:$D$157=IF($AO21="no",$AQ21,$KK21))*('Port Linkages'!$A$18:$A$157&lt;=$C21))))</f>
        <v>0</v>
      </c>
      <c r="AIZ21" s="75">
        <f t="array" ref="AIZ21">INDEX('Port Linkages'!$X$18:$X$157,MATCH(2,1/(('Port Linkages'!$C$18:$C$157=$AQ21)*('Port Linkages'!$D$18:$D$157=IF($AO21="no",$AQ21,$KK21))*('Port Linkages'!$A$18:$A$157&lt;=$C21))))</f>
        <v>0</v>
      </c>
      <c r="AJA21" s="75">
        <f t="array" ref="AJA21">INDEX('Port Linkages'!$Y$18:$Y$157,MATCH(2,1/(('Port Linkages'!$C$18:$C$157=$AQ21)*('Port Linkages'!$D$18:$D$157=IF($AO21="no",$AQ21,$KK21))*('Port Linkages'!$A$18:$A$157&lt;=$C21))))</f>
        <v>0</v>
      </c>
      <c r="AJB21" s="75">
        <f t="array" ref="AJB21">INDEX('Port Linkages'!$Z$18:$Z$157,MATCH(2,1/(('Port Linkages'!$C$18:$C$157=$AQ21)*('Port Linkages'!$D$18:$D$157=IF($AO21="no",$AQ21,$KK21))*('Port Linkages'!$A$18:$A$157&lt;=$C21))))</f>
        <v>0</v>
      </c>
      <c r="AJC21" s="75">
        <f t="array" ref="AJC21">INDEX('Port Linkages'!$AA$18:$AA$157,MATCH(2,1/(('Port Linkages'!$C$18:$C$157=$AQ21)*('Port Linkages'!$D$18:$D$157=IF($AO21="no",$AQ21,$KK21))*('Port Linkages'!$A$18:$A$157&lt;=$C21))))</f>
        <v>0</v>
      </c>
      <c r="AJD21" s="75">
        <f t="array" ref="AJD21">INDEX('Port Linkages'!$AB$18:$AB$157,MATCH(2,1/(('Port Linkages'!$C$18:$C$157=$AQ21)*('Port Linkages'!$D$18:$D$157=IF($AO21="no",$AQ21,$KK21))*('Port Linkages'!$A$18:$A$157&lt;=$C21))))</f>
        <v>0</v>
      </c>
      <c r="AJE21" s="75">
        <f t="array" ref="AJE21">INDEX('Port Linkages'!$AC$18:$AC$157,MATCH(2,1/(('Port Linkages'!$C$18:$C$157=$AQ21)*('Port Linkages'!$D$18:$D$157=IF($AO21="no",$AQ21,$KK21))*('Port Linkages'!$A$18:$A$157&lt;=$C21))))</f>
        <v>0</v>
      </c>
      <c r="AJF21" s="75">
        <f t="array" ref="AJF21">INDEX('Port Linkages'!$AD$18:$AD$157,MATCH(2,1/(('Port Linkages'!$C$18:$C$157=$AQ21)*('Port Linkages'!$D$18:$D$157=IF($AO21="no",$AQ21,$KK21))*('Port Linkages'!$A$18:$A$157&lt;=$C21))))</f>
        <v>0</v>
      </c>
      <c r="AJG21" s="75">
        <f t="array" ref="AJG21">INDEX('Port Linkages'!$AE$18:$AE$157,MATCH(2,1/(('Port Linkages'!$C$18:$C$157=$AQ21)*('Port Linkages'!$D$18:$D$157=IF($AO21="no",$AQ21,$KK21))*('Port Linkages'!$A$18:$A$157&lt;=$C21))))</f>
        <v>0</v>
      </c>
      <c r="AJH21" s="75">
        <f t="array" ref="AJH21">INDEX('Port Linkages'!$AF$18:$AF$157,MATCH(2,1/(('Port Linkages'!$C$18:$C$157=$AQ21)*('Port Linkages'!$D$18:$D$157=IF($AO21="no",$AQ21,$KK21))*('Port Linkages'!$A$18:$A$157&lt;=$C21))))</f>
        <v>0</v>
      </c>
      <c r="AJI21" s="75">
        <f t="array" ref="AJI21">INDEX('Port Linkages'!$AG$18:$AG$157,MATCH(2,1/(('Port Linkages'!$C$18:$C$157=$AQ21)*('Port Linkages'!$D$18:$D$157=IF($AO21="no",$AQ21,$KK21))*('Port Linkages'!$A$18:$A$157&lt;=$C21))))</f>
        <v>0</v>
      </c>
      <c r="AJJ21" s="75">
        <f t="array" ref="AJJ21">INDEX('Port Linkages'!$AH$18:$AH$157,MATCH(2,1/(('Port Linkages'!$C$18:$C$157=$AQ21)*('Port Linkages'!$D$18:$D$157=IF($AO21="no",$AQ21,$KK21))*('Port Linkages'!$A$18:$A$157&lt;=$C21))))</f>
        <v>0</v>
      </c>
      <c r="AJK21" s="75">
        <f t="array" ref="AJK21">INDEX('Port Linkages'!$AI$18:$AI$157,MATCH(2,1/(('Port Linkages'!$C$18:$C$157=$AQ21)*('Port Linkages'!$D$18:$D$157=IF($AO21="no",$AQ21,$KK21))*('Port Linkages'!$A$18:$A$157&lt;=$C21))))</f>
        <v>0</v>
      </c>
      <c r="AJL21" s="75">
        <f t="array" ref="AJL21">INDEX('Port Linkages'!$AJ$18:$AJ$157,MATCH(2,1/(('Port Linkages'!$C$18:$C$157=$AQ21)*('Port Linkages'!$D$18:$D$157=IF($AO21="no",$AQ21,$KK21))*('Port Linkages'!$A$18:$A$157&lt;=$C21))))</f>
        <v>0</v>
      </c>
      <c r="AJM21" s="75">
        <f t="array" ref="AJM21">INDEX('Port Linkages'!$AK$18:$AK$157,MATCH(2,1/(('Port Linkages'!$C$18:$C$157=$AQ21)*('Port Linkages'!$D$18:$D$157=IF($AO21="no",$AQ21,$KK21))*('Port Linkages'!$A$18:$A$157&lt;=$C21))))</f>
        <v>0</v>
      </c>
      <c r="AJN21" s="75">
        <f t="array" ref="AJN21">INDEX('Port Linkages'!$AL$18:$AL$157,MATCH(2,1/(('Port Linkages'!$C$18:$C$157=$AQ21)*('Port Linkages'!$D$18:$D$157=IF($AO21="no",$AQ21,$KK21))*('Port Linkages'!$A$18:$A$157&lt;=$C21))))</f>
        <v>0</v>
      </c>
      <c r="AJO21" s="75">
        <f t="array" ref="AJO21">INDEX('Port Linkages'!$AM$18:$AM$157,MATCH(2,1/(('Port Linkages'!$C$18:$C$157=$AQ21)*('Port Linkages'!$D$18:$D$157=IF($AO21="no",$AQ21,$KK21))*('Port Linkages'!$A$18:$A$157&lt;=$C21))))</f>
        <v>0</v>
      </c>
      <c r="AJP21" s="75">
        <f t="array" ref="AJP21">INDEX('Port Linkages'!$AN$18:$AN$157,MATCH(2,1/(('Port Linkages'!$C$18:$C$157=$AQ21)*('Port Linkages'!$D$18:$D$157=IF($AO21="no",$AQ21,$KK21))*('Port Linkages'!$A$18:$A$157&lt;=$C21))))</f>
        <v>0</v>
      </c>
      <c r="AJQ21" s="75">
        <f t="array" ref="AJQ21">INDEX('Port Linkages'!$AO$18:$AO$157,MATCH(2,1/(('Port Linkages'!$C$18:$C$157=$AQ21)*('Port Linkages'!$D$18:$D$157=IF($AO21="no",$AQ21,$KK21))*('Port Linkages'!$A$18:$A$157&lt;=$C21))))</f>
        <v>0</v>
      </c>
      <c r="AJR21" s="75">
        <f t="array" ref="AJR21">INDEX('Port Linkages'!$AP$18:$AP$157,MATCH(2,1/(('Port Linkages'!$C$18:$C$157=$AQ21)*('Port Linkages'!$D$18:$D$157=IF($AO21="no",$AQ21,$KK21))*('Port Linkages'!$A$18:$A$157&lt;=$C21))))</f>
        <v>0</v>
      </c>
      <c r="AJS21" s="75">
        <f t="array" ref="AJS21">INDEX('Port Linkages'!$AQ$18:$AQ$157,MATCH(2,1/(('Port Linkages'!$C$18:$C$157=$AQ21)*('Port Linkages'!$D$18:$D$157=IF($AO21="no",$AQ21,$KK21))*('Port Linkages'!$A$18:$A$157&lt;=$C21))))</f>
        <v>0</v>
      </c>
      <c r="AJT21" s="75">
        <f t="array" ref="AJT21">INDEX('Port Linkages'!$AR$18:$AR$157,MATCH(2,1/(('Port Linkages'!$C$18:$C$157=$AQ21)*('Port Linkages'!$D$18:$D$157=IF($AO21="no",$AQ21,$KK21))*('Port Linkages'!$A$18:$A$157&lt;=$C21))))</f>
        <v>0</v>
      </c>
      <c r="AJU21" s="75">
        <f t="array" ref="AJU21">INDEX('Port Linkages'!$AS$18:$AS$157,MATCH(2,1/(('Port Linkages'!$C$18:$C$157=$AQ21)*('Port Linkages'!$D$18:$D$157=IF($AO21="no",$AQ21,$KK21))*('Port Linkages'!$A$18:$A$157&lt;=$C21))))</f>
        <v>0</v>
      </c>
      <c r="AJV21" s="75">
        <f t="array" ref="AJV21">INDEX('Port Linkages'!$AT$18:$AT$157,MATCH(2,1/(('Port Linkages'!$C$18:$C$157=$AQ21)*('Port Linkages'!$D$18:$D$157=IF($AO21="no",$AQ21,$KK21))*('Port Linkages'!$A$18:$A$157&lt;=$C21))))</f>
        <v>0</v>
      </c>
      <c r="AJW21" s="75">
        <f t="array" ref="AJW21">INDEX('Port Linkages'!$AU$18:$AU$157,MATCH(2,1/(('Port Linkages'!$C$18:$C$157=$AQ21)*('Port Linkages'!$D$18:$D$157=IF($AO21="no",$AQ21,$KK21))*('Port Linkages'!$A$18:$A$157&lt;=$C21))))</f>
        <v>0</v>
      </c>
      <c r="AJX21" s="75">
        <f t="array" ref="AJX21">INDEX('Port Linkages'!$AV$18:$AV$157,MATCH(2,1/(('Port Linkages'!$C$18:$C$157=$AQ21)*('Port Linkages'!$D$18:$D$157=IF($AO21="no",$AQ21,$KK21))*('Port Linkages'!$A$18:$A$157&lt;=$C21))))</f>
        <v>0</v>
      </c>
      <c r="AJY21" s="75">
        <f t="array" ref="AJY21">INDEX('Port Linkages'!$AW$18:$AW$157,MATCH(2,1/(('Port Linkages'!$C$18:$C$157=$AQ21)*('Port Linkages'!$D$18:$D$157=IF($AO21="no",$AQ21,$KK21))*('Port Linkages'!$A$18:$A$157&lt;=$C21))))</f>
        <v>0</v>
      </c>
      <c r="AJZ21" s="75">
        <f t="array" ref="AJZ21">INDEX('Port Linkages'!$AX$18:$AX$157,MATCH(2,1/(('Port Linkages'!$C$18:$C$157=$AQ21)*('Port Linkages'!$D$18:$D$157=IF($AO21="no",$AQ21,$KK21))*('Port Linkages'!$A$18:$A$157&lt;=$C21))))</f>
        <v>0</v>
      </c>
      <c r="AKA21" s="75">
        <f t="array" ref="AKA21">INDEX('Port Linkages'!$AY$18:$AY$157,MATCH(2,1/(('Port Linkages'!$C$18:$C$157=$AQ21)*('Port Linkages'!$D$18:$D$157=IF($AO21="no",$AQ21,$KK21))*('Port Linkages'!$A$18:$A$157&lt;=$C21))))</f>
        <v>0</v>
      </c>
      <c r="AKB21" s="75">
        <f t="array" ref="AKB21">INDEX('Port Linkages'!$AZ$18:$AZ$157,MATCH(2,1/(('Port Linkages'!$C$18:$C$157=$AQ21)*('Port Linkages'!$D$18:$D$157=IF($AO21="no",$AQ21,$KK21))*('Port Linkages'!$A$18:$A$157&lt;=$C21))))</f>
        <v>0</v>
      </c>
      <c r="AKC21" s="75">
        <f t="array" ref="AKC21">INDEX('Port Linkages'!$BA$18:$BA$157,MATCH(2,1/(('Port Linkages'!$C$18:$C$157=$AQ21)*('Port Linkages'!$D$18:$D$157=IF($AO21="no",$AQ21,$KK21))*('Port Linkages'!$A$18:$A$157&lt;=$C21))))</f>
        <v>0</v>
      </c>
      <c r="AKE21" s="25" t="e">
        <f t="array" aca="1" ref="AKE21" ca="1">INDEX('Ship Fuel Prices'!$F$5:$F$1004,MATCH(2,1/(('Ship Fuel Prices'!$E$5:$E$1004=_xlfn.IFS(AHT21="Handysize",Main!AJZ21,AHT21="Supramax",AJS21,AHT21="Panamax",AJL21,AHT21="NeoPanamax",AJE21,AHT21="Suezmax",AIX21,AHT21="Capesize",AIQ21,AHT21="VLOC",AIJ21))*('Ship Fuel Prices'!$D$5:$D$1004&lt;=Main!$C21))))</f>
        <v>#N/A</v>
      </c>
      <c r="AKF21" s="25" t="e">
        <f t="array" aca="1" ref="AKF21" ca="1">INDEX('Ship Fuel Prices'!$G$5:$G$1004,MATCH(2,1/(('Ship Fuel Prices'!$E$5:$E$1004=_xlfn.IFS(AHT21="Handysize",Main!AJZ21,AHT21="Supramax",AJS21,AHT21="Panamax",AJL21,AHT21="NeoPanamax",AJE21,AHT21="Suezmax",AIX21,AHT21="Capesize",AIQ21,AHT21="VLOC",AIJ21))*('Ship Fuel Prices'!$D$5:$D$1004&lt;=Main!$C21))))</f>
        <v>#N/A</v>
      </c>
      <c r="AKG21" s="25" t="e">
        <f t="array" aca="1" ref="AKG21" ca="1">INDEX('Ship Fuel Prices'!$H$5:$H$1004,MATCH(2,1/(('Ship Fuel Prices'!$E$5:$E$1004=_xlfn.IFS(AHT21="Handysize",Main!AJZ21,AHT21="Supramax",AJS21,AHT21="Panamax",AJL21,AHT21="NeoPanamax",AJE21,AHT21="Suezmax",AIX21,AHT21="Capesize",AIQ21,AHT21="VLOC",AIJ21))*('Ship Fuel Prices'!$D$5:$D$1004&lt;=Main!$C21))))</f>
        <v>#N/A</v>
      </c>
      <c r="AKH21" s="25" t="e">
        <f t="array" aca="1" ref="AKH21" ca="1">INDEX('Ship Fuel Prices'!$I$5:$I$1004,MATCH(2,1/(('Ship Fuel Prices'!$E$5:$E$1004=_xlfn.IFS(AHT21="Handysize",Main!AJZ21,AHT21="Supramax",AJS21,AHT21="Panamax",AJL21,AHT21="NeoPanamax",AJE21,AHT21="Suezmax",AIX21,AHT21="Capesize",AIQ21,AHT21="VLOC",AIJ21))*('Ship Fuel Prices'!$D$5:$D$1004&lt;=Main!$C21))))</f>
        <v>#N/A</v>
      </c>
      <c r="AKI21" s="25" t="e">
        <f t="array" aca="1" ref="AKI21" ca="1">INDEX('Ship Fuel Prices'!$J$5:$J$1004,MATCH(2,1/(('Ship Fuel Prices'!$E$5:$E$1004=_xlfn.IFS(AHT21="Handysize",Main!AJZ21,AHT21="Supramax",AJS21,AHT21="Panamax",AJL21,AHT21="NeoPanamax",AJE21,AHT21="Suezmax",AIX21,AHT21="Capesize",AIQ21,AHT21="VLOC",AIJ21))*('Ship Fuel Prices'!$D$5:$D$1004&lt;=Main!$C21))))</f>
        <v>#N/A</v>
      </c>
      <c r="AKK21" s="75">
        <f t="array" ref="AKK21">INDEX('China n Importing Ports'!$E$20:$E$41,MATCH(2,1/(('China n Importing Ports'!$D$20:$D$41&lt;=$C21)*('China n Importing Ports'!$C$20:$C$41=IF($AO21="No",$AQ21,$KK21)))))</f>
        <v>0</v>
      </c>
      <c r="AKL21" s="75">
        <f t="array" ref="AKL21">INDEX('China n Importing Ports'!$F$20:$F$41,MATCH(2,1/(('China n Importing Ports'!$D$20:$D$41&lt;=$C21)*('China n Importing Ports'!$C$20:$C$41=IF($AO21="No",$AQ21,$KK21)))))</f>
        <v>0</v>
      </c>
      <c r="AKM21" s="75">
        <f t="array" ref="AKM21">INDEX('China n Importing Ports'!$G$20:$G$41,MATCH(2,1/(('China n Importing Ports'!$D$20:$D$41&lt;=$C21)*('China n Importing Ports'!$C$20:$C$41=IF($AO21="No",$AQ21,$KK21)))))</f>
        <v>0</v>
      </c>
      <c r="AKN21" s="75">
        <f t="array" ref="AKN21">INDEX('China n Importing Ports'!$H$20:$H$41,MATCH(2,1/(('China n Importing Ports'!$D$20:$D$41&lt;=$C21)*('China n Importing Ports'!$C$20:$C$41=IF($AO21="No",$AQ21,$KK21)))))</f>
        <v>0</v>
      </c>
      <c r="AKO21" s="75">
        <f t="array" ref="AKO21">INDEX('China n Importing Ports'!$I$20:$I$41,MATCH(2,1/(('China n Importing Ports'!$D$20:$D$41&lt;=$C21)*('China n Importing Ports'!$C$20:$C$41=IF($AO21="No",$AQ21,$KK21)))))</f>
        <v>0</v>
      </c>
      <c r="AKP21" s="75">
        <f t="array" ref="AKP21">INDEX('China n Importing Ports'!$J$20:$J$41,MATCH(2,1/(('China n Importing Ports'!$D$20:$D$41&lt;=$C21)*('China n Importing Ports'!$C$20:$C$41=IF($AO21="No",$AQ21,$KK21)))))</f>
        <v>0</v>
      </c>
      <c r="AKQ21" s="75">
        <f t="array" ref="AKQ21">INDEX('China n Importing Ports'!$K$20:$K$41,MATCH(2,1/(('China n Importing Ports'!$D$20:$D$41&lt;=$C21)*('China n Importing Ports'!$C$20:$C$41=IF($AO21="No",$AQ21,$KK21)))))</f>
        <v>0</v>
      </c>
      <c r="AKR21" s="75">
        <f t="array" ref="AKR21">INDEX('China n Importing Ports'!$L$20:$L$41,MATCH(2,1/(('China n Importing Ports'!$D$20:$D$41&lt;=$C21)*('China n Importing Ports'!$C$20:$C$41=IF($AO21="No",$AQ21,$KK21)))))</f>
        <v>0</v>
      </c>
      <c r="AKS21" s="75">
        <f t="array" ref="AKS21">INDEX('China n Importing Ports'!$M$20:$M$41,MATCH(2,1/(('China n Importing Ports'!$D$20:$D$41&lt;=$C21)*('China n Importing Ports'!$C$20:$C$41=IF($AO21="No",$AQ21,$KK21)))))</f>
        <v>0</v>
      </c>
      <c r="AKT21" s="75">
        <f t="array" ref="AKT21">INDEX('China n Importing Ports'!$N$20:$N$41,MATCH(2,1/(('China n Importing Ports'!$D$20:$D$41&lt;=$C21)*('China n Importing Ports'!$C$20:$C$41=IF($AO21="No",$AQ21,$KK21)))))</f>
        <v>0</v>
      </c>
      <c r="AKU21" s="75">
        <f t="array" ref="AKU21">INDEX('China n Importing Ports'!$O$20:$O$41,MATCH(2,1/(('China n Importing Ports'!$D$20:$D$41&lt;=$C21)*('China n Importing Ports'!$C$20:$C$41=IF($AO21="No",$AQ21,$KK21)))))</f>
        <v>0</v>
      </c>
      <c r="AKV21" s="136">
        <f t="array" ref="AKV21">INDEX('China n Importing Ports'!$P$20:$P$41,MATCH(2,1/(('China n Importing Ports'!$D$20:$D$41&lt;=$C21)*('China n Importing Ports'!$C$20:$C$41=IF($AO21="No",$AQ21,$KK21)))))</f>
        <v>0</v>
      </c>
      <c r="AKW21" s="136">
        <f t="array" ref="AKW21">INDEX('China n Importing Ports'!$Q$20:$Q$41,MATCH(2,1/(('China n Importing Ports'!$D$20:$D$41&lt;=$C21)*('China n Importing Ports'!$C$20:$C$41=IF($AO21="No",$AQ21,$KK21)))))</f>
        <v>0</v>
      </c>
      <c r="AKX21" s="136">
        <f t="array" ref="AKX21">INDEX('China n Importing Ports'!$R$20:$R$41,MATCH(2,1/(('China n Importing Ports'!$D$20:$D$41&lt;=$C21)*('China n Importing Ports'!$C$20:$C$41=IF($AO21="No",$AQ21,$KK21)))))</f>
        <v>0</v>
      </c>
      <c r="AKY21" s="136">
        <f t="array" ref="AKY21">INDEX('China n Importing Ports'!$S$20:$S$41,MATCH(2,1/(('China n Importing Ports'!$D$20:$D$41&lt;=$C21)*('China n Importing Ports'!$C$20:$C$41=IF($AO21="No",$AQ21,$KK21)))))</f>
        <v>0</v>
      </c>
      <c r="AKZ21" s="136">
        <f t="array" ref="AKZ21">INDEX('China n Importing Ports'!$T$20:$T$41,MATCH(2,1/(('China n Importing Ports'!$D$20:$D$41&lt;=$C21)*('China n Importing Ports'!$C$20:$C$41=IF($AO21="No",$AQ21,$KK21)))))</f>
        <v>0</v>
      </c>
      <c r="ALA21" s="136">
        <f t="array" ref="ALA21">INDEX('China n Importing Ports'!$U$20:$U$41,MATCH(2,1/(('China n Importing Ports'!$D$20:$D$41&lt;=$C21)*('China n Importing Ports'!$C$20:$C$41=IF($AO21="No",$AQ21,$KK21)))))</f>
        <v>0</v>
      </c>
      <c r="ALB21" s="136">
        <f t="array" ref="ALB21">INDEX('China n Importing Ports'!$V$20:$V$41,MATCH(2,1/(('China n Importing Ports'!$D$20:$D$41&lt;=$C21)*('China n Importing Ports'!$C$20:$C$41=IF($AO21="No",$AQ21,$KK21)))))</f>
        <v>0</v>
      </c>
      <c r="ALC21" s="136">
        <f t="array" ref="ALC21">INDEX('China n Importing Ports'!$W$20:$W$41,MATCH(2,1/(('China n Importing Ports'!$D$20:$D$41&lt;=$C21)*('China n Importing Ports'!$C$20:$C$41=IF($AO21="No",$AQ21,$KK21)))))</f>
        <v>0</v>
      </c>
      <c r="ALD21" s="136">
        <f t="array" ref="ALD21">INDEX('China n Importing Ports'!$X$20:$X$41,MATCH(2,1/(('China n Importing Ports'!$D$20:$D$41&lt;=$C21)*('China n Importing Ports'!$C$20:$C$41=IF($AO21="No",$AQ21,$KK21)))))</f>
        <v>0</v>
      </c>
      <c r="ALE21" s="136">
        <f t="array" ref="ALE21">INDEX('China n Importing Ports'!$Y$20:$Y$41,MATCH(2,1/(('China n Importing Ports'!$D$20:$D$41&lt;=$C21)*('China n Importing Ports'!$C$20:$C$41=IF($AO21="No",$AQ21,$KK21)))))</f>
        <v>0</v>
      </c>
      <c r="ALF21" s="136">
        <f t="array" ref="ALF21">INDEX('China n Importing Ports'!$Z$20:$Z$41,MATCH(2,1/(('China n Importing Ports'!$D$20:$D$41&lt;=$C21)*('China n Importing Ports'!$C$20:$C$41=IF($AO21="No",$AQ21,$KK21)))))</f>
        <v>0</v>
      </c>
      <c r="ALG21" s="136">
        <f t="array" ref="ALG21">INDEX('China n Importing Ports'!$AA$20:$AA$41,MATCH(2,1/(('China n Importing Ports'!$D$20:$D$41&lt;=$C21)*('China n Importing Ports'!$C$20:$C$41=IF($AO21="No",$AQ21,$KK21)))))</f>
        <v>0</v>
      </c>
      <c r="ALI21" s="75" t="e">
        <f t="array" aca="1" ref="ALI21" ca="1">INDEX(Canals!$G$24:$G$29,MATCH(2,1/((Canals!$F$24:$F$29&lt;=$C21)*(Canals!$G$24:$G$29=_xlfn.IFS(AHT21="Handysize",AKC21,AHT21="Supramax",AJV21,AHT21="Panamax",AJO21,AHT21="NeoPanamax",AJH21,AHT21="Suezmax",AJA21,AHT21="Capesize",AIT21,AHT21="VLOC",AIM21)))))</f>
        <v>#N/A</v>
      </c>
      <c r="ALJ21" s="75" t="e">
        <f t="array" aca="1" ref="ALJ21" ca="1">INDEX(Canals!$H$24:$H$29,MATCH(2,1/((Canals!$F$24:$F$29&lt;=$C21)*(Canals!$G$24:$G$29=_xlfn.IFS(AHT21="Handysize",AKC21,AHT21="Supramax",AJV21,AHT21="Panamax",AJO21,AHT21="NeoPanamax",AJH21,AHT21="Suezmax",AJA21,AHT21="Capesize",AIT21,AHT21="VLOC",AIM21)))))</f>
        <v>#N/A</v>
      </c>
      <c r="ALK21" s="75" t="e">
        <f t="array" aca="1" ref="ALK21" ca="1">INDEX(Canals!$I$24:$I$29,MATCH(2,1/((Canals!$F$24:$F$29&lt;=$C21)*(Canals!$G$24:$G$29=_xlfn.IFS(AHT21="Handysize",AKC21,AHT21="Supramax",AJV21,AHT21="Panamax",AJO21,AHT21="NeoPanamax",AJH21,AHT21="Suezmax",AJA21,AHT21="Capesize",AIT21,AHT21="VLOC",AIM21)))))</f>
        <v>#N/A</v>
      </c>
      <c r="ALL21" s="75" t="e">
        <f t="array" aca="1" ref="ALL21" ca="1">INDEX(Canals!$J$24:$J$29,MATCH(2,1/((Canals!$F$24:$F$29&lt;=$C21)*(Canals!$G$24:$G$29=_xlfn.IFS(AHT21="Handysize",Main!AKC21,AHT21="Supramax",AJV21,AHT21="Panamax",AJO21,AHT21="NeoPanamax",AJH21,AHT21="Suezmax",AJA21,AHT21="Capesize",AIT21,AHT21="VLOC",AIM21)))))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M21" s="75" t="e">
        <f t="array" aca="1" ref="ALM21" ca="1">INDEX(Canals!$K$24:$K$29,MATCH(2,1/((Canals!$F$24:$F$29&lt;=$C21)*(Canals!$G$24:$G$29=_xlfn.IFS(AHT21="Handysize",Main!AKC21,AHT21="Supramax",AJV21,AHT21="Panamax",AJO21,AHT21="NeoPanamax",AJH21,AHT21="Suezmax",AJA21,AHT21="Capesize",AIT21,AHT21="VLOC",AIM21)))))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N21" s="75" t="e">
        <f t="array" aca="1" ref="ALN21" ca="1">INDEX(Canals!$L$24:$L$29,MATCH(2,1/((Canals!$F$24:$F$29&lt;=$C21)*(Canals!$G$24:$G$29=_xlfn.IFS(AHT21="Handysize",Main!AKC21,AHT21="Supramax",AJV21,AHT21="Panamax",AJO21,AHT21="NeoPanamax",AJH21,AHT21="Suezmax",AJA21,AHT21="Capesize",AIT21,AHT21="VLOC",AIM21)))))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O21" s="75" t="e">
        <f t="array" aca="1" ref="ALO21" ca="1">INDEX(Canals!$M$24:$M$29,MATCH(2,1/((Canals!$F$24:$F$29&lt;=$C21)*(Canals!$G$24:$G$29=_xlfn.IFS(AHT21="Handysize",Main!AKC21,AHT21="Supramax",AJV21,AHT21="Panamax",AJO21,AHT21="NeoPanamax",AJH21,AHT21="Suezmax",AJA21,AHT21="Capesize",AIT21,AHT21="VLOC",AIM21)))))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P21" s="75" t="e">
        <f t="array" aca="1" ref="ALP21" ca="1">INDEX(Canals!$N$24:$N$29,MATCH(2,1/((Canals!$F$24:$F$29&lt;=$C21)*(Canals!$G$24:$G$29=_xlfn.IFS(AHT21="Handysize",Main!AKC21,AHT21="Supramax",AJV21,AHT21="Panamax",AJO21,AHT21="NeoPanamax",AJH21,AHT21="Suezmax",AJA21,AHT21="Capesize",AIT21,AHT21="VLOC",AIM21)))))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Q21" s="75" t="e">
        <f t="array" aca="1" ref="ALQ21" ca="1">INDEX(Canals!$O$24:$O$29,MATCH(2,1/((Canals!$F$24:$F$29&lt;=$C21)*(Canals!$G$24:$G$29=_xlfn.IFS(AHT21="Handysize",Main!AKC21,AHT21="Supramax",AJV21,AHT21="Panamax",AJO21,AHT21="NeoPanamax",AJH21,AHT21="Suezmax",AJA21,AHT21="Capesize",AIT21,AHT21="VLOC",AIM21)))))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R21" s="75" t="e">
        <f t="array" aca="1" ref="ALR21" ca="1">INDEX(Canals!$P$24:$P$29,MATCH(2,1/((Canals!$F$24:$F$29&lt;=$C21)*(Canals!$G$24:$G$29=_xlfn.IFS(AHT21="Handysize",Main!AKC21,AHT21="Supramax",AJV21,AHT21="Panamax",AJO21,AHT21="NeoPanamax",AJH21,AHT21="Suezmax",AJA21,AHT21="Capesize",AIT21,AHT21="VLOC",AIM21)))))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S21" s="75" t="e">
        <f t="array" aca="1" ref="ALS21" ca="1">INDEX(Canals!$Q$24:$Q$29,MATCH(2,1/((Canals!$F$24:$F$29&lt;=$C21)*(Canals!$G$24:$G$29=_xlfn.IFS(AHT21="Handysize",Main!AKC21,AHT21="Supramax",AJV21,AHT21="Panamax",AJO21,AHT21="NeoPanamax",AJH21,AHT21="Suezmax",AJA21,AHT21="Capesize",AIT21,AHT21="VLOC",AIM21)))))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T21" s="75" t="e">
        <f t="array" aca="1" ref="ALT21" ca="1">INDEX(Canals!$R$24:$R$29,MATCH(2,1/((Canals!$F$24:$F$29&lt;=$C21)*(Canals!$G$24:$G$29=_xlfn.IFS(AHT21="Handysize",Main!AKC21,AHT21="Supramax",AJV21,AHT21="Panamax",AJO21,AHT21="NeoPanamax",AJH21,AHT21="Suezmax",AJA21,AHT21="Capesize",AIT21,AHT21="VLOC",AIM21)))))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U21" s="136" t="e">
        <f t="array" aca="1" ref="ALU21" ca="1">INDEX(Canals!$S$24:$S$29,MATCH(2,1/((Canals!$F$24:$F$29&lt;=$C21)*(Canals!$G$24:$G$29=_xlfn.IFS(AHT21="Handysize",Main!AKC21,AHT21="Supramax",AJV21,AHT21="Panamax",AJO21,AHT21="NeoPanamax",AJH21,AHT21="Suezmax",AJA21,AHT21="Capesize",AIT21,AHT21="VLOC",AIM21)))))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V21" s="136" t="e">
        <f t="array" aca="1" ref="ALV21" ca="1">INDEX(Canals!$T$24:$T$29,MATCH(2,1/((Canals!$F$24:$F$29&lt;=$C21)*(Canals!$G$24:$G$29=_xlfn.IFS(AHT21="Handysize",Main!AKC21,AHT21="Supramax",AJV21,AHT21="Panamax",AJO21,AHT21="NeoPanamax",AJH21,AHT21="Suezmax",AJA21,AHT21="Capesize",AIT21,AHT21="VLOC",AIM21)))))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W21" s="136" t="e">
        <f t="array" aca="1" ref="ALW21" ca="1">INDEX(Canals!$U$24:$U$29,MATCH(2,1/((Canals!$F$24:$F$29&lt;=$C21)*(Canals!$G$24:$G$29=_xlfn.IFS(AHT21="Handysize",Main!AKC21,AHT21="Supramax",AJV21,AHT21="Panamax",AJO21,AHT21="NeoPanamax",AJH21,AHT21="Suezmax",AJA21,AHT21="Capesize",AIT21,AHT21="VLOC",AIM21)))))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X21" s="136" t="e">
        <f t="array" aca="1" ref="ALX21" ca="1">INDEX(Canals!$V$24:$V$29,MATCH(2,1/((Canals!$F$24:$F$29&lt;=$C21)*(Canals!$G$24:$G$29=_xlfn.IFS(AHT21="Handysize",Main!AKC21,AHT21="Supramax",AJV21,AHT21="Panamax",AJO21,AHT21="NeoPanamax",AJH21,AHT21="Suezmax",AJA21,AHT21="Capesize",AIT21,AHT21="VLOC",AIM21)))))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Y21" s="136" t="e">
        <f t="array" aca="1" ref="ALY21" ca="1">INDEX(Canals!$W$24:$W$29,MATCH(2,1/((Canals!$F$24:$F$29&lt;=$C21)*(Canals!$G$24:$G$29=_xlfn.IFS(AHT21="Handysize",Main!AKC21,AHT21="Supramax",AJV21,AHT21="Panamax",AJO21,AHT21="NeoPanamax",AJH21,AHT21="Suezmax",AJA21,AHT21="Capesize",AIT21,AHT21="VLOC",AIM21)))))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LZ21" s="136" t="e">
        <f t="array" aca="1" ref="ALZ21" ca="1">INDEX(Canals!$X$24:$X$29,MATCH(2,1/((Canals!$F$24:$F$29&lt;=$C21)*(Canals!$G$24:$G$29=_xlfn.IFS(AHT21="Handysize",Main!AKC21,AHT21="Supramax",AJV21,AHT21="Panamax",AJO21,AHT21="NeoPanamax",AJH21,AHT21="Suezmax",AJA21,AHT21="Capesize",AIT21,AHT21="VLOC",AIM21)))))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A21" s="136" t="e">
        <f t="array" aca="1" ref="AMA21" ca="1">INDEX(Canals!$Y$24:$Y$29,MATCH(2,1/((Canals!$F$24:$F$29&lt;=$C21)*(Canals!$G$24:$G$29=_xlfn.IFS(AHT21="Handysize",Main!AKC21,AHT21="Supramax",AJV21,AHT21="Panamax",AJO21,AHT21="NeoPanamax",AJH21,AHT21="Suezmax",AJA21,AHT21="Capesize",AIT21,AHT21="VLOC",AIM21)))))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B21" s="136" t="e">
        <f t="array" aca="1" ref="AMB21" ca="1">INDEX(Canals!$Z$24:$Z$29,MATCH(2,1/((Canals!$F$24:$F$29&lt;=$C21)*(Canals!$G$24:$G$29=_xlfn.IFS(AHT21="Handysize",Main!AKC21,AHT21="Supramax",AJV21,AHT21="Panamax",AJO21,AHT21="NeoPanamax",AJH21,AHT21="Suezmax",AJA21,AHT21="Capesize",AIT21,AHT21="VLOC",AIM21)))))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C21" s="136" t="e">
        <f t="array" aca="1" ref="AMC21" ca="1">INDEX(Canals!$AA$24:$AA$29,MATCH(2,1/((Canals!$F$24:$F$29&lt;=$C21)*(Canals!$G$24:$G$29=_xlfn.IFS(AHT21="Handysize",Main!AKC21,AHT21="Supramax",AJV21,AHT21="Panamax",AJO21,AHT21="NeoPanamax",AJH21,AHT21="Suezmax",AJA21,AHT21="Capesize",AIT21,AHT21="VLOC",AIM21)))))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D21" s="136" t="e">
        <f t="array" aca="1" ref="AMD21" ca="1">INDEX(Canals!$AB$24:$AB$29,MATCH(2,1/((Canals!$F$24:$F$29&lt;=$C21)*(Canals!$G$24:$G$29=_xlfn.IFS(AHT21="Handysize",Main!AKC21,AHT21="Supramax",AJV21,AHT21="Panamax",AJO21,AHT21="NeoPanamax",AJH21,AHT21="Suezmax",AJA21,AHT21="Capesize",AIT21,AHT21="VLOC",AIM21)))))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E21" s="75" t="e">
        <f t="array" aca="1" ref="AME21" ca="1">INDEX(Canals!$AC$24:$AC$29,MATCH(2,1/((Canals!$F$24:$F$29&lt;=$C21)*(Canals!$G$24:$G$29=_xlfn.IFS(AHT21="Handysize",Main!AKC21,AHT21="Supramax",AJV21,AHT21="Panamax",AJO21,AHT21="NeoPanamax",AJH21,AHT21="Suezmax",AJA21,AHT21="Capesize",AIT21,AHT21="VLOC",AIM21)))))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F21" s="75" t="e">
        <f t="array" aca="1" ref="AMF21" ca="1">INDEX(Canals!$AD$24:$AD$29,MATCH(2,1/((Canals!$F$24:$F$29&lt;=$C21)*(Canals!$G$24:$G$29=_xlfn.IFS(AHT21="Handysize",Main!AKC21,AHT21="Supramax",AJV21,AHT21="Panamax",AJO21,AHT21="NeoPanamax",AJH21,AHT21="Suezmax",AJA21,AHT21="Capesize",AIT21,AHT21="VLOC",AIM21)))))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G21" s="75" t="e">
        <f t="array" aca="1" ref="AMG21" ca="1">INDEX(Canals!$AE$24:$AE$29,MATCH(2,1/((Canals!$F$24:$F$29&lt;=$C21)*(Canals!$G$24:$G$29=_xlfn.IFS(AHT21="Handysize",Main!AKC21,AHT21="Supramax",AJV21,AHT21="Panamax",AJO21,AHT21="NeoPanamax",AJH21,AHT21="Suezmax",AJA21,AHT21="Capesize",AIT21,AHT21="VLOC",AIM21)))))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H21" s="75" t="e">
        <f t="array" aca="1" ref="AMH21" ca="1">INDEX(Canals!$AF$24:$AF$29,MATCH(2,1/((Canals!$F$24:$F$29&lt;=$C21)*(Canals!$G$24:$G$29=_xlfn.IFS(AHT21="Handysize",Main!AKC21,AHT21="Supramax",AJV21,AHT21="Panamax",AJO21,AHT21="NeoPanamax",AJH21,AHT21="Suezmax",AJA21,AHT21="Capesize",AIT21,AHT21="VLOC",AIM21)))))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I21" s="75" t="e">
        <f t="array" aca="1" ref="AMI21" ca="1">INDEX(Canals!$AG$24:$AG$29,MATCH(2,1/((Canals!$F$24:$F$29&lt;=$C21)*(Canals!$G$24:$G$29=_xlfn.IFS(AHT21="Handysize",Main!AKC21,AHT21="Supramax",AJV21,AHT21="Panamax",AJO21,AHT21="NeoPanamax",AJH21,AHT21="Suezmax",AJA21,AHT21="Capesize",AIT21,AHT21="VLOC",AIM21)))))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J21" s="75" t="e">
        <f t="array" aca="1" ref="AMJ21" ca="1">INDEX(Canals!$AH$24:$AH$29,MATCH(2,1/((Canals!$F$24:$F$29&lt;=$C21)*(Canals!$G$24:$G$29=_xlfn.IFS(AHT21="Handysize",Main!AKC21,AHT21="Supramax",AJV21,AHT21="Panamax",AJO21,AHT21="NeoPanamax",AJH21,AHT21="Suezmax",AJA21,AHT21="Capesize",AIT21,AHT21="VLOC",AIM21)))))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K21" s="75" t="e">
        <f t="array" aca="1" ref="AMK21" ca="1">INDEX(Canals!$AI$24:$AI$29,MATCH(2,1/((Canals!$F$24:$F$29&lt;=$C21)*(Canals!$G$24:$G$29=_xlfn.IFS(AHT21="Handysize",Main!AKC21,AHT21="Supramax",AJV21,AHT21="Panamax",AJO21,AHT21="NeoPanamax",AJH21,AHT21="Suezmax",AJA21,AHT21="Capesize",AIT21,AHT21="VLOC",AIM21)))))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L21" s="75" t="e">
        <f t="array" aca="1" ref="AML21" ca="1">INDEX(Canals!$AJ$24:$AJ$29,MATCH(2,1/((Canals!$F$24:$F$29&lt;=$C21)*(Canals!$G$24:$G$29=_xlfn.IFS(AHT21="Handysize",Main!AKC21,AHT21="Supramax",AJV21,AHT21="Panamax",AJO21,AHT21="NeoPanamax",AJH21,AHT21="Suezmax",AJA21,AHT21="Capesize",AIT21,AHT21="VLOC",AIM21)))))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M21" s="75" t="e">
        <f t="array" aca="1" ref="AMM21" ca="1">INDEX(Canals!$AK$24:$AK$29,MATCH(2,1/((Canals!$F$24:$F$29&lt;=$C21)*(Canals!$G$24:$G$29=_xlfn.IFS(AHT21="Handysize",Main!AKC21,AHT21="Supramax",AJV21,AHT21="Panamax",AJO21,AHT21="NeoPanamax",AJH21,AHT21="Suezmax",AJA21,AHT21="Capesize",AIT21,AHT21="VLOC",AIM21)))))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N21" s="136" t="e">
        <f t="array" aca="1" ref="AMN21" ca="1">INDEX(Canals!$AL$24:$AL$29,MATCH(2,1/((Canals!$F$24:$F$29&lt;=$C21)*(Canals!$G$24:$G$29=_xlfn.IFS(AHT21="Handysize",Main!AKC21,AHT21="Supramax",AJV21,AHT21="Panamax",AJO21,AHT21="NeoPanamax",AJH21,AHT21="Suezmax",AJA21,AHT21="Capesize",AIT21,AHT21="VLOC",AIM21)))))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O21" s="136" t="e">
        <f t="array" aca="1" ref="AMO21" ca="1">INDEX(Canals!$AM$24:$AM$29,MATCH(2,1/((Canals!$F$24:$F$29&lt;=$C21)*(Canals!$G$24:$G$29=_xlfn.IFS(AHT21="Handysize",Main!AKC21,AHT21="Supramax",AJV21,AHT21="Panamax",AJO21,AHT21="NeoPanamax",AJH21,AHT21="Suezmax",AJA21,AHT21="Capesize",AIT21,AHT21="VLOC",AIM21)))))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P21" s="136" t="e">
        <f t="array" aca="1" ref="AMP21" ca="1">INDEX(Canals!$AN$24:$AN$29,MATCH(2,1/((Canals!$F$24:$F$29&lt;=$C21)*(Canals!$G$24:$G$29=_xlfn.IFS(AHT21="Handysize",Main!AKC21,AHT21="Supramax",AJV21,AHT21="Panamax",AJO21,AHT21="NeoPanamax",AJH21,AHT21="Suezmax",AJA21,AHT21="Capesize",AIT21,AHT21="VLOC",AIM21)))))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Q21" s="136" t="e">
        <f t="array" aca="1" ref="AMQ21" ca="1">INDEX(Canals!$AO$24:$AO$29,MATCH(2,1/((Canals!$F$24:$F$29&lt;=$C21)*(Canals!$G$24:$G$29=_xlfn.IFS(AHT21="Handysize",Main!AKC21,AHT21="Supramax",AJV21,AHT21="Panamax",AJO21,AHT21="NeoPanamax",AJH21,AHT21="Suezmax",AJA21,AHT21="Capesize",AIT21,AHT21="VLOC",AIM21)))))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R21" s="136" t="e">
        <f t="array" aca="1" ref="AMR21" ca="1">INDEX(Canals!$AP$24:$AP$29,MATCH(2,1/((Canals!$F$24:$F$29&lt;=$C21)*(Canals!$G$24:$G$29=_xlfn.IFS(AHT21="Handysize",Main!AKC21,AHT21="Supramax",AJV21,AHT21="Panamax",AJO21,AHT21="NeoPanamax",AJH21,AHT21="Suezmax",AJA21,AHT21="Capesize",AIT21,AHT21="VLOC",AIM21)))))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S21" s="136" t="e">
        <f t="array" aca="1" ref="AMS21" ca="1">INDEX(Canals!$AQ$24:$AQ$29,MATCH(2,1/((Canals!$F$24:$F$29&lt;=$C21)*(Canals!$G$24:$G$29=_xlfn.IFS(AHT21="Handysize",Main!AKC21,AHT21="Supramax",AJV21,AHT21="Panamax",AJO21,AHT21="NeoPanamax",AJH21,AHT21="Suezmax",AJA21,AHT21="Capesize",AIT21,AHT21="VLOC",AIM21)))))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T21" s="136" t="e">
        <f t="array" aca="1" ref="AMT21" ca="1">INDEX(Canals!$AR$24:$AR$29,MATCH(2,1/((Canals!$F$24:$F$29&lt;=$C21)*(Canals!$G$24:$G$29=_xlfn.IFS(AHT21="Handysize",Main!AKC21,AHT21="Supramax",AJV21,AHT21="Panamax",AJO21,AHT21="NeoPanamax",AJH21,AHT21="Suezmax",AJA21,AHT21="Capesize",AIT21,AHT21="VLOC",AIM21)))))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U21" s="136" t="e">
        <f t="array" aca="1" ref="AMU21" ca="1">INDEX(Canals!$AS$24:$AS$29,MATCH(2,1/((Canals!$F$24:$F$29&lt;=$C21)*(Canals!$G$24:$G$29=_xlfn.IFS(AHT21="Handysize",Main!AKC21,AHT21="Supramax",AJV21,AHT21="Panamax",AJO21,AHT21="NeoPanamax",AJH21,AHT21="Suezmax",AJA21,AHT21="Capesize",AIT21,AHT21="VLOC",AIM21)))))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V21" s="136" t="e">
        <f t="array" aca="1" ref="AMV21" ca="1">INDEX(Canals!$AT$24:$AT$29,MATCH(2,1/((Canals!$F$24:$F$29&lt;=$C21)*(Canals!$G$24:$G$29=_xlfn.IFS(AHT21="Handysize",Main!AKC21,AHT21="Supramax",AJV21,AHT21="Panamax",AJO21,AHT21="NeoPanamax",AJH21,AHT21="Suezmax",AJA21,AHT21="Capesize",AIT21,AHT21="VLOC",AIM21)))))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W21" s="136" t="e">
        <f t="array" aca="1" ref="AMW21" ca="1">INDEX(Canals!$AU$24:$AU$29,MATCH(2,1/((Canals!$F$24:$F$29&lt;=$C21)*(Canals!$G$24:$G$29=_xlfn.IFS(AHT21="Handysize",Main!AKC21,AHT21="Supramax",AJV21,AHT21="Panamax",AJO21,AHT21="NeoPanamax",AJH21,AHT21="Suezmax",AJA21,AHT21="Capesize",AIT21,AHT21="VLOC",AIM21)))))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X21" s="136" t="e">
        <f t="array" aca="1" ref="AMX21" ca="1">INDEX(Canals!$AV$24:$AV$29,MATCH(2,1/((Canals!$F$24:$F$29&lt;=$C21)*(Canals!$G$24:$G$29=_xlfn.IFS(AHT21="Handysize",Main!AKC21,AHT21="Supramax",AJV21,AHT21="Panamax",AJO21,AHT21="NeoPanamax",AJH21,AHT21="Suezmax",AJA21,AHT21="Capesize",AIT21,AHT21="VLOC",AIM21)))))</f>
        <v>#N/A</v>
      </c>
      <c r="AMZ21" s="75" t="e">
        <f t="array" aca="1" ref="AMZ21" ca="1">_xlfn.IFS(ALK21="DWT",AHR21,ALK21="NRT",AHV21,ALK21="GRT",AHW21,ALK21=0,0)</f>
        <v>#NAME?</v>
      </c>
      <c r="ANA21" s="279" t="e">
        <f t="shared" ca="1" si="227"/>
        <v>#NAME?</v>
      </c>
      <c r="ANB21" s="280" t="e">
        <f t="shared" ca="1" si="228"/>
        <v>#NAME?</v>
      </c>
      <c r="ANC21" s="280" t="e">
        <f t="shared" ca="1" si="229"/>
        <v>#NAME?</v>
      </c>
      <c r="AND21" s="280" t="e">
        <f t="shared" ca="1" si="230"/>
        <v>#NAME?</v>
      </c>
      <c r="ANE21" s="280" t="e">
        <f t="shared" ca="1" si="231"/>
        <v>#NAME?</v>
      </c>
      <c r="ANF21" s="280" t="e">
        <f t="shared" ca="1" si="232"/>
        <v>#NAME?</v>
      </c>
      <c r="ANG21" s="280" t="e">
        <f t="shared" ca="1" si="233"/>
        <v>#NAME?</v>
      </c>
      <c r="ANH21" s="280" t="e">
        <f t="shared" ca="1" si="234"/>
        <v>#NAME?</v>
      </c>
      <c r="ANI21" s="280" t="e">
        <f t="shared" ca="1" si="235"/>
        <v>#NAME?</v>
      </c>
      <c r="ANJ21" s="75">
        <f t="shared" si="236"/>
        <v>0</v>
      </c>
      <c r="ANK21" s="279" t="e">
        <f t="shared" ca="1" si="237"/>
        <v>#N/A</v>
      </c>
      <c r="ANL21" s="280" t="e">
        <f t="shared" ca="1" si="238"/>
        <v>#N/A</v>
      </c>
      <c r="ANM21" s="280" t="e">
        <f t="shared" ca="1" si="239"/>
        <v>#N/A</v>
      </c>
      <c r="ANN21" s="280" t="e">
        <f t="shared" ca="1" si="240"/>
        <v>#N/A</v>
      </c>
      <c r="ANO21" s="280" t="e">
        <f t="shared" ca="1" si="241"/>
        <v>#N/A</v>
      </c>
      <c r="ANP21" s="280" t="e">
        <f t="shared" ca="1" si="242"/>
        <v>#N/A</v>
      </c>
      <c r="ANQ21" s="280" t="e">
        <f t="shared" ca="1" si="243"/>
        <v>#N/A</v>
      </c>
      <c r="ANR21" s="280" t="e">
        <f t="shared" ca="1" si="244"/>
        <v>#N/A</v>
      </c>
      <c r="ANS21" s="280" t="e">
        <f t="shared" ca="1" si="245"/>
        <v>#N/A</v>
      </c>
      <c r="ANU21" s="75" t="e">
        <f t="array" aca="1" ref="ANU21" ca="1">_xlfn.IFS(AHT21="Handysize",Main!AJW21,AHT21="Supramax",AJP21,AHT21="Panamax",AJI21,AHT21="NeoPanamax",AJB21,AHT21="Suezmax",AIU21,AHT21="Capesize",AIN21,AHT21="VLOC",AIG21)*$JI21</f>
        <v>#NAME?</v>
      </c>
      <c r="ANV21" s="274" t="e">
        <f t="array" aca="1" ref="ANV21" ca="1">_xlfn.IFS(AHT21="Handysize",Main!AJX21,AHT21="Supramax",AJQ21,AHT21="Panamax",AJJ21,AHT21="NeoPanamax",AJC21,AHT21="Suezmax",AIV21,AHT21="Capesize",AIO21,AHT21="VLOC",AIH21)*$JI21</f>
        <v>#NAME?</v>
      </c>
      <c r="ANW21" s="71" t="e">
        <f t="array" aca="1" ref="ANW21" ca="1">_xlfn.IFS(AHT21="Handysize",Main!AHY21,AHT21="Supramax",AHZ21,AHT21="Panamax",AIA21,AHT21="NeoPanamax",AIB21,AHT21="Suezmax",AIC21,AHT21="Capesize",AID21,AHT21="VLOC",AIE21)</f>
        <v>#NAME?</v>
      </c>
      <c r="ANX21" s="71" t="e">
        <f t="array" aca="1" ref="ANX21" ca="1">_xlfn.IFS(AHT21="Handysize",Main!AKK21,AHT21="Supramax",AKL21,AHT21="Panamax",AKM21,AHT21="NeoPanamax",AKN21,AHT21="Suezmax",AKO21,AHT21="Capesize",AKP21,AHT21="VLOC",AKQ21)</f>
        <v>#NAME?</v>
      </c>
      <c r="ANY21" s="70">
        <f t="array" ref="ANY21">INDEX('Ship Speeds'!$G$11:$G$1011,MATCH(2,1/(('Ship Speeds'!$E$11:$E$1011&lt;=Main!$C21)*('Ship Speeds'!$F$11:$F$1011=Main!AHS21))))</f>
        <v>11</v>
      </c>
      <c r="ANZ21" s="403">
        <f t="shared" si="246"/>
        <v>0</v>
      </c>
      <c r="AOA21" s="401">
        <f t="shared" si="247"/>
        <v>1.2</v>
      </c>
      <c r="AOB21" s="70" t="e">
        <f t="shared" ca="1" si="248"/>
        <v>#NAME?</v>
      </c>
      <c r="AOC21" s="70" t="e">
        <f t="shared" ca="1" si="249"/>
        <v>#NAME?</v>
      </c>
      <c r="AOD21" s="70" t="e">
        <f t="shared" ca="1" si="250"/>
        <v>#NAME?</v>
      </c>
      <c r="AOE21" s="70" t="e">
        <f t="shared" ca="1" si="251"/>
        <v>#NAME?</v>
      </c>
      <c r="AOF21" s="72" t="e">
        <f t="shared" ca="1" si="252"/>
        <v>#N/A</v>
      </c>
      <c r="AOG21" s="70" t="e">
        <f t="shared" ca="1" si="253"/>
        <v>#NAME?</v>
      </c>
      <c r="AOH21" s="70" t="e">
        <f t="array" aca="1" ref="AOH21" ca="1">IF(ANU21=0,0,INDEX(AKE21:AKI21,MATCH(_xlfn.IFS(AHT21="Handysize",Main!AKA21,AHT21="Supramax",AJT21,AHT21="Panamax",AJM21,AHT21="NeoPanamax",AJF21,AHT21="Suezmax",AIY21,AHT21="Capesize",AIR21,AHT21="VLOC",AIK21),$AKE$7:$AKI$7,0)))</f>
        <v>#NAME?</v>
      </c>
      <c r="AOI21" s="70" t="e">
        <f t="array" aca="1" ref="AOI21" ca="1">IF(ANU21=0,0,INDEX(AKE21:AKI21,MATCH(_xlfn.IFS(AHT21="Handysize",Main!AKB21,AHT21="Supramax",AJU21,AHT21="Panamax",AJN21,AHT21="NeoPanamax",AJG21,AHT21="Suezmax",AIZ21,AHT21="Capesize",AIS21,AHT21="VLOC",AIL21),$AKE$7:$AKI$7,0)))</f>
        <v>#NAME?</v>
      </c>
      <c r="AOJ21" s="71" t="e">
        <f t="shared" ca="1" si="254"/>
        <v>#NAME?</v>
      </c>
      <c r="AOK21" s="71" t="e">
        <f t="shared" ca="1" si="255"/>
        <v>#NAME?</v>
      </c>
      <c r="AOL21" s="281" t="e">
        <f t="shared" ca="1" si="256"/>
        <v>#NAME?</v>
      </c>
      <c r="AOM21" s="71" t="e">
        <f t="shared" ca="1" si="257"/>
        <v>#NAME?</v>
      </c>
      <c r="AON21" s="71" t="e">
        <f t="shared" ca="1" si="258"/>
        <v>#NAME?</v>
      </c>
      <c r="AOO21" s="71" t="e">
        <f t="shared" ca="1" si="259"/>
        <v>#NAME?</v>
      </c>
      <c r="AOP21" s="71" t="e">
        <f t="shared" ca="1" si="260"/>
        <v>#NAME?</v>
      </c>
      <c r="AOQ21" s="71" t="e">
        <f t="shared" ca="1" si="261"/>
        <v>#NAME?</v>
      </c>
      <c r="AOR21" s="71" t="e">
        <f t="shared" ca="1" si="262"/>
        <v>#NAME?</v>
      </c>
      <c r="AOS21" s="71" t="e">
        <f t="shared" ca="1" si="263"/>
        <v>#NAME?</v>
      </c>
      <c r="AOT21" s="71" t="e">
        <f t="shared" ca="1" si="264"/>
        <v>#NAME?</v>
      </c>
      <c r="AOU21" s="71" t="e">
        <f t="shared" ca="1" si="265"/>
        <v>#NAME?</v>
      </c>
      <c r="AOV21" s="71" t="e">
        <f t="shared" ca="1" si="266"/>
        <v>#NAME?</v>
      </c>
      <c r="AOW21" s="71" t="e">
        <f t="shared" ca="1" si="267"/>
        <v>#NAME?</v>
      </c>
      <c r="AOX21" s="71" t="e">
        <f t="shared" ca="1" si="268"/>
        <v>#NAME?</v>
      </c>
      <c r="AOY21" s="72" t="e">
        <f t="shared" ca="1" si="269"/>
        <v>#NAME?</v>
      </c>
      <c r="AOZ21" s="72" t="e">
        <f t="shared" ca="1" si="270"/>
        <v>#NAME?</v>
      </c>
      <c r="APA21" s="71" t="e">
        <f t="shared" ca="1" si="271"/>
        <v>#NAME?</v>
      </c>
      <c r="APB21" s="71" t="e">
        <f t="array" aca="1" ref="APB21" ca="1">IF(ANU21=0,0,INDEX('Ship Time Charter Rates'!$H$22:$H$1021,MATCH(2,1/(('Ship Time Charter Rates'!$G$22:$G$1021=_xlfn.IFS(AHT21="Handysize",Main!AJY21,AHT21="Supramax",AJR21,AHT21="Panamax",AJK21,AHT21="NeoPanamax",AJD21,AHT21="Suezmax",AIW21,AHT21="Capesize",AIP21,AHT21="VLOC",AII21))*('Ship Time Charter Rates'!$E$22:$E$1021&lt;=Main!$C21)*(NOT(ISBLANK('Ship Time Charter Rates'!$H$22:$H$1021)))))))</f>
        <v>#NAME?</v>
      </c>
      <c r="APC21" s="71" t="e">
        <f t="shared" ca="1" si="272"/>
        <v>#NAME?</v>
      </c>
      <c r="APD21" s="70" t="e">
        <f t="shared" ca="1" si="273"/>
        <v>#NAME?</v>
      </c>
      <c r="APE21" s="71" t="e">
        <f t="shared" ca="1" si="274"/>
        <v>#NAME?</v>
      </c>
      <c r="APF21" s="71" t="e">
        <f t="shared" ca="1" si="308"/>
        <v>#NAME?</v>
      </c>
      <c r="APG21" s="72" t="e">
        <f t="shared" ca="1" si="309"/>
        <v>#NAME?</v>
      </c>
      <c r="API21" s="287" t="s">
        <v>39</v>
      </c>
      <c r="APK21" s="289" t="e">
        <f t="shared" ca="1" si="275"/>
        <v>#NAME?</v>
      </c>
      <c r="APL21" s="289" t="e">
        <f t="shared" ca="1" si="276"/>
        <v>#NAME?</v>
      </c>
      <c r="APM21" s="289" t="e">
        <f t="shared" ca="1" si="277"/>
        <v>#NAME?</v>
      </c>
      <c r="APO21" s="287" t="s">
        <v>39</v>
      </c>
    </row>
    <row r="22" spans="2:1107">
      <c r="C22" s="5">
        <v>43923</v>
      </c>
      <c r="D22" s="7" t="s">
        <v>20</v>
      </c>
      <c r="E22" s="86" t="s">
        <v>441</v>
      </c>
      <c r="F22" s="6">
        <v>50</v>
      </c>
      <c r="G22" s="1" t="s">
        <v>185</v>
      </c>
      <c r="H22" s="1" t="s">
        <v>5</v>
      </c>
      <c r="I22" s="15"/>
      <c r="J22" s="15"/>
      <c r="K22" s="15"/>
      <c r="L22" s="15"/>
      <c r="M22" s="15"/>
      <c r="N22" s="15"/>
      <c r="O22" s="15"/>
      <c r="P22" s="8"/>
      <c r="Q22" s="98"/>
      <c r="R22" s="7" t="s">
        <v>95</v>
      </c>
      <c r="T22" s="287" t="s">
        <v>39</v>
      </c>
      <c r="V22" s="4"/>
      <c r="W22" s="16" t="str">
        <f t="shared" si="0"/>
        <v>not used yet</v>
      </c>
      <c r="X22" s="16" t="str">
        <f t="shared" si="0"/>
        <v>not used yet</v>
      </c>
      <c r="Y22" s="16" t="str">
        <f t="shared" si="0"/>
        <v>not used yet</v>
      </c>
      <c r="Z22" s="16" t="str">
        <f t="shared" si="0"/>
        <v>not used yet</v>
      </c>
      <c r="AA22" s="16" t="str">
        <f t="shared" si="0"/>
        <v>not used yet</v>
      </c>
      <c r="AB22" s="16" t="str">
        <f t="shared" si="0"/>
        <v>not used yet</v>
      </c>
      <c r="AC22" s="16" t="str">
        <f t="shared" si="0"/>
        <v>not used yet</v>
      </c>
      <c r="AE22" s="88" t="str">
        <f t="shared" si="1"/>
        <v>Discovery Bay</v>
      </c>
      <c r="AF22" s="16">
        <f t="shared" si="310"/>
        <v>0.49</v>
      </c>
      <c r="AG22" s="16">
        <f t="shared" si="311"/>
        <v>0.43</v>
      </c>
      <c r="AH22" s="61">
        <f t="shared" si="312"/>
        <v>1.4999999999999999E-2</v>
      </c>
      <c r="AI22" s="61">
        <f t="shared" si="313"/>
        <v>0.01</v>
      </c>
      <c r="AJ22" s="61">
        <f t="shared" si="314"/>
        <v>4.9999999999999992E-3</v>
      </c>
      <c r="AK22" s="16">
        <f t="shared" si="315"/>
        <v>4.9999999999999996E-2</v>
      </c>
      <c r="AL22" s="16">
        <f t="shared" si="316"/>
        <v>0.17</v>
      </c>
      <c r="AM22" s="24" t="str">
        <f t="shared" si="3"/>
        <v>HT-D</v>
      </c>
      <c r="AN22" s="427">
        <f t="shared" si="278"/>
        <v>48555</v>
      </c>
      <c r="AO22" s="127" t="str">
        <f t="array" ref="AO22">IFERROR(IF(AND(AN22&gt;'Indices Mines Exporting Ports'!$D$11,MATCH(2,1/(('Indices Mines Exporting Ports'!$B$3:$B$10&lt;=C22)*('Indices Mines Exporting Ports'!$C$3:$C$10=E22)))),"Yes","No"),"No")</f>
        <v>No</v>
      </c>
      <c r="AP22" s="126" t="str">
        <f t="array" ref="AP22">IF(AO22="Yes",INDEX('Indices Mines Exporting Ports'!$D$3:$D$10,MATCH(2,1/(('Indices Mines Exporting Ports'!$B$3:$B$10&lt;=Main!C22)*('Indices Mines Exporting Ports'!$C$3:$C$10=Main!AE22)))),IF(NOT(ISBLANK(Q22)),Q22,IP22))</f>
        <v>Discovery_Bay_wharf</v>
      </c>
      <c r="AQ22" s="262">
        <f t="array" ref="AQ22">IF(AO22="no",0,INDEX('Indices Mines Exporting Ports'!$E$3:$E$10,MATCH(2,1/(('Indices Mines Exporting Ports'!$B$3:$B$10&lt;=Main!$C22)*('Indices Mines Exporting Ports'!$D$3:$D$10=Main!$AP22)))))</f>
        <v>0</v>
      </c>
      <c r="AR22" s="267">
        <f t="array" ref="AR22">IF(AO22="No",0,AN22/ROUND(AN22/INDEX('Indices Mines Exporting Ports'!$F$3:$F$10,MATCH(2,1/(('Indices Mines Exporting Ports'!$B$3:$B$10&lt;=Main!C22)*('Indices Mines Exporting Ports'!$C$3:$C$10=Main!AE22)))),0))</f>
        <v>0</v>
      </c>
      <c r="AS22" s="127" t="str">
        <f t="shared" si="4"/>
        <v>Qingdao</v>
      </c>
      <c r="AT22" s="100" t="str">
        <f t="shared" si="317"/>
        <v>CBIX HT</v>
      </c>
      <c r="AU22" s="100" t="str">
        <f t="shared" si="318"/>
        <v>CBIX HT</v>
      </c>
      <c r="AV22" s="242" t="s">
        <v>4</v>
      </c>
      <c r="AW22" s="242" t="s">
        <v>5</v>
      </c>
      <c r="AX22" s="292" t="e">
        <f t="shared" ca="1" si="6"/>
        <v>#NAME?</v>
      </c>
      <c r="AY22" s="291" t="e">
        <f t="shared" ca="1" si="7"/>
        <v>#NAME?</v>
      </c>
      <c r="AZ22" s="292" t="e">
        <f t="shared" ca="1" si="8"/>
        <v>#NAME?</v>
      </c>
      <c r="BA22" s="102">
        <f t="shared" si="9"/>
        <v>0.83000000000000007</v>
      </c>
      <c r="BB22" s="12"/>
      <c r="BC22" s="306" t="s">
        <v>403</v>
      </c>
      <c r="BD22" s="407">
        <f t="shared" si="279"/>
        <v>0</v>
      </c>
      <c r="BE22" s="407">
        <f t="shared" si="279"/>
        <v>0</v>
      </c>
      <c r="BF22" s="407">
        <f t="shared" si="279"/>
        <v>0</v>
      </c>
      <c r="BG22" s="407">
        <f t="shared" si="280"/>
        <v>0</v>
      </c>
      <c r="BH22" s="407" t="e">
        <f t="shared" ca="1" si="281"/>
        <v>#NAME?</v>
      </c>
      <c r="BI22" s="263" t="e">
        <f t="shared" ca="1" si="282"/>
        <v>#NAME?</v>
      </c>
      <c r="BK22" s="287" t="s">
        <v>39</v>
      </c>
      <c r="BM22" s="291" t="e">
        <f t="shared" ca="1" si="283"/>
        <v>#NAME?</v>
      </c>
      <c r="BN22" s="298">
        <f t="shared" si="284"/>
        <v>0.49</v>
      </c>
      <c r="BO22" s="298">
        <f t="shared" si="285"/>
        <v>0.43</v>
      </c>
      <c r="BP22" s="298">
        <f t="shared" si="286"/>
        <v>1.4999999999999999E-2</v>
      </c>
      <c r="BQ22" s="298">
        <f t="shared" si="287"/>
        <v>0.01</v>
      </c>
      <c r="BR22" s="298">
        <f t="shared" si="288"/>
        <v>4.9999999999999992E-3</v>
      </c>
      <c r="BS22" s="298">
        <f t="shared" si="289"/>
        <v>4.9999999999999996E-2</v>
      </c>
      <c r="BT22" s="298">
        <f t="shared" si="290"/>
        <v>0.17</v>
      </c>
      <c r="BU22" s="307" t="str">
        <f t="shared" si="291"/>
        <v>HT-D</v>
      </c>
      <c r="BV22" s="291">
        <f t="shared" si="292"/>
        <v>0.83000000000000007</v>
      </c>
      <c r="BX22" s="300">
        <f t="array" ref="BX22">INDEX('Processing Factors'!$D$8:$D$29,MATCH(2,1/(('Processing Factors'!$B$8:$B$29&lt;=Main!$C22)*('Processing Factors'!$C$8:$C$29=Main!BU22))))</f>
        <v>1</v>
      </c>
      <c r="BY22" s="299">
        <f t="array" ref="BY22">INDEX('Processing Factors'!$E$8:$E$29,MATCH(2,1/(('Processing Factors'!$B$8:$B$29&lt;=Main!$C22)*('Processing Factors'!$C$8:$C$29=Main!BU22))))</f>
        <v>1.23</v>
      </c>
      <c r="BZ22" s="299">
        <f t="array" ref="BZ22">INDEX('Processing Factors'!$F$8:$F$29,MATCH(2,1/(('Processing Factors'!$B$8:$B$29&lt;=Main!$C22)*('Processing Factors'!$C$8:$C$29=Main!BU22))))</f>
        <v>0.6</v>
      </c>
      <c r="CA22" s="299">
        <f t="array" ref="CA22">INDEX('Processing Factors'!$G$8:$G$29,MATCH(2,1/(('Processing Factors'!$B$8:$B$29&lt;=Main!$C22)*('Processing Factors'!$C$8:$C$29=Main!BU22))))</f>
        <v>0.22</v>
      </c>
      <c r="CB22" s="299">
        <f t="array" ref="CB22">INDEX('Processing Factors'!$H$8:$H$29,MATCH(2,1/(('Processing Factors'!$B$8:$B$29&lt;=Main!$C22)*('Processing Factors'!$C$8:$C$29=Main!BU22))))</f>
        <v>13.5</v>
      </c>
      <c r="CC22" s="300">
        <f t="array" ref="CC22">INDEX('Processing Factors'!$I$8:$I$29,MATCH(2,1/(('Processing Factors'!$B$8:$B$29&lt;=Main!$C22)*('Processing Factors'!$C$8:$C$29=Main!BU22))))</f>
        <v>1</v>
      </c>
      <c r="CD22" s="300">
        <f t="array" ref="CD22">INDEX('Processing Factors'!$J$8:$J$29,MATCH(2,1/(('Processing Factors'!$B$8:$B$29&lt;=Main!$C22)*('Processing Factors'!$C$8:$C$29=Main!BU22))))</f>
        <v>0.9</v>
      </c>
      <c r="CE22" s="299">
        <f t="array" ref="CE22">INDEX('Processing Factors'!$K$8:$K$29,MATCH(2,1/(('Processing Factors'!$B$8:$B$29&lt;=Main!$C22)*('Processing Factors'!$C$8:$C$29=Main!BU22))))</f>
        <v>3.5000000000000003E-2</v>
      </c>
      <c r="CG22" s="302">
        <f t="shared" si="10"/>
        <v>0.49</v>
      </c>
      <c r="CH22" s="302">
        <f t="shared" si="11"/>
        <v>1.4999999999999999E-2</v>
      </c>
      <c r="CI22" s="302">
        <f t="shared" si="12"/>
        <v>0.47154999999999997</v>
      </c>
      <c r="CJ22" s="299">
        <f t="shared" si="13"/>
        <v>2.3562954323213043</v>
      </c>
      <c r="CK22" s="281" t="e">
        <f t="shared" ca="1" si="14"/>
        <v>#NAME?</v>
      </c>
      <c r="CL22" s="299">
        <f t="shared" si="15"/>
        <v>5.6206658890891742E-2</v>
      </c>
      <c r="CM22" s="281">
        <f t="shared" si="16"/>
        <v>13.503578309004519</v>
      </c>
      <c r="CN22" s="281">
        <f t="shared" si="17"/>
        <v>55.9712938100622</v>
      </c>
      <c r="CO22" s="281">
        <f t="shared" si="18"/>
        <v>7.4618428490672706</v>
      </c>
      <c r="CP22" s="299">
        <f t="shared" si="19"/>
        <v>1.6325020912121961</v>
      </c>
      <c r="CQ22" s="281">
        <f t="shared" si="20"/>
        <v>6.9212920769313016</v>
      </c>
      <c r="CR22" s="281" t="e">
        <f t="shared" ca="1" si="21"/>
        <v>#NAME?</v>
      </c>
      <c r="CT22" s="287" t="s">
        <v>39</v>
      </c>
      <c r="CV22" s="305" t="e">
        <f t="shared" ca="1" si="22"/>
        <v>#NAME?</v>
      </c>
      <c r="CW22" s="61">
        <f t="array" ref="CW22">INDEX('Indices Mines Exporting Ports'!E$20:E$51, MATCH(2,1/(('Indices Mines Exporting Ports'!$C$20:$C$51=$AT22)*('Indices Mines Exporting Ports'!$D$20:$D$51&lt;=$C22))))</f>
        <v>0.5</v>
      </c>
      <c r="CX22" s="61">
        <f t="array" ref="CX22">INDEX('Indices Mines Exporting Ports'!F$20:F$51, MATCH(2,1/(('Indices Mines Exporting Ports'!$C$20:$C$51=$AT22)*('Indices Mines Exporting Ports'!$D$20:$D$51&lt;=$C22))))</f>
        <v>0.45</v>
      </c>
      <c r="CY22" s="61">
        <f t="array" ref="CY22">INDEX('Indices Mines Exporting Ports'!G$20:G$51, MATCH(2,1/(('Indices Mines Exporting Ports'!$C$20:$C$51=$AT22)*('Indices Mines Exporting Ports'!$D$20:$D$51&lt;=$C22))))</f>
        <v>0.05</v>
      </c>
      <c r="CZ22" s="61">
        <f t="array" ref="CZ22">INDEX('Indices Mines Exporting Ports'!H$20:H$51, MATCH(2,1/(('Indices Mines Exporting Ports'!$C$20:$C$51=$AT22)*('Indices Mines Exporting Ports'!$D$20:$D$51&lt;=$C22))))</f>
        <v>0.05</v>
      </c>
      <c r="DA22" s="61">
        <f t="array" ref="DA22">INDEX('Indices Mines Exporting Ports'!I$20:I$51, MATCH(2,1/(('Indices Mines Exporting Ports'!$C$20:$C$51=$AT22)*('Indices Mines Exporting Ports'!$D$20:$D$51&lt;=$C22))))</f>
        <v>0</v>
      </c>
      <c r="DB22" s="61">
        <f t="array" ref="DB22">INDEX('Indices Mines Exporting Ports'!J$20:J$51, MATCH(2,1/(('Indices Mines Exporting Ports'!$C$20:$C$51=$AT22)*('Indices Mines Exporting Ports'!$D$20:$D$51&lt;=$C22))))</f>
        <v>0</v>
      </c>
      <c r="DC22" s="61">
        <f t="array" ref="DC22">INDEX('Indices Mines Exporting Ports'!K$20:K$51, MATCH(2,1/(('Indices Mines Exporting Ports'!$C$20:$C$51=$AT22)*('Indices Mines Exporting Ports'!$D$20:$D$51&lt;=$C22))))</f>
        <v>0.1</v>
      </c>
      <c r="DD22" s="103" t="str">
        <f t="array" ref="DD22">INDEX('Indices Mines Exporting Ports'!L$20:L$51, MATCH(2,1/(('Indices Mines Exporting Ports'!$C$20:$C$51=$AT22)*('Indices Mines Exporting Ports'!$D$20:$D$51&lt;=$C22))))</f>
        <v>LT</v>
      </c>
      <c r="DE22" s="243">
        <f t="array" ref="DE22">INDEX('Indices Mines Exporting Ports'!M$20:M$51, MATCH(2,1/(('Indices Mines Exporting Ports'!$C$20:$C$51=$AT22)*('Indices Mines Exporting Ports'!$D$20:$D$51&lt;=$C22))))</f>
        <v>0</v>
      </c>
      <c r="DG22" s="300">
        <f t="array" ref="DG22">INDEX('Processing Factors'!$D$8:$D$29,MATCH(2,1/(('Processing Factors'!$B$8:$B$29&lt;=Main!$C22)*('Processing Factors'!$C$8:$C$29=Main!DD22))))</f>
        <v>0</v>
      </c>
      <c r="DH22" s="299">
        <f t="array" ref="DH22">INDEX('Processing Factors'!$E$8:$E$29,MATCH(2,1/(('Processing Factors'!$B$8:$B$29&lt;=Main!$C22)*('Processing Factors'!$C$8:$C$29=Main!DD22))))</f>
        <v>1</v>
      </c>
      <c r="DI22" s="299">
        <f t="array" ref="DI22">INDEX('Processing Factors'!$F$8:$F$29,MATCH(2,1/(('Processing Factors'!$B$8:$B$29&lt;=Main!$C22)*('Processing Factors'!$C$8:$C$29=Main!DD22))))</f>
        <v>0.9</v>
      </c>
      <c r="DJ22" s="299">
        <f t="array" ref="DJ22">INDEX('Processing Factors'!$G$8:$G$29,MATCH(2,1/(('Processing Factors'!$B$8:$B$29&lt;=Main!$C22)*('Processing Factors'!$C$8:$C$29=Main!DD22))))</f>
        <v>3.5999999999999997E-2</v>
      </c>
      <c r="DK22" s="299">
        <f t="array" ref="DK22">INDEX('Processing Factors'!$H$8:$H$29,MATCH(2,1/(('Processing Factors'!$B$8:$B$29&lt;=Main!$C22)*('Processing Factors'!$C$8:$C$29=Main!DD22))))</f>
        <v>12.15</v>
      </c>
      <c r="DL22" s="300">
        <f t="array" ref="DL22">INDEX('Processing Factors'!$I$8:$I$29,MATCH(2,1/(('Processing Factors'!$B$8:$B$29&lt;=Main!$C22)*('Processing Factors'!$C$8:$C$29=Main!DD22))))</f>
        <v>0</v>
      </c>
      <c r="DM22" s="300">
        <f t="array" ref="DM22">INDEX('Processing Factors'!$J$8:$J$29,MATCH(2,1/(('Processing Factors'!$B$8:$B$29&lt;=Main!$C22)*('Processing Factors'!$C$8:$C$29=Main!DD22))))</f>
        <v>0.9</v>
      </c>
      <c r="DN22" s="299">
        <f t="array" ref="DN22">INDEX('Processing Factors'!$K$8:$K$29,MATCH(2,1/(('Processing Factors'!$B$8:$B$29&lt;=Main!$C22)*('Processing Factors'!$C$8:$C$29=Main!DD22))))</f>
        <v>3.5000000000000003E-2</v>
      </c>
      <c r="DP22" s="302">
        <f t="shared" si="23"/>
        <v>0.5</v>
      </c>
      <c r="DQ22" s="302">
        <f t="shared" si="24"/>
        <v>0.05</v>
      </c>
      <c r="DR22" s="302">
        <f t="shared" si="25"/>
        <v>0.45</v>
      </c>
      <c r="DS22" s="299">
        <f t="shared" si="26"/>
        <v>2.4691358024691357</v>
      </c>
      <c r="DT22" s="304">
        <v>0</v>
      </c>
      <c r="DU22" s="299">
        <f t="shared" si="27"/>
        <v>0.14611111111111114</v>
      </c>
      <c r="DV22" s="281">
        <f t="shared" si="28"/>
        <v>35.103008604987139</v>
      </c>
      <c r="DW22" s="281">
        <f t="shared" si="29"/>
        <v>50.37416442905598</v>
      </c>
      <c r="DX22" s="281">
        <f t="shared" si="30"/>
        <v>1.2210288298473715</v>
      </c>
      <c r="DY22" s="299">
        <f t="shared" si="31"/>
        <v>1.8352469135802467</v>
      </c>
      <c r="DZ22" s="281">
        <f t="shared" si="32"/>
        <v>7.7808659422565585</v>
      </c>
      <c r="EA22" s="281">
        <f t="shared" si="33"/>
        <v>94.479067806147043</v>
      </c>
      <c r="EC22" s="287" t="s">
        <v>39</v>
      </c>
      <c r="EE22" s="305" t="e">
        <f t="shared" ca="1" si="34"/>
        <v>#NAME?</v>
      </c>
      <c r="EF22" s="16">
        <f t="array" ref="EF22">INDEX('Indices Mines Exporting Ports'!E$20:E$51, MATCH(2,1/(('Indices Mines Exporting Ports'!$C$20:$C$51=$AU22)*('Indices Mines Exporting Ports'!$D$20:$D$51&lt;=$C22))))</f>
        <v>0.5</v>
      </c>
      <c r="EG22" s="16">
        <f t="array" ref="EG22">INDEX('Indices Mines Exporting Ports'!F$20:F$51, MATCH(2,1/(('Indices Mines Exporting Ports'!$C$20:$C$51=$AU22)*('Indices Mines Exporting Ports'!$D$20:$D$51&lt;=$C22))))</f>
        <v>0.45</v>
      </c>
      <c r="EH22" s="16">
        <f t="array" ref="EH22">INDEX('Indices Mines Exporting Ports'!G$20:G$51, MATCH(2,1/(('Indices Mines Exporting Ports'!$C$20:$C$51=$AU22)*('Indices Mines Exporting Ports'!$D$20:$D$51&lt;=$C22))))</f>
        <v>0.05</v>
      </c>
      <c r="EI22" s="16">
        <f t="array" ref="EI22">INDEX('Indices Mines Exporting Ports'!H$20:H$51, MATCH(2,1/(('Indices Mines Exporting Ports'!$C$20:$C$51=$AU22)*('Indices Mines Exporting Ports'!$D$20:$D$51&lt;=$C22))))</f>
        <v>0.05</v>
      </c>
      <c r="EJ22" s="16">
        <f t="array" ref="EJ22">INDEX('Indices Mines Exporting Ports'!I$20:I$51, MATCH(2,1/(('Indices Mines Exporting Ports'!$C$20:$C$51=$AU22)*('Indices Mines Exporting Ports'!$D$20:$D$51&lt;=$C22))))</f>
        <v>0</v>
      </c>
      <c r="EK22" s="16">
        <f t="array" ref="EK22">INDEX('Indices Mines Exporting Ports'!J$20:J$51, MATCH(2,1/(('Indices Mines Exporting Ports'!$C$20:$C$51=$AU22)*('Indices Mines Exporting Ports'!$D$20:$D$51&lt;=$C22))))</f>
        <v>0</v>
      </c>
      <c r="EL22" s="16">
        <f t="array" ref="EL22">INDEX('Indices Mines Exporting Ports'!K$20:K$51, MATCH(2,1/(('Indices Mines Exporting Ports'!$C$20:$C$51=$AU22)*('Indices Mines Exporting Ports'!$D$20:$D$51&lt;=$C22))))</f>
        <v>0.1</v>
      </c>
      <c r="EM22" s="103" t="str">
        <f t="array" ref="EM22">INDEX('Indices Mines Exporting Ports'!L$20:L$51, MATCH(2,1/(('Indices Mines Exporting Ports'!$C$20:$C$51=$AU22)*('Indices Mines Exporting Ports'!$D$20:$D$51&lt;=$C22))))</f>
        <v>LT</v>
      </c>
      <c r="EN22" s="243">
        <f t="array" ref="EN22">INDEX('Indices Mines Exporting Ports'!M$20:M$51, MATCH(2,1/(('Indices Mines Exporting Ports'!$C$20:$C$51=$AU22)*('Indices Mines Exporting Ports'!$D$20:$D$51&lt;=$C22))))</f>
        <v>0</v>
      </c>
      <c r="EP22" s="300">
        <f t="array" ref="EP22">INDEX('Processing Factors'!$D$8:$D$29,MATCH(2,1/(('Processing Factors'!$B$8:$B$29&lt;=Main!$C22)*('Processing Factors'!$C$8:$C$29=Main!EM22))))</f>
        <v>0</v>
      </c>
      <c r="EQ22" s="299">
        <f t="array" ref="EQ22">INDEX('Processing Factors'!$E$8:$E$29,MATCH(2,1/(('Processing Factors'!$B$8:$B$29&lt;=Main!$C22)*('Processing Factors'!$C$8:$C$29=Main!EM22))))</f>
        <v>1</v>
      </c>
      <c r="ER22" s="299">
        <f t="array" ref="ER22">INDEX('Processing Factors'!$F$8:$F$29,MATCH(2,1/(('Processing Factors'!$B$8:$B$29&lt;=Main!$C22)*('Processing Factors'!$C$8:$C$29=Main!EM22))))</f>
        <v>0.9</v>
      </c>
      <c r="ES22" s="299">
        <f t="array" ref="ES22">INDEX('Processing Factors'!$G$8:$G$29,MATCH(2,1/(('Processing Factors'!$B$8:$B$29&lt;=Main!$C22)*('Processing Factors'!$C$8:$C$29=Main!EM22))))</f>
        <v>3.5999999999999997E-2</v>
      </c>
      <c r="ET22" s="299">
        <f t="array" ref="ET22">INDEX('Processing Factors'!$H$8:$H$29,MATCH(2,1/(('Processing Factors'!$B$8:$B$29&lt;=Main!$C22)*('Processing Factors'!$C$8:$C$29=Main!EM22))))</f>
        <v>12.15</v>
      </c>
      <c r="EU22" s="300">
        <f t="array" ref="EU22">INDEX('Processing Factors'!$I$8:$I$29,MATCH(2,1/(('Processing Factors'!$B$8:$B$29&lt;=Main!$C22)*('Processing Factors'!$C$8:$C$29=Main!EM22))))</f>
        <v>0</v>
      </c>
      <c r="EV22" s="300">
        <f t="array" ref="EV22">INDEX('Processing Factors'!$J$8:$J$29,MATCH(2,1/(('Processing Factors'!$B$8:$B$29&lt;=Main!$C22)*('Processing Factors'!$C$8:$C$29=Main!EM22))))</f>
        <v>0.9</v>
      </c>
      <c r="EW22" s="299">
        <f t="array" ref="EW22">INDEX('Processing Factors'!$K$8:$K$29,MATCH(2,1/(('Processing Factors'!$B$8:$B$29&lt;=Main!$C22)*('Processing Factors'!$C$8:$C$29=Main!EM22))))</f>
        <v>3.5000000000000003E-2</v>
      </c>
      <c r="EY22" s="302">
        <f t="shared" si="35"/>
        <v>0.5</v>
      </c>
      <c r="EZ22" s="302">
        <f t="shared" si="36"/>
        <v>0.05</v>
      </c>
      <c r="FA22" s="302">
        <f t="shared" si="37"/>
        <v>0.45</v>
      </c>
      <c r="FB22" s="299">
        <f t="shared" si="38"/>
        <v>2.4691358024691357</v>
      </c>
      <c r="FC22" s="304">
        <v>0</v>
      </c>
      <c r="FD22" s="299">
        <f t="shared" si="39"/>
        <v>0.14611111111111114</v>
      </c>
      <c r="FE22" s="281">
        <f t="shared" si="40"/>
        <v>35.103008604987139</v>
      </c>
      <c r="FF22" s="281">
        <f t="shared" si="41"/>
        <v>50.37416442905598</v>
      </c>
      <c r="FG22" s="281">
        <f t="shared" si="42"/>
        <v>1.2210288298473715</v>
      </c>
      <c r="FH22" s="299">
        <f t="shared" si="43"/>
        <v>1.8352469135802467</v>
      </c>
      <c r="FI22" s="281">
        <f t="shared" si="44"/>
        <v>7.7808659422565585</v>
      </c>
      <c r="FJ22" s="281">
        <f t="shared" si="45"/>
        <v>94.479067806147043</v>
      </c>
      <c r="FL22" s="287" t="s">
        <v>39</v>
      </c>
      <c r="FN22" s="315" t="e">
        <f t="shared" ca="1" si="293"/>
        <v>#NAME?</v>
      </c>
      <c r="FO22" s="316">
        <f t="shared" si="294"/>
        <v>0.49</v>
      </c>
      <c r="FP22" s="316">
        <f t="shared" si="295"/>
        <v>0.43</v>
      </c>
      <c r="FQ22" s="316">
        <f t="shared" si="296"/>
        <v>1.4999999999999999E-2</v>
      </c>
      <c r="FR22" s="316">
        <f t="shared" si="297"/>
        <v>0.01</v>
      </c>
      <c r="FS22" s="316">
        <f t="shared" si="298"/>
        <v>4.9999999999999992E-3</v>
      </c>
      <c r="FT22" s="316">
        <f t="shared" si="299"/>
        <v>4.9999999999999996E-2</v>
      </c>
      <c r="FU22" s="316">
        <f t="shared" si="300"/>
        <v>0.17</v>
      </c>
      <c r="FV22" s="317" t="str">
        <f t="shared" si="301"/>
        <v>HT-D</v>
      </c>
      <c r="FW22" s="318">
        <v>0</v>
      </c>
      <c r="FX22" s="237"/>
      <c r="FY22" s="319">
        <f t="array" ref="FY22">INDEX('Processing Factors'!$D$8:$D$29,MATCH(2,1/(('Processing Factors'!$B$8:$B$29&lt;=Main!$C22)*('Processing Factors'!$C$8:$C$29=Main!FV22))))</f>
        <v>1</v>
      </c>
      <c r="FZ22" s="320">
        <f t="array" ref="FZ22">INDEX('Processing Factors'!$E$8:$E$29,MATCH(2,1/(('Processing Factors'!$B$8:$B$29&lt;=Main!$C22)*('Processing Factors'!$C$8:$C$29=Main!FV22))))</f>
        <v>1.23</v>
      </c>
      <c r="GA22" s="320">
        <f t="array" ref="GA22">INDEX('Processing Factors'!$F$8:$F$29,MATCH(2,1/(('Processing Factors'!$B$8:$B$29&lt;=Main!$C22)*('Processing Factors'!$C$8:$C$29=Main!FV22))))</f>
        <v>0.6</v>
      </c>
      <c r="GB22" s="320">
        <f t="array" ref="GB22">INDEX('Processing Factors'!$G$8:$G$29,MATCH(2,1/(('Processing Factors'!$B$8:$B$29&lt;=Main!$C22)*('Processing Factors'!$C$8:$C$29=Main!FV22))))</f>
        <v>0.22</v>
      </c>
      <c r="GC22" s="320">
        <f t="array" ref="GC22">INDEX('Processing Factors'!$H$8:$H$29,MATCH(2,1/(('Processing Factors'!$B$8:$B$29&lt;=Main!$C22)*('Processing Factors'!$C$8:$C$29=Main!FV22))))</f>
        <v>13.5</v>
      </c>
      <c r="GD22" s="319">
        <f t="array" ref="GD22">INDEX('Processing Factors'!$I$8:$I$29,MATCH(2,1/(('Processing Factors'!$B$8:$B$29&lt;=Main!$C22)*('Processing Factors'!$C$8:$C$29=Main!FV22))))</f>
        <v>1</v>
      </c>
      <c r="GE22" s="321">
        <v>0.92</v>
      </c>
      <c r="GF22" s="320">
        <f t="array" ref="GF22">INDEX('Processing Factors'!$K$8:$K$29,MATCH(2,1/(('Processing Factors'!$B$8:$B$29&lt;=Main!$C22)*('Processing Factors'!$C$8:$C$29=Main!FV22))))</f>
        <v>3.5000000000000003E-2</v>
      </c>
      <c r="GG22" s="237"/>
      <c r="GH22" s="322">
        <f t="shared" si="46"/>
        <v>0.49</v>
      </c>
      <c r="GI22" s="322">
        <f t="shared" si="47"/>
        <v>1.4999999999999999E-2</v>
      </c>
      <c r="GJ22" s="322">
        <f t="shared" si="48"/>
        <v>0.47154999999999997</v>
      </c>
      <c r="GK22" s="320">
        <f t="shared" si="49"/>
        <v>2.3050716185751892</v>
      </c>
      <c r="GL22" s="323" t="e">
        <f t="shared" ca="1" si="50"/>
        <v>#NAME?</v>
      </c>
      <c r="GM22" s="320">
        <f t="shared" si="51"/>
        <v>5.5745644567176705E-2</v>
      </c>
      <c r="GN22" s="323">
        <f t="shared" si="52"/>
        <v>13.39282020409842</v>
      </c>
      <c r="GO22" s="323">
        <f t="shared" si="53"/>
        <v>55.9712938100622</v>
      </c>
      <c r="GP22" s="323">
        <f t="shared" si="54"/>
        <v>7.4618428490672706</v>
      </c>
      <c r="GQ22" s="320">
        <f t="shared" si="55"/>
        <v>1.5808172631423658</v>
      </c>
      <c r="GR22" s="323">
        <f t="shared" si="56"/>
        <v>6.7021647674209976</v>
      </c>
      <c r="GS22" s="323" t="e">
        <f t="shared" ca="1" si="57"/>
        <v>#NAME?</v>
      </c>
      <c r="GT22" s="237"/>
      <c r="GU22" s="324" t="e">
        <f t="shared" ca="1" si="58"/>
        <v>#NAME?</v>
      </c>
      <c r="GV22" s="325">
        <f t="array" ref="GV22">INDEX('Indices Mines Exporting Ports'!E$20:E$51, MATCH(2,1/(('Indices Mines Exporting Ports'!$C$20:$C$51=$BC22)*('Indices Mines Exporting Ports'!$D$20:$D$51&lt;=$C22))))</f>
        <v>0.5</v>
      </c>
      <c r="GW22" s="325">
        <f t="array" ref="GW22">INDEX('Indices Mines Exporting Ports'!F$20:F$51, MATCH(2,1/(('Indices Mines Exporting Ports'!$C$20:$C$51=$BC22)*('Indices Mines Exporting Ports'!$D$20:$D$51&lt;=$C22))))</f>
        <v>0.45</v>
      </c>
      <c r="GX22" s="325">
        <f t="array" ref="GX22">INDEX('Indices Mines Exporting Ports'!G$20:G$51, MATCH(2,1/(('Indices Mines Exporting Ports'!$C$20:$C$51=$BC22)*('Indices Mines Exporting Ports'!$D$20:$D$51&lt;=$C22))))</f>
        <v>0.05</v>
      </c>
      <c r="GY22" s="325">
        <f t="array" ref="GY22">INDEX('Indices Mines Exporting Ports'!H$20:H$51, MATCH(2,1/(('Indices Mines Exporting Ports'!$C$20:$C$51=$BC22)*('Indices Mines Exporting Ports'!$D$20:$D$51&lt;=$C22))))</f>
        <v>0.05</v>
      </c>
      <c r="GZ22" s="325">
        <f t="array" ref="GZ22">INDEX('Indices Mines Exporting Ports'!I$20:I$51, MATCH(2,1/(('Indices Mines Exporting Ports'!$C$20:$C$51=$BC22)*('Indices Mines Exporting Ports'!$D$20:$D$51&lt;=$C22))))</f>
        <v>0</v>
      </c>
      <c r="HA22" s="325">
        <f t="array" ref="HA22">INDEX('Indices Mines Exporting Ports'!J$20:J$51, MATCH(2,1/(('Indices Mines Exporting Ports'!$C$20:$C$51=$BC22)*('Indices Mines Exporting Ports'!$D$20:$D$51&lt;=$C22))))</f>
        <v>0</v>
      </c>
      <c r="HB22" s="325">
        <f t="array" ref="HB22">INDEX('Indices Mines Exporting Ports'!K$20:K$51, MATCH(2,1/(('Indices Mines Exporting Ports'!$C$20:$C$51=$BC22)*('Indices Mines Exporting Ports'!$D$20:$D$51&lt;=$C22))))</f>
        <v>0.1</v>
      </c>
      <c r="HC22" s="326" t="str">
        <f t="array" ref="HC22">INDEX('Indices Mines Exporting Ports'!L$20:L$51, MATCH(2,1/(('Indices Mines Exporting Ports'!$C$20:$C$51=$BC22)*('Indices Mines Exporting Ports'!$D$20:$D$51&lt;=$C22))))</f>
        <v>LT</v>
      </c>
      <c r="HD22" s="262">
        <f t="array" ref="HD22">INDEX('Indices Mines Exporting Ports'!M$20:M$51, MATCH(2,1/(('Indices Mines Exporting Ports'!$C$20:$C$51=$BC22)*('Indices Mines Exporting Ports'!$D$20:$D$51&lt;=$C22))))</f>
        <v>0</v>
      </c>
      <c r="HE22" s="237"/>
      <c r="HF22" s="319">
        <f t="array" ref="HF22">INDEX('Processing Factors'!$D$8:$D$29,MATCH(2,1/(('Processing Factors'!$B$8:$B$29&lt;=Main!$C22)*('Processing Factors'!$C$8:$C$29=Main!HC22))))</f>
        <v>0</v>
      </c>
      <c r="HG22" s="320">
        <f t="array" ref="HG22">INDEX('Processing Factors'!$E$8:$E$29,MATCH(2,1/(('Processing Factors'!$B$8:$B$29&lt;=Main!$C22)*('Processing Factors'!$C$8:$C$29=Main!HC22))))</f>
        <v>1</v>
      </c>
      <c r="HH22" s="320">
        <f t="array" ref="HH22">INDEX('Processing Factors'!$F$8:$F$29,MATCH(2,1/(('Processing Factors'!$B$8:$B$29&lt;=Main!$C22)*('Processing Factors'!$C$8:$C$29=Main!HC22))))</f>
        <v>0.9</v>
      </c>
      <c r="HI22" s="320">
        <f t="array" ref="HI22">INDEX('Processing Factors'!$G$8:$G$29,MATCH(2,1/(('Processing Factors'!$B$8:$B$29&lt;=Main!$C22)*('Processing Factors'!$C$8:$C$29=Main!HC22))))</f>
        <v>3.5999999999999997E-2</v>
      </c>
      <c r="HJ22" s="320">
        <f t="array" ref="HJ22">INDEX('Processing Factors'!$H$8:$H$29,MATCH(2,1/(('Processing Factors'!$B$8:$B$29&lt;=Main!$C22)*('Processing Factors'!$C$8:$C$29=Main!HC22))))</f>
        <v>12.15</v>
      </c>
      <c r="HK22" s="319">
        <f t="array" ref="HK22">INDEX('Processing Factors'!$I$8:$I$29,MATCH(2,1/(('Processing Factors'!$B$8:$B$29&lt;=Main!$C22)*('Processing Factors'!$C$8:$C$29=Main!HC22))))</f>
        <v>0</v>
      </c>
      <c r="HL22" s="321">
        <v>0.92</v>
      </c>
      <c r="HM22" s="320">
        <f t="array" ref="HM22">INDEX('Processing Factors'!$K$8:$K$29,MATCH(2,1/(('Processing Factors'!$B$8:$B$29&lt;=Main!$C22)*('Processing Factors'!$C$8:$C$29=Main!HC22))))</f>
        <v>3.5000000000000003E-2</v>
      </c>
      <c r="HN22" s="237"/>
      <c r="HO22" s="322">
        <f t="shared" si="59"/>
        <v>0.5</v>
      </c>
      <c r="HP22" s="322">
        <f t="shared" si="60"/>
        <v>0.05</v>
      </c>
      <c r="HQ22" s="322">
        <f t="shared" si="61"/>
        <v>0.45</v>
      </c>
      <c r="HR22" s="320">
        <f t="shared" si="62"/>
        <v>2.4154589371980677</v>
      </c>
      <c r="HS22" s="263">
        <v>0</v>
      </c>
      <c r="HT22" s="320">
        <f t="shared" si="63"/>
        <v>0.14369565217391306</v>
      </c>
      <c r="HU22" s="323">
        <f t="shared" si="64"/>
        <v>34.522697667559676</v>
      </c>
      <c r="HV22" s="323">
        <f t="shared" si="65"/>
        <v>50.37416442905598</v>
      </c>
      <c r="HW22" s="323">
        <f t="shared" si="66"/>
        <v>1.2210288298473715</v>
      </c>
      <c r="HX22" s="320">
        <f t="shared" si="67"/>
        <v>1.7791545893719807</v>
      </c>
      <c r="HY22" s="323">
        <f t="shared" si="68"/>
        <v>7.5430522443696191</v>
      </c>
      <c r="HZ22" s="323">
        <f t="shared" si="69"/>
        <v>93.660943170832638</v>
      </c>
      <c r="IB22" s="287" t="s">
        <v>39</v>
      </c>
      <c r="ID22" s="89" t="str">
        <f t="shared" si="70"/>
        <v>Discovery Bay</v>
      </c>
      <c r="IE22" s="18">
        <f t="shared" si="319"/>
        <v>43923</v>
      </c>
      <c r="IF22" s="94">
        <f t="array" ref="IF22">INDEX('Indices Mines Exporting Ports'!E$20:E$51, MATCH(2,1/(('Indices Mines Exporting Ports'!$C$20:$C$51=$ID22)*('Indices Mines Exporting Ports'!$D$20:$D$51&lt;=$IE22))))</f>
        <v>0.49</v>
      </c>
      <c r="IG22" s="94">
        <f t="array" ref="IG22">INDEX('Indices Mines Exporting Ports'!F$20:F$51, MATCH(2,1/(('Indices Mines Exporting Ports'!$C$20:$C$51=$ID22)*('Indices Mines Exporting Ports'!$D$20:$D$51&lt;=$IE22))))</f>
        <v>0.43</v>
      </c>
      <c r="IH22" s="95">
        <f t="array" ref="IH22">INDEX('Indices Mines Exporting Ports'!G$20:G$51, MATCH(2,1/(('Indices Mines Exporting Ports'!$C$20:$C$51=$ID22)*('Indices Mines Exporting Ports'!$D$20:$D$51&lt;=$IE22))))</f>
        <v>1.4999999999999999E-2</v>
      </c>
      <c r="II22" s="95">
        <f t="array" ref="II22">INDEX('Indices Mines Exporting Ports'!H$20:H$51, MATCH(2,1/(('Indices Mines Exporting Ports'!$C$20:$C$51=$ID22)*('Indices Mines Exporting Ports'!$D$20:$D$51&lt;=$IE22))))</f>
        <v>0.01</v>
      </c>
      <c r="IJ22" s="95">
        <f t="array" ref="IJ22">INDEX('Indices Mines Exporting Ports'!I$20:I$51, MATCH(2,1/(('Indices Mines Exporting Ports'!$C$20:$C$51=$ID22)*('Indices Mines Exporting Ports'!$D$20:$D$51&lt;=$IE22))))</f>
        <v>4.9999999999999992E-3</v>
      </c>
      <c r="IK22" s="94">
        <f t="array" ref="IK22">INDEX('Indices Mines Exporting Ports'!J$20:J$51, MATCH(2,1/(('Indices Mines Exporting Ports'!$C$20:$C$51=$ID22)*('Indices Mines Exporting Ports'!$D$20:$D$51&lt;=$IE22))))</f>
        <v>4.9999999999999996E-2</v>
      </c>
      <c r="IL22" s="94">
        <f t="array" ref="IL22">INDEX('Indices Mines Exporting Ports'!K$20:K$51, MATCH(2,1/(('Indices Mines Exporting Ports'!$C$20:$C$51=$ID22)*('Indices Mines Exporting Ports'!$D$20:$D$51&lt;=$IE22))))</f>
        <v>0.17</v>
      </c>
      <c r="IM22" s="93" t="str">
        <f t="array" ref="IM22">INDEX('Indices Mines Exporting Ports'!L$20:L$51, MATCH(2,1/(('Indices Mines Exporting Ports'!$C$20:$C$51=$ID22)*('Indices Mines Exporting Ports'!$D$20:$D$51&lt;=$IE22))))</f>
        <v>HT-D</v>
      </c>
      <c r="IN22" s="101">
        <f t="array" ref="IN22">INDEX('Indices Mines Exporting Ports'!M$20:M$51, MATCH(2,1/(('Indices Mines Exporting Ports'!$C$20:$C$51=$ID22)*('Indices Mines Exporting Ports'!$D$20:$D$51&lt;=$IE22))))</f>
        <v>0.83000000000000007</v>
      </c>
      <c r="IO22" s="96">
        <f t="array" ref="IO22">INDEX('Indices Mines Exporting Ports'!N$20:N$51, MATCH(2,1/(('Indices Mines Exporting Ports'!$C$20:$C$51=$ID22)*('Indices Mines Exporting Ports'!$D$20:$D$51&lt;=$IE22))))</f>
        <v>60000</v>
      </c>
      <c r="IP22" s="95" t="str">
        <f t="array" ref="IP22">INDEX('Indices Mines Exporting Ports'!Q$20:Q$51, MATCH(2,1/(('Indices Mines Exporting Ports'!$C$20:$C$51=$ID22)*('Indices Mines Exporting Ports'!$D$20:$D$51&lt;=$IE22))))</f>
        <v>Discovery_Bay_wharf</v>
      </c>
      <c r="IQ22" s="95" t="str">
        <f t="array" ref="IQ22">INDEX('Indices Mines Exporting Ports'!O$20:O$51, MATCH(2,1/(('Indices Mines Exporting Ports'!$C$20:$C$51=$ID22)*('Indices Mines Exporting Ports'!$D$20:$D$51&lt;=$IE22))))</f>
        <v>CBIX HT</v>
      </c>
      <c r="IR22" s="95" t="str">
        <f t="array" ref="IR22">INDEX('Indices Mines Exporting Ports'!P$20:P$51, MATCH(2,1/(('Indices Mines Exporting Ports'!$C$20:$C$51=$ID22)*('Indices Mines Exporting Ports'!$D$20:$D$51&lt;=$IE22))))</f>
        <v>CBIX HT</v>
      </c>
      <c r="IT22" s="287" t="s">
        <v>39</v>
      </c>
      <c r="IV22" s="292">
        <f>VLOOKUP($C22,'China Price Series'!$C$10:$D$1009,2,TRUE)/$JA22/(VLOOKUP($C22,'China Price Series'!$C$10:$E$1009,3,TRUE)*$JG22/$JF22)</f>
        <v>4.146021763708311</v>
      </c>
      <c r="IW22" s="292">
        <f>VLOOKUP($C22,'China Price Series'!$G$10:$H$1009,2,TRUE)/$JA22/(VLOOKUP($C22,'China Price Series'!$G$10:$I$1009,3,TRUE))</f>
        <v>240.24872809496895</v>
      </c>
      <c r="IX22" s="292">
        <f>VLOOKUP($C22,'China Price Series'!$K$10:$L$1009,2,TRUE)/$JA22</f>
        <v>33.91746749576032</v>
      </c>
      <c r="IY22" s="292">
        <f>VLOOKUP($C22,'China Price Series'!$N$10:$O$1009,2,TRUE)/$JA22</f>
        <v>4.23968343697004</v>
      </c>
      <c r="JA22" s="277">
        <f t="array" ref="JA22">INDEX('FX rates'!E$10:E$1009,MATCH(2,1/(('FX rates'!$D$10:$D$1009&lt;=Main!$C22)*(NOT(ISBLANK('FX rates'!E$10:E$1009))))))</f>
        <v>7.0759999999999987</v>
      </c>
      <c r="JB22" s="277">
        <f t="array" ref="JB22">INDEX('FX rates'!F$10:F$1009,MATCH(2,1/(('FX rates'!$D$10:$D$1009&lt;=Main!$C22)*(NOT(ISBLANK('FX rates'!F$10:F$1009))))))</f>
        <v>0.59156405988048044</v>
      </c>
      <c r="JC22" s="277">
        <f t="array" ref="JC22">INDEX('FX rates'!G$10:G$1009,MATCH(2,1/(('FX rates'!$D$10:$D$1009&lt;=Main!$C22)*(NOT(ISBLANK('FX rates'!G$10:G$1009))))))</f>
        <v>1</v>
      </c>
      <c r="JD22" s="277">
        <f t="array" ref="JD22">INDEX('FX rates'!H$10:H$1009,MATCH(2,1/(('FX rates'!$D$10:$D$1009&lt;=Main!$C22)*(NOT(ISBLANK('FX rates'!H$10:H$1009))))))</f>
        <v>1.35</v>
      </c>
      <c r="JF22" s="111">
        <f t="array" ref="JF22">INDEX('Global factors'!C$5:C$23,MATCH(2,1/(('Global factors'!$B$5:$B$23&lt;=Main!$C22)*(NOT(ISBLANK('Global factors'!C$5:C$23))))))</f>
        <v>239000</v>
      </c>
      <c r="JG22" s="112">
        <f t="array" ref="JG22">INDEX('Global factors'!D$5:D$23,MATCH(2,1/(('Global factors'!$B$5:$B$23&lt;=Main!$C22)*(NOT(ISBLANK('Global factors'!D$5:D$23))))))</f>
        <v>1000</v>
      </c>
      <c r="JH22" s="112">
        <f t="array" ref="JH22">INDEX('Global factors'!E$5:E$23,MATCH(2,1/(('Global factors'!$B$5:$B$23&lt;=Main!$C22)*(NOT(ISBLANK('Global factors'!E$5:E$23))))))</f>
        <v>24</v>
      </c>
      <c r="JI22" s="112">
        <f t="array" ref="JI22">INDEX('Global factors'!F$5:F$23,MATCH(2,1/(('Global factors'!$B$5:$B$23&lt;=Main!$C22)*(NOT(ISBLANK('Global factors'!F$5:F$23))))))</f>
        <v>2</v>
      </c>
      <c r="JJ22" s="117">
        <f t="array" ref="JJ22">INDEX('Global factors'!G$5:G$23,MATCH(2,1/(('Global factors'!$B$5:$B$23&lt;=Main!$C22)*(NOT(ISBLANK('Global factors'!G$5:G$23))))))</f>
        <v>0.08</v>
      </c>
      <c r="JK22" s="113">
        <f t="array" ref="JK22">INDEX('Global factors'!H$5:H$23,MATCH(2,1/(('Global factors'!$B$5:$B$23&lt;=Main!$C22)*(NOT(ISBLANK('Global factors'!H$5:H$23))))))</f>
        <v>101.96</v>
      </c>
      <c r="JL22" s="113">
        <f t="array" ref="JL22">INDEX('Global factors'!I$5:I$23,MATCH(2,1/(('Global factors'!$B$5:$B$23&lt;=Main!$C22)*(NOT(ISBLANK('Global factors'!I$5:I$23))))))</f>
        <v>60.08</v>
      </c>
      <c r="JM22" s="114">
        <f t="array" ref="JM22">INDEX('Global factors'!J$5:J$23,MATCH(2,1/(('Global factors'!$B$5:$B$23&lt;=Main!$C22)*(NOT(ISBLANK('Global factors'!J$5:J$23))))))</f>
        <v>0.84853528628495334</v>
      </c>
      <c r="JN22" s="115">
        <f t="array" ref="JN22">INDEX('Global factors'!K$5:K$23,MATCH(2,1/(('Global factors'!$B$5:$B$23&lt;=Main!$C22)*(NOT(ISBLANK('Global factors'!K$5:K$23))))))</f>
        <v>0.97499999999999998</v>
      </c>
      <c r="JO22" s="116">
        <f t="array" ref="JO22">INDEX('Global factors'!L$5:L$23,MATCH(2,1/(('Global factors'!$B$5:$B$23&lt;=Main!$C22)*(NOT(ISBLANK('Global factors'!L$5:L$23))))))</f>
        <v>8.7299999999999997E-4</v>
      </c>
      <c r="JP22" s="116">
        <f t="array" ref="JP22">INDEX('Global factors'!M$5:M$23,MATCH(2,1/(('Global factors'!$B$5:$B$23&lt;=Main!$C22)*(NOT(ISBLANK('Global factors'!M$5:M$23))))))</f>
        <v>145.88999999999999</v>
      </c>
      <c r="JQ22" s="116">
        <f t="array" ref="JQ22">INDEX('Global factors'!N$5:N$23,MATCH(2,1/(('Global factors'!$B$5:$B$23&lt;=Main!$C22)*(NOT(ISBLANK('Global factors'!N$5:N$23))))))</f>
        <v>0.40339999999999998</v>
      </c>
      <c r="JR22" s="116">
        <f t="array" ref="JR22">INDEX('Global factors'!O$5:O$23,MATCH(2,1/(('Global factors'!$B$5:$B$23&lt;=Main!$C22)*(NOT(ISBLANK('Global factors'!O$5:O$23))))))</f>
        <v>0</v>
      </c>
      <c r="JS22" s="116">
        <f t="array" ref="JS22">INDEX('Global factors'!P$5:P$23,MATCH(2,1/(('Global factors'!$B$5:$B$23&lt;=Main!$C22)*(NOT(ISBLANK('Global factors'!P$5:P$23))))))</f>
        <v>0.51890000000000003</v>
      </c>
      <c r="JT22" s="116">
        <f t="array" ref="JT22">INDEX('Global factors'!Q$5:Q$23,MATCH(2,1/(('Global factors'!$B$5:$B$23&lt;=Main!$C22)*(NOT(ISBLANK('Global factors'!Q$5:Q$23))))))</f>
        <v>4797</v>
      </c>
      <c r="JU22" s="116">
        <f t="array" ref="JU22">INDEX('Global factors'!R$5:R$23,MATCH(2,1/(('Global factors'!$B$5:$B$23&lt;=Main!$C22)*(NOT(ISBLANK('Global factors'!R$5:R$23))))))</f>
        <v>7</v>
      </c>
      <c r="JV22" s="115">
        <f t="array" ref="JV22">INDEX('Global factors'!S$5:S$23,MATCH(2,1/(('Global factors'!$B$5:$B$23&lt;=Main!$C22)*(NOT(ISBLANK('Global factors'!S$5:S$23))))))</f>
        <v>0.12</v>
      </c>
      <c r="JW22" s="115">
        <f t="array" ref="JW22">INDEX('Global factors'!T$5:T$23,MATCH(2,1/(('Global factors'!$B$5:$B$23&lt;=Main!$C22)*(NOT(ISBLANK('Global factors'!T$5:T$23))))))</f>
        <v>0.5</v>
      </c>
      <c r="JX22" s="116">
        <f t="array" ref="JX22">INDEX('Global factors'!U$5:U$23,MATCH(2,1/(('Global factors'!$B$5:$B$23&lt;=Main!$C22)*(NOT(ISBLANK('Global factors'!U$5:U$23))))))</f>
        <v>0.5</v>
      </c>
      <c r="JY22" s="116">
        <f t="array" ref="JY22">INDEX('Global factors'!V$5:V$23,MATCH(2,1/(('Global factors'!$B$5:$B$23&lt;=Main!$C22)*(NOT(ISBLANK('Global factors'!V$5:V$23))))))</f>
        <v>10000</v>
      </c>
      <c r="JZ22" s="116">
        <f t="array" ref="JZ22">INDEX('Global factors'!W$5:W$23,MATCH(2,1/(('Global factors'!$B$5:$B$23&lt;=Main!$C22)*(NOT(ISBLANK('Global factors'!W$5:W$23))))))</f>
        <v>0.10680000000000001</v>
      </c>
      <c r="KA22" s="116">
        <f t="array" ref="KA22">INDEX('Global factors'!X$5:X$23,MATCH(2,1/(('Global factors'!$B$5:$B$23&lt;=Main!$C22)*(NOT(ISBLANK('Global factors'!X$5:X$23))))))</f>
        <v>1.2</v>
      </c>
      <c r="KB22" s="116">
        <v>0</v>
      </c>
      <c r="KC22" s="272">
        <f t="array" ref="KC22">INDEX('Global factors'!Y$5:Y$23,MATCH(2,1/(('Global factors'!$B$5:$B$23&lt;=Main!$C22)*(NOT(ISBLANK('Global factors'!Y$5:Y$23))))))</f>
        <v>23643.7088248818</v>
      </c>
      <c r="KD22" s="273">
        <f t="array" ref="KD22">INDEX('Global factors'!Z$5:Z$23,MATCH(2,1/(('Global factors'!$B$5:$B$23&lt;=Main!$C22)*(NOT(ISBLANK('Global factors'!Z$5:Z$23))))))</f>
        <v>0.62802869915581405</v>
      </c>
      <c r="KE22" s="273">
        <v>0</v>
      </c>
      <c r="KF22" s="273">
        <v>0</v>
      </c>
      <c r="KG22" s="116">
        <v>0</v>
      </c>
      <c r="KH22" s="116">
        <f t="array" ref="KH22">INDEX('Global factors'!AB$5:AB$23,MATCH(2,1/(('Global factors'!$B$5:$B$23&lt;=Main!$C22)*(NOT(ISBLANK('Global factors'!AB$5:AB$23))))))</f>
        <v>6.2556361557795204E-2</v>
      </c>
      <c r="KI22" s="116">
        <f t="array" ref="KI22">INDEX('Global factors'!AC$5:AC$23,MATCH(2,1/(('Global factors'!$B$5:$B$23&lt;=Main!$C22)*(NOT(ISBLANK('Global factors'!AC$5:AC$23))))))</f>
        <v>8.6923129044225601E-4</v>
      </c>
      <c r="KJ22" s="116">
        <f t="array" ref="KJ22">INDEX('Global factors'!AD$5:AD$23,MATCH(2,1/(('Global factors'!$B$5:$B$23&lt;=Main!$C22)*(NOT(ISBLANK('Global factors'!AD$5:AD$23))))))</f>
        <v>1.1499999999999999</v>
      </c>
      <c r="KK22" s="116" t="str">
        <f t="array" ref="KK22">INDEX('Global factors'!AE$5:AE$23,MATCH(2,1/(('Global factors'!$B$5:$B$23&lt;=Main!$C22)*(NOT(ISBLANK('Global factors'!AE$5:AE$23))))))</f>
        <v>Qingdao</v>
      </c>
      <c r="KL22" s="290">
        <f t="array" ref="KL22">INDEX('Global factors'!AF$5:AF$23,MATCH(2,1/(('Global factors'!$B$5:$B$23&lt;=Main!$C22)*(NOT(ISBLANK('Global factors'!AF$5:AF$23))))))</f>
        <v>3.0000000000000001E-3</v>
      </c>
      <c r="KM22" s="290">
        <f t="array" ref="KM22">INDEX('Global factors'!AG$5:AG$23,MATCH(2,1/(('Global factors'!$B$5:$B$23&lt;=Main!$C22)*(NOT(ISBLANK('Global factors'!AG$5:AG$23))))))</f>
        <v>0.05</v>
      </c>
      <c r="KO22" s="287" t="s">
        <v>39</v>
      </c>
      <c r="KQ22" s="25">
        <f t="shared" si="320"/>
        <v>60000</v>
      </c>
      <c r="KR22" s="4" t="str">
        <f>VLOOKUP(KQ22,'Ship Time Charter Rates'!$F$10:$G$17,2,TRUE)</f>
        <v>Panamax</v>
      </c>
      <c r="KS22" s="4" t="str">
        <f>VLOOKUP(KQ22,Canals!$E$5:$F$12,2,TRUE)</f>
        <v>Panamax</v>
      </c>
      <c r="KT22" s="25">
        <f t="shared" si="71"/>
        <v>198.26999999999998</v>
      </c>
      <c r="KU22" s="25">
        <f t="shared" si="72"/>
        <v>24204</v>
      </c>
      <c r="KV22" s="25">
        <f t="shared" si="73"/>
        <v>35931</v>
      </c>
      <c r="KX22" s="75">
        <f t="array" ref="KX22">INDEX('Indices Mines Exporting Ports'!$R$20:$R$51,MATCH(2,1/(('Indices Mines Exporting Ports'!$D$20:$D$51&lt;=Main!$C22)*('Indices Mines Exporting Ports'!$Q$20:$Q$51=$AP22))))</f>
        <v>30000</v>
      </c>
      <c r="KY22" s="75">
        <f t="array" ref="KY22">INDEX('Indices Mines Exporting Ports'!$S$20:$S$51,MATCH(2,1/(('Indices Mines Exporting Ports'!$D$20:$D$51&lt;=Main!$C22)*('Indices Mines Exporting Ports'!$Q$20:$Q$51=$AP22))))</f>
        <v>30000</v>
      </c>
      <c r="KZ22" s="75">
        <f t="array" ref="KZ22">INDEX('Indices Mines Exporting Ports'!$T$20:$T$51,MATCH(2,1/(('Indices Mines Exporting Ports'!$D$20:$D$51&lt;=Main!$C22)*('Indices Mines Exporting Ports'!$Q$20:$Q$51=$AP22))))</f>
        <v>30000</v>
      </c>
      <c r="LA22" s="75">
        <f t="array" ref="LA22">INDEX('Indices Mines Exporting Ports'!$U$20:$U$51,MATCH(2,1/(('Indices Mines Exporting Ports'!$D$20:$D$51&lt;=Main!$C22)*('Indices Mines Exporting Ports'!$Q$20:$Q$51=$AP22))))</f>
        <v>30000</v>
      </c>
      <c r="LB22" s="75">
        <f t="array" ref="LB22">INDEX('Indices Mines Exporting Ports'!$V$20:$V$51,MATCH(2,1/(('Indices Mines Exporting Ports'!$D$20:$D$51&lt;=Main!$C22)*('Indices Mines Exporting Ports'!$Q$20:$Q$51=$AP22))))</f>
        <v>30000</v>
      </c>
      <c r="LC22" s="75">
        <f t="array" ref="LC22">INDEX('Indices Mines Exporting Ports'!$W$20:$W$51,MATCH(2,1/(('Indices Mines Exporting Ports'!$D$20:$D$51&lt;=Main!$C22)*('Indices Mines Exporting Ports'!$Q$20:$Q$51=$AP22))))</f>
        <v>30000</v>
      </c>
      <c r="LD22" s="75">
        <f t="array" ref="LD22">INDEX('Indices Mines Exporting Ports'!$X$20:$X$51,MATCH(2,1/(('Indices Mines Exporting Ports'!$D$20:$D$51&lt;=Main!$C22)*('Indices Mines Exporting Ports'!$Q$20:$Q$51=$AP22))))</f>
        <v>30000</v>
      </c>
      <c r="LF22" s="75">
        <f t="array" ref="LF22">INDEX('Port Linkages'!$E$18:$E$157,MATCH(2,1/(('Port Linkages'!$C$18:$C$157=$AP22)*('Port Linkages'!$D$18:$D$157=IF($AO22="Yes",$AQ22,$AS22))*('Port Linkages'!$A$18:$A$157&lt;=$C22))))</f>
        <v>14116</v>
      </c>
      <c r="LG22" s="75">
        <f t="array" ref="LG22">INDEX('Port Linkages'!$F$18:$F$157,MATCH(2,1/(('Port Linkages'!$C$18:$C$157=$AP22)*('Port Linkages'!$D$18:$D$157=IF($AO22="Yes",$AQ22,$AS22))*('Port Linkages'!$A$18:$A$157&lt;=$C22))))</f>
        <v>0</v>
      </c>
      <c r="LH22" s="75" t="str">
        <f t="array" ref="LH22">INDEX('Port Linkages'!$G$18:$G$157,MATCH(2,1/(('Port Linkages'!$C$18:$C$157=$AP22)*('Port Linkages'!$D$18:$D$157=IF($AO22="Yes",$AQ22,$AS22))*('Port Linkages'!$A$18:$A$157&lt;=$C22))))</f>
        <v>VLOC_General</v>
      </c>
      <c r="LI22" s="75" t="str">
        <f t="array" ref="LI22">INDEX('Port Linkages'!$H$18:$H$157,MATCH(2,1/(('Port Linkages'!$C$18:$C$157=$AP22)*('Port Linkages'!$D$18:$D$157=IF($AO22="Yes",$AQ22,$AS22))*('Port Linkages'!$A$18:$A$157&lt;=$C22))))</f>
        <v>Singapore</v>
      </c>
      <c r="LJ22" s="75" t="str">
        <f t="array" ref="LJ22">INDEX('Port Linkages'!$I$18:$I$157,MATCH(2,1/(('Port Linkages'!$C$18:$C$157=$AP22)*('Port Linkages'!$D$18:$D$157=IF($AO22="Yes",$AQ22,$AS22))*('Port Linkages'!$A$18:$A$157&lt;=$C22))))</f>
        <v>VLSFO</v>
      </c>
      <c r="LK22" s="75" t="str">
        <f t="array" ref="LK22">INDEX('Port Linkages'!$J$18:$J$157,MATCH(2,1/(('Port Linkages'!$C$18:$C$157=$AP22)*('Port Linkages'!$D$18:$D$157=IF($AO22="Yes",$AQ22,$AS22))*('Port Linkages'!$A$18:$A$157&lt;=$C22))))</f>
        <v>MGO_Regular</v>
      </c>
      <c r="LL22" s="75" t="str">
        <f t="array" ref="LL22">INDEX('Port Linkages'!$K$18:$K$157,MATCH(2,1/(('Port Linkages'!$C$18:$C$157=$AP22)*('Port Linkages'!$D$18:$D$157=IF($AO22="Yes",$AQ22,$AS22))*('Port Linkages'!$A$18:$A$157&lt;=$C22))))</f>
        <v>none</v>
      </c>
      <c r="LM22" s="75">
        <f t="array" ref="LM22">INDEX('Port Linkages'!$L$18:$L$157,MATCH(2,1/(('Port Linkages'!$C$18:$C$157=$AP22)*('Port Linkages'!$D$18:$D$157=IF($AO22="Yes",$AQ22,$AS22))*('Port Linkages'!$A$18:$A$157&lt;=$C22))))</f>
        <v>14116</v>
      </c>
      <c r="LN22" s="75">
        <f t="array" ref="LN22">INDEX('Port Linkages'!$M$18:$M$157,MATCH(2,1/(('Port Linkages'!$C$18:$C$157=$AP22)*('Port Linkages'!$D$18:$D$157=IF($AO22="Yes",$AQ22,$AS22))*('Port Linkages'!$A$18:$A$157&lt;=$C22))))</f>
        <v>0</v>
      </c>
      <c r="LO22" s="75" t="str">
        <f t="array" ref="LO22">INDEX('Port Linkages'!$N$18:$N$157,MATCH(2,1/(('Port Linkages'!$C$18:$C$157=$AP22)*('Port Linkages'!$D$18:$D$157=IF($AO22="Yes",$AQ22,$AS22))*('Port Linkages'!$A$18:$A$157&lt;=$C22))))</f>
        <v>Capesize_General</v>
      </c>
      <c r="LP22" s="75" t="str">
        <f t="array" ref="LP22">INDEX('Port Linkages'!$O$18:$O$157,MATCH(2,1/(('Port Linkages'!$C$18:$C$157=$AP22)*('Port Linkages'!$D$18:$D$157=IF($AO22="Yes",$AQ22,$AS22))*('Port Linkages'!$A$18:$A$157&lt;=$C22))))</f>
        <v>Singapore</v>
      </c>
      <c r="LQ22" s="75" t="str">
        <f t="array" ref="LQ22">INDEX('Port Linkages'!$P$18:$P$157,MATCH(2,1/(('Port Linkages'!$C$18:$C$157=$AP22)*('Port Linkages'!$D$18:$D$157=IF($AO22="Yes",$AQ22,$AS22))*('Port Linkages'!$A$18:$A$157&lt;=$C22))))</f>
        <v>VLSFO</v>
      </c>
      <c r="LR22" s="75" t="str">
        <f t="array" ref="LR22">INDEX('Port Linkages'!$Q$18:$Q$157,MATCH(2,1/(('Port Linkages'!$C$18:$C$157=$AP22)*('Port Linkages'!$D$18:$D$157=IF($AO22="Yes",$AQ22,$AS22))*('Port Linkages'!$A$18:$A$157&lt;=$C22))))</f>
        <v>MGO_Regular</v>
      </c>
      <c r="LS22" s="75" t="str">
        <f t="array" ref="LS22">INDEX('Port Linkages'!$R$18:$R$157,MATCH(2,1/(('Port Linkages'!$C$18:$C$157=$AP22)*('Port Linkages'!$D$18:$D$157=IF($AO22="Yes",$AQ22,$AS22))*('Port Linkages'!$A$18:$A$157&lt;=$C22))))</f>
        <v>none</v>
      </c>
      <c r="LT22" s="75">
        <f t="array" ref="LT22">INDEX('Port Linkages'!$S$18:$S$157,MATCH(2,1/(('Port Linkages'!$C$18:$C$157=$AP22)*('Port Linkages'!$D$18:$D$157=IF($AO22="Yes",$AQ22,$AS22))*('Port Linkages'!$A$18:$A$157&lt;=$C22))))</f>
        <v>14116</v>
      </c>
      <c r="LU22" s="75">
        <f t="array" ref="LU22">INDEX('Port Linkages'!$T$18:$T$157,MATCH(2,1/(('Port Linkages'!$C$18:$C$157=$AP22)*('Port Linkages'!$D$18:$D$157=IF($AO22="Yes",$AQ22,$AS22))*('Port Linkages'!$A$18:$A$157&lt;=$C22))))</f>
        <v>0</v>
      </c>
      <c r="LV22" s="75" t="str">
        <f t="array" ref="LV22">INDEX('Port Linkages'!$U$18:$U$157,MATCH(2,1/(('Port Linkages'!$C$18:$C$157=$AP22)*('Port Linkages'!$D$18:$D$157=IF($AO22="Yes",$AQ22,$AS22))*('Port Linkages'!$A$18:$A$157&lt;=$C22))))</f>
        <v>Capesize_General</v>
      </c>
      <c r="LW22" s="75" t="str">
        <f t="array" ref="LW22">INDEX('Port Linkages'!$V$18:$V$157,MATCH(2,1/(('Port Linkages'!$C$18:$C$157=$AP22)*('Port Linkages'!$D$18:$D$157=IF($AO22="Yes",$AQ22,$AS22))*('Port Linkages'!$A$18:$A$157&lt;=$C22))))</f>
        <v>Singapore</v>
      </c>
      <c r="LX22" s="75" t="str">
        <f t="array" ref="LX22">INDEX('Port Linkages'!$W$18:$W$157,MATCH(2,1/(('Port Linkages'!$C$18:$C$157=$AP22)*('Port Linkages'!$D$18:$D$157=IF($AO22="Yes",$AQ22,$AS22))*('Port Linkages'!$A$18:$A$157&lt;=$C22))))</f>
        <v>VLSFO</v>
      </c>
      <c r="LY22" s="75" t="str">
        <f t="array" ref="LY22">INDEX('Port Linkages'!$X$18:$X$157,MATCH(2,1/(('Port Linkages'!$C$18:$C$157=$AP22)*('Port Linkages'!$D$18:$D$157=IF($AO22="Yes",$AQ22,$AS22))*('Port Linkages'!$A$18:$A$157&lt;=$C22))))</f>
        <v>MGO_Regular</v>
      </c>
      <c r="LZ22" s="75" t="str">
        <f t="array" ref="LZ22">INDEX('Port Linkages'!$Y$18:$Y$157,MATCH(2,1/(('Port Linkages'!$C$18:$C$157=$AP22)*('Port Linkages'!$D$18:$D$157=IF($AO22="Yes",$AQ22,$AS22))*('Port Linkages'!$A$18:$A$157&lt;=$C22))))</f>
        <v>none</v>
      </c>
      <c r="MA22" s="75">
        <f t="array" ref="MA22">INDEX('Port Linkages'!$Z$18:$Z$157,MATCH(2,1/(('Port Linkages'!$C$18:$C$157=$AP22)*('Port Linkages'!$D$18:$D$157=IF($AO22="Yes",$AQ22,$AS22))*('Port Linkages'!$A$18:$A$157&lt;=$C22))))</f>
        <v>9156</v>
      </c>
      <c r="MB22" s="75">
        <f t="array" ref="MB22">INDEX('Port Linkages'!$AA$18:$AA$157,MATCH(2,1/(('Port Linkages'!$C$18:$C$157=$AP22)*('Port Linkages'!$D$18:$D$157=IF($AO22="Yes",$AQ22,$AS22))*('Port Linkages'!$A$18:$A$157&lt;=$C22))))</f>
        <v>0</v>
      </c>
      <c r="MC22" s="75" t="str">
        <f t="array" ref="MC22">INDEX('Port Linkages'!$AB$18:$AB$157,MATCH(2,1/(('Port Linkages'!$C$18:$C$157=$AP22)*('Port Linkages'!$D$18:$D$157=IF($AO22="Yes",$AQ22,$AS22))*('Port Linkages'!$A$18:$A$157&lt;=$C22))))</f>
        <v>Capesize_General</v>
      </c>
      <c r="MD22" s="75" t="str">
        <f t="array" ref="MD22">INDEX('Port Linkages'!$AC$18:$AC$157,MATCH(2,1/(('Port Linkages'!$C$18:$C$157=$AP22)*('Port Linkages'!$D$18:$D$157=IF($AO22="Yes",$AQ22,$AS22))*('Port Linkages'!$A$18:$A$157&lt;=$C22))))</f>
        <v>Singapore</v>
      </c>
      <c r="ME22" s="75" t="str">
        <f t="array" ref="ME22">INDEX('Port Linkages'!$AD$18:$AD$157,MATCH(2,1/(('Port Linkages'!$C$18:$C$157=$AP22)*('Port Linkages'!$D$18:$D$157=IF($AO22="Yes",$AQ22,$AS22))*('Port Linkages'!$A$18:$A$157&lt;=$C22))))</f>
        <v>VLSFO</v>
      </c>
      <c r="MF22" s="75" t="str">
        <f t="array" ref="MF22">INDEX('Port Linkages'!$AE$18:$AE$157,MATCH(2,1/(('Port Linkages'!$C$18:$C$157=$AP22)*('Port Linkages'!$D$18:$D$157=IF($AO22="Yes",$AQ22,$AS22))*('Port Linkages'!$A$18:$A$157&lt;=$C22))))</f>
        <v>MGO_Regular</v>
      </c>
      <c r="MG22" s="75" t="str">
        <f t="array" ref="MG22">INDEX('Port Linkages'!$AF$18:$AF$157,MATCH(2,1/(('Port Linkages'!$C$18:$C$157=$AP22)*('Port Linkages'!$D$18:$D$157=IF($AO22="Yes",$AQ22,$AS22))*('Port Linkages'!$A$18:$A$157&lt;=$C22))))</f>
        <v>NeoPanamar</v>
      </c>
      <c r="MH22" s="75">
        <f t="array" ref="MH22">INDEX('Port Linkages'!$AG$18:$AG$157,MATCH(2,1/(('Port Linkages'!$C$18:$C$157=$AP22)*('Port Linkages'!$D$18:$D$157=IF($AO22="Yes",$AQ22,$AS22))*('Port Linkages'!$A$18:$A$157&lt;=$C22))))</f>
        <v>9156</v>
      </c>
      <c r="MI22" s="75">
        <f t="array" ref="MI22">INDEX('Port Linkages'!$AH$18:$AH$157,MATCH(2,1/(('Port Linkages'!$C$18:$C$157=$AP22)*('Port Linkages'!$D$18:$D$157=IF($AO22="Yes",$AQ22,$AS22))*('Port Linkages'!$A$18:$A$157&lt;=$C22))))</f>
        <v>0</v>
      </c>
      <c r="MJ22" s="75" t="str">
        <f t="array" ref="MJ22">INDEX('Port Linkages'!$AI$18:$AI$157,MATCH(2,1/(('Port Linkages'!$C$18:$C$157=$AP22)*('Port Linkages'!$D$18:$D$157=IF($AO22="Yes",$AQ22,$AS22))*('Port Linkages'!$A$18:$A$157&lt;=$C22))))</f>
        <v>Capesize_General</v>
      </c>
      <c r="MK22" s="75" t="str">
        <f t="array" ref="MK22">INDEX('Port Linkages'!$AJ$18:$AJ$157,MATCH(2,1/(('Port Linkages'!$C$18:$C$157=$AP22)*('Port Linkages'!$D$18:$D$157=IF($AO22="Yes",$AQ22,$AS22))*('Port Linkages'!$A$18:$A$157&lt;=$C22))))</f>
        <v>Singapore</v>
      </c>
      <c r="ML22" s="75" t="str">
        <f t="array" ref="ML22">INDEX('Port Linkages'!$AK$18:$AK$157,MATCH(2,1/(('Port Linkages'!$C$18:$C$157=$AP22)*('Port Linkages'!$D$18:$D$157=IF($AO22="Yes",$AQ22,$AS22))*('Port Linkages'!$A$18:$A$157&lt;=$C22))))</f>
        <v>VLSFO</v>
      </c>
      <c r="MM22" s="75" t="str">
        <f t="array" ref="MM22">INDEX('Port Linkages'!$AL$18:$AL$157,MATCH(2,1/(('Port Linkages'!$C$18:$C$157=$AP22)*('Port Linkages'!$D$18:$D$157=IF($AO22="Yes",$AQ22,$AS22))*('Port Linkages'!$A$18:$A$157&lt;=$C22))))</f>
        <v>MGO_Regular</v>
      </c>
      <c r="MN22" s="75" t="str">
        <f t="array" ref="MN22">INDEX('Port Linkages'!$AM$18:$AM$157,MATCH(2,1/(('Port Linkages'!$C$18:$C$157=$AP22)*('Port Linkages'!$D$18:$D$157=IF($AO22="Yes",$AQ22,$AS22))*('Port Linkages'!$A$18:$A$157&lt;=$C22))))</f>
        <v>Panamar</v>
      </c>
      <c r="MO22" s="75">
        <f t="array" ref="MO22">INDEX('Port Linkages'!$AN$18:$AN$157,MATCH(2,1/(('Port Linkages'!$C$18:$C$157=$AP22)*('Port Linkages'!$D$18:$D$157=IF($AO22="Yes",$AQ22,$AS22))*('Port Linkages'!$A$18:$A$157&lt;=$C22))))</f>
        <v>9156</v>
      </c>
      <c r="MP22" s="75">
        <f t="array" ref="MP22">INDEX('Port Linkages'!$AO$18:$AO$157,MATCH(2,1/(('Port Linkages'!$C$18:$C$157=$AP22)*('Port Linkages'!$D$18:$D$157=IF($AO22="Yes",$AQ22,$AS22))*('Port Linkages'!$A$18:$A$157&lt;=$C22))))</f>
        <v>0</v>
      </c>
      <c r="MQ22" s="75" t="str">
        <f t="array" ref="MQ22">INDEX('Port Linkages'!$AP$18:$AP$157,MATCH(2,1/(('Port Linkages'!$C$18:$C$157=$AP22)*('Port Linkages'!$D$18:$D$157=IF($AO22="Yes",$AQ22,$AS22))*('Port Linkages'!$A$18:$A$157&lt;=$C22))))</f>
        <v>Capesize_General</v>
      </c>
      <c r="MR22" s="75" t="str">
        <f t="array" ref="MR22">INDEX('Port Linkages'!$AQ$18:$AQ$157,MATCH(2,1/(('Port Linkages'!$C$18:$C$157=$AP22)*('Port Linkages'!$D$18:$D$157=IF($AO22="Yes",$AQ22,$AS22))*('Port Linkages'!$A$18:$A$157&lt;=$C22))))</f>
        <v>Singapore</v>
      </c>
      <c r="MS22" s="75" t="str">
        <f t="array" ref="MS22">INDEX('Port Linkages'!$AR$18:$AR$157,MATCH(2,1/(('Port Linkages'!$C$18:$C$157=$AP22)*('Port Linkages'!$D$18:$D$157=IF($AO22="Yes",$AQ22,$AS22))*('Port Linkages'!$A$18:$A$157&lt;=$C22))))</f>
        <v>VLSFO</v>
      </c>
      <c r="MT22" s="75" t="str">
        <f t="array" ref="MT22">INDEX('Port Linkages'!$AS$18:$AS$157,MATCH(2,1/(('Port Linkages'!$C$18:$C$157=$AP22)*('Port Linkages'!$D$18:$D$157=IF($AO22="Yes",$AQ22,$AS22))*('Port Linkages'!$A$18:$A$157&lt;=$C22))))</f>
        <v>MGO_Regular</v>
      </c>
      <c r="MU22" s="75" t="str">
        <f t="array" ref="MU22">INDEX('Port Linkages'!$AT$18:$AT$157,MATCH(2,1/(('Port Linkages'!$C$18:$C$157=$AP22)*('Port Linkages'!$D$18:$D$157=IF($AO22="Yes",$AQ22,$AS22))*('Port Linkages'!$A$18:$A$157&lt;=$C22))))</f>
        <v>Panamar</v>
      </c>
      <c r="MV22" s="75">
        <f t="array" ref="MV22">INDEX('Port Linkages'!$AU$18:$AU$157,MATCH(2,1/(('Port Linkages'!$C$18:$C$157=$AP22)*('Port Linkages'!$D$18:$D$157=IF($AO22="Yes",$AQ22,$AS22))*('Port Linkages'!$A$18:$A$157&lt;=$C22))))</f>
        <v>9156</v>
      </c>
      <c r="MW22" s="75">
        <f t="array" ref="MW22">INDEX('Port Linkages'!$AV$18:$AV$157,MATCH(2,1/(('Port Linkages'!$C$18:$C$157=$AP22)*('Port Linkages'!$D$18:$D$157=IF($AO22="Yes",$AQ22,$AS22))*('Port Linkages'!$A$18:$A$157&lt;=$C22))))</f>
        <v>0</v>
      </c>
      <c r="MX22" s="75" t="str">
        <f t="array" ref="MX22">INDEX('Port Linkages'!$AW$18:$AW$157,MATCH(2,1/(('Port Linkages'!$C$18:$C$157=$AP22)*('Port Linkages'!$D$18:$D$157=IF($AO22="Yes",$AQ22,$AS22))*('Port Linkages'!$A$18:$A$157&lt;=$C22))))</f>
        <v>Capesize_General</v>
      </c>
      <c r="MY22" s="75" t="str">
        <f t="array" ref="MY22">INDEX('Port Linkages'!$AX$18:$AX$157,MATCH(2,1/(('Port Linkages'!$C$18:$C$157=$AP22)*('Port Linkages'!$D$18:$D$157=IF($AO22="Yes",$AQ22,$AS22))*('Port Linkages'!$A$18:$A$157&lt;=$C22))))</f>
        <v>Singapore</v>
      </c>
      <c r="MZ22" s="75" t="str">
        <f t="array" ref="MZ22">INDEX('Port Linkages'!$AY$18:$AY$157,MATCH(2,1/(('Port Linkages'!$C$18:$C$157=$AP22)*('Port Linkages'!$D$18:$D$157=IF($AO22="Yes",$AQ22,$AS22))*('Port Linkages'!$A$18:$A$157&lt;=$C22))))</f>
        <v>VLSFO</v>
      </c>
      <c r="NA22" s="75" t="str">
        <f t="array" ref="NA22">INDEX('Port Linkages'!$AZ$18:$AZ$157,MATCH(2,1/(('Port Linkages'!$C$18:$C$157=$AP22)*('Port Linkages'!$D$18:$D$157=IF($AO22="Yes",$AQ22,$AS22))*('Port Linkages'!$A$18:$A$157&lt;=$C22))))</f>
        <v>MGO_Regular</v>
      </c>
      <c r="NB22" s="75" t="str">
        <f t="array" ref="NB22">INDEX('Port Linkages'!$BA$18:$BA$157,MATCH(2,1/(('Port Linkages'!$C$18:$C$157=$AP22)*('Port Linkages'!$D$18:$D$157=IF($AO22="Yes",$AQ22,$AS22))*('Port Linkages'!$A$18:$A$157&lt;=$C22))))</f>
        <v>Panamar</v>
      </c>
      <c r="ND22" s="25" t="e">
        <f t="array" aca="1" ref="ND22" ca="1">INDEX('Ship Fuel Prices'!$F$5:$F$1004,MATCH(2,1/(('Ship Fuel Prices'!$E$5:$E$1004=_xlfn.IFS(KS22="Handysize",Main!MY22,KS22="Supramax",MR22,KS22="Panamax",MK22,KS22="NeoPanamax",MD22,KS22="Suezmax",LW22,KS22="Capesize",LP22,KS22="VLOC",LI22))*('Ship Fuel Prices'!$D$5:$D$1004&lt;=Main!$C22))))</f>
        <v>#N/A</v>
      </c>
      <c r="NE22" s="25" t="e">
        <f t="array" aca="1" ref="NE22" ca="1">INDEX('Ship Fuel Prices'!$G$5:$G$1004,MATCH(2,1/(('Ship Fuel Prices'!$E$5:$E$1004=_xlfn.IFS(KS22="Handysize",Main!MY22,KS22="Supramax",MR22,KS22="Panamax",MK22,KS22="NeoPanamax",MD22,KS22="Suezmax",LW22,KS22="Capesize",LP22,KS22="VLOC",LI22))*('Ship Fuel Prices'!$D$5:$D$1004&lt;=Main!$C22))))</f>
        <v>#N/A</v>
      </c>
      <c r="NF22" s="25" t="e">
        <f t="array" aca="1" ref="NF22" ca="1">INDEX('Ship Fuel Prices'!$H$5:$H$1004,MATCH(2,1/(('Ship Fuel Prices'!$E$5:$E$1004=_xlfn.IFS(KS22="Handysize",Main!MY22,KS22="Supramax",MR22,KS22="Panamax",MK22,KS22="NeoPanamax",MD22,KS22="Suezmax",LW22,KS22="Capesize",LP22,KS22="VLOC",LI22))*('Ship Fuel Prices'!$D$5:$D$1004&lt;=Main!$C22))))</f>
        <v>#N/A</v>
      </c>
      <c r="NG22" s="25" t="e">
        <f t="array" aca="1" ref="NG22" ca="1">INDEX('Ship Fuel Prices'!$I$5:$I$1004,MATCH(2,1/(('Ship Fuel Prices'!$E$5:$E$1004=_xlfn.IFS(KS22="Handysize",Main!MY22,KS22="Supramax",MR22,KS22="Panamax",MK22,KS22="NeoPanamax",MD22,KS22="Suezmax",LW22,KS22="Capesize",LP22,KS22="VLOC",LI22))*('Ship Fuel Prices'!$D$5:$D$1004&lt;=Main!$C22))))</f>
        <v>#N/A</v>
      </c>
      <c r="NH22" s="25" t="e">
        <f t="array" aca="1" ref="NH22" ca="1">INDEX('Ship Fuel Prices'!$J$5:$J$1004,MATCH(2,1/(('Ship Fuel Prices'!$E$5:$E$1004=_xlfn.IFS(KS22="Handysize",Main!MY22,KS22="Supramax",MR22,KS22="Panamax",MK22,KS22="NeoPanamax",MD22,KS22="Suezmax",LW22,KS22="Capesize",LP22,KS22="VLOC",LI22))*('Ship Fuel Prices'!$D$5:$D$1004&lt;=Main!$C22))))</f>
        <v>#N/A</v>
      </c>
      <c r="NJ22" s="75">
        <f t="array" ref="NJ22">INDEX('China n Importing Ports'!$E$20:$E$41,MATCH(2,1/(('China n Importing Ports'!$D$20:$D$41&lt;=$C22)*('China n Importing Ports'!$C$20:$C$41=IF($AO22="Yes",$AQ22,$AS22)))))</f>
        <v>42500</v>
      </c>
      <c r="NK22" s="75">
        <f t="array" ref="NK22">INDEX('China n Importing Ports'!$F$20:$F$41,MATCH(2,1/(('China n Importing Ports'!$D$20:$D$41&lt;=$C22)*('China n Importing Ports'!$C$20:$C$41=IF($AO22="Yes",$AQ22,$AS22)))))</f>
        <v>42500</v>
      </c>
      <c r="NL22" s="75">
        <f t="array" ref="NL22">INDEX('China n Importing Ports'!$G$20:$G$41,MATCH(2,1/(('China n Importing Ports'!$D$20:$D$41&lt;=$C22)*('China n Importing Ports'!$C$20:$C$41=IF($AO22="Yes",$AQ22,$AS22)))))</f>
        <v>42500</v>
      </c>
      <c r="NM22" s="75">
        <f t="array" ref="NM22">INDEX('China n Importing Ports'!$H$20:$H$41,MATCH(2,1/(('China n Importing Ports'!$D$20:$D$41&lt;=$C22)*('China n Importing Ports'!$C$20:$C$41=IF($AO22="Yes",$AQ22,$AS22)))))</f>
        <v>42500</v>
      </c>
      <c r="NN22" s="75">
        <f t="array" ref="NN22">INDEX('China n Importing Ports'!$I$20:$I$41,MATCH(2,1/(('China n Importing Ports'!$D$20:$D$41&lt;=$C22)*('China n Importing Ports'!$C$20:$C$41=IF($AO22="Yes",$AQ22,$AS22)))))</f>
        <v>42500</v>
      </c>
      <c r="NO22" s="75">
        <f t="array" ref="NO22">INDEX('China n Importing Ports'!$J$20:$J$41,MATCH(2,1/(('China n Importing Ports'!$D$20:$D$41&lt;=$C22)*('China n Importing Ports'!$C$20:$C$41=IF($AO22="Yes",$AQ22,$AS22)))))</f>
        <v>42500</v>
      </c>
      <c r="NP22" s="75">
        <f t="array" ref="NP22">INDEX('China n Importing Ports'!$K$20:$K$41,MATCH(2,1/(('China n Importing Ports'!$D$20:$D$41&lt;=$C22)*('China n Importing Ports'!$C$20:$C$41=IF($AO22="Yes",$AQ22,$AS22)))))</f>
        <v>42500</v>
      </c>
      <c r="NQ22" s="75" t="str">
        <f t="array" ref="NQ22">INDEX('China n Importing Ports'!$L$20:$L$41,MATCH(2,1/(('China n Importing Ports'!$D$20:$D$41&lt;=$C22)*('China n Importing Ports'!$C$20:$C$41=IF($AO22="Yes",$AQ22,$AS22)))))</f>
        <v>RMB</v>
      </c>
      <c r="NR22" s="75">
        <f t="array" ref="NR22">INDEX('China n Importing Ports'!$M$20:$M$41,MATCH(2,1/(('China n Importing Ports'!$D$20:$D$41&lt;=$C22)*('China n Importing Ports'!$C$20:$C$41=IF($AO22="Yes",$AQ22,$AS22)))))</f>
        <v>12342</v>
      </c>
      <c r="NS22" s="75">
        <f t="array" ref="NS22">INDEX('China n Importing Ports'!$N$20:$N$41,MATCH(2,1/(('China n Importing Ports'!$D$20:$D$41&lt;=$C22)*('China n Importing Ports'!$C$20:$C$41=IF($AO22="Yes",$AQ22,$AS22)))))</f>
        <v>0</v>
      </c>
      <c r="NT22" s="75">
        <f t="array" ref="NT22">INDEX('China n Importing Ports'!$O$20:$O$41,MATCH(2,1/(('China n Importing Ports'!$D$20:$D$41&lt;=$C22)*('China n Importing Ports'!$C$20:$C$41=IF($AO22="Yes",$AQ22,$AS22)))))</f>
        <v>0</v>
      </c>
      <c r="NU22" s="136">
        <f t="array" ref="NU22">INDEX('China n Importing Ports'!$P$20:$P$41,MATCH(2,1/(('China n Importing Ports'!$D$20:$D$41&lt;=$C22)*('China n Importing Ports'!$C$20:$C$41=IF($AO22="Yes",$AQ22,$AS22)))))</f>
        <v>2.64</v>
      </c>
      <c r="NV22" s="136">
        <f t="array" ref="NV22">INDEX('China n Importing Ports'!$Q$20:$Q$41,MATCH(2,1/(('China n Importing Ports'!$D$20:$D$41&lt;=$C22)*('China n Importing Ports'!$C$20:$C$41=IF($AO22="Yes",$AQ22,$AS22)))))</f>
        <v>0</v>
      </c>
      <c r="NW22" s="136">
        <f t="array" ref="NW22">INDEX('China n Importing Ports'!$R$20:$R$41,MATCH(2,1/(('China n Importing Ports'!$D$20:$D$41&lt;=$C22)*('China n Importing Ports'!$C$20:$C$41=IF($AO22="Yes",$AQ22,$AS22)))))</f>
        <v>0</v>
      </c>
      <c r="NX22" s="136">
        <f t="array" ref="NX22">INDEX('China n Importing Ports'!$S$20:$S$41,MATCH(2,1/(('China n Importing Ports'!$D$20:$D$41&lt;=$C22)*('China n Importing Ports'!$C$20:$C$41=IF($AO22="Yes",$AQ22,$AS22)))))</f>
        <v>4.53</v>
      </c>
      <c r="NY22" s="136">
        <f t="array" ref="NY22">INDEX('China n Importing Ports'!$T$20:$T$41,MATCH(2,1/(('China n Importing Ports'!$D$20:$D$41&lt;=$C22)*('China n Importing Ports'!$C$20:$C$41=IF($AO22="Yes",$AQ22,$AS22)))))</f>
        <v>0.36699999999999999</v>
      </c>
      <c r="NZ22" s="136">
        <f t="array" ref="NZ22">INDEX('China n Importing Ports'!$U$20:$U$41,MATCH(2,1/(('China n Importing Ports'!$D$20:$D$41&lt;=$C22)*('China n Importing Ports'!$C$20:$C$41=IF($AO22="Yes",$AQ22,$AS22)))))</f>
        <v>0.05</v>
      </c>
      <c r="OA22" s="136">
        <f t="array" ref="OA22">INDEX('China n Importing Ports'!$V$20:$V$41,MATCH(2,1/(('China n Importing Ports'!$D$20:$D$41&lt;=$C22)*('China n Importing Ports'!$C$20:$C$41=IF($AO22="Yes",$AQ22,$AS22)))))</f>
        <v>0</v>
      </c>
      <c r="OB22" s="136">
        <f t="array" ref="OB22">INDEX('China n Importing Ports'!$W$20:$W$41,MATCH(2,1/(('China n Importing Ports'!$D$20:$D$41&lt;=$C22)*('China n Importing Ports'!$C$20:$C$41=IF($AO22="Yes",$AQ22,$AS22)))))</f>
        <v>0</v>
      </c>
      <c r="OC22" s="136">
        <f t="array" ref="OC22">INDEX('China n Importing Ports'!$X$20:$X$41,MATCH(2,1/(('China n Importing Ports'!$D$20:$D$41&lt;=$C22)*('China n Importing Ports'!$C$20:$C$41=IF($AO22="Yes",$AQ22,$AS22)))))</f>
        <v>0</v>
      </c>
      <c r="OD22" s="136">
        <f t="array" ref="OD22">INDEX('China n Importing Ports'!$Y$20:$Y$41,MATCH(2,1/(('China n Importing Ports'!$D$20:$D$41&lt;=$C22)*('China n Importing Ports'!$C$20:$C$41=IF($AO22="Yes",$AQ22,$AS22)))))</f>
        <v>197</v>
      </c>
      <c r="OE22" s="136">
        <f t="array" ref="OE22">INDEX('China n Importing Ports'!$Z$20:$Z$41,MATCH(2,1/(('China n Importing Ports'!$D$20:$D$41&lt;=$C22)*('China n Importing Ports'!$C$20:$C$41=IF($AO22="Yes",$AQ22,$AS22)))))</f>
        <v>0</v>
      </c>
      <c r="OF22" s="136">
        <f t="array" ref="OF22">INDEX('China n Importing Ports'!$AA$20:$AA$41,MATCH(2,1/(('China n Importing Ports'!$D$20:$D$41&lt;=$C22)*('China n Importing Ports'!$C$20:$C$41=IF($AO22="Yes",$AQ22,$AS22)))))</f>
        <v>0</v>
      </c>
      <c r="OH22" s="75" t="e">
        <f t="array" aca="1" ref="OH22" ca="1">INDEX(Canals!$G$24:$G$29,MATCH(2,1/((Canals!$F$24:$F$29&lt;=$C22)*(Canals!$G$24:$G$29=_xlfn.IFS(KS22="Handysize",Main!NB22,KS22="Supramax",MU22,KS22="Panamax",MN22,KS22="NeoPanamax",MG22,KS22="Suezmax",LZ22,KS22="Capesize",LS22,KS22="VLOC",LL22)))))</f>
        <v>#N/A</v>
      </c>
      <c r="OI22" s="75" t="e">
        <f t="array" aca="1" ref="OI22" ca="1">INDEX(Canals!$H$24:$H$29,MATCH(2,1/((Canals!$F$24:$F$29&lt;=$C22)*(Canals!$G$24:$G$29=_xlfn.IFS(KS22="Handysize",Main!NB22,KS22="Supramax",MU22,KS22="Panamax",MN22,KS22="NeoPanamax",MG22,KS22="Suezmax",LZ22,KS22="Capesize",LS22,KS22="VLOC",LL22)))))</f>
        <v>#N/A</v>
      </c>
      <c r="OJ22" s="75" t="e">
        <f t="array" aca="1" ref="OJ22" ca="1">INDEX(Canals!$I$24:$I$29,MATCH(2,1/((Canals!$F$24:$F$29&lt;=$C22)*(Canals!$G$24:$G$29=_xlfn.IFS(KS22="Handysize",Main!NB22,KS22="Supramax",MU22,KS22="Panamax",MN22,KS22="NeoPanamax",MG22,KS22="Suezmax",LZ22,KS22="Capesize",LS22,KS22="VLOC",LL22)))))</f>
        <v>#N/A</v>
      </c>
      <c r="OK22" s="75" t="e">
        <f t="array" aca="1" ref="OK22" ca="1">INDEX(Canals!$J$24:$J$29,MATCH(2,1/((Canals!$F$24:$F$29&lt;=$C22)*(Canals!$G$24:$G$29=_xlfn.IFS(KS22="Handysize",Main!NB22,KS22="Supramax",MU22,KS22="Panamax",MN22,KS22="NeoPanamax",MG22,KS22="Suezmax",LZ22,KS22="Capesize",LS22,KS22="VLOC",LL22)))))</f>
        <v>#N/A</v>
      </c>
      <c r="OL22" s="75" t="e">
        <f t="array" aca="1" ref="OL22" ca="1">INDEX(Canals!$K$24:$K$29,MATCH(2,1/((Canals!$F$24:$F$29&lt;=$C22)*(Canals!$G$24:$G$29=_xlfn.IFS(KS22="Handysize",Main!NB22,KS22="Supramax",MU22,KS22="Panamax",MN22,KS22="NeoPanamax",MG22,KS22="Suezmax",LZ22,KS22="Capesize",LS22,KS22="VLOC",LL22)))))</f>
        <v>#N/A</v>
      </c>
      <c r="OM22" s="75" t="e">
        <f t="array" aca="1" ref="OM22" ca="1">INDEX(Canals!$L$24:$L$29,MATCH(2,1/((Canals!$F$24:$F$29&lt;=$C22)*(Canals!$G$24:$G$29=_xlfn.IFS(KS22="Handysize",Main!NB22,KS22="Supramax",MU22,KS22="Panamax",MN22,KS22="NeoPanamax",MG22,KS22="Suezmax",LZ22,KS22="Capesize",LS22,KS22="VLOC",LL22)))))</f>
        <v>#N/A</v>
      </c>
      <c r="ON22" s="75" t="e">
        <f t="array" aca="1" ref="ON22" ca="1">INDEX(Canals!$M$24:$M$29,MATCH(2,1/((Canals!$F$24:$F$29&lt;=$C22)*(Canals!$G$24:$G$29=_xlfn.IFS(KS22="Handysize",Main!NB22,KS22="Supramax",MU22,KS22="Panamax",MN22,KS22="NeoPanamax",MG22,KS22="Suezmax",LZ22,KS22="Capesize",LS22,KS22="VLOC",LL22)))))</f>
        <v>#N/A</v>
      </c>
      <c r="OO22" s="75" t="e">
        <f t="array" aca="1" ref="OO22" ca="1">INDEX(Canals!$N$24:$N$29,MATCH(2,1/((Canals!$F$24:$F$29&lt;=$C22)*(Canals!$G$24:$G$29=_xlfn.IFS(KS22="Handysize",Main!NB22,KS22="Supramax",MU22,KS22="Panamax",MN22,KS22="NeoPanamax",MG22,KS22="Suezmax",LZ22,KS22="Capesize",LS22,KS22="VLOC",LL22)))))</f>
        <v>#N/A</v>
      </c>
      <c r="OP22" s="75" t="e">
        <f t="array" aca="1" ref="OP22" ca="1">INDEX(Canals!$O$24:$O$29,MATCH(2,1/((Canals!$F$24:$F$29&lt;=$C22)*(Canals!$G$24:$G$29=_xlfn.IFS(KS22="Handysize",Main!NB22,KS22="Supramax",MU22,KS22="Panamax",MN22,KS22="NeoPanamax",MG22,KS22="Suezmax",LZ22,KS22="Capesize",LS22,KS22="VLOC",LL22)))))</f>
        <v>#N/A</v>
      </c>
      <c r="OQ22" s="75" t="e">
        <f t="array" aca="1" ref="OQ22" ca="1">INDEX(Canals!$P$24:$P$29,MATCH(2,1/((Canals!$F$24:$F$29&lt;=$C22)*(Canals!$G$24:$G$29=_xlfn.IFS(KS22="Handysize",Main!NB22,KS22="Supramax",MU22,KS22="Panamax",MN22,KS22="NeoPanamax",MG22,KS22="Suezmax",LZ22,KS22="Capesize",LS22,KS22="VLOC",LL22)))))</f>
        <v>#N/A</v>
      </c>
      <c r="OR22" s="75" t="e">
        <f t="array" aca="1" ref="OR22" ca="1">INDEX(Canals!$Q$24:$Q$29,MATCH(2,1/((Canals!$F$24:$F$29&lt;=$C22)*(Canals!$G$24:$G$29=_xlfn.IFS(KS22="Handysize",Main!NB22,KS22="Supramax",MU22,KS22="Panamax",MN22,KS22="NeoPanamax",MG22,KS22="Suezmax",LZ22,KS22="Capesize",LS22,KS22="VLOC",LL22)))))</f>
        <v>#N/A</v>
      </c>
      <c r="OS22" s="75" t="e">
        <f t="array" aca="1" ref="OS22" ca="1">INDEX(Canals!$R$24:$R$29,MATCH(2,1/((Canals!$F$24:$F$29&lt;=$C22)*(Canals!$G$24:$G$29=_xlfn.IFS(KS22="Handysize",Main!NB22,KS22="Supramax",MU22,KS22="Panamax",MN22,KS22="NeoPanamax",MG22,KS22="Suezmax",LZ22,KS22="Capesize",LS22,KS22="VLOC",LL22)))))</f>
        <v>#N/A</v>
      </c>
      <c r="OT22" s="136" t="e">
        <f t="array" aca="1" ref="OT22" ca="1">INDEX(Canals!$S$24:$S$29,MATCH(2,1/((Canals!$F$24:$F$29&lt;=$C22)*(Canals!$G$24:$G$29=_xlfn.IFS(KS22="Handysize",Main!NB22,KS22="Supramax",MU22,KS22="Panamax",MN22,KS22="NeoPanamax",MG22,KS22="Suezmax",LZ22,KS22="Capesize",LS22,KS22="VLOC",LL22)))))</f>
        <v>#N/A</v>
      </c>
      <c r="OU22" s="136" t="e">
        <f t="array" aca="1" ref="OU22" ca="1">INDEX(Canals!$T$24:$T$29,MATCH(2,1/((Canals!$F$24:$F$29&lt;=$C22)*(Canals!$G$24:$G$29=_xlfn.IFS(KS22="Handysize",Main!NB22,KS22="Supramax",MU22,KS22="Panamax",MN22,KS22="NeoPanamax",MG22,KS22="Suezmax",LZ22,KS22="Capesize",LS22,KS22="VLOC",LL22)))))</f>
        <v>#N/A</v>
      </c>
      <c r="OV22" s="136" t="e">
        <f t="array" aca="1" ref="OV22" ca="1">INDEX(Canals!$U$24:$U$29,MATCH(2,1/((Canals!$F$24:$F$29&lt;=$C22)*(Canals!$G$24:$G$29=_xlfn.IFS(KS22="Handysize",Main!NB22,KS22="Supramax",MU22,KS22="Panamax",MN22,KS22="NeoPanamax",MG22,KS22="Suezmax",LZ22,KS22="Capesize",LS22,KS22="VLOC",LL22)))))</f>
        <v>#N/A</v>
      </c>
      <c r="OW22" s="136" t="e">
        <f t="array" aca="1" ref="OW22" ca="1">INDEX(Canals!$V$24:$V$29,MATCH(2,1/((Canals!$F$24:$F$29&lt;=$C22)*(Canals!$G$24:$G$29=_xlfn.IFS(KS22="Handysize",Main!NB22,KS22="Supramax",MU22,KS22="Panamax",MN22,KS22="NeoPanamax",MG22,KS22="Suezmax",LZ22,KS22="Capesize",LS22,KS22="VLOC",LL22)))))</f>
        <v>#N/A</v>
      </c>
      <c r="OX22" s="136" t="e">
        <f t="array" aca="1" ref="OX22" ca="1">INDEX(Canals!$W$24:$W$29,MATCH(2,1/((Canals!$F$24:$F$29&lt;=$C22)*(Canals!$G$24:$G$29=_xlfn.IFS(KS22="Handysize",Main!NB22,KS22="Supramax",MU22,KS22="Panamax",MN22,KS22="NeoPanamax",MG22,KS22="Suezmax",LZ22,KS22="Capesize",LS22,KS22="VLOC",LL22)))))</f>
        <v>#N/A</v>
      </c>
      <c r="OY22" s="136" t="e">
        <f t="array" aca="1" ref="OY22" ca="1">INDEX(Canals!$X$24:$X$29,MATCH(2,1/((Canals!$F$24:$F$29&lt;=$C22)*(Canals!$G$24:$G$29=_xlfn.IFS(KS22="Handysize",Main!NB22,KS22="Supramax",MU22,KS22="Panamax",MN22,KS22="NeoPanamax",MG22,KS22="Suezmax",LZ22,KS22="Capesize",LS22,KS22="VLOC",LL22)))))</f>
        <v>#N/A</v>
      </c>
      <c r="OZ22" s="136" t="e">
        <f t="array" aca="1" ref="OZ22" ca="1">INDEX(Canals!$Y$24:$Y$29,MATCH(2,1/((Canals!$F$24:$F$29&lt;=$C22)*(Canals!$G$24:$G$29=_xlfn.IFS(KS22="Handysize",Main!NB22,KS22="Supramax",MU22,KS22="Panamax",MN22,KS22="NeoPanamax",MG22,KS22="Suezmax",LZ22,KS22="Capesize",LS22,KS22="VLOC",LL22)))))</f>
        <v>#N/A</v>
      </c>
      <c r="PA22" s="136" t="e">
        <f t="array" aca="1" ref="PA22" ca="1">INDEX(Canals!$Z$24:$Z$29,MATCH(2,1/((Canals!$F$24:$F$29&lt;=$C22)*(Canals!$G$24:$G$29=_xlfn.IFS(KS22="Handysize",Main!NB22,KS22="Supramax",MU22,KS22="Panamax",MN22,KS22="NeoPanamax",MG22,KS22="Suezmax",LZ22,KS22="Capesize",LS22,KS22="VLOC",LL22)))))</f>
        <v>#N/A</v>
      </c>
      <c r="PB22" s="136" t="e">
        <f t="array" aca="1" ref="PB22" ca="1">INDEX(Canals!$AA$24:$AA$29,MATCH(2,1/((Canals!$F$24:$F$29&lt;=$C22)*(Canals!$G$24:$G$29=_xlfn.IFS(KS22="Handysize",Main!NB22,KS22="Supramax",MU22,KS22="Panamax",MN22,KS22="NeoPanamax",MG22,KS22="Suezmax",LZ22,KS22="Capesize",LS22,KS22="VLOC",LL22)))))</f>
        <v>#N/A</v>
      </c>
      <c r="PC22" s="136" t="e">
        <f t="array" aca="1" ref="PC22" ca="1">INDEX(Canals!$AB$24:$AB$29,MATCH(2,1/((Canals!$F$24:$F$29&lt;=$C22)*(Canals!$G$24:$G$29=_xlfn.IFS(KS22="Handysize",Main!NB22,KS22="Supramax",MU22,KS22="Panamax",MN22,KS22="NeoPanamax",MG22,KS22="Suezmax",LZ22,KS22="Capesize",LS22,KS22="VLOC",LL22)))))</f>
        <v>#N/A</v>
      </c>
      <c r="PD22" s="75" t="e">
        <f t="array" aca="1" ref="PD22" ca="1">INDEX(Canals!$AC$24:$AC$29,MATCH(2,1/((Canals!$F$24:$F$29&lt;=$C22)*(Canals!$G$24:$G$29=_xlfn.IFS(KS22="Handysize",Main!NB22,KS22="Supramax",MU22,KS22="Panamax",MN22,KS22="NeoPanamax",MG22,KS22="Suezmax",LZ22,KS22="Capesize",LS22,KS22="VLOC",LL22)))))</f>
        <v>#N/A</v>
      </c>
      <c r="PE22" s="75" t="e">
        <f t="array" aca="1" ref="PE22" ca="1">INDEX(Canals!$AD$24:$AD$29,MATCH(2,1/((Canals!$F$24:$F$29&lt;=$C22)*(Canals!$G$24:$G$29=_xlfn.IFS(KS22="Handysize",Main!NB22,KS22="Supramax",MU22,KS22="Panamax",MN22,KS22="NeoPanamax",MG22,KS22="Suezmax",LZ22,KS22="Capesize",LS22,KS22="VLOC",LL22)))))</f>
        <v>#N/A</v>
      </c>
      <c r="PF22" s="75" t="e">
        <f t="array" aca="1" ref="PF22" ca="1">INDEX(Canals!$AE$24:$AE$29,MATCH(2,1/((Canals!$F$24:$F$29&lt;=$C22)*(Canals!$G$24:$G$29=_xlfn.IFS(KS22="Handysize",Main!NB22,KS22="Supramax",MU22,KS22="Panamax",MN22,KS22="NeoPanamax",MG22,KS22="Suezmax",LZ22,KS22="Capesize",LS22,KS22="VLOC",LL22)))))</f>
        <v>#N/A</v>
      </c>
      <c r="PG22" s="75" t="e">
        <f t="array" aca="1" ref="PG22" ca="1">INDEX(Canals!$AF$24:$AF$29,MATCH(2,1/((Canals!$F$24:$F$29&lt;=$C22)*(Canals!$G$24:$G$29=_xlfn.IFS(KS22="Handysize",Main!NB22,KS22="Supramax",MU22,KS22="Panamax",MN22,KS22="NeoPanamax",MG22,KS22="Suezmax",LZ22,KS22="Capesize",LS22,KS22="VLOC",LL22)))))</f>
        <v>#N/A</v>
      </c>
      <c r="PH22" s="75" t="e">
        <f t="array" aca="1" ref="PH22" ca="1">INDEX(Canals!$AG$24:$AG$29,MATCH(2,1/((Canals!$F$24:$F$29&lt;=$C22)*(Canals!$G$24:$G$29=_xlfn.IFS(KS22="Handysize",Main!NB22,KS22="Supramax",MU22,KS22="Panamax",MN22,KS22="NeoPanamax",MG22,KS22="Suezmax",LZ22,KS22="Capesize",LS22,KS22="VLOC",LL22)))))</f>
        <v>#N/A</v>
      </c>
      <c r="PI22" s="75" t="e">
        <f t="array" aca="1" ref="PI22" ca="1">INDEX(Canals!$AH$24:$AH$29,MATCH(2,1/((Canals!$F$24:$F$29&lt;=$C22)*(Canals!$G$24:$G$29=_xlfn.IFS(KS22="Handysize",Main!NB22,KS22="Supramax",MU22,KS22="Panamax",MN22,KS22="NeoPanamax",MG22,KS22="Suezmax",LZ22,KS22="Capesize",LS22,KS22="VLOC",LL22)))))</f>
        <v>#N/A</v>
      </c>
      <c r="PJ22" s="75" t="e">
        <f t="array" aca="1" ref="PJ22" ca="1">INDEX(Canals!$AI$24:$AI$29,MATCH(2,1/((Canals!$F$24:$F$29&lt;=$C22)*(Canals!$G$24:$G$29=_xlfn.IFS(KS22="Handysize",Main!NB22,KS22="Supramax",MU22,KS22="Panamax",MN22,KS22="NeoPanamax",MG22,KS22="Suezmax",LZ22,KS22="Capesize",LS22,KS22="VLOC",LL22)))))</f>
        <v>#N/A</v>
      </c>
      <c r="PK22" s="75" t="e">
        <f t="array" aca="1" ref="PK22" ca="1">INDEX(Canals!$AJ$24:$AJ$29,MATCH(2,1/((Canals!$F$24:$F$29&lt;=$C22)*(Canals!$G$24:$G$29=_xlfn.IFS(KS22="Handysize",Main!NB22,KS22="Supramax",MU22,KS22="Panamax",MN22,KS22="NeoPanamax",MG22,KS22="Suezmax",LZ22,KS22="Capesize",LS22,KS22="VLOC",LL22)))))</f>
        <v>#N/A</v>
      </c>
      <c r="PL22" s="75" t="e">
        <f t="array" aca="1" ref="PL22" ca="1">INDEX(Canals!$AK$24:$AK$29,MATCH(2,1/((Canals!$F$24:$F$29&lt;=$C22)*(Canals!$G$24:$G$29=_xlfn.IFS(KS22="Handysize",Main!NB22,KS22="Supramax",MU22,KS22="Panamax",MN22,KS22="NeoPanamax",MG22,KS22="Suezmax",LZ22,KS22="Capesize",LS22,KS22="VLOC",LL22)))))</f>
        <v>#N/A</v>
      </c>
      <c r="PM22" s="136" t="e">
        <f t="array" aca="1" ref="PM22" ca="1">INDEX(Canals!$AL$24:$AL$29,MATCH(2,1/((Canals!$F$24:$F$29&lt;=$C22)*(Canals!$G$24:$G$29=_xlfn.IFS(KS22="Handysize",Main!NB22,KS22="Supramax",MU22,KS22="Panamax",MN22,KS22="NeoPanamax",MG22,KS22="Suezmax",LZ22,KS22="Capesize",LS22,KS22="VLOC",LL22)))))</f>
        <v>#N/A</v>
      </c>
      <c r="PN22" s="136" t="e">
        <f t="array" aca="1" ref="PN22" ca="1">INDEX(Canals!$AM$24:$AM$29,MATCH(2,1/((Canals!$F$24:$F$29&lt;=$C22)*(Canals!$G$24:$G$29=_xlfn.IFS(KS22="Handysize",Main!NB22,KS22="Supramax",MU22,KS22="Panamax",MN22,KS22="NeoPanamax",MG22,KS22="Suezmax",LZ22,KS22="Capesize",LS22,KS22="VLOC",LL22)))))</f>
        <v>#N/A</v>
      </c>
      <c r="PO22" s="136" t="e">
        <f t="array" aca="1" ref="PO22" ca="1">INDEX(Canals!$AN$24:$AN$29,MATCH(2,1/((Canals!$F$24:$F$29&lt;=$C22)*(Canals!$G$24:$G$29=_xlfn.IFS(KS22="Handysize",Main!NB22,KS22="Supramax",MU22,KS22="Panamax",MN22,KS22="NeoPanamax",MG22,KS22="Suezmax",LZ22,KS22="Capesize",LS22,KS22="VLOC",LL22)))))</f>
        <v>#N/A</v>
      </c>
      <c r="PP22" s="136" t="e">
        <f t="array" aca="1" ref="PP22" ca="1">INDEX(Canals!$AO$24:$AO$29,MATCH(2,1/((Canals!$F$24:$F$29&lt;=$C22)*(Canals!$G$24:$G$29=_xlfn.IFS(KS22="Handysize",Main!NB22,KS22="Supramax",MU22,KS22="Panamax",MN22,KS22="NeoPanamax",MG22,KS22="Suezmax",LZ22,KS22="Capesize",LS22,KS22="VLOC",LL22)))))</f>
        <v>#N/A</v>
      </c>
      <c r="PQ22" s="136" t="e">
        <f t="array" aca="1" ref="PQ22" ca="1">INDEX(Canals!$AP$24:$AP$29,MATCH(2,1/((Canals!$F$24:$F$29&lt;=$C22)*(Canals!$G$24:$G$29=_xlfn.IFS(KS22="Handysize",Main!NB22,KS22="Supramax",MU22,KS22="Panamax",MN22,KS22="NeoPanamax",MG22,KS22="Suezmax",LZ22,KS22="Capesize",LS22,KS22="VLOC",LL22)))))</f>
        <v>#N/A</v>
      </c>
      <c r="PR22" s="136" t="e">
        <f t="array" aca="1" ref="PR22" ca="1">INDEX(Canals!$AQ$24:$AQ$29,MATCH(2,1/((Canals!$F$24:$F$29&lt;=$C22)*(Canals!$G$24:$G$29=_xlfn.IFS(KS22="Handysize",Main!NB22,KS22="Supramax",MU22,KS22="Panamax",MN22,KS22="NeoPanamax",MG22,KS22="Suezmax",LZ22,KS22="Capesize",LS22,KS22="VLOC",LL22)))))</f>
        <v>#N/A</v>
      </c>
      <c r="PS22" s="136" t="e">
        <f t="array" aca="1" ref="PS22" ca="1">INDEX(Canals!$AR$24:$AR$29,MATCH(2,1/((Canals!$F$24:$F$29&lt;=$C22)*(Canals!$G$24:$G$29=_xlfn.IFS(KS22="Handysize",Main!NB22,KS22="Supramax",MU22,KS22="Panamax",MN22,KS22="NeoPanamax",MG22,KS22="Suezmax",LZ22,KS22="Capesize",LS22,KS22="VLOC",LL22)))))</f>
        <v>#N/A</v>
      </c>
      <c r="PT22" s="136" t="e">
        <f t="array" aca="1" ref="PT22" ca="1">INDEX(Canals!$AS$24:$AS$29,MATCH(2,1/((Canals!$F$24:$F$29&lt;=$C22)*(Canals!$G$24:$G$29=_xlfn.IFS(KS22="Handysize",Main!NB22,KS22="Supramax",MU22,KS22="Panamax",MN22,KS22="NeoPanamax",MG22,KS22="Suezmax",LZ22,KS22="Capesize",LS22,KS22="VLOC",LL22)))))</f>
        <v>#N/A</v>
      </c>
      <c r="PU22" s="136" t="e">
        <f t="array" aca="1" ref="PU22" ca="1">INDEX(Canals!$AT$24:$AT$29,MATCH(2,1/((Canals!$F$24:$F$29&lt;=$C22)*(Canals!$G$24:$G$29=_xlfn.IFS(KS22="Handysize",Main!NB22,KS22="Supramax",MU22,KS22="Panamax",MN22,KS22="NeoPanamax",MG22,KS22="Suezmax",LZ22,KS22="Capesize",LS22,KS22="VLOC",LL22)))))</f>
        <v>#N/A</v>
      </c>
      <c r="PV22" s="136" t="e">
        <f t="array" aca="1" ref="PV22" ca="1">INDEX(Canals!$AU$24:$AU$29,MATCH(2,1/((Canals!$F$24:$F$29&lt;=$C22)*(Canals!$G$24:$G$29=_xlfn.IFS(KS22="Handysize",Main!NB22,KS22="Supramax",MU22,KS22="Panamax",MN22,KS22="NeoPanamax",MG22,KS22="Suezmax",LZ22,KS22="Capesize",LS22,KS22="VLOC",LL22)))))</f>
        <v>#N/A</v>
      </c>
      <c r="PW22" s="136" t="e">
        <f t="array" aca="1" ref="PW22" ca="1">INDEX(Canals!$AV$24:$AV$29,MATCH(2,1/((Canals!$F$24:$F$29&lt;=$C22)*(Canals!$G$24:$G$29=_xlfn.IFS(KS22="Handysize",Main!NB22,KS22="Supramax",MU22,KS22="Panamax",MN22,KS22="NeoPanamax",MG22,KS22="Suezmax",LZ22,KS22="Capesize",LS22,KS22="VLOC",LL22)))))</f>
        <v>#N/A</v>
      </c>
      <c r="PY22" s="75" t="e">
        <f t="array" aca="1" ref="PY22" ca="1">_xlfn.IFS(OJ22="DWT",KQ22,OJ22="NRT",KU22,OJ22="GRT",KV22)</f>
        <v>#NAME?</v>
      </c>
      <c r="PZ22" s="279" t="e">
        <f t="shared" ca="1" si="74"/>
        <v>#NAME?</v>
      </c>
      <c r="QA22" s="280" t="e">
        <f t="shared" ca="1" si="75"/>
        <v>#NAME?</v>
      </c>
      <c r="QB22" s="280" t="e">
        <f t="shared" ca="1" si="76"/>
        <v>#NAME?</v>
      </c>
      <c r="QC22" s="280" t="e">
        <f t="shared" ca="1" si="77"/>
        <v>#NAME?</v>
      </c>
      <c r="QD22" s="280" t="e">
        <f t="shared" ca="1" si="78"/>
        <v>#NAME?</v>
      </c>
      <c r="QE22" s="280" t="e">
        <f t="shared" ca="1" si="79"/>
        <v>#NAME?</v>
      </c>
      <c r="QF22" s="280" t="e">
        <f t="shared" ca="1" si="80"/>
        <v>#NAME?</v>
      </c>
      <c r="QG22" s="280" t="e">
        <f t="shared" ca="1" si="81"/>
        <v>#NAME?</v>
      </c>
      <c r="QH22" s="280" t="e">
        <f t="shared" ca="1" si="82"/>
        <v>#NAME?</v>
      </c>
      <c r="QI22" s="75">
        <f t="shared" si="83"/>
        <v>58500</v>
      </c>
      <c r="QJ22" s="279" t="e">
        <f t="shared" ca="1" si="84"/>
        <v>#N/A</v>
      </c>
      <c r="QK22" s="280" t="e">
        <f t="shared" ca="1" si="85"/>
        <v>#N/A</v>
      </c>
      <c r="QL22" s="280" t="e">
        <f t="shared" ca="1" si="86"/>
        <v>#N/A</v>
      </c>
      <c r="QM22" s="280" t="e">
        <f t="shared" ca="1" si="87"/>
        <v>#N/A</v>
      </c>
      <c r="QN22" s="280" t="e">
        <f t="shared" ca="1" si="88"/>
        <v>#N/A</v>
      </c>
      <c r="QO22" s="280" t="e">
        <f t="shared" ca="1" si="89"/>
        <v>#N/A</v>
      </c>
      <c r="QP22" s="280" t="e">
        <f t="shared" ca="1" si="90"/>
        <v>#N/A</v>
      </c>
      <c r="QQ22" s="280" t="e">
        <f t="shared" ca="1" si="91"/>
        <v>#N/A</v>
      </c>
      <c r="QR22" s="280" t="e">
        <f t="shared" ca="1" si="92"/>
        <v>#N/A</v>
      </c>
      <c r="QT22" s="75" t="e">
        <f t="array" aca="1" ref="QT22" ca="1">_xlfn.IFS(KS22="Handysize",Main!MV22,KS22="Supramax",MO22,KS22="Panamax",MH22,KS22="NeoPanamax",MA22,KS22="Suezmax",LT22,KS22="Capesize",LM22,KS22="VLOC",LF22)*$JI22</f>
        <v>#NAME?</v>
      </c>
      <c r="QU22" s="274" t="e">
        <f t="array" aca="1" ref="QU22" ca="1">_xlfn.IFS(KS22="Handysize",Main!MW22,KS22="Supramax",MP22,KS22="Panamax",MI22,KS22="NeoPanamax",MB22,KS22="Suezmax",LU22,KS22="Capesize",LN22,KS22="VLOC",LG22)*$JI22</f>
        <v>#NAME?</v>
      </c>
      <c r="QV22" s="71" t="e">
        <f t="array" aca="1" ref="QV22" ca="1">_xlfn.IFS(KS22="Handysize",Main!KX22,KS22="Supramax",KY22,KS22="Panamax",KZ22,KS22="NeoPanamax",LA22,KS22="Suezmax",LB22,KS22="Capesize",LC22,KS22="VLOC",LD22)</f>
        <v>#NAME?</v>
      </c>
      <c r="QW22" s="71" t="e">
        <f t="array" aca="1" ref="QW22" ca="1">_xlfn.IFS(KS22="Handysize",Main!NJ22,KS22="Supramax",NK22,KS22="Panamax",NL22,KS22="NeoPanamax",NM22,KS22="Suezmax",NN22,KS22="Capesize",NO22,KS22="VLOC",NP22)</f>
        <v>#NAME?</v>
      </c>
      <c r="QX22" s="70">
        <f t="array" ref="QX22">INDEX('Ship Speeds'!$G$11:$G$1011,MATCH(2,1/(('Ship Speeds'!$E$11:$E$1011&lt;=Main!$C22)*('Ship Speeds'!$F$11:$F$1011=Main!KR22))))</f>
        <v>11</v>
      </c>
      <c r="QY22" s="403">
        <f t="shared" si="93"/>
        <v>18.010406342317193</v>
      </c>
      <c r="QZ22" s="401">
        <f t="shared" si="94"/>
        <v>1.8408</v>
      </c>
      <c r="RA22" s="70" t="e">
        <f t="shared" ca="1" si="95"/>
        <v>#NAME?</v>
      </c>
      <c r="RB22" s="70" t="e">
        <f t="shared" ca="1" si="96"/>
        <v>#NAME?</v>
      </c>
      <c r="RC22" s="70" t="e">
        <f t="shared" ca="1" si="97"/>
        <v>#NAME?</v>
      </c>
      <c r="RD22" s="70" t="e">
        <f t="shared" ca="1" si="98"/>
        <v>#NAME?</v>
      </c>
      <c r="RE22" s="72" t="e">
        <f t="shared" ca="1" si="99"/>
        <v>#N/A</v>
      </c>
      <c r="RF22" s="70" t="e">
        <f t="shared" ca="1" si="100"/>
        <v>#NAME?</v>
      </c>
      <c r="RG22" s="70" t="e">
        <f t="array" aca="1" ref="RG22" ca="1">INDEX(ND22:NH22,MATCH(_xlfn.IFS(KS22="Handysize",Main!MZ22,KS22="Supramax",MS22,KS22="Panamax",ML22,KS22="NeoPanamax",ME22,KS22="Suezmax",LX22,KS22="Capesize",LQ22,KS22="VLOC",LJ22),$ND$7:$NH$7,0))</f>
        <v>#NAME?</v>
      </c>
      <c r="RH22" s="70" t="e">
        <f t="array" aca="1" ref="RH22" ca="1">INDEX(ND22:NH22,MATCH(_xlfn.IFS(KS22="Handysize",Main!NA22,KS22="Supramax",MT22,KS22="Panamax",MM22,KS22="NeoPanamax",MF22,KS22="Suezmax",LY22,KS22="Capesize",LR22,KS22="VLOC",LK22),$ND$7:$NH$7,0))</f>
        <v>#NAME?</v>
      </c>
      <c r="RI22" s="71" t="e">
        <f t="shared" ca="1" si="101"/>
        <v>#NAME?</v>
      </c>
      <c r="RJ22" s="71" t="e">
        <f t="shared" ca="1" si="102"/>
        <v>#NAME?</v>
      </c>
      <c r="RK22" s="281">
        <f t="shared" si="103"/>
        <v>7.0759999999999987</v>
      </c>
      <c r="RL22" s="71">
        <f t="shared" si="104"/>
        <v>1744.2057659694747</v>
      </c>
      <c r="RM22" s="71" t="e">
        <f t="shared" ca="1" si="105"/>
        <v>#NAME?</v>
      </c>
      <c r="RN22" s="71" t="e">
        <f t="shared" ca="1" si="106"/>
        <v>#NAME?</v>
      </c>
      <c r="RO22" s="71">
        <f t="shared" si="107"/>
        <v>21825.890333521769</v>
      </c>
      <c r="RP22" s="71" t="e">
        <f t="shared" ca="1" si="108"/>
        <v>#NAME?</v>
      </c>
      <c r="RQ22" s="71" t="e">
        <f t="shared" ca="1" si="109"/>
        <v>#NAME?</v>
      </c>
      <c r="RR22" s="71">
        <f t="shared" si="110"/>
        <v>15495.211984171852</v>
      </c>
      <c r="RS22" s="71" t="e">
        <f t="shared" ca="1" si="111"/>
        <v>#NAME?</v>
      </c>
      <c r="RT22" s="71" t="e">
        <f t="shared" ca="1" si="112"/>
        <v>#NAME?</v>
      </c>
      <c r="RU22" s="71">
        <f t="shared" si="113"/>
        <v>0</v>
      </c>
      <c r="RV22" s="71" t="e">
        <f t="shared" ca="1" si="114"/>
        <v>#NAME?</v>
      </c>
      <c r="RW22" s="71" t="e">
        <f t="shared" ca="1" si="115"/>
        <v>#NAME?</v>
      </c>
      <c r="RX22" s="72">
        <f t="shared" si="116"/>
        <v>5519.9533634821937</v>
      </c>
      <c r="RY22" s="72" t="e">
        <f t="shared" ca="1" si="117"/>
        <v>#NAME?</v>
      </c>
      <c r="RZ22" s="71" t="e">
        <f t="shared" ca="1" si="118"/>
        <v>#NAME?</v>
      </c>
      <c r="SA22" s="71" t="e">
        <f t="array" aca="1" ref="SA22" ca="1">INDEX('Ship Time Charter Rates'!$H$22:$H$1021,MATCH(2,1/(('Ship Time Charter Rates'!$G$22:$G$1021=_xlfn.IFS(KS22="Handysize",Main!MX22,KS22="Supramax",MQ22,KS22="Panamax",MJ22,KS22="NeoPanamax",MC22,KS22="Suezmax",LV22,KS22="Capesize",LO22,KS22="VLOC",LH22))*('Ship Time Charter Rates'!$E$22:$E$1021&lt;=Main!$C22)*(NOT(ISBLANK('Ship Time Charter Rates'!$H$22:$H$1021))))))</f>
        <v>#N/A</v>
      </c>
      <c r="SB22" s="71" t="e">
        <f t="shared" ca="1" si="119"/>
        <v>#NAME?</v>
      </c>
      <c r="SC22" s="70" t="e">
        <f t="shared" ca="1" si="120"/>
        <v>#N/A</v>
      </c>
      <c r="SD22" s="71" t="e">
        <f t="shared" ca="1" si="121"/>
        <v>#NAME?</v>
      </c>
      <c r="SE22" s="71" t="e">
        <f t="shared" ca="1" si="302"/>
        <v>#NAME?</v>
      </c>
      <c r="SF22" s="72" t="e">
        <f t="shared" ca="1" si="303"/>
        <v>#NAME?</v>
      </c>
      <c r="SH22" s="25">
        <f t="shared" si="321"/>
        <v>0</v>
      </c>
      <c r="SI22" s="4" t="str">
        <f>VLOOKUP(SH22,'Ship Time Charter Rates'!$F$10:$G$17,2,TRUE)</f>
        <v>Handysize</v>
      </c>
      <c r="SJ22" s="4" t="str">
        <f>VLOOKUP(SH22,Canals!$E$5:$F$12,2,TRUE)</f>
        <v>Handysize</v>
      </c>
      <c r="SK22" s="25">
        <f t="shared" si="122"/>
        <v>145.88999999999999</v>
      </c>
      <c r="SL22" s="25">
        <f t="shared" si="123"/>
        <v>0</v>
      </c>
      <c r="SM22" s="25">
        <f t="shared" si="124"/>
        <v>4797</v>
      </c>
      <c r="SO22" s="75">
        <f t="array" ref="SO22">INDEX('Indices Mines Exporting Ports'!$R$20:$R$51,MATCH(2,1/(('Indices Mines Exporting Ports'!$D$20:$D$51&lt;=Main!$C22)*('Indices Mines Exporting Ports'!$Q$20:$Q$51=$AQ22))))</f>
        <v>0</v>
      </c>
      <c r="SP22" s="75">
        <f t="array" ref="SP22">INDEX('Indices Mines Exporting Ports'!$S$20:$S$51,MATCH(2,1/(('Indices Mines Exporting Ports'!$D$20:$D$51&lt;=Main!$C22)*('Indices Mines Exporting Ports'!$Q$20:$Q$51=$AQ22))))</f>
        <v>0</v>
      </c>
      <c r="SQ22" s="75">
        <f t="array" ref="SQ22">INDEX('Indices Mines Exporting Ports'!$T$20:$T$51,MATCH(2,1/(('Indices Mines Exporting Ports'!$D$20:$D$51&lt;=Main!$C22)*('Indices Mines Exporting Ports'!$Q$20:$Q$51=$AQ22))))</f>
        <v>0</v>
      </c>
      <c r="SR22" s="75">
        <f t="array" ref="SR22">INDEX('Indices Mines Exporting Ports'!$U$20:$U$51,MATCH(2,1/(('Indices Mines Exporting Ports'!$D$20:$D$51&lt;=Main!$C22)*('Indices Mines Exporting Ports'!$Q$20:$Q$51=$AQ22))))</f>
        <v>0</v>
      </c>
      <c r="SS22" s="75">
        <f t="array" ref="SS22">INDEX('Indices Mines Exporting Ports'!$V$20:$V$51,MATCH(2,1/(('Indices Mines Exporting Ports'!$D$20:$D$51&lt;=Main!$C22)*('Indices Mines Exporting Ports'!$Q$20:$Q$51=$AQ22))))</f>
        <v>0</v>
      </c>
      <c r="ST22" s="75">
        <f t="array" ref="ST22">INDEX('Indices Mines Exporting Ports'!$W$20:$W$51,MATCH(2,1/(('Indices Mines Exporting Ports'!$D$20:$D$51&lt;=Main!$C22)*('Indices Mines Exporting Ports'!$Q$20:$Q$51=$AQ22))))</f>
        <v>0</v>
      </c>
      <c r="SU22" s="75">
        <f t="array" ref="SU22">INDEX('Indices Mines Exporting Ports'!$X$20:$X$51,MATCH(2,1/(('Indices Mines Exporting Ports'!$D$20:$D$51&lt;=Main!$C22)*('Indices Mines Exporting Ports'!$Q$20:$Q$51=$AQ22))))</f>
        <v>0</v>
      </c>
      <c r="SW22" s="75">
        <f t="array" ref="SW22">INDEX('Port Linkages'!$E$18:$E$157,MATCH(2,1/(('Port Linkages'!$C$18:$C$157=$AQ22)*('Port Linkages'!$D$18:$D$157=IF($AO22="no",$AQ22,$AS22))*('Port Linkages'!$A$18:$A$157&lt;=$C22))))</f>
        <v>0</v>
      </c>
      <c r="SX22" s="75">
        <f t="array" ref="SX22">INDEX('Port Linkages'!$F$18:$F$157,MATCH(2,1/(('Port Linkages'!$C$18:$C$157=$AQ22)*('Port Linkages'!$D$18:$D$157=IF($AO22="no",$AQ22,$AS22))*('Port Linkages'!$A$18:$A$157&lt;=$C22))))</f>
        <v>0</v>
      </c>
      <c r="SY22" s="75">
        <f t="array" ref="SY22">INDEX('Port Linkages'!$G$18:$G$157,MATCH(2,1/(('Port Linkages'!$C$18:$C$157=$AQ22)*('Port Linkages'!$D$18:$D$157=IF($AO22="no",$AQ22,$AS22))*('Port Linkages'!$A$18:$A$157&lt;=$C22))))</f>
        <v>0</v>
      </c>
      <c r="SZ22" s="75">
        <f t="array" ref="SZ22">INDEX('Port Linkages'!$H$18:$H$157,MATCH(2,1/(('Port Linkages'!$C$18:$C$157=$AQ22)*('Port Linkages'!$D$18:$D$157=IF($AO22="no",$AQ22,$AS22))*('Port Linkages'!$A$18:$A$157&lt;=$C22))))</f>
        <v>0</v>
      </c>
      <c r="TA22" s="75">
        <f t="array" ref="TA22">INDEX('Port Linkages'!$I$18:$I$157,MATCH(2,1/(('Port Linkages'!$C$18:$C$157=$AQ22)*('Port Linkages'!$D$18:$D$157=IF($AO22="no",$AQ22,$AS22))*('Port Linkages'!$A$18:$A$157&lt;=$C22))))</f>
        <v>0</v>
      </c>
      <c r="TB22" s="75">
        <f t="array" ref="TB22">INDEX('Port Linkages'!$J$18:$J$157,MATCH(2,1/(('Port Linkages'!$C$18:$C$157=$AQ22)*('Port Linkages'!$D$18:$D$157=IF($AO22="no",$AQ22,$AS22))*('Port Linkages'!$A$18:$A$157&lt;=$C22))))</f>
        <v>0</v>
      </c>
      <c r="TC22" s="75">
        <f t="array" ref="TC22">INDEX('Port Linkages'!$K$18:$K$157,MATCH(2,1/(('Port Linkages'!$C$18:$C$157=$AQ22)*('Port Linkages'!$D$18:$D$157=IF($AO22="no",$AQ22,$AS22))*('Port Linkages'!$A$18:$A$157&lt;=$C22))))</f>
        <v>0</v>
      </c>
      <c r="TD22" s="75">
        <f t="array" ref="TD22">INDEX('Port Linkages'!$L$18:$L$157,MATCH(2,1/(('Port Linkages'!$C$18:$C$157=$AQ22)*('Port Linkages'!$D$18:$D$157=IF($AO22="no",$AQ22,$AS22))*('Port Linkages'!$A$18:$A$157&lt;=$C22))))</f>
        <v>0</v>
      </c>
      <c r="TE22" s="75">
        <f t="array" ref="TE22">INDEX('Port Linkages'!$M$18:$M$157,MATCH(2,1/(('Port Linkages'!$C$18:$C$157=$AQ22)*('Port Linkages'!$D$18:$D$157=IF($AO22="no",$AQ22,$AS22))*('Port Linkages'!$A$18:$A$157&lt;=$C22))))</f>
        <v>0</v>
      </c>
      <c r="TF22" s="75">
        <f t="array" ref="TF22">INDEX('Port Linkages'!$N$18:$N$157,MATCH(2,1/(('Port Linkages'!$C$18:$C$157=$AQ22)*('Port Linkages'!$D$18:$D$157=IF($AO22="no",$AQ22,$AS22))*('Port Linkages'!$A$18:$A$157&lt;=$C22))))</f>
        <v>0</v>
      </c>
      <c r="TG22" s="75">
        <f t="array" ref="TG22">INDEX('Port Linkages'!$O$18:$O$157,MATCH(2,1/(('Port Linkages'!$C$18:$C$157=$AQ22)*('Port Linkages'!$D$18:$D$157=IF($AO22="no",$AQ22,$AS22))*('Port Linkages'!$A$18:$A$157&lt;=$C22))))</f>
        <v>0</v>
      </c>
      <c r="TH22" s="75">
        <f t="array" ref="TH22">INDEX('Port Linkages'!$P$18:$P$157,MATCH(2,1/(('Port Linkages'!$C$18:$C$157=$AQ22)*('Port Linkages'!$D$18:$D$157=IF($AO22="no",$AQ22,$AS22))*('Port Linkages'!$A$18:$A$157&lt;=$C22))))</f>
        <v>0</v>
      </c>
      <c r="TI22" s="75">
        <f t="array" ref="TI22">INDEX('Port Linkages'!$Q$18:$Q$157,MATCH(2,1/(('Port Linkages'!$C$18:$C$157=$AQ22)*('Port Linkages'!$D$18:$D$157=IF($AO22="no",$AQ22,$AS22))*('Port Linkages'!$A$18:$A$157&lt;=$C22))))</f>
        <v>0</v>
      </c>
      <c r="TJ22" s="75">
        <f t="array" ref="TJ22">INDEX('Port Linkages'!$R$18:$R$157,MATCH(2,1/(('Port Linkages'!$C$18:$C$157=$AQ22)*('Port Linkages'!$D$18:$D$157=IF($AO22="no",$AQ22,$AS22))*('Port Linkages'!$A$18:$A$157&lt;=$C22))))</f>
        <v>0</v>
      </c>
      <c r="TK22" s="75">
        <f t="array" ref="TK22">INDEX('Port Linkages'!$S$18:$S$157,MATCH(2,1/(('Port Linkages'!$C$18:$C$157=$AQ22)*('Port Linkages'!$D$18:$D$157=IF($AO22="no",$AQ22,$AS22))*('Port Linkages'!$A$18:$A$157&lt;=$C22))))</f>
        <v>0</v>
      </c>
      <c r="TL22" s="75">
        <f t="array" ref="TL22">INDEX('Port Linkages'!$T$18:$T$157,MATCH(2,1/(('Port Linkages'!$C$18:$C$157=$AQ22)*('Port Linkages'!$D$18:$D$157=IF($AO22="no",$AQ22,$AS22))*('Port Linkages'!$A$18:$A$157&lt;=$C22))))</f>
        <v>0</v>
      </c>
      <c r="TM22" s="75">
        <f t="array" ref="TM22">INDEX('Port Linkages'!$U$18:$U$157,MATCH(2,1/(('Port Linkages'!$C$18:$C$157=$AQ22)*('Port Linkages'!$D$18:$D$157=IF($AO22="no",$AQ22,$AS22))*('Port Linkages'!$A$18:$A$157&lt;=$C22))))</f>
        <v>0</v>
      </c>
      <c r="TN22" s="75">
        <f t="array" ref="TN22">INDEX('Port Linkages'!$V$18:$V$157,MATCH(2,1/(('Port Linkages'!$C$18:$C$157=$AQ22)*('Port Linkages'!$D$18:$D$157=IF($AO22="no",$AQ22,$AS22))*('Port Linkages'!$A$18:$A$157&lt;=$C22))))</f>
        <v>0</v>
      </c>
      <c r="TO22" s="75">
        <f t="array" ref="TO22">INDEX('Port Linkages'!$W$18:$W$157,MATCH(2,1/(('Port Linkages'!$C$18:$C$157=$AQ22)*('Port Linkages'!$D$18:$D$157=IF($AO22="no",$AQ22,$AS22))*('Port Linkages'!$A$18:$A$157&lt;=$C22))))</f>
        <v>0</v>
      </c>
      <c r="TP22" s="75">
        <f t="array" ref="TP22">INDEX('Port Linkages'!$X$18:$X$157,MATCH(2,1/(('Port Linkages'!$C$18:$C$157=$AQ22)*('Port Linkages'!$D$18:$D$157=IF($AO22="no",$AQ22,$AS22))*('Port Linkages'!$A$18:$A$157&lt;=$C22))))</f>
        <v>0</v>
      </c>
      <c r="TQ22" s="75">
        <f t="array" ref="TQ22">INDEX('Port Linkages'!$Y$18:$Y$157,MATCH(2,1/(('Port Linkages'!$C$18:$C$157=$AQ22)*('Port Linkages'!$D$18:$D$157=IF($AO22="no",$AQ22,$AS22))*('Port Linkages'!$A$18:$A$157&lt;=$C22))))</f>
        <v>0</v>
      </c>
      <c r="TR22" s="75">
        <f t="array" ref="TR22">INDEX('Port Linkages'!$Z$18:$Z$157,MATCH(2,1/(('Port Linkages'!$C$18:$C$157=$AQ22)*('Port Linkages'!$D$18:$D$157=IF($AO22="no",$AQ22,$AS22))*('Port Linkages'!$A$18:$A$157&lt;=$C22))))</f>
        <v>0</v>
      </c>
      <c r="TS22" s="75">
        <f t="array" ref="TS22">INDEX('Port Linkages'!$AA$18:$AA$157,MATCH(2,1/(('Port Linkages'!$C$18:$C$157=$AQ22)*('Port Linkages'!$D$18:$D$157=IF($AO22="no",$AQ22,$AS22))*('Port Linkages'!$A$18:$A$157&lt;=$C22))))</f>
        <v>0</v>
      </c>
      <c r="TT22" s="75">
        <f t="array" ref="TT22">INDEX('Port Linkages'!$AB$18:$AB$157,MATCH(2,1/(('Port Linkages'!$C$18:$C$157=$AQ22)*('Port Linkages'!$D$18:$D$157=IF($AO22="no",$AQ22,$AS22))*('Port Linkages'!$A$18:$A$157&lt;=$C22))))</f>
        <v>0</v>
      </c>
      <c r="TU22" s="75">
        <f t="array" ref="TU22">INDEX('Port Linkages'!$AC$18:$AC$157,MATCH(2,1/(('Port Linkages'!$C$18:$C$157=$AQ22)*('Port Linkages'!$D$18:$D$157=IF($AO22="no",$AQ22,$AS22))*('Port Linkages'!$A$18:$A$157&lt;=$C22))))</f>
        <v>0</v>
      </c>
      <c r="TV22" s="75">
        <f t="array" ref="TV22">INDEX('Port Linkages'!$AD$18:$AD$157,MATCH(2,1/(('Port Linkages'!$C$18:$C$157=$AQ22)*('Port Linkages'!$D$18:$D$157=IF($AO22="no",$AQ22,$AS22))*('Port Linkages'!$A$18:$A$157&lt;=$C22))))</f>
        <v>0</v>
      </c>
      <c r="TW22" s="75">
        <f t="array" ref="TW22">INDEX('Port Linkages'!$AE$18:$AE$157,MATCH(2,1/(('Port Linkages'!$C$18:$C$157=$AQ22)*('Port Linkages'!$D$18:$D$157=IF($AO22="no",$AQ22,$AS22))*('Port Linkages'!$A$18:$A$157&lt;=$C22))))</f>
        <v>0</v>
      </c>
      <c r="TX22" s="75">
        <f t="array" ref="TX22">INDEX('Port Linkages'!$AF$18:$AF$157,MATCH(2,1/(('Port Linkages'!$C$18:$C$157=$AQ22)*('Port Linkages'!$D$18:$D$157=IF($AO22="no",$AQ22,$AS22))*('Port Linkages'!$A$18:$A$157&lt;=$C22))))</f>
        <v>0</v>
      </c>
      <c r="TY22" s="75">
        <f t="array" ref="TY22">INDEX('Port Linkages'!$AG$18:$AG$157,MATCH(2,1/(('Port Linkages'!$C$18:$C$157=$AQ22)*('Port Linkages'!$D$18:$D$157=IF($AO22="no",$AQ22,$AS22))*('Port Linkages'!$A$18:$A$157&lt;=$C22))))</f>
        <v>0</v>
      </c>
      <c r="TZ22" s="75">
        <f t="array" ref="TZ22">INDEX('Port Linkages'!$AH$18:$AH$157,MATCH(2,1/(('Port Linkages'!$C$18:$C$157=$AQ22)*('Port Linkages'!$D$18:$D$157=IF($AO22="no",$AQ22,$AS22))*('Port Linkages'!$A$18:$A$157&lt;=$C22))))</f>
        <v>0</v>
      </c>
      <c r="UA22" s="75">
        <f t="array" ref="UA22">INDEX('Port Linkages'!$AI$18:$AI$157,MATCH(2,1/(('Port Linkages'!$C$18:$C$157=$AQ22)*('Port Linkages'!$D$18:$D$157=IF($AO22="no",$AQ22,$AS22))*('Port Linkages'!$A$18:$A$157&lt;=$C22))))</f>
        <v>0</v>
      </c>
      <c r="UB22" s="75">
        <f t="array" ref="UB22">INDEX('Port Linkages'!$AJ$18:$AJ$157,MATCH(2,1/(('Port Linkages'!$C$18:$C$157=$AQ22)*('Port Linkages'!$D$18:$D$157=IF($AO22="no",$AQ22,$AS22))*('Port Linkages'!$A$18:$A$157&lt;=$C22))))</f>
        <v>0</v>
      </c>
      <c r="UC22" s="75">
        <f t="array" ref="UC22">INDEX('Port Linkages'!$AK$18:$AK$157,MATCH(2,1/(('Port Linkages'!$C$18:$C$157=$AQ22)*('Port Linkages'!$D$18:$D$157=IF($AO22="no",$AQ22,$AS22))*('Port Linkages'!$A$18:$A$157&lt;=$C22))))</f>
        <v>0</v>
      </c>
      <c r="UD22" s="75">
        <f t="array" ref="UD22">INDEX('Port Linkages'!$AL$18:$AL$157,MATCH(2,1/(('Port Linkages'!$C$18:$C$157=$AQ22)*('Port Linkages'!$D$18:$D$157=IF($AO22="no",$AQ22,$AS22))*('Port Linkages'!$A$18:$A$157&lt;=$C22))))</f>
        <v>0</v>
      </c>
      <c r="UE22" s="75">
        <f t="array" ref="UE22">INDEX('Port Linkages'!$AM$18:$AM$157,MATCH(2,1/(('Port Linkages'!$C$18:$C$157=$AQ22)*('Port Linkages'!$D$18:$D$157=IF($AO22="no",$AQ22,$AS22))*('Port Linkages'!$A$18:$A$157&lt;=$C22))))</f>
        <v>0</v>
      </c>
      <c r="UF22" s="75">
        <f t="array" ref="UF22">INDEX('Port Linkages'!$AN$18:$AN$157,MATCH(2,1/(('Port Linkages'!$C$18:$C$157=$AQ22)*('Port Linkages'!$D$18:$D$157=IF($AO22="no",$AQ22,$AS22))*('Port Linkages'!$A$18:$A$157&lt;=$C22))))</f>
        <v>0</v>
      </c>
      <c r="UG22" s="75">
        <f t="array" ref="UG22">INDEX('Port Linkages'!$AO$18:$AO$157,MATCH(2,1/(('Port Linkages'!$C$18:$C$157=$AQ22)*('Port Linkages'!$D$18:$D$157=IF($AO22="no",$AQ22,$AS22))*('Port Linkages'!$A$18:$A$157&lt;=$C22))))</f>
        <v>0</v>
      </c>
      <c r="UH22" s="75">
        <f t="array" ref="UH22">INDEX('Port Linkages'!$AP$18:$AP$157,MATCH(2,1/(('Port Linkages'!$C$18:$C$157=$AQ22)*('Port Linkages'!$D$18:$D$157=IF($AO22="no",$AQ22,$AS22))*('Port Linkages'!$A$18:$A$157&lt;=$C22))))</f>
        <v>0</v>
      </c>
      <c r="UI22" s="75">
        <f t="array" ref="UI22">INDEX('Port Linkages'!$AQ$18:$AQ$157,MATCH(2,1/(('Port Linkages'!$C$18:$C$157=$AQ22)*('Port Linkages'!$D$18:$D$157=IF($AO22="no",$AQ22,$AS22))*('Port Linkages'!$A$18:$A$157&lt;=$C22))))</f>
        <v>0</v>
      </c>
      <c r="UJ22" s="75">
        <f t="array" ref="UJ22">INDEX('Port Linkages'!$AR$18:$AR$157,MATCH(2,1/(('Port Linkages'!$C$18:$C$157=$AQ22)*('Port Linkages'!$D$18:$D$157=IF($AO22="no",$AQ22,$AS22))*('Port Linkages'!$A$18:$A$157&lt;=$C22))))</f>
        <v>0</v>
      </c>
      <c r="UK22" s="75">
        <f t="array" ref="UK22">INDEX('Port Linkages'!$AS$18:$AS$157,MATCH(2,1/(('Port Linkages'!$C$18:$C$157=$AQ22)*('Port Linkages'!$D$18:$D$157=IF($AO22="no",$AQ22,$AS22))*('Port Linkages'!$A$18:$A$157&lt;=$C22))))</f>
        <v>0</v>
      </c>
      <c r="UL22" s="75">
        <f t="array" ref="UL22">INDEX('Port Linkages'!$AT$18:$AT$157,MATCH(2,1/(('Port Linkages'!$C$18:$C$157=$AQ22)*('Port Linkages'!$D$18:$D$157=IF($AO22="no",$AQ22,$AS22))*('Port Linkages'!$A$18:$A$157&lt;=$C22))))</f>
        <v>0</v>
      </c>
      <c r="UM22" s="75">
        <f t="array" ref="UM22">INDEX('Port Linkages'!$AU$18:$AU$157,MATCH(2,1/(('Port Linkages'!$C$18:$C$157=$AQ22)*('Port Linkages'!$D$18:$D$157=IF($AO22="no",$AQ22,$AS22))*('Port Linkages'!$A$18:$A$157&lt;=$C22))))</f>
        <v>0</v>
      </c>
      <c r="UN22" s="75">
        <f t="array" ref="UN22">INDEX('Port Linkages'!$AV$18:$AV$157,MATCH(2,1/(('Port Linkages'!$C$18:$C$157=$AQ22)*('Port Linkages'!$D$18:$D$157=IF($AO22="no",$AQ22,$AS22))*('Port Linkages'!$A$18:$A$157&lt;=$C22))))</f>
        <v>0</v>
      </c>
      <c r="UO22" s="75">
        <f t="array" ref="UO22">INDEX('Port Linkages'!$AW$18:$AW$157,MATCH(2,1/(('Port Linkages'!$C$18:$C$157=$AQ22)*('Port Linkages'!$D$18:$D$157=IF($AO22="no",$AQ22,$AS22))*('Port Linkages'!$A$18:$A$157&lt;=$C22))))</f>
        <v>0</v>
      </c>
      <c r="UP22" s="75">
        <f t="array" ref="UP22">INDEX('Port Linkages'!$AX$18:$AX$157,MATCH(2,1/(('Port Linkages'!$C$18:$C$157=$AQ22)*('Port Linkages'!$D$18:$D$157=IF($AO22="no",$AQ22,$AS22))*('Port Linkages'!$A$18:$A$157&lt;=$C22))))</f>
        <v>0</v>
      </c>
      <c r="UQ22" s="75">
        <f t="array" ref="UQ22">INDEX('Port Linkages'!$AY$18:$AY$157,MATCH(2,1/(('Port Linkages'!$C$18:$C$157=$AQ22)*('Port Linkages'!$D$18:$D$157=IF($AO22="no",$AQ22,$AS22))*('Port Linkages'!$A$18:$A$157&lt;=$C22))))</f>
        <v>0</v>
      </c>
      <c r="UR22" s="75">
        <f t="array" ref="UR22">INDEX('Port Linkages'!$AZ$18:$AZ$157,MATCH(2,1/(('Port Linkages'!$C$18:$C$157=$AQ22)*('Port Linkages'!$D$18:$D$157=IF($AO22="no",$AQ22,$AS22))*('Port Linkages'!$A$18:$A$157&lt;=$C22))))</f>
        <v>0</v>
      </c>
      <c r="US22" s="75">
        <f t="array" ref="US22">INDEX('Port Linkages'!$BA$18:$BA$157,MATCH(2,1/(('Port Linkages'!$C$18:$C$157=$AQ22)*('Port Linkages'!$D$18:$D$157=IF($AO22="no",$AQ22,$AS22))*('Port Linkages'!$A$18:$A$157&lt;=$C22))))</f>
        <v>0</v>
      </c>
      <c r="UU22" s="25" t="e">
        <f t="array" aca="1" ref="UU22" ca="1">INDEX('Ship Fuel Prices'!$F$5:$F$1004,MATCH(2,1/(('Ship Fuel Prices'!$E$5:$E$1004=_xlfn.IFS(SJ22="Handysize",Main!UP22,SJ22="Supramax",UI22,SJ22="Panamax",UB22,SJ22="NeoPanamax",TU22,SJ22="Suezmax",TN22,SJ22="Capesize",TG22,SJ22="VLOC",SZ22))*('Ship Fuel Prices'!$D$5:$D$1004&lt;=Main!$C22))))</f>
        <v>#N/A</v>
      </c>
      <c r="UV22" s="25" t="e">
        <f t="array" aca="1" ref="UV22" ca="1">INDEX('Ship Fuel Prices'!$G$5:$G$1004,MATCH(2,1/(('Ship Fuel Prices'!$E$5:$E$1004=_xlfn.IFS(SJ22="Handysize",Main!UP22,SJ22="Supramax",UI22,SJ22="Panamax",UB22,SJ22="NeoPanamax",TU22,SJ22="Suezmax",TN22,SJ22="Capesize",TG22,SJ22="VLOC",SZ22))*('Ship Fuel Prices'!$D$5:$D$1004&lt;=Main!$C22))))</f>
        <v>#N/A</v>
      </c>
      <c r="UW22" s="25" t="e">
        <f t="array" aca="1" ref="UW22" ca="1">INDEX('Ship Fuel Prices'!$H$5:$H$1004,MATCH(2,1/(('Ship Fuel Prices'!$E$5:$E$1004=_xlfn.IFS(SJ22="Handysize",Main!UP22,SJ22="Supramax",UI22,SJ22="Panamax",UB22,SJ22="NeoPanamax",TU22,SJ22="Suezmax",TN22,SJ22="Capesize",TG22,SJ22="VLOC",SZ22))*('Ship Fuel Prices'!$D$5:$D$1004&lt;=Main!$C22))))</f>
        <v>#N/A</v>
      </c>
      <c r="UX22" s="25" t="e">
        <f t="array" aca="1" ref="UX22" ca="1">INDEX('Ship Fuel Prices'!$I$5:$I$1004,MATCH(2,1/(('Ship Fuel Prices'!$E$5:$E$1004=_xlfn.IFS(SJ22="Handysize",Main!UP22,SJ22="Supramax",UI22,SJ22="Panamax",UB22,SJ22="NeoPanamax",TU22,SJ22="Suezmax",TN22,SJ22="Capesize",TG22,SJ22="VLOC",SZ22))*('Ship Fuel Prices'!$D$5:$D$1004&lt;=Main!$C22))))</f>
        <v>#N/A</v>
      </c>
      <c r="UY22" s="25" t="e">
        <f t="array" aca="1" ref="UY22" ca="1">INDEX('Ship Fuel Prices'!$J$5:$J$1004,MATCH(2,1/(('Ship Fuel Prices'!$E$5:$E$1004=_xlfn.IFS(SJ22="Handysize",Main!UP22,SJ22="Supramax",UI22,SJ22="Panamax",UB22,SJ22="NeoPanamax",TU22,SJ22="Suezmax",TN22,SJ22="Capesize",TG22,SJ22="VLOC",SZ22))*('Ship Fuel Prices'!$D$5:$D$1004&lt;=Main!$C22))))</f>
        <v>#N/A</v>
      </c>
      <c r="VA22" s="75">
        <f t="array" ref="VA22">INDEX('China n Importing Ports'!$E$20:$E$41,MATCH(2,1/(('China n Importing Ports'!$D$20:$D$41&lt;=$C22)*('China n Importing Ports'!$C$20:$C$41=IF($AO22="No",$AQ22,$AS22)))))</f>
        <v>0</v>
      </c>
      <c r="VB22" s="75">
        <f t="array" ref="VB22">INDEX('China n Importing Ports'!$F$20:$F$41,MATCH(2,1/(('China n Importing Ports'!$D$20:$D$41&lt;=$C22)*('China n Importing Ports'!$C$20:$C$41=IF($AO22="No",$AQ22,$AS22)))))</f>
        <v>0</v>
      </c>
      <c r="VC22" s="75">
        <f t="array" ref="VC22">INDEX('China n Importing Ports'!$G$20:$G$41,MATCH(2,1/(('China n Importing Ports'!$D$20:$D$41&lt;=$C22)*('China n Importing Ports'!$C$20:$C$41=IF($AO22="No",$AQ22,$AS22)))))</f>
        <v>0</v>
      </c>
      <c r="VD22" s="75">
        <f t="array" ref="VD22">INDEX('China n Importing Ports'!$H$20:$H$41,MATCH(2,1/(('China n Importing Ports'!$D$20:$D$41&lt;=$C22)*('China n Importing Ports'!$C$20:$C$41=IF($AO22="No",$AQ22,$AS22)))))</f>
        <v>0</v>
      </c>
      <c r="VE22" s="75">
        <f t="array" ref="VE22">INDEX('China n Importing Ports'!$I$20:$I$41,MATCH(2,1/(('China n Importing Ports'!$D$20:$D$41&lt;=$C22)*('China n Importing Ports'!$C$20:$C$41=IF($AO22="No",$AQ22,$AS22)))))</f>
        <v>0</v>
      </c>
      <c r="VF22" s="75">
        <f t="array" ref="VF22">INDEX('China n Importing Ports'!$J$20:$J$41,MATCH(2,1/(('China n Importing Ports'!$D$20:$D$41&lt;=$C22)*('China n Importing Ports'!$C$20:$C$41=IF($AO22="No",$AQ22,$AS22)))))</f>
        <v>0</v>
      </c>
      <c r="VG22" s="75">
        <f t="array" ref="VG22">INDEX('China n Importing Ports'!$K$20:$K$41,MATCH(2,1/(('China n Importing Ports'!$D$20:$D$41&lt;=$C22)*('China n Importing Ports'!$C$20:$C$41=IF($AO22="No",$AQ22,$AS22)))))</f>
        <v>0</v>
      </c>
      <c r="VH22" s="75">
        <f t="array" ref="VH22">INDEX('China n Importing Ports'!$L$20:$L$41,MATCH(2,1/(('China n Importing Ports'!$D$20:$D$41&lt;=$C22)*('China n Importing Ports'!$C$20:$C$41=IF($AO22="No",$AQ22,$AS22)))))</f>
        <v>0</v>
      </c>
      <c r="VI22" s="75">
        <f t="array" ref="VI22">INDEX('China n Importing Ports'!$M$20:$M$41,MATCH(2,1/(('China n Importing Ports'!$D$20:$D$41&lt;=$C22)*('China n Importing Ports'!$C$20:$C$41=IF($AO22="No",$AQ22,$AS22)))))</f>
        <v>0</v>
      </c>
      <c r="VJ22" s="75">
        <f t="array" ref="VJ22">INDEX('China n Importing Ports'!$N$20:$N$41,MATCH(2,1/(('China n Importing Ports'!$D$20:$D$41&lt;=$C22)*('China n Importing Ports'!$C$20:$C$41=IF($AO22="No",$AQ22,$AS22)))))</f>
        <v>0</v>
      </c>
      <c r="VK22" s="75">
        <f t="array" ref="VK22">INDEX('China n Importing Ports'!$O$20:$O$41,MATCH(2,1/(('China n Importing Ports'!$D$20:$D$41&lt;=$C22)*('China n Importing Ports'!$C$20:$C$41=IF($AO22="No",$AQ22,$AS22)))))</f>
        <v>0</v>
      </c>
      <c r="VL22" s="136">
        <f t="array" ref="VL22">INDEX('China n Importing Ports'!$P$20:$P$41,MATCH(2,1/(('China n Importing Ports'!$D$20:$D$41&lt;=$C22)*('China n Importing Ports'!$C$20:$C$41=IF($AO22="No",$AQ22,$AS22)))))</f>
        <v>0</v>
      </c>
      <c r="VM22" s="136">
        <f t="array" ref="VM22">INDEX('China n Importing Ports'!$Q$20:$Q$41,MATCH(2,1/(('China n Importing Ports'!$D$20:$D$41&lt;=$C22)*('China n Importing Ports'!$C$20:$C$41=IF($AO22="No",$AQ22,$AS22)))))</f>
        <v>0</v>
      </c>
      <c r="VN22" s="136">
        <f t="array" ref="VN22">INDEX('China n Importing Ports'!$R$20:$R$41,MATCH(2,1/(('China n Importing Ports'!$D$20:$D$41&lt;=$C22)*('China n Importing Ports'!$C$20:$C$41=IF($AO22="No",$AQ22,$AS22)))))</f>
        <v>0</v>
      </c>
      <c r="VO22" s="136">
        <f t="array" ref="VO22">INDEX('China n Importing Ports'!$S$20:$S$41,MATCH(2,1/(('China n Importing Ports'!$D$20:$D$41&lt;=$C22)*('China n Importing Ports'!$C$20:$C$41=IF($AO22="No",$AQ22,$AS22)))))</f>
        <v>0</v>
      </c>
      <c r="VP22" s="136">
        <f t="array" ref="VP22">INDEX('China n Importing Ports'!$T$20:$T$41,MATCH(2,1/(('China n Importing Ports'!$D$20:$D$41&lt;=$C22)*('China n Importing Ports'!$C$20:$C$41=IF($AO22="No",$AQ22,$AS22)))))</f>
        <v>0</v>
      </c>
      <c r="VQ22" s="136">
        <f t="array" ref="VQ22">INDEX('China n Importing Ports'!$U$20:$U$41,MATCH(2,1/(('China n Importing Ports'!$D$20:$D$41&lt;=$C22)*('China n Importing Ports'!$C$20:$C$41=IF($AO22="No",$AQ22,$AS22)))))</f>
        <v>0</v>
      </c>
      <c r="VR22" s="136">
        <f t="array" ref="VR22">INDEX('China n Importing Ports'!$V$20:$V$41,MATCH(2,1/(('China n Importing Ports'!$D$20:$D$41&lt;=$C22)*('China n Importing Ports'!$C$20:$C$41=IF($AO22="No",$AQ22,$AS22)))))</f>
        <v>0</v>
      </c>
      <c r="VS22" s="136">
        <f t="array" ref="VS22">INDEX('China n Importing Ports'!$W$20:$W$41,MATCH(2,1/(('China n Importing Ports'!$D$20:$D$41&lt;=$C22)*('China n Importing Ports'!$C$20:$C$41=IF($AO22="No",$AQ22,$AS22)))))</f>
        <v>0</v>
      </c>
      <c r="VT22" s="136">
        <f t="array" ref="VT22">INDEX('China n Importing Ports'!$X$20:$X$41,MATCH(2,1/(('China n Importing Ports'!$D$20:$D$41&lt;=$C22)*('China n Importing Ports'!$C$20:$C$41=IF($AO22="No",$AQ22,$AS22)))))</f>
        <v>0</v>
      </c>
      <c r="VU22" s="136">
        <f t="array" ref="VU22">INDEX('China n Importing Ports'!$Y$20:$Y$41,MATCH(2,1/(('China n Importing Ports'!$D$20:$D$41&lt;=$C22)*('China n Importing Ports'!$C$20:$C$41=IF($AO22="No",$AQ22,$AS22)))))</f>
        <v>0</v>
      </c>
      <c r="VV22" s="136">
        <f t="array" ref="VV22">INDEX('China n Importing Ports'!$Z$20:$Z$41,MATCH(2,1/(('China n Importing Ports'!$D$20:$D$41&lt;=$C22)*('China n Importing Ports'!$C$20:$C$41=IF($AO22="No",$AQ22,$AS22)))))</f>
        <v>0</v>
      </c>
      <c r="VW22" s="136">
        <f t="array" ref="VW22">INDEX('China n Importing Ports'!$AA$20:$AA$41,MATCH(2,1/(('China n Importing Ports'!$D$20:$D$41&lt;=$C22)*('China n Importing Ports'!$C$20:$C$41=IF($AO22="No",$AQ22,$AS22)))))</f>
        <v>0</v>
      </c>
      <c r="VY22" s="75" t="e">
        <f t="array" aca="1" ref="VY22" ca="1">INDEX(Canals!$G$24:$G$29,MATCH(2,1/((Canals!$F$24:$F$29&lt;=$C22)*(Canals!$G$24:$G$29=_xlfn.IFS(SJ22="Handysize",US22,SJ22="Supramax",UL22,SJ22="Panamax",UE22,SJ22="NeoPanamax",TX22,SJ22="Suezmax",TQ22,SJ22="Capesize",TJ22,SJ22="VLOC",TC22)))))</f>
        <v>#N/A</v>
      </c>
      <c r="VZ22" s="75" t="e">
        <f t="array" aca="1" ref="VZ22" ca="1">INDEX(Canals!$H$24:$H$29,MATCH(2,1/((Canals!$F$24:$F$29&lt;=$C22)*(Canals!$G$24:$G$29=_xlfn.IFS(SJ22="Handysize",US22,SJ22="Supramax",UL22,SJ22="Panamax",UE22,SJ22="NeoPanamax",TX22,SJ22="Suezmax",TQ22,SJ22="Capesize",TJ22,SJ22="VLOC",TC22)))))</f>
        <v>#N/A</v>
      </c>
      <c r="WA22" s="75" t="e">
        <f t="array" aca="1" ref="WA22" ca="1">INDEX(Canals!$I$24:$I$29,MATCH(2,1/((Canals!$F$24:$F$29&lt;=$C22)*(Canals!$G$24:$G$29=_xlfn.IFS(SJ22="Handysize",US22,SJ22="Supramax",UL22,SJ22="Panamax",UE22,SJ22="NeoPanamax",TX22,SJ22="Suezmax",TQ22,SJ22="Capesize",TJ22,SJ22="VLOC",TC22)))))</f>
        <v>#N/A</v>
      </c>
      <c r="WB22" s="75" t="e">
        <f t="array" aca="1" ref="WB22" ca="1">INDEX(Canals!$J$24:$J$29,MATCH(2,1/((Canals!$F$24:$F$29&lt;=$C22)*(Canals!$G$24:$G$29=_xlfn.IFS(SJ22="Handysize",Main!US22,SJ22="Supramax",UL22,SJ22="Panamax",UE22,SJ22="NeoPanamax",TX22,SJ22="Suezmax",TQ22,SJ22="Capesize",TJ22,SJ22="VLOC",TC22)))))</f>
        <v>#N/A</v>
      </c>
      <c r="WC22" s="75" t="e">
        <f t="array" aca="1" ref="WC22" ca="1">INDEX(Canals!$K$24:$K$29,MATCH(2,1/((Canals!$F$24:$F$29&lt;=$C22)*(Canals!$G$24:$G$29=_xlfn.IFS(SJ22="Handysize",Main!US22,SJ22="Supramax",UL22,SJ22="Panamax",UE22,SJ22="NeoPanamax",TX22,SJ22="Suezmax",TQ22,SJ22="Capesize",TJ22,SJ22="VLOC",TC22)))))</f>
        <v>#N/A</v>
      </c>
      <c r="WD22" s="75" t="e">
        <f t="array" aca="1" ref="WD22" ca="1">INDEX(Canals!$L$24:$L$29,MATCH(2,1/((Canals!$F$24:$F$29&lt;=$C22)*(Canals!$G$24:$G$29=_xlfn.IFS(SJ22="Handysize",Main!US22,SJ22="Supramax",UL22,SJ22="Panamax",UE22,SJ22="NeoPanamax",TX22,SJ22="Suezmax",TQ22,SJ22="Capesize",TJ22,SJ22="VLOC",TC22)))))</f>
        <v>#N/A</v>
      </c>
      <c r="WE22" s="75" t="e">
        <f t="array" aca="1" ref="WE22" ca="1">INDEX(Canals!$M$24:$M$29,MATCH(2,1/((Canals!$F$24:$F$29&lt;=$C22)*(Canals!$G$24:$G$29=_xlfn.IFS(SJ22="Handysize",Main!US22,SJ22="Supramax",UL22,SJ22="Panamax",UE22,SJ22="NeoPanamax",TX22,SJ22="Suezmax",TQ22,SJ22="Capesize",TJ22,SJ22="VLOC",TC22)))))</f>
        <v>#N/A</v>
      </c>
      <c r="WF22" s="75" t="e">
        <f t="array" aca="1" ref="WF22" ca="1">INDEX(Canals!$N$24:$N$29,MATCH(2,1/((Canals!$F$24:$F$29&lt;=$C22)*(Canals!$G$24:$G$29=_xlfn.IFS(SJ22="Handysize",Main!US22,SJ22="Supramax",UL22,SJ22="Panamax",UE22,SJ22="NeoPanamax",TX22,SJ22="Suezmax",TQ22,SJ22="Capesize",TJ22,SJ22="VLOC",TC22)))))</f>
        <v>#N/A</v>
      </c>
      <c r="WG22" s="75" t="e">
        <f t="array" aca="1" ref="WG22" ca="1">INDEX(Canals!$O$24:$O$29,MATCH(2,1/((Canals!$F$24:$F$29&lt;=$C22)*(Canals!$G$24:$G$29=_xlfn.IFS(SJ22="Handysize",Main!US22,SJ22="Supramax",UL22,SJ22="Panamax",UE22,SJ22="NeoPanamax",TX22,SJ22="Suezmax",TQ22,SJ22="Capesize",TJ22,SJ22="VLOC",TC22)))))</f>
        <v>#N/A</v>
      </c>
      <c r="WH22" s="75" t="e">
        <f t="array" aca="1" ref="WH22" ca="1">INDEX(Canals!$P$24:$P$29,MATCH(2,1/((Canals!$F$24:$F$29&lt;=$C22)*(Canals!$G$24:$G$29=_xlfn.IFS(SJ22="Handysize",Main!US22,SJ22="Supramax",UL22,SJ22="Panamax",UE22,SJ22="NeoPanamax",TX22,SJ22="Suezmax",TQ22,SJ22="Capesize",TJ22,SJ22="VLOC",TC22)))))</f>
        <v>#N/A</v>
      </c>
      <c r="WI22" s="75" t="e">
        <f t="array" aca="1" ref="WI22" ca="1">INDEX(Canals!$Q$24:$Q$29,MATCH(2,1/((Canals!$F$24:$F$29&lt;=$C22)*(Canals!$G$24:$G$29=_xlfn.IFS(SJ22="Handysize",Main!US22,SJ22="Supramax",UL22,SJ22="Panamax",UE22,SJ22="NeoPanamax",TX22,SJ22="Suezmax",TQ22,SJ22="Capesize",TJ22,SJ22="VLOC",TC22)))))</f>
        <v>#N/A</v>
      </c>
      <c r="WJ22" s="75" t="e">
        <f t="array" aca="1" ref="WJ22" ca="1">INDEX(Canals!$R$24:$R$29,MATCH(2,1/((Canals!$F$24:$F$29&lt;=$C22)*(Canals!$G$24:$G$29=_xlfn.IFS(SJ22="Handysize",Main!US22,SJ22="Supramax",UL22,SJ22="Panamax",UE22,SJ22="NeoPanamax",TX22,SJ22="Suezmax",TQ22,SJ22="Capesize",TJ22,SJ22="VLOC",TC22)))))</f>
        <v>#N/A</v>
      </c>
      <c r="WK22" s="136" t="e">
        <f t="array" aca="1" ref="WK22" ca="1">INDEX(Canals!$S$24:$S$29,MATCH(2,1/((Canals!$F$24:$F$29&lt;=$C22)*(Canals!$G$24:$G$29=_xlfn.IFS(SJ22="Handysize",Main!US22,SJ22="Supramax",UL22,SJ22="Panamax",UE22,SJ22="NeoPanamax",TX22,SJ22="Suezmax",TQ22,SJ22="Capesize",TJ22,SJ22="VLOC",TC22)))))</f>
        <v>#N/A</v>
      </c>
      <c r="WL22" s="136" t="e">
        <f t="array" aca="1" ref="WL22" ca="1">INDEX(Canals!$T$24:$T$29,MATCH(2,1/((Canals!$F$24:$F$29&lt;=$C22)*(Canals!$G$24:$G$29=_xlfn.IFS(SJ22="Handysize",Main!US22,SJ22="Supramax",UL22,SJ22="Panamax",UE22,SJ22="NeoPanamax",TX22,SJ22="Suezmax",TQ22,SJ22="Capesize",TJ22,SJ22="VLOC",TC22)))))</f>
        <v>#N/A</v>
      </c>
      <c r="WM22" s="136" t="e">
        <f t="array" aca="1" ref="WM22" ca="1">INDEX(Canals!$U$24:$U$29,MATCH(2,1/((Canals!$F$24:$F$29&lt;=$C22)*(Canals!$G$24:$G$29=_xlfn.IFS(SJ22="Handysize",Main!US22,SJ22="Supramax",UL22,SJ22="Panamax",UE22,SJ22="NeoPanamax",TX22,SJ22="Suezmax",TQ22,SJ22="Capesize",TJ22,SJ22="VLOC",TC22)))))</f>
        <v>#N/A</v>
      </c>
      <c r="WN22" s="136" t="e">
        <f t="array" aca="1" ref="WN22" ca="1">INDEX(Canals!$V$24:$V$29,MATCH(2,1/((Canals!$F$24:$F$29&lt;=$C22)*(Canals!$G$24:$G$29=_xlfn.IFS(SJ22="Handysize",Main!US22,SJ22="Supramax",UL22,SJ22="Panamax",UE22,SJ22="NeoPanamax",TX22,SJ22="Suezmax",TQ22,SJ22="Capesize",TJ22,SJ22="VLOC",TC22)))))</f>
        <v>#N/A</v>
      </c>
      <c r="WO22" s="136" t="e">
        <f t="array" aca="1" ref="WO22" ca="1">INDEX(Canals!$W$24:$W$29,MATCH(2,1/((Canals!$F$24:$F$29&lt;=$C22)*(Canals!$G$24:$G$29=_xlfn.IFS(SJ22="Handysize",Main!US22,SJ22="Supramax",UL22,SJ22="Panamax",UE22,SJ22="NeoPanamax",TX22,SJ22="Suezmax",TQ22,SJ22="Capesize",TJ22,SJ22="VLOC",TC22)))))</f>
        <v>#N/A</v>
      </c>
      <c r="WP22" s="136" t="e">
        <f t="array" aca="1" ref="WP22" ca="1">INDEX(Canals!$X$24:$X$29,MATCH(2,1/((Canals!$F$24:$F$29&lt;=$C22)*(Canals!$G$24:$G$29=_xlfn.IFS(SJ22="Handysize",Main!US22,SJ22="Supramax",UL22,SJ22="Panamax",UE22,SJ22="NeoPanamax",TX22,SJ22="Suezmax",TQ22,SJ22="Capesize",TJ22,SJ22="VLOC",TC22)))))</f>
        <v>#N/A</v>
      </c>
      <c r="WQ22" s="136" t="e">
        <f t="array" aca="1" ref="WQ22" ca="1">INDEX(Canals!$Y$24:$Y$29,MATCH(2,1/((Canals!$F$24:$F$29&lt;=$C22)*(Canals!$G$24:$G$29=_xlfn.IFS(SJ22="Handysize",Main!US22,SJ22="Supramax",UL22,SJ22="Panamax",UE22,SJ22="NeoPanamax",TX22,SJ22="Suezmax",TQ22,SJ22="Capesize",TJ22,SJ22="VLOC",TC22)))))</f>
        <v>#N/A</v>
      </c>
      <c r="WR22" s="136" t="e">
        <f t="array" aca="1" ref="WR22" ca="1">INDEX(Canals!$Z$24:$Z$29,MATCH(2,1/((Canals!$F$24:$F$29&lt;=$C22)*(Canals!$G$24:$G$29=_xlfn.IFS(SJ22="Handysize",Main!US22,SJ22="Supramax",UL22,SJ22="Panamax",UE22,SJ22="NeoPanamax",TX22,SJ22="Suezmax",TQ22,SJ22="Capesize",TJ22,SJ22="VLOC",TC22)))))</f>
        <v>#N/A</v>
      </c>
      <c r="WS22" s="136" t="e">
        <f t="array" aca="1" ref="WS22" ca="1">INDEX(Canals!$AA$24:$AA$29,MATCH(2,1/((Canals!$F$24:$F$29&lt;=$C22)*(Canals!$G$24:$G$29=_xlfn.IFS(SJ22="Handysize",Main!US22,SJ22="Supramax",UL22,SJ22="Panamax",UE22,SJ22="NeoPanamax",TX22,SJ22="Suezmax",TQ22,SJ22="Capesize",TJ22,SJ22="VLOC",TC22)))))</f>
        <v>#N/A</v>
      </c>
      <c r="WT22" s="136" t="e">
        <f t="array" aca="1" ref="WT22" ca="1">INDEX(Canals!$AB$24:$AB$29,MATCH(2,1/((Canals!$F$24:$F$29&lt;=$C22)*(Canals!$G$24:$G$29=_xlfn.IFS(SJ22="Handysize",Main!US22,SJ22="Supramax",UL22,SJ22="Panamax",UE22,SJ22="NeoPanamax",TX22,SJ22="Suezmax",TQ22,SJ22="Capesize",TJ22,SJ22="VLOC",TC22)))))</f>
        <v>#N/A</v>
      </c>
      <c r="WU22" s="75" t="e">
        <f t="array" aca="1" ref="WU22" ca="1">INDEX(Canals!$AC$24:$AC$29,MATCH(2,1/((Canals!$F$24:$F$29&lt;=$C22)*(Canals!$G$24:$G$29=_xlfn.IFS(SJ22="Handysize",Main!US22,SJ22="Supramax",UL22,SJ22="Panamax",UE22,SJ22="NeoPanamax",TX22,SJ22="Suezmax",TQ22,SJ22="Capesize",TJ22,SJ22="VLOC",TC22)))))</f>
        <v>#N/A</v>
      </c>
      <c r="WV22" s="75" t="e">
        <f t="array" aca="1" ref="WV22" ca="1">INDEX(Canals!$AD$24:$AD$29,MATCH(2,1/((Canals!$F$24:$F$29&lt;=$C22)*(Canals!$G$24:$G$29=_xlfn.IFS(SJ22="Handysize",Main!US22,SJ22="Supramax",UL22,SJ22="Panamax",UE22,SJ22="NeoPanamax",TX22,SJ22="Suezmax",TQ22,SJ22="Capesize",TJ22,SJ22="VLOC",TC22)))))</f>
        <v>#N/A</v>
      </c>
      <c r="WW22" s="75" t="e">
        <f t="array" aca="1" ref="WW22" ca="1">INDEX(Canals!$AE$24:$AE$29,MATCH(2,1/((Canals!$F$24:$F$29&lt;=$C22)*(Canals!$G$24:$G$29=_xlfn.IFS(SJ22="Handysize",Main!US22,SJ22="Supramax",UL22,SJ22="Panamax",UE22,SJ22="NeoPanamax",TX22,SJ22="Suezmax",TQ22,SJ22="Capesize",TJ22,SJ22="VLOC",TC22)))))</f>
        <v>#N/A</v>
      </c>
      <c r="WX22" s="75" t="e">
        <f t="array" aca="1" ref="WX22" ca="1">INDEX(Canals!$AF$24:$AF$29,MATCH(2,1/((Canals!$F$24:$F$29&lt;=$C22)*(Canals!$G$24:$G$29=_xlfn.IFS(SJ22="Handysize",Main!US22,SJ22="Supramax",UL22,SJ22="Panamax",UE22,SJ22="NeoPanamax",TX22,SJ22="Suezmax",TQ22,SJ22="Capesize",TJ22,SJ22="VLOC",TC22)))))</f>
        <v>#N/A</v>
      </c>
      <c r="WY22" s="75" t="e">
        <f t="array" aca="1" ref="WY22" ca="1">INDEX(Canals!$AG$24:$AG$29,MATCH(2,1/((Canals!$F$24:$F$29&lt;=$C22)*(Canals!$G$24:$G$29=_xlfn.IFS(SJ22="Handysize",Main!US22,SJ22="Supramax",UL22,SJ22="Panamax",UE22,SJ22="NeoPanamax",TX22,SJ22="Suezmax",TQ22,SJ22="Capesize",TJ22,SJ22="VLOC",TC22)))))</f>
        <v>#N/A</v>
      </c>
      <c r="WZ22" s="75" t="e">
        <f t="array" aca="1" ref="WZ22" ca="1">INDEX(Canals!$AH$24:$AH$29,MATCH(2,1/((Canals!$F$24:$F$29&lt;=$C22)*(Canals!$G$24:$G$29=_xlfn.IFS(SJ22="Handysize",Main!US22,SJ22="Supramax",UL22,SJ22="Panamax",UE22,SJ22="NeoPanamax",TX22,SJ22="Suezmax",TQ22,SJ22="Capesize",TJ22,SJ22="VLOC",TC22)))))</f>
        <v>#N/A</v>
      </c>
      <c r="XA22" s="75" t="e">
        <f t="array" aca="1" ref="XA22" ca="1">INDEX(Canals!$AI$24:$AI$29,MATCH(2,1/((Canals!$F$24:$F$29&lt;=$C22)*(Canals!$G$24:$G$29=_xlfn.IFS(SJ22="Handysize",Main!US22,SJ22="Supramax",UL22,SJ22="Panamax",UE22,SJ22="NeoPanamax",TX22,SJ22="Suezmax",TQ22,SJ22="Capesize",TJ22,SJ22="VLOC",TC22)))))</f>
        <v>#N/A</v>
      </c>
      <c r="XB22" s="75" t="e">
        <f t="array" aca="1" ref="XB22" ca="1">INDEX(Canals!$AJ$24:$AJ$29,MATCH(2,1/((Canals!$F$24:$F$29&lt;=$C22)*(Canals!$G$24:$G$29=_xlfn.IFS(SJ22="Handysize",Main!US22,SJ22="Supramax",UL22,SJ22="Panamax",UE22,SJ22="NeoPanamax",TX22,SJ22="Suezmax",TQ22,SJ22="Capesize",TJ22,SJ22="VLOC",TC22)))))</f>
        <v>#N/A</v>
      </c>
      <c r="XC22" s="75" t="e">
        <f t="array" aca="1" ref="XC22" ca="1">INDEX(Canals!$AK$24:$AK$29,MATCH(2,1/((Canals!$F$24:$F$29&lt;=$C22)*(Canals!$G$24:$G$29=_xlfn.IFS(SJ22="Handysize",Main!US22,SJ22="Supramax",UL22,SJ22="Panamax",UE22,SJ22="NeoPanamax",TX22,SJ22="Suezmax",TQ22,SJ22="Capesize",TJ22,SJ22="VLOC",TC22)))))</f>
        <v>#N/A</v>
      </c>
      <c r="XD22" s="136" t="e">
        <f t="array" aca="1" ref="XD22" ca="1">INDEX(Canals!$AL$24:$AL$29,MATCH(2,1/((Canals!$F$24:$F$29&lt;=$C22)*(Canals!$G$24:$G$29=_xlfn.IFS(SJ22="Handysize",Main!US22,SJ22="Supramax",UL22,SJ22="Panamax",UE22,SJ22="NeoPanamax",TX22,SJ22="Suezmax",TQ22,SJ22="Capesize",TJ22,SJ22="VLOC",TC22)))))</f>
        <v>#N/A</v>
      </c>
      <c r="XE22" s="136" t="e">
        <f t="array" aca="1" ref="XE22" ca="1">INDEX(Canals!$AM$24:$AM$29,MATCH(2,1/((Canals!$F$24:$F$29&lt;=$C22)*(Canals!$G$24:$G$29=_xlfn.IFS(SJ22="Handysize",Main!US22,SJ22="Supramax",UL22,SJ22="Panamax",UE22,SJ22="NeoPanamax",TX22,SJ22="Suezmax",TQ22,SJ22="Capesize",TJ22,SJ22="VLOC",TC22)))))</f>
        <v>#N/A</v>
      </c>
      <c r="XF22" s="136" t="e">
        <f t="array" aca="1" ref="XF22" ca="1">INDEX(Canals!$AN$24:$AN$29,MATCH(2,1/((Canals!$F$24:$F$29&lt;=$C22)*(Canals!$G$24:$G$29=_xlfn.IFS(SJ22="Handysize",Main!US22,SJ22="Supramax",UL22,SJ22="Panamax",UE22,SJ22="NeoPanamax",TX22,SJ22="Suezmax",TQ22,SJ22="Capesize",TJ22,SJ22="VLOC",TC22)))))</f>
        <v>#N/A</v>
      </c>
      <c r="XG22" s="136" t="e">
        <f t="array" aca="1" ref="XG22" ca="1">INDEX(Canals!$AO$24:$AO$29,MATCH(2,1/((Canals!$F$24:$F$29&lt;=$C22)*(Canals!$G$24:$G$29=_xlfn.IFS(SJ22="Handysize",Main!US22,SJ22="Supramax",UL22,SJ22="Panamax",UE22,SJ22="NeoPanamax",TX22,SJ22="Suezmax",TQ22,SJ22="Capesize",TJ22,SJ22="VLOC",TC22)))))</f>
        <v>#N/A</v>
      </c>
      <c r="XH22" s="136" t="e">
        <f t="array" aca="1" ref="XH22" ca="1">INDEX(Canals!$AP$24:$AP$29,MATCH(2,1/((Canals!$F$24:$F$29&lt;=$C22)*(Canals!$G$24:$G$29=_xlfn.IFS(SJ22="Handysize",Main!US22,SJ22="Supramax",UL22,SJ22="Panamax",UE22,SJ22="NeoPanamax",TX22,SJ22="Suezmax",TQ22,SJ22="Capesize",TJ22,SJ22="VLOC",TC22)))))</f>
        <v>#N/A</v>
      </c>
      <c r="XI22" s="136" t="e">
        <f t="array" aca="1" ref="XI22" ca="1">INDEX(Canals!$AQ$24:$AQ$29,MATCH(2,1/((Canals!$F$24:$F$29&lt;=$C22)*(Canals!$G$24:$G$29=_xlfn.IFS(SJ22="Handysize",Main!US22,SJ22="Supramax",UL22,SJ22="Panamax",UE22,SJ22="NeoPanamax",TX22,SJ22="Suezmax",TQ22,SJ22="Capesize",TJ22,SJ22="VLOC",TC22)))))</f>
        <v>#N/A</v>
      </c>
      <c r="XJ22" s="136" t="e">
        <f t="array" aca="1" ref="XJ22" ca="1">INDEX(Canals!$AR$24:$AR$29,MATCH(2,1/((Canals!$F$24:$F$29&lt;=$C22)*(Canals!$G$24:$G$29=_xlfn.IFS(SJ22="Handysize",Main!US22,SJ22="Supramax",UL22,SJ22="Panamax",UE22,SJ22="NeoPanamax",TX22,SJ22="Suezmax",TQ22,SJ22="Capesize",TJ22,SJ22="VLOC",TC22)))))</f>
        <v>#N/A</v>
      </c>
      <c r="XK22" s="136" t="e">
        <f t="array" aca="1" ref="XK22" ca="1">INDEX(Canals!$AS$24:$AS$29,MATCH(2,1/((Canals!$F$24:$F$29&lt;=$C22)*(Canals!$G$24:$G$29=_xlfn.IFS(SJ22="Handysize",Main!US22,SJ22="Supramax",UL22,SJ22="Panamax",UE22,SJ22="NeoPanamax",TX22,SJ22="Suezmax",TQ22,SJ22="Capesize",TJ22,SJ22="VLOC",TC22)))))</f>
        <v>#N/A</v>
      </c>
      <c r="XL22" s="136" t="e">
        <f t="array" aca="1" ref="XL22" ca="1">INDEX(Canals!$AT$24:$AT$29,MATCH(2,1/((Canals!$F$24:$F$29&lt;=$C22)*(Canals!$G$24:$G$29=_xlfn.IFS(SJ22="Handysize",Main!US22,SJ22="Supramax",UL22,SJ22="Panamax",UE22,SJ22="NeoPanamax",TX22,SJ22="Suezmax",TQ22,SJ22="Capesize",TJ22,SJ22="VLOC",TC22)))))</f>
        <v>#N/A</v>
      </c>
      <c r="XM22" s="136" t="e">
        <f t="array" aca="1" ref="XM22" ca="1">INDEX(Canals!$AU$24:$AU$29,MATCH(2,1/((Canals!$F$24:$F$29&lt;=$C22)*(Canals!$G$24:$G$29=_xlfn.IFS(SJ22="Handysize",Main!US22,SJ22="Supramax",UL22,SJ22="Panamax",UE22,SJ22="NeoPanamax",TX22,SJ22="Suezmax",TQ22,SJ22="Capesize",TJ22,SJ22="VLOC",TC22)))))</f>
        <v>#N/A</v>
      </c>
      <c r="XN22" s="136" t="e">
        <f t="array" aca="1" ref="XN22" ca="1">INDEX(Canals!$AV$24:$AV$29,MATCH(2,1/((Canals!$F$24:$F$29&lt;=$C22)*(Canals!$G$24:$G$29=_xlfn.IFS(SJ22="Handysize",Main!US22,SJ22="Supramax",UL22,SJ22="Panamax",UE22,SJ22="NeoPanamax",TX22,SJ22="Suezmax",TQ22,SJ22="Capesize",TJ22,SJ22="VLOC",TC22)))))</f>
        <v>#N/A</v>
      </c>
      <c r="XP22" s="75" t="e">
        <f t="array" aca="1" ref="XP22" ca="1">_xlfn.IFS(WA22="DWT",SH22,WA22="NRT",SL22,WA22="GRT",SM22,WA22=0,0)</f>
        <v>#NAME?</v>
      </c>
      <c r="XQ22" s="279" t="e">
        <f t="shared" ca="1" si="125"/>
        <v>#NAME?</v>
      </c>
      <c r="XR22" s="280" t="e">
        <f t="shared" ca="1" si="126"/>
        <v>#NAME?</v>
      </c>
      <c r="XS22" s="280" t="e">
        <f t="shared" ca="1" si="127"/>
        <v>#NAME?</v>
      </c>
      <c r="XT22" s="280" t="e">
        <f t="shared" ca="1" si="128"/>
        <v>#NAME?</v>
      </c>
      <c r="XU22" s="280" t="e">
        <f t="shared" ca="1" si="129"/>
        <v>#NAME?</v>
      </c>
      <c r="XV22" s="280" t="e">
        <f t="shared" ca="1" si="130"/>
        <v>#NAME?</v>
      </c>
      <c r="XW22" s="280" t="e">
        <f t="shared" ca="1" si="131"/>
        <v>#NAME?</v>
      </c>
      <c r="XX22" s="280" t="e">
        <f t="shared" ca="1" si="132"/>
        <v>#NAME?</v>
      </c>
      <c r="XY22" s="280" t="e">
        <f t="shared" ca="1" si="133"/>
        <v>#NAME?</v>
      </c>
      <c r="XZ22" s="75">
        <f t="shared" si="134"/>
        <v>0</v>
      </c>
      <c r="YA22" s="279" t="e">
        <f t="shared" ca="1" si="135"/>
        <v>#N/A</v>
      </c>
      <c r="YB22" s="280" t="e">
        <f t="shared" ca="1" si="136"/>
        <v>#N/A</v>
      </c>
      <c r="YC22" s="280" t="e">
        <f t="shared" ca="1" si="137"/>
        <v>#N/A</v>
      </c>
      <c r="YD22" s="280" t="e">
        <f t="shared" ca="1" si="138"/>
        <v>#N/A</v>
      </c>
      <c r="YE22" s="280" t="e">
        <f t="shared" ca="1" si="139"/>
        <v>#N/A</v>
      </c>
      <c r="YF22" s="280" t="e">
        <f t="shared" ca="1" si="140"/>
        <v>#N/A</v>
      </c>
      <c r="YG22" s="280" t="e">
        <f t="shared" ca="1" si="141"/>
        <v>#N/A</v>
      </c>
      <c r="YH22" s="280" t="e">
        <f t="shared" ca="1" si="142"/>
        <v>#N/A</v>
      </c>
      <c r="YI22" s="280" t="e">
        <f t="shared" ca="1" si="143"/>
        <v>#N/A</v>
      </c>
      <c r="YK22" s="75" t="e">
        <f t="array" aca="1" ref="YK22" ca="1">_xlfn.IFS(SJ22="Handysize",Main!UM22,SJ22="Supramax",UF22,SJ22="Panamax",TY22,SJ22="NeoPanamax",TR22,SJ22="Suezmax",TK22,SJ22="Capesize",TD22,SJ22="VLOC",SW22)*$JI22</f>
        <v>#NAME?</v>
      </c>
      <c r="YL22" s="274" t="e">
        <f t="array" aca="1" ref="YL22" ca="1">_xlfn.IFS(SJ22="Handysize",Main!UN22,SJ22="Supramax",UG22,SJ22="Panamax",TZ22,SJ22="NeoPanamax",TS22,SJ22="Suezmax",TL22,SJ22="Capesize",TE22,SJ22="VLOC",SX22)*$JI22</f>
        <v>#NAME?</v>
      </c>
      <c r="YM22" s="71" t="e">
        <f t="array" aca="1" ref="YM22" ca="1">_xlfn.IFS(SJ22="Handysize",Main!SO22,SJ22="Supramax",SP22,SJ22="Panamax",SQ22,SJ22="NeoPanamax",SR22,SJ22="Suezmax",SS22,SJ22="Capesize",ST22,SJ22="VLOC",SU22)</f>
        <v>#NAME?</v>
      </c>
      <c r="YN22" s="71" t="e">
        <f t="array" aca="1" ref="YN22" ca="1">_xlfn.IFS(SJ22="Handysize",Main!VA22,SJ22="Supramax",VB22,SJ22="Panamax",VC22,SJ22="NeoPanamax",VD22,SJ22="Suezmax",VE22,SJ22="Capesize",VF22,SJ22="VLOC",VG22)</f>
        <v>#NAME?</v>
      </c>
      <c r="YO22" s="70">
        <f t="array" ref="YO22">INDEX('Ship Speeds'!$G$11:$G$1011,MATCH(2,1/(('Ship Speeds'!$E$11:$E$1011&lt;=Main!$C22)*('Ship Speeds'!$F$11:$F$1011=Main!SI22))))</f>
        <v>11</v>
      </c>
      <c r="YP22" s="403">
        <f t="shared" si="144"/>
        <v>0</v>
      </c>
      <c r="YQ22" s="401">
        <f t="shared" si="145"/>
        <v>1.2</v>
      </c>
      <c r="YR22" s="70" t="e">
        <f t="shared" ca="1" si="146"/>
        <v>#NAME?</v>
      </c>
      <c r="YS22" s="70" t="e">
        <f t="shared" ca="1" si="147"/>
        <v>#NAME?</v>
      </c>
      <c r="YT22" s="70" t="e">
        <f t="shared" ca="1" si="148"/>
        <v>#NAME?</v>
      </c>
      <c r="YU22" s="70" t="e">
        <f t="shared" ca="1" si="149"/>
        <v>#NAME?</v>
      </c>
      <c r="YV22" s="72" t="e">
        <f t="shared" ca="1" si="150"/>
        <v>#N/A</v>
      </c>
      <c r="YW22" s="70" t="e">
        <f t="shared" ca="1" si="151"/>
        <v>#NAME?</v>
      </c>
      <c r="YX22" s="70" t="e">
        <f t="array" aca="1" ref="YX22" ca="1">IF(YK22=0,0,INDEX(UU22:UY22,MATCH(_xlfn.IFS(SJ22="Handysize",Main!UQ22,SJ22="Supramax",UJ22,SJ22="Panamax",UC22,SJ22="NeoPanamax",TV22,SJ22="Suezmax",TO22,SJ22="Capesize",TH22,SJ22="VLOC",TA22),$UU$7:$UY$7,0)))</f>
        <v>#NAME?</v>
      </c>
      <c r="YY22" s="70" t="e">
        <f t="array" aca="1" ref="YY22" ca="1">IF(YK22=0,0,INDEX(UU22:UY22,MATCH(_xlfn.IFS(SJ22="Handysize",Main!UR22,SJ22="Supramax",UK22,SJ22="Panamax",UD22,SJ22="NeoPanamax",TW22,SJ22="Suezmax",TP22,SJ22="Capesize",TI22,SJ22="VLOC",TB22),$UU$7:$UY$7,0)))</f>
        <v>#NAME?</v>
      </c>
      <c r="YZ22" s="71" t="e">
        <f t="shared" ca="1" si="152"/>
        <v>#NAME?</v>
      </c>
      <c r="ZA22" s="71" t="e">
        <f t="shared" ca="1" si="153"/>
        <v>#NAME?</v>
      </c>
      <c r="ZB22" s="281" t="e">
        <f t="shared" ca="1" si="154"/>
        <v>#NAME?</v>
      </c>
      <c r="ZC22" s="71" t="e">
        <f t="shared" ca="1" si="155"/>
        <v>#NAME?</v>
      </c>
      <c r="ZD22" s="71" t="e">
        <f t="shared" ca="1" si="156"/>
        <v>#NAME?</v>
      </c>
      <c r="ZE22" s="71" t="e">
        <f t="shared" ca="1" si="157"/>
        <v>#NAME?</v>
      </c>
      <c r="ZF22" s="71" t="e">
        <f t="shared" ca="1" si="158"/>
        <v>#NAME?</v>
      </c>
      <c r="ZG22" s="71" t="e">
        <f t="shared" ca="1" si="159"/>
        <v>#NAME?</v>
      </c>
      <c r="ZH22" s="71" t="e">
        <f t="shared" ca="1" si="160"/>
        <v>#NAME?</v>
      </c>
      <c r="ZI22" s="71" t="e">
        <f t="shared" ca="1" si="161"/>
        <v>#NAME?</v>
      </c>
      <c r="ZJ22" s="71" t="e">
        <f t="shared" ca="1" si="162"/>
        <v>#NAME?</v>
      </c>
      <c r="ZK22" s="71" t="e">
        <f t="shared" ca="1" si="163"/>
        <v>#NAME?</v>
      </c>
      <c r="ZL22" s="71" t="e">
        <f t="shared" ca="1" si="164"/>
        <v>#NAME?</v>
      </c>
      <c r="ZM22" s="71" t="e">
        <f t="shared" ca="1" si="165"/>
        <v>#NAME?</v>
      </c>
      <c r="ZN22" s="71" t="e">
        <f t="shared" ca="1" si="166"/>
        <v>#NAME?</v>
      </c>
      <c r="ZO22" s="72" t="e">
        <f t="shared" ca="1" si="167"/>
        <v>#NAME?</v>
      </c>
      <c r="ZP22" s="72" t="e">
        <f t="shared" ca="1" si="168"/>
        <v>#NAME?</v>
      </c>
      <c r="ZQ22" s="71" t="e">
        <f t="shared" ca="1" si="169"/>
        <v>#NAME?</v>
      </c>
      <c r="ZR22" s="71" t="e">
        <f t="array" aca="1" ref="ZR22" ca="1">IF(YK22=0,0,INDEX('Ship Time Charter Rates'!$H$22:$H$1021,MATCH(2,1/(('Ship Time Charter Rates'!$G$22:$G$1021=_xlfn.IFS(SJ22="Handysize",Main!UO22,SJ22="Supramax",UH22,SJ22="Panamax",UA22,SJ22="NeoPanamax",TT22,SJ22="Suezmax",TM22,SJ22="Capesize",TF22,SJ22="VLOC",SY22))*('Ship Time Charter Rates'!$E$22:$E$1021&lt;=Main!$C22)*(NOT(ISBLANK('Ship Time Charter Rates'!$H$22:$H$1021)))))))</f>
        <v>#NAME?</v>
      </c>
      <c r="ZS22" s="71" t="e">
        <f t="shared" ca="1" si="170"/>
        <v>#NAME?</v>
      </c>
      <c r="ZT22" s="70" t="e">
        <f t="shared" ca="1" si="171"/>
        <v>#NAME?</v>
      </c>
      <c r="ZU22" s="71" t="e">
        <f t="shared" ca="1" si="172"/>
        <v>#NAME?</v>
      </c>
      <c r="ZV22" s="71" t="e">
        <f t="shared" ca="1" si="304"/>
        <v>#NAME?</v>
      </c>
      <c r="ZW22" s="72" t="e">
        <f t="shared" ca="1" si="305"/>
        <v>#NAME?</v>
      </c>
      <c r="ZY22" s="287" t="s">
        <v>39</v>
      </c>
      <c r="AAA22" s="25">
        <f t="shared" si="322"/>
        <v>60000</v>
      </c>
      <c r="AAB22" s="4" t="str">
        <f>VLOOKUP(AAA22,'Ship Time Charter Rates'!$F$10:$G$17,2,TRUE)</f>
        <v>Panamax</v>
      </c>
      <c r="AAC22" s="4" t="str">
        <f>VLOOKUP(AAA22,Canals!$E$5:$F$12,2,TRUE)</f>
        <v>Panamax</v>
      </c>
      <c r="AAD22" s="25">
        <f t="shared" si="173"/>
        <v>198.26999999999998</v>
      </c>
      <c r="AAE22" s="25">
        <f t="shared" si="174"/>
        <v>24204</v>
      </c>
      <c r="AAF22" s="25">
        <f t="shared" si="175"/>
        <v>35931</v>
      </c>
      <c r="AAH22" s="75">
        <f t="array" ref="AAH22">INDEX('Indices Mines Exporting Ports'!$R$20:$R$51,MATCH(2,1/(('Indices Mines Exporting Ports'!$D$20:$D$51&lt;=Main!$C22)*('Indices Mines Exporting Ports'!$Q$20:$Q$51=$AP22))))</f>
        <v>30000</v>
      </c>
      <c r="AAI22" s="75">
        <f t="array" ref="AAI22">INDEX('Indices Mines Exporting Ports'!$S$20:$S$51,MATCH(2,1/(('Indices Mines Exporting Ports'!$D$20:$D$51&lt;=Main!$C22)*('Indices Mines Exporting Ports'!$Q$20:$Q$51=$AP22))))</f>
        <v>30000</v>
      </c>
      <c r="AAJ22" s="75">
        <f t="array" ref="AAJ22">INDEX('Indices Mines Exporting Ports'!$T$20:$T$51,MATCH(2,1/(('Indices Mines Exporting Ports'!$D$20:$D$51&lt;=Main!$C22)*('Indices Mines Exporting Ports'!$Q$20:$Q$51=$AP22))))</f>
        <v>30000</v>
      </c>
      <c r="AAK22" s="75">
        <f t="array" ref="AAK22">INDEX('Indices Mines Exporting Ports'!$U$20:$U$51,MATCH(2,1/(('Indices Mines Exporting Ports'!$D$20:$D$51&lt;=Main!$C22)*('Indices Mines Exporting Ports'!$Q$20:$Q$51=$AP22))))</f>
        <v>30000</v>
      </c>
      <c r="AAL22" s="75">
        <f t="array" ref="AAL22">INDEX('Indices Mines Exporting Ports'!$V$20:$V$51,MATCH(2,1/(('Indices Mines Exporting Ports'!$D$20:$D$51&lt;=Main!$C22)*('Indices Mines Exporting Ports'!$Q$20:$Q$51=$AP22))))</f>
        <v>30000</v>
      </c>
      <c r="AAM22" s="75">
        <f t="array" ref="AAM22">INDEX('Indices Mines Exporting Ports'!$W$20:$W$51,MATCH(2,1/(('Indices Mines Exporting Ports'!$D$20:$D$51&lt;=Main!$C22)*('Indices Mines Exporting Ports'!$Q$20:$Q$51=$AP22))))</f>
        <v>30000</v>
      </c>
      <c r="AAN22" s="75">
        <f t="array" ref="AAN22">INDEX('Indices Mines Exporting Ports'!$X$20:$X$51,MATCH(2,1/(('Indices Mines Exporting Ports'!$D$20:$D$51&lt;=Main!$C22)*('Indices Mines Exporting Ports'!$Q$20:$Q$51=$AP22))))</f>
        <v>30000</v>
      </c>
      <c r="AAP22" s="75">
        <f t="array" ref="AAP22">INDEX('Port Linkages'!$E$18:$E$157,MATCH(2,1/(('Port Linkages'!$C$18:$C$157=$AP22)*('Port Linkages'!$D$18:$D$157=IF($AO22="Yes",$AQ22,$KK22))*('Port Linkages'!$A$18:$A$157&lt;=$C22))))</f>
        <v>14116</v>
      </c>
      <c r="AAQ22" s="75">
        <f t="array" ref="AAQ22">INDEX('Port Linkages'!$F$18:$F$157,MATCH(2,1/(('Port Linkages'!$C$18:$C$157=$AP22)*('Port Linkages'!$D$18:$D$157=IF($AO22="Yes",$AQ22,$KK22))*('Port Linkages'!$A$18:$A$157&lt;=$C22))))</f>
        <v>0</v>
      </c>
      <c r="AAR22" s="75" t="str">
        <f t="array" ref="AAR22">INDEX('Port Linkages'!$G$18:$G$157,MATCH(2,1/(('Port Linkages'!$C$18:$C$157=$AP22)*('Port Linkages'!$D$18:$D$157=IF($AO22="Yes",$AQ22,$KK22))*('Port Linkages'!$A$18:$A$157&lt;=$C22))))</f>
        <v>VLOC_General</v>
      </c>
      <c r="AAS22" s="75" t="str">
        <f t="array" ref="AAS22">INDEX('Port Linkages'!$H$18:$H$157,MATCH(2,1/(('Port Linkages'!$C$18:$C$157=$AP22)*('Port Linkages'!$D$18:$D$157=IF($AO22="Yes",$AQ22,$KK22))*('Port Linkages'!$A$18:$A$157&lt;=$C22))))</f>
        <v>Singapore</v>
      </c>
      <c r="AAT22" s="75" t="str">
        <f t="array" ref="AAT22">INDEX('Port Linkages'!$I$18:$I$157,MATCH(2,1/(('Port Linkages'!$C$18:$C$157=$AP22)*('Port Linkages'!$D$18:$D$157=IF($AO22="Yes",$AQ22,$KK22))*('Port Linkages'!$A$18:$A$157&lt;=$C22))))</f>
        <v>VLSFO</v>
      </c>
      <c r="AAU22" s="75" t="str">
        <f t="array" ref="AAU22">INDEX('Port Linkages'!$J$18:$J$157,MATCH(2,1/(('Port Linkages'!$C$18:$C$157=$AP22)*('Port Linkages'!$D$18:$D$157=IF($AO22="Yes",$AQ22,$KK22))*('Port Linkages'!$A$18:$A$157&lt;=$C22))))</f>
        <v>MGO_Regular</v>
      </c>
      <c r="AAV22" s="75" t="str">
        <f t="array" ref="AAV22">INDEX('Port Linkages'!$K$18:$K$157,MATCH(2,1/(('Port Linkages'!$C$18:$C$157=$AP22)*('Port Linkages'!$D$18:$D$157=IF($AO22="Yes",$AQ22,$KK22))*('Port Linkages'!$A$18:$A$157&lt;=$C22))))</f>
        <v>none</v>
      </c>
      <c r="AAW22" s="75">
        <f t="array" ref="AAW22">INDEX('Port Linkages'!$L$18:$L$157,MATCH(2,1/(('Port Linkages'!$C$18:$C$157=$AP22)*('Port Linkages'!$D$18:$D$157=IF($AO22="Yes",$AQ22,$KK22))*('Port Linkages'!$A$18:$A$157&lt;=$C22))))</f>
        <v>14116</v>
      </c>
      <c r="AAX22" s="75">
        <f t="array" ref="AAX22">INDEX('Port Linkages'!$M$18:$M$157,MATCH(2,1/(('Port Linkages'!$C$18:$C$157=$AP22)*('Port Linkages'!$D$18:$D$157=IF($AO22="Yes",$AQ22,$KK22))*('Port Linkages'!$A$18:$A$157&lt;=$C22))))</f>
        <v>0</v>
      </c>
      <c r="AAY22" s="75" t="str">
        <f t="array" ref="AAY22">INDEX('Port Linkages'!$N$18:$N$157,MATCH(2,1/(('Port Linkages'!$C$18:$C$157=$AP22)*('Port Linkages'!$D$18:$D$157=IF($AO22="Yes",$AQ22,$KK22))*('Port Linkages'!$A$18:$A$157&lt;=$C22))))</f>
        <v>Capesize_General</v>
      </c>
      <c r="AAZ22" s="75" t="str">
        <f t="array" ref="AAZ22">INDEX('Port Linkages'!$O$18:$O$157,MATCH(2,1/(('Port Linkages'!$C$18:$C$157=$AP22)*('Port Linkages'!$D$18:$D$157=IF($AO22="Yes",$AQ22,$KK22))*('Port Linkages'!$A$18:$A$157&lt;=$C22))))</f>
        <v>Singapore</v>
      </c>
      <c r="ABA22" s="75" t="str">
        <f t="array" ref="ABA22">INDEX('Port Linkages'!$P$18:$P$157,MATCH(2,1/(('Port Linkages'!$C$18:$C$157=$AP22)*('Port Linkages'!$D$18:$D$157=IF($AO22="Yes",$AQ22,$KK22))*('Port Linkages'!$A$18:$A$157&lt;=$C22))))</f>
        <v>VLSFO</v>
      </c>
      <c r="ABB22" s="75" t="str">
        <f t="array" ref="ABB22">INDEX('Port Linkages'!$Q$18:$Q$157,MATCH(2,1/(('Port Linkages'!$C$18:$C$157=$AP22)*('Port Linkages'!$D$18:$D$157=IF($AO22="Yes",$AQ22,$KK22))*('Port Linkages'!$A$18:$A$157&lt;=$C22))))</f>
        <v>MGO_Regular</v>
      </c>
      <c r="ABC22" s="75" t="str">
        <f t="array" ref="ABC22">INDEX('Port Linkages'!$R$18:$R$157,MATCH(2,1/(('Port Linkages'!$C$18:$C$157=$AP22)*('Port Linkages'!$D$18:$D$157=IF($AO22="Yes",$AQ22,$KK22))*('Port Linkages'!$A$18:$A$157&lt;=$C22))))</f>
        <v>none</v>
      </c>
      <c r="ABD22" s="75">
        <f t="array" ref="ABD22">INDEX('Port Linkages'!$S$18:$S$157,MATCH(2,1/(('Port Linkages'!$C$18:$C$157=$AP22)*('Port Linkages'!$D$18:$D$157=IF($AO22="Yes",$AQ22,$KK22))*('Port Linkages'!$A$18:$A$157&lt;=$C22))))</f>
        <v>14116</v>
      </c>
      <c r="ABE22" s="75">
        <f t="array" ref="ABE22">INDEX('Port Linkages'!$T$18:$T$157,MATCH(2,1/(('Port Linkages'!$C$18:$C$157=$AP22)*('Port Linkages'!$D$18:$D$157=IF($AO22="Yes",$AQ22,$KK22))*('Port Linkages'!$A$18:$A$157&lt;=$C22))))</f>
        <v>0</v>
      </c>
      <c r="ABF22" s="75" t="str">
        <f t="array" ref="ABF22">INDEX('Port Linkages'!$U$18:$U$157,MATCH(2,1/(('Port Linkages'!$C$18:$C$157=$AP22)*('Port Linkages'!$D$18:$D$157=IF($AO22="Yes",$AQ22,$KK22))*('Port Linkages'!$A$18:$A$157&lt;=$C22))))</f>
        <v>Capesize_General</v>
      </c>
      <c r="ABG22" s="75" t="str">
        <f t="array" ref="ABG22">INDEX('Port Linkages'!$V$18:$V$157,MATCH(2,1/(('Port Linkages'!$C$18:$C$157=$AP22)*('Port Linkages'!$D$18:$D$157=IF($AO22="Yes",$AQ22,$KK22))*('Port Linkages'!$A$18:$A$157&lt;=$C22))))</f>
        <v>Singapore</v>
      </c>
      <c r="ABH22" s="75" t="str">
        <f t="array" ref="ABH22">INDEX('Port Linkages'!$W$18:$W$157,MATCH(2,1/(('Port Linkages'!$C$18:$C$157=$AP22)*('Port Linkages'!$D$18:$D$157=IF($AO22="Yes",$AQ22,$KK22))*('Port Linkages'!$A$18:$A$157&lt;=$C22))))</f>
        <v>VLSFO</v>
      </c>
      <c r="ABI22" s="75" t="str">
        <f t="array" ref="ABI22">INDEX('Port Linkages'!$X$18:$X$157,MATCH(2,1/(('Port Linkages'!$C$18:$C$157=$AP22)*('Port Linkages'!$D$18:$D$157=IF($AO22="Yes",$AQ22,$KK22))*('Port Linkages'!$A$18:$A$157&lt;=$C22))))</f>
        <v>MGO_Regular</v>
      </c>
      <c r="ABJ22" s="75" t="str">
        <f t="array" ref="ABJ22">INDEX('Port Linkages'!$Y$18:$Y$157,MATCH(2,1/(('Port Linkages'!$C$18:$C$157=$AP22)*('Port Linkages'!$D$18:$D$157=IF($AO22="Yes",$AQ22,$KK22))*('Port Linkages'!$A$18:$A$157&lt;=$C22))))</f>
        <v>none</v>
      </c>
      <c r="ABK22" s="75">
        <f t="array" ref="ABK22">INDEX('Port Linkages'!$Z$18:$Z$157,MATCH(2,1/(('Port Linkages'!$C$18:$C$157=$AP22)*('Port Linkages'!$D$18:$D$157=IF($AO22="Yes",$AQ22,$KK22))*('Port Linkages'!$A$18:$A$157&lt;=$C22))))</f>
        <v>9156</v>
      </c>
      <c r="ABL22" s="75">
        <f t="array" ref="ABL22">INDEX('Port Linkages'!$AA$18:$AA$157,MATCH(2,1/(('Port Linkages'!$C$18:$C$157=$AP22)*('Port Linkages'!$D$18:$D$157=IF($AO22="Yes",$AQ22,$KK22))*('Port Linkages'!$A$18:$A$157&lt;=$C22))))</f>
        <v>0</v>
      </c>
      <c r="ABM22" s="75" t="str">
        <f t="array" ref="ABM22">INDEX('Port Linkages'!$AB$18:$AB$157,MATCH(2,1/(('Port Linkages'!$C$18:$C$157=$AP22)*('Port Linkages'!$D$18:$D$157=IF($AO22="Yes",$AQ22,$KK22))*('Port Linkages'!$A$18:$A$157&lt;=$C22))))</f>
        <v>Capesize_General</v>
      </c>
      <c r="ABN22" s="75" t="str">
        <f t="array" ref="ABN22">INDEX('Port Linkages'!$AC$18:$AC$157,MATCH(2,1/(('Port Linkages'!$C$18:$C$157=$AP22)*('Port Linkages'!$D$18:$D$157=IF($AO22="Yes",$AQ22,$KK22))*('Port Linkages'!$A$18:$A$157&lt;=$C22))))</f>
        <v>Singapore</v>
      </c>
      <c r="ABO22" s="75" t="str">
        <f t="array" ref="ABO22">INDEX('Port Linkages'!$AD$18:$AD$157,MATCH(2,1/(('Port Linkages'!$C$18:$C$157=$AP22)*('Port Linkages'!$D$18:$D$157=IF($AO22="Yes",$AQ22,$KK22))*('Port Linkages'!$A$18:$A$157&lt;=$C22))))</f>
        <v>VLSFO</v>
      </c>
      <c r="ABP22" s="75" t="str">
        <f t="array" ref="ABP22">INDEX('Port Linkages'!$AE$18:$AE$157,MATCH(2,1/(('Port Linkages'!$C$18:$C$157=$AP22)*('Port Linkages'!$D$18:$D$157=IF($AO22="Yes",$AQ22,$KK22))*('Port Linkages'!$A$18:$A$157&lt;=$C22))))</f>
        <v>MGO_Regular</v>
      </c>
      <c r="ABQ22" s="75" t="str">
        <f t="array" ref="ABQ22">INDEX('Port Linkages'!$AF$18:$AF$157,MATCH(2,1/(('Port Linkages'!$C$18:$C$157=$AP22)*('Port Linkages'!$D$18:$D$157=IF($AO22="Yes",$AQ22,$KK22))*('Port Linkages'!$A$18:$A$157&lt;=$C22))))</f>
        <v>NeoPanamar</v>
      </c>
      <c r="ABR22" s="75">
        <f t="array" ref="ABR22">INDEX('Port Linkages'!$AG$18:$AG$157,MATCH(2,1/(('Port Linkages'!$C$18:$C$157=$AP22)*('Port Linkages'!$D$18:$D$157=IF($AO22="Yes",$AQ22,$KK22))*('Port Linkages'!$A$18:$A$157&lt;=$C22))))</f>
        <v>9156</v>
      </c>
      <c r="ABS22" s="75">
        <f t="array" ref="ABS22">INDEX('Port Linkages'!$AH$18:$AH$157,MATCH(2,1/(('Port Linkages'!$C$18:$C$157=$AP22)*('Port Linkages'!$D$18:$D$157=IF($AO22="Yes",$AQ22,$KK22))*('Port Linkages'!$A$18:$A$157&lt;=$C22))))</f>
        <v>0</v>
      </c>
      <c r="ABT22" s="75" t="str">
        <f t="array" ref="ABT22">INDEX('Port Linkages'!$AI$18:$AI$157,MATCH(2,1/(('Port Linkages'!$C$18:$C$157=$AP22)*('Port Linkages'!$D$18:$D$157=IF($AO22="Yes",$AQ22,$KK22))*('Port Linkages'!$A$18:$A$157&lt;=$C22))))</f>
        <v>Capesize_General</v>
      </c>
      <c r="ABU22" s="75" t="str">
        <f t="array" ref="ABU22">INDEX('Port Linkages'!$AJ$18:$AJ$157,MATCH(2,1/(('Port Linkages'!$C$18:$C$157=$AP22)*('Port Linkages'!$D$18:$D$157=IF($AO22="Yes",$AQ22,$KK22))*('Port Linkages'!$A$18:$A$157&lt;=$C22))))</f>
        <v>Singapore</v>
      </c>
      <c r="ABV22" s="75" t="str">
        <f t="array" ref="ABV22">INDEX('Port Linkages'!$AK$18:$AK$157,MATCH(2,1/(('Port Linkages'!$C$18:$C$157=$AP22)*('Port Linkages'!$D$18:$D$157=IF($AO22="Yes",$AQ22,$KK22))*('Port Linkages'!$A$18:$A$157&lt;=$C22))))</f>
        <v>VLSFO</v>
      </c>
      <c r="ABW22" s="75" t="str">
        <f t="array" ref="ABW22">INDEX('Port Linkages'!$AL$18:$AL$157,MATCH(2,1/(('Port Linkages'!$C$18:$C$157=$AP22)*('Port Linkages'!$D$18:$D$157=IF($AO22="Yes",$AQ22,$KK22))*('Port Linkages'!$A$18:$A$157&lt;=$C22))))</f>
        <v>MGO_Regular</v>
      </c>
      <c r="ABX22" s="75" t="str">
        <f t="array" ref="ABX22">INDEX('Port Linkages'!$AM$18:$AM$157,MATCH(2,1/(('Port Linkages'!$C$18:$C$157=$AP22)*('Port Linkages'!$D$18:$D$157=IF($AO22="Yes",$AQ22,$KK22))*('Port Linkages'!$A$18:$A$157&lt;=$C22))))</f>
        <v>Panamar</v>
      </c>
      <c r="ABY22" s="75">
        <f t="array" ref="ABY22">INDEX('Port Linkages'!$AN$18:$AN$157,MATCH(2,1/(('Port Linkages'!$C$18:$C$157=$AP22)*('Port Linkages'!$D$18:$D$157=IF($AO22="Yes",$AQ22,$KK22))*('Port Linkages'!$A$18:$A$157&lt;=$C22))))</f>
        <v>9156</v>
      </c>
      <c r="ABZ22" s="75">
        <f t="array" ref="ABZ22">INDEX('Port Linkages'!$AO$18:$AO$157,MATCH(2,1/(('Port Linkages'!$C$18:$C$157=$AP22)*('Port Linkages'!$D$18:$D$157=IF($AO22="Yes",$AQ22,$KK22))*('Port Linkages'!$A$18:$A$157&lt;=$C22))))</f>
        <v>0</v>
      </c>
      <c r="ACA22" s="75" t="str">
        <f t="array" ref="ACA22">INDEX('Port Linkages'!$AP$18:$AP$157,MATCH(2,1/(('Port Linkages'!$C$18:$C$157=$AP22)*('Port Linkages'!$D$18:$D$157=IF($AO22="Yes",$AQ22,$KK22))*('Port Linkages'!$A$18:$A$157&lt;=$C22))))</f>
        <v>Capesize_General</v>
      </c>
      <c r="ACB22" s="75" t="str">
        <f t="array" ref="ACB22">INDEX('Port Linkages'!$AQ$18:$AQ$157,MATCH(2,1/(('Port Linkages'!$C$18:$C$157=$AP22)*('Port Linkages'!$D$18:$D$157=IF($AO22="Yes",$AQ22,$KK22))*('Port Linkages'!$A$18:$A$157&lt;=$C22))))</f>
        <v>Singapore</v>
      </c>
      <c r="ACC22" s="75" t="str">
        <f t="array" ref="ACC22">INDEX('Port Linkages'!$AR$18:$AR$157,MATCH(2,1/(('Port Linkages'!$C$18:$C$157=$AP22)*('Port Linkages'!$D$18:$D$157=IF($AO22="Yes",$AQ22,$KK22))*('Port Linkages'!$A$18:$A$157&lt;=$C22))))</f>
        <v>VLSFO</v>
      </c>
      <c r="ACD22" s="75" t="str">
        <f t="array" ref="ACD22">INDEX('Port Linkages'!$AS$18:$AS$157,MATCH(2,1/(('Port Linkages'!$C$18:$C$157=$AP22)*('Port Linkages'!$D$18:$D$157=IF($AO22="Yes",$AQ22,$KK22))*('Port Linkages'!$A$18:$A$157&lt;=$C22))))</f>
        <v>MGO_Regular</v>
      </c>
      <c r="ACE22" s="75" t="str">
        <f t="array" ref="ACE22">INDEX('Port Linkages'!$AT$18:$AT$157,MATCH(2,1/(('Port Linkages'!$C$18:$C$157=$AP22)*('Port Linkages'!$D$18:$D$157=IF($AO22="Yes",$AQ22,$KK22))*('Port Linkages'!$A$18:$A$157&lt;=$C22))))</f>
        <v>Panamar</v>
      </c>
      <c r="ACF22" s="75">
        <f t="array" ref="ACF22">INDEX('Port Linkages'!$AU$18:$AU$157,MATCH(2,1/(('Port Linkages'!$C$18:$C$157=$AP22)*('Port Linkages'!$D$18:$D$157=IF($AO22="Yes",$AQ22,$KK22))*('Port Linkages'!$A$18:$A$157&lt;=$C22))))</f>
        <v>9156</v>
      </c>
      <c r="ACG22" s="75">
        <f t="array" ref="ACG22">INDEX('Port Linkages'!$AV$18:$AV$157,MATCH(2,1/(('Port Linkages'!$C$18:$C$157=$AP22)*('Port Linkages'!$D$18:$D$157=IF($AO22="Yes",$AQ22,$KK22))*('Port Linkages'!$A$18:$A$157&lt;=$C22))))</f>
        <v>0</v>
      </c>
      <c r="ACH22" s="75" t="str">
        <f t="array" ref="ACH22">INDEX('Port Linkages'!$AW$18:$AW$157,MATCH(2,1/(('Port Linkages'!$C$18:$C$157=$AP22)*('Port Linkages'!$D$18:$D$157=IF($AO22="Yes",$AQ22,$KK22))*('Port Linkages'!$A$18:$A$157&lt;=$C22))))</f>
        <v>Capesize_General</v>
      </c>
      <c r="ACI22" s="75" t="str">
        <f t="array" ref="ACI22">INDEX('Port Linkages'!$AX$18:$AX$157,MATCH(2,1/(('Port Linkages'!$C$18:$C$157=$AP22)*('Port Linkages'!$D$18:$D$157=IF($AO22="Yes",$AQ22,$KK22))*('Port Linkages'!$A$18:$A$157&lt;=$C22))))</f>
        <v>Singapore</v>
      </c>
      <c r="ACJ22" s="75" t="str">
        <f t="array" ref="ACJ22">INDEX('Port Linkages'!$AY$18:$AY$157,MATCH(2,1/(('Port Linkages'!$C$18:$C$157=$AP22)*('Port Linkages'!$D$18:$D$157=IF($AO22="Yes",$AQ22,$KK22))*('Port Linkages'!$A$18:$A$157&lt;=$C22))))</f>
        <v>VLSFO</v>
      </c>
      <c r="ACK22" s="75" t="str">
        <f t="array" ref="ACK22">INDEX('Port Linkages'!$AZ$18:$AZ$157,MATCH(2,1/(('Port Linkages'!$C$18:$C$157=$AP22)*('Port Linkages'!$D$18:$D$157=IF($AO22="Yes",$AQ22,$KK22))*('Port Linkages'!$A$18:$A$157&lt;=$C22))))</f>
        <v>MGO_Regular</v>
      </c>
      <c r="ACL22" s="75" t="str">
        <f t="array" ref="ACL22">INDEX('Port Linkages'!$BA$18:$BA$157,MATCH(2,1/(('Port Linkages'!$C$18:$C$157=$AP22)*('Port Linkages'!$D$18:$D$157=IF($AO22="Yes",$AQ22,$KK22))*('Port Linkages'!$A$18:$A$157&lt;=$C22))))</f>
        <v>Panamar</v>
      </c>
      <c r="ACN22" s="25" t="e">
        <f t="array" aca="1" ref="ACN22" ca="1">INDEX('Ship Fuel Prices'!$F$5:$F$1004,MATCH(2,1/(('Ship Fuel Prices'!$E$5:$E$1004=_xlfn.IFS(AAC22="Handysize",Main!ACI22,AAC22="Supramax",ACB22,AAC22="Panamax",ABU22,AAC22="NeoPanamax",ABN22,AAC22="Suezmax",ABG22,AAC22="Capesize",AAZ22,AAC22="VLOC",AAS22))*('Ship Fuel Prices'!$D$5:$D$1004&lt;=Main!$C22))))</f>
        <v>#N/A</v>
      </c>
      <c r="ACO22" s="25" t="e">
        <f t="array" aca="1" ref="ACO22" ca="1">INDEX('Ship Fuel Prices'!$G$5:$G$1004,MATCH(2,1/(('Ship Fuel Prices'!$E$5:$E$1004=_xlfn.IFS(AAC22="Handysize",Main!ACI22,AAC22="Supramax",ACB22,AAC22="Panamax",ABU22,AAC22="NeoPanamax",ABN22,AAC22="Suezmax",ABG22,AAC22="Capesize",AAZ22,AAC22="VLOC",AAS22))*('Ship Fuel Prices'!$D$5:$D$1004&lt;=Main!$C22))))</f>
        <v>#N/A</v>
      </c>
      <c r="ACP22" s="25" t="e">
        <f t="array" aca="1" ref="ACP22" ca="1">INDEX('Ship Fuel Prices'!$H$5:$H$1004,MATCH(2,1/(('Ship Fuel Prices'!$E$5:$E$1004=_xlfn.IFS(AAC22="Handysize",Main!ACI22,AAC22="Supramax",ACB22,AAC22="Panamax",ABU22,AAC22="NeoPanamax",ABN22,AAC22="Suezmax",ABG22,AAC22="Capesize",AAZ22,AAC22="VLOC",AAS22))*('Ship Fuel Prices'!$D$5:$D$1004&lt;=Main!$C22))))</f>
        <v>#N/A</v>
      </c>
      <c r="ACQ22" s="25" t="e">
        <f t="array" aca="1" ref="ACQ22" ca="1">INDEX('Ship Fuel Prices'!$I$5:$I$1004,MATCH(2,1/(('Ship Fuel Prices'!$E$5:$E$1004=_xlfn.IFS(AAC22="Handysize",Main!ACI22,AAC22="Supramax",ACB22,AAC22="Panamax",ABU22,AAC22="NeoPanamax",ABN22,AAC22="Suezmax",ABG22,AAC22="Capesize",AAZ22,AAC22="VLOC",AAS22))*('Ship Fuel Prices'!$D$5:$D$1004&lt;=Main!$C22))))</f>
        <v>#N/A</v>
      </c>
      <c r="ACR22" s="25" t="e">
        <f t="array" aca="1" ref="ACR22" ca="1">INDEX('Ship Fuel Prices'!$J$5:$J$1004,MATCH(2,1/(('Ship Fuel Prices'!$E$5:$E$1004=_xlfn.IFS(AAC22="Handysize",Main!ACI22,AAC22="Supramax",ACB22,AAC22="Panamax",ABU22,AAC22="NeoPanamax",ABN22,AAC22="Suezmax",ABG22,AAC22="Capesize",AAZ22,AAC22="VLOC",AAS22))*('Ship Fuel Prices'!$D$5:$D$1004&lt;=Main!$C22))))</f>
        <v>#N/A</v>
      </c>
      <c r="ACT22" s="75">
        <f t="array" ref="ACT22">INDEX('China n Importing Ports'!$E$20:$E$41,MATCH(2,1/(('China n Importing Ports'!$D$20:$D$41&lt;=$C22)*('China n Importing Ports'!$C$20:$C$41=IF($AO22="Yes",$AQ22,$KK22)))))</f>
        <v>42500</v>
      </c>
      <c r="ACU22" s="75">
        <f t="array" ref="ACU22">INDEX('China n Importing Ports'!$F$20:$F$41,MATCH(2,1/(('China n Importing Ports'!$D$20:$D$41&lt;=$C22)*('China n Importing Ports'!$C$20:$C$41=IF($AO22="Yes",$AQ22,$KK22)))))</f>
        <v>42500</v>
      </c>
      <c r="ACV22" s="75">
        <f t="array" ref="ACV22">INDEX('China n Importing Ports'!$G$20:$G$41,MATCH(2,1/(('China n Importing Ports'!$D$20:$D$41&lt;=$C22)*('China n Importing Ports'!$C$20:$C$41=IF($AO22="Yes",$AQ22,$KK22)))))</f>
        <v>42500</v>
      </c>
      <c r="ACW22" s="75">
        <f t="array" ref="ACW22">INDEX('China n Importing Ports'!$H$20:$H$41,MATCH(2,1/(('China n Importing Ports'!$D$20:$D$41&lt;=$C22)*('China n Importing Ports'!$C$20:$C$41=IF($AO22="Yes",$AQ22,$KK22)))))</f>
        <v>42500</v>
      </c>
      <c r="ACX22" s="75">
        <f t="array" ref="ACX22">INDEX('China n Importing Ports'!$I$20:$I$41,MATCH(2,1/(('China n Importing Ports'!$D$20:$D$41&lt;=$C22)*('China n Importing Ports'!$C$20:$C$41=IF($AO22="Yes",$AQ22,$KK22)))))</f>
        <v>42500</v>
      </c>
      <c r="ACY22" s="75">
        <f t="array" ref="ACY22">INDEX('China n Importing Ports'!$J$20:$J$41,MATCH(2,1/(('China n Importing Ports'!$D$20:$D$41&lt;=$C22)*('China n Importing Ports'!$C$20:$C$41=IF($AO22="Yes",$AQ22,$KK22)))))</f>
        <v>42500</v>
      </c>
      <c r="ACZ22" s="75">
        <f t="array" ref="ACZ22">INDEX('China n Importing Ports'!$K$20:$K$41,MATCH(2,1/(('China n Importing Ports'!$D$20:$D$41&lt;=$C22)*('China n Importing Ports'!$C$20:$C$41=IF($AO22="Yes",$AQ22,$KK22)))))</f>
        <v>42500</v>
      </c>
      <c r="ADA22" s="75" t="str">
        <f t="array" ref="ADA22">INDEX('China n Importing Ports'!$L$20:$L$41,MATCH(2,1/(('China n Importing Ports'!$D$20:$D$41&lt;=$C22)*('China n Importing Ports'!$C$20:$C$41=IF($AO22="Yes",$AQ22,$KK22)))))</f>
        <v>RMB</v>
      </c>
      <c r="ADB22" s="75">
        <f t="array" ref="ADB22">INDEX('China n Importing Ports'!$M$20:$M$41,MATCH(2,1/(('China n Importing Ports'!$D$20:$D$41&lt;=$C22)*('China n Importing Ports'!$C$20:$C$41=IF($AO22="Yes",$AQ22,$KK22)))))</f>
        <v>12342</v>
      </c>
      <c r="ADC22" s="75">
        <f t="array" ref="ADC22">INDEX('China n Importing Ports'!$N$20:$N$41,MATCH(2,1/(('China n Importing Ports'!$D$20:$D$41&lt;=$C22)*('China n Importing Ports'!$C$20:$C$41=IF($AO22="Yes",$AQ22,$KK22)))))</f>
        <v>0</v>
      </c>
      <c r="ADD22" s="75">
        <f t="array" ref="ADD22">INDEX('China n Importing Ports'!$O$20:$O$41,MATCH(2,1/(('China n Importing Ports'!$D$20:$D$41&lt;=$C22)*('China n Importing Ports'!$C$20:$C$41=IF($AO22="Yes",$AQ22,$KK22)))))</f>
        <v>0</v>
      </c>
      <c r="ADE22" s="136">
        <f t="array" ref="ADE22">INDEX('China n Importing Ports'!$P$20:$P$41,MATCH(2,1/(('China n Importing Ports'!$D$20:$D$41&lt;=$C22)*('China n Importing Ports'!$C$20:$C$41=IF($AO22="Yes",$AQ22,$KK22)))))</f>
        <v>2.64</v>
      </c>
      <c r="ADF22" s="136">
        <f t="array" ref="ADF22">INDEX('China n Importing Ports'!$Q$20:$Q$41,MATCH(2,1/(('China n Importing Ports'!$D$20:$D$41&lt;=$C22)*('China n Importing Ports'!$C$20:$C$41=IF($AO22="Yes",$AQ22,$KK22)))))</f>
        <v>0</v>
      </c>
      <c r="ADG22" s="136">
        <f t="array" ref="ADG22">INDEX('China n Importing Ports'!$R$20:$R$41,MATCH(2,1/(('China n Importing Ports'!$D$20:$D$41&lt;=$C22)*('China n Importing Ports'!$C$20:$C$41=IF($AO22="Yes",$AQ22,$KK22)))))</f>
        <v>0</v>
      </c>
      <c r="ADH22" s="136">
        <f t="array" ref="ADH22">INDEX('China n Importing Ports'!$S$20:$S$41,MATCH(2,1/(('China n Importing Ports'!$D$20:$D$41&lt;=$C22)*('China n Importing Ports'!$C$20:$C$41=IF($AO22="Yes",$AQ22,$KK22)))))</f>
        <v>4.53</v>
      </c>
      <c r="ADI22" s="136">
        <f t="array" ref="ADI22">INDEX('China n Importing Ports'!$T$20:$T$41,MATCH(2,1/(('China n Importing Ports'!$D$20:$D$41&lt;=$C22)*('China n Importing Ports'!$C$20:$C$41=IF($AO22="Yes",$AQ22,$KK22)))))</f>
        <v>0.36699999999999999</v>
      </c>
      <c r="ADJ22" s="136">
        <f t="array" ref="ADJ22">INDEX('China n Importing Ports'!$U$20:$U$41,MATCH(2,1/(('China n Importing Ports'!$D$20:$D$41&lt;=$C22)*('China n Importing Ports'!$C$20:$C$41=IF($AO22="Yes",$AQ22,$KK22)))))</f>
        <v>0.05</v>
      </c>
      <c r="ADK22" s="136">
        <f t="array" ref="ADK22">INDEX('China n Importing Ports'!$V$20:$V$41,MATCH(2,1/(('China n Importing Ports'!$D$20:$D$41&lt;=$C22)*('China n Importing Ports'!$C$20:$C$41=IF($AO22="Yes",$AQ22,$KK22)))))</f>
        <v>0</v>
      </c>
      <c r="ADL22" s="136">
        <f t="array" ref="ADL22">INDEX('China n Importing Ports'!$W$20:$W$41,MATCH(2,1/(('China n Importing Ports'!$D$20:$D$41&lt;=$C22)*('China n Importing Ports'!$C$20:$C$41=IF($AO22="Yes",$AQ22,$KK22)))))</f>
        <v>0</v>
      </c>
      <c r="ADM22" s="136">
        <f t="array" ref="ADM22">INDEX('China n Importing Ports'!$X$20:$X$41,MATCH(2,1/(('China n Importing Ports'!$D$20:$D$41&lt;=$C22)*('China n Importing Ports'!$C$20:$C$41=IF($AO22="Yes",$AQ22,$KK22)))))</f>
        <v>0</v>
      </c>
      <c r="ADN22" s="136">
        <f t="array" ref="ADN22">INDEX('China n Importing Ports'!$Y$20:$Y$41,MATCH(2,1/(('China n Importing Ports'!$D$20:$D$41&lt;=$C22)*('China n Importing Ports'!$C$20:$C$41=IF($AO22="Yes",$AQ22,$KK22)))))</f>
        <v>197</v>
      </c>
      <c r="ADO22" s="136">
        <f t="array" ref="ADO22">INDEX('China n Importing Ports'!$Z$20:$Z$41,MATCH(2,1/(('China n Importing Ports'!$D$20:$D$41&lt;=$C22)*('China n Importing Ports'!$C$20:$C$41=IF($AO22="Yes",$AQ22,$KK22)))))</f>
        <v>0</v>
      </c>
      <c r="ADP22" s="136">
        <f t="array" ref="ADP22">INDEX('China n Importing Ports'!$AA$20:$AA$41,MATCH(2,1/(('China n Importing Ports'!$D$20:$D$41&lt;=$C22)*('China n Importing Ports'!$C$20:$C$41=IF($AO22="Yes",$AQ22,$KK22)))))</f>
        <v>0</v>
      </c>
      <c r="ADR22" s="75" t="e">
        <f t="array" aca="1" ref="ADR22" ca="1">INDEX(Canals!$G$24:$G$29,MATCH(2,1/((Canals!$F$24:$F$29&lt;=$C22)*(Canals!$G$24:$G$29=_xlfn.IFS(AAC22="Handysize",Main!ACL22,AAC22="Supramax",ACE22,AAC22="Panamax",ABX22,AAC22="NeoPanamax",ABQ22,AAC22="Suezmax",ABJ22,AAC22="Capesize",ABC22,AAC22="VLOC",AAV22)))))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S22" s="75" t="e">
        <f t="array" aca="1" ref="ADS22" ca="1">INDEX(Canals!$H$24:$H$29,MATCH(2,1/((Canals!$F$24:$F$29&lt;=$C22)*(Canals!$G$24:$G$29=_xlfn.IFS(AAC22="Handysize",Main!ACL22,AAC22="Supramax",ACE22,AAC22="Panamax",ABX22,AAC22="NeoPanamax",ABQ22,AAC22="Suezmax",ABJ22,AAC22="Capesize",ABC22,AAC22="VLOC",AAV22)))))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T22" s="75" t="e">
        <f t="array" aca="1" ref="ADT22" ca="1">INDEX(Canals!$I$24:$I$29,MATCH(2,1/((Canals!$F$24:$F$29&lt;=$C22)*(Canals!$G$24:$G$29=_xlfn.IFS(AAC22="Handysize",Main!ACL22,AAC22="Supramax",ACE22,AAC22="Panamax",ABX22,AAC22="NeoPanamax",ABQ22,AAC22="Suezmax",ABJ22,AAC22="Capesize",ABC22,AAC22="VLOC",AAV22)))))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U22" s="75" t="e">
        <f t="array" aca="1" ref="ADU22" ca="1">INDEX(Canals!$J$24:$J$29,MATCH(2,1/((Canals!$F$24:$F$29&lt;=$C22)*(Canals!$G$24:$G$29=_xlfn.IFS(AAC22="Handysize",Main!ACL22,AAC22="Supramax",ACE22,AAC22="Panamax",ABX22,AAC22="NeoPanamax",ABQ22,AAC22="Suezmax",ABJ22,AAC22="Capesize",ABC22,AAC22="VLOC",AAV22)))))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V22" s="75" t="e">
        <f t="array" aca="1" ref="ADV22" ca="1">INDEX(Canals!$K$24:$K$29,MATCH(2,1/((Canals!$F$24:$F$29&lt;=$C22)*(Canals!$G$24:$G$29=_xlfn.IFS(AAC22="Handysize",Main!ACL22,AAC22="Supramax",ACE22,AAC22="Panamax",ABX22,AAC22="NeoPanamax",ABQ22,AAC22="Suezmax",ABJ22,AAC22="Capesize",ABC22,AAC22="VLOC",AAV22)))))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W22" s="75" t="e">
        <f t="array" aca="1" ref="ADW22" ca="1">INDEX(Canals!$L$24:$L$29,MATCH(2,1/((Canals!$F$24:$F$29&lt;=$C22)*(Canals!$G$24:$G$29=_xlfn.IFS(AAC22="Handysize",Main!ACL22,AAC22="Supramax",ACE22,AAC22="Panamax",ABX22,AAC22="NeoPanamax",ABQ22,AAC22="Suezmax",ABJ22,AAC22="Capesize",ABC22,AAC22="VLOC",AAV22)))))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X22" s="75" t="e">
        <f t="array" aca="1" ref="ADX22" ca="1">INDEX(Canals!$M$24:$M$29,MATCH(2,1/((Canals!$F$24:$F$29&lt;=$C22)*(Canals!$G$24:$G$29=_xlfn.IFS(AAC22="Handysize",Main!ACL22,AAC22="Supramax",ACE22,AAC22="Panamax",ABX22,AAC22="NeoPanamax",ABQ22,AAC22="Suezmax",ABJ22,AAC22="Capesize",ABC22,AAC22="VLOC",AAV22)))))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Y22" s="75" t="e">
        <f t="array" aca="1" ref="ADY22" ca="1">INDEX(Canals!$N$24:$N$29,MATCH(2,1/((Canals!$F$24:$F$29&lt;=$C22)*(Canals!$G$24:$G$29=_xlfn.IFS(AAC22="Handysize",Main!ACL22,AAC22="Supramax",ACE22,AAC22="Panamax",ABX22,AAC22="NeoPanamax",ABQ22,AAC22="Suezmax",ABJ22,AAC22="Capesize",ABC22,AAC22="VLOC",AAV22)))))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DZ22" s="75" t="e">
        <f t="array" aca="1" ref="ADZ22" ca="1">INDEX(Canals!$O$24:$O$29,MATCH(2,1/((Canals!$F$24:$F$29&lt;=$C22)*(Canals!$G$24:$G$29=_xlfn.IFS(AAC22="Handysize",Main!ACL22,AAC22="Supramax",ACE22,AAC22="Panamax",ABX22,AAC22="NeoPanamax",ABQ22,AAC22="Suezmax",ABJ22,AAC22="Capesize",ABC22,AAC22="VLOC",AAV22)))))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A22" s="75" t="e">
        <f t="array" aca="1" ref="AEA22" ca="1">INDEX(Canals!$P$24:$P$29,MATCH(2,1/((Canals!$F$24:$F$29&lt;=$C22)*(Canals!$G$24:$G$29=_xlfn.IFS(AAC22="Handysize",Main!ACL22,AAC22="Supramax",ACE22,AAC22="Panamax",ABX22,AAC22="NeoPanamax",ABQ22,AAC22="Suezmax",ABJ22,AAC22="Capesize",ABC22,AAC22="VLOC",AAV22)))))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B22" s="75" t="e">
        <f t="array" aca="1" ref="AEB22" ca="1">INDEX(Canals!$Q$24:$Q$29,MATCH(2,1/((Canals!$F$24:$F$29&lt;=$C22)*(Canals!$G$24:$G$29=_xlfn.IFS(AAC22="Handysize",Main!ACL22,AAC22="Supramax",ACE22,AAC22="Panamax",ABX22,AAC22="NeoPanamax",ABQ22,AAC22="Suezmax",ABJ22,AAC22="Capesize",ABC22,AAC22="VLOC",AAV22)))))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C22" s="75" t="e">
        <f t="array" aca="1" ref="AEC22" ca="1">INDEX(Canals!$R$24:$R$29,MATCH(2,1/((Canals!$F$24:$F$29&lt;=$C22)*(Canals!$G$24:$G$29=_xlfn.IFS(AAC22="Handysize",Main!ACL22,AAC22="Supramax",ACE22,AAC22="Panamax",ABX22,AAC22="NeoPanamax",ABQ22,AAC22="Suezmax",ABJ22,AAC22="Capesize",ABC22,AAC22="VLOC",AAV22)))))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D22" s="136" t="e">
        <f t="array" aca="1" ref="AED22" ca="1">INDEX(Canals!$S$24:$S$29,MATCH(2,1/((Canals!$F$24:$F$29&lt;=$C22)*(Canals!$G$24:$G$29=_xlfn.IFS(AAC22="Handysize",Main!ACL22,AAC22="Supramax",ACE22,AAC22="Panamax",ABX22,AAC22="NeoPanamax",ABQ22,AAC22="Suezmax",ABJ22,AAC22="Capesize",ABC22,AAC22="VLOC",AAV22)))))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E22" s="136" t="e">
        <f t="array" aca="1" ref="AEE22" ca="1">INDEX(Canals!$T$24:$T$29,MATCH(2,1/((Canals!$F$24:$F$29&lt;=$C22)*(Canals!$G$24:$G$29=_xlfn.IFS(AAC22="Handysize",Main!ACL22,AAC22="Supramax",ACE22,AAC22="Panamax",ABX22,AAC22="NeoPanamax",ABQ22,AAC22="Suezmax",ABJ22,AAC22="Capesize",ABC22,AAC22="VLOC",AAV22)))))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F22" s="136" t="e">
        <f t="array" aca="1" ref="AEF22" ca="1">INDEX(Canals!$U$24:$U$29,MATCH(2,1/((Canals!$F$24:$F$29&lt;=$C22)*(Canals!$G$24:$G$29=_xlfn.IFS(AAC22="Handysize",Main!ACL22,AAC22="Supramax",ACE22,AAC22="Panamax",ABX22,AAC22="NeoPanamax",ABQ22,AAC22="Suezmax",ABJ22,AAC22="Capesize",ABC22,AAC22="VLOC",AAV22)))))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G22" s="136" t="e">
        <f t="array" aca="1" ref="AEG22" ca="1">INDEX(Canals!$V$24:$V$29,MATCH(2,1/((Canals!$F$24:$F$29&lt;=$C22)*(Canals!$G$24:$G$29=_xlfn.IFS(AAC22="Handysize",Main!ACL22,AAC22="Supramax",ACE22,AAC22="Panamax",ABX22,AAC22="NeoPanamax",ABQ22,AAC22="Suezmax",ABJ22,AAC22="Capesize",ABC22,AAC22="VLOC",AAV22)))))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H22" s="136" t="e">
        <f t="array" aca="1" ref="AEH22" ca="1">INDEX(Canals!$W$24:$W$29,MATCH(2,1/((Canals!$F$24:$F$29&lt;=$C22)*(Canals!$G$24:$G$29=_xlfn.IFS(AAC22="Handysize",Main!ACL22,AAC22="Supramax",ACE22,AAC22="Panamax",ABX22,AAC22="NeoPanamax",ABQ22,AAC22="Suezmax",ABJ22,AAC22="Capesize",ABC22,AAC22="VLOC",AAV22)))))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I22" s="136" t="e">
        <f t="array" aca="1" ref="AEI22" ca="1">INDEX(Canals!$X$24:$X$29,MATCH(2,1/((Canals!$F$24:$F$29&lt;=$C22)*(Canals!$G$24:$G$29=_xlfn.IFS(AAC22="Handysize",Main!ACL22,AAC22="Supramax",ACE22,AAC22="Panamax",ABX22,AAC22="NeoPanamax",ABQ22,AAC22="Suezmax",ABJ22,AAC22="Capesize",ABC22,AAC22="VLOC",AAV22)))))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J22" s="136" t="e">
        <f t="array" aca="1" ref="AEJ22" ca="1">INDEX(Canals!$Y$24:$Y$29,MATCH(2,1/((Canals!$F$24:$F$29&lt;=$C22)*(Canals!$G$24:$G$29=_xlfn.IFS(AAC22="Handysize",Main!ACL22,AAC22="Supramax",ACE22,AAC22="Panamax",ABX22,AAC22="NeoPanamax",ABQ22,AAC22="Suezmax",ABJ22,AAC22="Capesize",ABC22,AAC22="VLOC",AAV22)))))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K22" s="136" t="e">
        <f t="array" aca="1" ref="AEK22" ca="1">INDEX(Canals!$Z$24:$Z$29,MATCH(2,1/((Canals!$F$24:$F$29&lt;=$C22)*(Canals!$G$24:$G$29=_xlfn.IFS(AAC22="Handysize",Main!ACL22,AAC22="Supramax",ACE22,AAC22="Panamax",ABX22,AAC22="NeoPanamax",ABQ22,AAC22="Suezmax",ABJ22,AAC22="Capesize",ABC22,AAC22="VLOC",AAV22)))))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L22" s="136" t="e">
        <f t="array" aca="1" ref="AEL22" ca="1">INDEX(Canals!$AA$24:$AA$29,MATCH(2,1/((Canals!$F$24:$F$29&lt;=$C22)*(Canals!$G$24:$G$29=_xlfn.IFS(AAC22="Handysize",Main!ACL22,AAC22="Supramax",ACE22,AAC22="Panamax",ABX22,AAC22="NeoPanamax",ABQ22,AAC22="Suezmax",ABJ22,AAC22="Capesize",ABC22,AAC22="VLOC",AAV22)))))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M22" s="136" t="e">
        <f t="array" aca="1" ref="AEM22" ca="1">INDEX(Canals!$AB$24:$AB$29,MATCH(2,1/((Canals!$F$24:$F$29&lt;=$C22)*(Canals!$G$24:$G$29=_xlfn.IFS(AAC22="Handysize",Main!ACL22,AAC22="Supramax",ACE22,AAC22="Panamax",ABX22,AAC22="NeoPanamax",ABQ22,AAC22="Suezmax",ABJ22,AAC22="Capesize",ABC22,AAC22="VLOC",AAV22)))))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N22" s="75" t="e">
        <f t="array" aca="1" ref="AEN22" ca="1">INDEX(Canals!$AC$24:$AC$29,MATCH(2,1/((Canals!$F$24:$F$29&lt;=$C22)*(Canals!$G$24:$G$29=_xlfn.IFS(AAC22="Handysize",Main!ACL22,AAC22="Supramax",ACE22,AAC22="Panamax",ABX22,AAC22="NeoPanamax",ABQ22,AAC22="Suezmax",ABJ22,AAC22="Capesize",ABC22,AAC22="VLOC",AAV22)))))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O22" s="75" t="e">
        <f t="array" aca="1" ref="AEO22" ca="1">INDEX(Canals!$AD$24:$AD$29,MATCH(2,1/((Canals!$F$24:$F$29&lt;=$C22)*(Canals!$G$24:$G$29=_xlfn.IFS(AAC22="Handysize",Main!ACL22,AAC22="Supramax",ACE22,AAC22="Panamax",ABX22,AAC22="NeoPanamax",ABQ22,AAC22="Suezmax",ABJ22,AAC22="Capesize",ABC22,AAC22="VLOC",AAV22)))))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P22" s="75" t="e">
        <f t="array" aca="1" ref="AEP22" ca="1">INDEX(Canals!$AE$24:$AE$29,MATCH(2,1/((Canals!$F$24:$F$29&lt;=$C22)*(Canals!$G$24:$G$29=_xlfn.IFS(AAC22="Handysize",Main!ACL22,AAC22="Supramax",ACE22,AAC22="Panamax",ABX22,AAC22="NeoPanamax",ABQ22,AAC22="Suezmax",ABJ22,AAC22="Capesize",ABC22,AAC22="VLOC",AAV22)))))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Q22" s="75" t="e">
        <f t="array" aca="1" ref="AEQ22" ca="1">INDEX(Canals!$AF$24:$AF$29,MATCH(2,1/((Canals!$F$24:$F$29&lt;=$C22)*(Canals!$G$24:$G$29=_xlfn.IFS(AAC22="Handysize",Main!ACL22,AAC22="Supramax",ACE22,AAC22="Panamax",ABX22,AAC22="NeoPanamax",ABQ22,AAC22="Suezmax",ABJ22,AAC22="Capesize",ABC22,AAC22="VLOC",AAV22)))))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R22" s="75" t="e">
        <f t="array" aca="1" ref="AER22" ca="1">INDEX(Canals!$AG$24:$AG$29,MATCH(2,1/((Canals!$F$24:$F$29&lt;=$C22)*(Canals!$G$24:$G$29=_xlfn.IFS(AAC22="Handysize",Main!ACL22,AAC22="Supramax",ACE22,AAC22="Panamax",ABX22,AAC22="NeoPanamax",ABQ22,AAC22="Suezmax",ABJ22,AAC22="Capesize",ABC22,AAC22="VLOC",AAV22)))))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S22" s="75" t="e">
        <f t="array" aca="1" ref="AES22" ca="1">INDEX(Canals!$AH$24:$AH$29,MATCH(2,1/((Canals!$F$24:$F$29&lt;=$C22)*(Canals!$G$24:$G$29=_xlfn.IFS(AAC22="Handysize",Main!ACL22,AAC22="Supramax",ACE22,AAC22="Panamax",ABX22,AAC22="NeoPanamax",ABQ22,AAC22="Suezmax",ABJ22,AAC22="Capesize",ABC22,AAC22="VLOC",AAV22)))))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T22" s="75" t="e">
        <f t="array" aca="1" ref="AET22" ca="1">INDEX(Canals!$AI$24:$AI$29,MATCH(2,1/((Canals!$F$24:$F$29&lt;=$C22)*(Canals!$G$24:$G$29=_xlfn.IFS(AAC22="Handysize",Main!ACL22,AAC22="Supramax",ACE22,AAC22="Panamax",ABX22,AAC22="NeoPanamax",ABQ22,AAC22="Suezmax",ABJ22,AAC22="Capesize",ABC22,AAC22="VLOC",AAV22)))))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U22" s="75" t="e">
        <f t="array" aca="1" ref="AEU22" ca="1">INDEX(Canals!$AJ$24:$AJ$29,MATCH(2,1/((Canals!$F$24:$F$29&lt;=$C22)*(Canals!$G$24:$G$29=_xlfn.IFS(AAC22="Handysize",Main!ACL22,AAC22="Supramax",ACE22,AAC22="Panamax",ABX22,AAC22="NeoPanamax",ABQ22,AAC22="Suezmax",ABJ22,AAC22="Capesize",ABC22,AAC22="VLOC",AAV22)))))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V22" s="75" t="e">
        <f t="array" aca="1" ref="AEV22" ca="1">INDEX(Canals!$AK$24:$AK$29,MATCH(2,1/((Canals!$F$24:$F$29&lt;=$C22)*(Canals!$G$24:$G$29=_xlfn.IFS(AAC22="Handysize",Main!ACL22,AAC22="Supramax",ACE22,AAC22="Panamax",ABX22,AAC22="NeoPanamax",ABQ22,AAC22="Suezmax",ABJ22,AAC22="Capesize",ABC22,AAC22="VLOC",AAV22)))))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W22" s="136" t="e">
        <f t="array" aca="1" ref="AEW22" ca="1">INDEX(Canals!$AL$24:$AL$29,MATCH(2,1/((Canals!$F$24:$F$29&lt;=$C22)*(Canals!$G$24:$G$29=_xlfn.IFS(AAC22="Handysize",Main!ACL22,AAC22="Supramax",ACE22,AAC22="Panamax",ABX22,AAC22="NeoPanamax",ABQ22,AAC22="Suezmax",ABJ22,AAC22="Capesize",ABC22,AAC22="VLOC",AAV22)))))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X22" s="136" t="e">
        <f t="array" aca="1" ref="AEX22" ca="1">INDEX(Canals!$AM$24:$AM$29,MATCH(2,1/((Canals!$F$24:$F$29&lt;=$C22)*(Canals!$G$24:$G$29=_xlfn.IFS(AAC22="Handysize",Main!ACL22,AAC22="Supramax",ACE22,AAC22="Panamax",ABX22,AAC22="NeoPanamax",ABQ22,AAC22="Suezmax",ABJ22,AAC22="Capesize",ABC22,AAC22="VLOC",AAV22)))))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Y22" s="136" t="e">
        <f t="array" aca="1" ref="AEY22" ca="1">INDEX(Canals!$AN$24:$AN$29,MATCH(2,1/((Canals!$F$24:$F$29&lt;=$C22)*(Canals!$G$24:$G$29=_xlfn.IFS(AAC22="Handysize",Main!ACL22,AAC22="Supramax",ACE22,AAC22="Panamax",ABX22,AAC22="NeoPanamax",ABQ22,AAC22="Suezmax",ABJ22,AAC22="Capesize",ABC22,AAC22="VLOC",AAV22)))))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EZ22" s="136" t="e">
        <f t="array" aca="1" ref="AEZ22" ca="1">INDEX(Canals!$AO$24:$AO$29,MATCH(2,1/((Canals!$F$24:$F$29&lt;=$C22)*(Canals!$G$24:$G$29=_xlfn.IFS(AAC22="Handysize",Main!ACL22,AAC22="Supramax",ACE22,AAC22="Panamax",ABX22,AAC22="NeoPanamax",ABQ22,AAC22="Suezmax",ABJ22,AAC22="Capesize",ABC22,AAC22="VLOC",AAV22)))))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A22" s="136" t="e">
        <f t="array" aca="1" ref="AFA22" ca="1">INDEX(Canals!$AP$24:$AP$29,MATCH(2,1/((Canals!$F$24:$F$29&lt;=$C22)*(Canals!$G$24:$G$29=_xlfn.IFS(AAC22="Handysize",Main!ACL22,AAC22="Supramax",ACE22,AAC22="Panamax",ABX22,AAC22="NeoPanamax",ABQ22,AAC22="Suezmax",ABJ22,AAC22="Capesize",ABC22,AAC22="VLOC",AAV22)))))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B22" s="136" t="e">
        <f t="array" aca="1" ref="AFB22" ca="1">INDEX(Canals!$AQ$24:$AQ$29,MATCH(2,1/((Canals!$F$24:$F$29&lt;=$C22)*(Canals!$G$24:$G$29=_xlfn.IFS(AAC22="Handysize",Main!ACL22,AAC22="Supramax",ACE22,AAC22="Panamax",ABX22,AAC22="NeoPanamax",ABQ22,AAC22="Suezmax",ABJ22,AAC22="Capesize",ABC22,AAC22="VLOC",AAV22)))))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C22" s="136" t="e">
        <f t="array" aca="1" ref="AFC22" ca="1">INDEX(Canals!$AR$24:$AR$29,MATCH(2,1/((Canals!$F$24:$F$29&lt;=$C22)*(Canals!$G$24:$G$29=_xlfn.IFS(AAC22="Handysize",Main!ACL22,AAC22="Supramax",ACE22,AAC22="Panamax",ABX22,AAC22="NeoPanamax",ABQ22,AAC22="Suezmax",ABJ22,AAC22="Capesize",ABC22,AAC22="VLOC",AAV22)))))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D22" s="136" t="e">
        <f t="array" aca="1" ref="AFD22" ca="1">INDEX(Canals!$AS$24:$AS$29,MATCH(2,1/((Canals!$F$24:$F$29&lt;=$C22)*(Canals!$G$24:$G$29=_xlfn.IFS(AAC22="Handysize",Main!ACL22,AAC22="Supramax",ACE22,AAC22="Panamax",ABX22,AAC22="NeoPanamax",ABQ22,AAC22="Suezmax",ABJ22,AAC22="Capesize",ABC22,AAC22="VLOC",AAV22)))))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E22" s="136" t="e">
        <f t="array" aca="1" ref="AFE22" ca="1">INDEX(Canals!$AT$24:$AT$29,MATCH(2,1/((Canals!$F$24:$F$29&lt;=$C22)*(Canals!$G$24:$G$29=_xlfn.IFS(AAC22="Handysize",Main!ACL22,AAC22="Supramax",ACE22,AAC22="Panamax",ABX22,AAC22="NeoPanamax",ABQ22,AAC22="Suezmax",ABJ22,AAC22="Capesize",ABC22,AAC22="VLOC",AAV22)))))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F22" s="136" t="e">
        <f t="array" aca="1" ref="AFF22" ca="1">INDEX(Canals!$AU$24:$AU$29,MATCH(2,1/((Canals!$F$24:$F$29&lt;=$C22)*(Canals!$G$24:$G$29=_xlfn.IFS(AAC22="Handysize",Main!ACL22,AAC22="Supramax",ACE22,AAC22="Panamax",ABX22,AAC22="NeoPanamax",ABQ22,AAC22="Suezmax",ABJ22,AAC22="Capesize",ABC22,AAC22="VLOC",AAV22)))))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G22" s="136" t="e">
        <f t="array" aca="1" ref="AFG22" ca="1">INDEX(Canals!$AV$24:$AV$29,MATCH(2,1/((Canals!$F$24:$F$29&lt;=$C22)*(Canals!$G$24:$G$29=_xlfn.IFS(AAC22="Handysize",Main!ACL22,AAC22="Supramax",ACE22,AAC22="Panamax",ABX22,AAC22="NeoPanamax",ABQ22,AAC22="Suezmax",ABJ22,AAC22="Capesize",ABC22,AAC22="VLOC",AAV22)))))</f>
        <v>#N/A</v>
      </c>
      <c r="AFI22" s="75" t="e">
        <f t="array" aca="1" ref="AFI22" ca="1">_xlfn.IFS(ADT22="DWT",AAA22,ADT22="NRT",AAE22,ADT22="GRT",AAF22)</f>
        <v>#NAME?</v>
      </c>
      <c r="AFJ22" s="279" t="e">
        <f t="shared" ca="1" si="176"/>
        <v>#NAME?</v>
      </c>
      <c r="AFK22" s="280" t="e">
        <f t="shared" ca="1" si="177"/>
        <v>#NAME?</v>
      </c>
      <c r="AFL22" s="280" t="e">
        <f t="shared" ca="1" si="178"/>
        <v>#NAME?</v>
      </c>
      <c r="AFM22" s="280" t="e">
        <f t="shared" ca="1" si="179"/>
        <v>#NAME?</v>
      </c>
      <c r="AFN22" s="280" t="e">
        <f t="shared" ca="1" si="180"/>
        <v>#NAME?</v>
      </c>
      <c r="AFO22" s="280" t="e">
        <f t="shared" ca="1" si="181"/>
        <v>#NAME?</v>
      </c>
      <c r="AFP22" s="280" t="e">
        <f t="shared" ca="1" si="182"/>
        <v>#NAME?</v>
      </c>
      <c r="AFQ22" s="280" t="e">
        <f t="shared" ca="1" si="183"/>
        <v>#NAME?</v>
      </c>
      <c r="AFR22" s="280" t="e">
        <f t="shared" ca="1" si="184"/>
        <v>#NAME?</v>
      </c>
      <c r="AFS22" s="75">
        <f t="shared" si="185"/>
        <v>58500</v>
      </c>
      <c r="AFT22" s="279" t="e">
        <f t="shared" ca="1" si="186"/>
        <v>#N/A</v>
      </c>
      <c r="AFU22" s="280" t="e">
        <f t="shared" ca="1" si="187"/>
        <v>#N/A</v>
      </c>
      <c r="AFV22" s="280" t="e">
        <f t="shared" ca="1" si="188"/>
        <v>#N/A</v>
      </c>
      <c r="AFW22" s="280" t="e">
        <f t="shared" ca="1" si="189"/>
        <v>#N/A</v>
      </c>
      <c r="AFX22" s="280" t="e">
        <f t="shared" ca="1" si="190"/>
        <v>#N/A</v>
      </c>
      <c r="AFY22" s="280" t="e">
        <f t="shared" ca="1" si="191"/>
        <v>#N/A</v>
      </c>
      <c r="AFZ22" s="280" t="e">
        <f t="shared" ca="1" si="192"/>
        <v>#N/A</v>
      </c>
      <c r="AGA22" s="280" t="e">
        <f t="shared" ca="1" si="193"/>
        <v>#N/A</v>
      </c>
      <c r="AGB22" s="280" t="e">
        <f t="shared" ca="1" si="194"/>
        <v>#N/A</v>
      </c>
      <c r="AGD22" s="75" t="e">
        <f t="array" aca="1" ref="AGD22" ca="1">_xlfn.IFS(AAC22="Handysize",Main!ACF22,AAC22="Supramax",ABY22,AAC22="Panamax",ABR22,AAC22="NeoPanamax",ABK22,AAC22="Suezmax",ABD22,AAC22="Capesize",AAW22,AAC22="VLOC",AAP22)*$JI22</f>
        <v>#NAME?</v>
      </c>
      <c r="AGE22" s="274" t="e">
        <f t="array" aca="1" ref="AGE22" ca="1">_xlfn.IFS(AAC22="Handysize",Main!ACG22,AAC22="Supramax",ABZ22,AAC22="Panamax",ABS22,AAC22="NeoPanamax",ABL22,AAC22="Suezmax",ABE22,AAC22="Capesize",AAX22,AAC22="VLOC",AAQ22)*$JI22</f>
        <v>#NAME?</v>
      </c>
      <c r="AGF22" s="71" t="e">
        <f t="array" aca="1" ref="AGF22" ca="1">_xlfn.IFS(AAC22="Handysize",Main!AAH22,AAC22="Supramax",AAI22,AAC22="Panamax",AAJ22,AAC22="NeoPanamax",AAK22,AAC22="Suezmax",AAL22,AAC22="Capesize",AAM22,AAC22="VLOC",AAN22)</f>
        <v>#NAME?</v>
      </c>
      <c r="AGG22" s="71" t="e">
        <f t="array" aca="1" ref="AGG22" ca="1">_xlfn.IFS(AAC22="Handysize",Main!ACT22,AAC22="Supramax",ACU22,AAC22="Panamax",ACV22,AAC22="NeoPanamax",ACW22,AAC22="Suezmax",ACX22,AAC22="Capesize",ACY22,AAC22="VLOC",ACZ22)</f>
        <v>#NAME?</v>
      </c>
      <c r="AGH22" s="70">
        <f t="array" ref="AGH22">INDEX('Ship Speeds'!$G$11:$G$1011,MATCH(2,1/(('Ship Speeds'!$E$11:$E$1011&lt;=Main!$C22)*('Ship Speeds'!$F$11:$F$1011=Main!AAB22))))</f>
        <v>11</v>
      </c>
      <c r="AGI22" s="403">
        <f t="shared" si="195"/>
        <v>18.010406342317193</v>
      </c>
      <c r="AGJ22" s="401">
        <f t="shared" si="196"/>
        <v>1.8408</v>
      </c>
      <c r="AGK22" s="70" t="e">
        <f t="shared" ca="1" si="197"/>
        <v>#NAME?</v>
      </c>
      <c r="AGL22" s="70" t="e">
        <f t="shared" ca="1" si="198"/>
        <v>#NAME?</v>
      </c>
      <c r="AGM22" s="70" t="e">
        <f t="shared" ca="1" si="199"/>
        <v>#NAME?</v>
      </c>
      <c r="AGN22" s="70" t="e">
        <f t="shared" ca="1" si="200"/>
        <v>#NAME?</v>
      </c>
      <c r="AGO22" s="72" t="e">
        <f t="shared" ca="1" si="201"/>
        <v>#N/A</v>
      </c>
      <c r="AGP22" s="70" t="e">
        <f t="shared" ca="1" si="202"/>
        <v>#NAME?</v>
      </c>
      <c r="AGQ22" s="70" t="e">
        <f t="array" aca="1" ref="AGQ22" ca="1">INDEX(ACN22:ACR22,MATCH(_xlfn.IFS(AAC22="Handysize",Main!ACJ22,AAC22="Supramax",ACC22,AAC22="Panamax",ABV22,AAC22="NeoPanamax",ABO22,AAC22="Suezmax",ABH22,AAC22="Capesize",ABA22,AAC22="VLOC",AAT22),$ACN$7:$ACR$7,0))</f>
        <v>#NAME?</v>
      </c>
      <c r="AGR22" s="70" t="e">
        <f t="array" aca="1" ref="AGR22" ca="1">INDEX(ACN22:ACR22,MATCH(_xlfn.IFS(AAC22="Handysize",Main!ACK22,AAC22="Supramax",ACD22,AAC22="Panamax",ABW22,AAC22="NeoPanamax",ABP22,AAC22="Suezmax",ABI22,AAC22="Capesize",ABB22,AAC22="VLOC",AAU22),$ACN$7:$ACR$7,0))</f>
        <v>#NAME?</v>
      </c>
      <c r="AGS22" s="71" t="e">
        <f t="shared" ca="1" si="203"/>
        <v>#NAME?</v>
      </c>
      <c r="AGT22" s="71" t="e">
        <f t="shared" ca="1" si="204"/>
        <v>#NAME?</v>
      </c>
      <c r="AGU22" s="281">
        <f t="shared" si="205"/>
        <v>7.0759999999999987</v>
      </c>
      <c r="AGV22" s="71">
        <f t="shared" si="206"/>
        <v>1744.2057659694747</v>
      </c>
      <c r="AGW22" s="71" t="e">
        <f t="shared" ca="1" si="207"/>
        <v>#NAME?</v>
      </c>
      <c r="AGX22" s="71" t="e">
        <f t="shared" ca="1" si="208"/>
        <v>#NAME?</v>
      </c>
      <c r="AGY22" s="71">
        <f t="shared" si="209"/>
        <v>21825.890333521769</v>
      </c>
      <c r="AGZ22" s="71" t="e">
        <f t="shared" ca="1" si="210"/>
        <v>#NAME?</v>
      </c>
      <c r="AHA22" s="71" t="e">
        <f t="shared" ca="1" si="211"/>
        <v>#NAME?</v>
      </c>
      <c r="AHB22" s="71">
        <f t="shared" si="212"/>
        <v>15495.211984171852</v>
      </c>
      <c r="AHC22" s="71" t="e">
        <f t="shared" ca="1" si="213"/>
        <v>#NAME?</v>
      </c>
      <c r="AHD22" s="71" t="e">
        <f t="shared" ca="1" si="214"/>
        <v>#NAME?</v>
      </c>
      <c r="AHE22" s="71">
        <f t="shared" si="215"/>
        <v>0</v>
      </c>
      <c r="AHF22" s="71" t="e">
        <f t="shared" ca="1" si="216"/>
        <v>#NAME?</v>
      </c>
      <c r="AHG22" s="71" t="e">
        <f t="shared" ca="1" si="217"/>
        <v>#NAME?</v>
      </c>
      <c r="AHH22" s="72">
        <f t="shared" si="218"/>
        <v>5519.9533634821937</v>
      </c>
      <c r="AHI22" s="72" t="e">
        <f t="shared" ca="1" si="219"/>
        <v>#NAME?</v>
      </c>
      <c r="AHJ22" s="71" t="e">
        <f t="shared" ca="1" si="220"/>
        <v>#NAME?</v>
      </c>
      <c r="AHK22" s="71" t="e">
        <f t="array" aca="1" ref="AHK22" ca="1">INDEX('Ship Time Charter Rates'!$H$22:$H$1021,MATCH(2,1/(('Ship Time Charter Rates'!$G$22:$G$1021=_xlfn.IFS(AAC22="Handysize",Main!ACH22,AAC22="Supramax",ACA22,AAC22="Panamax",ABT22,AAC22="NeoPanamax",ABM22,AAC22="Suezmax",ABF22,AAC22="Capesize",AAY22,AAC22="VLOC",AAR22))*('Ship Time Charter Rates'!$E$22:$E$1021&lt;=Main!$C22)*(NOT(ISBLANK('Ship Time Charter Rates'!$H$22:$H$1021))))))</f>
        <v>#N/A</v>
      </c>
      <c r="AHL22" s="71" t="e">
        <f t="shared" ca="1" si="221"/>
        <v>#NAME?</v>
      </c>
      <c r="AHM22" s="70" t="e">
        <f t="shared" ca="1" si="222"/>
        <v>#N/A</v>
      </c>
      <c r="AHN22" s="71" t="e">
        <f t="shared" ca="1" si="223"/>
        <v>#NAME?</v>
      </c>
      <c r="AHO22" s="71" t="e">
        <f t="shared" ca="1" si="306"/>
        <v>#NAME?</v>
      </c>
      <c r="AHP22" s="72" t="e">
        <f t="shared" ca="1" si="307"/>
        <v>#NAME?</v>
      </c>
      <c r="AHR22" s="25">
        <f t="shared" si="323"/>
        <v>0</v>
      </c>
      <c r="AHS22" s="4" t="str">
        <f>VLOOKUP(AHR22,'Ship Time Charter Rates'!$F$10:$G$17,2,TRUE)</f>
        <v>Handysize</v>
      </c>
      <c r="AHT22" s="4" t="str">
        <f>VLOOKUP(AHR22,Canals!$E$5:$F$12,2,TRUE)</f>
        <v>Handysize</v>
      </c>
      <c r="AHU22" s="25">
        <f t="shared" si="224"/>
        <v>145.88999999999999</v>
      </c>
      <c r="AHV22" s="25">
        <f t="shared" si="225"/>
        <v>0</v>
      </c>
      <c r="AHW22" s="25">
        <f t="shared" si="226"/>
        <v>4797</v>
      </c>
      <c r="AHY22" s="75">
        <f t="array" ref="AHY22">INDEX('Indices Mines Exporting Ports'!$R$20:$R$51,MATCH(2,1/(('Indices Mines Exporting Ports'!$D$20:$D$51&lt;=Main!$C22)*('Indices Mines Exporting Ports'!$Q$20:$Q$51=$AQ22))))</f>
        <v>0</v>
      </c>
      <c r="AHZ22" s="75">
        <f t="array" ref="AHZ22">INDEX('Indices Mines Exporting Ports'!$S$20:$S$51,MATCH(2,1/(('Indices Mines Exporting Ports'!$D$20:$D$51&lt;=Main!$C22)*('Indices Mines Exporting Ports'!$Q$20:$Q$51=$AQ22))))</f>
        <v>0</v>
      </c>
      <c r="AIA22" s="75">
        <f t="array" ref="AIA22">INDEX('Indices Mines Exporting Ports'!$T$20:$T$51,MATCH(2,1/(('Indices Mines Exporting Ports'!$D$20:$D$51&lt;=Main!$C22)*('Indices Mines Exporting Ports'!$Q$20:$Q$51=$AQ22))))</f>
        <v>0</v>
      </c>
      <c r="AIB22" s="75">
        <f t="array" ref="AIB22">INDEX('Indices Mines Exporting Ports'!$U$20:$U$51,MATCH(2,1/(('Indices Mines Exporting Ports'!$D$20:$D$51&lt;=Main!$C22)*('Indices Mines Exporting Ports'!$Q$20:$Q$51=$AQ22))))</f>
        <v>0</v>
      </c>
      <c r="AIC22" s="75">
        <f t="array" ref="AIC22">INDEX('Indices Mines Exporting Ports'!$V$20:$V$51,MATCH(2,1/(('Indices Mines Exporting Ports'!$D$20:$D$51&lt;=Main!$C22)*('Indices Mines Exporting Ports'!$Q$20:$Q$51=$AQ22))))</f>
        <v>0</v>
      </c>
      <c r="AID22" s="75">
        <f t="array" ref="AID22">INDEX('Indices Mines Exporting Ports'!$W$20:$W$51,MATCH(2,1/(('Indices Mines Exporting Ports'!$D$20:$D$51&lt;=Main!$C22)*('Indices Mines Exporting Ports'!$Q$20:$Q$51=$AQ22))))</f>
        <v>0</v>
      </c>
      <c r="AIE22" s="75">
        <f t="array" ref="AIE22">INDEX('Indices Mines Exporting Ports'!$X$20:$X$51,MATCH(2,1/(('Indices Mines Exporting Ports'!$D$20:$D$51&lt;=Main!$C22)*('Indices Mines Exporting Ports'!$Q$20:$Q$51=$AQ22))))</f>
        <v>0</v>
      </c>
      <c r="AIG22" s="75">
        <f t="array" ref="AIG22">INDEX('Port Linkages'!$E$18:$E$157,MATCH(2,1/(('Port Linkages'!$C$18:$C$157=$AQ22)*('Port Linkages'!$D$18:$D$157=IF($AO22="no",$AQ22,$KK22))*('Port Linkages'!$A$18:$A$157&lt;=$C22))))</f>
        <v>0</v>
      </c>
      <c r="AIH22" s="75">
        <f t="array" ref="AIH22">INDEX('Port Linkages'!$F$18:$F$157,MATCH(2,1/(('Port Linkages'!$C$18:$C$157=$AQ22)*('Port Linkages'!$D$18:$D$157=IF($AO22="no",$AQ22,$KK22))*('Port Linkages'!$A$18:$A$157&lt;=$C22))))</f>
        <v>0</v>
      </c>
      <c r="AII22" s="75">
        <f t="array" ref="AII22">INDEX('Port Linkages'!$G$18:$G$157,MATCH(2,1/(('Port Linkages'!$C$18:$C$157=$AQ22)*('Port Linkages'!$D$18:$D$157=IF($AO22="no",$AQ22,$KK22))*('Port Linkages'!$A$18:$A$157&lt;=$C22))))</f>
        <v>0</v>
      </c>
      <c r="AIJ22" s="75">
        <f t="array" ref="AIJ22">INDEX('Port Linkages'!$H$18:$H$157,MATCH(2,1/(('Port Linkages'!$C$18:$C$157=$AQ22)*('Port Linkages'!$D$18:$D$157=IF($AO22="no",$AQ22,$KK22))*('Port Linkages'!$A$18:$A$157&lt;=$C22))))</f>
        <v>0</v>
      </c>
      <c r="AIK22" s="75">
        <f t="array" ref="AIK22">INDEX('Port Linkages'!$I$18:$I$157,MATCH(2,1/(('Port Linkages'!$C$18:$C$157=$AQ22)*('Port Linkages'!$D$18:$D$157=IF($AO22="no",$AQ22,$KK22))*('Port Linkages'!$A$18:$A$157&lt;=$C22))))</f>
        <v>0</v>
      </c>
      <c r="AIL22" s="75">
        <f t="array" ref="AIL22">INDEX('Port Linkages'!$J$18:$J$157,MATCH(2,1/(('Port Linkages'!$C$18:$C$157=$AQ22)*('Port Linkages'!$D$18:$D$157=IF($AO22="no",$AQ22,$KK22))*('Port Linkages'!$A$18:$A$157&lt;=$C22))))</f>
        <v>0</v>
      </c>
      <c r="AIM22" s="75">
        <f t="array" ref="AIM22">INDEX('Port Linkages'!$K$18:$K$157,MATCH(2,1/(('Port Linkages'!$C$18:$C$157=$AQ22)*('Port Linkages'!$D$18:$D$157=IF($AO22="no",$AQ22,$KK22))*('Port Linkages'!$A$18:$A$157&lt;=$C22))))</f>
        <v>0</v>
      </c>
      <c r="AIN22" s="75">
        <f t="array" ref="AIN22">INDEX('Port Linkages'!$L$18:$L$157,MATCH(2,1/(('Port Linkages'!$C$18:$C$157=$AQ22)*('Port Linkages'!$D$18:$D$157=IF($AO22="no",$AQ22,$KK22))*('Port Linkages'!$A$18:$A$157&lt;=$C22))))</f>
        <v>0</v>
      </c>
      <c r="AIO22" s="75">
        <f t="array" ref="AIO22">INDEX('Port Linkages'!$M$18:$M$157,MATCH(2,1/(('Port Linkages'!$C$18:$C$157=$AQ22)*('Port Linkages'!$D$18:$D$157=IF($AO22="no",$AQ22,$KK22))*('Port Linkages'!$A$18:$A$157&lt;=$C22))))</f>
        <v>0</v>
      </c>
      <c r="AIP22" s="75">
        <f t="array" ref="AIP22">INDEX('Port Linkages'!$N$18:$N$157,MATCH(2,1/(('Port Linkages'!$C$18:$C$157=$AQ22)*('Port Linkages'!$D$18:$D$157=IF($AO22="no",$AQ22,$KK22))*('Port Linkages'!$A$18:$A$157&lt;=$C22))))</f>
        <v>0</v>
      </c>
      <c r="AIQ22" s="75">
        <f t="array" ref="AIQ22">INDEX('Port Linkages'!$O$18:$O$157,MATCH(2,1/(('Port Linkages'!$C$18:$C$157=$AQ22)*('Port Linkages'!$D$18:$D$157=IF($AO22="no",$AQ22,$KK22))*('Port Linkages'!$A$18:$A$157&lt;=$C22))))</f>
        <v>0</v>
      </c>
      <c r="AIR22" s="75">
        <f t="array" ref="AIR22">INDEX('Port Linkages'!$P$18:$P$157,MATCH(2,1/(('Port Linkages'!$C$18:$C$157=$AQ22)*('Port Linkages'!$D$18:$D$157=IF($AO22="no",$AQ22,$KK22))*('Port Linkages'!$A$18:$A$157&lt;=$C22))))</f>
        <v>0</v>
      </c>
      <c r="AIS22" s="75">
        <f t="array" ref="AIS22">INDEX('Port Linkages'!$Q$18:$Q$157,MATCH(2,1/(('Port Linkages'!$C$18:$C$157=$AQ22)*('Port Linkages'!$D$18:$D$157=IF($AO22="no",$AQ22,$KK22))*('Port Linkages'!$A$18:$A$157&lt;=$C22))))</f>
        <v>0</v>
      </c>
      <c r="AIT22" s="75">
        <f t="array" ref="AIT22">INDEX('Port Linkages'!$R$18:$R$157,MATCH(2,1/(('Port Linkages'!$C$18:$C$157=$AQ22)*('Port Linkages'!$D$18:$D$157=IF($AO22="no",$AQ22,$KK22))*('Port Linkages'!$A$18:$A$157&lt;=$C22))))</f>
        <v>0</v>
      </c>
      <c r="AIU22" s="75">
        <f t="array" ref="AIU22">INDEX('Port Linkages'!$S$18:$S$157,MATCH(2,1/(('Port Linkages'!$C$18:$C$157=$AQ22)*('Port Linkages'!$D$18:$D$157=IF($AO22="no",$AQ22,$KK22))*('Port Linkages'!$A$18:$A$157&lt;=$C22))))</f>
        <v>0</v>
      </c>
      <c r="AIV22" s="75">
        <f t="array" ref="AIV22">INDEX('Port Linkages'!$T$18:$T$157,MATCH(2,1/(('Port Linkages'!$C$18:$C$157=$AQ22)*('Port Linkages'!$D$18:$D$157=IF($AO22="no",$AQ22,$KK22))*('Port Linkages'!$A$18:$A$157&lt;=$C22))))</f>
        <v>0</v>
      </c>
      <c r="AIW22" s="75">
        <f t="array" ref="AIW22">INDEX('Port Linkages'!$U$18:$U$157,MATCH(2,1/(('Port Linkages'!$C$18:$C$157=$AQ22)*('Port Linkages'!$D$18:$D$157=IF($AO22="no",$AQ22,$KK22))*('Port Linkages'!$A$18:$A$157&lt;=$C22))))</f>
        <v>0</v>
      </c>
      <c r="AIX22" s="75">
        <f t="array" ref="AIX22">INDEX('Port Linkages'!$V$18:$V$157,MATCH(2,1/(('Port Linkages'!$C$18:$C$157=$AQ22)*('Port Linkages'!$D$18:$D$157=IF($AO22="no",$AQ22,$KK22))*('Port Linkages'!$A$18:$A$157&lt;=$C22))))</f>
        <v>0</v>
      </c>
      <c r="AIY22" s="75">
        <f t="array" ref="AIY22">INDEX('Port Linkages'!$W$18:$W$157,MATCH(2,1/(('Port Linkages'!$C$18:$C$157=$AQ22)*('Port Linkages'!$D$18:$D$157=IF($AO22="no",$AQ22,$KK22))*('Port Linkages'!$A$18:$A$157&lt;=$C22))))</f>
        <v>0</v>
      </c>
      <c r="AIZ22" s="75">
        <f t="array" ref="AIZ22">INDEX('Port Linkages'!$X$18:$X$157,MATCH(2,1/(('Port Linkages'!$C$18:$C$157=$AQ22)*('Port Linkages'!$D$18:$D$157=IF($AO22="no",$AQ22,$KK22))*('Port Linkages'!$A$18:$A$157&lt;=$C22))))</f>
        <v>0</v>
      </c>
      <c r="AJA22" s="75">
        <f t="array" ref="AJA22">INDEX('Port Linkages'!$Y$18:$Y$157,MATCH(2,1/(('Port Linkages'!$C$18:$C$157=$AQ22)*('Port Linkages'!$D$18:$D$157=IF($AO22="no",$AQ22,$KK22))*('Port Linkages'!$A$18:$A$157&lt;=$C22))))</f>
        <v>0</v>
      </c>
      <c r="AJB22" s="75">
        <f t="array" ref="AJB22">INDEX('Port Linkages'!$Z$18:$Z$157,MATCH(2,1/(('Port Linkages'!$C$18:$C$157=$AQ22)*('Port Linkages'!$D$18:$D$157=IF($AO22="no",$AQ22,$KK22))*('Port Linkages'!$A$18:$A$157&lt;=$C22))))</f>
        <v>0</v>
      </c>
      <c r="AJC22" s="75">
        <f t="array" ref="AJC22">INDEX('Port Linkages'!$AA$18:$AA$157,MATCH(2,1/(('Port Linkages'!$C$18:$C$157=$AQ22)*('Port Linkages'!$D$18:$D$157=IF($AO22="no",$AQ22,$KK22))*('Port Linkages'!$A$18:$A$157&lt;=$C22))))</f>
        <v>0</v>
      </c>
      <c r="AJD22" s="75">
        <f t="array" ref="AJD22">INDEX('Port Linkages'!$AB$18:$AB$157,MATCH(2,1/(('Port Linkages'!$C$18:$C$157=$AQ22)*('Port Linkages'!$D$18:$D$157=IF($AO22="no",$AQ22,$KK22))*('Port Linkages'!$A$18:$A$157&lt;=$C22))))</f>
        <v>0</v>
      </c>
      <c r="AJE22" s="75">
        <f t="array" ref="AJE22">INDEX('Port Linkages'!$AC$18:$AC$157,MATCH(2,1/(('Port Linkages'!$C$18:$C$157=$AQ22)*('Port Linkages'!$D$18:$D$157=IF($AO22="no",$AQ22,$KK22))*('Port Linkages'!$A$18:$A$157&lt;=$C22))))</f>
        <v>0</v>
      </c>
      <c r="AJF22" s="75">
        <f t="array" ref="AJF22">INDEX('Port Linkages'!$AD$18:$AD$157,MATCH(2,1/(('Port Linkages'!$C$18:$C$157=$AQ22)*('Port Linkages'!$D$18:$D$157=IF($AO22="no",$AQ22,$KK22))*('Port Linkages'!$A$18:$A$157&lt;=$C22))))</f>
        <v>0</v>
      </c>
      <c r="AJG22" s="75">
        <f t="array" ref="AJG22">INDEX('Port Linkages'!$AE$18:$AE$157,MATCH(2,1/(('Port Linkages'!$C$18:$C$157=$AQ22)*('Port Linkages'!$D$18:$D$157=IF($AO22="no",$AQ22,$KK22))*('Port Linkages'!$A$18:$A$157&lt;=$C22))))</f>
        <v>0</v>
      </c>
      <c r="AJH22" s="75">
        <f t="array" ref="AJH22">INDEX('Port Linkages'!$AF$18:$AF$157,MATCH(2,1/(('Port Linkages'!$C$18:$C$157=$AQ22)*('Port Linkages'!$D$18:$D$157=IF($AO22="no",$AQ22,$KK22))*('Port Linkages'!$A$18:$A$157&lt;=$C22))))</f>
        <v>0</v>
      </c>
      <c r="AJI22" s="75">
        <f t="array" ref="AJI22">INDEX('Port Linkages'!$AG$18:$AG$157,MATCH(2,1/(('Port Linkages'!$C$18:$C$157=$AQ22)*('Port Linkages'!$D$18:$D$157=IF($AO22="no",$AQ22,$KK22))*('Port Linkages'!$A$18:$A$157&lt;=$C22))))</f>
        <v>0</v>
      </c>
      <c r="AJJ22" s="75">
        <f t="array" ref="AJJ22">INDEX('Port Linkages'!$AH$18:$AH$157,MATCH(2,1/(('Port Linkages'!$C$18:$C$157=$AQ22)*('Port Linkages'!$D$18:$D$157=IF($AO22="no",$AQ22,$KK22))*('Port Linkages'!$A$18:$A$157&lt;=$C22))))</f>
        <v>0</v>
      </c>
      <c r="AJK22" s="75">
        <f t="array" ref="AJK22">INDEX('Port Linkages'!$AI$18:$AI$157,MATCH(2,1/(('Port Linkages'!$C$18:$C$157=$AQ22)*('Port Linkages'!$D$18:$D$157=IF($AO22="no",$AQ22,$KK22))*('Port Linkages'!$A$18:$A$157&lt;=$C22))))</f>
        <v>0</v>
      </c>
      <c r="AJL22" s="75">
        <f t="array" ref="AJL22">INDEX('Port Linkages'!$AJ$18:$AJ$157,MATCH(2,1/(('Port Linkages'!$C$18:$C$157=$AQ22)*('Port Linkages'!$D$18:$D$157=IF($AO22="no",$AQ22,$KK22))*('Port Linkages'!$A$18:$A$157&lt;=$C22))))</f>
        <v>0</v>
      </c>
      <c r="AJM22" s="75">
        <f t="array" ref="AJM22">INDEX('Port Linkages'!$AK$18:$AK$157,MATCH(2,1/(('Port Linkages'!$C$18:$C$157=$AQ22)*('Port Linkages'!$D$18:$D$157=IF($AO22="no",$AQ22,$KK22))*('Port Linkages'!$A$18:$A$157&lt;=$C22))))</f>
        <v>0</v>
      </c>
      <c r="AJN22" s="75">
        <f t="array" ref="AJN22">INDEX('Port Linkages'!$AL$18:$AL$157,MATCH(2,1/(('Port Linkages'!$C$18:$C$157=$AQ22)*('Port Linkages'!$D$18:$D$157=IF($AO22="no",$AQ22,$KK22))*('Port Linkages'!$A$18:$A$157&lt;=$C22))))</f>
        <v>0</v>
      </c>
      <c r="AJO22" s="75">
        <f t="array" ref="AJO22">INDEX('Port Linkages'!$AM$18:$AM$157,MATCH(2,1/(('Port Linkages'!$C$18:$C$157=$AQ22)*('Port Linkages'!$D$18:$D$157=IF($AO22="no",$AQ22,$KK22))*('Port Linkages'!$A$18:$A$157&lt;=$C22))))</f>
        <v>0</v>
      </c>
      <c r="AJP22" s="75">
        <f t="array" ref="AJP22">INDEX('Port Linkages'!$AN$18:$AN$157,MATCH(2,1/(('Port Linkages'!$C$18:$C$157=$AQ22)*('Port Linkages'!$D$18:$D$157=IF($AO22="no",$AQ22,$KK22))*('Port Linkages'!$A$18:$A$157&lt;=$C22))))</f>
        <v>0</v>
      </c>
      <c r="AJQ22" s="75">
        <f t="array" ref="AJQ22">INDEX('Port Linkages'!$AO$18:$AO$157,MATCH(2,1/(('Port Linkages'!$C$18:$C$157=$AQ22)*('Port Linkages'!$D$18:$D$157=IF($AO22="no",$AQ22,$KK22))*('Port Linkages'!$A$18:$A$157&lt;=$C22))))</f>
        <v>0</v>
      </c>
      <c r="AJR22" s="75">
        <f t="array" ref="AJR22">INDEX('Port Linkages'!$AP$18:$AP$157,MATCH(2,1/(('Port Linkages'!$C$18:$C$157=$AQ22)*('Port Linkages'!$D$18:$D$157=IF($AO22="no",$AQ22,$KK22))*('Port Linkages'!$A$18:$A$157&lt;=$C22))))</f>
        <v>0</v>
      </c>
      <c r="AJS22" s="75">
        <f t="array" ref="AJS22">INDEX('Port Linkages'!$AQ$18:$AQ$157,MATCH(2,1/(('Port Linkages'!$C$18:$C$157=$AQ22)*('Port Linkages'!$D$18:$D$157=IF($AO22="no",$AQ22,$KK22))*('Port Linkages'!$A$18:$A$157&lt;=$C22))))</f>
        <v>0</v>
      </c>
      <c r="AJT22" s="75">
        <f t="array" ref="AJT22">INDEX('Port Linkages'!$AR$18:$AR$157,MATCH(2,1/(('Port Linkages'!$C$18:$C$157=$AQ22)*('Port Linkages'!$D$18:$D$157=IF($AO22="no",$AQ22,$KK22))*('Port Linkages'!$A$18:$A$157&lt;=$C22))))</f>
        <v>0</v>
      </c>
      <c r="AJU22" s="75">
        <f t="array" ref="AJU22">INDEX('Port Linkages'!$AS$18:$AS$157,MATCH(2,1/(('Port Linkages'!$C$18:$C$157=$AQ22)*('Port Linkages'!$D$18:$D$157=IF($AO22="no",$AQ22,$KK22))*('Port Linkages'!$A$18:$A$157&lt;=$C22))))</f>
        <v>0</v>
      </c>
      <c r="AJV22" s="75">
        <f t="array" ref="AJV22">INDEX('Port Linkages'!$AT$18:$AT$157,MATCH(2,1/(('Port Linkages'!$C$18:$C$157=$AQ22)*('Port Linkages'!$D$18:$D$157=IF($AO22="no",$AQ22,$KK22))*('Port Linkages'!$A$18:$A$157&lt;=$C22))))</f>
        <v>0</v>
      </c>
      <c r="AJW22" s="75">
        <f t="array" ref="AJW22">INDEX('Port Linkages'!$AU$18:$AU$157,MATCH(2,1/(('Port Linkages'!$C$18:$C$157=$AQ22)*('Port Linkages'!$D$18:$D$157=IF($AO22="no",$AQ22,$KK22))*('Port Linkages'!$A$18:$A$157&lt;=$C22))))</f>
        <v>0</v>
      </c>
      <c r="AJX22" s="75">
        <f t="array" ref="AJX22">INDEX('Port Linkages'!$AV$18:$AV$157,MATCH(2,1/(('Port Linkages'!$C$18:$C$157=$AQ22)*('Port Linkages'!$D$18:$D$157=IF($AO22="no",$AQ22,$KK22))*('Port Linkages'!$A$18:$A$157&lt;=$C22))))</f>
        <v>0</v>
      </c>
      <c r="AJY22" s="75">
        <f t="array" ref="AJY22">INDEX('Port Linkages'!$AW$18:$AW$157,MATCH(2,1/(('Port Linkages'!$C$18:$C$157=$AQ22)*('Port Linkages'!$D$18:$D$157=IF($AO22="no",$AQ22,$KK22))*('Port Linkages'!$A$18:$A$157&lt;=$C22))))</f>
        <v>0</v>
      </c>
      <c r="AJZ22" s="75">
        <f t="array" ref="AJZ22">INDEX('Port Linkages'!$AX$18:$AX$157,MATCH(2,1/(('Port Linkages'!$C$18:$C$157=$AQ22)*('Port Linkages'!$D$18:$D$157=IF($AO22="no",$AQ22,$KK22))*('Port Linkages'!$A$18:$A$157&lt;=$C22))))</f>
        <v>0</v>
      </c>
      <c r="AKA22" s="75">
        <f t="array" ref="AKA22">INDEX('Port Linkages'!$AY$18:$AY$157,MATCH(2,1/(('Port Linkages'!$C$18:$C$157=$AQ22)*('Port Linkages'!$D$18:$D$157=IF($AO22="no",$AQ22,$KK22))*('Port Linkages'!$A$18:$A$157&lt;=$C22))))</f>
        <v>0</v>
      </c>
      <c r="AKB22" s="75">
        <f t="array" ref="AKB22">INDEX('Port Linkages'!$AZ$18:$AZ$157,MATCH(2,1/(('Port Linkages'!$C$18:$C$157=$AQ22)*('Port Linkages'!$D$18:$D$157=IF($AO22="no",$AQ22,$KK22))*('Port Linkages'!$A$18:$A$157&lt;=$C22))))</f>
        <v>0</v>
      </c>
      <c r="AKC22" s="75">
        <f t="array" ref="AKC22">INDEX('Port Linkages'!$BA$18:$BA$157,MATCH(2,1/(('Port Linkages'!$C$18:$C$157=$AQ22)*('Port Linkages'!$D$18:$D$157=IF($AO22="no",$AQ22,$KK22))*('Port Linkages'!$A$18:$A$157&lt;=$C22))))</f>
        <v>0</v>
      </c>
      <c r="AKE22" s="25" t="e">
        <f t="array" aca="1" ref="AKE22" ca="1">INDEX('Ship Fuel Prices'!$F$5:$F$1004,MATCH(2,1/(('Ship Fuel Prices'!$E$5:$E$1004=_xlfn.IFS(AHT22="Handysize",Main!AJZ22,AHT22="Supramax",AJS22,AHT22="Panamax",AJL22,AHT22="NeoPanamax",AJE22,AHT22="Suezmax",AIX22,AHT22="Capesize",AIQ22,AHT22="VLOC",AIJ22))*('Ship Fuel Prices'!$D$5:$D$1004&lt;=Main!$C22))))</f>
        <v>#N/A</v>
      </c>
      <c r="AKF22" s="25" t="e">
        <f t="array" aca="1" ref="AKF22" ca="1">INDEX('Ship Fuel Prices'!$G$5:$G$1004,MATCH(2,1/(('Ship Fuel Prices'!$E$5:$E$1004=_xlfn.IFS(AHT22="Handysize",Main!AJZ22,AHT22="Supramax",AJS22,AHT22="Panamax",AJL22,AHT22="NeoPanamax",AJE22,AHT22="Suezmax",AIX22,AHT22="Capesize",AIQ22,AHT22="VLOC",AIJ22))*('Ship Fuel Prices'!$D$5:$D$1004&lt;=Main!$C22))))</f>
        <v>#N/A</v>
      </c>
      <c r="AKG22" s="25" t="e">
        <f t="array" aca="1" ref="AKG22" ca="1">INDEX('Ship Fuel Prices'!$H$5:$H$1004,MATCH(2,1/(('Ship Fuel Prices'!$E$5:$E$1004=_xlfn.IFS(AHT22="Handysize",Main!AJZ22,AHT22="Supramax",AJS22,AHT22="Panamax",AJL22,AHT22="NeoPanamax",AJE22,AHT22="Suezmax",AIX22,AHT22="Capesize",AIQ22,AHT22="VLOC",AIJ22))*('Ship Fuel Prices'!$D$5:$D$1004&lt;=Main!$C22))))</f>
        <v>#N/A</v>
      </c>
      <c r="AKH22" s="25" t="e">
        <f t="array" aca="1" ref="AKH22" ca="1">INDEX('Ship Fuel Prices'!$I$5:$I$1004,MATCH(2,1/(('Ship Fuel Prices'!$E$5:$E$1004=_xlfn.IFS(AHT22="Handysize",Main!AJZ22,AHT22="Supramax",AJS22,AHT22="Panamax",AJL22,AHT22="NeoPanamax",AJE22,AHT22="Suezmax",AIX22,AHT22="Capesize",AIQ22,AHT22="VLOC",AIJ22))*('Ship Fuel Prices'!$D$5:$D$1004&lt;=Main!$C22))))</f>
        <v>#N/A</v>
      </c>
      <c r="AKI22" s="25" t="e">
        <f t="array" aca="1" ref="AKI22" ca="1">INDEX('Ship Fuel Prices'!$J$5:$J$1004,MATCH(2,1/(('Ship Fuel Prices'!$E$5:$E$1004=_xlfn.IFS(AHT22="Handysize",Main!AJZ22,AHT22="Supramax",AJS22,AHT22="Panamax",AJL22,AHT22="NeoPanamax",AJE22,AHT22="Suezmax",AIX22,AHT22="Capesize",AIQ22,AHT22="VLOC",AIJ22))*('Ship Fuel Prices'!$D$5:$D$1004&lt;=Main!$C22))))</f>
        <v>#N/A</v>
      </c>
      <c r="AKK22" s="75">
        <f t="array" ref="AKK22">INDEX('China n Importing Ports'!$E$20:$E$41,MATCH(2,1/(('China n Importing Ports'!$D$20:$D$41&lt;=$C22)*('China n Importing Ports'!$C$20:$C$41=IF($AO22="No",$AQ22,$KK22)))))</f>
        <v>0</v>
      </c>
      <c r="AKL22" s="75">
        <f t="array" ref="AKL22">INDEX('China n Importing Ports'!$F$20:$F$41,MATCH(2,1/(('China n Importing Ports'!$D$20:$D$41&lt;=$C22)*('China n Importing Ports'!$C$20:$C$41=IF($AO22="No",$AQ22,$KK22)))))</f>
        <v>0</v>
      </c>
      <c r="AKM22" s="75">
        <f t="array" ref="AKM22">INDEX('China n Importing Ports'!$G$20:$G$41,MATCH(2,1/(('China n Importing Ports'!$D$20:$D$41&lt;=$C22)*('China n Importing Ports'!$C$20:$C$41=IF($AO22="No",$AQ22,$KK22)))))</f>
        <v>0</v>
      </c>
      <c r="AKN22" s="75">
        <f t="array" ref="AKN22">INDEX('China n Importing Ports'!$H$20:$H$41,MATCH(2,1/(('China n Importing Ports'!$D$20:$D$41&lt;=$C22)*('China n Importing Ports'!$C$20:$C$41=IF($AO22="No",$AQ22,$KK22)))))</f>
        <v>0</v>
      </c>
      <c r="AKO22" s="75">
        <f t="array" ref="AKO22">INDEX('China n Importing Ports'!$I$20:$I$41,MATCH(2,1/(('China n Importing Ports'!$D$20:$D$41&lt;=$C22)*('China n Importing Ports'!$C$20:$C$41=IF($AO22="No",$AQ22,$KK22)))))</f>
        <v>0</v>
      </c>
      <c r="AKP22" s="75">
        <f t="array" ref="AKP22">INDEX('China n Importing Ports'!$J$20:$J$41,MATCH(2,1/(('China n Importing Ports'!$D$20:$D$41&lt;=$C22)*('China n Importing Ports'!$C$20:$C$41=IF($AO22="No",$AQ22,$KK22)))))</f>
        <v>0</v>
      </c>
      <c r="AKQ22" s="75">
        <f t="array" ref="AKQ22">INDEX('China n Importing Ports'!$K$20:$K$41,MATCH(2,1/(('China n Importing Ports'!$D$20:$D$41&lt;=$C22)*('China n Importing Ports'!$C$20:$C$41=IF($AO22="No",$AQ22,$KK22)))))</f>
        <v>0</v>
      </c>
      <c r="AKR22" s="75">
        <f t="array" ref="AKR22">INDEX('China n Importing Ports'!$L$20:$L$41,MATCH(2,1/(('China n Importing Ports'!$D$20:$D$41&lt;=$C22)*('China n Importing Ports'!$C$20:$C$41=IF($AO22="No",$AQ22,$KK22)))))</f>
        <v>0</v>
      </c>
      <c r="AKS22" s="75">
        <f t="array" ref="AKS22">INDEX('China n Importing Ports'!$M$20:$M$41,MATCH(2,1/(('China n Importing Ports'!$D$20:$D$41&lt;=$C22)*('China n Importing Ports'!$C$20:$C$41=IF($AO22="No",$AQ22,$KK22)))))</f>
        <v>0</v>
      </c>
      <c r="AKT22" s="75">
        <f t="array" ref="AKT22">INDEX('China n Importing Ports'!$N$20:$N$41,MATCH(2,1/(('China n Importing Ports'!$D$20:$D$41&lt;=$C22)*('China n Importing Ports'!$C$20:$C$41=IF($AO22="No",$AQ22,$KK22)))))</f>
        <v>0</v>
      </c>
      <c r="AKU22" s="75">
        <f t="array" ref="AKU22">INDEX('China n Importing Ports'!$O$20:$O$41,MATCH(2,1/(('China n Importing Ports'!$D$20:$D$41&lt;=$C22)*('China n Importing Ports'!$C$20:$C$41=IF($AO22="No",$AQ22,$KK22)))))</f>
        <v>0</v>
      </c>
      <c r="AKV22" s="136">
        <f t="array" ref="AKV22">INDEX('China n Importing Ports'!$P$20:$P$41,MATCH(2,1/(('China n Importing Ports'!$D$20:$D$41&lt;=$C22)*('China n Importing Ports'!$C$20:$C$41=IF($AO22="No",$AQ22,$KK22)))))</f>
        <v>0</v>
      </c>
      <c r="AKW22" s="136">
        <f t="array" ref="AKW22">INDEX('China n Importing Ports'!$Q$20:$Q$41,MATCH(2,1/(('China n Importing Ports'!$D$20:$D$41&lt;=$C22)*('China n Importing Ports'!$C$20:$C$41=IF($AO22="No",$AQ22,$KK22)))))</f>
        <v>0</v>
      </c>
      <c r="AKX22" s="136">
        <f t="array" ref="AKX22">INDEX('China n Importing Ports'!$R$20:$R$41,MATCH(2,1/(('China n Importing Ports'!$D$20:$D$41&lt;=$C22)*('China n Importing Ports'!$C$20:$C$41=IF($AO22="No",$AQ22,$KK22)))))</f>
        <v>0</v>
      </c>
      <c r="AKY22" s="136">
        <f t="array" ref="AKY22">INDEX('China n Importing Ports'!$S$20:$S$41,MATCH(2,1/(('China n Importing Ports'!$D$20:$D$41&lt;=$C22)*('China n Importing Ports'!$C$20:$C$41=IF($AO22="No",$AQ22,$KK22)))))</f>
        <v>0</v>
      </c>
      <c r="AKZ22" s="136">
        <f t="array" ref="AKZ22">INDEX('China n Importing Ports'!$T$20:$T$41,MATCH(2,1/(('China n Importing Ports'!$D$20:$D$41&lt;=$C22)*('China n Importing Ports'!$C$20:$C$41=IF($AO22="No",$AQ22,$KK22)))))</f>
        <v>0</v>
      </c>
      <c r="ALA22" s="136">
        <f t="array" ref="ALA22">INDEX('China n Importing Ports'!$U$20:$U$41,MATCH(2,1/(('China n Importing Ports'!$D$20:$D$41&lt;=$C22)*('China n Importing Ports'!$C$20:$C$41=IF($AO22="No",$AQ22,$KK22)))))</f>
        <v>0</v>
      </c>
      <c r="ALB22" s="136">
        <f t="array" ref="ALB22">INDEX('China n Importing Ports'!$V$20:$V$41,MATCH(2,1/(('China n Importing Ports'!$D$20:$D$41&lt;=$C22)*('China n Importing Ports'!$C$20:$C$41=IF($AO22="No",$AQ22,$KK22)))))</f>
        <v>0</v>
      </c>
      <c r="ALC22" s="136">
        <f t="array" ref="ALC22">INDEX('China n Importing Ports'!$W$20:$W$41,MATCH(2,1/(('China n Importing Ports'!$D$20:$D$41&lt;=$C22)*('China n Importing Ports'!$C$20:$C$41=IF($AO22="No",$AQ22,$KK22)))))</f>
        <v>0</v>
      </c>
      <c r="ALD22" s="136">
        <f t="array" ref="ALD22">INDEX('China n Importing Ports'!$X$20:$X$41,MATCH(2,1/(('China n Importing Ports'!$D$20:$D$41&lt;=$C22)*('China n Importing Ports'!$C$20:$C$41=IF($AO22="No",$AQ22,$KK22)))))</f>
        <v>0</v>
      </c>
      <c r="ALE22" s="136">
        <f t="array" ref="ALE22">INDEX('China n Importing Ports'!$Y$20:$Y$41,MATCH(2,1/(('China n Importing Ports'!$D$20:$D$41&lt;=$C22)*('China n Importing Ports'!$C$20:$C$41=IF($AO22="No",$AQ22,$KK22)))))</f>
        <v>0</v>
      </c>
      <c r="ALF22" s="136">
        <f t="array" ref="ALF22">INDEX('China n Importing Ports'!$Z$20:$Z$41,MATCH(2,1/(('China n Importing Ports'!$D$20:$D$41&lt;=$C22)*('China n Importing Ports'!$C$20:$C$41=IF($AO22="No",$AQ22,$KK22)))))</f>
        <v>0</v>
      </c>
      <c r="ALG22" s="136">
        <f t="array" ref="ALG22">INDEX('China n Importing Ports'!$AA$20:$AA$41,MATCH(2,1/(('China n Importing Ports'!$D$20:$D$41&lt;=$C22)*('China n Importing Ports'!$C$20:$C$41=IF($AO22="No",$AQ22,$KK22)))))</f>
        <v>0</v>
      </c>
      <c r="ALI22" s="75" t="e">
        <f t="array" aca="1" ref="ALI22" ca="1">INDEX(Canals!$G$24:$G$29,MATCH(2,1/((Canals!$F$24:$F$29&lt;=$C22)*(Canals!$G$24:$G$29=_xlfn.IFS(AHT22="Handysize",AKC22,AHT22="Supramax",AJV22,AHT22="Panamax",AJO22,AHT22="NeoPanamax",AJH22,AHT22="Suezmax",AJA22,AHT22="Capesize",AIT22,AHT22="VLOC",AIM22)))))</f>
        <v>#N/A</v>
      </c>
      <c r="ALJ22" s="75" t="e">
        <f t="array" aca="1" ref="ALJ22" ca="1">INDEX(Canals!$H$24:$H$29,MATCH(2,1/((Canals!$F$24:$F$29&lt;=$C22)*(Canals!$G$24:$G$29=_xlfn.IFS(AHT22="Handysize",AKC22,AHT22="Supramax",AJV22,AHT22="Panamax",AJO22,AHT22="NeoPanamax",AJH22,AHT22="Suezmax",AJA22,AHT22="Capesize",AIT22,AHT22="VLOC",AIM22)))))</f>
        <v>#N/A</v>
      </c>
      <c r="ALK22" s="75" t="e">
        <f t="array" aca="1" ref="ALK22" ca="1">INDEX(Canals!$I$24:$I$29,MATCH(2,1/((Canals!$F$24:$F$29&lt;=$C22)*(Canals!$G$24:$G$29=_xlfn.IFS(AHT22="Handysize",AKC22,AHT22="Supramax",AJV22,AHT22="Panamax",AJO22,AHT22="NeoPanamax",AJH22,AHT22="Suezmax",AJA22,AHT22="Capesize",AIT22,AHT22="VLOC",AIM22)))))</f>
        <v>#N/A</v>
      </c>
      <c r="ALL22" s="75" t="e">
        <f t="array" aca="1" ref="ALL22" ca="1">INDEX(Canals!$J$24:$J$29,MATCH(2,1/((Canals!$F$24:$F$29&lt;=$C22)*(Canals!$G$24:$G$29=_xlfn.IFS(AHT22="Handysize",Main!AKC22,AHT22="Supramax",AJV22,AHT22="Panamax",AJO22,AHT22="NeoPanamax",AJH22,AHT22="Suezmax",AJA22,AHT22="Capesize",AIT22,AHT22="VLOC",AIM22)))))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M22" s="75" t="e">
        <f t="array" aca="1" ref="ALM22" ca="1">INDEX(Canals!$K$24:$K$29,MATCH(2,1/((Canals!$F$24:$F$29&lt;=$C22)*(Canals!$G$24:$G$29=_xlfn.IFS(AHT22="Handysize",Main!AKC22,AHT22="Supramax",AJV22,AHT22="Panamax",AJO22,AHT22="NeoPanamax",AJH22,AHT22="Suezmax",AJA22,AHT22="Capesize",AIT22,AHT22="VLOC",AIM22)))))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N22" s="75" t="e">
        <f t="array" aca="1" ref="ALN22" ca="1">INDEX(Canals!$L$24:$L$29,MATCH(2,1/((Canals!$F$24:$F$29&lt;=$C22)*(Canals!$G$24:$G$29=_xlfn.IFS(AHT22="Handysize",Main!AKC22,AHT22="Supramax",AJV22,AHT22="Panamax",AJO22,AHT22="NeoPanamax",AJH22,AHT22="Suezmax",AJA22,AHT22="Capesize",AIT22,AHT22="VLOC",AIM22)))))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O22" s="75" t="e">
        <f t="array" aca="1" ref="ALO22" ca="1">INDEX(Canals!$M$24:$M$29,MATCH(2,1/((Canals!$F$24:$F$29&lt;=$C22)*(Canals!$G$24:$G$29=_xlfn.IFS(AHT22="Handysize",Main!AKC22,AHT22="Supramax",AJV22,AHT22="Panamax",AJO22,AHT22="NeoPanamax",AJH22,AHT22="Suezmax",AJA22,AHT22="Capesize",AIT22,AHT22="VLOC",AIM22)))))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P22" s="75" t="e">
        <f t="array" aca="1" ref="ALP22" ca="1">INDEX(Canals!$N$24:$N$29,MATCH(2,1/((Canals!$F$24:$F$29&lt;=$C22)*(Canals!$G$24:$G$29=_xlfn.IFS(AHT22="Handysize",Main!AKC22,AHT22="Supramax",AJV22,AHT22="Panamax",AJO22,AHT22="NeoPanamax",AJH22,AHT22="Suezmax",AJA22,AHT22="Capesize",AIT22,AHT22="VLOC",AIM22)))))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Q22" s="75" t="e">
        <f t="array" aca="1" ref="ALQ22" ca="1">INDEX(Canals!$O$24:$O$29,MATCH(2,1/((Canals!$F$24:$F$29&lt;=$C22)*(Canals!$G$24:$G$29=_xlfn.IFS(AHT22="Handysize",Main!AKC22,AHT22="Supramax",AJV22,AHT22="Panamax",AJO22,AHT22="NeoPanamax",AJH22,AHT22="Suezmax",AJA22,AHT22="Capesize",AIT22,AHT22="VLOC",AIM22)))))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R22" s="75" t="e">
        <f t="array" aca="1" ref="ALR22" ca="1">INDEX(Canals!$P$24:$P$29,MATCH(2,1/((Canals!$F$24:$F$29&lt;=$C22)*(Canals!$G$24:$G$29=_xlfn.IFS(AHT22="Handysize",Main!AKC22,AHT22="Supramax",AJV22,AHT22="Panamax",AJO22,AHT22="NeoPanamax",AJH22,AHT22="Suezmax",AJA22,AHT22="Capesize",AIT22,AHT22="VLOC",AIM22)))))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S22" s="75" t="e">
        <f t="array" aca="1" ref="ALS22" ca="1">INDEX(Canals!$Q$24:$Q$29,MATCH(2,1/((Canals!$F$24:$F$29&lt;=$C22)*(Canals!$G$24:$G$29=_xlfn.IFS(AHT22="Handysize",Main!AKC22,AHT22="Supramax",AJV22,AHT22="Panamax",AJO22,AHT22="NeoPanamax",AJH22,AHT22="Suezmax",AJA22,AHT22="Capesize",AIT22,AHT22="VLOC",AIM22)))))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T22" s="75" t="e">
        <f t="array" aca="1" ref="ALT22" ca="1">INDEX(Canals!$R$24:$R$29,MATCH(2,1/((Canals!$F$24:$F$29&lt;=$C22)*(Canals!$G$24:$G$29=_xlfn.IFS(AHT22="Handysize",Main!AKC22,AHT22="Supramax",AJV22,AHT22="Panamax",AJO22,AHT22="NeoPanamax",AJH22,AHT22="Suezmax",AJA22,AHT22="Capesize",AIT22,AHT22="VLOC",AIM22)))))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U22" s="136" t="e">
        <f t="array" aca="1" ref="ALU22" ca="1">INDEX(Canals!$S$24:$S$29,MATCH(2,1/((Canals!$F$24:$F$29&lt;=$C22)*(Canals!$G$24:$G$29=_xlfn.IFS(AHT22="Handysize",Main!AKC22,AHT22="Supramax",AJV22,AHT22="Panamax",AJO22,AHT22="NeoPanamax",AJH22,AHT22="Suezmax",AJA22,AHT22="Capesize",AIT22,AHT22="VLOC",AIM22)))))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V22" s="136" t="e">
        <f t="array" aca="1" ref="ALV22" ca="1">INDEX(Canals!$T$24:$T$29,MATCH(2,1/((Canals!$F$24:$F$29&lt;=$C22)*(Canals!$G$24:$G$29=_xlfn.IFS(AHT22="Handysize",Main!AKC22,AHT22="Supramax",AJV22,AHT22="Panamax",AJO22,AHT22="NeoPanamax",AJH22,AHT22="Suezmax",AJA22,AHT22="Capesize",AIT22,AHT22="VLOC",AIM22)))))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W22" s="136" t="e">
        <f t="array" aca="1" ref="ALW22" ca="1">INDEX(Canals!$U$24:$U$29,MATCH(2,1/((Canals!$F$24:$F$29&lt;=$C22)*(Canals!$G$24:$G$29=_xlfn.IFS(AHT22="Handysize",Main!AKC22,AHT22="Supramax",AJV22,AHT22="Panamax",AJO22,AHT22="NeoPanamax",AJH22,AHT22="Suezmax",AJA22,AHT22="Capesize",AIT22,AHT22="VLOC",AIM22)))))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X22" s="136" t="e">
        <f t="array" aca="1" ref="ALX22" ca="1">INDEX(Canals!$V$24:$V$29,MATCH(2,1/((Canals!$F$24:$F$29&lt;=$C22)*(Canals!$G$24:$G$29=_xlfn.IFS(AHT22="Handysize",Main!AKC22,AHT22="Supramax",AJV22,AHT22="Panamax",AJO22,AHT22="NeoPanamax",AJH22,AHT22="Suezmax",AJA22,AHT22="Capesize",AIT22,AHT22="VLOC",AIM22)))))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Y22" s="136" t="e">
        <f t="array" aca="1" ref="ALY22" ca="1">INDEX(Canals!$W$24:$W$29,MATCH(2,1/((Canals!$F$24:$F$29&lt;=$C22)*(Canals!$G$24:$G$29=_xlfn.IFS(AHT22="Handysize",Main!AKC22,AHT22="Supramax",AJV22,AHT22="Panamax",AJO22,AHT22="NeoPanamax",AJH22,AHT22="Suezmax",AJA22,AHT22="Capesize",AIT22,AHT22="VLOC",AIM22)))))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LZ22" s="136" t="e">
        <f t="array" aca="1" ref="ALZ22" ca="1">INDEX(Canals!$X$24:$X$29,MATCH(2,1/((Canals!$F$24:$F$29&lt;=$C22)*(Canals!$G$24:$G$29=_xlfn.IFS(AHT22="Handysize",Main!AKC22,AHT22="Supramax",AJV22,AHT22="Panamax",AJO22,AHT22="NeoPanamax",AJH22,AHT22="Suezmax",AJA22,AHT22="Capesize",AIT22,AHT22="VLOC",AIM22)))))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A22" s="136" t="e">
        <f t="array" aca="1" ref="AMA22" ca="1">INDEX(Canals!$Y$24:$Y$29,MATCH(2,1/((Canals!$F$24:$F$29&lt;=$C22)*(Canals!$G$24:$G$29=_xlfn.IFS(AHT22="Handysize",Main!AKC22,AHT22="Supramax",AJV22,AHT22="Panamax",AJO22,AHT22="NeoPanamax",AJH22,AHT22="Suezmax",AJA22,AHT22="Capesize",AIT22,AHT22="VLOC",AIM22)))))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B22" s="136" t="e">
        <f t="array" aca="1" ref="AMB22" ca="1">INDEX(Canals!$Z$24:$Z$29,MATCH(2,1/((Canals!$F$24:$F$29&lt;=$C22)*(Canals!$G$24:$G$29=_xlfn.IFS(AHT22="Handysize",Main!AKC22,AHT22="Supramax",AJV22,AHT22="Panamax",AJO22,AHT22="NeoPanamax",AJH22,AHT22="Suezmax",AJA22,AHT22="Capesize",AIT22,AHT22="VLOC",AIM22)))))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C22" s="136" t="e">
        <f t="array" aca="1" ref="AMC22" ca="1">INDEX(Canals!$AA$24:$AA$29,MATCH(2,1/((Canals!$F$24:$F$29&lt;=$C22)*(Canals!$G$24:$G$29=_xlfn.IFS(AHT22="Handysize",Main!AKC22,AHT22="Supramax",AJV22,AHT22="Panamax",AJO22,AHT22="NeoPanamax",AJH22,AHT22="Suezmax",AJA22,AHT22="Capesize",AIT22,AHT22="VLOC",AIM22)))))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D22" s="136" t="e">
        <f t="array" aca="1" ref="AMD22" ca="1">INDEX(Canals!$AB$24:$AB$29,MATCH(2,1/((Canals!$F$24:$F$29&lt;=$C22)*(Canals!$G$24:$G$29=_xlfn.IFS(AHT22="Handysize",Main!AKC22,AHT22="Supramax",AJV22,AHT22="Panamax",AJO22,AHT22="NeoPanamax",AJH22,AHT22="Suezmax",AJA22,AHT22="Capesize",AIT22,AHT22="VLOC",AIM22)))))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E22" s="75" t="e">
        <f t="array" aca="1" ref="AME22" ca="1">INDEX(Canals!$AC$24:$AC$29,MATCH(2,1/((Canals!$F$24:$F$29&lt;=$C22)*(Canals!$G$24:$G$29=_xlfn.IFS(AHT22="Handysize",Main!AKC22,AHT22="Supramax",AJV22,AHT22="Panamax",AJO22,AHT22="NeoPanamax",AJH22,AHT22="Suezmax",AJA22,AHT22="Capesize",AIT22,AHT22="VLOC",AIM22)))))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F22" s="75" t="e">
        <f t="array" aca="1" ref="AMF22" ca="1">INDEX(Canals!$AD$24:$AD$29,MATCH(2,1/((Canals!$F$24:$F$29&lt;=$C22)*(Canals!$G$24:$G$29=_xlfn.IFS(AHT22="Handysize",Main!AKC22,AHT22="Supramax",AJV22,AHT22="Panamax",AJO22,AHT22="NeoPanamax",AJH22,AHT22="Suezmax",AJA22,AHT22="Capesize",AIT22,AHT22="VLOC",AIM22)))))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G22" s="75" t="e">
        <f t="array" aca="1" ref="AMG22" ca="1">INDEX(Canals!$AE$24:$AE$29,MATCH(2,1/((Canals!$F$24:$F$29&lt;=$C22)*(Canals!$G$24:$G$29=_xlfn.IFS(AHT22="Handysize",Main!AKC22,AHT22="Supramax",AJV22,AHT22="Panamax",AJO22,AHT22="NeoPanamax",AJH22,AHT22="Suezmax",AJA22,AHT22="Capesize",AIT22,AHT22="VLOC",AIM22)))))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H22" s="75" t="e">
        <f t="array" aca="1" ref="AMH22" ca="1">INDEX(Canals!$AF$24:$AF$29,MATCH(2,1/((Canals!$F$24:$F$29&lt;=$C22)*(Canals!$G$24:$G$29=_xlfn.IFS(AHT22="Handysize",Main!AKC22,AHT22="Supramax",AJV22,AHT22="Panamax",AJO22,AHT22="NeoPanamax",AJH22,AHT22="Suezmax",AJA22,AHT22="Capesize",AIT22,AHT22="VLOC",AIM22)))))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I22" s="75" t="e">
        <f t="array" aca="1" ref="AMI22" ca="1">INDEX(Canals!$AG$24:$AG$29,MATCH(2,1/((Canals!$F$24:$F$29&lt;=$C22)*(Canals!$G$24:$G$29=_xlfn.IFS(AHT22="Handysize",Main!AKC22,AHT22="Supramax",AJV22,AHT22="Panamax",AJO22,AHT22="NeoPanamax",AJH22,AHT22="Suezmax",AJA22,AHT22="Capesize",AIT22,AHT22="VLOC",AIM22)))))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J22" s="75" t="e">
        <f t="array" aca="1" ref="AMJ22" ca="1">INDEX(Canals!$AH$24:$AH$29,MATCH(2,1/((Canals!$F$24:$F$29&lt;=$C22)*(Canals!$G$24:$G$29=_xlfn.IFS(AHT22="Handysize",Main!AKC22,AHT22="Supramax",AJV22,AHT22="Panamax",AJO22,AHT22="NeoPanamax",AJH22,AHT22="Suezmax",AJA22,AHT22="Capesize",AIT22,AHT22="VLOC",AIM22)))))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K22" s="75" t="e">
        <f t="array" aca="1" ref="AMK22" ca="1">INDEX(Canals!$AI$24:$AI$29,MATCH(2,1/((Canals!$F$24:$F$29&lt;=$C22)*(Canals!$G$24:$G$29=_xlfn.IFS(AHT22="Handysize",Main!AKC22,AHT22="Supramax",AJV22,AHT22="Panamax",AJO22,AHT22="NeoPanamax",AJH22,AHT22="Suezmax",AJA22,AHT22="Capesize",AIT22,AHT22="VLOC",AIM22)))))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L22" s="75" t="e">
        <f t="array" aca="1" ref="AML22" ca="1">INDEX(Canals!$AJ$24:$AJ$29,MATCH(2,1/((Canals!$F$24:$F$29&lt;=$C22)*(Canals!$G$24:$G$29=_xlfn.IFS(AHT22="Handysize",Main!AKC22,AHT22="Supramax",AJV22,AHT22="Panamax",AJO22,AHT22="NeoPanamax",AJH22,AHT22="Suezmax",AJA22,AHT22="Capesize",AIT22,AHT22="VLOC",AIM22)))))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M22" s="75" t="e">
        <f t="array" aca="1" ref="AMM22" ca="1">INDEX(Canals!$AK$24:$AK$29,MATCH(2,1/((Canals!$F$24:$F$29&lt;=$C22)*(Canals!$G$24:$G$29=_xlfn.IFS(AHT22="Handysize",Main!AKC22,AHT22="Supramax",AJV22,AHT22="Panamax",AJO22,AHT22="NeoPanamax",AJH22,AHT22="Suezmax",AJA22,AHT22="Capesize",AIT22,AHT22="VLOC",AIM22)))))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N22" s="136" t="e">
        <f t="array" aca="1" ref="AMN22" ca="1">INDEX(Canals!$AL$24:$AL$29,MATCH(2,1/((Canals!$F$24:$F$29&lt;=$C22)*(Canals!$G$24:$G$29=_xlfn.IFS(AHT22="Handysize",Main!AKC22,AHT22="Supramax",AJV22,AHT22="Panamax",AJO22,AHT22="NeoPanamax",AJH22,AHT22="Suezmax",AJA22,AHT22="Capesize",AIT22,AHT22="VLOC",AIM22)))))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O22" s="136" t="e">
        <f t="array" aca="1" ref="AMO22" ca="1">INDEX(Canals!$AM$24:$AM$29,MATCH(2,1/((Canals!$F$24:$F$29&lt;=$C22)*(Canals!$G$24:$G$29=_xlfn.IFS(AHT22="Handysize",Main!AKC22,AHT22="Supramax",AJV22,AHT22="Panamax",AJO22,AHT22="NeoPanamax",AJH22,AHT22="Suezmax",AJA22,AHT22="Capesize",AIT22,AHT22="VLOC",AIM22)))))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P22" s="136" t="e">
        <f t="array" aca="1" ref="AMP22" ca="1">INDEX(Canals!$AN$24:$AN$29,MATCH(2,1/((Canals!$F$24:$F$29&lt;=$C22)*(Canals!$G$24:$G$29=_xlfn.IFS(AHT22="Handysize",Main!AKC22,AHT22="Supramax",AJV22,AHT22="Panamax",AJO22,AHT22="NeoPanamax",AJH22,AHT22="Suezmax",AJA22,AHT22="Capesize",AIT22,AHT22="VLOC",AIM22)))))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Q22" s="136" t="e">
        <f t="array" aca="1" ref="AMQ22" ca="1">INDEX(Canals!$AO$24:$AO$29,MATCH(2,1/((Canals!$F$24:$F$29&lt;=$C22)*(Canals!$G$24:$G$29=_xlfn.IFS(AHT22="Handysize",Main!AKC22,AHT22="Supramax",AJV22,AHT22="Panamax",AJO22,AHT22="NeoPanamax",AJH22,AHT22="Suezmax",AJA22,AHT22="Capesize",AIT22,AHT22="VLOC",AIM22)))))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R22" s="136" t="e">
        <f t="array" aca="1" ref="AMR22" ca="1">INDEX(Canals!$AP$24:$AP$29,MATCH(2,1/((Canals!$F$24:$F$29&lt;=$C22)*(Canals!$G$24:$G$29=_xlfn.IFS(AHT22="Handysize",Main!AKC22,AHT22="Supramax",AJV22,AHT22="Panamax",AJO22,AHT22="NeoPanamax",AJH22,AHT22="Suezmax",AJA22,AHT22="Capesize",AIT22,AHT22="VLOC",AIM22)))))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S22" s="136" t="e">
        <f t="array" aca="1" ref="AMS22" ca="1">INDEX(Canals!$AQ$24:$AQ$29,MATCH(2,1/((Canals!$F$24:$F$29&lt;=$C22)*(Canals!$G$24:$G$29=_xlfn.IFS(AHT22="Handysize",Main!AKC22,AHT22="Supramax",AJV22,AHT22="Panamax",AJO22,AHT22="NeoPanamax",AJH22,AHT22="Suezmax",AJA22,AHT22="Capesize",AIT22,AHT22="VLOC",AIM22)))))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T22" s="136" t="e">
        <f t="array" aca="1" ref="AMT22" ca="1">INDEX(Canals!$AR$24:$AR$29,MATCH(2,1/((Canals!$F$24:$F$29&lt;=$C22)*(Canals!$G$24:$G$29=_xlfn.IFS(AHT22="Handysize",Main!AKC22,AHT22="Supramax",AJV22,AHT22="Panamax",AJO22,AHT22="NeoPanamax",AJH22,AHT22="Suezmax",AJA22,AHT22="Capesize",AIT22,AHT22="VLOC",AIM22)))))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U22" s="136" t="e">
        <f t="array" aca="1" ref="AMU22" ca="1">INDEX(Canals!$AS$24:$AS$29,MATCH(2,1/((Canals!$F$24:$F$29&lt;=$C22)*(Canals!$G$24:$G$29=_xlfn.IFS(AHT22="Handysize",Main!AKC22,AHT22="Supramax",AJV22,AHT22="Panamax",AJO22,AHT22="NeoPanamax",AJH22,AHT22="Suezmax",AJA22,AHT22="Capesize",AIT22,AHT22="VLOC",AIM22)))))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V22" s="136" t="e">
        <f t="array" aca="1" ref="AMV22" ca="1">INDEX(Canals!$AT$24:$AT$29,MATCH(2,1/((Canals!$F$24:$F$29&lt;=$C22)*(Canals!$G$24:$G$29=_xlfn.IFS(AHT22="Handysize",Main!AKC22,AHT22="Supramax",AJV22,AHT22="Panamax",AJO22,AHT22="NeoPanamax",AJH22,AHT22="Suezmax",AJA22,AHT22="Capesize",AIT22,AHT22="VLOC",AIM22)))))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W22" s="136" t="e">
        <f t="array" aca="1" ref="AMW22" ca="1">INDEX(Canals!$AU$24:$AU$29,MATCH(2,1/((Canals!$F$24:$F$29&lt;=$C22)*(Canals!$G$24:$G$29=_xlfn.IFS(AHT22="Handysize",Main!AKC22,AHT22="Supramax",AJV22,AHT22="Panamax",AJO22,AHT22="NeoPanamax",AJH22,AHT22="Suezmax",AJA22,AHT22="Capesize",AIT22,AHT22="VLOC",AIM22)))))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X22" s="136" t="e">
        <f t="array" aca="1" ref="AMX22" ca="1">INDEX(Canals!$AV$24:$AV$29,MATCH(2,1/((Canals!$F$24:$F$29&lt;=$C22)*(Canals!$G$24:$G$29=_xlfn.IFS(AHT22="Handysize",Main!AKC22,AHT22="Supramax",AJV22,AHT22="Panamax",AJO22,AHT22="NeoPanamax",AJH22,AHT22="Suezmax",AJA22,AHT22="Capesize",AIT22,AHT22="VLOC",AIM22)))))</f>
        <v>#N/A</v>
      </c>
      <c r="AMZ22" s="75" t="e">
        <f t="array" aca="1" ref="AMZ22" ca="1">_xlfn.IFS(ALK22="DWT",AHR22,ALK22="NRT",AHV22,ALK22="GRT",AHW22,ALK22=0,0)</f>
        <v>#NAME?</v>
      </c>
      <c r="ANA22" s="279" t="e">
        <f t="shared" ca="1" si="227"/>
        <v>#NAME?</v>
      </c>
      <c r="ANB22" s="280" t="e">
        <f t="shared" ca="1" si="228"/>
        <v>#NAME?</v>
      </c>
      <c r="ANC22" s="280" t="e">
        <f t="shared" ca="1" si="229"/>
        <v>#NAME?</v>
      </c>
      <c r="AND22" s="280" t="e">
        <f t="shared" ca="1" si="230"/>
        <v>#NAME?</v>
      </c>
      <c r="ANE22" s="280" t="e">
        <f t="shared" ca="1" si="231"/>
        <v>#NAME?</v>
      </c>
      <c r="ANF22" s="280" t="e">
        <f t="shared" ca="1" si="232"/>
        <v>#NAME?</v>
      </c>
      <c r="ANG22" s="280" t="e">
        <f t="shared" ca="1" si="233"/>
        <v>#NAME?</v>
      </c>
      <c r="ANH22" s="280" t="e">
        <f t="shared" ca="1" si="234"/>
        <v>#NAME?</v>
      </c>
      <c r="ANI22" s="280" t="e">
        <f t="shared" ca="1" si="235"/>
        <v>#NAME?</v>
      </c>
      <c r="ANJ22" s="75">
        <f t="shared" si="236"/>
        <v>0</v>
      </c>
      <c r="ANK22" s="279" t="e">
        <f t="shared" ca="1" si="237"/>
        <v>#N/A</v>
      </c>
      <c r="ANL22" s="280" t="e">
        <f t="shared" ca="1" si="238"/>
        <v>#N/A</v>
      </c>
      <c r="ANM22" s="280" t="e">
        <f t="shared" ca="1" si="239"/>
        <v>#N/A</v>
      </c>
      <c r="ANN22" s="280" t="e">
        <f t="shared" ca="1" si="240"/>
        <v>#N/A</v>
      </c>
      <c r="ANO22" s="280" t="e">
        <f t="shared" ca="1" si="241"/>
        <v>#N/A</v>
      </c>
      <c r="ANP22" s="280" t="e">
        <f t="shared" ca="1" si="242"/>
        <v>#N/A</v>
      </c>
      <c r="ANQ22" s="280" t="e">
        <f t="shared" ca="1" si="243"/>
        <v>#N/A</v>
      </c>
      <c r="ANR22" s="280" t="e">
        <f t="shared" ca="1" si="244"/>
        <v>#N/A</v>
      </c>
      <c r="ANS22" s="280" t="e">
        <f t="shared" ca="1" si="245"/>
        <v>#N/A</v>
      </c>
      <c r="ANU22" s="75" t="e">
        <f t="array" aca="1" ref="ANU22" ca="1">_xlfn.IFS(AHT22="Handysize",Main!AJW22,AHT22="Supramax",AJP22,AHT22="Panamax",AJI22,AHT22="NeoPanamax",AJB22,AHT22="Suezmax",AIU22,AHT22="Capesize",AIN22,AHT22="VLOC",AIG22)*$JI22</f>
        <v>#NAME?</v>
      </c>
      <c r="ANV22" s="274" t="e">
        <f t="array" aca="1" ref="ANV22" ca="1">_xlfn.IFS(AHT22="Handysize",Main!AJX22,AHT22="Supramax",AJQ22,AHT22="Panamax",AJJ22,AHT22="NeoPanamax",AJC22,AHT22="Suezmax",AIV22,AHT22="Capesize",AIO22,AHT22="VLOC",AIH22)*$JI22</f>
        <v>#NAME?</v>
      </c>
      <c r="ANW22" s="71" t="e">
        <f t="array" aca="1" ref="ANW22" ca="1">_xlfn.IFS(AHT22="Handysize",Main!AHY22,AHT22="Supramax",AHZ22,AHT22="Panamax",AIA22,AHT22="NeoPanamax",AIB22,AHT22="Suezmax",AIC22,AHT22="Capesize",AID22,AHT22="VLOC",AIE22)</f>
        <v>#NAME?</v>
      </c>
      <c r="ANX22" s="71" t="e">
        <f t="array" aca="1" ref="ANX22" ca="1">_xlfn.IFS(AHT22="Handysize",Main!AKK22,AHT22="Supramax",AKL22,AHT22="Panamax",AKM22,AHT22="NeoPanamax",AKN22,AHT22="Suezmax",AKO22,AHT22="Capesize",AKP22,AHT22="VLOC",AKQ22)</f>
        <v>#NAME?</v>
      </c>
      <c r="ANY22" s="70">
        <f t="array" ref="ANY22">INDEX('Ship Speeds'!$G$11:$G$1011,MATCH(2,1/(('Ship Speeds'!$E$11:$E$1011&lt;=Main!$C22)*('Ship Speeds'!$F$11:$F$1011=Main!AHS22))))</f>
        <v>11</v>
      </c>
      <c r="ANZ22" s="403">
        <f t="shared" si="246"/>
        <v>0</v>
      </c>
      <c r="AOA22" s="401">
        <f t="shared" si="247"/>
        <v>1.2</v>
      </c>
      <c r="AOB22" s="70" t="e">
        <f t="shared" ca="1" si="248"/>
        <v>#NAME?</v>
      </c>
      <c r="AOC22" s="70" t="e">
        <f t="shared" ca="1" si="249"/>
        <v>#NAME?</v>
      </c>
      <c r="AOD22" s="70" t="e">
        <f t="shared" ca="1" si="250"/>
        <v>#NAME?</v>
      </c>
      <c r="AOE22" s="70" t="e">
        <f t="shared" ca="1" si="251"/>
        <v>#NAME?</v>
      </c>
      <c r="AOF22" s="72" t="e">
        <f t="shared" ca="1" si="252"/>
        <v>#N/A</v>
      </c>
      <c r="AOG22" s="70" t="e">
        <f t="shared" ca="1" si="253"/>
        <v>#NAME?</v>
      </c>
      <c r="AOH22" s="70" t="e">
        <f t="array" aca="1" ref="AOH22" ca="1">IF(ANU22=0,0,INDEX(AKE22:AKI22,MATCH(_xlfn.IFS(AHT22="Handysize",Main!AKA22,AHT22="Supramax",AJT22,AHT22="Panamax",AJM22,AHT22="NeoPanamax",AJF22,AHT22="Suezmax",AIY22,AHT22="Capesize",AIR22,AHT22="VLOC",AIK22),$AKE$7:$AKI$7,0)))</f>
        <v>#NAME?</v>
      </c>
      <c r="AOI22" s="70" t="e">
        <f t="array" aca="1" ref="AOI22" ca="1">IF(ANU22=0,0,INDEX(AKE22:AKI22,MATCH(_xlfn.IFS(AHT22="Handysize",Main!AKB22,AHT22="Supramax",AJU22,AHT22="Panamax",AJN22,AHT22="NeoPanamax",AJG22,AHT22="Suezmax",AIZ22,AHT22="Capesize",AIS22,AHT22="VLOC",AIL22),$AKE$7:$AKI$7,0)))</f>
        <v>#NAME?</v>
      </c>
      <c r="AOJ22" s="71" t="e">
        <f t="shared" ca="1" si="254"/>
        <v>#NAME?</v>
      </c>
      <c r="AOK22" s="71" t="e">
        <f t="shared" ca="1" si="255"/>
        <v>#NAME?</v>
      </c>
      <c r="AOL22" s="281" t="e">
        <f t="shared" ca="1" si="256"/>
        <v>#NAME?</v>
      </c>
      <c r="AOM22" s="71" t="e">
        <f t="shared" ca="1" si="257"/>
        <v>#NAME?</v>
      </c>
      <c r="AON22" s="71" t="e">
        <f t="shared" ca="1" si="258"/>
        <v>#NAME?</v>
      </c>
      <c r="AOO22" s="71" t="e">
        <f t="shared" ca="1" si="259"/>
        <v>#NAME?</v>
      </c>
      <c r="AOP22" s="71" t="e">
        <f t="shared" ca="1" si="260"/>
        <v>#NAME?</v>
      </c>
      <c r="AOQ22" s="71" t="e">
        <f t="shared" ca="1" si="261"/>
        <v>#NAME?</v>
      </c>
      <c r="AOR22" s="71" t="e">
        <f t="shared" ca="1" si="262"/>
        <v>#NAME?</v>
      </c>
      <c r="AOS22" s="71" t="e">
        <f t="shared" ca="1" si="263"/>
        <v>#NAME?</v>
      </c>
      <c r="AOT22" s="71" t="e">
        <f t="shared" ca="1" si="264"/>
        <v>#NAME?</v>
      </c>
      <c r="AOU22" s="71" t="e">
        <f t="shared" ca="1" si="265"/>
        <v>#NAME?</v>
      </c>
      <c r="AOV22" s="71" t="e">
        <f t="shared" ca="1" si="266"/>
        <v>#NAME?</v>
      </c>
      <c r="AOW22" s="71" t="e">
        <f t="shared" ca="1" si="267"/>
        <v>#NAME?</v>
      </c>
      <c r="AOX22" s="71" t="e">
        <f t="shared" ca="1" si="268"/>
        <v>#NAME?</v>
      </c>
      <c r="AOY22" s="72" t="e">
        <f t="shared" ca="1" si="269"/>
        <v>#NAME?</v>
      </c>
      <c r="AOZ22" s="72" t="e">
        <f t="shared" ca="1" si="270"/>
        <v>#NAME?</v>
      </c>
      <c r="APA22" s="71" t="e">
        <f t="shared" ca="1" si="271"/>
        <v>#NAME?</v>
      </c>
      <c r="APB22" s="71" t="e">
        <f t="array" aca="1" ref="APB22" ca="1">IF(ANU22=0,0,INDEX('Ship Time Charter Rates'!$H$22:$H$1021,MATCH(2,1/(('Ship Time Charter Rates'!$G$22:$G$1021=_xlfn.IFS(AHT22="Handysize",Main!AJY22,AHT22="Supramax",AJR22,AHT22="Panamax",AJK22,AHT22="NeoPanamax",AJD22,AHT22="Suezmax",AIW22,AHT22="Capesize",AIP22,AHT22="VLOC",AII22))*('Ship Time Charter Rates'!$E$22:$E$1021&lt;=Main!$C22)*(NOT(ISBLANK('Ship Time Charter Rates'!$H$22:$H$1021)))))))</f>
        <v>#NAME?</v>
      </c>
      <c r="APC22" s="71" t="e">
        <f t="shared" ca="1" si="272"/>
        <v>#NAME?</v>
      </c>
      <c r="APD22" s="70" t="e">
        <f t="shared" ca="1" si="273"/>
        <v>#NAME?</v>
      </c>
      <c r="APE22" s="71" t="e">
        <f t="shared" ca="1" si="274"/>
        <v>#NAME?</v>
      </c>
      <c r="APF22" s="71" t="e">
        <f t="shared" ca="1" si="308"/>
        <v>#NAME?</v>
      </c>
      <c r="APG22" s="72" t="e">
        <f t="shared" ca="1" si="309"/>
        <v>#NAME?</v>
      </c>
      <c r="API22" s="287" t="s">
        <v>39</v>
      </c>
      <c r="APK22" s="289" t="e">
        <f t="shared" ca="1" si="275"/>
        <v>#NAME?</v>
      </c>
      <c r="APL22" s="289" t="e">
        <f t="shared" ca="1" si="276"/>
        <v>#NAME?</v>
      </c>
      <c r="APM22" s="289" t="e">
        <f t="shared" ca="1" si="277"/>
        <v>#NAME?</v>
      </c>
      <c r="APO22" s="287" t="s">
        <v>39</v>
      </c>
    </row>
    <row r="23" spans="2:1107">
      <c r="C23" s="5">
        <v>43923</v>
      </c>
      <c r="D23" s="7" t="s">
        <v>20</v>
      </c>
      <c r="E23" s="86" t="s">
        <v>296</v>
      </c>
      <c r="F23" s="6">
        <v>50</v>
      </c>
      <c r="G23" s="1" t="s">
        <v>185</v>
      </c>
      <c r="H23" s="1" t="s">
        <v>5</v>
      </c>
      <c r="I23" s="15"/>
      <c r="J23" s="15"/>
      <c r="K23" s="15"/>
      <c r="L23" s="15"/>
      <c r="M23" s="15"/>
      <c r="N23" s="15"/>
      <c r="O23" s="15"/>
      <c r="P23" s="8">
        <v>140000</v>
      </c>
      <c r="Q23" s="98"/>
      <c r="R23" s="7" t="s">
        <v>95</v>
      </c>
      <c r="T23" s="287" t="s">
        <v>39</v>
      </c>
      <c r="V23" s="4"/>
      <c r="W23" s="16" t="str">
        <f t="shared" si="0"/>
        <v>not used yet</v>
      </c>
      <c r="X23" s="16" t="str">
        <f t="shared" si="0"/>
        <v>not used yet</v>
      </c>
      <c r="Y23" s="16" t="str">
        <f t="shared" si="0"/>
        <v>not used yet</v>
      </c>
      <c r="Z23" s="16" t="str">
        <f t="shared" si="0"/>
        <v>not used yet</v>
      </c>
      <c r="AA23" s="16" t="str">
        <f t="shared" si="0"/>
        <v>not used yet</v>
      </c>
      <c r="AB23" s="16" t="str">
        <f t="shared" si="0"/>
        <v>not used yet</v>
      </c>
      <c r="AC23" s="16" t="str">
        <f t="shared" si="0"/>
        <v>not used yet</v>
      </c>
      <c r="AE23" s="88" t="str">
        <f t="shared" si="1"/>
        <v>MRN</v>
      </c>
      <c r="AF23" s="16">
        <f t="shared" si="310"/>
        <v>0.55000000000000004</v>
      </c>
      <c r="AG23" s="16">
        <f t="shared" si="311"/>
        <v>0.49</v>
      </c>
      <c r="AH23" s="61">
        <f t="shared" si="312"/>
        <v>0.06</v>
      </c>
      <c r="AI23" s="61">
        <f t="shared" si="313"/>
        <v>5.5E-2</v>
      </c>
      <c r="AJ23" s="61">
        <f t="shared" si="314"/>
        <v>4.9999999999999975E-3</v>
      </c>
      <c r="AK23" s="16">
        <f t="shared" si="315"/>
        <v>5.000000000000053E-3</v>
      </c>
      <c r="AL23" s="16">
        <f t="shared" si="316"/>
        <v>0.12</v>
      </c>
      <c r="AM23" s="24" t="str">
        <f t="shared" si="3"/>
        <v>LT</v>
      </c>
      <c r="AN23" s="427">
        <f t="shared" si="278"/>
        <v>140000</v>
      </c>
      <c r="AO23" s="127" t="str">
        <f t="array" ref="AO23">IFERROR(IF(AND(AN23&gt;'Indices Mines Exporting Ports'!$D$11,MATCH(2,1/(('Indices Mines Exporting Ports'!$B$3:$B$10&lt;=C23)*('Indices Mines Exporting Ports'!$C$3:$C$10=E23)))),"Yes","No"),"No")</f>
        <v>Yes</v>
      </c>
      <c r="AP23" s="126" t="str">
        <f t="array" ref="AP23">IF(AO23="Yes",INDEX('Indices Mines Exporting Ports'!$D$3:$D$10,MATCH(2,1/(('Indices Mines Exporting Ports'!$B$3:$B$10&lt;=Main!C23)*('Indices Mines Exporting Ports'!$C$3:$C$10=Main!AE23)))),IF(NOT(ISBLANK(Q23)),Q23,IP23))</f>
        <v>MRN_wharf</v>
      </c>
      <c r="AQ23" s="262" t="str">
        <f t="array" ref="AQ23">IF(AO23="no",0,INDEX('Indices Mines Exporting Ports'!$E$3:$E$10,MATCH(2,1/(('Indices Mines Exporting Ports'!$B$3:$B$10&lt;=Main!$C23)*('Indices Mines Exporting Ports'!$D$3:$D$10=Main!$AP23)))))</f>
        <v>Pt_Lisas</v>
      </c>
      <c r="AR23" s="267">
        <f t="array" ref="AR23">IF(AO23="No",0,AN23/ROUND(AN23/INDEX('Indices Mines Exporting Ports'!$F$3:$F$10,MATCH(2,1/(('Indices Mines Exporting Ports'!$B$3:$B$10&lt;=Main!C23)*('Indices Mines Exporting Ports'!$C$3:$C$10=Main!AE23)))),0))</f>
        <v>46666.666666666664</v>
      </c>
      <c r="AS23" s="127" t="str">
        <f t="shared" si="4"/>
        <v>Qingdao</v>
      </c>
      <c r="AT23" s="100" t="str">
        <f t="shared" si="317"/>
        <v>CBIX LT</v>
      </c>
      <c r="AU23" s="100" t="str">
        <f t="shared" si="318"/>
        <v>CBIX LT</v>
      </c>
      <c r="AV23" s="242" t="s">
        <v>4</v>
      </c>
      <c r="AW23" s="242" t="s">
        <v>5</v>
      </c>
      <c r="AX23" s="292" t="e">
        <f t="shared" ca="1" si="6"/>
        <v>#NAME?</v>
      </c>
      <c r="AY23" s="291" t="e">
        <f t="shared" ca="1" si="7"/>
        <v>#NAME?</v>
      </c>
      <c r="AZ23" s="292" t="e">
        <f t="shared" ca="1" si="8"/>
        <v>#NAME?</v>
      </c>
      <c r="BA23" s="102">
        <f t="shared" si="9"/>
        <v>0</v>
      </c>
      <c r="BB23" s="12"/>
      <c r="BC23" s="306" t="s">
        <v>403</v>
      </c>
      <c r="BD23" s="407">
        <f t="shared" si="279"/>
        <v>0</v>
      </c>
      <c r="BE23" s="407">
        <f t="shared" si="279"/>
        <v>0</v>
      </c>
      <c r="BF23" s="407">
        <f t="shared" si="279"/>
        <v>0</v>
      </c>
      <c r="BG23" s="407" t="e">
        <f t="shared" ca="1" si="280"/>
        <v>#NAME?</v>
      </c>
      <c r="BH23" s="407">
        <f t="shared" si="281"/>
        <v>0</v>
      </c>
      <c r="BI23" s="263" t="e">
        <f ca="1">GU23</f>
        <v>#NAME?</v>
      </c>
      <c r="BK23" s="287" t="s">
        <v>39</v>
      </c>
      <c r="BM23" s="291" t="e">
        <f t="shared" ca="1" si="283"/>
        <v>#NAME?</v>
      </c>
      <c r="BN23" s="298">
        <f t="shared" si="284"/>
        <v>0.55000000000000004</v>
      </c>
      <c r="BO23" s="298">
        <f t="shared" si="285"/>
        <v>0.49</v>
      </c>
      <c r="BP23" s="298">
        <f t="shared" si="286"/>
        <v>0.06</v>
      </c>
      <c r="BQ23" s="298">
        <f t="shared" si="287"/>
        <v>5.5E-2</v>
      </c>
      <c r="BR23" s="298">
        <f t="shared" si="288"/>
        <v>4.9999999999999975E-3</v>
      </c>
      <c r="BS23" s="298">
        <f t="shared" si="289"/>
        <v>5.000000000000053E-3</v>
      </c>
      <c r="BT23" s="298">
        <f t="shared" si="290"/>
        <v>0.12</v>
      </c>
      <c r="BU23" s="307" t="str">
        <f t="shared" si="291"/>
        <v>LT</v>
      </c>
      <c r="BV23" s="291">
        <f t="shared" si="292"/>
        <v>0</v>
      </c>
      <c r="BX23" s="300">
        <f t="array" ref="BX23">INDEX('Processing Factors'!$D$8:$D$29,MATCH(2,1/(('Processing Factors'!$B$8:$B$29&lt;=Main!$C23)*('Processing Factors'!$C$8:$C$29=Main!BU23))))</f>
        <v>0</v>
      </c>
      <c r="BY23" s="299">
        <f t="array" ref="BY23">INDEX('Processing Factors'!$E$8:$E$29,MATCH(2,1/(('Processing Factors'!$B$8:$B$29&lt;=Main!$C23)*('Processing Factors'!$C$8:$C$29=Main!BU23))))</f>
        <v>1</v>
      </c>
      <c r="BZ23" s="299">
        <f t="array" ref="BZ23">INDEX('Processing Factors'!$F$8:$F$29,MATCH(2,1/(('Processing Factors'!$B$8:$B$29&lt;=Main!$C23)*('Processing Factors'!$C$8:$C$29=Main!BU23))))</f>
        <v>0.9</v>
      </c>
      <c r="CA23" s="299">
        <f t="array" ref="CA23">INDEX('Processing Factors'!$G$8:$G$29,MATCH(2,1/(('Processing Factors'!$B$8:$B$29&lt;=Main!$C23)*('Processing Factors'!$C$8:$C$29=Main!BU23))))</f>
        <v>3.5999999999999997E-2</v>
      </c>
      <c r="CB23" s="299">
        <f t="array" ref="CB23">INDEX('Processing Factors'!$H$8:$H$29,MATCH(2,1/(('Processing Factors'!$B$8:$B$29&lt;=Main!$C23)*('Processing Factors'!$C$8:$C$29=Main!BU23))))</f>
        <v>12.15</v>
      </c>
      <c r="CC23" s="300">
        <f t="array" ref="CC23">INDEX('Processing Factors'!$I$8:$I$29,MATCH(2,1/(('Processing Factors'!$B$8:$B$29&lt;=Main!$C23)*('Processing Factors'!$C$8:$C$29=Main!BU23))))</f>
        <v>0</v>
      </c>
      <c r="CD23" s="300">
        <f t="array" ref="CD23">INDEX('Processing Factors'!$J$8:$J$29,MATCH(2,1/(('Processing Factors'!$B$8:$B$29&lt;=Main!$C23)*('Processing Factors'!$C$8:$C$29=Main!BU23))))</f>
        <v>0.9</v>
      </c>
      <c r="CE23" s="299">
        <f t="array" ref="CE23">INDEX('Processing Factors'!$K$8:$K$29,MATCH(2,1/(('Processing Factors'!$B$8:$B$29&lt;=Main!$C23)*('Processing Factors'!$C$8:$C$29=Main!BU23))))</f>
        <v>3.5000000000000003E-2</v>
      </c>
      <c r="CG23" s="302">
        <f t="shared" si="10"/>
        <v>0.54500000000000004</v>
      </c>
      <c r="CH23" s="302">
        <f t="shared" si="11"/>
        <v>5.5E-2</v>
      </c>
      <c r="CI23" s="302">
        <f t="shared" si="12"/>
        <v>0.49000000000000005</v>
      </c>
      <c r="CJ23" s="299">
        <f t="shared" si="13"/>
        <v>2.2675736961451243</v>
      </c>
      <c r="CK23" s="281" t="e">
        <f t="shared" ca="1" si="14"/>
        <v>#NAME?</v>
      </c>
      <c r="CL23" s="299">
        <f t="shared" si="15"/>
        <v>0.14724489795918366</v>
      </c>
      <c r="CM23" s="281">
        <f t="shared" si="16"/>
        <v>35.375399453167361</v>
      </c>
      <c r="CN23" s="281">
        <f t="shared" si="17"/>
        <v>50.37416442905598</v>
      </c>
      <c r="CO23" s="281">
        <f t="shared" si="18"/>
        <v>1.2210288298473715</v>
      </c>
      <c r="CP23" s="299">
        <f t="shared" si="19"/>
        <v>1.4508185941043079</v>
      </c>
      <c r="CQ23" s="281">
        <f t="shared" si="20"/>
        <v>6.1510115634721938</v>
      </c>
      <c r="CR23" s="281" t="e">
        <f t="shared" ca="1" si="21"/>
        <v>#NAME?</v>
      </c>
      <c r="CT23" s="287" t="s">
        <v>39</v>
      </c>
      <c r="CV23" s="305" t="e">
        <f t="shared" ca="1" si="22"/>
        <v>#NAME?</v>
      </c>
      <c r="CW23" s="61">
        <f t="array" ref="CW23">INDEX('Indices Mines Exporting Ports'!E$20:E$51, MATCH(2,1/(('Indices Mines Exporting Ports'!$C$20:$C$51=$AT23)*('Indices Mines Exporting Ports'!$D$20:$D$51&lt;=$C23))))</f>
        <v>0.5</v>
      </c>
      <c r="CX23" s="61">
        <f t="array" ref="CX23">INDEX('Indices Mines Exporting Ports'!F$20:F$51, MATCH(2,1/(('Indices Mines Exporting Ports'!$C$20:$C$51=$AT23)*('Indices Mines Exporting Ports'!$D$20:$D$51&lt;=$C23))))</f>
        <v>0.45</v>
      </c>
      <c r="CY23" s="61">
        <f t="array" ref="CY23">INDEX('Indices Mines Exporting Ports'!G$20:G$51, MATCH(2,1/(('Indices Mines Exporting Ports'!$C$20:$C$51=$AT23)*('Indices Mines Exporting Ports'!$D$20:$D$51&lt;=$C23))))</f>
        <v>0.05</v>
      </c>
      <c r="CZ23" s="61">
        <f t="array" ref="CZ23">INDEX('Indices Mines Exporting Ports'!H$20:H$51, MATCH(2,1/(('Indices Mines Exporting Ports'!$C$20:$C$51=$AT23)*('Indices Mines Exporting Ports'!$D$20:$D$51&lt;=$C23))))</f>
        <v>0.05</v>
      </c>
      <c r="DA23" s="61">
        <f t="array" ref="DA23">INDEX('Indices Mines Exporting Ports'!I$20:I$51, MATCH(2,1/(('Indices Mines Exporting Ports'!$C$20:$C$51=$AT23)*('Indices Mines Exporting Ports'!$D$20:$D$51&lt;=$C23))))</f>
        <v>0</v>
      </c>
      <c r="DB23" s="61">
        <f t="array" ref="DB23">INDEX('Indices Mines Exporting Ports'!J$20:J$51, MATCH(2,1/(('Indices Mines Exporting Ports'!$C$20:$C$51=$AT23)*('Indices Mines Exporting Ports'!$D$20:$D$51&lt;=$C23))))</f>
        <v>0</v>
      </c>
      <c r="DC23" s="61">
        <f t="array" ref="DC23">INDEX('Indices Mines Exporting Ports'!K$20:K$51, MATCH(2,1/(('Indices Mines Exporting Ports'!$C$20:$C$51=$AT23)*('Indices Mines Exporting Ports'!$D$20:$D$51&lt;=$C23))))</f>
        <v>0.1</v>
      </c>
      <c r="DD23" s="103" t="str">
        <f t="array" ref="DD23">INDEX('Indices Mines Exporting Ports'!L$20:L$51, MATCH(2,1/(('Indices Mines Exporting Ports'!$C$20:$C$51=$AT23)*('Indices Mines Exporting Ports'!$D$20:$D$51&lt;=$C23))))</f>
        <v>LT</v>
      </c>
      <c r="DE23" s="243">
        <f t="array" ref="DE23">INDEX('Indices Mines Exporting Ports'!M$20:M$51, MATCH(2,1/(('Indices Mines Exporting Ports'!$C$20:$C$51=$AT23)*('Indices Mines Exporting Ports'!$D$20:$D$51&lt;=$C23))))</f>
        <v>0</v>
      </c>
      <c r="DG23" s="300">
        <f t="array" ref="DG23">INDEX('Processing Factors'!$D$8:$D$29,MATCH(2,1/(('Processing Factors'!$B$8:$B$29&lt;=Main!$C23)*('Processing Factors'!$C$8:$C$29=Main!DD23))))</f>
        <v>0</v>
      </c>
      <c r="DH23" s="299">
        <f t="array" ref="DH23">INDEX('Processing Factors'!$E$8:$E$29,MATCH(2,1/(('Processing Factors'!$B$8:$B$29&lt;=Main!$C23)*('Processing Factors'!$C$8:$C$29=Main!DD23))))</f>
        <v>1</v>
      </c>
      <c r="DI23" s="299">
        <f t="array" ref="DI23">INDEX('Processing Factors'!$F$8:$F$29,MATCH(2,1/(('Processing Factors'!$B$8:$B$29&lt;=Main!$C23)*('Processing Factors'!$C$8:$C$29=Main!DD23))))</f>
        <v>0.9</v>
      </c>
      <c r="DJ23" s="299">
        <f t="array" ref="DJ23">INDEX('Processing Factors'!$G$8:$G$29,MATCH(2,1/(('Processing Factors'!$B$8:$B$29&lt;=Main!$C23)*('Processing Factors'!$C$8:$C$29=Main!DD23))))</f>
        <v>3.5999999999999997E-2</v>
      </c>
      <c r="DK23" s="299">
        <f t="array" ref="DK23">INDEX('Processing Factors'!$H$8:$H$29,MATCH(2,1/(('Processing Factors'!$B$8:$B$29&lt;=Main!$C23)*('Processing Factors'!$C$8:$C$29=Main!DD23))))</f>
        <v>12.15</v>
      </c>
      <c r="DL23" s="300">
        <f t="array" ref="DL23">INDEX('Processing Factors'!$I$8:$I$29,MATCH(2,1/(('Processing Factors'!$B$8:$B$29&lt;=Main!$C23)*('Processing Factors'!$C$8:$C$29=Main!DD23))))</f>
        <v>0</v>
      </c>
      <c r="DM23" s="300">
        <f t="array" ref="DM23">INDEX('Processing Factors'!$J$8:$J$29,MATCH(2,1/(('Processing Factors'!$B$8:$B$29&lt;=Main!$C23)*('Processing Factors'!$C$8:$C$29=Main!DD23))))</f>
        <v>0.9</v>
      </c>
      <c r="DN23" s="299">
        <f t="array" ref="DN23">INDEX('Processing Factors'!$K$8:$K$29,MATCH(2,1/(('Processing Factors'!$B$8:$B$29&lt;=Main!$C23)*('Processing Factors'!$C$8:$C$29=Main!DD23))))</f>
        <v>3.5000000000000003E-2</v>
      </c>
      <c r="DP23" s="302">
        <f t="shared" si="23"/>
        <v>0.5</v>
      </c>
      <c r="DQ23" s="302">
        <f t="shared" si="24"/>
        <v>0.05</v>
      </c>
      <c r="DR23" s="302">
        <f t="shared" si="25"/>
        <v>0.45</v>
      </c>
      <c r="DS23" s="299">
        <f t="shared" si="26"/>
        <v>2.4691358024691357</v>
      </c>
      <c r="DT23" s="304">
        <v>0</v>
      </c>
      <c r="DU23" s="299">
        <f t="shared" si="27"/>
        <v>0.14611111111111114</v>
      </c>
      <c r="DV23" s="281">
        <f t="shared" si="28"/>
        <v>35.103008604987139</v>
      </c>
      <c r="DW23" s="281">
        <f t="shared" si="29"/>
        <v>50.37416442905598</v>
      </c>
      <c r="DX23" s="281">
        <f t="shared" si="30"/>
        <v>1.2210288298473715</v>
      </c>
      <c r="DY23" s="299">
        <f t="shared" si="31"/>
        <v>1.6512469135802468</v>
      </c>
      <c r="DZ23" s="281">
        <f t="shared" si="32"/>
        <v>7.0007641898540713</v>
      </c>
      <c r="EA23" s="281">
        <f t="shared" si="33"/>
        <v>93.698966053744556</v>
      </c>
      <c r="EC23" s="287" t="s">
        <v>39</v>
      </c>
      <c r="EE23" s="305" t="e">
        <f t="shared" ca="1" si="34"/>
        <v>#NAME?</v>
      </c>
      <c r="EF23" s="16">
        <f t="array" ref="EF23">INDEX('Indices Mines Exporting Ports'!E$20:E$51, MATCH(2,1/(('Indices Mines Exporting Ports'!$C$20:$C$51=$AU23)*('Indices Mines Exporting Ports'!$D$20:$D$51&lt;=$C23))))</f>
        <v>0.5</v>
      </c>
      <c r="EG23" s="16">
        <f t="array" ref="EG23">INDEX('Indices Mines Exporting Ports'!F$20:F$51, MATCH(2,1/(('Indices Mines Exporting Ports'!$C$20:$C$51=$AU23)*('Indices Mines Exporting Ports'!$D$20:$D$51&lt;=$C23))))</f>
        <v>0.45</v>
      </c>
      <c r="EH23" s="16">
        <f t="array" ref="EH23">INDEX('Indices Mines Exporting Ports'!G$20:G$51, MATCH(2,1/(('Indices Mines Exporting Ports'!$C$20:$C$51=$AU23)*('Indices Mines Exporting Ports'!$D$20:$D$51&lt;=$C23))))</f>
        <v>0.05</v>
      </c>
      <c r="EI23" s="16">
        <f t="array" ref="EI23">INDEX('Indices Mines Exporting Ports'!H$20:H$51, MATCH(2,1/(('Indices Mines Exporting Ports'!$C$20:$C$51=$AU23)*('Indices Mines Exporting Ports'!$D$20:$D$51&lt;=$C23))))</f>
        <v>0.05</v>
      </c>
      <c r="EJ23" s="16">
        <f t="array" ref="EJ23">INDEX('Indices Mines Exporting Ports'!I$20:I$51, MATCH(2,1/(('Indices Mines Exporting Ports'!$C$20:$C$51=$AU23)*('Indices Mines Exporting Ports'!$D$20:$D$51&lt;=$C23))))</f>
        <v>0</v>
      </c>
      <c r="EK23" s="16">
        <f t="array" ref="EK23">INDEX('Indices Mines Exporting Ports'!J$20:J$51, MATCH(2,1/(('Indices Mines Exporting Ports'!$C$20:$C$51=$AU23)*('Indices Mines Exporting Ports'!$D$20:$D$51&lt;=$C23))))</f>
        <v>0</v>
      </c>
      <c r="EL23" s="16">
        <f t="array" ref="EL23">INDEX('Indices Mines Exporting Ports'!K$20:K$51, MATCH(2,1/(('Indices Mines Exporting Ports'!$C$20:$C$51=$AU23)*('Indices Mines Exporting Ports'!$D$20:$D$51&lt;=$C23))))</f>
        <v>0.1</v>
      </c>
      <c r="EM23" s="103" t="str">
        <f t="array" ref="EM23">INDEX('Indices Mines Exporting Ports'!L$20:L$51, MATCH(2,1/(('Indices Mines Exporting Ports'!$C$20:$C$51=$AU23)*('Indices Mines Exporting Ports'!$D$20:$D$51&lt;=$C23))))</f>
        <v>LT</v>
      </c>
      <c r="EN23" s="243">
        <f t="array" ref="EN23">INDEX('Indices Mines Exporting Ports'!M$20:M$51, MATCH(2,1/(('Indices Mines Exporting Ports'!$C$20:$C$51=$AU23)*('Indices Mines Exporting Ports'!$D$20:$D$51&lt;=$C23))))</f>
        <v>0</v>
      </c>
      <c r="EP23" s="300">
        <f t="array" ref="EP23">INDEX('Processing Factors'!$D$8:$D$29,MATCH(2,1/(('Processing Factors'!$B$8:$B$29&lt;=Main!$C23)*('Processing Factors'!$C$8:$C$29=Main!EM23))))</f>
        <v>0</v>
      </c>
      <c r="EQ23" s="299">
        <f t="array" ref="EQ23">INDEX('Processing Factors'!$E$8:$E$29,MATCH(2,1/(('Processing Factors'!$B$8:$B$29&lt;=Main!$C23)*('Processing Factors'!$C$8:$C$29=Main!EM23))))</f>
        <v>1</v>
      </c>
      <c r="ER23" s="299">
        <f t="array" ref="ER23">INDEX('Processing Factors'!$F$8:$F$29,MATCH(2,1/(('Processing Factors'!$B$8:$B$29&lt;=Main!$C23)*('Processing Factors'!$C$8:$C$29=Main!EM23))))</f>
        <v>0.9</v>
      </c>
      <c r="ES23" s="299">
        <f t="array" ref="ES23">INDEX('Processing Factors'!$G$8:$G$29,MATCH(2,1/(('Processing Factors'!$B$8:$B$29&lt;=Main!$C23)*('Processing Factors'!$C$8:$C$29=Main!EM23))))</f>
        <v>3.5999999999999997E-2</v>
      </c>
      <c r="ET23" s="299">
        <f t="array" ref="ET23">INDEX('Processing Factors'!$H$8:$H$29,MATCH(2,1/(('Processing Factors'!$B$8:$B$29&lt;=Main!$C23)*('Processing Factors'!$C$8:$C$29=Main!EM23))))</f>
        <v>12.15</v>
      </c>
      <c r="EU23" s="300">
        <f t="array" ref="EU23">INDEX('Processing Factors'!$I$8:$I$29,MATCH(2,1/(('Processing Factors'!$B$8:$B$29&lt;=Main!$C23)*('Processing Factors'!$C$8:$C$29=Main!EM23))))</f>
        <v>0</v>
      </c>
      <c r="EV23" s="300">
        <f t="array" ref="EV23">INDEX('Processing Factors'!$J$8:$J$29,MATCH(2,1/(('Processing Factors'!$B$8:$B$29&lt;=Main!$C23)*('Processing Factors'!$C$8:$C$29=Main!EM23))))</f>
        <v>0.9</v>
      </c>
      <c r="EW23" s="299">
        <f t="array" ref="EW23">INDEX('Processing Factors'!$K$8:$K$29,MATCH(2,1/(('Processing Factors'!$B$8:$B$29&lt;=Main!$C23)*('Processing Factors'!$C$8:$C$29=Main!EM23))))</f>
        <v>3.5000000000000003E-2</v>
      </c>
      <c r="EY23" s="302">
        <f t="shared" si="35"/>
        <v>0.5</v>
      </c>
      <c r="EZ23" s="302">
        <f t="shared" si="36"/>
        <v>0.05</v>
      </c>
      <c r="FA23" s="302">
        <f t="shared" si="37"/>
        <v>0.45</v>
      </c>
      <c r="FB23" s="299">
        <f t="shared" si="38"/>
        <v>2.4691358024691357</v>
      </c>
      <c r="FC23" s="304">
        <v>0</v>
      </c>
      <c r="FD23" s="299">
        <f t="shared" si="39"/>
        <v>0.14611111111111114</v>
      </c>
      <c r="FE23" s="281">
        <f t="shared" si="40"/>
        <v>35.103008604987139</v>
      </c>
      <c r="FF23" s="281">
        <f t="shared" si="41"/>
        <v>50.37416442905598</v>
      </c>
      <c r="FG23" s="281">
        <f t="shared" si="42"/>
        <v>1.2210288298473715</v>
      </c>
      <c r="FH23" s="299">
        <f t="shared" si="43"/>
        <v>1.6512469135802468</v>
      </c>
      <c r="FI23" s="281">
        <f t="shared" si="44"/>
        <v>7.0007641898540713</v>
      </c>
      <c r="FJ23" s="281">
        <f t="shared" si="45"/>
        <v>93.698966053744556</v>
      </c>
      <c r="FL23" s="287" t="s">
        <v>39</v>
      </c>
      <c r="FN23" s="315" t="e">
        <f t="shared" ca="1" si="293"/>
        <v>#NAME?</v>
      </c>
      <c r="FO23" s="316">
        <f t="shared" si="294"/>
        <v>0.55000000000000004</v>
      </c>
      <c r="FP23" s="316">
        <f t="shared" si="295"/>
        <v>0.49</v>
      </c>
      <c r="FQ23" s="316">
        <f t="shared" si="296"/>
        <v>0.06</v>
      </c>
      <c r="FR23" s="316">
        <f t="shared" si="297"/>
        <v>5.5E-2</v>
      </c>
      <c r="FS23" s="316">
        <f t="shared" si="298"/>
        <v>4.9999999999999975E-3</v>
      </c>
      <c r="FT23" s="316">
        <f t="shared" si="299"/>
        <v>5.000000000000053E-3</v>
      </c>
      <c r="FU23" s="316">
        <f t="shared" si="300"/>
        <v>0.12</v>
      </c>
      <c r="FV23" s="317" t="str">
        <f t="shared" si="301"/>
        <v>LT</v>
      </c>
      <c r="FW23" s="318">
        <v>0</v>
      </c>
      <c r="FX23" s="237"/>
      <c r="FY23" s="319">
        <f t="array" ref="FY23">INDEX('Processing Factors'!$D$8:$D$29,MATCH(2,1/(('Processing Factors'!$B$8:$B$29&lt;=Main!$C23)*('Processing Factors'!$C$8:$C$29=Main!FV23))))</f>
        <v>0</v>
      </c>
      <c r="FZ23" s="320">
        <f t="array" ref="FZ23">INDEX('Processing Factors'!$E$8:$E$29,MATCH(2,1/(('Processing Factors'!$B$8:$B$29&lt;=Main!$C23)*('Processing Factors'!$C$8:$C$29=Main!FV23))))</f>
        <v>1</v>
      </c>
      <c r="GA23" s="320">
        <f t="array" ref="GA23">INDEX('Processing Factors'!$F$8:$F$29,MATCH(2,1/(('Processing Factors'!$B$8:$B$29&lt;=Main!$C23)*('Processing Factors'!$C$8:$C$29=Main!FV23))))</f>
        <v>0.9</v>
      </c>
      <c r="GB23" s="320">
        <f t="array" ref="GB23">INDEX('Processing Factors'!$G$8:$G$29,MATCH(2,1/(('Processing Factors'!$B$8:$B$29&lt;=Main!$C23)*('Processing Factors'!$C$8:$C$29=Main!FV23))))</f>
        <v>3.5999999999999997E-2</v>
      </c>
      <c r="GC23" s="320">
        <f t="array" ref="GC23">INDEX('Processing Factors'!$H$8:$H$29,MATCH(2,1/(('Processing Factors'!$B$8:$B$29&lt;=Main!$C23)*('Processing Factors'!$C$8:$C$29=Main!FV23))))</f>
        <v>12.15</v>
      </c>
      <c r="GD23" s="319">
        <f t="array" ref="GD23">INDEX('Processing Factors'!$I$8:$I$29,MATCH(2,1/(('Processing Factors'!$B$8:$B$29&lt;=Main!$C23)*('Processing Factors'!$C$8:$C$29=Main!FV23))))</f>
        <v>0</v>
      </c>
      <c r="GE23" s="321">
        <v>0.92</v>
      </c>
      <c r="GF23" s="320">
        <f t="array" ref="GF23">INDEX('Processing Factors'!$K$8:$K$29,MATCH(2,1/(('Processing Factors'!$B$8:$B$29&lt;=Main!$C23)*('Processing Factors'!$C$8:$C$29=Main!FV23))))</f>
        <v>3.5000000000000003E-2</v>
      </c>
      <c r="GG23" s="237"/>
      <c r="GH23" s="322">
        <f t="shared" si="46"/>
        <v>0.54500000000000004</v>
      </c>
      <c r="GI23" s="322">
        <f t="shared" si="47"/>
        <v>5.5E-2</v>
      </c>
      <c r="GJ23" s="322">
        <f t="shared" si="48"/>
        <v>0.49000000000000005</v>
      </c>
      <c r="GK23" s="320">
        <f t="shared" si="49"/>
        <v>2.2182786157941434</v>
      </c>
      <c r="GL23" s="323" t="e">
        <f t="shared" ca="1" si="50"/>
        <v>#NAME?</v>
      </c>
      <c r="GM23" s="320">
        <f t="shared" si="51"/>
        <v>0.14480479148181011</v>
      </c>
      <c r="GN23" s="323">
        <f t="shared" si="52"/>
        <v>34.789166975562075</v>
      </c>
      <c r="GO23" s="323">
        <f t="shared" si="53"/>
        <v>50.37416442905598</v>
      </c>
      <c r="GP23" s="323">
        <f t="shared" si="54"/>
        <v>1.2210288298473715</v>
      </c>
      <c r="GQ23" s="320">
        <f t="shared" si="55"/>
        <v>1.3990834072759535</v>
      </c>
      <c r="GR23" s="323">
        <f t="shared" si="56"/>
        <v>5.9316707487674689</v>
      </c>
      <c r="GS23" s="323" t="e">
        <f t="shared" ca="1" si="57"/>
        <v>#NAME?</v>
      </c>
      <c r="GT23" s="237"/>
      <c r="GU23" s="324" t="e">
        <f t="shared" ca="1" si="58"/>
        <v>#NAME?</v>
      </c>
      <c r="GV23" s="325">
        <f t="array" ref="GV23">INDEX('Indices Mines Exporting Ports'!E$20:E$51, MATCH(2,1/(('Indices Mines Exporting Ports'!$C$20:$C$51=$BC23)*('Indices Mines Exporting Ports'!$D$20:$D$51&lt;=$C23))))</f>
        <v>0.5</v>
      </c>
      <c r="GW23" s="325">
        <f t="array" ref="GW23">INDEX('Indices Mines Exporting Ports'!F$20:F$51, MATCH(2,1/(('Indices Mines Exporting Ports'!$C$20:$C$51=$BC23)*('Indices Mines Exporting Ports'!$D$20:$D$51&lt;=$C23))))</f>
        <v>0.45</v>
      </c>
      <c r="GX23" s="325">
        <f t="array" ref="GX23">INDEX('Indices Mines Exporting Ports'!G$20:G$51, MATCH(2,1/(('Indices Mines Exporting Ports'!$C$20:$C$51=$BC23)*('Indices Mines Exporting Ports'!$D$20:$D$51&lt;=$C23))))</f>
        <v>0.05</v>
      </c>
      <c r="GY23" s="325">
        <f t="array" ref="GY23">INDEX('Indices Mines Exporting Ports'!H$20:H$51, MATCH(2,1/(('Indices Mines Exporting Ports'!$C$20:$C$51=$BC23)*('Indices Mines Exporting Ports'!$D$20:$D$51&lt;=$C23))))</f>
        <v>0.05</v>
      </c>
      <c r="GZ23" s="325">
        <f t="array" ref="GZ23">INDEX('Indices Mines Exporting Ports'!I$20:I$51, MATCH(2,1/(('Indices Mines Exporting Ports'!$C$20:$C$51=$BC23)*('Indices Mines Exporting Ports'!$D$20:$D$51&lt;=$C23))))</f>
        <v>0</v>
      </c>
      <c r="HA23" s="325">
        <f t="array" ref="HA23">INDEX('Indices Mines Exporting Ports'!J$20:J$51, MATCH(2,1/(('Indices Mines Exporting Ports'!$C$20:$C$51=$BC23)*('Indices Mines Exporting Ports'!$D$20:$D$51&lt;=$C23))))</f>
        <v>0</v>
      </c>
      <c r="HB23" s="325">
        <f t="array" ref="HB23">INDEX('Indices Mines Exporting Ports'!K$20:K$51, MATCH(2,1/(('Indices Mines Exporting Ports'!$C$20:$C$51=$BC23)*('Indices Mines Exporting Ports'!$D$20:$D$51&lt;=$C23))))</f>
        <v>0.1</v>
      </c>
      <c r="HC23" s="326" t="str">
        <f t="array" ref="HC23">INDEX('Indices Mines Exporting Ports'!L$20:L$51, MATCH(2,1/(('Indices Mines Exporting Ports'!$C$20:$C$51=$BC23)*('Indices Mines Exporting Ports'!$D$20:$D$51&lt;=$C23))))</f>
        <v>LT</v>
      </c>
      <c r="HD23" s="262">
        <f t="array" ref="HD23">INDEX('Indices Mines Exporting Ports'!M$20:M$51, MATCH(2,1/(('Indices Mines Exporting Ports'!$C$20:$C$51=$BC23)*('Indices Mines Exporting Ports'!$D$20:$D$51&lt;=$C23))))</f>
        <v>0</v>
      </c>
      <c r="HE23" s="237"/>
      <c r="HF23" s="319">
        <f t="array" ref="HF23">INDEX('Processing Factors'!$D$8:$D$29,MATCH(2,1/(('Processing Factors'!$B$8:$B$29&lt;=Main!$C23)*('Processing Factors'!$C$8:$C$29=Main!HC23))))</f>
        <v>0</v>
      </c>
      <c r="HG23" s="320">
        <f t="array" ref="HG23">INDEX('Processing Factors'!$E$8:$E$29,MATCH(2,1/(('Processing Factors'!$B$8:$B$29&lt;=Main!$C23)*('Processing Factors'!$C$8:$C$29=Main!HC23))))</f>
        <v>1</v>
      </c>
      <c r="HH23" s="320">
        <f t="array" ref="HH23">INDEX('Processing Factors'!$F$8:$F$29,MATCH(2,1/(('Processing Factors'!$B$8:$B$29&lt;=Main!$C23)*('Processing Factors'!$C$8:$C$29=Main!HC23))))</f>
        <v>0.9</v>
      </c>
      <c r="HI23" s="320">
        <f t="array" ref="HI23">INDEX('Processing Factors'!$G$8:$G$29,MATCH(2,1/(('Processing Factors'!$B$8:$B$29&lt;=Main!$C23)*('Processing Factors'!$C$8:$C$29=Main!HC23))))</f>
        <v>3.5999999999999997E-2</v>
      </c>
      <c r="HJ23" s="320">
        <f t="array" ref="HJ23">INDEX('Processing Factors'!$H$8:$H$29,MATCH(2,1/(('Processing Factors'!$B$8:$B$29&lt;=Main!$C23)*('Processing Factors'!$C$8:$C$29=Main!HC23))))</f>
        <v>12.15</v>
      </c>
      <c r="HK23" s="319">
        <f t="array" ref="HK23">INDEX('Processing Factors'!$I$8:$I$29,MATCH(2,1/(('Processing Factors'!$B$8:$B$29&lt;=Main!$C23)*('Processing Factors'!$C$8:$C$29=Main!HC23))))</f>
        <v>0</v>
      </c>
      <c r="HL23" s="321">
        <v>0.92</v>
      </c>
      <c r="HM23" s="320">
        <f t="array" ref="HM23">INDEX('Processing Factors'!$K$8:$K$29,MATCH(2,1/(('Processing Factors'!$B$8:$B$29&lt;=Main!$C23)*('Processing Factors'!$C$8:$C$29=Main!HC23))))</f>
        <v>3.5000000000000003E-2</v>
      </c>
      <c r="HN23" s="237"/>
      <c r="HO23" s="322">
        <f t="shared" si="59"/>
        <v>0.5</v>
      </c>
      <c r="HP23" s="322">
        <f t="shared" si="60"/>
        <v>0.05</v>
      </c>
      <c r="HQ23" s="322">
        <f t="shared" si="61"/>
        <v>0.45</v>
      </c>
      <c r="HR23" s="320">
        <f t="shared" si="62"/>
        <v>2.4154589371980677</v>
      </c>
      <c r="HS23" s="263">
        <v>0</v>
      </c>
      <c r="HT23" s="320">
        <f t="shared" si="63"/>
        <v>0.14369565217391306</v>
      </c>
      <c r="HU23" s="323">
        <f t="shared" si="64"/>
        <v>34.522697667559676</v>
      </c>
      <c r="HV23" s="323">
        <f t="shared" si="65"/>
        <v>50.37416442905598</v>
      </c>
      <c r="HW23" s="323">
        <f t="shared" si="66"/>
        <v>1.2210288298473715</v>
      </c>
      <c r="HX23" s="320">
        <f t="shared" si="67"/>
        <v>1.5951545893719807</v>
      </c>
      <c r="HY23" s="323">
        <f t="shared" si="68"/>
        <v>6.7629504919671319</v>
      </c>
      <c r="HZ23" s="323">
        <f t="shared" si="69"/>
        <v>92.880841418430151</v>
      </c>
      <c r="IB23" s="287" t="s">
        <v>39</v>
      </c>
      <c r="ID23" s="89" t="str">
        <f t="shared" si="70"/>
        <v>MRN</v>
      </c>
      <c r="IE23" s="18">
        <f t="shared" si="319"/>
        <v>43923</v>
      </c>
      <c r="IF23" s="94">
        <f t="array" ref="IF23">INDEX('Indices Mines Exporting Ports'!E$20:E$51, MATCH(2,1/(('Indices Mines Exporting Ports'!$C$20:$C$51=$ID23)*('Indices Mines Exporting Ports'!$D$20:$D$51&lt;=$IE23))))</f>
        <v>0.55000000000000004</v>
      </c>
      <c r="IG23" s="94">
        <f t="array" ref="IG23">INDEX('Indices Mines Exporting Ports'!F$20:F$51, MATCH(2,1/(('Indices Mines Exporting Ports'!$C$20:$C$51=$ID23)*('Indices Mines Exporting Ports'!$D$20:$D$51&lt;=$IE23))))</f>
        <v>0.49</v>
      </c>
      <c r="IH23" s="95">
        <f t="array" ref="IH23">INDEX('Indices Mines Exporting Ports'!G$20:G$51, MATCH(2,1/(('Indices Mines Exporting Ports'!$C$20:$C$51=$ID23)*('Indices Mines Exporting Ports'!$D$20:$D$51&lt;=$IE23))))</f>
        <v>0.06</v>
      </c>
      <c r="II23" s="95">
        <f t="array" ref="II23">INDEX('Indices Mines Exporting Ports'!H$20:H$51, MATCH(2,1/(('Indices Mines Exporting Ports'!$C$20:$C$51=$ID23)*('Indices Mines Exporting Ports'!$D$20:$D$51&lt;=$IE23))))</f>
        <v>5.5E-2</v>
      </c>
      <c r="IJ23" s="95">
        <f t="array" ref="IJ23">INDEX('Indices Mines Exporting Ports'!I$20:I$51, MATCH(2,1/(('Indices Mines Exporting Ports'!$C$20:$C$51=$ID23)*('Indices Mines Exporting Ports'!$D$20:$D$51&lt;=$IE23))))</f>
        <v>4.9999999999999975E-3</v>
      </c>
      <c r="IK23" s="94">
        <f t="array" ref="IK23">INDEX('Indices Mines Exporting Ports'!J$20:J$51, MATCH(2,1/(('Indices Mines Exporting Ports'!$C$20:$C$51=$ID23)*('Indices Mines Exporting Ports'!$D$20:$D$51&lt;=$IE23))))</f>
        <v>5.000000000000053E-3</v>
      </c>
      <c r="IL23" s="94">
        <f t="array" ref="IL23">INDEX('Indices Mines Exporting Ports'!K$20:K$51, MATCH(2,1/(('Indices Mines Exporting Ports'!$C$20:$C$51=$ID23)*('Indices Mines Exporting Ports'!$D$20:$D$51&lt;=$IE23))))</f>
        <v>0.12</v>
      </c>
      <c r="IM23" s="93" t="str">
        <f t="array" ref="IM23">INDEX('Indices Mines Exporting Ports'!L$20:L$51, MATCH(2,1/(('Indices Mines Exporting Ports'!$C$20:$C$51=$ID23)*('Indices Mines Exporting Ports'!$D$20:$D$51&lt;=$IE23))))</f>
        <v>LT</v>
      </c>
      <c r="IN23" s="101">
        <f t="array" ref="IN23">INDEX('Indices Mines Exporting Ports'!M$20:M$51, MATCH(2,1/(('Indices Mines Exporting Ports'!$C$20:$C$51=$ID23)*('Indices Mines Exporting Ports'!$D$20:$D$51&lt;=$IE23))))</f>
        <v>0</v>
      </c>
      <c r="IO23" s="96">
        <f t="array" ref="IO23">INDEX('Indices Mines Exporting Ports'!N$20:N$51, MATCH(2,1/(('Indices Mines Exporting Ports'!$C$20:$C$51=$ID23)*('Indices Mines Exporting Ports'!$D$20:$D$51&lt;=$IE23))))</f>
        <v>57000</v>
      </c>
      <c r="IP23" s="95" t="str">
        <f t="array" ref="IP23">INDEX('Indices Mines Exporting Ports'!Q$20:Q$51, MATCH(2,1/(('Indices Mines Exporting Ports'!$C$20:$C$51=$ID23)*('Indices Mines Exporting Ports'!$D$20:$D$51&lt;=$IE23))))</f>
        <v>MRN_wharf</v>
      </c>
      <c r="IQ23" s="95" t="str">
        <f t="array" ref="IQ23">INDEX('Indices Mines Exporting Ports'!O$20:O$51, MATCH(2,1/(('Indices Mines Exporting Ports'!$C$20:$C$51=$ID23)*('Indices Mines Exporting Ports'!$D$20:$D$51&lt;=$IE23))))</f>
        <v>CBIX LT</v>
      </c>
      <c r="IR23" s="95" t="str">
        <f t="array" ref="IR23">INDEX('Indices Mines Exporting Ports'!P$20:P$51, MATCH(2,1/(('Indices Mines Exporting Ports'!$C$20:$C$51=$ID23)*('Indices Mines Exporting Ports'!$D$20:$D$51&lt;=$IE23))))</f>
        <v>CBIX LT</v>
      </c>
      <c r="IT23" s="287" t="s">
        <v>39</v>
      </c>
      <c r="IV23" s="292">
        <f>VLOOKUP($C23,'China Price Series'!$C$10:$D$1009,2,TRUE)/$JA23/(VLOOKUP($C23,'China Price Series'!$C$10:$E$1009,3,TRUE)*$JG23/$JF23)</f>
        <v>4.146021763708311</v>
      </c>
      <c r="IW23" s="292">
        <f>VLOOKUP($C23,'China Price Series'!$G$10:$H$1009,2,TRUE)/$JA23/(VLOOKUP($C23,'China Price Series'!$G$10:$I$1009,3,TRUE))</f>
        <v>240.24872809496895</v>
      </c>
      <c r="IX23" s="292">
        <f>VLOOKUP($C23,'China Price Series'!$K$10:$L$1009,2,TRUE)/$JA23</f>
        <v>33.91746749576032</v>
      </c>
      <c r="IY23" s="292">
        <f>VLOOKUP($C23,'China Price Series'!$N$10:$O$1009,2,TRUE)/$JA23</f>
        <v>4.23968343697004</v>
      </c>
      <c r="JA23" s="277">
        <f t="array" ref="JA23">INDEX('FX rates'!E$10:E$1009,MATCH(2,1/(('FX rates'!$D$10:$D$1009&lt;=Main!$C23)*(NOT(ISBLANK('FX rates'!E$10:E$1009))))))</f>
        <v>7.0759999999999987</v>
      </c>
      <c r="JB23" s="277">
        <f t="array" ref="JB23">INDEX('FX rates'!F$10:F$1009,MATCH(2,1/(('FX rates'!$D$10:$D$1009&lt;=Main!$C23)*(NOT(ISBLANK('FX rates'!F$10:F$1009))))))</f>
        <v>0.59156405988048044</v>
      </c>
      <c r="JC23" s="277">
        <f t="array" ref="JC23">INDEX('FX rates'!G$10:G$1009,MATCH(2,1/(('FX rates'!$D$10:$D$1009&lt;=Main!$C23)*(NOT(ISBLANK('FX rates'!G$10:G$1009))))))</f>
        <v>1</v>
      </c>
      <c r="JD23" s="277">
        <f t="array" ref="JD23">INDEX('FX rates'!H$10:H$1009,MATCH(2,1/(('FX rates'!$D$10:$D$1009&lt;=Main!$C23)*(NOT(ISBLANK('FX rates'!H$10:H$1009))))))</f>
        <v>1.35</v>
      </c>
      <c r="JF23" s="111">
        <f t="array" ref="JF23">INDEX('Global factors'!C$5:C$23,MATCH(2,1/(('Global factors'!$B$5:$B$23&lt;=Main!$C23)*(NOT(ISBLANK('Global factors'!C$5:C$23))))))</f>
        <v>239000</v>
      </c>
      <c r="JG23" s="112">
        <f t="array" ref="JG23">INDEX('Global factors'!D$5:D$23,MATCH(2,1/(('Global factors'!$B$5:$B$23&lt;=Main!$C23)*(NOT(ISBLANK('Global factors'!D$5:D$23))))))</f>
        <v>1000</v>
      </c>
      <c r="JH23" s="112">
        <f t="array" ref="JH23">INDEX('Global factors'!E$5:E$23,MATCH(2,1/(('Global factors'!$B$5:$B$23&lt;=Main!$C23)*(NOT(ISBLANK('Global factors'!E$5:E$23))))))</f>
        <v>24</v>
      </c>
      <c r="JI23" s="112">
        <f t="array" ref="JI23">INDEX('Global factors'!F$5:F$23,MATCH(2,1/(('Global factors'!$B$5:$B$23&lt;=Main!$C23)*(NOT(ISBLANK('Global factors'!F$5:F$23))))))</f>
        <v>2</v>
      </c>
      <c r="JJ23" s="117">
        <f t="array" ref="JJ23">INDEX('Global factors'!G$5:G$23,MATCH(2,1/(('Global factors'!$B$5:$B$23&lt;=Main!$C23)*(NOT(ISBLANK('Global factors'!G$5:G$23))))))</f>
        <v>0.08</v>
      </c>
      <c r="JK23" s="113">
        <f t="array" ref="JK23">INDEX('Global factors'!H$5:H$23,MATCH(2,1/(('Global factors'!$B$5:$B$23&lt;=Main!$C23)*(NOT(ISBLANK('Global factors'!H$5:H$23))))))</f>
        <v>101.96</v>
      </c>
      <c r="JL23" s="113">
        <f t="array" ref="JL23">INDEX('Global factors'!I$5:I$23,MATCH(2,1/(('Global factors'!$B$5:$B$23&lt;=Main!$C23)*(NOT(ISBLANK('Global factors'!I$5:I$23))))))</f>
        <v>60.08</v>
      </c>
      <c r="JM23" s="114">
        <f t="array" ref="JM23">INDEX('Global factors'!J$5:J$23,MATCH(2,1/(('Global factors'!$B$5:$B$23&lt;=Main!$C23)*(NOT(ISBLANK('Global factors'!J$5:J$23))))))</f>
        <v>0.84853528628495334</v>
      </c>
      <c r="JN23" s="115">
        <f t="array" ref="JN23">INDEX('Global factors'!K$5:K$23,MATCH(2,1/(('Global factors'!$B$5:$B$23&lt;=Main!$C23)*(NOT(ISBLANK('Global factors'!K$5:K$23))))))</f>
        <v>0.97499999999999998</v>
      </c>
      <c r="JO23" s="116">
        <f t="array" ref="JO23">INDEX('Global factors'!L$5:L$23,MATCH(2,1/(('Global factors'!$B$5:$B$23&lt;=Main!$C23)*(NOT(ISBLANK('Global factors'!L$5:L$23))))))</f>
        <v>8.7299999999999997E-4</v>
      </c>
      <c r="JP23" s="116">
        <f t="array" ref="JP23">INDEX('Global factors'!M$5:M$23,MATCH(2,1/(('Global factors'!$B$5:$B$23&lt;=Main!$C23)*(NOT(ISBLANK('Global factors'!M$5:M$23))))))</f>
        <v>145.88999999999999</v>
      </c>
      <c r="JQ23" s="116">
        <f t="array" ref="JQ23">INDEX('Global factors'!N$5:N$23,MATCH(2,1/(('Global factors'!$B$5:$B$23&lt;=Main!$C23)*(NOT(ISBLANK('Global factors'!N$5:N$23))))))</f>
        <v>0.40339999999999998</v>
      </c>
      <c r="JR23" s="116">
        <f t="array" ref="JR23">INDEX('Global factors'!O$5:O$23,MATCH(2,1/(('Global factors'!$B$5:$B$23&lt;=Main!$C23)*(NOT(ISBLANK('Global factors'!O$5:O$23))))))</f>
        <v>0</v>
      </c>
      <c r="JS23" s="116">
        <f t="array" ref="JS23">INDEX('Global factors'!P$5:P$23,MATCH(2,1/(('Global factors'!$B$5:$B$23&lt;=Main!$C23)*(NOT(ISBLANK('Global factors'!P$5:P$23))))))</f>
        <v>0.51890000000000003</v>
      </c>
      <c r="JT23" s="116">
        <f t="array" ref="JT23">INDEX('Global factors'!Q$5:Q$23,MATCH(2,1/(('Global factors'!$B$5:$B$23&lt;=Main!$C23)*(NOT(ISBLANK('Global factors'!Q$5:Q$23))))))</f>
        <v>4797</v>
      </c>
      <c r="JU23" s="116">
        <f t="array" ref="JU23">INDEX('Global factors'!R$5:R$23,MATCH(2,1/(('Global factors'!$B$5:$B$23&lt;=Main!$C23)*(NOT(ISBLANK('Global factors'!R$5:R$23))))))</f>
        <v>7</v>
      </c>
      <c r="JV23" s="115">
        <f t="array" ref="JV23">INDEX('Global factors'!S$5:S$23,MATCH(2,1/(('Global factors'!$B$5:$B$23&lt;=Main!$C23)*(NOT(ISBLANK('Global factors'!S$5:S$23))))))</f>
        <v>0.12</v>
      </c>
      <c r="JW23" s="115">
        <f t="array" ref="JW23">INDEX('Global factors'!T$5:T$23,MATCH(2,1/(('Global factors'!$B$5:$B$23&lt;=Main!$C23)*(NOT(ISBLANK('Global factors'!T$5:T$23))))))</f>
        <v>0.5</v>
      </c>
      <c r="JX23" s="116">
        <f t="array" ref="JX23">INDEX('Global factors'!U$5:U$23,MATCH(2,1/(('Global factors'!$B$5:$B$23&lt;=Main!$C23)*(NOT(ISBLANK('Global factors'!U$5:U$23))))))</f>
        <v>0.5</v>
      </c>
      <c r="JY23" s="116">
        <f t="array" ref="JY23">INDEX('Global factors'!V$5:V$23,MATCH(2,1/(('Global factors'!$B$5:$B$23&lt;=Main!$C23)*(NOT(ISBLANK('Global factors'!V$5:V$23))))))</f>
        <v>10000</v>
      </c>
      <c r="JZ23" s="116">
        <f t="array" ref="JZ23">INDEX('Global factors'!W$5:W$23,MATCH(2,1/(('Global factors'!$B$5:$B$23&lt;=Main!$C23)*(NOT(ISBLANK('Global factors'!W$5:W$23))))))</f>
        <v>0.10680000000000001</v>
      </c>
      <c r="KA23" s="116">
        <f t="array" ref="KA23">INDEX('Global factors'!X$5:X$23,MATCH(2,1/(('Global factors'!$B$5:$B$23&lt;=Main!$C23)*(NOT(ISBLANK('Global factors'!X$5:X$23))))))</f>
        <v>1.2</v>
      </c>
      <c r="KB23" s="116">
        <v>0</v>
      </c>
      <c r="KC23" s="272">
        <f t="array" ref="KC23">INDEX('Global factors'!Y$5:Y$23,MATCH(2,1/(('Global factors'!$B$5:$B$23&lt;=Main!$C23)*(NOT(ISBLANK('Global factors'!Y$5:Y$23))))))</f>
        <v>23643.7088248818</v>
      </c>
      <c r="KD23" s="273">
        <f t="array" ref="KD23">INDEX('Global factors'!Z$5:Z$23,MATCH(2,1/(('Global factors'!$B$5:$B$23&lt;=Main!$C23)*(NOT(ISBLANK('Global factors'!Z$5:Z$23))))))</f>
        <v>0.62802869915581405</v>
      </c>
      <c r="KE23" s="273">
        <v>0</v>
      </c>
      <c r="KF23" s="273">
        <v>0</v>
      </c>
      <c r="KG23" s="116">
        <v>0</v>
      </c>
      <c r="KH23" s="116">
        <f t="array" ref="KH23">INDEX('Global factors'!AB$5:AB$23,MATCH(2,1/(('Global factors'!$B$5:$B$23&lt;=Main!$C23)*(NOT(ISBLANK('Global factors'!AB$5:AB$23))))))</f>
        <v>6.2556361557795204E-2</v>
      </c>
      <c r="KI23" s="116">
        <f t="array" ref="KI23">INDEX('Global factors'!AC$5:AC$23,MATCH(2,1/(('Global factors'!$B$5:$B$23&lt;=Main!$C23)*(NOT(ISBLANK('Global factors'!AC$5:AC$23))))))</f>
        <v>8.6923129044225601E-4</v>
      </c>
      <c r="KJ23" s="116">
        <f t="array" ref="KJ23">INDEX('Global factors'!AD$5:AD$23,MATCH(2,1/(('Global factors'!$B$5:$B$23&lt;=Main!$C23)*(NOT(ISBLANK('Global factors'!AD$5:AD$23))))))</f>
        <v>1.1499999999999999</v>
      </c>
      <c r="KK23" s="116" t="str">
        <f t="array" ref="KK23">INDEX('Global factors'!AE$5:AE$23,MATCH(2,1/(('Global factors'!$B$5:$B$23&lt;=Main!$C23)*(NOT(ISBLANK('Global factors'!AE$5:AE$23))))))</f>
        <v>Qingdao</v>
      </c>
      <c r="KL23" s="290">
        <f t="array" ref="KL23">INDEX('Global factors'!AF$5:AF$23,MATCH(2,1/(('Global factors'!$B$5:$B$23&lt;=Main!$C23)*(NOT(ISBLANK('Global factors'!AF$5:AF$23))))))</f>
        <v>3.0000000000000001E-3</v>
      </c>
      <c r="KM23" s="290">
        <f t="array" ref="KM23">INDEX('Global factors'!AG$5:AG$23,MATCH(2,1/(('Global factors'!$B$5:$B$23&lt;=Main!$C23)*(NOT(ISBLANK('Global factors'!AG$5:AG$23))))))</f>
        <v>0.05</v>
      </c>
      <c r="KO23" s="287" t="s">
        <v>39</v>
      </c>
      <c r="KQ23" s="25">
        <f t="shared" si="320"/>
        <v>54390.054390054385</v>
      </c>
      <c r="KR23" s="4" t="str">
        <f>VLOOKUP(KQ23,'Ship Time Charter Rates'!$F$10:$G$17,2,TRUE)</f>
        <v>Supramax</v>
      </c>
      <c r="KS23" s="4" t="str">
        <f>VLOOKUP(KQ23,Canals!$E$5:$F$12,2,TRUE)</f>
        <v>Supramax</v>
      </c>
      <c r="KT23" s="25">
        <f t="shared" si="71"/>
        <v>193.37251748251748</v>
      </c>
      <c r="KU23" s="25">
        <f t="shared" si="72"/>
        <v>21940.947940947939</v>
      </c>
      <c r="KV23" s="25">
        <f t="shared" si="73"/>
        <v>33019.99922299922</v>
      </c>
      <c r="KX23" s="75">
        <f t="array" ref="KX23">INDEX('Indices Mines Exporting Ports'!$R$20:$R$51,MATCH(2,1/(('Indices Mines Exporting Ports'!$D$20:$D$51&lt;=Main!$C23)*('Indices Mines Exporting Ports'!$Q$20:$Q$51=$AP23))))</f>
        <v>30000</v>
      </c>
      <c r="KY23" s="75">
        <f t="array" ref="KY23">INDEX('Indices Mines Exporting Ports'!$S$20:$S$51,MATCH(2,1/(('Indices Mines Exporting Ports'!$D$20:$D$51&lt;=Main!$C23)*('Indices Mines Exporting Ports'!$Q$20:$Q$51=$AP23))))</f>
        <v>30000</v>
      </c>
      <c r="KZ23" s="75">
        <f t="array" ref="KZ23">INDEX('Indices Mines Exporting Ports'!$T$20:$T$51,MATCH(2,1/(('Indices Mines Exporting Ports'!$D$20:$D$51&lt;=Main!$C23)*('Indices Mines Exporting Ports'!$Q$20:$Q$51=$AP23))))</f>
        <v>30000</v>
      </c>
      <c r="LA23" s="75">
        <f t="array" ref="LA23">INDEX('Indices Mines Exporting Ports'!$U$20:$U$51,MATCH(2,1/(('Indices Mines Exporting Ports'!$D$20:$D$51&lt;=Main!$C23)*('Indices Mines Exporting Ports'!$Q$20:$Q$51=$AP23))))</f>
        <v>30000</v>
      </c>
      <c r="LB23" s="75">
        <f t="array" ref="LB23">INDEX('Indices Mines Exporting Ports'!$V$20:$V$51,MATCH(2,1/(('Indices Mines Exporting Ports'!$D$20:$D$51&lt;=Main!$C23)*('Indices Mines Exporting Ports'!$Q$20:$Q$51=$AP23))))</f>
        <v>30000</v>
      </c>
      <c r="LC23" s="75">
        <f t="array" ref="LC23">INDEX('Indices Mines Exporting Ports'!$W$20:$W$51,MATCH(2,1/(('Indices Mines Exporting Ports'!$D$20:$D$51&lt;=Main!$C23)*('Indices Mines Exporting Ports'!$Q$20:$Q$51=$AP23))))</f>
        <v>30000</v>
      </c>
      <c r="LD23" s="75">
        <f t="array" ref="LD23">INDEX('Indices Mines Exporting Ports'!$X$20:$X$51,MATCH(2,1/(('Indices Mines Exporting Ports'!$D$20:$D$51&lt;=Main!$C23)*('Indices Mines Exporting Ports'!$Q$20:$Q$51=$AP23))))</f>
        <v>30000</v>
      </c>
      <c r="LF23" s="75" t="e">
        <f t="array" ref="LF23">INDEX('Port Linkages'!$E$18:$E$157,MATCH(2,1/(('Port Linkages'!$C$18:$C$157=$AP23)*('Port Linkages'!$D$18:$D$157=IF($AO23="Yes",$AQ23,$AS23))*('Port Linkages'!$A$18:$A$157&lt;=$C23))))</f>
        <v>#N/A</v>
      </c>
      <c r="LG23" s="75">
        <f t="array" ref="LG23">INDEX('Port Linkages'!$F$18:$F$157,MATCH(2,1/(('Port Linkages'!$C$18:$C$157=$AP23)*('Port Linkages'!$D$18:$D$157=IF($AO23="Yes",$AQ23,$AS23))*('Port Linkages'!$A$18:$A$157&lt;=$C23))))</f>
        <v>0</v>
      </c>
      <c r="LH23" s="75" t="str">
        <f t="array" ref="LH23">INDEX('Port Linkages'!$G$18:$G$157,MATCH(2,1/(('Port Linkages'!$C$18:$C$157=$AP23)*('Port Linkages'!$D$18:$D$157=IF($AO23="Yes",$AQ23,$AS23))*('Port Linkages'!$A$18:$A$157&lt;=$C23))))</f>
        <v>VLOC_General</v>
      </c>
      <c r="LI23" s="75" t="str">
        <f t="array" ref="LI23">INDEX('Port Linkages'!$H$18:$H$157,MATCH(2,1/(('Port Linkages'!$C$18:$C$157=$AP23)*('Port Linkages'!$D$18:$D$157=IF($AO23="Yes",$AQ23,$AS23))*('Port Linkages'!$A$18:$A$157&lt;=$C23))))</f>
        <v>Singapore</v>
      </c>
      <c r="LJ23" s="75" t="str">
        <f t="array" ref="LJ23">INDEX('Port Linkages'!$I$18:$I$157,MATCH(2,1/(('Port Linkages'!$C$18:$C$157=$AP23)*('Port Linkages'!$D$18:$D$157=IF($AO23="Yes",$AQ23,$AS23))*('Port Linkages'!$A$18:$A$157&lt;=$C23))))</f>
        <v>VLSFO</v>
      </c>
      <c r="LK23" s="75" t="str">
        <f t="array" ref="LK23">INDEX('Port Linkages'!$J$18:$J$157,MATCH(2,1/(('Port Linkages'!$C$18:$C$157=$AP23)*('Port Linkages'!$D$18:$D$157=IF($AO23="Yes",$AQ23,$AS23))*('Port Linkages'!$A$18:$A$157&lt;=$C23))))</f>
        <v>MGO_Regular</v>
      </c>
      <c r="LL23" s="75" t="str">
        <f t="array" ref="LL23">INDEX('Port Linkages'!$K$18:$K$157,MATCH(2,1/(('Port Linkages'!$C$18:$C$157=$AP23)*('Port Linkages'!$D$18:$D$157=IF($AO23="Yes",$AQ23,$AS23))*('Port Linkages'!$A$18:$A$157&lt;=$C23))))</f>
        <v>none</v>
      </c>
      <c r="LM23" s="75" t="e">
        <f t="array" ref="LM23">INDEX('Port Linkages'!$L$18:$L$157,MATCH(2,1/(('Port Linkages'!$C$18:$C$157=$AP23)*('Port Linkages'!$D$18:$D$157=IF($AO23="Yes",$AQ23,$AS23))*('Port Linkages'!$A$18:$A$157&lt;=$C23))))</f>
        <v>#N/A</v>
      </c>
      <c r="LN23" s="75">
        <f t="array" ref="LN23">INDEX('Port Linkages'!$M$18:$M$157,MATCH(2,1/(('Port Linkages'!$C$18:$C$157=$AP23)*('Port Linkages'!$D$18:$D$157=IF($AO23="Yes",$AQ23,$AS23))*('Port Linkages'!$A$18:$A$157&lt;=$C23))))</f>
        <v>0</v>
      </c>
      <c r="LO23" s="75" t="str">
        <f t="array" ref="LO23">INDEX('Port Linkages'!$N$18:$N$157,MATCH(2,1/(('Port Linkages'!$C$18:$C$157=$AP23)*('Port Linkages'!$D$18:$D$157=IF($AO23="Yes",$AQ23,$AS23))*('Port Linkages'!$A$18:$A$157&lt;=$C23))))</f>
        <v>Capesize_General</v>
      </c>
      <c r="LP23" s="75" t="str">
        <f t="array" ref="LP23">INDEX('Port Linkages'!$O$18:$O$157,MATCH(2,1/(('Port Linkages'!$C$18:$C$157=$AP23)*('Port Linkages'!$D$18:$D$157=IF($AO23="Yes",$AQ23,$AS23))*('Port Linkages'!$A$18:$A$157&lt;=$C23))))</f>
        <v>Singapore</v>
      </c>
      <c r="LQ23" s="75" t="str">
        <f t="array" ref="LQ23">INDEX('Port Linkages'!$P$18:$P$157,MATCH(2,1/(('Port Linkages'!$C$18:$C$157=$AP23)*('Port Linkages'!$D$18:$D$157=IF($AO23="Yes",$AQ23,$AS23))*('Port Linkages'!$A$18:$A$157&lt;=$C23))))</f>
        <v>VLSFO</v>
      </c>
      <c r="LR23" s="75" t="str">
        <f t="array" ref="LR23">INDEX('Port Linkages'!$Q$18:$Q$157,MATCH(2,1/(('Port Linkages'!$C$18:$C$157=$AP23)*('Port Linkages'!$D$18:$D$157=IF($AO23="Yes",$AQ23,$AS23))*('Port Linkages'!$A$18:$A$157&lt;=$C23))))</f>
        <v>MGO_Regular</v>
      </c>
      <c r="LS23" s="75" t="str">
        <f t="array" ref="LS23">INDEX('Port Linkages'!$R$18:$R$157,MATCH(2,1/(('Port Linkages'!$C$18:$C$157=$AP23)*('Port Linkages'!$D$18:$D$157=IF($AO23="Yes",$AQ23,$AS23))*('Port Linkages'!$A$18:$A$157&lt;=$C23))))</f>
        <v>none</v>
      </c>
      <c r="LT23" s="75" t="e">
        <f t="array" ref="LT23">INDEX('Port Linkages'!$S$18:$S$157,MATCH(2,1/(('Port Linkages'!$C$18:$C$157=$AP23)*('Port Linkages'!$D$18:$D$157=IF($AO23="Yes",$AQ23,$AS23))*('Port Linkages'!$A$18:$A$157&lt;=$C23))))</f>
        <v>#N/A</v>
      </c>
      <c r="LU23" s="75">
        <f t="array" ref="LU23">INDEX('Port Linkages'!$T$18:$T$157,MATCH(2,1/(('Port Linkages'!$C$18:$C$157=$AP23)*('Port Linkages'!$D$18:$D$157=IF($AO23="Yes",$AQ23,$AS23))*('Port Linkages'!$A$18:$A$157&lt;=$C23))))</f>
        <v>0</v>
      </c>
      <c r="LV23" s="75" t="str">
        <f t="array" ref="LV23">INDEX('Port Linkages'!$U$18:$U$157,MATCH(2,1/(('Port Linkages'!$C$18:$C$157=$AP23)*('Port Linkages'!$D$18:$D$157=IF($AO23="Yes",$AQ23,$AS23))*('Port Linkages'!$A$18:$A$157&lt;=$C23))))</f>
        <v>Capesize_General</v>
      </c>
      <c r="LW23" s="75" t="str">
        <f t="array" ref="LW23">INDEX('Port Linkages'!$V$18:$V$157,MATCH(2,1/(('Port Linkages'!$C$18:$C$157=$AP23)*('Port Linkages'!$D$18:$D$157=IF($AO23="Yes",$AQ23,$AS23))*('Port Linkages'!$A$18:$A$157&lt;=$C23))))</f>
        <v>Singapore</v>
      </c>
      <c r="LX23" s="75" t="str">
        <f t="array" ref="LX23">INDEX('Port Linkages'!$W$18:$W$157,MATCH(2,1/(('Port Linkages'!$C$18:$C$157=$AP23)*('Port Linkages'!$D$18:$D$157=IF($AO23="Yes",$AQ23,$AS23))*('Port Linkages'!$A$18:$A$157&lt;=$C23))))</f>
        <v>VLSFO</v>
      </c>
      <c r="LY23" s="75" t="str">
        <f t="array" ref="LY23">INDEX('Port Linkages'!$X$18:$X$157,MATCH(2,1/(('Port Linkages'!$C$18:$C$157=$AP23)*('Port Linkages'!$D$18:$D$157=IF($AO23="Yes",$AQ23,$AS23))*('Port Linkages'!$A$18:$A$157&lt;=$C23))))</f>
        <v>MGO_Regular</v>
      </c>
      <c r="LZ23" s="75" t="str">
        <f t="array" ref="LZ23">INDEX('Port Linkages'!$Y$18:$Y$157,MATCH(2,1/(('Port Linkages'!$C$18:$C$157=$AP23)*('Port Linkages'!$D$18:$D$157=IF($AO23="Yes",$AQ23,$AS23))*('Port Linkages'!$A$18:$A$157&lt;=$C23))))</f>
        <v>none</v>
      </c>
      <c r="MA23" s="75" t="e">
        <f t="array" ref="MA23">INDEX('Port Linkages'!$Z$18:$Z$157,MATCH(2,1/(('Port Linkages'!$C$18:$C$157=$AP23)*('Port Linkages'!$D$18:$D$157=IF($AO23="Yes",$AQ23,$AS23))*('Port Linkages'!$A$18:$A$157&lt;=$C23))))</f>
        <v>#N/A</v>
      </c>
      <c r="MB23" s="75">
        <f t="array" ref="MB23">INDEX('Port Linkages'!$AA$18:$AA$157,MATCH(2,1/(('Port Linkages'!$C$18:$C$157=$AP23)*('Port Linkages'!$D$18:$D$157=IF($AO23="Yes",$AQ23,$AS23))*('Port Linkages'!$A$18:$A$157&lt;=$C23))))</f>
        <v>0</v>
      </c>
      <c r="MC23" s="75" t="str">
        <f t="array" ref="MC23">INDEX('Port Linkages'!$AB$18:$AB$157,MATCH(2,1/(('Port Linkages'!$C$18:$C$157=$AP23)*('Port Linkages'!$D$18:$D$157=IF($AO23="Yes",$AQ23,$AS23))*('Port Linkages'!$A$18:$A$157&lt;=$C23))))</f>
        <v>Capesize_General</v>
      </c>
      <c r="MD23" s="75" t="str">
        <f t="array" ref="MD23">INDEX('Port Linkages'!$AC$18:$AC$157,MATCH(2,1/(('Port Linkages'!$C$18:$C$157=$AP23)*('Port Linkages'!$D$18:$D$157=IF($AO23="Yes",$AQ23,$AS23))*('Port Linkages'!$A$18:$A$157&lt;=$C23))))</f>
        <v>Singapore</v>
      </c>
      <c r="ME23" s="75" t="str">
        <f t="array" ref="ME23">INDEX('Port Linkages'!$AD$18:$AD$157,MATCH(2,1/(('Port Linkages'!$C$18:$C$157=$AP23)*('Port Linkages'!$D$18:$D$157=IF($AO23="Yes",$AQ23,$AS23))*('Port Linkages'!$A$18:$A$157&lt;=$C23))))</f>
        <v>VLSFO</v>
      </c>
      <c r="MF23" s="75" t="str">
        <f t="array" ref="MF23">INDEX('Port Linkages'!$AE$18:$AE$157,MATCH(2,1/(('Port Linkages'!$C$18:$C$157=$AP23)*('Port Linkages'!$D$18:$D$157=IF($AO23="Yes",$AQ23,$AS23))*('Port Linkages'!$A$18:$A$157&lt;=$C23))))</f>
        <v>MGO_Regular</v>
      </c>
      <c r="MG23" s="75" t="str">
        <f t="array" ref="MG23">INDEX('Port Linkages'!$AF$18:$AF$157,MATCH(2,1/(('Port Linkages'!$C$18:$C$157=$AP23)*('Port Linkages'!$D$18:$D$157=IF($AO23="Yes",$AQ23,$AS23))*('Port Linkages'!$A$18:$A$157&lt;=$C23))))</f>
        <v>none</v>
      </c>
      <c r="MH23" s="75">
        <f t="array" ref="MH23">INDEX('Port Linkages'!$AG$18:$AG$157,MATCH(2,1/(('Port Linkages'!$C$18:$C$157=$AP23)*('Port Linkages'!$D$18:$D$157=IF($AO23="Yes",$AQ23,$AS23))*('Port Linkages'!$A$18:$A$157&lt;=$C23))))</f>
        <v>1623</v>
      </c>
      <c r="MI23" s="75">
        <f t="array" ref="MI23">INDEX('Port Linkages'!$AH$18:$AH$157,MATCH(2,1/(('Port Linkages'!$C$18:$C$157=$AP23)*('Port Linkages'!$D$18:$D$157=IF($AO23="Yes",$AQ23,$AS23))*('Port Linkages'!$A$18:$A$157&lt;=$C23))))</f>
        <v>0</v>
      </c>
      <c r="MJ23" s="75" t="str">
        <f t="array" ref="MJ23">INDEX('Port Linkages'!$AI$18:$AI$157,MATCH(2,1/(('Port Linkages'!$C$18:$C$157=$AP23)*('Port Linkages'!$D$18:$D$157=IF($AO23="Yes",$AQ23,$AS23))*('Port Linkages'!$A$18:$A$157&lt;=$C23))))</f>
        <v>Panamax_General</v>
      </c>
      <c r="MK23" s="75" t="str">
        <f t="array" ref="MK23">INDEX('Port Linkages'!$AJ$18:$AJ$157,MATCH(2,1/(('Port Linkages'!$C$18:$C$157=$AP23)*('Port Linkages'!$D$18:$D$157=IF($AO23="Yes",$AQ23,$AS23))*('Port Linkages'!$A$18:$A$157&lt;=$C23))))</f>
        <v>Singapore</v>
      </c>
      <c r="ML23" s="75" t="str">
        <f t="array" ref="ML23">INDEX('Port Linkages'!$AK$18:$AK$157,MATCH(2,1/(('Port Linkages'!$C$18:$C$157=$AP23)*('Port Linkages'!$D$18:$D$157=IF($AO23="Yes",$AQ23,$AS23))*('Port Linkages'!$A$18:$A$157&lt;=$C23))))</f>
        <v>VLSFO</v>
      </c>
      <c r="MM23" s="75" t="str">
        <f t="array" ref="MM23">INDEX('Port Linkages'!$AL$18:$AL$157,MATCH(2,1/(('Port Linkages'!$C$18:$C$157=$AP23)*('Port Linkages'!$D$18:$D$157=IF($AO23="Yes",$AQ23,$AS23))*('Port Linkages'!$A$18:$A$157&lt;=$C23))))</f>
        <v>MGO_Regular</v>
      </c>
      <c r="MN23" s="75" t="str">
        <f t="array" ref="MN23">INDEX('Port Linkages'!$AM$18:$AM$157,MATCH(2,1/(('Port Linkages'!$C$18:$C$157=$AP23)*('Port Linkages'!$D$18:$D$157=IF($AO23="Yes",$AQ23,$AS23))*('Port Linkages'!$A$18:$A$157&lt;=$C23))))</f>
        <v>none</v>
      </c>
      <c r="MO23" s="75">
        <f t="array" ref="MO23">INDEX('Port Linkages'!$AN$18:$AN$157,MATCH(2,1/(('Port Linkages'!$C$18:$C$157=$AP23)*('Port Linkages'!$D$18:$D$157=IF($AO23="Yes",$AQ23,$AS23))*('Port Linkages'!$A$18:$A$157&lt;=$C23))))</f>
        <v>1632</v>
      </c>
      <c r="MP23" s="75">
        <f t="array" ref="MP23">INDEX('Port Linkages'!$AO$18:$AO$157,MATCH(2,1/(('Port Linkages'!$C$18:$C$157=$AP23)*('Port Linkages'!$D$18:$D$157=IF($AO23="Yes",$AQ23,$AS23))*('Port Linkages'!$A$18:$A$157&lt;=$C23))))</f>
        <v>0</v>
      </c>
      <c r="MQ23" s="75" t="str">
        <f t="array" ref="MQ23">INDEX('Port Linkages'!$AP$18:$AP$157,MATCH(2,1/(('Port Linkages'!$C$18:$C$157=$AP23)*('Port Linkages'!$D$18:$D$157=IF($AO23="Yes",$AQ23,$AS23))*('Port Linkages'!$A$18:$A$157&lt;=$C23))))</f>
        <v>Supramax_General</v>
      </c>
      <c r="MR23" s="75" t="str">
        <f t="array" ref="MR23">INDEX('Port Linkages'!$AQ$18:$AQ$157,MATCH(2,1/(('Port Linkages'!$C$18:$C$157=$AP23)*('Port Linkages'!$D$18:$D$157=IF($AO23="Yes",$AQ23,$AS23))*('Port Linkages'!$A$18:$A$157&lt;=$C23))))</f>
        <v>Singapore</v>
      </c>
      <c r="MS23" s="75" t="str">
        <f t="array" ref="MS23">INDEX('Port Linkages'!$AR$18:$AR$157,MATCH(2,1/(('Port Linkages'!$C$18:$C$157=$AP23)*('Port Linkages'!$D$18:$D$157=IF($AO23="Yes",$AQ23,$AS23))*('Port Linkages'!$A$18:$A$157&lt;=$C23))))</f>
        <v>VLSFO</v>
      </c>
      <c r="MT23" s="75" t="str">
        <f t="array" ref="MT23">INDEX('Port Linkages'!$AS$18:$AS$157,MATCH(2,1/(('Port Linkages'!$C$18:$C$157=$AP23)*('Port Linkages'!$D$18:$D$157=IF($AO23="Yes",$AQ23,$AS23))*('Port Linkages'!$A$18:$A$157&lt;=$C23))))</f>
        <v>MGO_Regular</v>
      </c>
      <c r="MU23" s="75" t="str">
        <f t="array" ref="MU23">INDEX('Port Linkages'!$AT$18:$AT$157,MATCH(2,1/(('Port Linkages'!$C$18:$C$157=$AP23)*('Port Linkages'!$D$18:$D$157=IF($AO23="Yes",$AQ23,$AS23))*('Port Linkages'!$A$18:$A$157&lt;=$C23))))</f>
        <v>none</v>
      </c>
      <c r="MV23" s="75">
        <f t="array" ref="MV23">INDEX('Port Linkages'!$AU$18:$AU$157,MATCH(2,1/(('Port Linkages'!$C$18:$C$157=$AP23)*('Port Linkages'!$D$18:$D$157=IF($AO23="Yes",$AQ23,$AS23))*('Port Linkages'!$A$18:$A$157&lt;=$C23))))</f>
        <v>1632</v>
      </c>
      <c r="MW23" s="75">
        <f t="array" ref="MW23">INDEX('Port Linkages'!$AV$18:$AV$157,MATCH(2,1/(('Port Linkages'!$C$18:$C$157=$AP23)*('Port Linkages'!$D$18:$D$157=IF($AO23="Yes",$AQ23,$AS23))*('Port Linkages'!$A$18:$A$157&lt;=$C23))))</f>
        <v>0</v>
      </c>
      <c r="MX23" s="75" t="str">
        <f t="array" ref="MX23">INDEX('Port Linkages'!$AW$18:$AW$157,MATCH(2,1/(('Port Linkages'!$C$18:$C$157=$AP23)*('Port Linkages'!$D$18:$D$157=IF($AO23="Yes",$AQ23,$AS23))*('Port Linkages'!$A$18:$A$157&lt;=$C23))))</f>
        <v>Handysize_General</v>
      </c>
      <c r="MY23" s="75" t="str">
        <f t="array" ref="MY23">INDEX('Port Linkages'!$AX$18:$AX$157,MATCH(2,1/(('Port Linkages'!$C$18:$C$157=$AP23)*('Port Linkages'!$D$18:$D$157=IF($AO23="Yes",$AQ23,$AS23))*('Port Linkages'!$A$18:$A$157&lt;=$C23))))</f>
        <v>Singapore</v>
      </c>
      <c r="MZ23" s="75" t="str">
        <f t="array" ref="MZ23">INDEX('Port Linkages'!$AY$18:$AY$157,MATCH(2,1/(('Port Linkages'!$C$18:$C$157=$AP23)*('Port Linkages'!$D$18:$D$157=IF($AO23="Yes",$AQ23,$AS23))*('Port Linkages'!$A$18:$A$157&lt;=$C23))))</f>
        <v>VLSFO</v>
      </c>
      <c r="NA23" s="75" t="str">
        <f t="array" ref="NA23">INDEX('Port Linkages'!$AZ$18:$AZ$157,MATCH(2,1/(('Port Linkages'!$C$18:$C$157=$AP23)*('Port Linkages'!$D$18:$D$157=IF($AO23="Yes",$AQ23,$AS23))*('Port Linkages'!$A$18:$A$157&lt;=$C23))))</f>
        <v>MGO_Regular</v>
      </c>
      <c r="NB23" s="75" t="str">
        <f t="array" ref="NB23">INDEX('Port Linkages'!$BA$18:$BA$157,MATCH(2,1/(('Port Linkages'!$C$18:$C$157=$AP23)*('Port Linkages'!$D$18:$D$157=IF($AO23="Yes",$AQ23,$AS23))*('Port Linkages'!$A$18:$A$157&lt;=$C23))))</f>
        <v>none</v>
      </c>
      <c r="ND23" s="25" t="e">
        <f t="array" aca="1" ref="ND23" ca="1">INDEX('Ship Fuel Prices'!$F$5:$F$1004,MATCH(2,1/(('Ship Fuel Prices'!$E$5:$E$1004=_xlfn.IFS(KS23="Handysize",Main!MY23,KS23="Supramax",MR23,KS23="Panamax",MK23,KS23="NeoPanamax",MD23,KS23="Suezmax",LW23,KS23="Capesize",LP23,KS23="VLOC",LI23))*('Ship Fuel Prices'!$D$5:$D$1004&lt;=Main!$C23))))</f>
        <v>#N/A</v>
      </c>
      <c r="NE23" s="25" t="e">
        <f t="array" aca="1" ref="NE23" ca="1">INDEX('Ship Fuel Prices'!$G$5:$G$1004,MATCH(2,1/(('Ship Fuel Prices'!$E$5:$E$1004=_xlfn.IFS(KS23="Handysize",Main!MY23,KS23="Supramax",MR23,KS23="Panamax",MK23,KS23="NeoPanamax",MD23,KS23="Suezmax",LW23,KS23="Capesize",LP23,KS23="VLOC",LI23))*('Ship Fuel Prices'!$D$5:$D$1004&lt;=Main!$C23))))</f>
        <v>#N/A</v>
      </c>
      <c r="NF23" s="25" t="e">
        <f t="array" aca="1" ref="NF23" ca="1">INDEX('Ship Fuel Prices'!$H$5:$H$1004,MATCH(2,1/(('Ship Fuel Prices'!$E$5:$E$1004=_xlfn.IFS(KS23="Handysize",Main!MY23,KS23="Supramax",MR23,KS23="Panamax",MK23,KS23="NeoPanamax",MD23,KS23="Suezmax",LW23,KS23="Capesize",LP23,KS23="VLOC",LI23))*('Ship Fuel Prices'!$D$5:$D$1004&lt;=Main!$C23))))</f>
        <v>#N/A</v>
      </c>
      <c r="NG23" s="25" t="e">
        <f t="array" aca="1" ref="NG23" ca="1">INDEX('Ship Fuel Prices'!$I$5:$I$1004,MATCH(2,1/(('Ship Fuel Prices'!$E$5:$E$1004=_xlfn.IFS(KS23="Handysize",Main!MY23,KS23="Supramax",MR23,KS23="Panamax",MK23,KS23="NeoPanamax",MD23,KS23="Suezmax",LW23,KS23="Capesize",LP23,KS23="VLOC",LI23))*('Ship Fuel Prices'!$D$5:$D$1004&lt;=Main!$C23))))</f>
        <v>#N/A</v>
      </c>
      <c r="NH23" s="25" t="e">
        <f t="array" aca="1" ref="NH23" ca="1">INDEX('Ship Fuel Prices'!$J$5:$J$1004,MATCH(2,1/(('Ship Fuel Prices'!$E$5:$E$1004=_xlfn.IFS(KS23="Handysize",Main!MY23,KS23="Supramax",MR23,KS23="Panamax",MK23,KS23="NeoPanamax",MD23,KS23="Suezmax",LW23,KS23="Capesize",LP23,KS23="VLOC",LI23))*('Ship Fuel Prices'!$D$5:$D$1004&lt;=Main!$C23))))</f>
        <v>#N/A</v>
      </c>
      <c r="NJ23" s="75">
        <f t="array" ref="NJ23">INDEX('China n Importing Ports'!$E$20:$E$41,MATCH(2,1/(('China n Importing Ports'!$D$20:$D$41&lt;=$C23)*('China n Importing Ports'!$C$20:$C$41=IF($AO23="Yes",$AQ23,$AS23)))))</f>
        <v>30000</v>
      </c>
      <c r="NK23" s="75">
        <f t="array" ref="NK23">INDEX('China n Importing Ports'!$F$20:$F$41,MATCH(2,1/(('China n Importing Ports'!$D$20:$D$41&lt;=$C23)*('China n Importing Ports'!$C$20:$C$41=IF($AO23="Yes",$AQ23,$AS23)))))</f>
        <v>30000</v>
      </c>
      <c r="NL23" s="75">
        <f t="array" ref="NL23">INDEX('China n Importing Ports'!$G$20:$G$41,MATCH(2,1/(('China n Importing Ports'!$D$20:$D$41&lt;=$C23)*('China n Importing Ports'!$C$20:$C$41=IF($AO23="Yes",$AQ23,$AS23)))))</f>
        <v>30000</v>
      </c>
      <c r="NM23" s="75">
        <f t="array" ref="NM23">INDEX('China n Importing Ports'!$H$20:$H$41,MATCH(2,1/(('China n Importing Ports'!$D$20:$D$41&lt;=$C23)*('China n Importing Ports'!$C$20:$C$41=IF($AO23="Yes",$AQ23,$AS23)))))</f>
        <v>30000</v>
      </c>
      <c r="NN23" s="75">
        <f t="array" ref="NN23">INDEX('China n Importing Ports'!$I$20:$I$41,MATCH(2,1/(('China n Importing Ports'!$D$20:$D$41&lt;=$C23)*('China n Importing Ports'!$C$20:$C$41=IF($AO23="Yes",$AQ23,$AS23)))))</f>
        <v>30000</v>
      </c>
      <c r="NO23" s="75">
        <f t="array" ref="NO23">INDEX('China n Importing Ports'!$J$20:$J$41,MATCH(2,1/(('China n Importing Ports'!$D$20:$D$41&lt;=$C23)*('China n Importing Ports'!$C$20:$C$41=IF($AO23="Yes",$AQ23,$AS23)))))</f>
        <v>30000</v>
      </c>
      <c r="NP23" s="75">
        <f t="array" ref="NP23">INDEX('China n Importing Ports'!$K$20:$K$41,MATCH(2,1/(('China n Importing Ports'!$D$20:$D$41&lt;=$C23)*('China n Importing Ports'!$C$20:$C$41=IF($AO23="Yes",$AQ23,$AS23)))))</f>
        <v>30000</v>
      </c>
      <c r="NQ23" s="75" t="str">
        <f t="array" ref="NQ23">INDEX('China n Importing Ports'!$L$20:$L$41,MATCH(2,1/(('China n Importing Ports'!$D$20:$D$41&lt;=$C23)*('China n Importing Ports'!$C$20:$C$41=IF($AO23="Yes",$AQ23,$AS23)))))</f>
        <v>USD</v>
      </c>
      <c r="NR23" s="75">
        <f t="array" ref="NR23">INDEX('China n Importing Ports'!$M$20:$M$41,MATCH(2,1/(('China n Importing Ports'!$D$20:$D$41&lt;=$C23)*('China n Importing Ports'!$C$20:$C$41=IF($AO23="Yes",$AQ23,$AS23)))))</f>
        <v>0</v>
      </c>
      <c r="NS23" s="75">
        <f t="array" ref="NS23">INDEX('China n Importing Ports'!$N$20:$N$41,MATCH(2,1/(('China n Importing Ports'!$D$20:$D$41&lt;=$C23)*('China n Importing Ports'!$C$20:$C$41=IF($AO23="Yes",$AQ23,$AS23)))))</f>
        <v>0</v>
      </c>
      <c r="NT23" s="75">
        <f t="array" ref="NT23">INDEX('China n Importing Ports'!$O$20:$O$41,MATCH(2,1/(('China n Importing Ports'!$D$20:$D$41&lt;=$C23)*('China n Importing Ports'!$C$20:$C$41=IF($AO23="Yes",$AQ23,$AS23)))))</f>
        <v>0</v>
      </c>
      <c r="NU23" s="136">
        <f t="array" ref="NU23">INDEX('China n Importing Ports'!$P$20:$P$41,MATCH(2,1/(('China n Importing Ports'!$D$20:$D$41&lt;=$C23)*('China n Importing Ports'!$C$20:$C$41=IF($AO23="Yes",$AQ23,$AS23)))))</f>
        <v>2</v>
      </c>
      <c r="NV23" s="136">
        <f t="array" ref="NV23">INDEX('China n Importing Ports'!$Q$20:$Q$41,MATCH(2,1/(('China n Importing Ports'!$D$20:$D$41&lt;=$C23)*('China n Importing Ports'!$C$20:$C$41=IF($AO23="Yes",$AQ23,$AS23)))))</f>
        <v>0</v>
      </c>
      <c r="NW23" s="136">
        <f t="array" ref="NW23">INDEX('China n Importing Ports'!$R$20:$R$41,MATCH(2,1/(('China n Importing Ports'!$D$20:$D$41&lt;=$C23)*('China n Importing Ports'!$C$20:$C$41=IF($AO23="Yes",$AQ23,$AS23)))))</f>
        <v>0</v>
      </c>
      <c r="NX23" s="136">
        <f t="array" ref="NX23">INDEX('China n Importing Ports'!$S$20:$S$41,MATCH(2,1/(('China n Importing Ports'!$D$20:$D$41&lt;=$C23)*('China n Importing Ports'!$C$20:$C$41=IF($AO23="Yes",$AQ23,$AS23)))))</f>
        <v>0</v>
      </c>
      <c r="NY23" s="136">
        <f t="array" ref="NY23">INDEX('China n Importing Ports'!$T$20:$T$41,MATCH(2,1/(('China n Importing Ports'!$D$20:$D$41&lt;=$C23)*('China n Importing Ports'!$C$20:$C$41=IF($AO23="Yes",$AQ23,$AS23)))))</f>
        <v>0</v>
      </c>
      <c r="NZ23" s="136">
        <f t="array" ref="NZ23">INDEX('China n Importing Ports'!$U$20:$U$41,MATCH(2,1/(('China n Importing Ports'!$D$20:$D$41&lt;=$C23)*('China n Importing Ports'!$C$20:$C$41=IF($AO23="Yes",$AQ23,$AS23)))))</f>
        <v>0</v>
      </c>
      <c r="OA23" s="136">
        <f t="array" ref="OA23">INDEX('China n Importing Ports'!$V$20:$V$41,MATCH(2,1/(('China n Importing Ports'!$D$20:$D$41&lt;=$C23)*('China n Importing Ports'!$C$20:$C$41=IF($AO23="Yes",$AQ23,$AS23)))))</f>
        <v>0</v>
      </c>
      <c r="OB23" s="136">
        <f t="array" ref="OB23">INDEX('China n Importing Ports'!$W$20:$W$41,MATCH(2,1/(('China n Importing Ports'!$D$20:$D$41&lt;=$C23)*('China n Importing Ports'!$C$20:$C$41=IF($AO23="Yes",$AQ23,$AS23)))))</f>
        <v>0</v>
      </c>
      <c r="OC23" s="136">
        <f t="array" ref="OC23">INDEX('China n Importing Ports'!$X$20:$X$41,MATCH(2,1/(('China n Importing Ports'!$D$20:$D$41&lt;=$C23)*('China n Importing Ports'!$C$20:$C$41=IF($AO23="Yes",$AQ23,$AS23)))))</f>
        <v>0</v>
      </c>
      <c r="OD23" s="136">
        <f t="array" ref="OD23">INDEX('China n Importing Ports'!$Y$20:$Y$41,MATCH(2,1/(('China n Importing Ports'!$D$20:$D$41&lt;=$C23)*('China n Importing Ports'!$C$20:$C$41=IF($AO23="Yes",$AQ23,$AS23)))))</f>
        <v>0</v>
      </c>
      <c r="OE23" s="136">
        <f t="array" ref="OE23">INDEX('China n Importing Ports'!$Z$20:$Z$41,MATCH(2,1/(('China n Importing Ports'!$D$20:$D$41&lt;=$C23)*('China n Importing Ports'!$C$20:$C$41=IF($AO23="Yes",$AQ23,$AS23)))))</f>
        <v>0</v>
      </c>
      <c r="OF23" s="136">
        <f t="array" ref="OF23">INDEX('China n Importing Ports'!$AA$20:$AA$41,MATCH(2,1/(('China n Importing Ports'!$D$20:$D$41&lt;=$C23)*('China n Importing Ports'!$C$20:$C$41=IF($AO23="Yes",$AQ23,$AS23)))))</f>
        <v>0</v>
      </c>
      <c r="OH23" s="75" t="e">
        <f t="array" aca="1" ref="OH23" ca="1">INDEX(Canals!$G$24:$G$29,MATCH(2,1/((Canals!$F$24:$F$29&lt;=$C23)*(Canals!$G$24:$G$29=_xlfn.IFS(KS23="Handysize",Main!NB23,KS23="Supramax",MU23,KS23="Panamax",MN23,KS23="NeoPanamax",MG23,KS23="Suezmax",LZ23,KS23="Capesize",LS23,KS23="VLOC",LL23)))))</f>
        <v>#N/A</v>
      </c>
      <c r="OI23" s="75" t="e">
        <f t="array" aca="1" ref="OI23" ca="1">INDEX(Canals!$H$24:$H$29,MATCH(2,1/((Canals!$F$24:$F$29&lt;=$C23)*(Canals!$G$24:$G$29=_xlfn.IFS(KS23="Handysize",Main!NB23,KS23="Supramax",MU23,KS23="Panamax",MN23,KS23="NeoPanamax",MG23,KS23="Suezmax",LZ23,KS23="Capesize",LS23,KS23="VLOC",LL23)))))</f>
        <v>#N/A</v>
      </c>
      <c r="OJ23" s="75" t="e">
        <f t="array" aca="1" ref="OJ23" ca="1">INDEX(Canals!$I$24:$I$29,MATCH(2,1/((Canals!$F$24:$F$29&lt;=$C23)*(Canals!$G$24:$G$29=_xlfn.IFS(KS23="Handysize",Main!NB23,KS23="Supramax",MU23,KS23="Panamax",MN23,KS23="NeoPanamax",MG23,KS23="Suezmax",LZ23,KS23="Capesize",LS23,KS23="VLOC",LL23)))))</f>
        <v>#N/A</v>
      </c>
      <c r="OK23" s="75" t="e">
        <f t="array" aca="1" ref="OK23" ca="1">INDEX(Canals!$J$24:$J$29,MATCH(2,1/((Canals!$F$24:$F$29&lt;=$C23)*(Canals!$G$24:$G$29=_xlfn.IFS(KS23="Handysize",Main!NB23,KS23="Supramax",MU23,KS23="Panamax",MN23,KS23="NeoPanamax",MG23,KS23="Suezmax",LZ23,KS23="Capesize",LS23,KS23="VLOC",LL23)))))</f>
        <v>#N/A</v>
      </c>
      <c r="OL23" s="75" t="e">
        <f t="array" aca="1" ref="OL23" ca="1">INDEX(Canals!$K$24:$K$29,MATCH(2,1/((Canals!$F$24:$F$29&lt;=$C23)*(Canals!$G$24:$G$29=_xlfn.IFS(KS23="Handysize",Main!NB23,KS23="Supramax",MU23,KS23="Panamax",MN23,KS23="NeoPanamax",MG23,KS23="Suezmax",LZ23,KS23="Capesize",LS23,KS23="VLOC",LL23)))))</f>
        <v>#N/A</v>
      </c>
      <c r="OM23" s="75" t="e">
        <f t="array" aca="1" ref="OM23" ca="1">INDEX(Canals!$L$24:$L$29,MATCH(2,1/((Canals!$F$24:$F$29&lt;=$C23)*(Canals!$G$24:$G$29=_xlfn.IFS(KS23="Handysize",Main!NB23,KS23="Supramax",MU23,KS23="Panamax",MN23,KS23="NeoPanamax",MG23,KS23="Suezmax",LZ23,KS23="Capesize",LS23,KS23="VLOC",LL23)))))</f>
        <v>#N/A</v>
      </c>
      <c r="ON23" s="75" t="e">
        <f t="array" aca="1" ref="ON23" ca="1">INDEX(Canals!$M$24:$M$29,MATCH(2,1/((Canals!$F$24:$F$29&lt;=$C23)*(Canals!$G$24:$G$29=_xlfn.IFS(KS23="Handysize",Main!NB23,KS23="Supramax",MU23,KS23="Panamax",MN23,KS23="NeoPanamax",MG23,KS23="Suezmax",LZ23,KS23="Capesize",LS23,KS23="VLOC",LL23)))))</f>
        <v>#N/A</v>
      </c>
      <c r="OO23" s="75" t="e">
        <f t="array" aca="1" ref="OO23" ca="1">INDEX(Canals!$N$24:$N$29,MATCH(2,1/((Canals!$F$24:$F$29&lt;=$C23)*(Canals!$G$24:$G$29=_xlfn.IFS(KS23="Handysize",Main!NB23,KS23="Supramax",MU23,KS23="Panamax",MN23,KS23="NeoPanamax",MG23,KS23="Suezmax",LZ23,KS23="Capesize",LS23,KS23="VLOC",LL23)))))</f>
        <v>#N/A</v>
      </c>
      <c r="OP23" s="75" t="e">
        <f t="array" aca="1" ref="OP23" ca="1">INDEX(Canals!$O$24:$O$29,MATCH(2,1/((Canals!$F$24:$F$29&lt;=$C23)*(Canals!$G$24:$G$29=_xlfn.IFS(KS23="Handysize",Main!NB23,KS23="Supramax",MU23,KS23="Panamax",MN23,KS23="NeoPanamax",MG23,KS23="Suezmax",LZ23,KS23="Capesize",LS23,KS23="VLOC",LL23)))))</f>
        <v>#N/A</v>
      </c>
      <c r="OQ23" s="75" t="e">
        <f t="array" aca="1" ref="OQ23" ca="1">INDEX(Canals!$P$24:$P$29,MATCH(2,1/((Canals!$F$24:$F$29&lt;=$C23)*(Canals!$G$24:$G$29=_xlfn.IFS(KS23="Handysize",Main!NB23,KS23="Supramax",MU23,KS23="Panamax",MN23,KS23="NeoPanamax",MG23,KS23="Suezmax",LZ23,KS23="Capesize",LS23,KS23="VLOC",LL23)))))</f>
        <v>#N/A</v>
      </c>
      <c r="OR23" s="75" t="e">
        <f t="array" aca="1" ref="OR23" ca="1">INDEX(Canals!$Q$24:$Q$29,MATCH(2,1/((Canals!$F$24:$F$29&lt;=$C23)*(Canals!$G$24:$G$29=_xlfn.IFS(KS23="Handysize",Main!NB23,KS23="Supramax",MU23,KS23="Panamax",MN23,KS23="NeoPanamax",MG23,KS23="Suezmax",LZ23,KS23="Capesize",LS23,KS23="VLOC",LL23)))))</f>
        <v>#N/A</v>
      </c>
      <c r="OS23" s="75" t="e">
        <f t="array" aca="1" ref="OS23" ca="1">INDEX(Canals!$R$24:$R$29,MATCH(2,1/((Canals!$F$24:$F$29&lt;=$C23)*(Canals!$G$24:$G$29=_xlfn.IFS(KS23="Handysize",Main!NB23,KS23="Supramax",MU23,KS23="Panamax",MN23,KS23="NeoPanamax",MG23,KS23="Suezmax",LZ23,KS23="Capesize",LS23,KS23="VLOC",LL23)))))</f>
        <v>#N/A</v>
      </c>
      <c r="OT23" s="136" t="e">
        <f t="array" aca="1" ref="OT23" ca="1">INDEX(Canals!$S$24:$S$29,MATCH(2,1/((Canals!$F$24:$F$29&lt;=$C23)*(Canals!$G$24:$G$29=_xlfn.IFS(KS23="Handysize",Main!NB23,KS23="Supramax",MU23,KS23="Panamax",MN23,KS23="NeoPanamax",MG23,KS23="Suezmax",LZ23,KS23="Capesize",LS23,KS23="VLOC",LL23)))))</f>
        <v>#N/A</v>
      </c>
      <c r="OU23" s="136" t="e">
        <f t="array" aca="1" ref="OU23" ca="1">INDEX(Canals!$T$24:$T$29,MATCH(2,1/((Canals!$F$24:$F$29&lt;=$C23)*(Canals!$G$24:$G$29=_xlfn.IFS(KS23="Handysize",Main!NB23,KS23="Supramax",MU23,KS23="Panamax",MN23,KS23="NeoPanamax",MG23,KS23="Suezmax",LZ23,KS23="Capesize",LS23,KS23="VLOC",LL23)))))</f>
        <v>#N/A</v>
      </c>
      <c r="OV23" s="136" t="e">
        <f t="array" aca="1" ref="OV23" ca="1">INDEX(Canals!$U$24:$U$29,MATCH(2,1/((Canals!$F$24:$F$29&lt;=$C23)*(Canals!$G$24:$G$29=_xlfn.IFS(KS23="Handysize",Main!NB23,KS23="Supramax",MU23,KS23="Panamax",MN23,KS23="NeoPanamax",MG23,KS23="Suezmax",LZ23,KS23="Capesize",LS23,KS23="VLOC",LL23)))))</f>
        <v>#N/A</v>
      </c>
      <c r="OW23" s="136" t="e">
        <f t="array" aca="1" ref="OW23" ca="1">INDEX(Canals!$V$24:$V$29,MATCH(2,1/((Canals!$F$24:$F$29&lt;=$C23)*(Canals!$G$24:$G$29=_xlfn.IFS(KS23="Handysize",Main!NB23,KS23="Supramax",MU23,KS23="Panamax",MN23,KS23="NeoPanamax",MG23,KS23="Suezmax",LZ23,KS23="Capesize",LS23,KS23="VLOC",LL23)))))</f>
        <v>#N/A</v>
      </c>
      <c r="OX23" s="136" t="e">
        <f t="array" aca="1" ref="OX23" ca="1">INDEX(Canals!$W$24:$W$29,MATCH(2,1/((Canals!$F$24:$F$29&lt;=$C23)*(Canals!$G$24:$G$29=_xlfn.IFS(KS23="Handysize",Main!NB23,KS23="Supramax",MU23,KS23="Panamax",MN23,KS23="NeoPanamax",MG23,KS23="Suezmax",LZ23,KS23="Capesize",LS23,KS23="VLOC",LL23)))))</f>
        <v>#N/A</v>
      </c>
      <c r="OY23" s="136" t="e">
        <f t="array" aca="1" ref="OY23" ca="1">INDEX(Canals!$X$24:$X$29,MATCH(2,1/((Canals!$F$24:$F$29&lt;=$C23)*(Canals!$G$24:$G$29=_xlfn.IFS(KS23="Handysize",Main!NB23,KS23="Supramax",MU23,KS23="Panamax",MN23,KS23="NeoPanamax",MG23,KS23="Suezmax",LZ23,KS23="Capesize",LS23,KS23="VLOC",LL23)))))</f>
        <v>#N/A</v>
      </c>
      <c r="OZ23" s="136" t="e">
        <f t="array" aca="1" ref="OZ23" ca="1">INDEX(Canals!$Y$24:$Y$29,MATCH(2,1/((Canals!$F$24:$F$29&lt;=$C23)*(Canals!$G$24:$G$29=_xlfn.IFS(KS23="Handysize",Main!NB23,KS23="Supramax",MU23,KS23="Panamax",MN23,KS23="NeoPanamax",MG23,KS23="Suezmax",LZ23,KS23="Capesize",LS23,KS23="VLOC",LL23)))))</f>
        <v>#N/A</v>
      </c>
      <c r="PA23" s="136" t="e">
        <f t="array" aca="1" ref="PA23" ca="1">INDEX(Canals!$Z$24:$Z$29,MATCH(2,1/((Canals!$F$24:$F$29&lt;=$C23)*(Canals!$G$24:$G$29=_xlfn.IFS(KS23="Handysize",Main!NB23,KS23="Supramax",MU23,KS23="Panamax",MN23,KS23="NeoPanamax",MG23,KS23="Suezmax",LZ23,KS23="Capesize",LS23,KS23="VLOC",LL23)))))</f>
        <v>#N/A</v>
      </c>
      <c r="PB23" s="136" t="e">
        <f t="array" aca="1" ref="PB23" ca="1">INDEX(Canals!$AA$24:$AA$29,MATCH(2,1/((Canals!$F$24:$F$29&lt;=$C23)*(Canals!$G$24:$G$29=_xlfn.IFS(KS23="Handysize",Main!NB23,KS23="Supramax",MU23,KS23="Panamax",MN23,KS23="NeoPanamax",MG23,KS23="Suezmax",LZ23,KS23="Capesize",LS23,KS23="VLOC",LL23)))))</f>
        <v>#N/A</v>
      </c>
      <c r="PC23" s="136" t="e">
        <f t="array" aca="1" ref="PC23" ca="1">INDEX(Canals!$AB$24:$AB$29,MATCH(2,1/((Canals!$F$24:$F$29&lt;=$C23)*(Canals!$G$24:$G$29=_xlfn.IFS(KS23="Handysize",Main!NB23,KS23="Supramax",MU23,KS23="Panamax",MN23,KS23="NeoPanamax",MG23,KS23="Suezmax",LZ23,KS23="Capesize",LS23,KS23="VLOC",LL23)))))</f>
        <v>#N/A</v>
      </c>
      <c r="PD23" s="75" t="e">
        <f t="array" aca="1" ref="PD23" ca="1">INDEX(Canals!$AC$24:$AC$29,MATCH(2,1/((Canals!$F$24:$F$29&lt;=$C23)*(Canals!$G$24:$G$29=_xlfn.IFS(KS23="Handysize",Main!NB23,KS23="Supramax",MU23,KS23="Panamax",MN23,KS23="NeoPanamax",MG23,KS23="Suezmax",LZ23,KS23="Capesize",LS23,KS23="VLOC",LL23)))))</f>
        <v>#N/A</v>
      </c>
      <c r="PE23" s="75" t="e">
        <f t="array" aca="1" ref="PE23" ca="1">INDEX(Canals!$AD$24:$AD$29,MATCH(2,1/((Canals!$F$24:$F$29&lt;=$C23)*(Canals!$G$24:$G$29=_xlfn.IFS(KS23="Handysize",Main!NB23,KS23="Supramax",MU23,KS23="Panamax",MN23,KS23="NeoPanamax",MG23,KS23="Suezmax",LZ23,KS23="Capesize",LS23,KS23="VLOC",LL23)))))</f>
        <v>#N/A</v>
      </c>
      <c r="PF23" s="75" t="e">
        <f t="array" aca="1" ref="PF23" ca="1">INDEX(Canals!$AE$24:$AE$29,MATCH(2,1/((Canals!$F$24:$F$29&lt;=$C23)*(Canals!$G$24:$G$29=_xlfn.IFS(KS23="Handysize",Main!NB23,KS23="Supramax",MU23,KS23="Panamax",MN23,KS23="NeoPanamax",MG23,KS23="Suezmax",LZ23,KS23="Capesize",LS23,KS23="VLOC",LL23)))))</f>
        <v>#N/A</v>
      </c>
      <c r="PG23" s="75" t="e">
        <f t="array" aca="1" ref="PG23" ca="1">INDEX(Canals!$AF$24:$AF$29,MATCH(2,1/((Canals!$F$24:$F$29&lt;=$C23)*(Canals!$G$24:$G$29=_xlfn.IFS(KS23="Handysize",Main!NB23,KS23="Supramax",MU23,KS23="Panamax",MN23,KS23="NeoPanamax",MG23,KS23="Suezmax",LZ23,KS23="Capesize",LS23,KS23="VLOC",LL23)))))</f>
        <v>#N/A</v>
      </c>
      <c r="PH23" s="75" t="e">
        <f t="array" aca="1" ref="PH23" ca="1">INDEX(Canals!$AG$24:$AG$29,MATCH(2,1/((Canals!$F$24:$F$29&lt;=$C23)*(Canals!$G$24:$G$29=_xlfn.IFS(KS23="Handysize",Main!NB23,KS23="Supramax",MU23,KS23="Panamax",MN23,KS23="NeoPanamax",MG23,KS23="Suezmax",LZ23,KS23="Capesize",LS23,KS23="VLOC",LL23)))))</f>
        <v>#N/A</v>
      </c>
      <c r="PI23" s="75" t="e">
        <f t="array" aca="1" ref="PI23" ca="1">INDEX(Canals!$AH$24:$AH$29,MATCH(2,1/((Canals!$F$24:$F$29&lt;=$C23)*(Canals!$G$24:$G$29=_xlfn.IFS(KS23="Handysize",Main!NB23,KS23="Supramax",MU23,KS23="Panamax",MN23,KS23="NeoPanamax",MG23,KS23="Suezmax",LZ23,KS23="Capesize",LS23,KS23="VLOC",LL23)))))</f>
        <v>#N/A</v>
      </c>
      <c r="PJ23" s="75" t="e">
        <f t="array" aca="1" ref="PJ23" ca="1">INDEX(Canals!$AI$24:$AI$29,MATCH(2,1/((Canals!$F$24:$F$29&lt;=$C23)*(Canals!$G$24:$G$29=_xlfn.IFS(KS23="Handysize",Main!NB23,KS23="Supramax",MU23,KS23="Panamax",MN23,KS23="NeoPanamax",MG23,KS23="Suezmax",LZ23,KS23="Capesize",LS23,KS23="VLOC",LL23)))))</f>
        <v>#N/A</v>
      </c>
      <c r="PK23" s="75" t="e">
        <f t="array" aca="1" ref="PK23" ca="1">INDEX(Canals!$AJ$24:$AJ$29,MATCH(2,1/((Canals!$F$24:$F$29&lt;=$C23)*(Canals!$G$24:$G$29=_xlfn.IFS(KS23="Handysize",Main!NB23,KS23="Supramax",MU23,KS23="Panamax",MN23,KS23="NeoPanamax",MG23,KS23="Suezmax",LZ23,KS23="Capesize",LS23,KS23="VLOC",LL23)))))</f>
        <v>#N/A</v>
      </c>
      <c r="PL23" s="75" t="e">
        <f t="array" aca="1" ref="PL23" ca="1">INDEX(Canals!$AK$24:$AK$29,MATCH(2,1/((Canals!$F$24:$F$29&lt;=$C23)*(Canals!$G$24:$G$29=_xlfn.IFS(KS23="Handysize",Main!NB23,KS23="Supramax",MU23,KS23="Panamax",MN23,KS23="NeoPanamax",MG23,KS23="Suezmax",LZ23,KS23="Capesize",LS23,KS23="VLOC",LL23)))))</f>
        <v>#N/A</v>
      </c>
      <c r="PM23" s="136" t="e">
        <f t="array" aca="1" ref="PM23" ca="1">INDEX(Canals!$AL$24:$AL$29,MATCH(2,1/((Canals!$F$24:$F$29&lt;=$C23)*(Canals!$G$24:$G$29=_xlfn.IFS(KS23="Handysize",Main!NB23,KS23="Supramax",MU23,KS23="Panamax",MN23,KS23="NeoPanamax",MG23,KS23="Suezmax",LZ23,KS23="Capesize",LS23,KS23="VLOC",LL23)))))</f>
        <v>#N/A</v>
      </c>
      <c r="PN23" s="136" t="e">
        <f t="array" aca="1" ref="PN23" ca="1">INDEX(Canals!$AM$24:$AM$29,MATCH(2,1/((Canals!$F$24:$F$29&lt;=$C23)*(Canals!$G$24:$G$29=_xlfn.IFS(KS23="Handysize",Main!NB23,KS23="Supramax",MU23,KS23="Panamax",MN23,KS23="NeoPanamax",MG23,KS23="Suezmax",LZ23,KS23="Capesize",LS23,KS23="VLOC",LL23)))))</f>
        <v>#N/A</v>
      </c>
      <c r="PO23" s="136" t="e">
        <f t="array" aca="1" ref="PO23" ca="1">INDEX(Canals!$AN$24:$AN$29,MATCH(2,1/((Canals!$F$24:$F$29&lt;=$C23)*(Canals!$G$24:$G$29=_xlfn.IFS(KS23="Handysize",Main!NB23,KS23="Supramax",MU23,KS23="Panamax",MN23,KS23="NeoPanamax",MG23,KS23="Suezmax",LZ23,KS23="Capesize",LS23,KS23="VLOC",LL23)))))</f>
        <v>#N/A</v>
      </c>
      <c r="PP23" s="136" t="e">
        <f t="array" aca="1" ref="PP23" ca="1">INDEX(Canals!$AO$24:$AO$29,MATCH(2,1/((Canals!$F$24:$F$29&lt;=$C23)*(Canals!$G$24:$G$29=_xlfn.IFS(KS23="Handysize",Main!NB23,KS23="Supramax",MU23,KS23="Panamax",MN23,KS23="NeoPanamax",MG23,KS23="Suezmax",LZ23,KS23="Capesize",LS23,KS23="VLOC",LL23)))))</f>
        <v>#N/A</v>
      </c>
      <c r="PQ23" s="136" t="e">
        <f t="array" aca="1" ref="PQ23" ca="1">INDEX(Canals!$AP$24:$AP$29,MATCH(2,1/((Canals!$F$24:$F$29&lt;=$C23)*(Canals!$G$24:$G$29=_xlfn.IFS(KS23="Handysize",Main!NB23,KS23="Supramax",MU23,KS23="Panamax",MN23,KS23="NeoPanamax",MG23,KS23="Suezmax",LZ23,KS23="Capesize",LS23,KS23="VLOC",LL23)))))</f>
        <v>#N/A</v>
      </c>
      <c r="PR23" s="136" t="e">
        <f t="array" aca="1" ref="PR23" ca="1">INDEX(Canals!$AQ$24:$AQ$29,MATCH(2,1/((Canals!$F$24:$F$29&lt;=$C23)*(Canals!$G$24:$G$29=_xlfn.IFS(KS23="Handysize",Main!NB23,KS23="Supramax",MU23,KS23="Panamax",MN23,KS23="NeoPanamax",MG23,KS23="Suezmax",LZ23,KS23="Capesize",LS23,KS23="VLOC",LL23)))))</f>
        <v>#N/A</v>
      </c>
      <c r="PS23" s="136" t="e">
        <f t="array" aca="1" ref="PS23" ca="1">INDEX(Canals!$AR$24:$AR$29,MATCH(2,1/((Canals!$F$24:$F$29&lt;=$C23)*(Canals!$G$24:$G$29=_xlfn.IFS(KS23="Handysize",Main!NB23,KS23="Supramax",MU23,KS23="Panamax",MN23,KS23="NeoPanamax",MG23,KS23="Suezmax",LZ23,KS23="Capesize",LS23,KS23="VLOC",LL23)))))</f>
        <v>#N/A</v>
      </c>
      <c r="PT23" s="136" t="e">
        <f t="array" aca="1" ref="PT23" ca="1">INDEX(Canals!$AS$24:$AS$29,MATCH(2,1/((Canals!$F$24:$F$29&lt;=$C23)*(Canals!$G$24:$G$29=_xlfn.IFS(KS23="Handysize",Main!NB23,KS23="Supramax",MU23,KS23="Panamax",MN23,KS23="NeoPanamax",MG23,KS23="Suezmax",LZ23,KS23="Capesize",LS23,KS23="VLOC",LL23)))))</f>
        <v>#N/A</v>
      </c>
      <c r="PU23" s="136" t="e">
        <f t="array" aca="1" ref="PU23" ca="1">INDEX(Canals!$AT$24:$AT$29,MATCH(2,1/((Canals!$F$24:$F$29&lt;=$C23)*(Canals!$G$24:$G$29=_xlfn.IFS(KS23="Handysize",Main!NB23,KS23="Supramax",MU23,KS23="Panamax",MN23,KS23="NeoPanamax",MG23,KS23="Suezmax",LZ23,KS23="Capesize",LS23,KS23="VLOC",LL23)))))</f>
        <v>#N/A</v>
      </c>
      <c r="PV23" s="136" t="e">
        <f t="array" aca="1" ref="PV23" ca="1">INDEX(Canals!$AU$24:$AU$29,MATCH(2,1/((Canals!$F$24:$F$29&lt;=$C23)*(Canals!$G$24:$G$29=_xlfn.IFS(KS23="Handysize",Main!NB23,KS23="Supramax",MU23,KS23="Panamax",MN23,KS23="NeoPanamax",MG23,KS23="Suezmax",LZ23,KS23="Capesize",LS23,KS23="VLOC",LL23)))))</f>
        <v>#N/A</v>
      </c>
      <c r="PW23" s="136" t="e">
        <f t="array" aca="1" ref="PW23" ca="1">INDEX(Canals!$AV$24:$AV$29,MATCH(2,1/((Canals!$F$24:$F$29&lt;=$C23)*(Canals!$G$24:$G$29=_xlfn.IFS(KS23="Handysize",Main!NB23,KS23="Supramax",MU23,KS23="Panamax",MN23,KS23="NeoPanamax",MG23,KS23="Suezmax",LZ23,KS23="Capesize",LS23,KS23="VLOC",LL23)))))</f>
        <v>#N/A</v>
      </c>
      <c r="PY23" s="75" t="e">
        <f t="array" aca="1" ref="PY23" ca="1">_xlfn.IFS(OJ23="DWT",KQ23,OJ23="NRT",KU23,OJ23="GRT",KV23)</f>
        <v>#NAME?</v>
      </c>
      <c r="PZ23" s="279" t="e">
        <f t="shared" ca="1" si="74"/>
        <v>#NAME?</v>
      </c>
      <c r="QA23" s="280" t="e">
        <f t="shared" ca="1" si="75"/>
        <v>#NAME?</v>
      </c>
      <c r="QB23" s="280" t="e">
        <f t="shared" ca="1" si="76"/>
        <v>#NAME?</v>
      </c>
      <c r="QC23" s="280" t="e">
        <f t="shared" ca="1" si="77"/>
        <v>#NAME?</v>
      </c>
      <c r="QD23" s="280" t="e">
        <f t="shared" ca="1" si="78"/>
        <v>#NAME?</v>
      </c>
      <c r="QE23" s="280" t="e">
        <f t="shared" ca="1" si="79"/>
        <v>#NAME?</v>
      </c>
      <c r="QF23" s="280" t="e">
        <f t="shared" ca="1" si="80"/>
        <v>#NAME?</v>
      </c>
      <c r="QG23" s="280" t="e">
        <f t="shared" ca="1" si="81"/>
        <v>#NAME?</v>
      </c>
      <c r="QH23" s="280" t="e">
        <f t="shared" ca="1" si="82"/>
        <v>#NAME?</v>
      </c>
      <c r="QI23" s="75">
        <f t="shared" si="83"/>
        <v>53030.303030303025</v>
      </c>
      <c r="QJ23" s="279" t="e">
        <f t="shared" ca="1" si="84"/>
        <v>#N/A</v>
      </c>
      <c r="QK23" s="280" t="e">
        <f t="shared" ca="1" si="85"/>
        <v>#N/A</v>
      </c>
      <c r="QL23" s="280" t="e">
        <f t="shared" ca="1" si="86"/>
        <v>#N/A</v>
      </c>
      <c r="QM23" s="280" t="e">
        <f t="shared" ca="1" si="87"/>
        <v>#N/A</v>
      </c>
      <c r="QN23" s="280" t="e">
        <f t="shared" ca="1" si="88"/>
        <v>#N/A</v>
      </c>
      <c r="QO23" s="280" t="e">
        <f t="shared" ca="1" si="89"/>
        <v>#N/A</v>
      </c>
      <c r="QP23" s="280" t="e">
        <f t="shared" ca="1" si="90"/>
        <v>#N/A</v>
      </c>
      <c r="QQ23" s="280" t="e">
        <f t="shared" ca="1" si="91"/>
        <v>#N/A</v>
      </c>
      <c r="QR23" s="280" t="e">
        <f t="shared" ca="1" si="92"/>
        <v>#N/A</v>
      </c>
      <c r="QT23" s="75" t="e">
        <f t="array" aca="1" ref="QT23" ca="1">_xlfn.IFS(KS23="Handysize",Main!MV23,KS23="Supramax",MO23,KS23="Panamax",MH23,KS23="NeoPanamax",MA23,KS23="Suezmax",LT23,KS23="Capesize",LM23,KS23="VLOC",LF23)*$JI23</f>
        <v>#NAME?</v>
      </c>
      <c r="QU23" s="274" t="e">
        <f t="array" aca="1" ref="QU23" ca="1">_xlfn.IFS(KS23="Handysize",Main!MW23,KS23="Supramax",MP23,KS23="Panamax",MI23,KS23="NeoPanamax",MB23,KS23="Suezmax",LU23,KS23="Capesize",LN23,KS23="VLOC",LG23)*$JI23</f>
        <v>#NAME?</v>
      </c>
      <c r="QV23" s="71" t="e">
        <f t="array" aca="1" ref="QV23" ca="1">_xlfn.IFS(KS23="Handysize",Main!KX23,KS23="Supramax",KY23,KS23="Panamax",KZ23,KS23="NeoPanamax",LA23,KS23="Suezmax",LB23,KS23="Capesize",LC23,KS23="VLOC",LD23)</f>
        <v>#NAME?</v>
      </c>
      <c r="QW23" s="71" t="e">
        <f t="array" aca="1" ref="QW23" ca="1">_xlfn.IFS(KS23="Handysize",Main!NJ23,KS23="Supramax",NK23,KS23="Panamax",NL23,KS23="NeoPanamax",NM23,KS23="Suezmax",NN23,KS23="Capesize",NO23,KS23="VLOC",NP23)</f>
        <v>#NAME?</v>
      </c>
      <c r="QX23" s="70">
        <f t="array" ref="QX23">INDEX('Ship Speeds'!$G$11:$G$1011,MATCH(2,1/(('Ship Speeds'!$E$11:$E$1011&lt;=Main!$C23)*('Ship Speeds'!$F$11:$F$1011=Main!KR23))))</f>
        <v>11</v>
      </c>
      <c r="QY23" s="403">
        <f t="shared" si="93"/>
        <v>16.933609647206652</v>
      </c>
      <c r="QZ23" s="401">
        <f t="shared" si="94"/>
        <v>1.7808857808857808</v>
      </c>
      <c r="RA23" s="70" t="e">
        <f t="shared" ca="1" si="95"/>
        <v>#NAME?</v>
      </c>
      <c r="RB23" s="70" t="e">
        <f t="shared" ca="1" si="96"/>
        <v>#NAME?</v>
      </c>
      <c r="RC23" s="70" t="e">
        <f t="shared" ca="1" si="97"/>
        <v>#NAME?</v>
      </c>
      <c r="RD23" s="70" t="e">
        <f t="shared" ca="1" si="98"/>
        <v>#NAME?</v>
      </c>
      <c r="RE23" s="72" t="e">
        <f t="shared" ca="1" si="99"/>
        <v>#N/A</v>
      </c>
      <c r="RF23" s="70" t="e">
        <f t="shared" ca="1" si="100"/>
        <v>#NAME?</v>
      </c>
      <c r="RG23" s="70" t="e">
        <f t="array" aca="1" ref="RG23" ca="1">INDEX(ND23:NH23,MATCH(_xlfn.IFS(KS23="Handysize",Main!MZ23,KS23="Supramax",MS23,KS23="Panamax",ML23,KS23="NeoPanamax",ME23,KS23="Suezmax",LX23,KS23="Capesize",LQ23,KS23="VLOC",LJ23),$ND$7:$NH$7,0))</f>
        <v>#NAME?</v>
      </c>
      <c r="RH23" s="70" t="e">
        <f t="array" aca="1" ref="RH23" ca="1">INDEX(ND23:NH23,MATCH(_xlfn.IFS(KS23="Handysize",Main!NA23,KS23="Supramax",MT23,KS23="Panamax",MM23,KS23="NeoPanamax",MF23,KS23="Suezmax",LY23,KS23="Capesize",LR23,KS23="VLOC",LK23),$ND$7:$NH$7,0))</f>
        <v>#NAME?</v>
      </c>
      <c r="RI23" s="71" t="e">
        <f t="shared" ca="1" si="101"/>
        <v>#NAME?</v>
      </c>
      <c r="RJ23" s="71" t="e">
        <f t="shared" ca="1" si="102"/>
        <v>#NAME?</v>
      </c>
      <c r="RK23" s="281">
        <f t="shared" si="103"/>
        <v>1</v>
      </c>
      <c r="RL23" s="71">
        <f t="shared" si="104"/>
        <v>0</v>
      </c>
      <c r="RM23" s="71" t="e">
        <f t="shared" ca="1" si="105"/>
        <v>#NAME?</v>
      </c>
      <c r="RN23" s="71" t="e">
        <f t="shared" ca="1" si="106"/>
        <v>#NAME?</v>
      </c>
      <c r="RO23" s="71">
        <f t="shared" si="107"/>
        <v>106060.60606060605</v>
      </c>
      <c r="RP23" s="71" t="e">
        <f t="shared" ca="1" si="108"/>
        <v>#NAME?</v>
      </c>
      <c r="RQ23" s="71" t="e">
        <f t="shared" ca="1" si="109"/>
        <v>#NAME?</v>
      </c>
      <c r="RR23" s="71">
        <f t="shared" si="110"/>
        <v>0</v>
      </c>
      <c r="RS23" s="71" t="e">
        <f t="shared" ca="1" si="111"/>
        <v>#NAME?</v>
      </c>
      <c r="RT23" s="71" t="e">
        <f t="shared" ca="1" si="112"/>
        <v>#NAME?</v>
      </c>
      <c r="RU23" s="71">
        <f t="shared" si="113"/>
        <v>0</v>
      </c>
      <c r="RV23" s="71" t="e">
        <f t="shared" ca="1" si="114"/>
        <v>#NAME?</v>
      </c>
      <c r="RW23" s="71" t="e">
        <f t="shared" ca="1" si="115"/>
        <v>#NAME?</v>
      </c>
      <c r="RX23" s="72">
        <f t="shared" si="116"/>
        <v>0</v>
      </c>
      <c r="RY23" s="72" t="e">
        <f t="shared" ca="1" si="117"/>
        <v>#NAME?</v>
      </c>
      <c r="RZ23" s="71" t="e">
        <f t="shared" ca="1" si="118"/>
        <v>#NAME?</v>
      </c>
      <c r="SA23" s="71" t="e">
        <f t="array" aca="1" ref="SA23" ca="1">INDEX('Ship Time Charter Rates'!$H$22:$H$1021,MATCH(2,1/(('Ship Time Charter Rates'!$G$22:$G$1021=_xlfn.IFS(KS23="Handysize",Main!MX23,KS23="Supramax",MQ23,KS23="Panamax",MJ23,KS23="NeoPanamax",MC23,KS23="Suezmax",LV23,KS23="Capesize",LO23,KS23="VLOC",LH23))*('Ship Time Charter Rates'!$E$22:$E$1021&lt;=Main!$C23)*(NOT(ISBLANK('Ship Time Charter Rates'!$H$22:$H$1021))))))</f>
        <v>#N/A</v>
      </c>
      <c r="SB23" s="71" t="e">
        <f t="shared" ca="1" si="119"/>
        <v>#NAME?</v>
      </c>
      <c r="SC23" s="70" t="e">
        <f t="shared" ca="1" si="120"/>
        <v>#N/A</v>
      </c>
      <c r="SD23" s="71" t="e">
        <f t="shared" ca="1" si="121"/>
        <v>#NAME?</v>
      </c>
      <c r="SE23" s="71" t="e">
        <f t="shared" ca="1" si="302"/>
        <v>#NAME?</v>
      </c>
      <c r="SF23" s="72" t="e">
        <f ca="1">IF(SE23=0,0,SE23/(KQ23*(1-$AL23)*$JN23))</f>
        <v>#NAME?</v>
      </c>
      <c r="SH23" s="25">
        <f t="shared" si="321"/>
        <v>163170.16317016317</v>
      </c>
      <c r="SI23" s="4" t="str">
        <f>VLOOKUP(SH23,'Ship Time Charter Rates'!$F$10:$G$17,2,TRUE)</f>
        <v>Capesize</v>
      </c>
      <c r="SJ23" s="4" t="str">
        <f>VLOOKUP(SH23,Canals!$E$5:$F$12,2,TRUE)</f>
        <v>Capesize</v>
      </c>
      <c r="SK23" s="25">
        <f t="shared" si="122"/>
        <v>288.33755244755241</v>
      </c>
      <c r="SL23" s="25">
        <f t="shared" si="123"/>
        <v>65822.843822843817</v>
      </c>
      <c r="SM23" s="25">
        <f t="shared" si="124"/>
        <v>89465.997668997676</v>
      </c>
      <c r="SO23" s="75">
        <f t="array" ref="SO23">INDEX('Indices Mines Exporting Ports'!$R$20:$R$51,MATCH(2,1/(('Indices Mines Exporting Ports'!$D$20:$D$51&lt;=Main!$C23)*('Indices Mines Exporting Ports'!$Q$20:$Q$51=$AQ23))))</f>
        <v>30000</v>
      </c>
      <c r="SP23" s="75">
        <f t="array" ref="SP23">INDEX('Indices Mines Exporting Ports'!$S$20:$S$51,MATCH(2,1/(('Indices Mines Exporting Ports'!$D$20:$D$51&lt;=Main!$C23)*('Indices Mines Exporting Ports'!$Q$20:$Q$51=$AQ23))))</f>
        <v>30000</v>
      </c>
      <c r="SQ23" s="75">
        <f t="array" ref="SQ23">INDEX('Indices Mines Exporting Ports'!$T$20:$T$51,MATCH(2,1/(('Indices Mines Exporting Ports'!$D$20:$D$51&lt;=Main!$C23)*('Indices Mines Exporting Ports'!$Q$20:$Q$51=$AQ23))))</f>
        <v>30000</v>
      </c>
      <c r="SR23" s="75">
        <f t="array" ref="SR23">INDEX('Indices Mines Exporting Ports'!$U$20:$U$51,MATCH(2,1/(('Indices Mines Exporting Ports'!$D$20:$D$51&lt;=Main!$C23)*('Indices Mines Exporting Ports'!$Q$20:$Q$51=$AQ23))))</f>
        <v>30000</v>
      </c>
      <c r="SS23" s="75">
        <f t="array" ref="SS23">INDEX('Indices Mines Exporting Ports'!$V$20:$V$51,MATCH(2,1/(('Indices Mines Exporting Ports'!$D$20:$D$51&lt;=Main!$C23)*('Indices Mines Exporting Ports'!$Q$20:$Q$51=$AQ23))))</f>
        <v>30000</v>
      </c>
      <c r="ST23" s="75">
        <f t="array" ref="ST23">INDEX('Indices Mines Exporting Ports'!$W$20:$W$51,MATCH(2,1/(('Indices Mines Exporting Ports'!$D$20:$D$51&lt;=Main!$C23)*('Indices Mines Exporting Ports'!$Q$20:$Q$51=$AQ23))))</f>
        <v>30000</v>
      </c>
      <c r="SU23" s="75">
        <f t="array" ref="SU23">INDEX('Indices Mines Exporting Ports'!$X$20:$X$51,MATCH(2,1/(('Indices Mines Exporting Ports'!$D$20:$D$51&lt;=Main!$C23)*('Indices Mines Exporting Ports'!$Q$20:$Q$51=$AQ23))))</f>
        <v>30000</v>
      </c>
      <c r="SW23" s="75">
        <f t="array" ref="SW23">INDEX('Port Linkages'!$E$18:$E$157,MATCH(2,1/(('Port Linkages'!$C$18:$C$157=$AQ23)*('Port Linkages'!$D$18:$D$157=IF($AO23="no",$AQ23,$AS23))*('Port Linkages'!$A$18:$A$157&lt;=$C23))))</f>
        <v>13157</v>
      </c>
      <c r="SX23" s="75">
        <f t="array" ref="SX23">INDEX('Port Linkages'!$F$18:$F$157,MATCH(2,1/(('Port Linkages'!$C$18:$C$157=$AQ23)*('Port Linkages'!$D$18:$D$157=IF($AO23="no",$AQ23,$AS23))*('Port Linkages'!$A$18:$A$157&lt;=$C23))))</f>
        <v>0</v>
      </c>
      <c r="SY23" s="75" t="str">
        <f t="array" ref="SY23">INDEX('Port Linkages'!$G$18:$G$157,MATCH(2,1/(('Port Linkages'!$C$18:$C$157=$AQ23)*('Port Linkages'!$D$18:$D$157=IF($AO23="no",$AQ23,$AS23))*('Port Linkages'!$A$18:$A$157&lt;=$C23))))</f>
        <v>VLOC_General</v>
      </c>
      <c r="SZ23" s="75" t="str">
        <f t="array" ref="SZ23">INDEX('Port Linkages'!$H$18:$H$157,MATCH(2,1/(('Port Linkages'!$C$18:$C$157=$AQ23)*('Port Linkages'!$D$18:$D$157=IF($AO23="no",$AQ23,$AS23))*('Port Linkages'!$A$18:$A$157&lt;=$C23))))</f>
        <v>Singapore</v>
      </c>
      <c r="TA23" s="75" t="str">
        <f t="array" ref="TA23">INDEX('Port Linkages'!$I$18:$I$157,MATCH(2,1/(('Port Linkages'!$C$18:$C$157=$AQ23)*('Port Linkages'!$D$18:$D$157=IF($AO23="no",$AQ23,$AS23))*('Port Linkages'!$A$18:$A$157&lt;=$C23))))</f>
        <v>VLSFO</v>
      </c>
      <c r="TB23" s="75" t="str">
        <f t="array" ref="TB23">INDEX('Port Linkages'!$J$18:$J$157,MATCH(2,1/(('Port Linkages'!$C$18:$C$157=$AQ23)*('Port Linkages'!$D$18:$D$157=IF($AO23="no",$AQ23,$AS23))*('Port Linkages'!$A$18:$A$157&lt;=$C23))))</f>
        <v>MGO_Regular</v>
      </c>
      <c r="TC23" s="75" t="str">
        <f t="array" ref="TC23">INDEX('Port Linkages'!$K$18:$K$157,MATCH(2,1/(('Port Linkages'!$C$18:$C$157=$AQ23)*('Port Linkages'!$D$18:$D$157=IF($AO23="no",$AQ23,$AS23))*('Port Linkages'!$A$18:$A$157&lt;=$C23))))</f>
        <v>none</v>
      </c>
      <c r="TD23" s="75">
        <f t="array" ref="TD23">INDEX('Port Linkages'!$L$18:$L$157,MATCH(2,1/(('Port Linkages'!$C$18:$C$157=$AQ23)*('Port Linkages'!$D$18:$D$157=IF($AO23="no",$AQ23,$AS23))*('Port Linkages'!$A$18:$A$157&lt;=$C23))))</f>
        <v>13157</v>
      </c>
      <c r="TE23" s="75">
        <f t="array" ref="TE23">INDEX('Port Linkages'!$M$18:$M$157,MATCH(2,1/(('Port Linkages'!$C$18:$C$157=$AQ23)*('Port Linkages'!$D$18:$D$157=IF($AO23="no",$AQ23,$AS23))*('Port Linkages'!$A$18:$A$157&lt;=$C23))))</f>
        <v>0</v>
      </c>
      <c r="TF23" s="75" t="str">
        <f t="array" ref="TF23">INDEX('Port Linkages'!$N$18:$N$157,MATCH(2,1/(('Port Linkages'!$C$18:$C$157=$AQ23)*('Port Linkages'!$D$18:$D$157=IF($AO23="no",$AQ23,$AS23))*('Port Linkages'!$A$18:$A$157&lt;=$C23))))</f>
        <v>Capesize_General</v>
      </c>
      <c r="TG23" s="75" t="str">
        <f t="array" ref="TG23">INDEX('Port Linkages'!$O$18:$O$157,MATCH(2,1/(('Port Linkages'!$C$18:$C$157=$AQ23)*('Port Linkages'!$D$18:$D$157=IF($AO23="no",$AQ23,$AS23))*('Port Linkages'!$A$18:$A$157&lt;=$C23))))</f>
        <v>Singapore</v>
      </c>
      <c r="TH23" s="75" t="str">
        <f t="array" ref="TH23">INDEX('Port Linkages'!$P$18:$P$157,MATCH(2,1/(('Port Linkages'!$C$18:$C$157=$AQ23)*('Port Linkages'!$D$18:$D$157=IF($AO23="no",$AQ23,$AS23))*('Port Linkages'!$A$18:$A$157&lt;=$C23))))</f>
        <v>VLSFO</v>
      </c>
      <c r="TI23" s="75" t="str">
        <f t="array" ref="TI23">INDEX('Port Linkages'!$Q$18:$Q$157,MATCH(2,1/(('Port Linkages'!$C$18:$C$157=$AQ23)*('Port Linkages'!$D$18:$D$157=IF($AO23="no",$AQ23,$AS23))*('Port Linkages'!$A$18:$A$157&lt;=$C23))))</f>
        <v>MGO_Regular</v>
      </c>
      <c r="TJ23" s="75" t="str">
        <f t="array" ref="TJ23">INDEX('Port Linkages'!$R$18:$R$157,MATCH(2,1/(('Port Linkages'!$C$18:$C$157=$AQ23)*('Port Linkages'!$D$18:$D$157=IF($AO23="no",$AQ23,$AS23))*('Port Linkages'!$A$18:$A$157&lt;=$C23))))</f>
        <v>none</v>
      </c>
      <c r="TK23" s="75" t="e">
        <f t="array" ref="TK23">INDEX('Port Linkages'!$S$18:$S$157,MATCH(2,1/(('Port Linkages'!$C$18:$C$157=$AQ23)*('Port Linkages'!$D$18:$D$157=IF($AO23="no",$AQ23,$AS23))*('Port Linkages'!$A$18:$A$157&lt;=$C23))))</f>
        <v>#N/A</v>
      </c>
      <c r="TL23" s="75">
        <f t="array" ref="TL23">INDEX('Port Linkages'!$T$18:$T$157,MATCH(2,1/(('Port Linkages'!$C$18:$C$157=$AQ23)*('Port Linkages'!$D$18:$D$157=IF($AO23="no",$AQ23,$AS23))*('Port Linkages'!$A$18:$A$157&lt;=$C23))))</f>
        <v>0</v>
      </c>
      <c r="TM23" s="75" t="str">
        <f t="array" ref="TM23">INDEX('Port Linkages'!$U$18:$U$157,MATCH(2,1/(('Port Linkages'!$C$18:$C$157=$AQ23)*('Port Linkages'!$D$18:$D$157=IF($AO23="no",$AQ23,$AS23))*('Port Linkages'!$A$18:$A$157&lt;=$C23))))</f>
        <v>Capesize_General</v>
      </c>
      <c r="TN23" s="75" t="str">
        <f t="array" ref="TN23">INDEX('Port Linkages'!$V$18:$V$157,MATCH(2,1/(('Port Linkages'!$C$18:$C$157=$AQ23)*('Port Linkages'!$D$18:$D$157=IF($AO23="no",$AQ23,$AS23))*('Port Linkages'!$A$18:$A$157&lt;=$C23))))</f>
        <v>Singapore</v>
      </c>
      <c r="TO23" s="75" t="str">
        <f t="array" ref="TO23">INDEX('Port Linkages'!$W$18:$W$157,MATCH(2,1/(('Port Linkages'!$C$18:$C$157=$AQ23)*('Port Linkages'!$D$18:$D$157=IF($AO23="no",$AQ23,$AS23))*('Port Linkages'!$A$18:$A$157&lt;=$C23))))</f>
        <v>VLSFO</v>
      </c>
      <c r="TP23" s="75" t="str">
        <f t="array" ref="TP23">INDEX('Port Linkages'!$X$18:$X$157,MATCH(2,1/(('Port Linkages'!$C$18:$C$157=$AQ23)*('Port Linkages'!$D$18:$D$157=IF($AO23="no",$AQ23,$AS23))*('Port Linkages'!$A$18:$A$157&lt;=$C23))))</f>
        <v>MGO_Regular</v>
      </c>
      <c r="TQ23" s="75" t="str">
        <f t="array" ref="TQ23">INDEX('Port Linkages'!$Y$18:$Y$157,MATCH(2,1/(('Port Linkages'!$C$18:$C$157=$AQ23)*('Port Linkages'!$D$18:$D$157=IF($AO23="no",$AQ23,$AS23))*('Port Linkages'!$A$18:$A$157&lt;=$C23))))</f>
        <v>none</v>
      </c>
      <c r="TR23" s="75" t="e">
        <f t="array" ref="TR23">INDEX('Port Linkages'!$Z$18:$Z$157,MATCH(2,1/(('Port Linkages'!$C$18:$C$157=$AQ23)*('Port Linkages'!$D$18:$D$157=IF($AO23="no",$AQ23,$AS23))*('Port Linkages'!$A$18:$A$157&lt;=$C23))))</f>
        <v>#N/A</v>
      </c>
      <c r="TS23" s="75">
        <f t="array" ref="TS23">INDEX('Port Linkages'!$AA$18:$AA$157,MATCH(2,1/(('Port Linkages'!$C$18:$C$157=$AQ23)*('Port Linkages'!$D$18:$D$157=IF($AO23="no",$AQ23,$AS23))*('Port Linkages'!$A$18:$A$157&lt;=$C23))))</f>
        <v>0</v>
      </c>
      <c r="TT23" s="75" t="str">
        <f t="array" ref="TT23">INDEX('Port Linkages'!$AB$18:$AB$157,MATCH(2,1/(('Port Linkages'!$C$18:$C$157=$AQ23)*('Port Linkages'!$D$18:$D$157=IF($AO23="no",$AQ23,$AS23))*('Port Linkages'!$A$18:$A$157&lt;=$C23))))</f>
        <v>Capesize_General</v>
      </c>
      <c r="TU23" s="75" t="str">
        <f t="array" ref="TU23">INDEX('Port Linkages'!$AC$18:$AC$157,MATCH(2,1/(('Port Linkages'!$C$18:$C$157=$AQ23)*('Port Linkages'!$D$18:$D$157=IF($AO23="no",$AQ23,$AS23))*('Port Linkages'!$A$18:$A$157&lt;=$C23))))</f>
        <v>Singapore</v>
      </c>
      <c r="TV23" s="75" t="str">
        <f t="array" ref="TV23">INDEX('Port Linkages'!$AD$18:$AD$157,MATCH(2,1/(('Port Linkages'!$C$18:$C$157=$AQ23)*('Port Linkages'!$D$18:$D$157=IF($AO23="no",$AQ23,$AS23))*('Port Linkages'!$A$18:$A$157&lt;=$C23))))</f>
        <v>VLSFO</v>
      </c>
      <c r="TW23" s="75" t="str">
        <f t="array" ref="TW23">INDEX('Port Linkages'!$AE$18:$AE$157,MATCH(2,1/(('Port Linkages'!$C$18:$C$157=$AQ23)*('Port Linkages'!$D$18:$D$157=IF($AO23="no",$AQ23,$AS23))*('Port Linkages'!$A$18:$A$157&lt;=$C23))))</f>
        <v>MGO_Regular</v>
      </c>
      <c r="TX23" s="75" t="str">
        <f t="array" ref="TX23">INDEX('Port Linkages'!$AF$18:$AF$157,MATCH(2,1/(('Port Linkages'!$C$18:$C$157=$AQ23)*('Port Linkages'!$D$18:$D$157=IF($AO23="no",$AQ23,$AS23))*('Port Linkages'!$A$18:$A$157&lt;=$C23))))</f>
        <v>none</v>
      </c>
      <c r="TY23" s="75" t="e">
        <f t="array" ref="TY23">INDEX('Port Linkages'!$AG$18:$AG$157,MATCH(2,1/(('Port Linkages'!$C$18:$C$157=$AQ23)*('Port Linkages'!$D$18:$D$157=IF($AO23="no",$AQ23,$AS23))*('Port Linkages'!$A$18:$A$157&lt;=$C23))))</f>
        <v>#N/A</v>
      </c>
      <c r="TZ23" s="75">
        <f t="array" ref="TZ23">INDEX('Port Linkages'!$AH$18:$AH$157,MATCH(2,1/(('Port Linkages'!$C$18:$C$157=$AQ23)*('Port Linkages'!$D$18:$D$157=IF($AO23="no",$AQ23,$AS23))*('Port Linkages'!$A$18:$A$157&lt;=$C23))))</f>
        <v>0</v>
      </c>
      <c r="UA23" s="75" t="str">
        <f t="array" ref="UA23">INDEX('Port Linkages'!$AI$18:$AI$157,MATCH(2,1/(('Port Linkages'!$C$18:$C$157=$AQ23)*('Port Linkages'!$D$18:$D$157=IF($AO23="no",$AQ23,$AS23))*('Port Linkages'!$A$18:$A$157&lt;=$C23))))</f>
        <v>Panamax_General</v>
      </c>
      <c r="UB23" s="75" t="str">
        <f t="array" ref="UB23">INDEX('Port Linkages'!$AJ$18:$AJ$157,MATCH(2,1/(('Port Linkages'!$C$18:$C$157=$AQ23)*('Port Linkages'!$D$18:$D$157=IF($AO23="no",$AQ23,$AS23))*('Port Linkages'!$A$18:$A$157&lt;=$C23))))</f>
        <v>Singapore</v>
      </c>
      <c r="UC23" s="75" t="str">
        <f t="array" ref="UC23">INDEX('Port Linkages'!$AK$18:$AK$157,MATCH(2,1/(('Port Linkages'!$C$18:$C$157=$AQ23)*('Port Linkages'!$D$18:$D$157=IF($AO23="no",$AQ23,$AS23))*('Port Linkages'!$A$18:$A$157&lt;=$C23))))</f>
        <v>VLSFO</v>
      </c>
      <c r="UD23" s="75" t="str">
        <f t="array" ref="UD23">INDEX('Port Linkages'!$AL$18:$AL$157,MATCH(2,1/(('Port Linkages'!$C$18:$C$157=$AQ23)*('Port Linkages'!$D$18:$D$157=IF($AO23="no",$AQ23,$AS23))*('Port Linkages'!$A$18:$A$157&lt;=$C23))))</f>
        <v>MGO_Regular</v>
      </c>
      <c r="UE23" s="75" t="str">
        <f t="array" ref="UE23">INDEX('Port Linkages'!$AM$18:$AM$157,MATCH(2,1/(('Port Linkages'!$C$18:$C$157=$AQ23)*('Port Linkages'!$D$18:$D$157=IF($AO23="no",$AQ23,$AS23))*('Port Linkages'!$A$18:$A$157&lt;=$C23))))</f>
        <v>none</v>
      </c>
      <c r="UF23" s="75" t="e">
        <f t="array" ref="UF23">INDEX('Port Linkages'!$AN$18:$AN$157,MATCH(2,1/(('Port Linkages'!$C$18:$C$157=$AQ23)*('Port Linkages'!$D$18:$D$157=IF($AO23="no",$AQ23,$AS23))*('Port Linkages'!$A$18:$A$157&lt;=$C23))))</f>
        <v>#N/A</v>
      </c>
      <c r="UG23" s="75">
        <f t="array" ref="UG23">INDEX('Port Linkages'!$AO$18:$AO$157,MATCH(2,1/(('Port Linkages'!$C$18:$C$157=$AQ23)*('Port Linkages'!$D$18:$D$157=IF($AO23="no",$AQ23,$AS23))*('Port Linkages'!$A$18:$A$157&lt;=$C23))))</f>
        <v>0</v>
      </c>
      <c r="UH23" s="75" t="str">
        <f t="array" ref="UH23">INDEX('Port Linkages'!$AP$18:$AP$157,MATCH(2,1/(('Port Linkages'!$C$18:$C$157=$AQ23)*('Port Linkages'!$D$18:$D$157=IF($AO23="no",$AQ23,$AS23))*('Port Linkages'!$A$18:$A$157&lt;=$C23))))</f>
        <v>Supramax_General</v>
      </c>
      <c r="UI23" s="75" t="str">
        <f t="array" ref="UI23">INDEX('Port Linkages'!$AQ$18:$AQ$157,MATCH(2,1/(('Port Linkages'!$C$18:$C$157=$AQ23)*('Port Linkages'!$D$18:$D$157=IF($AO23="no",$AQ23,$AS23))*('Port Linkages'!$A$18:$A$157&lt;=$C23))))</f>
        <v>Singapore</v>
      </c>
      <c r="UJ23" s="75" t="str">
        <f t="array" ref="UJ23">INDEX('Port Linkages'!$AR$18:$AR$157,MATCH(2,1/(('Port Linkages'!$C$18:$C$157=$AQ23)*('Port Linkages'!$D$18:$D$157=IF($AO23="no",$AQ23,$AS23))*('Port Linkages'!$A$18:$A$157&lt;=$C23))))</f>
        <v>VLSFO</v>
      </c>
      <c r="UK23" s="75" t="str">
        <f t="array" ref="UK23">INDEX('Port Linkages'!$AS$18:$AS$157,MATCH(2,1/(('Port Linkages'!$C$18:$C$157=$AQ23)*('Port Linkages'!$D$18:$D$157=IF($AO23="no",$AQ23,$AS23))*('Port Linkages'!$A$18:$A$157&lt;=$C23))))</f>
        <v>MGO_Regular</v>
      </c>
      <c r="UL23" s="75" t="str">
        <f t="array" ref="UL23">INDEX('Port Linkages'!$AT$18:$AT$157,MATCH(2,1/(('Port Linkages'!$C$18:$C$157=$AQ23)*('Port Linkages'!$D$18:$D$157=IF($AO23="no",$AQ23,$AS23))*('Port Linkages'!$A$18:$A$157&lt;=$C23))))</f>
        <v>none</v>
      </c>
      <c r="UM23" s="75" t="e">
        <f t="array" ref="UM23">INDEX('Port Linkages'!$AU$18:$AU$157,MATCH(2,1/(('Port Linkages'!$C$18:$C$157=$AQ23)*('Port Linkages'!$D$18:$D$157=IF($AO23="no",$AQ23,$AS23))*('Port Linkages'!$A$18:$A$157&lt;=$C23))))</f>
        <v>#N/A</v>
      </c>
      <c r="UN23" s="75">
        <f t="array" ref="UN23">INDEX('Port Linkages'!$AV$18:$AV$157,MATCH(2,1/(('Port Linkages'!$C$18:$C$157=$AQ23)*('Port Linkages'!$D$18:$D$157=IF($AO23="no",$AQ23,$AS23))*('Port Linkages'!$A$18:$A$157&lt;=$C23))))</f>
        <v>0</v>
      </c>
      <c r="UO23" s="75" t="str">
        <f t="array" ref="UO23">INDEX('Port Linkages'!$AW$18:$AW$157,MATCH(2,1/(('Port Linkages'!$C$18:$C$157=$AQ23)*('Port Linkages'!$D$18:$D$157=IF($AO23="no",$AQ23,$AS23))*('Port Linkages'!$A$18:$A$157&lt;=$C23))))</f>
        <v>Handysize_General</v>
      </c>
      <c r="UP23" s="75" t="str">
        <f t="array" ref="UP23">INDEX('Port Linkages'!$AX$18:$AX$157,MATCH(2,1/(('Port Linkages'!$C$18:$C$157=$AQ23)*('Port Linkages'!$D$18:$D$157=IF($AO23="no",$AQ23,$AS23))*('Port Linkages'!$A$18:$A$157&lt;=$C23))))</f>
        <v>Singapore</v>
      </c>
      <c r="UQ23" s="75" t="str">
        <f t="array" ref="UQ23">INDEX('Port Linkages'!$AY$18:$AY$157,MATCH(2,1/(('Port Linkages'!$C$18:$C$157=$AQ23)*('Port Linkages'!$D$18:$D$157=IF($AO23="no",$AQ23,$AS23))*('Port Linkages'!$A$18:$A$157&lt;=$C23))))</f>
        <v>VLSFO</v>
      </c>
      <c r="UR23" s="75" t="str">
        <f t="array" ref="UR23">INDEX('Port Linkages'!$AZ$18:$AZ$157,MATCH(2,1/(('Port Linkages'!$C$18:$C$157=$AQ23)*('Port Linkages'!$D$18:$D$157=IF($AO23="no",$AQ23,$AS23))*('Port Linkages'!$A$18:$A$157&lt;=$C23))))</f>
        <v>MGO_Regular</v>
      </c>
      <c r="US23" s="75" t="str">
        <f t="array" ref="US23">INDEX('Port Linkages'!$BA$18:$BA$157,MATCH(2,1/(('Port Linkages'!$C$18:$C$157=$AQ23)*('Port Linkages'!$D$18:$D$157=IF($AO23="no",$AQ23,$AS23))*('Port Linkages'!$A$18:$A$157&lt;=$C23))))</f>
        <v>none</v>
      </c>
      <c r="UU23" s="25" t="e">
        <f t="array" aca="1" ref="UU23" ca="1">INDEX('Ship Fuel Prices'!$F$5:$F$1004,MATCH(2,1/(('Ship Fuel Prices'!$E$5:$E$1004=_xlfn.IFS(SJ23="Handysize",Main!UP23,SJ23="Supramax",UI23,SJ23="Panamax",UB23,SJ23="NeoPanamax",TU23,SJ23="Suezmax",TN23,SJ23="Capesize",TG23,SJ23="VLOC",SZ23))*('Ship Fuel Prices'!$D$5:$D$1004&lt;=Main!$C23))))</f>
        <v>#N/A</v>
      </c>
      <c r="UV23" s="25" t="e">
        <f t="array" aca="1" ref="UV23" ca="1">INDEX('Ship Fuel Prices'!$G$5:$G$1004,MATCH(2,1/(('Ship Fuel Prices'!$E$5:$E$1004=_xlfn.IFS(SJ23="Handysize",Main!UP23,SJ23="Supramax",UI23,SJ23="Panamax",UB23,SJ23="NeoPanamax",TU23,SJ23="Suezmax",TN23,SJ23="Capesize",TG23,SJ23="VLOC",SZ23))*('Ship Fuel Prices'!$D$5:$D$1004&lt;=Main!$C23))))</f>
        <v>#N/A</v>
      </c>
      <c r="UW23" s="25" t="e">
        <f t="array" aca="1" ref="UW23" ca="1">INDEX('Ship Fuel Prices'!$H$5:$H$1004,MATCH(2,1/(('Ship Fuel Prices'!$E$5:$E$1004=_xlfn.IFS(SJ23="Handysize",Main!UP23,SJ23="Supramax",UI23,SJ23="Panamax",UB23,SJ23="NeoPanamax",TU23,SJ23="Suezmax",TN23,SJ23="Capesize",TG23,SJ23="VLOC",SZ23))*('Ship Fuel Prices'!$D$5:$D$1004&lt;=Main!$C23))))</f>
        <v>#N/A</v>
      </c>
      <c r="UX23" s="25" t="e">
        <f t="array" aca="1" ref="UX23" ca="1">INDEX('Ship Fuel Prices'!$I$5:$I$1004,MATCH(2,1/(('Ship Fuel Prices'!$E$5:$E$1004=_xlfn.IFS(SJ23="Handysize",Main!UP23,SJ23="Supramax",UI23,SJ23="Panamax",UB23,SJ23="NeoPanamax",TU23,SJ23="Suezmax",TN23,SJ23="Capesize",TG23,SJ23="VLOC",SZ23))*('Ship Fuel Prices'!$D$5:$D$1004&lt;=Main!$C23))))</f>
        <v>#N/A</v>
      </c>
      <c r="UY23" s="25" t="e">
        <f t="array" aca="1" ref="UY23" ca="1">INDEX('Ship Fuel Prices'!$J$5:$J$1004,MATCH(2,1/(('Ship Fuel Prices'!$E$5:$E$1004=_xlfn.IFS(SJ23="Handysize",Main!UP23,SJ23="Supramax",UI23,SJ23="Panamax",UB23,SJ23="NeoPanamax",TU23,SJ23="Suezmax",TN23,SJ23="Capesize",TG23,SJ23="VLOC",SZ23))*('Ship Fuel Prices'!$D$5:$D$1004&lt;=Main!$C23))))</f>
        <v>#N/A</v>
      </c>
      <c r="VA23" s="75">
        <f t="array" ref="VA23">INDEX('China n Importing Ports'!$E$20:$E$41,MATCH(2,1/(('China n Importing Ports'!$D$20:$D$41&lt;=$C23)*('China n Importing Ports'!$C$20:$C$41=IF($AO23="No",$AQ23,$AS23)))))</f>
        <v>42500</v>
      </c>
      <c r="VB23" s="75">
        <f t="array" ref="VB23">INDEX('China n Importing Ports'!$F$20:$F$41,MATCH(2,1/(('China n Importing Ports'!$D$20:$D$41&lt;=$C23)*('China n Importing Ports'!$C$20:$C$41=IF($AO23="No",$AQ23,$AS23)))))</f>
        <v>42500</v>
      </c>
      <c r="VC23" s="75">
        <f t="array" ref="VC23">INDEX('China n Importing Ports'!$G$20:$G$41,MATCH(2,1/(('China n Importing Ports'!$D$20:$D$41&lt;=$C23)*('China n Importing Ports'!$C$20:$C$41=IF($AO23="No",$AQ23,$AS23)))))</f>
        <v>42500</v>
      </c>
      <c r="VD23" s="75">
        <f t="array" ref="VD23">INDEX('China n Importing Ports'!$H$20:$H$41,MATCH(2,1/(('China n Importing Ports'!$D$20:$D$41&lt;=$C23)*('China n Importing Ports'!$C$20:$C$41=IF($AO23="No",$AQ23,$AS23)))))</f>
        <v>42500</v>
      </c>
      <c r="VE23" s="75">
        <f t="array" ref="VE23">INDEX('China n Importing Ports'!$I$20:$I$41,MATCH(2,1/(('China n Importing Ports'!$D$20:$D$41&lt;=$C23)*('China n Importing Ports'!$C$20:$C$41=IF($AO23="No",$AQ23,$AS23)))))</f>
        <v>42500</v>
      </c>
      <c r="VF23" s="75">
        <f t="array" ref="VF23">INDEX('China n Importing Ports'!$J$20:$J$41,MATCH(2,1/(('China n Importing Ports'!$D$20:$D$41&lt;=$C23)*('China n Importing Ports'!$C$20:$C$41=IF($AO23="No",$AQ23,$AS23)))))</f>
        <v>42500</v>
      </c>
      <c r="VG23" s="75">
        <f t="array" ref="VG23">INDEX('China n Importing Ports'!$K$20:$K$41,MATCH(2,1/(('China n Importing Ports'!$D$20:$D$41&lt;=$C23)*('China n Importing Ports'!$C$20:$C$41=IF($AO23="No",$AQ23,$AS23)))))</f>
        <v>42500</v>
      </c>
      <c r="VH23" s="75" t="str">
        <f t="array" ref="VH23">INDEX('China n Importing Ports'!$L$20:$L$41,MATCH(2,1/(('China n Importing Ports'!$D$20:$D$41&lt;=$C23)*('China n Importing Ports'!$C$20:$C$41=IF($AO23="No",$AQ23,$AS23)))))</f>
        <v>RMB</v>
      </c>
      <c r="VI23" s="75">
        <f t="array" ref="VI23">INDEX('China n Importing Ports'!$M$20:$M$41,MATCH(2,1/(('China n Importing Ports'!$D$20:$D$41&lt;=$C23)*('China n Importing Ports'!$C$20:$C$41=IF($AO23="No",$AQ23,$AS23)))))</f>
        <v>12342</v>
      </c>
      <c r="VJ23" s="75">
        <f t="array" ref="VJ23">INDEX('China n Importing Ports'!$N$20:$N$41,MATCH(2,1/(('China n Importing Ports'!$D$20:$D$41&lt;=$C23)*('China n Importing Ports'!$C$20:$C$41=IF($AO23="No",$AQ23,$AS23)))))</f>
        <v>0</v>
      </c>
      <c r="VK23" s="75">
        <f t="array" ref="VK23">INDEX('China n Importing Ports'!$O$20:$O$41,MATCH(2,1/(('China n Importing Ports'!$D$20:$D$41&lt;=$C23)*('China n Importing Ports'!$C$20:$C$41=IF($AO23="No",$AQ23,$AS23)))))</f>
        <v>0</v>
      </c>
      <c r="VL23" s="136">
        <f t="array" ref="VL23">INDEX('China n Importing Ports'!$P$20:$P$41,MATCH(2,1/(('China n Importing Ports'!$D$20:$D$41&lt;=$C23)*('China n Importing Ports'!$C$20:$C$41=IF($AO23="No",$AQ23,$AS23)))))</f>
        <v>2.64</v>
      </c>
      <c r="VM23" s="136">
        <f t="array" ref="VM23">INDEX('China n Importing Ports'!$Q$20:$Q$41,MATCH(2,1/(('China n Importing Ports'!$D$20:$D$41&lt;=$C23)*('China n Importing Ports'!$C$20:$C$41=IF($AO23="No",$AQ23,$AS23)))))</f>
        <v>0</v>
      </c>
      <c r="VN23" s="136">
        <f t="array" ref="VN23">INDEX('China n Importing Ports'!$R$20:$R$41,MATCH(2,1/(('China n Importing Ports'!$D$20:$D$41&lt;=$C23)*('China n Importing Ports'!$C$20:$C$41=IF($AO23="No",$AQ23,$AS23)))))</f>
        <v>0</v>
      </c>
      <c r="VO23" s="136">
        <f t="array" ref="VO23">INDEX('China n Importing Ports'!$S$20:$S$41,MATCH(2,1/(('China n Importing Ports'!$D$20:$D$41&lt;=$C23)*('China n Importing Ports'!$C$20:$C$41=IF($AO23="No",$AQ23,$AS23)))))</f>
        <v>4.53</v>
      </c>
      <c r="VP23" s="136">
        <f t="array" ref="VP23">INDEX('China n Importing Ports'!$T$20:$T$41,MATCH(2,1/(('China n Importing Ports'!$D$20:$D$41&lt;=$C23)*('China n Importing Ports'!$C$20:$C$41=IF($AO23="No",$AQ23,$AS23)))))</f>
        <v>0.36699999999999999</v>
      </c>
      <c r="VQ23" s="136">
        <f t="array" ref="VQ23">INDEX('China n Importing Ports'!$U$20:$U$41,MATCH(2,1/(('China n Importing Ports'!$D$20:$D$41&lt;=$C23)*('China n Importing Ports'!$C$20:$C$41=IF($AO23="No",$AQ23,$AS23)))))</f>
        <v>0.05</v>
      </c>
      <c r="VR23" s="136">
        <f t="array" ref="VR23">INDEX('China n Importing Ports'!$V$20:$V$41,MATCH(2,1/(('China n Importing Ports'!$D$20:$D$41&lt;=$C23)*('China n Importing Ports'!$C$20:$C$41=IF($AO23="No",$AQ23,$AS23)))))</f>
        <v>0</v>
      </c>
      <c r="VS23" s="136">
        <f t="array" ref="VS23">INDEX('China n Importing Ports'!$W$20:$W$41,MATCH(2,1/(('China n Importing Ports'!$D$20:$D$41&lt;=$C23)*('China n Importing Ports'!$C$20:$C$41=IF($AO23="No",$AQ23,$AS23)))))</f>
        <v>0</v>
      </c>
      <c r="VT23" s="136">
        <f t="array" ref="VT23">INDEX('China n Importing Ports'!$X$20:$X$41,MATCH(2,1/(('China n Importing Ports'!$D$20:$D$41&lt;=$C23)*('China n Importing Ports'!$C$20:$C$41=IF($AO23="No",$AQ23,$AS23)))))</f>
        <v>0</v>
      </c>
      <c r="VU23" s="136">
        <f t="array" ref="VU23">INDEX('China n Importing Ports'!$Y$20:$Y$41,MATCH(2,1/(('China n Importing Ports'!$D$20:$D$41&lt;=$C23)*('China n Importing Ports'!$C$20:$C$41=IF($AO23="No",$AQ23,$AS23)))))</f>
        <v>197</v>
      </c>
      <c r="VV23" s="136">
        <f t="array" ref="VV23">INDEX('China n Importing Ports'!$Z$20:$Z$41,MATCH(2,1/(('China n Importing Ports'!$D$20:$D$41&lt;=$C23)*('China n Importing Ports'!$C$20:$C$41=IF($AO23="No",$AQ23,$AS23)))))</f>
        <v>0</v>
      </c>
      <c r="VW23" s="136">
        <f t="array" ref="VW23">INDEX('China n Importing Ports'!$AA$20:$AA$41,MATCH(2,1/(('China n Importing Ports'!$D$20:$D$41&lt;=$C23)*('China n Importing Ports'!$C$20:$C$41=IF($AO23="No",$AQ23,$AS23)))))</f>
        <v>0</v>
      </c>
      <c r="VY23" s="75" t="e">
        <f t="array" aca="1" ref="VY23" ca="1">INDEX(Canals!$G$24:$G$29,MATCH(2,1/((Canals!$F$24:$F$29&lt;=$C23)*(Canals!$G$24:$G$29=_xlfn.IFS(SJ23="Handysize",US23,SJ23="Supramax",UL23,SJ23="Panamax",UE23,SJ23="NeoPanamax",TX23,SJ23="Suezmax",TQ23,SJ23="Capesize",TJ23,SJ23="VLOC",TC23)))))</f>
        <v>#N/A</v>
      </c>
      <c r="VZ23" s="75" t="e">
        <f t="array" aca="1" ref="VZ23" ca="1">INDEX(Canals!$H$24:$H$29,MATCH(2,1/((Canals!$F$24:$F$29&lt;=$C23)*(Canals!$G$24:$G$29=_xlfn.IFS(SJ23="Handysize",US23,SJ23="Supramax",UL23,SJ23="Panamax",UE23,SJ23="NeoPanamax",TX23,SJ23="Suezmax",TQ23,SJ23="Capesize",TJ23,SJ23="VLOC",TC23)))))</f>
        <v>#N/A</v>
      </c>
      <c r="WA23" s="75" t="e">
        <f t="array" aca="1" ref="WA23" ca="1">INDEX(Canals!$I$24:$I$29,MATCH(2,1/((Canals!$F$24:$F$29&lt;=$C23)*(Canals!$G$24:$G$29=_xlfn.IFS(SJ23="Handysize",US23,SJ23="Supramax",UL23,SJ23="Panamax",UE23,SJ23="NeoPanamax",TX23,SJ23="Suezmax",TQ23,SJ23="Capesize",TJ23,SJ23="VLOC",TC23)))))</f>
        <v>#N/A</v>
      </c>
      <c r="WB23" s="75" t="e">
        <f t="array" aca="1" ref="WB23" ca="1">INDEX(Canals!$J$24:$J$29,MATCH(2,1/((Canals!$F$24:$F$29&lt;=$C23)*(Canals!$G$24:$G$29=_xlfn.IFS(SJ23="Handysize",Main!US23,SJ23="Supramax",UL23,SJ23="Panamax",UE23,SJ23="NeoPanamax",TX23,SJ23="Suezmax",TQ23,SJ23="Capesize",TJ23,SJ23="VLOC",TC23)))))</f>
        <v>#N/A</v>
      </c>
      <c r="WC23" s="75" t="e">
        <f t="array" aca="1" ref="WC23" ca="1">INDEX(Canals!$K$24:$K$29,MATCH(2,1/((Canals!$F$24:$F$29&lt;=$C23)*(Canals!$G$24:$G$29=_xlfn.IFS(SJ23="Handysize",Main!US23,SJ23="Supramax",UL23,SJ23="Panamax",UE23,SJ23="NeoPanamax",TX23,SJ23="Suezmax",TQ23,SJ23="Capesize",TJ23,SJ23="VLOC",TC23)))))</f>
        <v>#N/A</v>
      </c>
      <c r="WD23" s="75" t="e">
        <f t="array" aca="1" ref="WD23" ca="1">INDEX(Canals!$L$24:$L$29,MATCH(2,1/((Canals!$F$24:$F$29&lt;=$C23)*(Canals!$G$24:$G$29=_xlfn.IFS(SJ23="Handysize",Main!US23,SJ23="Supramax",UL23,SJ23="Panamax",UE23,SJ23="NeoPanamax",TX23,SJ23="Suezmax",TQ23,SJ23="Capesize",TJ23,SJ23="VLOC",TC23)))))</f>
        <v>#N/A</v>
      </c>
      <c r="WE23" s="75" t="e">
        <f t="array" aca="1" ref="WE23" ca="1">INDEX(Canals!$M$24:$M$29,MATCH(2,1/((Canals!$F$24:$F$29&lt;=$C23)*(Canals!$G$24:$G$29=_xlfn.IFS(SJ23="Handysize",Main!US23,SJ23="Supramax",UL23,SJ23="Panamax",UE23,SJ23="NeoPanamax",TX23,SJ23="Suezmax",TQ23,SJ23="Capesize",TJ23,SJ23="VLOC",TC23)))))</f>
        <v>#N/A</v>
      </c>
      <c r="WF23" s="75" t="e">
        <f t="array" aca="1" ref="WF23" ca="1">INDEX(Canals!$N$24:$N$29,MATCH(2,1/((Canals!$F$24:$F$29&lt;=$C23)*(Canals!$G$24:$G$29=_xlfn.IFS(SJ23="Handysize",Main!US23,SJ23="Supramax",UL23,SJ23="Panamax",UE23,SJ23="NeoPanamax",TX23,SJ23="Suezmax",TQ23,SJ23="Capesize",TJ23,SJ23="VLOC",TC23)))))</f>
        <v>#N/A</v>
      </c>
      <c r="WG23" s="75" t="e">
        <f t="array" aca="1" ref="WG23" ca="1">INDEX(Canals!$O$24:$O$29,MATCH(2,1/((Canals!$F$24:$F$29&lt;=$C23)*(Canals!$G$24:$G$29=_xlfn.IFS(SJ23="Handysize",Main!US23,SJ23="Supramax",UL23,SJ23="Panamax",UE23,SJ23="NeoPanamax",TX23,SJ23="Suezmax",TQ23,SJ23="Capesize",TJ23,SJ23="VLOC",TC23)))))</f>
        <v>#N/A</v>
      </c>
      <c r="WH23" s="75" t="e">
        <f t="array" aca="1" ref="WH23" ca="1">INDEX(Canals!$P$24:$P$29,MATCH(2,1/((Canals!$F$24:$F$29&lt;=$C23)*(Canals!$G$24:$G$29=_xlfn.IFS(SJ23="Handysize",Main!US23,SJ23="Supramax",UL23,SJ23="Panamax",UE23,SJ23="NeoPanamax",TX23,SJ23="Suezmax",TQ23,SJ23="Capesize",TJ23,SJ23="VLOC",TC23)))))</f>
        <v>#N/A</v>
      </c>
      <c r="WI23" s="75" t="e">
        <f t="array" aca="1" ref="WI23" ca="1">INDEX(Canals!$Q$24:$Q$29,MATCH(2,1/((Canals!$F$24:$F$29&lt;=$C23)*(Canals!$G$24:$G$29=_xlfn.IFS(SJ23="Handysize",Main!US23,SJ23="Supramax",UL23,SJ23="Panamax",UE23,SJ23="NeoPanamax",TX23,SJ23="Suezmax",TQ23,SJ23="Capesize",TJ23,SJ23="VLOC",TC23)))))</f>
        <v>#N/A</v>
      </c>
      <c r="WJ23" s="75" t="e">
        <f t="array" aca="1" ref="WJ23" ca="1">INDEX(Canals!$R$24:$R$29,MATCH(2,1/((Canals!$F$24:$F$29&lt;=$C23)*(Canals!$G$24:$G$29=_xlfn.IFS(SJ23="Handysize",Main!US23,SJ23="Supramax",UL23,SJ23="Panamax",UE23,SJ23="NeoPanamax",TX23,SJ23="Suezmax",TQ23,SJ23="Capesize",TJ23,SJ23="VLOC",TC23)))))</f>
        <v>#N/A</v>
      </c>
      <c r="WK23" s="136" t="e">
        <f t="array" aca="1" ref="WK23" ca="1">INDEX(Canals!$S$24:$S$29,MATCH(2,1/((Canals!$F$24:$F$29&lt;=$C23)*(Canals!$G$24:$G$29=_xlfn.IFS(SJ23="Handysize",Main!US23,SJ23="Supramax",UL23,SJ23="Panamax",UE23,SJ23="NeoPanamax",TX23,SJ23="Suezmax",TQ23,SJ23="Capesize",TJ23,SJ23="VLOC",TC23)))))</f>
        <v>#N/A</v>
      </c>
      <c r="WL23" s="136" t="e">
        <f t="array" aca="1" ref="WL23" ca="1">INDEX(Canals!$T$24:$T$29,MATCH(2,1/((Canals!$F$24:$F$29&lt;=$C23)*(Canals!$G$24:$G$29=_xlfn.IFS(SJ23="Handysize",Main!US23,SJ23="Supramax",UL23,SJ23="Panamax",UE23,SJ23="NeoPanamax",TX23,SJ23="Suezmax",TQ23,SJ23="Capesize",TJ23,SJ23="VLOC",TC23)))))</f>
        <v>#N/A</v>
      </c>
      <c r="WM23" s="136" t="e">
        <f t="array" aca="1" ref="WM23" ca="1">INDEX(Canals!$U$24:$U$29,MATCH(2,1/((Canals!$F$24:$F$29&lt;=$C23)*(Canals!$G$24:$G$29=_xlfn.IFS(SJ23="Handysize",Main!US23,SJ23="Supramax",UL23,SJ23="Panamax",UE23,SJ23="NeoPanamax",TX23,SJ23="Suezmax",TQ23,SJ23="Capesize",TJ23,SJ23="VLOC",TC23)))))</f>
        <v>#N/A</v>
      </c>
      <c r="WN23" s="136" t="e">
        <f t="array" aca="1" ref="WN23" ca="1">INDEX(Canals!$V$24:$V$29,MATCH(2,1/((Canals!$F$24:$F$29&lt;=$C23)*(Canals!$G$24:$G$29=_xlfn.IFS(SJ23="Handysize",Main!US23,SJ23="Supramax",UL23,SJ23="Panamax",UE23,SJ23="NeoPanamax",TX23,SJ23="Suezmax",TQ23,SJ23="Capesize",TJ23,SJ23="VLOC",TC23)))))</f>
        <v>#N/A</v>
      </c>
      <c r="WO23" s="136" t="e">
        <f t="array" aca="1" ref="WO23" ca="1">INDEX(Canals!$W$24:$W$29,MATCH(2,1/((Canals!$F$24:$F$29&lt;=$C23)*(Canals!$G$24:$G$29=_xlfn.IFS(SJ23="Handysize",Main!US23,SJ23="Supramax",UL23,SJ23="Panamax",UE23,SJ23="NeoPanamax",TX23,SJ23="Suezmax",TQ23,SJ23="Capesize",TJ23,SJ23="VLOC",TC23)))))</f>
        <v>#N/A</v>
      </c>
      <c r="WP23" s="136" t="e">
        <f t="array" aca="1" ref="WP23" ca="1">INDEX(Canals!$X$24:$X$29,MATCH(2,1/((Canals!$F$24:$F$29&lt;=$C23)*(Canals!$G$24:$G$29=_xlfn.IFS(SJ23="Handysize",Main!US23,SJ23="Supramax",UL23,SJ23="Panamax",UE23,SJ23="NeoPanamax",TX23,SJ23="Suezmax",TQ23,SJ23="Capesize",TJ23,SJ23="VLOC",TC23)))))</f>
        <v>#N/A</v>
      </c>
      <c r="WQ23" s="136" t="e">
        <f t="array" aca="1" ref="WQ23" ca="1">INDEX(Canals!$Y$24:$Y$29,MATCH(2,1/((Canals!$F$24:$F$29&lt;=$C23)*(Canals!$G$24:$G$29=_xlfn.IFS(SJ23="Handysize",Main!US23,SJ23="Supramax",UL23,SJ23="Panamax",UE23,SJ23="NeoPanamax",TX23,SJ23="Suezmax",TQ23,SJ23="Capesize",TJ23,SJ23="VLOC",TC23)))))</f>
        <v>#N/A</v>
      </c>
      <c r="WR23" s="136" t="e">
        <f t="array" aca="1" ref="WR23" ca="1">INDEX(Canals!$Z$24:$Z$29,MATCH(2,1/((Canals!$F$24:$F$29&lt;=$C23)*(Canals!$G$24:$G$29=_xlfn.IFS(SJ23="Handysize",Main!US23,SJ23="Supramax",UL23,SJ23="Panamax",UE23,SJ23="NeoPanamax",TX23,SJ23="Suezmax",TQ23,SJ23="Capesize",TJ23,SJ23="VLOC",TC23)))))</f>
        <v>#N/A</v>
      </c>
      <c r="WS23" s="136" t="e">
        <f t="array" aca="1" ref="WS23" ca="1">INDEX(Canals!$AA$24:$AA$29,MATCH(2,1/((Canals!$F$24:$F$29&lt;=$C23)*(Canals!$G$24:$G$29=_xlfn.IFS(SJ23="Handysize",Main!US23,SJ23="Supramax",UL23,SJ23="Panamax",UE23,SJ23="NeoPanamax",TX23,SJ23="Suezmax",TQ23,SJ23="Capesize",TJ23,SJ23="VLOC",TC23)))))</f>
        <v>#N/A</v>
      </c>
      <c r="WT23" s="136" t="e">
        <f t="array" aca="1" ref="WT23" ca="1">INDEX(Canals!$AB$24:$AB$29,MATCH(2,1/((Canals!$F$24:$F$29&lt;=$C23)*(Canals!$G$24:$G$29=_xlfn.IFS(SJ23="Handysize",Main!US23,SJ23="Supramax",UL23,SJ23="Panamax",UE23,SJ23="NeoPanamax",TX23,SJ23="Suezmax",TQ23,SJ23="Capesize",TJ23,SJ23="VLOC",TC23)))))</f>
        <v>#N/A</v>
      </c>
      <c r="WU23" s="75" t="e">
        <f t="array" aca="1" ref="WU23" ca="1">INDEX(Canals!$AC$24:$AC$29,MATCH(2,1/((Canals!$F$24:$F$29&lt;=$C23)*(Canals!$G$24:$G$29=_xlfn.IFS(SJ23="Handysize",Main!US23,SJ23="Supramax",UL23,SJ23="Panamax",UE23,SJ23="NeoPanamax",TX23,SJ23="Suezmax",TQ23,SJ23="Capesize",TJ23,SJ23="VLOC",TC23)))))</f>
        <v>#N/A</v>
      </c>
      <c r="WV23" s="75" t="e">
        <f t="array" aca="1" ref="WV23" ca="1">INDEX(Canals!$AD$24:$AD$29,MATCH(2,1/((Canals!$F$24:$F$29&lt;=$C23)*(Canals!$G$24:$G$29=_xlfn.IFS(SJ23="Handysize",Main!US23,SJ23="Supramax",UL23,SJ23="Panamax",UE23,SJ23="NeoPanamax",TX23,SJ23="Suezmax",TQ23,SJ23="Capesize",TJ23,SJ23="VLOC",TC23)))))</f>
        <v>#N/A</v>
      </c>
      <c r="WW23" s="75" t="e">
        <f t="array" aca="1" ref="WW23" ca="1">INDEX(Canals!$AE$24:$AE$29,MATCH(2,1/((Canals!$F$24:$F$29&lt;=$C23)*(Canals!$G$24:$G$29=_xlfn.IFS(SJ23="Handysize",Main!US23,SJ23="Supramax",UL23,SJ23="Panamax",UE23,SJ23="NeoPanamax",TX23,SJ23="Suezmax",TQ23,SJ23="Capesize",TJ23,SJ23="VLOC",TC23)))))</f>
        <v>#N/A</v>
      </c>
      <c r="WX23" s="75" t="e">
        <f t="array" aca="1" ref="WX23" ca="1">INDEX(Canals!$AF$24:$AF$29,MATCH(2,1/((Canals!$F$24:$F$29&lt;=$C23)*(Canals!$G$24:$G$29=_xlfn.IFS(SJ23="Handysize",Main!US23,SJ23="Supramax",UL23,SJ23="Panamax",UE23,SJ23="NeoPanamax",TX23,SJ23="Suezmax",TQ23,SJ23="Capesize",TJ23,SJ23="VLOC",TC23)))))</f>
        <v>#N/A</v>
      </c>
      <c r="WY23" s="75" t="e">
        <f t="array" aca="1" ref="WY23" ca="1">INDEX(Canals!$AG$24:$AG$29,MATCH(2,1/((Canals!$F$24:$F$29&lt;=$C23)*(Canals!$G$24:$G$29=_xlfn.IFS(SJ23="Handysize",Main!US23,SJ23="Supramax",UL23,SJ23="Panamax",UE23,SJ23="NeoPanamax",TX23,SJ23="Suezmax",TQ23,SJ23="Capesize",TJ23,SJ23="VLOC",TC23)))))</f>
        <v>#N/A</v>
      </c>
      <c r="WZ23" s="75" t="e">
        <f t="array" aca="1" ref="WZ23" ca="1">INDEX(Canals!$AH$24:$AH$29,MATCH(2,1/((Canals!$F$24:$F$29&lt;=$C23)*(Canals!$G$24:$G$29=_xlfn.IFS(SJ23="Handysize",Main!US23,SJ23="Supramax",UL23,SJ23="Panamax",UE23,SJ23="NeoPanamax",TX23,SJ23="Suezmax",TQ23,SJ23="Capesize",TJ23,SJ23="VLOC",TC23)))))</f>
        <v>#N/A</v>
      </c>
      <c r="XA23" s="75" t="e">
        <f t="array" aca="1" ref="XA23" ca="1">INDEX(Canals!$AI$24:$AI$29,MATCH(2,1/((Canals!$F$24:$F$29&lt;=$C23)*(Canals!$G$24:$G$29=_xlfn.IFS(SJ23="Handysize",Main!US23,SJ23="Supramax",UL23,SJ23="Panamax",UE23,SJ23="NeoPanamax",TX23,SJ23="Suezmax",TQ23,SJ23="Capesize",TJ23,SJ23="VLOC",TC23)))))</f>
        <v>#N/A</v>
      </c>
      <c r="XB23" s="75" t="e">
        <f t="array" aca="1" ref="XB23" ca="1">INDEX(Canals!$AJ$24:$AJ$29,MATCH(2,1/((Canals!$F$24:$F$29&lt;=$C23)*(Canals!$G$24:$G$29=_xlfn.IFS(SJ23="Handysize",Main!US23,SJ23="Supramax",UL23,SJ23="Panamax",UE23,SJ23="NeoPanamax",TX23,SJ23="Suezmax",TQ23,SJ23="Capesize",TJ23,SJ23="VLOC",TC23)))))</f>
        <v>#N/A</v>
      </c>
      <c r="XC23" s="75" t="e">
        <f t="array" aca="1" ref="XC23" ca="1">INDEX(Canals!$AK$24:$AK$29,MATCH(2,1/((Canals!$F$24:$F$29&lt;=$C23)*(Canals!$G$24:$G$29=_xlfn.IFS(SJ23="Handysize",Main!US23,SJ23="Supramax",UL23,SJ23="Panamax",UE23,SJ23="NeoPanamax",TX23,SJ23="Suezmax",TQ23,SJ23="Capesize",TJ23,SJ23="VLOC",TC23)))))</f>
        <v>#N/A</v>
      </c>
      <c r="XD23" s="136" t="e">
        <f t="array" aca="1" ref="XD23" ca="1">INDEX(Canals!$AL$24:$AL$29,MATCH(2,1/((Canals!$F$24:$F$29&lt;=$C23)*(Canals!$G$24:$G$29=_xlfn.IFS(SJ23="Handysize",Main!US23,SJ23="Supramax",UL23,SJ23="Panamax",UE23,SJ23="NeoPanamax",TX23,SJ23="Suezmax",TQ23,SJ23="Capesize",TJ23,SJ23="VLOC",TC23)))))</f>
        <v>#N/A</v>
      </c>
      <c r="XE23" s="136" t="e">
        <f t="array" aca="1" ref="XE23" ca="1">INDEX(Canals!$AM$24:$AM$29,MATCH(2,1/((Canals!$F$24:$F$29&lt;=$C23)*(Canals!$G$24:$G$29=_xlfn.IFS(SJ23="Handysize",Main!US23,SJ23="Supramax",UL23,SJ23="Panamax",UE23,SJ23="NeoPanamax",TX23,SJ23="Suezmax",TQ23,SJ23="Capesize",TJ23,SJ23="VLOC",TC23)))))</f>
        <v>#N/A</v>
      </c>
      <c r="XF23" s="136" t="e">
        <f t="array" aca="1" ref="XF23" ca="1">INDEX(Canals!$AN$24:$AN$29,MATCH(2,1/((Canals!$F$24:$F$29&lt;=$C23)*(Canals!$G$24:$G$29=_xlfn.IFS(SJ23="Handysize",Main!US23,SJ23="Supramax",UL23,SJ23="Panamax",UE23,SJ23="NeoPanamax",TX23,SJ23="Suezmax",TQ23,SJ23="Capesize",TJ23,SJ23="VLOC",TC23)))))</f>
        <v>#N/A</v>
      </c>
      <c r="XG23" s="136" t="e">
        <f t="array" aca="1" ref="XG23" ca="1">INDEX(Canals!$AO$24:$AO$29,MATCH(2,1/((Canals!$F$24:$F$29&lt;=$C23)*(Canals!$G$24:$G$29=_xlfn.IFS(SJ23="Handysize",Main!US23,SJ23="Supramax",UL23,SJ23="Panamax",UE23,SJ23="NeoPanamax",TX23,SJ23="Suezmax",TQ23,SJ23="Capesize",TJ23,SJ23="VLOC",TC23)))))</f>
        <v>#N/A</v>
      </c>
      <c r="XH23" s="136" t="e">
        <f t="array" aca="1" ref="XH23" ca="1">INDEX(Canals!$AP$24:$AP$29,MATCH(2,1/((Canals!$F$24:$F$29&lt;=$C23)*(Canals!$G$24:$G$29=_xlfn.IFS(SJ23="Handysize",Main!US23,SJ23="Supramax",UL23,SJ23="Panamax",UE23,SJ23="NeoPanamax",TX23,SJ23="Suezmax",TQ23,SJ23="Capesize",TJ23,SJ23="VLOC",TC23)))))</f>
        <v>#N/A</v>
      </c>
      <c r="XI23" s="136" t="e">
        <f t="array" aca="1" ref="XI23" ca="1">INDEX(Canals!$AQ$24:$AQ$29,MATCH(2,1/((Canals!$F$24:$F$29&lt;=$C23)*(Canals!$G$24:$G$29=_xlfn.IFS(SJ23="Handysize",Main!US23,SJ23="Supramax",UL23,SJ23="Panamax",UE23,SJ23="NeoPanamax",TX23,SJ23="Suezmax",TQ23,SJ23="Capesize",TJ23,SJ23="VLOC",TC23)))))</f>
        <v>#N/A</v>
      </c>
      <c r="XJ23" s="136" t="e">
        <f t="array" aca="1" ref="XJ23" ca="1">INDEX(Canals!$AR$24:$AR$29,MATCH(2,1/((Canals!$F$24:$F$29&lt;=$C23)*(Canals!$G$24:$G$29=_xlfn.IFS(SJ23="Handysize",Main!US23,SJ23="Supramax",UL23,SJ23="Panamax",UE23,SJ23="NeoPanamax",TX23,SJ23="Suezmax",TQ23,SJ23="Capesize",TJ23,SJ23="VLOC",TC23)))))</f>
        <v>#N/A</v>
      </c>
      <c r="XK23" s="136" t="e">
        <f t="array" aca="1" ref="XK23" ca="1">INDEX(Canals!$AS$24:$AS$29,MATCH(2,1/((Canals!$F$24:$F$29&lt;=$C23)*(Canals!$G$24:$G$29=_xlfn.IFS(SJ23="Handysize",Main!US23,SJ23="Supramax",UL23,SJ23="Panamax",UE23,SJ23="NeoPanamax",TX23,SJ23="Suezmax",TQ23,SJ23="Capesize",TJ23,SJ23="VLOC",TC23)))))</f>
        <v>#N/A</v>
      </c>
      <c r="XL23" s="136" t="e">
        <f t="array" aca="1" ref="XL23" ca="1">INDEX(Canals!$AT$24:$AT$29,MATCH(2,1/((Canals!$F$24:$F$29&lt;=$C23)*(Canals!$G$24:$G$29=_xlfn.IFS(SJ23="Handysize",Main!US23,SJ23="Supramax",UL23,SJ23="Panamax",UE23,SJ23="NeoPanamax",TX23,SJ23="Suezmax",TQ23,SJ23="Capesize",TJ23,SJ23="VLOC",TC23)))))</f>
        <v>#N/A</v>
      </c>
      <c r="XM23" s="136" t="e">
        <f t="array" aca="1" ref="XM23" ca="1">INDEX(Canals!$AU$24:$AU$29,MATCH(2,1/((Canals!$F$24:$F$29&lt;=$C23)*(Canals!$G$24:$G$29=_xlfn.IFS(SJ23="Handysize",Main!US23,SJ23="Supramax",UL23,SJ23="Panamax",UE23,SJ23="NeoPanamax",TX23,SJ23="Suezmax",TQ23,SJ23="Capesize",TJ23,SJ23="VLOC",TC23)))))</f>
        <v>#N/A</v>
      </c>
      <c r="XN23" s="136" t="e">
        <f t="array" aca="1" ref="XN23" ca="1">INDEX(Canals!$AV$24:$AV$29,MATCH(2,1/((Canals!$F$24:$F$29&lt;=$C23)*(Canals!$G$24:$G$29=_xlfn.IFS(SJ23="Handysize",Main!US23,SJ23="Supramax",UL23,SJ23="Panamax",UE23,SJ23="NeoPanamax",TX23,SJ23="Suezmax",TQ23,SJ23="Capesize",TJ23,SJ23="VLOC",TC23)))))</f>
        <v>#N/A</v>
      </c>
      <c r="XP23" s="75" t="e">
        <f t="array" aca="1" ref="XP23" ca="1">_xlfn.IFS(WA23="DWT",SH23,WA23="NRT",SL23,WA23="GRT",SM23,WA23=0,0)</f>
        <v>#NAME?</v>
      </c>
      <c r="XQ23" s="279" t="e">
        <f t="shared" ca="1" si="125"/>
        <v>#NAME?</v>
      </c>
      <c r="XR23" s="280" t="e">
        <f t="shared" ca="1" si="126"/>
        <v>#NAME?</v>
      </c>
      <c r="XS23" s="280" t="e">
        <f t="shared" ca="1" si="127"/>
        <v>#NAME?</v>
      </c>
      <c r="XT23" s="280" t="e">
        <f t="shared" ca="1" si="128"/>
        <v>#NAME?</v>
      </c>
      <c r="XU23" s="280" t="e">
        <f t="shared" ca="1" si="129"/>
        <v>#NAME?</v>
      </c>
      <c r="XV23" s="280" t="e">
        <f t="shared" ca="1" si="130"/>
        <v>#NAME?</v>
      </c>
      <c r="XW23" s="280" t="e">
        <f t="shared" ca="1" si="131"/>
        <v>#NAME?</v>
      </c>
      <c r="XX23" s="280" t="e">
        <f t="shared" ca="1" si="132"/>
        <v>#NAME?</v>
      </c>
      <c r="XY23" s="280" t="e">
        <f t="shared" ca="1" si="133"/>
        <v>#NAME?</v>
      </c>
      <c r="XZ23" s="75">
        <f t="shared" si="134"/>
        <v>159090.90909090909</v>
      </c>
      <c r="YA23" s="279" t="e">
        <f t="shared" ca="1" si="135"/>
        <v>#N/A</v>
      </c>
      <c r="YB23" s="280" t="e">
        <f t="shared" ca="1" si="136"/>
        <v>#N/A</v>
      </c>
      <c r="YC23" s="280" t="e">
        <f t="shared" ca="1" si="137"/>
        <v>#N/A</v>
      </c>
      <c r="YD23" s="280" t="e">
        <f t="shared" ca="1" si="138"/>
        <v>#N/A</v>
      </c>
      <c r="YE23" s="280" t="e">
        <f t="shared" ca="1" si="139"/>
        <v>#N/A</v>
      </c>
      <c r="YF23" s="280" t="e">
        <f t="shared" ca="1" si="140"/>
        <v>#N/A</v>
      </c>
      <c r="YG23" s="280" t="e">
        <f t="shared" ca="1" si="141"/>
        <v>#N/A</v>
      </c>
      <c r="YH23" s="280" t="e">
        <f t="shared" ca="1" si="142"/>
        <v>#N/A</v>
      </c>
      <c r="YI23" s="280" t="e">
        <f t="shared" ca="1" si="143"/>
        <v>#N/A</v>
      </c>
      <c r="YK23" s="75" t="e">
        <f t="array" aca="1" ref="YK23" ca="1">_xlfn.IFS(SJ23="Handysize",Main!UM23,SJ23="Supramax",UF23,SJ23="Panamax",TY23,SJ23="NeoPanamax",TR23,SJ23="Suezmax",TK23,SJ23="Capesize",TD23,SJ23="VLOC",SW23)*$JI23</f>
        <v>#NAME?</v>
      </c>
      <c r="YL23" s="274" t="e">
        <f t="array" aca="1" ref="YL23" ca="1">_xlfn.IFS(SJ23="Handysize",Main!UN23,SJ23="Supramax",UG23,SJ23="Panamax",TZ23,SJ23="NeoPanamax",TS23,SJ23="Suezmax",TL23,SJ23="Capesize",TE23,SJ23="VLOC",SX23)*$JI23</f>
        <v>#NAME?</v>
      </c>
      <c r="YM23" s="71" t="e">
        <f t="array" aca="1" ref="YM23" ca="1">_xlfn.IFS(SJ23="Handysize",Main!SO23,SJ23="Supramax",SP23,SJ23="Panamax",SQ23,SJ23="NeoPanamax",SR23,SJ23="Suezmax",SS23,SJ23="Capesize",ST23,SJ23="VLOC",SU23)</f>
        <v>#NAME?</v>
      </c>
      <c r="YN23" s="71" t="e">
        <f t="array" aca="1" ref="YN23" ca="1">_xlfn.IFS(SJ23="Handysize",Main!VA23,SJ23="Supramax",VB23,SJ23="Panamax",VC23,SJ23="NeoPanamax",VD23,SJ23="Suezmax",VE23,SJ23="Capesize",VF23,SJ23="VLOC",VG23)</f>
        <v>#NAME?</v>
      </c>
      <c r="YO23" s="70">
        <f t="array" ref="YO23">INDEX('Ship Speeds'!$G$11:$G$1011,MATCH(2,1/(('Ship Speeds'!$E$11:$E$1011&lt;=Main!$C23)*('Ship Speeds'!$F$11:$F$1011=Main!SI23))))</f>
        <v>11</v>
      </c>
      <c r="YP23" s="403">
        <f t="shared" si="144"/>
        <v>33.759451753283166</v>
      </c>
      <c r="YQ23" s="401">
        <f t="shared" si="145"/>
        <v>2.942657342657343</v>
      </c>
      <c r="YR23" s="70" t="e">
        <f t="shared" ca="1" si="146"/>
        <v>#NAME?</v>
      </c>
      <c r="YS23" s="70" t="e">
        <f t="shared" ca="1" si="147"/>
        <v>#NAME?</v>
      </c>
      <c r="YT23" s="70" t="e">
        <f t="shared" ca="1" si="148"/>
        <v>#NAME?</v>
      </c>
      <c r="YU23" s="70" t="e">
        <f t="shared" ca="1" si="149"/>
        <v>#NAME?</v>
      </c>
      <c r="YV23" s="72" t="e">
        <f t="shared" ca="1" si="150"/>
        <v>#N/A</v>
      </c>
      <c r="YW23" s="70" t="e">
        <f t="shared" ca="1" si="151"/>
        <v>#NAME?</v>
      </c>
      <c r="YX23" s="70" t="e">
        <f t="array" aca="1" ref="YX23" ca="1">IF(YK23=0,0,INDEX(UU23:UY23,MATCH(_xlfn.IFS(SJ23="Handysize",Main!UQ23,SJ23="Supramax",UJ23,SJ23="Panamax",UC23,SJ23="NeoPanamax",TV23,SJ23="Suezmax",TO23,SJ23="Capesize",TH23,SJ23="VLOC",TA23),$UU$7:$UY$7,0)))</f>
        <v>#NAME?</v>
      </c>
      <c r="YY23" s="70" t="e">
        <f t="array" aca="1" ref="YY23" ca="1">IF(YK23=0,0,INDEX(UU23:UY23,MATCH(_xlfn.IFS(SJ23="Handysize",Main!UR23,SJ23="Supramax",UK23,SJ23="Panamax",UD23,SJ23="NeoPanamax",TW23,SJ23="Suezmax",TP23,SJ23="Capesize",TI23,SJ23="VLOC",TB23),$UU$7:$UY$7,0)))</f>
        <v>#NAME?</v>
      </c>
      <c r="YZ23" s="71" t="e">
        <f t="shared" ca="1" si="152"/>
        <v>#NAME?</v>
      </c>
      <c r="ZA23" s="71" t="e">
        <f t="shared" ca="1" si="153"/>
        <v>#NAME?</v>
      </c>
      <c r="ZB23" s="281" t="e">
        <f t="shared" ca="1" si="154"/>
        <v>#NAME?</v>
      </c>
      <c r="ZC23" s="71" t="e">
        <f t="shared" ca="1" si="155"/>
        <v>#NAME?</v>
      </c>
      <c r="ZD23" s="71" t="e">
        <f t="shared" ca="1" si="156"/>
        <v>#NAME?</v>
      </c>
      <c r="ZE23" s="71" t="e">
        <f t="shared" ca="1" si="157"/>
        <v>#NAME?</v>
      </c>
      <c r="ZF23" s="71" t="e">
        <f t="shared" ca="1" si="158"/>
        <v>#NAME?</v>
      </c>
      <c r="ZG23" s="71" t="e">
        <f t="shared" ca="1" si="159"/>
        <v>#NAME?</v>
      </c>
      <c r="ZH23" s="71" t="e">
        <f t="shared" ca="1" si="160"/>
        <v>#NAME?</v>
      </c>
      <c r="ZI23" s="71" t="e">
        <f t="shared" ca="1" si="161"/>
        <v>#NAME?</v>
      </c>
      <c r="ZJ23" s="71" t="e">
        <f t="shared" ca="1" si="162"/>
        <v>#NAME?</v>
      </c>
      <c r="ZK23" s="71" t="e">
        <f t="shared" ca="1" si="163"/>
        <v>#NAME?</v>
      </c>
      <c r="ZL23" s="71" t="e">
        <f t="shared" ca="1" si="164"/>
        <v>#NAME?</v>
      </c>
      <c r="ZM23" s="71" t="e">
        <f t="shared" ca="1" si="165"/>
        <v>#NAME?</v>
      </c>
      <c r="ZN23" s="71" t="e">
        <f t="shared" ca="1" si="166"/>
        <v>#NAME?</v>
      </c>
      <c r="ZO23" s="72" t="e">
        <f t="shared" ca="1" si="167"/>
        <v>#NAME?</v>
      </c>
      <c r="ZP23" s="72" t="e">
        <f t="shared" ca="1" si="168"/>
        <v>#NAME?</v>
      </c>
      <c r="ZQ23" s="71" t="e">
        <f t="shared" ca="1" si="169"/>
        <v>#NAME?</v>
      </c>
      <c r="ZR23" s="71" t="e">
        <f t="array" aca="1" ref="ZR23" ca="1">IF(YK23=0,0,INDEX('Ship Time Charter Rates'!$H$22:$H$1021,MATCH(2,1/(('Ship Time Charter Rates'!$G$22:$G$1021=_xlfn.IFS(SJ23="Handysize",Main!UO23,SJ23="Supramax",UH23,SJ23="Panamax",UA23,SJ23="NeoPanamax",TT23,SJ23="Suezmax",TM23,SJ23="Capesize",TF23,SJ23="VLOC",SY23))*('Ship Time Charter Rates'!$E$22:$E$1021&lt;=Main!$C23)*(NOT(ISBLANK('Ship Time Charter Rates'!$H$22:$H$1021)))))))</f>
        <v>#NAME?</v>
      </c>
      <c r="ZS23" s="71" t="e">
        <f t="shared" ca="1" si="170"/>
        <v>#NAME?</v>
      </c>
      <c r="ZT23" s="70" t="e">
        <f t="shared" ca="1" si="171"/>
        <v>#NAME?</v>
      </c>
      <c r="ZU23" s="71" t="e">
        <f t="shared" ca="1" si="172"/>
        <v>#NAME?</v>
      </c>
      <c r="ZV23" s="71" t="e">
        <f t="shared" ca="1" si="304"/>
        <v>#NAME?</v>
      </c>
      <c r="ZW23" s="72" t="e">
        <f ca="1">IF(ZV23=0,0,ZV23/(SH23*(1-$AL23)*$JN23))</f>
        <v>#NAME?</v>
      </c>
      <c r="ZY23" s="287" t="s">
        <v>39</v>
      </c>
      <c r="AAA23" s="25">
        <f t="shared" si="322"/>
        <v>54390.054390054385</v>
      </c>
      <c r="AAB23" s="4" t="str">
        <f>VLOOKUP(AAA23,'Ship Time Charter Rates'!$F$10:$G$17,2,TRUE)</f>
        <v>Supramax</v>
      </c>
      <c r="AAC23" s="4" t="str">
        <f>VLOOKUP(AAA23,Canals!$E$5:$F$12,2,TRUE)</f>
        <v>Supramax</v>
      </c>
      <c r="AAD23" s="25">
        <f t="shared" si="173"/>
        <v>193.37251748251748</v>
      </c>
      <c r="AAE23" s="25">
        <f t="shared" si="174"/>
        <v>21940.947940947939</v>
      </c>
      <c r="AAF23" s="25">
        <f t="shared" si="175"/>
        <v>33019.99922299922</v>
      </c>
      <c r="AAH23" s="75">
        <f t="array" ref="AAH23">INDEX('Indices Mines Exporting Ports'!$R$20:$R$51,MATCH(2,1/(('Indices Mines Exporting Ports'!$D$20:$D$51&lt;=Main!$C23)*('Indices Mines Exporting Ports'!$Q$20:$Q$51=$AP23))))</f>
        <v>30000</v>
      </c>
      <c r="AAI23" s="75">
        <f t="array" ref="AAI23">INDEX('Indices Mines Exporting Ports'!$S$20:$S$51,MATCH(2,1/(('Indices Mines Exporting Ports'!$D$20:$D$51&lt;=Main!$C23)*('Indices Mines Exporting Ports'!$Q$20:$Q$51=$AP23))))</f>
        <v>30000</v>
      </c>
      <c r="AAJ23" s="75">
        <f t="array" ref="AAJ23">INDEX('Indices Mines Exporting Ports'!$T$20:$T$51,MATCH(2,1/(('Indices Mines Exporting Ports'!$D$20:$D$51&lt;=Main!$C23)*('Indices Mines Exporting Ports'!$Q$20:$Q$51=$AP23))))</f>
        <v>30000</v>
      </c>
      <c r="AAK23" s="75">
        <f t="array" ref="AAK23">INDEX('Indices Mines Exporting Ports'!$U$20:$U$51,MATCH(2,1/(('Indices Mines Exporting Ports'!$D$20:$D$51&lt;=Main!$C23)*('Indices Mines Exporting Ports'!$Q$20:$Q$51=$AP23))))</f>
        <v>30000</v>
      </c>
      <c r="AAL23" s="75">
        <f t="array" ref="AAL23">INDEX('Indices Mines Exporting Ports'!$V$20:$V$51,MATCH(2,1/(('Indices Mines Exporting Ports'!$D$20:$D$51&lt;=Main!$C23)*('Indices Mines Exporting Ports'!$Q$20:$Q$51=$AP23))))</f>
        <v>30000</v>
      </c>
      <c r="AAM23" s="75">
        <f t="array" ref="AAM23">INDEX('Indices Mines Exporting Ports'!$W$20:$W$51,MATCH(2,1/(('Indices Mines Exporting Ports'!$D$20:$D$51&lt;=Main!$C23)*('Indices Mines Exporting Ports'!$Q$20:$Q$51=$AP23))))</f>
        <v>30000</v>
      </c>
      <c r="AAN23" s="75">
        <f t="array" ref="AAN23">INDEX('Indices Mines Exporting Ports'!$X$20:$X$51,MATCH(2,1/(('Indices Mines Exporting Ports'!$D$20:$D$51&lt;=Main!$C23)*('Indices Mines Exporting Ports'!$Q$20:$Q$51=$AP23))))</f>
        <v>30000</v>
      </c>
      <c r="AAP23" s="75" t="e">
        <f t="array" ref="AAP23">INDEX('Port Linkages'!$E$18:$E$157,MATCH(2,1/(('Port Linkages'!$C$18:$C$157=$AP23)*('Port Linkages'!$D$18:$D$157=IF($AO23="Yes",$AQ23,$KK23))*('Port Linkages'!$A$18:$A$157&lt;=$C23))))</f>
        <v>#N/A</v>
      </c>
      <c r="AAQ23" s="75">
        <f t="array" ref="AAQ23">INDEX('Port Linkages'!$F$18:$F$157,MATCH(2,1/(('Port Linkages'!$C$18:$C$157=$AP23)*('Port Linkages'!$D$18:$D$157=IF($AO23="Yes",$AQ23,$KK23))*('Port Linkages'!$A$18:$A$157&lt;=$C23))))</f>
        <v>0</v>
      </c>
      <c r="AAR23" s="75" t="str">
        <f t="array" ref="AAR23">INDEX('Port Linkages'!$G$18:$G$157,MATCH(2,1/(('Port Linkages'!$C$18:$C$157=$AP23)*('Port Linkages'!$D$18:$D$157=IF($AO23="Yes",$AQ23,$KK23))*('Port Linkages'!$A$18:$A$157&lt;=$C23))))</f>
        <v>VLOC_General</v>
      </c>
      <c r="AAS23" s="75" t="str">
        <f t="array" ref="AAS23">INDEX('Port Linkages'!$H$18:$H$157,MATCH(2,1/(('Port Linkages'!$C$18:$C$157=$AP23)*('Port Linkages'!$D$18:$D$157=IF($AO23="Yes",$AQ23,$KK23))*('Port Linkages'!$A$18:$A$157&lt;=$C23))))</f>
        <v>Singapore</v>
      </c>
      <c r="AAT23" s="75" t="str">
        <f t="array" ref="AAT23">INDEX('Port Linkages'!$I$18:$I$157,MATCH(2,1/(('Port Linkages'!$C$18:$C$157=$AP23)*('Port Linkages'!$D$18:$D$157=IF($AO23="Yes",$AQ23,$KK23))*('Port Linkages'!$A$18:$A$157&lt;=$C23))))</f>
        <v>VLSFO</v>
      </c>
      <c r="AAU23" s="75" t="str">
        <f t="array" ref="AAU23">INDEX('Port Linkages'!$J$18:$J$157,MATCH(2,1/(('Port Linkages'!$C$18:$C$157=$AP23)*('Port Linkages'!$D$18:$D$157=IF($AO23="Yes",$AQ23,$KK23))*('Port Linkages'!$A$18:$A$157&lt;=$C23))))</f>
        <v>MGO_Regular</v>
      </c>
      <c r="AAV23" s="75" t="str">
        <f t="array" ref="AAV23">INDEX('Port Linkages'!$K$18:$K$157,MATCH(2,1/(('Port Linkages'!$C$18:$C$157=$AP23)*('Port Linkages'!$D$18:$D$157=IF($AO23="Yes",$AQ23,$KK23))*('Port Linkages'!$A$18:$A$157&lt;=$C23))))</f>
        <v>none</v>
      </c>
      <c r="AAW23" s="75" t="e">
        <f t="array" ref="AAW23">INDEX('Port Linkages'!$L$18:$L$157,MATCH(2,1/(('Port Linkages'!$C$18:$C$157=$AP23)*('Port Linkages'!$D$18:$D$157=IF($AO23="Yes",$AQ23,$KK23))*('Port Linkages'!$A$18:$A$157&lt;=$C23))))</f>
        <v>#N/A</v>
      </c>
      <c r="AAX23" s="75">
        <f t="array" ref="AAX23">INDEX('Port Linkages'!$M$18:$M$157,MATCH(2,1/(('Port Linkages'!$C$18:$C$157=$AP23)*('Port Linkages'!$D$18:$D$157=IF($AO23="Yes",$AQ23,$KK23))*('Port Linkages'!$A$18:$A$157&lt;=$C23))))</f>
        <v>0</v>
      </c>
      <c r="AAY23" s="75" t="str">
        <f t="array" ref="AAY23">INDEX('Port Linkages'!$N$18:$N$157,MATCH(2,1/(('Port Linkages'!$C$18:$C$157=$AP23)*('Port Linkages'!$D$18:$D$157=IF($AO23="Yes",$AQ23,$KK23))*('Port Linkages'!$A$18:$A$157&lt;=$C23))))</f>
        <v>Capesize_General</v>
      </c>
      <c r="AAZ23" s="75" t="str">
        <f t="array" ref="AAZ23">INDEX('Port Linkages'!$O$18:$O$157,MATCH(2,1/(('Port Linkages'!$C$18:$C$157=$AP23)*('Port Linkages'!$D$18:$D$157=IF($AO23="Yes",$AQ23,$KK23))*('Port Linkages'!$A$18:$A$157&lt;=$C23))))</f>
        <v>Singapore</v>
      </c>
      <c r="ABA23" s="75" t="str">
        <f t="array" ref="ABA23">INDEX('Port Linkages'!$P$18:$P$157,MATCH(2,1/(('Port Linkages'!$C$18:$C$157=$AP23)*('Port Linkages'!$D$18:$D$157=IF($AO23="Yes",$AQ23,$KK23))*('Port Linkages'!$A$18:$A$157&lt;=$C23))))</f>
        <v>VLSFO</v>
      </c>
      <c r="ABB23" s="75" t="str">
        <f t="array" ref="ABB23">INDEX('Port Linkages'!$Q$18:$Q$157,MATCH(2,1/(('Port Linkages'!$C$18:$C$157=$AP23)*('Port Linkages'!$D$18:$D$157=IF($AO23="Yes",$AQ23,$KK23))*('Port Linkages'!$A$18:$A$157&lt;=$C23))))</f>
        <v>MGO_Regular</v>
      </c>
      <c r="ABC23" s="75" t="str">
        <f t="array" ref="ABC23">INDEX('Port Linkages'!$R$18:$R$157,MATCH(2,1/(('Port Linkages'!$C$18:$C$157=$AP23)*('Port Linkages'!$D$18:$D$157=IF($AO23="Yes",$AQ23,$KK23))*('Port Linkages'!$A$18:$A$157&lt;=$C23))))</f>
        <v>none</v>
      </c>
      <c r="ABD23" s="75" t="e">
        <f t="array" ref="ABD23">INDEX('Port Linkages'!$S$18:$S$157,MATCH(2,1/(('Port Linkages'!$C$18:$C$157=$AP23)*('Port Linkages'!$D$18:$D$157=IF($AO23="Yes",$AQ23,$KK23))*('Port Linkages'!$A$18:$A$157&lt;=$C23))))</f>
        <v>#N/A</v>
      </c>
      <c r="ABE23" s="75">
        <f t="array" ref="ABE23">INDEX('Port Linkages'!$T$18:$T$157,MATCH(2,1/(('Port Linkages'!$C$18:$C$157=$AP23)*('Port Linkages'!$D$18:$D$157=IF($AO23="Yes",$AQ23,$KK23))*('Port Linkages'!$A$18:$A$157&lt;=$C23))))</f>
        <v>0</v>
      </c>
      <c r="ABF23" s="75" t="str">
        <f t="array" ref="ABF23">INDEX('Port Linkages'!$U$18:$U$157,MATCH(2,1/(('Port Linkages'!$C$18:$C$157=$AP23)*('Port Linkages'!$D$18:$D$157=IF($AO23="Yes",$AQ23,$KK23))*('Port Linkages'!$A$18:$A$157&lt;=$C23))))</f>
        <v>Capesize_General</v>
      </c>
      <c r="ABG23" s="75" t="str">
        <f t="array" ref="ABG23">INDEX('Port Linkages'!$V$18:$V$157,MATCH(2,1/(('Port Linkages'!$C$18:$C$157=$AP23)*('Port Linkages'!$D$18:$D$157=IF($AO23="Yes",$AQ23,$KK23))*('Port Linkages'!$A$18:$A$157&lt;=$C23))))</f>
        <v>Singapore</v>
      </c>
      <c r="ABH23" s="75" t="str">
        <f t="array" ref="ABH23">INDEX('Port Linkages'!$W$18:$W$157,MATCH(2,1/(('Port Linkages'!$C$18:$C$157=$AP23)*('Port Linkages'!$D$18:$D$157=IF($AO23="Yes",$AQ23,$KK23))*('Port Linkages'!$A$18:$A$157&lt;=$C23))))</f>
        <v>VLSFO</v>
      </c>
      <c r="ABI23" s="75" t="str">
        <f t="array" ref="ABI23">INDEX('Port Linkages'!$X$18:$X$157,MATCH(2,1/(('Port Linkages'!$C$18:$C$157=$AP23)*('Port Linkages'!$D$18:$D$157=IF($AO23="Yes",$AQ23,$KK23))*('Port Linkages'!$A$18:$A$157&lt;=$C23))))</f>
        <v>MGO_Regular</v>
      </c>
      <c r="ABJ23" s="75" t="str">
        <f t="array" ref="ABJ23">INDEX('Port Linkages'!$Y$18:$Y$157,MATCH(2,1/(('Port Linkages'!$C$18:$C$157=$AP23)*('Port Linkages'!$D$18:$D$157=IF($AO23="Yes",$AQ23,$KK23))*('Port Linkages'!$A$18:$A$157&lt;=$C23))))</f>
        <v>none</v>
      </c>
      <c r="ABK23" s="75" t="e">
        <f t="array" ref="ABK23">INDEX('Port Linkages'!$Z$18:$Z$157,MATCH(2,1/(('Port Linkages'!$C$18:$C$157=$AP23)*('Port Linkages'!$D$18:$D$157=IF($AO23="Yes",$AQ23,$KK23))*('Port Linkages'!$A$18:$A$157&lt;=$C23))))</f>
        <v>#N/A</v>
      </c>
      <c r="ABL23" s="75">
        <f t="array" ref="ABL23">INDEX('Port Linkages'!$AA$18:$AA$157,MATCH(2,1/(('Port Linkages'!$C$18:$C$157=$AP23)*('Port Linkages'!$D$18:$D$157=IF($AO23="Yes",$AQ23,$KK23))*('Port Linkages'!$A$18:$A$157&lt;=$C23))))</f>
        <v>0</v>
      </c>
      <c r="ABM23" s="75" t="str">
        <f t="array" ref="ABM23">INDEX('Port Linkages'!$AB$18:$AB$157,MATCH(2,1/(('Port Linkages'!$C$18:$C$157=$AP23)*('Port Linkages'!$D$18:$D$157=IF($AO23="Yes",$AQ23,$KK23))*('Port Linkages'!$A$18:$A$157&lt;=$C23))))</f>
        <v>Capesize_General</v>
      </c>
      <c r="ABN23" s="75" t="str">
        <f t="array" ref="ABN23">INDEX('Port Linkages'!$AC$18:$AC$157,MATCH(2,1/(('Port Linkages'!$C$18:$C$157=$AP23)*('Port Linkages'!$D$18:$D$157=IF($AO23="Yes",$AQ23,$KK23))*('Port Linkages'!$A$18:$A$157&lt;=$C23))))</f>
        <v>Singapore</v>
      </c>
      <c r="ABO23" s="75" t="str">
        <f t="array" ref="ABO23">INDEX('Port Linkages'!$AD$18:$AD$157,MATCH(2,1/(('Port Linkages'!$C$18:$C$157=$AP23)*('Port Linkages'!$D$18:$D$157=IF($AO23="Yes",$AQ23,$KK23))*('Port Linkages'!$A$18:$A$157&lt;=$C23))))</f>
        <v>VLSFO</v>
      </c>
      <c r="ABP23" s="75" t="str">
        <f t="array" ref="ABP23">INDEX('Port Linkages'!$AE$18:$AE$157,MATCH(2,1/(('Port Linkages'!$C$18:$C$157=$AP23)*('Port Linkages'!$D$18:$D$157=IF($AO23="Yes",$AQ23,$KK23))*('Port Linkages'!$A$18:$A$157&lt;=$C23))))</f>
        <v>MGO_Regular</v>
      </c>
      <c r="ABQ23" s="75" t="str">
        <f t="array" ref="ABQ23">INDEX('Port Linkages'!$AF$18:$AF$157,MATCH(2,1/(('Port Linkages'!$C$18:$C$157=$AP23)*('Port Linkages'!$D$18:$D$157=IF($AO23="Yes",$AQ23,$KK23))*('Port Linkages'!$A$18:$A$157&lt;=$C23))))</f>
        <v>none</v>
      </c>
      <c r="ABR23" s="75">
        <f t="array" ref="ABR23">INDEX('Port Linkages'!$AG$18:$AG$157,MATCH(2,1/(('Port Linkages'!$C$18:$C$157=$AP23)*('Port Linkages'!$D$18:$D$157=IF($AO23="Yes",$AQ23,$KK23))*('Port Linkages'!$A$18:$A$157&lt;=$C23))))</f>
        <v>1623</v>
      </c>
      <c r="ABS23" s="75">
        <f t="array" ref="ABS23">INDEX('Port Linkages'!$AH$18:$AH$157,MATCH(2,1/(('Port Linkages'!$C$18:$C$157=$AP23)*('Port Linkages'!$D$18:$D$157=IF($AO23="Yes",$AQ23,$KK23))*('Port Linkages'!$A$18:$A$157&lt;=$C23))))</f>
        <v>0</v>
      </c>
      <c r="ABT23" s="75" t="str">
        <f t="array" ref="ABT23">INDEX('Port Linkages'!$AI$18:$AI$157,MATCH(2,1/(('Port Linkages'!$C$18:$C$157=$AP23)*('Port Linkages'!$D$18:$D$157=IF($AO23="Yes",$AQ23,$KK23))*('Port Linkages'!$A$18:$A$157&lt;=$C23))))</f>
        <v>Panamax_General</v>
      </c>
      <c r="ABU23" s="75" t="str">
        <f t="array" ref="ABU23">INDEX('Port Linkages'!$AJ$18:$AJ$157,MATCH(2,1/(('Port Linkages'!$C$18:$C$157=$AP23)*('Port Linkages'!$D$18:$D$157=IF($AO23="Yes",$AQ23,$KK23))*('Port Linkages'!$A$18:$A$157&lt;=$C23))))</f>
        <v>Singapore</v>
      </c>
      <c r="ABV23" s="75" t="str">
        <f t="array" ref="ABV23">INDEX('Port Linkages'!$AK$18:$AK$157,MATCH(2,1/(('Port Linkages'!$C$18:$C$157=$AP23)*('Port Linkages'!$D$18:$D$157=IF($AO23="Yes",$AQ23,$KK23))*('Port Linkages'!$A$18:$A$157&lt;=$C23))))</f>
        <v>VLSFO</v>
      </c>
      <c r="ABW23" s="75" t="str">
        <f t="array" ref="ABW23">INDEX('Port Linkages'!$AL$18:$AL$157,MATCH(2,1/(('Port Linkages'!$C$18:$C$157=$AP23)*('Port Linkages'!$D$18:$D$157=IF($AO23="Yes",$AQ23,$KK23))*('Port Linkages'!$A$18:$A$157&lt;=$C23))))</f>
        <v>MGO_Regular</v>
      </c>
      <c r="ABX23" s="75" t="str">
        <f t="array" ref="ABX23">INDEX('Port Linkages'!$AM$18:$AM$157,MATCH(2,1/(('Port Linkages'!$C$18:$C$157=$AP23)*('Port Linkages'!$D$18:$D$157=IF($AO23="Yes",$AQ23,$KK23))*('Port Linkages'!$A$18:$A$157&lt;=$C23))))</f>
        <v>none</v>
      </c>
      <c r="ABY23" s="75">
        <f t="array" ref="ABY23">INDEX('Port Linkages'!$AN$18:$AN$157,MATCH(2,1/(('Port Linkages'!$C$18:$C$157=$AP23)*('Port Linkages'!$D$18:$D$157=IF($AO23="Yes",$AQ23,$KK23))*('Port Linkages'!$A$18:$A$157&lt;=$C23))))</f>
        <v>1632</v>
      </c>
      <c r="ABZ23" s="75">
        <f t="array" ref="ABZ23">INDEX('Port Linkages'!$AO$18:$AO$157,MATCH(2,1/(('Port Linkages'!$C$18:$C$157=$AP23)*('Port Linkages'!$D$18:$D$157=IF($AO23="Yes",$AQ23,$KK23))*('Port Linkages'!$A$18:$A$157&lt;=$C23))))</f>
        <v>0</v>
      </c>
      <c r="ACA23" s="75" t="str">
        <f t="array" ref="ACA23">INDEX('Port Linkages'!$AP$18:$AP$157,MATCH(2,1/(('Port Linkages'!$C$18:$C$157=$AP23)*('Port Linkages'!$D$18:$D$157=IF($AO23="Yes",$AQ23,$KK23))*('Port Linkages'!$A$18:$A$157&lt;=$C23))))</f>
        <v>Supramax_General</v>
      </c>
      <c r="ACB23" s="75" t="str">
        <f t="array" ref="ACB23">INDEX('Port Linkages'!$AQ$18:$AQ$157,MATCH(2,1/(('Port Linkages'!$C$18:$C$157=$AP23)*('Port Linkages'!$D$18:$D$157=IF($AO23="Yes",$AQ23,$KK23))*('Port Linkages'!$A$18:$A$157&lt;=$C23))))</f>
        <v>Singapore</v>
      </c>
      <c r="ACC23" s="75" t="str">
        <f t="array" ref="ACC23">INDEX('Port Linkages'!$AR$18:$AR$157,MATCH(2,1/(('Port Linkages'!$C$18:$C$157=$AP23)*('Port Linkages'!$D$18:$D$157=IF($AO23="Yes",$AQ23,$KK23))*('Port Linkages'!$A$18:$A$157&lt;=$C23))))</f>
        <v>VLSFO</v>
      </c>
      <c r="ACD23" s="75" t="str">
        <f t="array" ref="ACD23">INDEX('Port Linkages'!$AS$18:$AS$157,MATCH(2,1/(('Port Linkages'!$C$18:$C$157=$AP23)*('Port Linkages'!$D$18:$D$157=IF($AO23="Yes",$AQ23,$KK23))*('Port Linkages'!$A$18:$A$157&lt;=$C23))))</f>
        <v>MGO_Regular</v>
      </c>
      <c r="ACE23" s="75" t="str">
        <f t="array" ref="ACE23">INDEX('Port Linkages'!$AT$18:$AT$157,MATCH(2,1/(('Port Linkages'!$C$18:$C$157=$AP23)*('Port Linkages'!$D$18:$D$157=IF($AO23="Yes",$AQ23,$KK23))*('Port Linkages'!$A$18:$A$157&lt;=$C23))))</f>
        <v>none</v>
      </c>
      <c r="ACF23" s="75">
        <f t="array" ref="ACF23">INDEX('Port Linkages'!$AU$18:$AU$157,MATCH(2,1/(('Port Linkages'!$C$18:$C$157=$AP23)*('Port Linkages'!$D$18:$D$157=IF($AO23="Yes",$AQ23,$KK23))*('Port Linkages'!$A$18:$A$157&lt;=$C23))))</f>
        <v>1632</v>
      </c>
      <c r="ACG23" s="75">
        <f t="array" ref="ACG23">INDEX('Port Linkages'!$AV$18:$AV$157,MATCH(2,1/(('Port Linkages'!$C$18:$C$157=$AP23)*('Port Linkages'!$D$18:$D$157=IF($AO23="Yes",$AQ23,$KK23))*('Port Linkages'!$A$18:$A$157&lt;=$C23))))</f>
        <v>0</v>
      </c>
      <c r="ACH23" s="75" t="str">
        <f t="array" ref="ACH23">INDEX('Port Linkages'!$AW$18:$AW$157,MATCH(2,1/(('Port Linkages'!$C$18:$C$157=$AP23)*('Port Linkages'!$D$18:$D$157=IF($AO23="Yes",$AQ23,$KK23))*('Port Linkages'!$A$18:$A$157&lt;=$C23))))</f>
        <v>Handysize_General</v>
      </c>
      <c r="ACI23" s="75" t="str">
        <f t="array" ref="ACI23">INDEX('Port Linkages'!$AX$18:$AX$157,MATCH(2,1/(('Port Linkages'!$C$18:$C$157=$AP23)*('Port Linkages'!$D$18:$D$157=IF($AO23="Yes",$AQ23,$KK23))*('Port Linkages'!$A$18:$A$157&lt;=$C23))))</f>
        <v>Singapore</v>
      </c>
      <c r="ACJ23" s="75" t="str">
        <f t="array" ref="ACJ23">INDEX('Port Linkages'!$AY$18:$AY$157,MATCH(2,1/(('Port Linkages'!$C$18:$C$157=$AP23)*('Port Linkages'!$D$18:$D$157=IF($AO23="Yes",$AQ23,$KK23))*('Port Linkages'!$A$18:$A$157&lt;=$C23))))</f>
        <v>VLSFO</v>
      </c>
      <c r="ACK23" s="75" t="str">
        <f t="array" ref="ACK23">INDEX('Port Linkages'!$AZ$18:$AZ$157,MATCH(2,1/(('Port Linkages'!$C$18:$C$157=$AP23)*('Port Linkages'!$D$18:$D$157=IF($AO23="Yes",$AQ23,$KK23))*('Port Linkages'!$A$18:$A$157&lt;=$C23))))</f>
        <v>MGO_Regular</v>
      </c>
      <c r="ACL23" s="75" t="str">
        <f t="array" ref="ACL23">INDEX('Port Linkages'!$BA$18:$BA$157,MATCH(2,1/(('Port Linkages'!$C$18:$C$157=$AP23)*('Port Linkages'!$D$18:$D$157=IF($AO23="Yes",$AQ23,$KK23))*('Port Linkages'!$A$18:$A$157&lt;=$C23))))</f>
        <v>none</v>
      </c>
      <c r="ACN23" s="25" t="e">
        <f t="array" aca="1" ref="ACN23" ca="1">INDEX('Ship Fuel Prices'!$F$5:$F$1004,MATCH(2,1/(('Ship Fuel Prices'!$E$5:$E$1004=_xlfn.IFS(AAC23="Handysize",Main!ACI23,AAC23="Supramax",ACB23,AAC23="Panamax",ABU23,AAC23="NeoPanamax",ABN23,AAC23="Suezmax",ABG23,AAC23="Capesize",AAZ23,AAC23="VLOC",AAS23))*('Ship Fuel Prices'!$D$5:$D$1004&lt;=Main!$C23))))</f>
        <v>#N/A</v>
      </c>
      <c r="ACO23" s="25" t="e">
        <f t="array" aca="1" ref="ACO23" ca="1">INDEX('Ship Fuel Prices'!$G$5:$G$1004,MATCH(2,1/(('Ship Fuel Prices'!$E$5:$E$1004=_xlfn.IFS(AAC23="Handysize",Main!ACI23,AAC23="Supramax",ACB23,AAC23="Panamax",ABU23,AAC23="NeoPanamax",ABN23,AAC23="Suezmax",ABG23,AAC23="Capesize",AAZ23,AAC23="VLOC",AAS23))*('Ship Fuel Prices'!$D$5:$D$1004&lt;=Main!$C23))))</f>
        <v>#N/A</v>
      </c>
      <c r="ACP23" s="25" t="e">
        <f t="array" aca="1" ref="ACP23" ca="1">INDEX('Ship Fuel Prices'!$H$5:$H$1004,MATCH(2,1/(('Ship Fuel Prices'!$E$5:$E$1004=_xlfn.IFS(AAC23="Handysize",Main!ACI23,AAC23="Supramax",ACB23,AAC23="Panamax",ABU23,AAC23="NeoPanamax",ABN23,AAC23="Suezmax",ABG23,AAC23="Capesize",AAZ23,AAC23="VLOC",AAS23))*('Ship Fuel Prices'!$D$5:$D$1004&lt;=Main!$C23))))</f>
        <v>#N/A</v>
      </c>
      <c r="ACQ23" s="25" t="e">
        <f t="array" aca="1" ref="ACQ23" ca="1">INDEX('Ship Fuel Prices'!$I$5:$I$1004,MATCH(2,1/(('Ship Fuel Prices'!$E$5:$E$1004=_xlfn.IFS(AAC23="Handysize",Main!ACI23,AAC23="Supramax",ACB23,AAC23="Panamax",ABU23,AAC23="NeoPanamax",ABN23,AAC23="Suezmax",ABG23,AAC23="Capesize",AAZ23,AAC23="VLOC",AAS23))*('Ship Fuel Prices'!$D$5:$D$1004&lt;=Main!$C23))))</f>
        <v>#N/A</v>
      </c>
      <c r="ACR23" s="25" t="e">
        <f t="array" aca="1" ref="ACR23" ca="1">INDEX('Ship Fuel Prices'!$J$5:$J$1004,MATCH(2,1/(('Ship Fuel Prices'!$E$5:$E$1004=_xlfn.IFS(AAC23="Handysize",Main!ACI23,AAC23="Supramax",ACB23,AAC23="Panamax",ABU23,AAC23="NeoPanamax",ABN23,AAC23="Suezmax",ABG23,AAC23="Capesize",AAZ23,AAC23="VLOC",AAS23))*('Ship Fuel Prices'!$D$5:$D$1004&lt;=Main!$C23))))</f>
        <v>#N/A</v>
      </c>
      <c r="ACT23" s="75">
        <f t="array" ref="ACT23">INDEX('China n Importing Ports'!$E$20:$E$41,MATCH(2,1/(('China n Importing Ports'!$D$20:$D$41&lt;=$C23)*('China n Importing Ports'!$C$20:$C$41=IF($AO23="Yes",$AQ23,$KK23)))))</f>
        <v>30000</v>
      </c>
      <c r="ACU23" s="75">
        <f t="array" ref="ACU23">INDEX('China n Importing Ports'!$F$20:$F$41,MATCH(2,1/(('China n Importing Ports'!$D$20:$D$41&lt;=$C23)*('China n Importing Ports'!$C$20:$C$41=IF($AO23="Yes",$AQ23,$KK23)))))</f>
        <v>30000</v>
      </c>
      <c r="ACV23" s="75">
        <f t="array" ref="ACV23">INDEX('China n Importing Ports'!$G$20:$G$41,MATCH(2,1/(('China n Importing Ports'!$D$20:$D$41&lt;=$C23)*('China n Importing Ports'!$C$20:$C$41=IF($AO23="Yes",$AQ23,$KK23)))))</f>
        <v>30000</v>
      </c>
      <c r="ACW23" s="75">
        <f t="array" ref="ACW23">INDEX('China n Importing Ports'!$H$20:$H$41,MATCH(2,1/(('China n Importing Ports'!$D$20:$D$41&lt;=$C23)*('China n Importing Ports'!$C$20:$C$41=IF($AO23="Yes",$AQ23,$KK23)))))</f>
        <v>30000</v>
      </c>
      <c r="ACX23" s="75">
        <f t="array" ref="ACX23">INDEX('China n Importing Ports'!$I$20:$I$41,MATCH(2,1/(('China n Importing Ports'!$D$20:$D$41&lt;=$C23)*('China n Importing Ports'!$C$20:$C$41=IF($AO23="Yes",$AQ23,$KK23)))))</f>
        <v>30000</v>
      </c>
      <c r="ACY23" s="75">
        <f t="array" ref="ACY23">INDEX('China n Importing Ports'!$J$20:$J$41,MATCH(2,1/(('China n Importing Ports'!$D$20:$D$41&lt;=$C23)*('China n Importing Ports'!$C$20:$C$41=IF($AO23="Yes",$AQ23,$KK23)))))</f>
        <v>30000</v>
      </c>
      <c r="ACZ23" s="75">
        <f t="array" ref="ACZ23">INDEX('China n Importing Ports'!$K$20:$K$41,MATCH(2,1/(('China n Importing Ports'!$D$20:$D$41&lt;=$C23)*('China n Importing Ports'!$C$20:$C$41=IF($AO23="Yes",$AQ23,$KK23)))))</f>
        <v>30000</v>
      </c>
      <c r="ADA23" s="75" t="str">
        <f t="array" ref="ADA23">INDEX('China n Importing Ports'!$L$20:$L$41,MATCH(2,1/(('China n Importing Ports'!$D$20:$D$41&lt;=$C23)*('China n Importing Ports'!$C$20:$C$41=IF($AO23="Yes",$AQ23,$KK23)))))</f>
        <v>USD</v>
      </c>
      <c r="ADB23" s="75">
        <f t="array" ref="ADB23">INDEX('China n Importing Ports'!$M$20:$M$41,MATCH(2,1/(('China n Importing Ports'!$D$20:$D$41&lt;=$C23)*('China n Importing Ports'!$C$20:$C$41=IF($AO23="Yes",$AQ23,$KK23)))))</f>
        <v>0</v>
      </c>
      <c r="ADC23" s="75">
        <f t="array" ref="ADC23">INDEX('China n Importing Ports'!$N$20:$N$41,MATCH(2,1/(('China n Importing Ports'!$D$20:$D$41&lt;=$C23)*('China n Importing Ports'!$C$20:$C$41=IF($AO23="Yes",$AQ23,$KK23)))))</f>
        <v>0</v>
      </c>
      <c r="ADD23" s="75">
        <f t="array" ref="ADD23">INDEX('China n Importing Ports'!$O$20:$O$41,MATCH(2,1/(('China n Importing Ports'!$D$20:$D$41&lt;=$C23)*('China n Importing Ports'!$C$20:$C$41=IF($AO23="Yes",$AQ23,$KK23)))))</f>
        <v>0</v>
      </c>
      <c r="ADE23" s="136">
        <f t="array" ref="ADE23">INDEX('China n Importing Ports'!$P$20:$P$41,MATCH(2,1/(('China n Importing Ports'!$D$20:$D$41&lt;=$C23)*('China n Importing Ports'!$C$20:$C$41=IF($AO23="Yes",$AQ23,$KK23)))))</f>
        <v>2</v>
      </c>
      <c r="ADF23" s="136">
        <f t="array" ref="ADF23">INDEX('China n Importing Ports'!$Q$20:$Q$41,MATCH(2,1/(('China n Importing Ports'!$D$20:$D$41&lt;=$C23)*('China n Importing Ports'!$C$20:$C$41=IF($AO23="Yes",$AQ23,$KK23)))))</f>
        <v>0</v>
      </c>
      <c r="ADG23" s="136">
        <f t="array" ref="ADG23">INDEX('China n Importing Ports'!$R$20:$R$41,MATCH(2,1/(('China n Importing Ports'!$D$20:$D$41&lt;=$C23)*('China n Importing Ports'!$C$20:$C$41=IF($AO23="Yes",$AQ23,$KK23)))))</f>
        <v>0</v>
      </c>
      <c r="ADH23" s="136">
        <f t="array" ref="ADH23">INDEX('China n Importing Ports'!$S$20:$S$41,MATCH(2,1/(('China n Importing Ports'!$D$20:$D$41&lt;=$C23)*('China n Importing Ports'!$C$20:$C$41=IF($AO23="Yes",$AQ23,$KK23)))))</f>
        <v>0</v>
      </c>
      <c r="ADI23" s="136">
        <f t="array" ref="ADI23">INDEX('China n Importing Ports'!$T$20:$T$41,MATCH(2,1/(('China n Importing Ports'!$D$20:$D$41&lt;=$C23)*('China n Importing Ports'!$C$20:$C$41=IF($AO23="Yes",$AQ23,$KK23)))))</f>
        <v>0</v>
      </c>
      <c r="ADJ23" s="136">
        <f t="array" ref="ADJ23">INDEX('China n Importing Ports'!$U$20:$U$41,MATCH(2,1/(('China n Importing Ports'!$D$20:$D$41&lt;=$C23)*('China n Importing Ports'!$C$20:$C$41=IF($AO23="Yes",$AQ23,$KK23)))))</f>
        <v>0</v>
      </c>
      <c r="ADK23" s="136">
        <f t="array" ref="ADK23">INDEX('China n Importing Ports'!$V$20:$V$41,MATCH(2,1/(('China n Importing Ports'!$D$20:$D$41&lt;=$C23)*('China n Importing Ports'!$C$20:$C$41=IF($AO23="Yes",$AQ23,$KK23)))))</f>
        <v>0</v>
      </c>
      <c r="ADL23" s="136">
        <f t="array" ref="ADL23">INDEX('China n Importing Ports'!$W$20:$W$41,MATCH(2,1/(('China n Importing Ports'!$D$20:$D$41&lt;=$C23)*('China n Importing Ports'!$C$20:$C$41=IF($AO23="Yes",$AQ23,$KK23)))))</f>
        <v>0</v>
      </c>
      <c r="ADM23" s="136">
        <f t="array" ref="ADM23">INDEX('China n Importing Ports'!$X$20:$X$41,MATCH(2,1/(('China n Importing Ports'!$D$20:$D$41&lt;=$C23)*('China n Importing Ports'!$C$20:$C$41=IF($AO23="Yes",$AQ23,$KK23)))))</f>
        <v>0</v>
      </c>
      <c r="ADN23" s="136">
        <f t="array" ref="ADN23">INDEX('China n Importing Ports'!$Y$20:$Y$41,MATCH(2,1/(('China n Importing Ports'!$D$20:$D$41&lt;=$C23)*('China n Importing Ports'!$C$20:$C$41=IF($AO23="Yes",$AQ23,$KK23)))))</f>
        <v>0</v>
      </c>
      <c r="ADO23" s="136">
        <f t="array" ref="ADO23">INDEX('China n Importing Ports'!$Z$20:$Z$41,MATCH(2,1/(('China n Importing Ports'!$D$20:$D$41&lt;=$C23)*('China n Importing Ports'!$C$20:$C$41=IF($AO23="Yes",$AQ23,$KK23)))))</f>
        <v>0</v>
      </c>
      <c r="ADP23" s="136">
        <f t="array" ref="ADP23">INDEX('China n Importing Ports'!$AA$20:$AA$41,MATCH(2,1/(('China n Importing Ports'!$D$20:$D$41&lt;=$C23)*('China n Importing Ports'!$C$20:$C$41=IF($AO23="Yes",$AQ23,$KK23)))))</f>
        <v>0</v>
      </c>
      <c r="ADR23" s="75" t="e">
        <f t="array" aca="1" ref="ADR23" ca="1">INDEX(Canals!$G$24:$G$29,MATCH(2,1/((Canals!$F$24:$F$29&lt;=$C23)*(Canals!$G$24:$G$29=_xlfn.IFS(AAC23="Handysize",Main!ACL23,AAC23="Supramax",ACE23,AAC23="Panamax",ABX23,AAC23="NeoPanamax",ABQ23,AAC23="Suezmax",ABJ23,AAC23="Capesize",ABC23,AAC23="VLOC",AAV23)))))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S23" s="75" t="e">
        <f t="array" aca="1" ref="ADS23" ca="1">INDEX(Canals!$H$24:$H$29,MATCH(2,1/((Canals!$F$24:$F$29&lt;=$C23)*(Canals!$G$24:$G$29=_xlfn.IFS(AAC23="Handysize",Main!ACL23,AAC23="Supramax",ACE23,AAC23="Panamax",ABX23,AAC23="NeoPanamax",ABQ23,AAC23="Suezmax",ABJ23,AAC23="Capesize",ABC23,AAC23="VLOC",AAV23)))))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T23" s="75" t="e">
        <f t="array" aca="1" ref="ADT23" ca="1">INDEX(Canals!$I$24:$I$29,MATCH(2,1/((Canals!$F$24:$F$29&lt;=$C23)*(Canals!$G$24:$G$29=_xlfn.IFS(AAC23="Handysize",Main!ACL23,AAC23="Supramax",ACE23,AAC23="Panamax",ABX23,AAC23="NeoPanamax",ABQ23,AAC23="Suezmax",ABJ23,AAC23="Capesize",ABC23,AAC23="VLOC",AAV23)))))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U23" s="75" t="e">
        <f t="array" aca="1" ref="ADU23" ca="1">INDEX(Canals!$J$24:$J$29,MATCH(2,1/((Canals!$F$24:$F$29&lt;=$C23)*(Canals!$G$24:$G$29=_xlfn.IFS(AAC23="Handysize",Main!ACL23,AAC23="Supramax",ACE23,AAC23="Panamax",ABX23,AAC23="NeoPanamax",ABQ23,AAC23="Suezmax",ABJ23,AAC23="Capesize",ABC23,AAC23="VLOC",AAV23)))))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V23" s="75" t="e">
        <f t="array" aca="1" ref="ADV23" ca="1">INDEX(Canals!$K$24:$K$29,MATCH(2,1/((Canals!$F$24:$F$29&lt;=$C23)*(Canals!$G$24:$G$29=_xlfn.IFS(AAC23="Handysize",Main!ACL23,AAC23="Supramax",ACE23,AAC23="Panamax",ABX23,AAC23="NeoPanamax",ABQ23,AAC23="Suezmax",ABJ23,AAC23="Capesize",ABC23,AAC23="VLOC",AAV23)))))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W23" s="75" t="e">
        <f t="array" aca="1" ref="ADW23" ca="1">INDEX(Canals!$L$24:$L$29,MATCH(2,1/((Canals!$F$24:$F$29&lt;=$C23)*(Canals!$G$24:$G$29=_xlfn.IFS(AAC23="Handysize",Main!ACL23,AAC23="Supramax",ACE23,AAC23="Panamax",ABX23,AAC23="NeoPanamax",ABQ23,AAC23="Suezmax",ABJ23,AAC23="Capesize",ABC23,AAC23="VLOC",AAV23)))))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X23" s="75" t="e">
        <f t="array" aca="1" ref="ADX23" ca="1">INDEX(Canals!$M$24:$M$29,MATCH(2,1/((Canals!$F$24:$F$29&lt;=$C23)*(Canals!$G$24:$G$29=_xlfn.IFS(AAC23="Handysize",Main!ACL23,AAC23="Supramax",ACE23,AAC23="Panamax",ABX23,AAC23="NeoPanamax",ABQ23,AAC23="Suezmax",ABJ23,AAC23="Capesize",ABC23,AAC23="VLOC",AAV23)))))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Y23" s="75" t="e">
        <f t="array" aca="1" ref="ADY23" ca="1">INDEX(Canals!$N$24:$N$29,MATCH(2,1/((Canals!$F$24:$F$29&lt;=$C23)*(Canals!$G$24:$G$29=_xlfn.IFS(AAC23="Handysize",Main!ACL23,AAC23="Supramax",ACE23,AAC23="Panamax",ABX23,AAC23="NeoPanamax",ABQ23,AAC23="Suezmax",ABJ23,AAC23="Capesize",ABC23,AAC23="VLOC",AAV23)))))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DZ23" s="75" t="e">
        <f t="array" aca="1" ref="ADZ23" ca="1">INDEX(Canals!$O$24:$O$29,MATCH(2,1/((Canals!$F$24:$F$29&lt;=$C23)*(Canals!$G$24:$G$29=_xlfn.IFS(AAC23="Handysize",Main!ACL23,AAC23="Supramax",ACE23,AAC23="Panamax",ABX23,AAC23="NeoPanamax",ABQ23,AAC23="Suezmax",ABJ23,AAC23="Capesize",ABC23,AAC23="VLOC",AAV23)))))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A23" s="75" t="e">
        <f t="array" aca="1" ref="AEA23" ca="1">INDEX(Canals!$P$24:$P$29,MATCH(2,1/((Canals!$F$24:$F$29&lt;=$C23)*(Canals!$G$24:$G$29=_xlfn.IFS(AAC23="Handysize",Main!ACL23,AAC23="Supramax",ACE23,AAC23="Panamax",ABX23,AAC23="NeoPanamax",ABQ23,AAC23="Suezmax",ABJ23,AAC23="Capesize",ABC23,AAC23="VLOC",AAV23)))))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B23" s="75" t="e">
        <f t="array" aca="1" ref="AEB23" ca="1">INDEX(Canals!$Q$24:$Q$29,MATCH(2,1/((Canals!$F$24:$F$29&lt;=$C23)*(Canals!$G$24:$G$29=_xlfn.IFS(AAC23="Handysize",Main!ACL23,AAC23="Supramax",ACE23,AAC23="Panamax",ABX23,AAC23="NeoPanamax",ABQ23,AAC23="Suezmax",ABJ23,AAC23="Capesize",ABC23,AAC23="VLOC",AAV23)))))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C23" s="75" t="e">
        <f t="array" aca="1" ref="AEC23" ca="1">INDEX(Canals!$R$24:$R$29,MATCH(2,1/((Canals!$F$24:$F$29&lt;=$C23)*(Canals!$G$24:$G$29=_xlfn.IFS(AAC23="Handysize",Main!ACL23,AAC23="Supramax",ACE23,AAC23="Panamax",ABX23,AAC23="NeoPanamax",ABQ23,AAC23="Suezmax",ABJ23,AAC23="Capesize",ABC23,AAC23="VLOC",AAV23)))))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D23" s="136" t="e">
        <f t="array" aca="1" ref="AED23" ca="1">INDEX(Canals!$S$24:$S$29,MATCH(2,1/((Canals!$F$24:$F$29&lt;=$C23)*(Canals!$G$24:$G$29=_xlfn.IFS(AAC23="Handysize",Main!ACL23,AAC23="Supramax",ACE23,AAC23="Panamax",ABX23,AAC23="NeoPanamax",ABQ23,AAC23="Suezmax",ABJ23,AAC23="Capesize",ABC23,AAC23="VLOC",AAV23)))))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E23" s="136" t="e">
        <f t="array" aca="1" ref="AEE23" ca="1">INDEX(Canals!$T$24:$T$29,MATCH(2,1/((Canals!$F$24:$F$29&lt;=$C23)*(Canals!$G$24:$G$29=_xlfn.IFS(AAC23="Handysize",Main!ACL23,AAC23="Supramax",ACE23,AAC23="Panamax",ABX23,AAC23="NeoPanamax",ABQ23,AAC23="Suezmax",ABJ23,AAC23="Capesize",ABC23,AAC23="VLOC",AAV23)))))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F23" s="136" t="e">
        <f t="array" aca="1" ref="AEF23" ca="1">INDEX(Canals!$U$24:$U$29,MATCH(2,1/((Canals!$F$24:$F$29&lt;=$C23)*(Canals!$G$24:$G$29=_xlfn.IFS(AAC23="Handysize",Main!ACL23,AAC23="Supramax",ACE23,AAC23="Panamax",ABX23,AAC23="NeoPanamax",ABQ23,AAC23="Suezmax",ABJ23,AAC23="Capesize",ABC23,AAC23="VLOC",AAV23)))))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G23" s="136" t="e">
        <f t="array" aca="1" ref="AEG23" ca="1">INDEX(Canals!$V$24:$V$29,MATCH(2,1/((Canals!$F$24:$F$29&lt;=$C23)*(Canals!$G$24:$G$29=_xlfn.IFS(AAC23="Handysize",Main!ACL23,AAC23="Supramax",ACE23,AAC23="Panamax",ABX23,AAC23="NeoPanamax",ABQ23,AAC23="Suezmax",ABJ23,AAC23="Capesize",ABC23,AAC23="VLOC",AAV23)))))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H23" s="136" t="e">
        <f t="array" aca="1" ref="AEH23" ca="1">INDEX(Canals!$W$24:$W$29,MATCH(2,1/((Canals!$F$24:$F$29&lt;=$C23)*(Canals!$G$24:$G$29=_xlfn.IFS(AAC23="Handysize",Main!ACL23,AAC23="Supramax",ACE23,AAC23="Panamax",ABX23,AAC23="NeoPanamax",ABQ23,AAC23="Suezmax",ABJ23,AAC23="Capesize",ABC23,AAC23="VLOC",AAV23)))))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I23" s="136" t="e">
        <f t="array" aca="1" ref="AEI23" ca="1">INDEX(Canals!$X$24:$X$29,MATCH(2,1/((Canals!$F$24:$F$29&lt;=$C23)*(Canals!$G$24:$G$29=_xlfn.IFS(AAC23="Handysize",Main!ACL23,AAC23="Supramax",ACE23,AAC23="Panamax",ABX23,AAC23="NeoPanamax",ABQ23,AAC23="Suezmax",ABJ23,AAC23="Capesize",ABC23,AAC23="VLOC",AAV23)))))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J23" s="136" t="e">
        <f t="array" aca="1" ref="AEJ23" ca="1">INDEX(Canals!$Y$24:$Y$29,MATCH(2,1/((Canals!$F$24:$F$29&lt;=$C23)*(Canals!$G$24:$G$29=_xlfn.IFS(AAC23="Handysize",Main!ACL23,AAC23="Supramax",ACE23,AAC23="Panamax",ABX23,AAC23="NeoPanamax",ABQ23,AAC23="Suezmax",ABJ23,AAC23="Capesize",ABC23,AAC23="VLOC",AAV23)))))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K23" s="136" t="e">
        <f t="array" aca="1" ref="AEK23" ca="1">INDEX(Canals!$Z$24:$Z$29,MATCH(2,1/((Canals!$F$24:$F$29&lt;=$C23)*(Canals!$G$24:$G$29=_xlfn.IFS(AAC23="Handysize",Main!ACL23,AAC23="Supramax",ACE23,AAC23="Panamax",ABX23,AAC23="NeoPanamax",ABQ23,AAC23="Suezmax",ABJ23,AAC23="Capesize",ABC23,AAC23="VLOC",AAV23)))))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L23" s="136" t="e">
        <f t="array" aca="1" ref="AEL23" ca="1">INDEX(Canals!$AA$24:$AA$29,MATCH(2,1/((Canals!$F$24:$F$29&lt;=$C23)*(Canals!$G$24:$G$29=_xlfn.IFS(AAC23="Handysize",Main!ACL23,AAC23="Supramax",ACE23,AAC23="Panamax",ABX23,AAC23="NeoPanamax",ABQ23,AAC23="Suezmax",ABJ23,AAC23="Capesize",ABC23,AAC23="VLOC",AAV23)))))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M23" s="136" t="e">
        <f t="array" aca="1" ref="AEM23" ca="1">INDEX(Canals!$AB$24:$AB$29,MATCH(2,1/((Canals!$F$24:$F$29&lt;=$C23)*(Canals!$G$24:$G$29=_xlfn.IFS(AAC23="Handysize",Main!ACL23,AAC23="Supramax",ACE23,AAC23="Panamax",ABX23,AAC23="NeoPanamax",ABQ23,AAC23="Suezmax",ABJ23,AAC23="Capesize",ABC23,AAC23="VLOC",AAV23)))))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N23" s="75" t="e">
        <f t="array" aca="1" ref="AEN23" ca="1">INDEX(Canals!$AC$24:$AC$29,MATCH(2,1/((Canals!$F$24:$F$29&lt;=$C23)*(Canals!$G$24:$G$29=_xlfn.IFS(AAC23="Handysize",Main!ACL23,AAC23="Supramax",ACE23,AAC23="Panamax",ABX23,AAC23="NeoPanamax",ABQ23,AAC23="Suezmax",ABJ23,AAC23="Capesize",ABC23,AAC23="VLOC",AAV23)))))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O23" s="75" t="e">
        <f t="array" aca="1" ref="AEO23" ca="1">INDEX(Canals!$AD$24:$AD$29,MATCH(2,1/((Canals!$F$24:$F$29&lt;=$C23)*(Canals!$G$24:$G$29=_xlfn.IFS(AAC23="Handysize",Main!ACL23,AAC23="Supramax",ACE23,AAC23="Panamax",ABX23,AAC23="NeoPanamax",ABQ23,AAC23="Suezmax",ABJ23,AAC23="Capesize",ABC23,AAC23="VLOC",AAV23)))))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P23" s="75" t="e">
        <f t="array" aca="1" ref="AEP23" ca="1">INDEX(Canals!$AE$24:$AE$29,MATCH(2,1/((Canals!$F$24:$F$29&lt;=$C23)*(Canals!$G$24:$G$29=_xlfn.IFS(AAC23="Handysize",Main!ACL23,AAC23="Supramax",ACE23,AAC23="Panamax",ABX23,AAC23="NeoPanamax",ABQ23,AAC23="Suezmax",ABJ23,AAC23="Capesize",ABC23,AAC23="VLOC",AAV23)))))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Q23" s="75" t="e">
        <f t="array" aca="1" ref="AEQ23" ca="1">INDEX(Canals!$AF$24:$AF$29,MATCH(2,1/((Canals!$F$24:$F$29&lt;=$C23)*(Canals!$G$24:$G$29=_xlfn.IFS(AAC23="Handysize",Main!ACL23,AAC23="Supramax",ACE23,AAC23="Panamax",ABX23,AAC23="NeoPanamax",ABQ23,AAC23="Suezmax",ABJ23,AAC23="Capesize",ABC23,AAC23="VLOC",AAV23)))))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R23" s="75" t="e">
        <f t="array" aca="1" ref="AER23" ca="1">INDEX(Canals!$AG$24:$AG$29,MATCH(2,1/((Canals!$F$24:$F$29&lt;=$C23)*(Canals!$G$24:$G$29=_xlfn.IFS(AAC23="Handysize",Main!ACL23,AAC23="Supramax",ACE23,AAC23="Panamax",ABX23,AAC23="NeoPanamax",ABQ23,AAC23="Suezmax",ABJ23,AAC23="Capesize",ABC23,AAC23="VLOC",AAV23)))))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S23" s="75" t="e">
        <f t="array" aca="1" ref="AES23" ca="1">INDEX(Canals!$AH$24:$AH$29,MATCH(2,1/((Canals!$F$24:$F$29&lt;=$C23)*(Canals!$G$24:$G$29=_xlfn.IFS(AAC23="Handysize",Main!ACL23,AAC23="Supramax",ACE23,AAC23="Panamax",ABX23,AAC23="NeoPanamax",ABQ23,AAC23="Suezmax",ABJ23,AAC23="Capesize",ABC23,AAC23="VLOC",AAV23)))))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T23" s="75" t="e">
        <f t="array" aca="1" ref="AET23" ca="1">INDEX(Canals!$AI$24:$AI$29,MATCH(2,1/((Canals!$F$24:$F$29&lt;=$C23)*(Canals!$G$24:$G$29=_xlfn.IFS(AAC23="Handysize",Main!ACL23,AAC23="Supramax",ACE23,AAC23="Panamax",ABX23,AAC23="NeoPanamax",ABQ23,AAC23="Suezmax",ABJ23,AAC23="Capesize",ABC23,AAC23="VLOC",AAV23)))))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U23" s="75" t="e">
        <f t="array" aca="1" ref="AEU23" ca="1">INDEX(Canals!$AJ$24:$AJ$29,MATCH(2,1/((Canals!$F$24:$F$29&lt;=$C23)*(Canals!$G$24:$G$29=_xlfn.IFS(AAC23="Handysize",Main!ACL23,AAC23="Supramax",ACE23,AAC23="Panamax",ABX23,AAC23="NeoPanamax",ABQ23,AAC23="Suezmax",ABJ23,AAC23="Capesize",ABC23,AAC23="VLOC",AAV23)))))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V23" s="75" t="e">
        <f t="array" aca="1" ref="AEV23" ca="1">INDEX(Canals!$AK$24:$AK$29,MATCH(2,1/((Canals!$F$24:$F$29&lt;=$C23)*(Canals!$G$24:$G$29=_xlfn.IFS(AAC23="Handysize",Main!ACL23,AAC23="Supramax",ACE23,AAC23="Panamax",ABX23,AAC23="NeoPanamax",ABQ23,AAC23="Suezmax",ABJ23,AAC23="Capesize",ABC23,AAC23="VLOC",AAV23)))))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W23" s="136" t="e">
        <f t="array" aca="1" ref="AEW23" ca="1">INDEX(Canals!$AL$24:$AL$29,MATCH(2,1/((Canals!$F$24:$F$29&lt;=$C23)*(Canals!$G$24:$G$29=_xlfn.IFS(AAC23="Handysize",Main!ACL23,AAC23="Supramax",ACE23,AAC23="Panamax",ABX23,AAC23="NeoPanamax",ABQ23,AAC23="Suezmax",ABJ23,AAC23="Capesize",ABC23,AAC23="VLOC",AAV23)))))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X23" s="136" t="e">
        <f t="array" aca="1" ref="AEX23" ca="1">INDEX(Canals!$AM$24:$AM$29,MATCH(2,1/((Canals!$F$24:$F$29&lt;=$C23)*(Canals!$G$24:$G$29=_xlfn.IFS(AAC23="Handysize",Main!ACL23,AAC23="Supramax",ACE23,AAC23="Panamax",ABX23,AAC23="NeoPanamax",ABQ23,AAC23="Suezmax",ABJ23,AAC23="Capesize",ABC23,AAC23="VLOC",AAV23)))))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Y23" s="136" t="e">
        <f t="array" aca="1" ref="AEY23" ca="1">INDEX(Canals!$AN$24:$AN$29,MATCH(2,1/((Canals!$F$24:$F$29&lt;=$C23)*(Canals!$G$24:$G$29=_xlfn.IFS(AAC23="Handysize",Main!ACL23,AAC23="Supramax",ACE23,AAC23="Panamax",ABX23,AAC23="NeoPanamax",ABQ23,AAC23="Suezmax",ABJ23,AAC23="Capesize",ABC23,AAC23="VLOC",AAV23)))))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EZ23" s="136" t="e">
        <f t="array" aca="1" ref="AEZ23" ca="1">INDEX(Canals!$AO$24:$AO$29,MATCH(2,1/((Canals!$F$24:$F$29&lt;=$C23)*(Canals!$G$24:$G$29=_xlfn.IFS(AAC23="Handysize",Main!ACL23,AAC23="Supramax",ACE23,AAC23="Panamax",ABX23,AAC23="NeoPanamax",ABQ23,AAC23="Suezmax",ABJ23,AAC23="Capesize",ABC23,AAC23="VLOC",AAV23)))))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A23" s="136" t="e">
        <f t="array" aca="1" ref="AFA23" ca="1">INDEX(Canals!$AP$24:$AP$29,MATCH(2,1/((Canals!$F$24:$F$29&lt;=$C23)*(Canals!$G$24:$G$29=_xlfn.IFS(AAC23="Handysize",Main!ACL23,AAC23="Supramax",ACE23,AAC23="Panamax",ABX23,AAC23="NeoPanamax",ABQ23,AAC23="Suezmax",ABJ23,AAC23="Capesize",ABC23,AAC23="VLOC",AAV23)))))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B23" s="136" t="e">
        <f t="array" aca="1" ref="AFB23" ca="1">INDEX(Canals!$AQ$24:$AQ$29,MATCH(2,1/((Canals!$F$24:$F$29&lt;=$C23)*(Canals!$G$24:$G$29=_xlfn.IFS(AAC23="Handysize",Main!ACL23,AAC23="Supramax",ACE23,AAC23="Panamax",ABX23,AAC23="NeoPanamax",ABQ23,AAC23="Suezmax",ABJ23,AAC23="Capesize",ABC23,AAC23="VLOC",AAV23)))))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C23" s="136" t="e">
        <f t="array" aca="1" ref="AFC23" ca="1">INDEX(Canals!$AR$24:$AR$29,MATCH(2,1/((Canals!$F$24:$F$29&lt;=$C23)*(Canals!$G$24:$G$29=_xlfn.IFS(AAC23="Handysize",Main!ACL23,AAC23="Supramax",ACE23,AAC23="Panamax",ABX23,AAC23="NeoPanamax",ABQ23,AAC23="Suezmax",ABJ23,AAC23="Capesize",ABC23,AAC23="VLOC",AAV23)))))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D23" s="136" t="e">
        <f t="array" aca="1" ref="AFD23" ca="1">INDEX(Canals!$AS$24:$AS$29,MATCH(2,1/((Canals!$F$24:$F$29&lt;=$C23)*(Canals!$G$24:$G$29=_xlfn.IFS(AAC23="Handysize",Main!ACL23,AAC23="Supramax",ACE23,AAC23="Panamax",ABX23,AAC23="NeoPanamax",ABQ23,AAC23="Suezmax",ABJ23,AAC23="Capesize",ABC23,AAC23="VLOC",AAV23)))))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E23" s="136" t="e">
        <f t="array" aca="1" ref="AFE23" ca="1">INDEX(Canals!$AT$24:$AT$29,MATCH(2,1/((Canals!$F$24:$F$29&lt;=$C23)*(Canals!$G$24:$G$29=_xlfn.IFS(AAC23="Handysize",Main!ACL23,AAC23="Supramax",ACE23,AAC23="Panamax",ABX23,AAC23="NeoPanamax",ABQ23,AAC23="Suezmax",ABJ23,AAC23="Capesize",ABC23,AAC23="VLOC",AAV23)))))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F23" s="136" t="e">
        <f t="array" aca="1" ref="AFF23" ca="1">INDEX(Canals!$AU$24:$AU$29,MATCH(2,1/((Canals!$F$24:$F$29&lt;=$C23)*(Canals!$G$24:$G$29=_xlfn.IFS(AAC23="Handysize",Main!ACL23,AAC23="Supramax",ACE23,AAC23="Panamax",ABX23,AAC23="NeoPanamax",ABQ23,AAC23="Suezmax",ABJ23,AAC23="Capesize",ABC23,AAC23="VLOC",AAV23)))))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G23" s="136" t="e">
        <f t="array" aca="1" ref="AFG23" ca="1">INDEX(Canals!$AV$24:$AV$29,MATCH(2,1/((Canals!$F$24:$F$29&lt;=$C23)*(Canals!$G$24:$G$29=_xlfn.IFS(AAC23="Handysize",Main!ACL23,AAC23="Supramax",ACE23,AAC23="Panamax",ABX23,AAC23="NeoPanamax",ABQ23,AAC23="Suezmax",ABJ23,AAC23="Capesize",ABC23,AAC23="VLOC",AAV23)))))</f>
        <v>#N/A</v>
      </c>
      <c r="AFI23" s="75" t="e">
        <f t="array" aca="1" ref="AFI23" ca="1">_xlfn.IFS(ADT23="DWT",AAA23,ADT23="NRT",AAE23,ADT23="GRT",AAF23)</f>
        <v>#NAME?</v>
      </c>
      <c r="AFJ23" s="279" t="e">
        <f t="shared" ca="1" si="176"/>
        <v>#NAME?</v>
      </c>
      <c r="AFK23" s="280" t="e">
        <f t="shared" ca="1" si="177"/>
        <v>#NAME?</v>
      </c>
      <c r="AFL23" s="280" t="e">
        <f t="shared" ca="1" si="178"/>
        <v>#NAME?</v>
      </c>
      <c r="AFM23" s="280" t="e">
        <f t="shared" ca="1" si="179"/>
        <v>#NAME?</v>
      </c>
      <c r="AFN23" s="280" t="e">
        <f t="shared" ca="1" si="180"/>
        <v>#NAME?</v>
      </c>
      <c r="AFO23" s="280" t="e">
        <f t="shared" ca="1" si="181"/>
        <v>#NAME?</v>
      </c>
      <c r="AFP23" s="280" t="e">
        <f t="shared" ca="1" si="182"/>
        <v>#NAME?</v>
      </c>
      <c r="AFQ23" s="280" t="e">
        <f t="shared" ca="1" si="183"/>
        <v>#NAME?</v>
      </c>
      <c r="AFR23" s="280" t="e">
        <f t="shared" ca="1" si="184"/>
        <v>#NAME?</v>
      </c>
      <c r="AFS23" s="75">
        <f t="shared" si="185"/>
        <v>53030.303030303025</v>
      </c>
      <c r="AFT23" s="279" t="e">
        <f t="shared" ca="1" si="186"/>
        <v>#N/A</v>
      </c>
      <c r="AFU23" s="280" t="e">
        <f t="shared" ca="1" si="187"/>
        <v>#N/A</v>
      </c>
      <c r="AFV23" s="280" t="e">
        <f t="shared" ca="1" si="188"/>
        <v>#N/A</v>
      </c>
      <c r="AFW23" s="280" t="e">
        <f t="shared" ca="1" si="189"/>
        <v>#N/A</v>
      </c>
      <c r="AFX23" s="280" t="e">
        <f t="shared" ca="1" si="190"/>
        <v>#N/A</v>
      </c>
      <c r="AFY23" s="280" t="e">
        <f t="shared" ca="1" si="191"/>
        <v>#N/A</v>
      </c>
      <c r="AFZ23" s="280" t="e">
        <f t="shared" ca="1" si="192"/>
        <v>#N/A</v>
      </c>
      <c r="AGA23" s="280" t="e">
        <f t="shared" ca="1" si="193"/>
        <v>#N/A</v>
      </c>
      <c r="AGB23" s="280" t="e">
        <f t="shared" ca="1" si="194"/>
        <v>#N/A</v>
      </c>
      <c r="AGD23" s="75" t="e">
        <f t="array" aca="1" ref="AGD23" ca="1">_xlfn.IFS(AAC23="Handysize",Main!ACF23,AAC23="Supramax",ABY23,AAC23="Panamax",ABR23,AAC23="NeoPanamax",ABK23,AAC23="Suezmax",ABD23,AAC23="Capesize",AAW23,AAC23="VLOC",AAP23)*$JI23</f>
        <v>#NAME?</v>
      </c>
      <c r="AGE23" s="274" t="e">
        <f t="array" aca="1" ref="AGE23" ca="1">_xlfn.IFS(AAC23="Handysize",Main!ACG23,AAC23="Supramax",ABZ23,AAC23="Panamax",ABS23,AAC23="NeoPanamax",ABL23,AAC23="Suezmax",ABE23,AAC23="Capesize",AAX23,AAC23="VLOC",AAQ23)*$JI23</f>
        <v>#NAME?</v>
      </c>
      <c r="AGF23" s="71" t="e">
        <f t="array" aca="1" ref="AGF23" ca="1">_xlfn.IFS(AAC23="Handysize",Main!AAH23,AAC23="Supramax",AAI23,AAC23="Panamax",AAJ23,AAC23="NeoPanamax",AAK23,AAC23="Suezmax",AAL23,AAC23="Capesize",AAM23,AAC23="VLOC",AAN23)</f>
        <v>#NAME?</v>
      </c>
      <c r="AGG23" s="71" t="e">
        <f t="array" aca="1" ref="AGG23" ca="1">_xlfn.IFS(AAC23="Handysize",Main!ACT23,AAC23="Supramax",ACU23,AAC23="Panamax",ACV23,AAC23="NeoPanamax",ACW23,AAC23="Suezmax",ACX23,AAC23="Capesize",ACY23,AAC23="VLOC",ACZ23)</f>
        <v>#NAME?</v>
      </c>
      <c r="AGH23" s="70">
        <f t="array" ref="AGH23">INDEX('Ship Speeds'!$G$11:$G$1011,MATCH(2,1/(('Ship Speeds'!$E$11:$E$1011&lt;=Main!$C23)*('Ship Speeds'!$F$11:$F$1011=Main!AAB23))))</f>
        <v>11</v>
      </c>
      <c r="AGI23" s="403">
        <f t="shared" si="195"/>
        <v>16.933609647206652</v>
      </c>
      <c r="AGJ23" s="401">
        <f t="shared" si="196"/>
        <v>1.7808857808857808</v>
      </c>
      <c r="AGK23" s="70" t="e">
        <f t="shared" ca="1" si="197"/>
        <v>#NAME?</v>
      </c>
      <c r="AGL23" s="70" t="e">
        <f t="shared" ca="1" si="198"/>
        <v>#NAME?</v>
      </c>
      <c r="AGM23" s="70" t="e">
        <f t="shared" ca="1" si="199"/>
        <v>#NAME?</v>
      </c>
      <c r="AGN23" s="70" t="e">
        <f t="shared" ca="1" si="200"/>
        <v>#NAME?</v>
      </c>
      <c r="AGO23" s="72" t="e">
        <f t="shared" ca="1" si="201"/>
        <v>#N/A</v>
      </c>
      <c r="AGP23" s="70" t="e">
        <f t="shared" ca="1" si="202"/>
        <v>#NAME?</v>
      </c>
      <c r="AGQ23" s="70" t="e">
        <f t="array" aca="1" ref="AGQ23" ca="1">INDEX(ACN23:ACR23,MATCH(_xlfn.IFS(AAC23="Handysize",Main!ACJ23,AAC23="Supramax",ACC23,AAC23="Panamax",ABV23,AAC23="NeoPanamax",ABO23,AAC23="Suezmax",ABH23,AAC23="Capesize",ABA23,AAC23="VLOC",AAT23),$ACN$7:$ACR$7,0))</f>
        <v>#NAME?</v>
      </c>
      <c r="AGR23" s="70" t="e">
        <f t="array" aca="1" ref="AGR23" ca="1">INDEX(ACN23:ACR23,MATCH(_xlfn.IFS(AAC23="Handysize",Main!ACK23,AAC23="Supramax",ACD23,AAC23="Panamax",ABW23,AAC23="NeoPanamax",ABP23,AAC23="Suezmax",ABI23,AAC23="Capesize",ABB23,AAC23="VLOC",AAU23),$ACN$7:$ACR$7,0))</f>
        <v>#NAME?</v>
      </c>
      <c r="AGS23" s="71" t="e">
        <f t="shared" ca="1" si="203"/>
        <v>#NAME?</v>
      </c>
      <c r="AGT23" s="71" t="e">
        <f t="shared" ca="1" si="204"/>
        <v>#NAME?</v>
      </c>
      <c r="AGU23" s="281">
        <f t="shared" si="205"/>
        <v>1</v>
      </c>
      <c r="AGV23" s="71">
        <f t="shared" si="206"/>
        <v>0</v>
      </c>
      <c r="AGW23" s="71" t="e">
        <f t="shared" ca="1" si="207"/>
        <v>#NAME?</v>
      </c>
      <c r="AGX23" s="71" t="e">
        <f t="shared" ca="1" si="208"/>
        <v>#NAME?</v>
      </c>
      <c r="AGY23" s="71">
        <f t="shared" si="209"/>
        <v>106060.60606060605</v>
      </c>
      <c r="AGZ23" s="71" t="e">
        <f t="shared" ca="1" si="210"/>
        <v>#NAME?</v>
      </c>
      <c r="AHA23" s="71" t="e">
        <f t="shared" ca="1" si="211"/>
        <v>#NAME?</v>
      </c>
      <c r="AHB23" s="71">
        <f t="shared" si="212"/>
        <v>0</v>
      </c>
      <c r="AHC23" s="71" t="e">
        <f t="shared" ca="1" si="213"/>
        <v>#NAME?</v>
      </c>
      <c r="AHD23" s="71" t="e">
        <f t="shared" ca="1" si="214"/>
        <v>#NAME?</v>
      </c>
      <c r="AHE23" s="71">
        <f t="shared" si="215"/>
        <v>0</v>
      </c>
      <c r="AHF23" s="71" t="e">
        <f t="shared" ca="1" si="216"/>
        <v>#NAME?</v>
      </c>
      <c r="AHG23" s="71" t="e">
        <f t="shared" ca="1" si="217"/>
        <v>#NAME?</v>
      </c>
      <c r="AHH23" s="72">
        <f t="shared" si="218"/>
        <v>0</v>
      </c>
      <c r="AHI23" s="72" t="e">
        <f t="shared" ca="1" si="219"/>
        <v>#NAME?</v>
      </c>
      <c r="AHJ23" s="71" t="e">
        <f t="shared" ca="1" si="220"/>
        <v>#NAME?</v>
      </c>
      <c r="AHK23" s="71" t="e">
        <f t="array" aca="1" ref="AHK23" ca="1">INDEX('Ship Time Charter Rates'!$H$22:$H$1021,MATCH(2,1/(('Ship Time Charter Rates'!$G$22:$G$1021=_xlfn.IFS(AAC23="Handysize",Main!ACH23,AAC23="Supramax",ACA23,AAC23="Panamax",ABT23,AAC23="NeoPanamax",ABM23,AAC23="Suezmax",ABF23,AAC23="Capesize",AAY23,AAC23="VLOC",AAR23))*('Ship Time Charter Rates'!$E$22:$E$1021&lt;=Main!$C23)*(NOT(ISBLANK('Ship Time Charter Rates'!$H$22:$H$1021))))))</f>
        <v>#N/A</v>
      </c>
      <c r="AHL23" s="71" t="e">
        <f t="shared" ca="1" si="221"/>
        <v>#NAME?</v>
      </c>
      <c r="AHM23" s="70" t="e">
        <f t="shared" ca="1" si="222"/>
        <v>#N/A</v>
      </c>
      <c r="AHN23" s="71" t="e">
        <f t="shared" ca="1" si="223"/>
        <v>#NAME?</v>
      </c>
      <c r="AHO23" s="71" t="e">
        <f t="shared" ca="1" si="306"/>
        <v>#NAME?</v>
      </c>
      <c r="AHP23" s="72" t="e">
        <f ca="1">IF(AHO23=0,0,AHO23/(AAA23*(1-$AL23)*$JN23))</f>
        <v>#NAME?</v>
      </c>
      <c r="AHR23" s="25">
        <f t="shared" si="323"/>
        <v>163170.16317016317</v>
      </c>
      <c r="AHS23" s="4" t="str">
        <f>VLOOKUP(AHR23,'Ship Time Charter Rates'!$F$10:$G$17,2,TRUE)</f>
        <v>Capesize</v>
      </c>
      <c r="AHT23" s="4" t="str">
        <f>VLOOKUP(AHR23,Canals!$E$5:$F$12,2,TRUE)</f>
        <v>Capesize</v>
      </c>
      <c r="AHU23" s="25">
        <f t="shared" si="224"/>
        <v>288.33755244755241</v>
      </c>
      <c r="AHV23" s="25">
        <f t="shared" si="225"/>
        <v>65822.843822843817</v>
      </c>
      <c r="AHW23" s="25">
        <f t="shared" si="226"/>
        <v>89465.997668997676</v>
      </c>
      <c r="AHY23" s="75">
        <f t="array" ref="AHY23">INDEX('Indices Mines Exporting Ports'!$R$20:$R$51,MATCH(2,1/(('Indices Mines Exporting Ports'!$D$20:$D$51&lt;=Main!$C23)*('Indices Mines Exporting Ports'!$Q$20:$Q$51=$AQ23))))</f>
        <v>30000</v>
      </c>
      <c r="AHZ23" s="75">
        <f t="array" ref="AHZ23">INDEX('Indices Mines Exporting Ports'!$S$20:$S$51,MATCH(2,1/(('Indices Mines Exporting Ports'!$D$20:$D$51&lt;=Main!$C23)*('Indices Mines Exporting Ports'!$Q$20:$Q$51=$AQ23))))</f>
        <v>30000</v>
      </c>
      <c r="AIA23" s="75">
        <f t="array" ref="AIA23">INDEX('Indices Mines Exporting Ports'!$T$20:$T$51,MATCH(2,1/(('Indices Mines Exporting Ports'!$D$20:$D$51&lt;=Main!$C23)*('Indices Mines Exporting Ports'!$Q$20:$Q$51=$AQ23))))</f>
        <v>30000</v>
      </c>
      <c r="AIB23" s="75">
        <f t="array" ref="AIB23">INDEX('Indices Mines Exporting Ports'!$U$20:$U$51,MATCH(2,1/(('Indices Mines Exporting Ports'!$D$20:$D$51&lt;=Main!$C23)*('Indices Mines Exporting Ports'!$Q$20:$Q$51=$AQ23))))</f>
        <v>30000</v>
      </c>
      <c r="AIC23" s="75">
        <f t="array" ref="AIC23">INDEX('Indices Mines Exporting Ports'!$V$20:$V$51,MATCH(2,1/(('Indices Mines Exporting Ports'!$D$20:$D$51&lt;=Main!$C23)*('Indices Mines Exporting Ports'!$Q$20:$Q$51=$AQ23))))</f>
        <v>30000</v>
      </c>
      <c r="AID23" s="75">
        <f t="array" ref="AID23">INDEX('Indices Mines Exporting Ports'!$W$20:$W$51,MATCH(2,1/(('Indices Mines Exporting Ports'!$D$20:$D$51&lt;=Main!$C23)*('Indices Mines Exporting Ports'!$Q$20:$Q$51=$AQ23))))</f>
        <v>30000</v>
      </c>
      <c r="AIE23" s="75">
        <f t="array" ref="AIE23">INDEX('Indices Mines Exporting Ports'!$X$20:$X$51,MATCH(2,1/(('Indices Mines Exporting Ports'!$D$20:$D$51&lt;=Main!$C23)*('Indices Mines Exporting Ports'!$Q$20:$Q$51=$AQ23))))</f>
        <v>30000</v>
      </c>
      <c r="AIG23" s="75">
        <f t="array" ref="AIG23">INDEX('Port Linkages'!$E$18:$E$157,MATCH(2,1/(('Port Linkages'!$C$18:$C$157=$AQ23)*('Port Linkages'!$D$18:$D$157=IF($AO23="no",$AQ23,$KK23))*('Port Linkages'!$A$18:$A$157&lt;=$C23))))</f>
        <v>13157</v>
      </c>
      <c r="AIH23" s="75">
        <f t="array" ref="AIH23">INDEX('Port Linkages'!$F$18:$F$157,MATCH(2,1/(('Port Linkages'!$C$18:$C$157=$AQ23)*('Port Linkages'!$D$18:$D$157=IF($AO23="no",$AQ23,$KK23))*('Port Linkages'!$A$18:$A$157&lt;=$C23))))</f>
        <v>0</v>
      </c>
      <c r="AII23" s="75" t="str">
        <f t="array" ref="AII23">INDEX('Port Linkages'!$G$18:$G$157,MATCH(2,1/(('Port Linkages'!$C$18:$C$157=$AQ23)*('Port Linkages'!$D$18:$D$157=IF($AO23="no",$AQ23,$KK23))*('Port Linkages'!$A$18:$A$157&lt;=$C23))))</f>
        <v>VLOC_General</v>
      </c>
      <c r="AIJ23" s="75" t="str">
        <f t="array" ref="AIJ23">INDEX('Port Linkages'!$H$18:$H$157,MATCH(2,1/(('Port Linkages'!$C$18:$C$157=$AQ23)*('Port Linkages'!$D$18:$D$157=IF($AO23="no",$AQ23,$KK23))*('Port Linkages'!$A$18:$A$157&lt;=$C23))))</f>
        <v>Singapore</v>
      </c>
      <c r="AIK23" s="75" t="str">
        <f t="array" ref="AIK23">INDEX('Port Linkages'!$I$18:$I$157,MATCH(2,1/(('Port Linkages'!$C$18:$C$157=$AQ23)*('Port Linkages'!$D$18:$D$157=IF($AO23="no",$AQ23,$KK23))*('Port Linkages'!$A$18:$A$157&lt;=$C23))))</f>
        <v>VLSFO</v>
      </c>
      <c r="AIL23" s="75" t="str">
        <f t="array" ref="AIL23">INDEX('Port Linkages'!$J$18:$J$157,MATCH(2,1/(('Port Linkages'!$C$18:$C$157=$AQ23)*('Port Linkages'!$D$18:$D$157=IF($AO23="no",$AQ23,$KK23))*('Port Linkages'!$A$18:$A$157&lt;=$C23))))</f>
        <v>MGO_Regular</v>
      </c>
      <c r="AIM23" s="75" t="str">
        <f t="array" ref="AIM23">INDEX('Port Linkages'!$K$18:$K$157,MATCH(2,1/(('Port Linkages'!$C$18:$C$157=$AQ23)*('Port Linkages'!$D$18:$D$157=IF($AO23="no",$AQ23,$KK23))*('Port Linkages'!$A$18:$A$157&lt;=$C23))))</f>
        <v>none</v>
      </c>
      <c r="AIN23" s="75">
        <f t="array" ref="AIN23">INDEX('Port Linkages'!$L$18:$L$157,MATCH(2,1/(('Port Linkages'!$C$18:$C$157=$AQ23)*('Port Linkages'!$D$18:$D$157=IF($AO23="no",$AQ23,$KK23))*('Port Linkages'!$A$18:$A$157&lt;=$C23))))</f>
        <v>13157</v>
      </c>
      <c r="AIO23" s="75">
        <f t="array" ref="AIO23">INDEX('Port Linkages'!$M$18:$M$157,MATCH(2,1/(('Port Linkages'!$C$18:$C$157=$AQ23)*('Port Linkages'!$D$18:$D$157=IF($AO23="no",$AQ23,$KK23))*('Port Linkages'!$A$18:$A$157&lt;=$C23))))</f>
        <v>0</v>
      </c>
      <c r="AIP23" s="75" t="str">
        <f t="array" ref="AIP23">INDEX('Port Linkages'!$N$18:$N$157,MATCH(2,1/(('Port Linkages'!$C$18:$C$157=$AQ23)*('Port Linkages'!$D$18:$D$157=IF($AO23="no",$AQ23,$KK23))*('Port Linkages'!$A$18:$A$157&lt;=$C23))))</f>
        <v>Capesize_General</v>
      </c>
      <c r="AIQ23" s="75" t="str">
        <f t="array" ref="AIQ23">INDEX('Port Linkages'!$O$18:$O$157,MATCH(2,1/(('Port Linkages'!$C$18:$C$157=$AQ23)*('Port Linkages'!$D$18:$D$157=IF($AO23="no",$AQ23,$KK23))*('Port Linkages'!$A$18:$A$157&lt;=$C23))))</f>
        <v>Singapore</v>
      </c>
      <c r="AIR23" s="75" t="str">
        <f t="array" ref="AIR23">INDEX('Port Linkages'!$P$18:$P$157,MATCH(2,1/(('Port Linkages'!$C$18:$C$157=$AQ23)*('Port Linkages'!$D$18:$D$157=IF($AO23="no",$AQ23,$KK23))*('Port Linkages'!$A$18:$A$157&lt;=$C23))))</f>
        <v>VLSFO</v>
      </c>
      <c r="AIS23" s="75" t="str">
        <f t="array" ref="AIS23">INDEX('Port Linkages'!$Q$18:$Q$157,MATCH(2,1/(('Port Linkages'!$C$18:$C$157=$AQ23)*('Port Linkages'!$D$18:$D$157=IF($AO23="no",$AQ23,$KK23))*('Port Linkages'!$A$18:$A$157&lt;=$C23))))</f>
        <v>MGO_Regular</v>
      </c>
      <c r="AIT23" s="75" t="str">
        <f t="array" ref="AIT23">INDEX('Port Linkages'!$R$18:$R$157,MATCH(2,1/(('Port Linkages'!$C$18:$C$157=$AQ23)*('Port Linkages'!$D$18:$D$157=IF($AO23="no",$AQ23,$KK23))*('Port Linkages'!$A$18:$A$157&lt;=$C23))))</f>
        <v>none</v>
      </c>
      <c r="AIU23" s="75" t="e">
        <f t="array" ref="AIU23">INDEX('Port Linkages'!$S$18:$S$157,MATCH(2,1/(('Port Linkages'!$C$18:$C$157=$AQ23)*('Port Linkages'!$D$18:$D$157=IF($AO23="no",$AQ23,$KK23))*('Port Linkages'!$A$18:$A$157&lt;=$C23))))</f>
        <v>#N/A</v>
      </c>
      <c r="AIV23" s="75">
        <f t="array" ref="AIV23">INDEX('Port Linkages'!$T$18:$T$157,MATCH(2,1/(('Port Linkages'!$C$18:$C$157=$AQ23)*('Port Linkages'!$D$18:$D$157=IF($AO23="no",$AQ23,$KK23))*('Port Linkages'!$A$18:$A$157&lt;=$C23))))</f>
        <v>0</v>
      </c>
      <c r="AIW23" s="75" t="str">
        <f t="array" ref="AIW23">INDEX('Port Linkages'!$U$18:$U$157,MATCH(2,1/(('Port Linkages'!$C$18:$C$157=$AQ23)*('Port Linkages'!$D$18:$D$157=IF($AO23="no",$AQ23,$KK23))*('Port Linkages'!$A$18:$A$157&lt;=$C23))))</f>
        <v>Capesize_General</v>
      </c>
      <c r="AIX23" s="75" t="str">
        <f t="array" ref="AIX23">INDEX('Port Linkages'!$V$18:$V$157,MATCH(2,1/(('Port Linkages'!$C$18:$C$157=$AQ23)*('Port Linkages'!$D$18:$D$157=IF($AO23="no",$AQ23,$KK23))*('Port Linkages'!$A$18:$A$157&lt;=$C23))))</f>
        <v>Singapore</v>
      </c>
      <c r="AIY23" s="75" t="str">
        <f t="array" ref="AIY23">INDEX('Port Linkages'!$W$18:$W$157,MATCH(2,1/(('Port Linkages'!$C$18:$C$157=$AQ23)*('Port Linkages'!$D$18:$D$157=IF($AO23="no",$AQ23,$KK23))*('Port Linkages'!$A$18:$A$157&lt;=$C23))))</f>
        <v>VLSFO</v>
      </c>
      <c r="AIZ23" s="75" t="str">
        <f t="array" ref="AIZ23">INDEX('Port Linkages'!$X$18:$X$157,MATCH(2,1/(('Port Linkages'!$C$18:$C$157=$AQ23)*('Port Linkages'!$D$18:$D$157=IF($AO23="no",$AQ23,$KK23))*('Port Linkages'!$A$18:$A$157&lt;=$C23))))</f>
        <v>MGO_Regular</v>
      </c>
      <c r="AJA23" s="75" t="str">
        <f t="array" ref="AJA23">INDEX('Port Linkages'!$Y$18:$Y$157,MATCH(2,1/(('Port Linkages'!$C$18:$C$157=$AQ23)*('Port Linkages'!$D$18:$D$157=IF($AO23="no",$AQ23,$KK23))*('Port Linkages'!$A$18:$A$157&lt;=$C23))))</f>
        <v>none</v>
      </c>
      <c r="AJB23" s="75" t="e">
        <f t="array" ref="AJB23">INDEX('Port Linkages'!$Z$18:$Z$157,MATCH(2,1/(('Port Linkages'!$C$18:$C$157=$AQ23)*('Port Linkages'!$D$18:$D$157=IF($AO23="no",$AQ23,$KK23))*('Port Linkages'!$A$18:$A$157&lt;=$C23))))</f>
        <v>#N/A</v>
      </c>
      <c r="AJC23" s="75">
        <f t="array" ref="AJC23">INDEX('Port Linkages'!$AA$18:$AA$157,MATCH(2,1/(('Port Linkages'!$C$18:$C$157=$AQ23)*('Port Linkages'!$D$18:$D$157=IF($AO23="no",$AQ23,$KK23))*('Port Linkages'!$A$18:$A$157&lt;=$C23))))</f>
        <v>0</v>
      </c>
      <c r="AJD23" s="75" t="str">
        <f t="array" ref="AJD23">INDEX('Port Linkages'!$AB$18:$AB$157,MATCH(2,1/(('Port Linkages'!$C$18:$C$157=$AQ23)*('Port Linkages'!$D$18:$D$157=IF($AO23="no",$AQ23,$KK23))*('Port Linkages'!$A$18:$A$157&lt;=$C23))))</f>
        <v>Capesize_General</v>
      </c>
      <c r="AJE23" s="75" t="str">
        <f t="array" ref="AJE23">INDEX('Port Linkages'!$AC$18:$AC$157,MATCH(2,1/(('Port Linkages'!$C$18:$C$157=$AQ23)*('Port Linkages'!$D$18:$D$157=IF($AO23="no",$AQ23,$KK23))*('Port Linkages'!$A$18:$A$157&lt;=$C23))))</f>
        <v>Singapore</v>
      </c>
      <c r="AJF23" s="75" t="str">
        <f t="array" ref="AJF23">INDEX('Port Linkages'!$AD$18:$AD$157,MATCH(2,1/(('Port Linkages'!$C$18:$C$157=$AQ23)*('Port Linkages'!$D$18:$D$157=IF($AO23="no",$AQ23,$KK23))*('Port Linkages'!$A$18:$A$157&lt;=$C23))))</f>
        <v>VLSFO</v>
      </c>
      <c r="AJG23" s="75" t="str">
        <f t="array" ref="AJG23">INDEX('Port Linkages'!$AE$18:$AE$157,MATCH(2,1/(('Port Linkages'!$C$18:$C$157=$AQ23)*('Port Linkages'!$D$18:$D$157=IF($AO23="no",$AQ23,$KK23))*('Port Linkages'!$A$18:$A$157&lt;=$C23))))</f>
        <v>MGO_Regular</v>
      </c>
      <c r="AJH23" s="75" t="str">
        <f t="array" ref="AJH23">INDEX('Port Linkages'!$AF$18:$AF$157,MATCH(2,1/(('Port Linkages'!$C$18:$C$157=$AQ23)*('Port Linkages'!$D$18:$D$157=IF($AO23="no",$AQ23,$KK23))*('Port Linkages'!$A$18:$A$157&lt;=$C23))))</f>
        <v>none</v>
      </c>
      <c r="AJI23" s="75" t="e">
        <f t="array" ref="AJI23">INDEX('Port Linkages'!$AG$18:$AG$157,MATCH(2,1/(('Port Linkages'!$C$18:$C$157=$AQ23)*('Port Linkages'!$D$18:$D$157=IF($AO23="no",$AQ23,$KK23))*('Port Linkages'!$A$18:$A$157&lt;=$C23))))</f>
        <v>#N/A</v>
      </c>
      <c r="AJJ23" s="75">
        <f t="array" ref="AJJ23">INDEX('Port Linkages'!$AH$18:$AH$157,MATCH(2,1/(('Port Linkages'!$C$18:$C$157=$AQ23)*('Port Linkages'!$D$18:$D$157=IF($AO23="no",$AQ23,$KK23))*('Port Linkages'!$A$18:$A$157&lt;=$C23))))</f>
        <v>0</v>
      </c>
      <c r="AJK23" s="75" t="str">
        <f t="array" ref="AJK23">INDEX('Port Linkages'!$AI$18:$AI$157,MATCH(2,1/(('Port Linkages'!$C$18:$C$157=$AQ23)*('Port Linkages'!$D$18:$D$157=IF($AO23="no",$AQ23,$KK23))*('Port Linkages'!$A$18:$A$157&lt;=$C23))))</f>
        <v>Panamax_General</v>
      </c>
      <c r="AJL23" s="75" t="str">
        <f t="array" ref="AJL23">INDEX('Port Linkages'!$AJ$18:$AJ$157,MATCH(2,1/(('Port Linkages'!$C$18:$C$157=$AQ23)*('Port Linkages'!$D$18:$D$157=IF($AO23="no",$AQ23,$KK23))*('Port Linkages'!$A$18:$A$157&lt;=$C23))))</f>
        <v>Singapore</v>
      </c>
      <c r="AJM23" s="75" t="str">
        <f t="array" ref="AJM23">INDEX('Port Linkages'!$AK$18:$AK$157,MATCH(2,1/(('Port Linkages'!$C$18:$C$157=$AQ23)*('Port Linkages'!$D$18:$D$157=IF($AO23="no",$AQ23,$KK23))*('Port Linkages'!$A$18:$A$157&lt;=$C23))))</f>
        <v>VLSFO</v>
      </c>
      <c r="AJN23" s="75" t="str">
        <f t="array" ref="AJN23">INDEX('Port Linkages'!$AL$18:$AL$157,MATCH(2,1/(('Port Linkages'!$C$18:$C$157=$AQ23)*('Port Linkages'!$D$18:$D$157=IF($AO23="no",$AQ23,$KK23))*('Port Linkages'!$A$18:$A$157&lt;=$C23))))</f>
        <v>MGO_Regular</v>
      </c>
      <c r="AJO23" s="75" t="str">
        <f t="array" ref="AJO23">INDEX('Port Linkages'!$AM$18:$AM$157,MATCH(2,1/(('Port Linkages'!$C$18:$C$157=$AQ23)*('Port Linkages'!$D$18:$D$157=IF($AO23="no",$AQ23,$KK23))*('Port Linkages'!$A$18:$A$157&lt;=$C23))))</f>
        <v>none</v>
      </c>
      <c r="AJP23" s="75" t="e">
        <f t="array" ref="AJP23">INDEX('Port Linkages'!$AN$18:$AN$157,MATCH(2,1/(('Port Linkages'!$C$18:$C$157=$AQ23)*('Port Linkages'!$D$18:$D$157=IF($AO23="no",$AQ23,$KK23))*('Port Linkages'!$A$18:$A$157&lt;=$C23))))</f>
        <v>#N/A</v>
      </c>
      <c r="AJQ23" s="75">
        <f t="array" ref="AJQ23">INDEX('Port Linkages'!$AO$18:$AO$157,MATCH(2,1/(('Port Linkages'!$C$18:$C$157=$AQ23)*('Port Linkages'!$D$18:$D$157=IF($AO23="no",$AQ23,$KK23))*('Port Linkages'!$A$18:$A$157&lt;=$C23))))</f>
        <v>0</v>
      </c>
      <c r="AJR23" s="75" t="str">
        <f t="array" ref="AJR23">INDEX('Port Linkages'!$AP$18:$AP$157,MATCH(2,1/(('Port Linkages'!$C$18:$C$157=$AQ23)*('Port Linkages'!$D$18:$D$157=IF($AO23="no",$AQ23,$KK23))*('Port Linkages'!$A$18:$A$157&lt;=$C23))))</f>
        <v>Supramax_General</v>
      </c>
      <c r="AJS23" s="75" t="str">
        <f t="array" ref="AJS23">INDEX('Port Linkages'!$AQ$18:$AQ$157,MATCH(2,1/(('Port Linkages'!$C$18:$C$157=$AQ23)*('Port Linkages'!$D$18:$D$157=IF($AO23="no",$AQ23,$KK23))*('Port Linkages'!$A$18:$A$157&lt;=$C23))))</f>
        <v>Singapore</v>
      </c>
      <c r="AJT23" s="75" t="str">
        <f t="array" ref="AJT23">INDEX('Port Linkages'!$AR$18:$AR$157,MATCH(2,1/(('Port Linkages'!$C$18:$C$157=$AQ23)*('Port Linkages'!$D$18:$D$157=IF($AO23="no",$AQ23,$KK23))*('Port Linkages'!$A$18:$A$157&lt;=$C23))))</f>
        <v>VLSFO</v>
      </c>
      <c r="AJU23" s="75" t="str">
        <f t="array" ref="AJU23">INDEX('Port Linkages'!$AS$18:$AS$157,MATCH(2,1/(('Port Linkages'!$C$18:$C$157=$AQ23)*('Port Linkages'!$D$18:$D$157=IF($AO23="no",$AQ23,$KK23))*('Port Linkages'!$A$18:$A$157&lt;=$C23))))</f>
        <v>MGO_Regular</v>
      </c>
      <c r="AJV23" s="75" t="str">
        <f t="array" ref="AJV23">INDEX('Port Linkages'!$AT$18:$AT$157,MATCH(2,1/(('Port Linkages'!$C$18:$C$157=$AQ23)*('Port Linkages'!$D$18:$D$157=IF($AO23="no",$AQ23,$KK23))*('Port Linkages'!$A$18:$A$157&lt;=$C23))))</f>
        <v>none</v>
      </c>
      <c r="AJW23" s="75" t="e">
        <f t="array" ref="AJW23">INDEX('Port Linkages'!$AU$18:$AU$157,MATCH(2,1/(('Port Linkages'!$C$18:$C$157=$AQ23)*('Port Linkages'!$D$18:$D$157=IF($AO23="no",$AQ23,$KK23))*('Port Linkages'!$A$18:$A$157&lt;=$C23))))</f>
        <v>#N/A</v>
      </c>
      <c r="AJX23" s="75">
        <f t="array" ref="AJX23">INDEX('Port Linkages'!$AV$18:$AV$157,MATCH(2,1/(('Port Linkages'!$C$18:$C$157=$AQ23)*('Port Linkages'!$D$18:$D$157=IF($AO23="no",$AQ23,$KK23))*('Port Linkages'!$A$18:$A$157&lt;=$C23))))</f>
        <v>0</v>
      </c>
      <c r="AJY23" s="75" t="str">
        <f t="array" ref="AJY23">INDEX('Port Linkages'!$AW$18:$AW$157,MATCH(2,1/(('Port Linkages'!$C$18:$C$157=$AQ23)*('Port Linkages'!$D$18:$D$157=IF($AO23="no",$AQ23,$KK23))*('Port Linkages'!$A$18:$A$157&lt;=$C23))))</f>
        <v>Handysize_General</v>
      </c>
      <c r="AJZ23" s="75" t="str">
        <f t="array" ref="AJZ23">INDEX('Port Linkages'!$AX$18:$AX$157,MATCH(2,1/(('Port Linkages'!$C$18:$C$157=$AQ23)*('Port Linkages'!$D$18:$D$157=IF($AO23="no",$AQ23,$KK23))*('Port Linkages'!$A$18:$A$157&lt;=$C23))))</f>
        <v>Singapore</v>
      </c>
      <c r="AKA23" s="75" t="str">
        <f t="array" ref="AKA23">INDEX('Port Linkages'!$AY$18:$AY$157,MATCH(2,1/(('Port Linkages'!$C$18:$C$157=$AQ23)*('Port Linkages'!$D$18:$D$157=IF($AO23="no",$AQ23,$KK23))*('Port Linkages'!$A$18:$A$157&lt;=$C23))))</f>
        <v>VLSFO</v>
      </c>
      <c r="AKB23" s="75" t="str">
        <f t="array" ref="AKB23">INDEX('Port Linkages'!$AZ$18:$AZ$157,MATCH(2,1/(('Port Linkages'!$C$18:$C$157=$AQ23)*('Port Linkages'!$D$18:$D$157=IF($AO23="no",$AQ23,$KK23))*('Port Linkages'!$A$18:$A$157&lt;=$C23))))</f>
        <v>MGO_Regular</v>
      </c>
      <c r="AKC23" s="75" t="str">
        <f t="array" ref="AKC23">INDEX('Port Linkages'!$BA$18:$BA$157,MATCH(2,1/(('Port Linkages'!$C$18:$C$157=$AQ23)*('Port Linkages'!$D$18:$D$157=IF($AO23="no",$AQ23,$KK23))*('Port Linkages'!$A$18:$A$157&lt;=$C23))))</f>
        <v>none</v>
      </c>
      <c r="AKE23" s="25" t="e">
        <f t="array" aca="1" ref="AKE23" ca="1">INDEX('Ship Fuel Prices'!$F$5:$F$1004,MATCH(2,1/(('Ship Fuel Prices'!$E$5:$E$1004=_xlfn.IFS(AHT23="Handysize",Main!AJZ23,AHT23="Supramax",AJS23,AHT23="Panamax",AJL23,AHT23="NeoPanamax",AJE23,AHT23="Suezmax",AIX23,AHT23="Capesize",AIQ23,AHT23="VLOC",AIJ23))*('Ship Fuel Prices'!$D$5:$D$1004&lt;=Main!$C23))))</f>
        <v>#N/A</v>
      </c>
      <c r="AKF23" s="25" t="e">
        <f t="array" aca="1" ref="AKF23" ca="1">INDEX('Ship Fuel Prices'!$G$5:$G$1004,MATCH(2,1/(('Ship Fuel Prices'!$E$5:$E$1004=_xlfn.IFS(AHT23="Handysize",Main!AJZ23,AHT23="Supramax",AJS23,AHT23="Panamax",AJL23,AHT23="NeoPanamax",AJE23,AHT23="Suezmax",AIX23,AHT23="Capesize",AIQ23,AHT23="VLOC",AIJ23))*('Ship Fuel Prices'!$D$5:$D$1004&lt;=Main!$C23))))</f>
        <v>#N/A</v>
      </c>
      <c r="AKG23" s="25" t="e">
        <f t="array" aca="1" ref="AKG23" ca="1">INDEX('Ship Fuel Prices'!$H$5:$H$1004,MATCH(2,1/(('Ship Fuel Prices'!$E$5:$E$1004=_xlfn.IFS(AHT23="Handysize",Main!AJZ23,AHT23="Supramax",AJS23,AHT23="Panamax",AJL23,AHT23="NeoPanamax",AJE23,AHT23="Suezmax",AIX23,AHT23="Capesize",AIQ23,AHT23="VLOC",AIJ23))*('Ship Fuel Prices'!$D$5:$D$1004&lt;=Main!$C23))))</f>
        <v>#N/A</v>
      </c>
      <c r="AKH23" s="25" t="e">
        <f t="array" aca="1" ref="AKH23" ca="1">INDEX('Ship Fuel Prices'!$I$5:$I$1004,MATCH(2,1/(('Ship Fuel Prices'!$E$5:$E$1004=_xlfn.IFS(AHT23="Handysize",Main!AJZ23,AHT23="Supramax",AJS23,AHT23="Panamax",AJL23,AHT23="NeoPanamax",AJE23,AHT23="Suezmax",AIX23,AHT23="Capesize",AIQ23,AHT23="VLOC",AIJ23))*('Ship Fuel Prices'!$D$5:$D$1004&lt;=Main!$C23))))</f>
        <v>#N/A</v>
      </c>
      <c r="AKI23" s="25" t="e">
        <f t="array" aca="1" ref="AKI23" ca="1">INDEX('Ship Fuel Prices'!$J$5:$J$1004,MATCH(2,1/(('Ship Fuel Prices'!$E$5:$E$1004=_xlfn.IFS(AHT23="Handysize",Main!AJZ23,AHT23="Supramax",AJS23,AHT23="Panamax",AJL23,AHT23="NeoPanamax",AJE23,AHT23="Suezmax",AIX23,AHT23="Capesize",AIQ23,AHT23="VLOC",AIJ23))*('Ship Fuel Prices'!$D$5:$D$1004&lt;=Main!$C23))))</f>
        <v>#N/A</v>
      </c>
      <c r="AKK23" s="75">
        <f t="array" ref="AKK23">INDEX('China n Importing Ports'!$E$20:$E$41,MATCH(2,1/(('China n Importing Ports'!$D$20:$D$41&lt;=$C23)*('China n Importing Ports'!$C$20:$C$41=IF($AO23="No",$AQ23,$KK23)))))</f>
        <v>42500</v>
      </c>
      <c r="AKL23" s="75">
        <f t="array" ref="AKL23">INDEX('China n Importing Ports'!$F$20:$F$41,MATCH(2,1/(('China n Importing Ports'!$D$20:$D$41&lt;=$C23)*('China n Importing Ports'!$C$20:$C$41=IF($AO23="No",$AQ23,$KK23)))))</f>
        <v>42500</v>
      </c>
      <c r="AKM23" s="75">
        <f t="array" ref="AKM23">INDEX('China n Importing Ports'!$G$20:$G$41,MATCH(2,1/(('China n Importing Ports'!$D$20:$D$41&lt;=$C23)*('China n Importing Ports'!$C$20:$C$41=IF($AO23="No",$AQ23,$KK23)))))</f>
        <v>42500</v>
      </c>
      <c r="AKN23" s="75">
        <f t="array" ref="AKN23">INDEX('China n Importing Ports'!$H$20:$H$41,MATCH(2,1/(('China n Importing Ports'!$D$20:$D$41&lt;=$C23)*('China n Importing Ports'!$C$20:$C$41=IF($AO23="No",$AQ23,$KK23)))))</f>
        <v>42500</v>
      </c>
      <c r="AKO23" s="75">
        <f t="array" ref="AKO23">INDEX('China n Importing Ports'!$I$20:$I$41,MATCH(2,1/(('China n Importing Ports'!$D$20:$D$41&lt;=$C23)*('China n Importing Ports'!$C$20:$C$41=IF($AO23="No",$AQ23,$KK23)))))</f>
        <v>42500</v>
      </c>
      <c r="AKP23" s="75">
        <f t="array" ref="AKP23">INDEX('China n Importing Ports'!$J$20:$J$41,MATCH(2,1/(('China n Importing Ports'!$D$20:$D$41&lt;=$C23)*('China n Importing Ports'!$C$20:$C$41=IF($AO23="No",$AQ23,$KK23)))))</f>
        <v>42500</v>
      </c>
      <c r="AKQ23" s="75">
        <f t="array" ref="AKQ23">INDEX('China n Importing Ports'!$K$20:$K$41,MATCH(2,1/(('China n Importing Ports'!$D$20:$D$41&lt;=$C23)*('China n Importing Ports'!$C$20:$C$41=IF($AO23="No",$AQ23,$KK23)))))</f>
        <v>42500</v>
      </c>
      <c r="AKR23" s="75" t="str">
        <f t="array" ref="AKR23">INDEX('China n Importing Ports'!$L$20:$L$41,MATCH(2,1/(('China n Importing Ports'!$D$20:$D$41&lt;=$C23)*('China n Importing Ports'!$C$20:$C$41=IF($AO23="No",$AQ23,$KK23)))))</f>
        <v>RMB</v>
      </c>
      <c r="AKS23" s="75">
        <f t="array" ref="AKS23">INDEX('China n Importing Ports'!$M$20:$M$41,MATCH(2,1/(('China n Importing Ports'!$D$20:$D$41&lt;=$C23)*('China n Importing Ports'!$C$20:$C$41=IF($AO23="No",$AQ23,$KK23)))))</f>
        <v>12342</v>
      </c>
      <c r="AKT23" s="75">
        <f t="array" ref="AKT23">INDEX('China n Importing Ports'!$N$20:$N$41,MATCH(2,1/(('China n Importing Ports'!$D$20:$D$41&lt;=$C23)*('China n Importing Ports'!$C$20:$C$41=IF($AO23="No",$AQ23,$KK23)))))</f>
        <v>0</v>
      </c>
      <c r="AKU23" s="75">
        <f t="array" ref="AKU23">INDEX('China n Importing Ports'!$O$20:$O$41,MATCH(2,1/(('China n Importing Ports'!$D$20:$D$41&lt;=$C23)*('China n Importing Ports'!$C$20:$C$41=IF($AO23="No",$AQ23,$KK23)))))</f>
        <v>0</v>
      </c>
      <c r="AKV23" s="136">
        <f t="array" ref="AKV23">INDEX('China n Importing Ports'!$P$20:$P$41,MATCH(2,1/(('China n Importing Ports'!$D$20:$D$41&lt;=$C23)*('China n Importing Ports'!$C$20:$C$41=IF($AO23="No",$AQ23,$KK23)))))</f>
        <v>2.64</v>
      </c>
      <c r="AKW23" s="136">
        <f t="array" ref="AKW23">INDEX('China n Importing Ports'!$Q$20:$Q$41,MATCH(2,1/(('China n Importing Ports'!$D$20:$D$41&lt;=$C23)*('China n Importing Ports'!$C$20:$C$41=IF($AO23="No",$AQ23,$KK23)))))</f>
        <v>0</v>
      </c>
      <c r="AKX23" s="136">
        <f t="array" ref="AKX23">INDEX('China n Importing Ports'!$R$20:$R$41,MATCH(2,1/(('China n Importing Ports'!$D$20:$D$41&lt;=$C23)*('China n Importing Ports'!$C$20:$C$41=IF($AO23="No",$AQ23,$KK23)))))</f>
        <v>0</v>
      </c>
      <c r="AKY23" s="136">
        <f t="array" ref="AKY23">INDEX('China n Importing Ports'!$S$20:$S$41,MATCH(2,1/(('China n Importing Ports'!$D$20:$D$41&lt;=$C23)*('China n Importing Ports'!$C$20:$C$41=IF($AO23="No",$AQ23,$KK23)))))</f>
        <v>4.53</v>
      </c>
      <c r="AKZ23" s="136">
        <f t="array" ref="AKZ23">INDEX('China n Importing Ports'!$T$20:$T$41,MATCH(2,1/(('China n Importing Ports'!$D$20:$D$41&lt;=$C23)*('China n Importing Ports'!$C$20:$C$41=IF($AO23="No",$AQ23,$KK23)))))</f>
        <v>0.36699999999999999</v>
      </c>
      <c r="ALA23" s="136">
        <f t="array" ref="ALA23">INDEX('China n Importing Ports'!$U$20:$U$41,MATCH(2,1/(('China n Importing Ports'!$D$20:$D$41&lt;=$C23)*('China n Importing Ports'!$C$20:$C$41=IF($AO23="No",$AQ23,$KK23)))))</f>
        <v>0.05</v>
      </c>
      <c r="ALB23" s="136">
        <f t="array" ref="ALB23">INDEX('China n Importing Ports'!$V$20:$V$41,MATCH(2,1/(('China n Importing Ports'!$D$20:$D$41&lt;=$C23)*('China n Importing Ports'!$C$20:$C$41=IF($AO23="No",$AQ23,$KK23)))))</f>
        <v>0</v>
      </c>
      <c r="ALC23" s="136">
        <f t="array" ref="ALC23">INDEX('China n Importing Ports'!$W$20:$W$41,MATCH(2,1/(('China n Importing Ports'!$D$20:$D$41&lt;=$C23)*('China n Importing Ports'!$C$20:$C$41=IF($AO23="No",$AQ23,$KK23)))))</f>
        <v>0</v>
      </c>
      <c r="ALD23" s="136">
        <f t="array" ref="ALD23">INDEX('China n Importing Ports'!$X$20:$X$41,MATCH(2,1/(('China n Importing Ports'!$D$20:$D$41&lt;=$C23)*('China n Importing Ports'!$C$20:$C$41=IF($AO23="No",$AQ23,$KK23)))))</f>
        <v>0</v>
      </c>
      <c r="ALE23" s="136">
        <f t="array" ref="ALE23">INDEX('China n Importing Ports'!$Y$20:$Y$41,MATCH(2,1/(('China n Importing Ports'!$D$20:$D$41&lt;=$C23)*('China n Importing Ports'!$C$20:$C$41=IF($AO23="No",$AQ23,$KK23)))))</f>
        <v>197</v>
      </c>
      <c r="ALF23" s="136">
        <f t="array" ref="ALF23">INDEX('China n Importing Ports'!$Z$20:$Z$41,MATCH(2,1/(('China n Importing Ports'!$D$20:$D$41&lt;=$C23)*('China n Importing Ports'!$C$20:$C$41=IF($AO23="No",$AQ23,$KK23)))))</f>
        <v>0</v>
      </c>
      <c r="ALG23" s="136">
        <f t="array" ref="ALG23">INDEX('China n Importing Ports'!$AA$20:$AA$41,MATCH(2,1/(('China n Importing Ports'!$D$20:$D$41&lt;=$C23)*('China n Importing Ports'!$C$20:$C$41=IF($AO23="No",$AQ23,$KK23)))))</f>
        <v>0</v>
      </c>
      <c r="ALI23" s="75" t="e">
        <f t="array" aca="1" ref="ALI23" ca="1">INDEX(Canals!$G$24:$G$29,MATCH(2,1/((Canals!$F$24:$F$29&lt;=$C23)*(Canals!$G$24:$G$29=_xlfn.IFS(AHT23="Handysize",AKC23,AHT23="Supramax",AJV23,AHT23="Panamax",AJO23,AHT23="NeoPanamax",AJH23,AHT23="Suezmax",AJA23,AHT23="Capesize",AIT23,AHT23="VLOC",AIM23)))))</f>
        <v>#N/A</v>
      </c>
      <c r="ALJ23" s="75" t="e">
        <f t="array" aca="1" ref="ALJ23" ca="1">INDEX(Canals!$H$24:$H$29,MATCH(2,1/((Canals!$F$24:$F$29&lt;=$C23)*(Canals!$G$24:$G$29=_xlfn.IFS(AHT23="Handysize",AKC23,AHT23="Supramax",AJV23,AHT23="Panamax",AJO23,AHT23="NeoPanamax",AJH23,AHT23="Suezmax",AJA23,AHT23="Capesize",AIT23,AHT23="VLOC",AIM23)))))</f>
        <v>#N/A</v>
      </c>
      <c r="ALK23" s="75" t="e">
        <f t="array" aca="1" ref="ALK23" ca="1">INDEX(Canals!$I$24:$I$29,MATCH(2,1/((Canals!$F$24:$F$29&lt;=$C23)*(Canals!$G$24:$G$29=_xlfn.IFS(AHT23="Handysize",AKC23,AHT23="Supramax",AJV23,AHT23="Panamax",AJO23,AHT23="NeoPanamax",AJH23,AHT23="Suezmax",AJA23,AHT23="Capesize",AIT23,AHT23="VLOC",AIM23)))))</f>
        <v>#N/A</v>
      </c>
      <c r="ALL23" s="75" t="e">
        <f t="array" aca="1" ref="ALL23" ca="1">INDEX(Canals!$J$24:$J$29,MATCH(2,1/((Canals!$F$24:$F$29&lt;=$C23)*(Canals!$G$24:$G$29=_xlfn.IFS(AHT23="Handysize",Main!AKC23,AHT23="Supramax",AJV23,AHT23="Panamax",AJO23,AHT23="NeoPanamax",AJH23,AHT23="Suezmax",AJA23,AHT23="Capesize",AIT23,AHT23="VLOC",AIM23)))))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M23" s="75" t="e">
        <f t="array" aca="1" ref="ALM23" ca="1">INDEX(Canals!$K$24:$K$29,MATCH(2,1/((Canals!$F$24:$F$29&lt;=$C23)*(Canals!$G$24:$G$29=_xlfn.IFS(AHT23="Handysize",Main!AKC23,AHT23="Supramax",AJV23,AHT23="Panamax",AJO23,AHT23="NeoPanamax",AJH23,AHT23="Suezmax",AJA23,AHT23="Capesize",AIT23,AHT23="VLOC",AIM23)))))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N23" s="75" t="e">
        <f t="array" aca="1" ref="ALN23" ca="1">INDEX(Canals!$L$24:$L$29,MATCH(2,1/((Canals!$F$24:$F$29&lt;=$C23)*(Canals!$G$24:$G$29=_xlfn.IFS(AHT23="Handysize",Main!AKC23,AHT23="Supramax",AJV23,AHT23="Panamax",AJO23,AHT23="NeoPanamax",AJH23,AHT23="Suezmax",AJA23,AHT23="Capesize",AIT23,AHT23="VLOC",AIM23)))))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O23" s="75" t="e">
        <f t="array" aca="1" ref="ALO23" ca="1">INDEX(Canals!$M$24:$M$29,MATCH(2,1/((Canals!$F$24:$F$29&lt;=$C23)*(Canals!$G$24:$G$29=_xlfn.IFS(AHT23="Handysize",Main!AKC23,AHT23="Supramax",AJV23,AHT23="Panamax",AJO23,AHT23="NeoPanamax",AJH23,AHT23="Suezmax",AJA23,AHT23="Capesize",AIT23,AHT23="VLOC",AIM23)))))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P23" s="75" t="e">
        <f t="array" aca="1" ref="ALP23" ca="1">INDEX(Canals!$N$24:$N$29,MATCH(2,1/((Canals!$F$24:$F$29&lt;=$C23)*(Canals!$G$24:$G$29=_xlfn.IFS(AHT23="Handysize",Main!AKC23,AHT23="Supramax",AJV23,AHT23="Panamax",AJO23,AHT23="NeoPanamax",AJH23,AHT23="Suezmax",AJA23,AHT23="Capesize",AIT23,AHT23="VLOC",AIM23)))))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Q23" s="75" t="e">
        <f t="array" aca="1" ref="ALQ23" ca="1">INDEX(Canals!$O$24:$O$29,MATCH(2,1/((Canals!$F$24:$F$29&lt;=$C23)*(Canals!$G$24:$G$29=_xlfn.IFS(AHT23="Handysize",Main!AKC23,AHT23="Supramax",AJV23,AHT23="Panamax",AJO23,AHT23="NeoPanamax",AJH23,AHT23="Suezmax",AJA23,AHT23="Capesize",AIT23,AHT23="VLOC",AIM23)))))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R23" s="75" t="e">
        <f t="array" aca="1" ref="ALR23" ca="1">INDEX(Canals!$P$24:$P$29,MATCH(2,1/((Canals!$F$24:$F$29&lt;=$C23)*(Canals!$G$24:$G$29=_xlfn.IFS(AHT23="Handysize",Main!AKC23,AHT23="Supramax",AJV23,AHT23="Panamax",AJO23,AHT23="NeoPanamax",AJH23,AHT23="Suezmax",AJA23,AHT23="Capesize",AIT23,AHT23="VLOC",AIM23)))))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S23" s="75" t="e">
        <f t="array" aca="1" ref="ALS23" ca="1">INDEX(Canals!$Q$24:$Q$29,MATCH(2,1/((Canals!$F$24:$F$29&lt;=$C23)*(Canals!$G$24:$G$29=_xlfn.IFS(AHT23="Handysize",Main!AKC23,AHT23="Supramax",AJV23,AHT23="Panamax",AJO23,AHT23="NeoPanamax",AJH23,AHT23="Suezmax",AJA23,AHT23="Capesize",AIT23,AHT23="VLOC",AIM23)))))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T23" s="75" t="e">
        <f t="array" aca="1" ref="ALT23" ca="1">INDEX(Canals!$R$24:$R$29,MATCH(2,1/((Canals!$F$24:$F$29&lt;=$C23)*(Canals!$G$24:$G$29=_xlfn.IFS(AHT23="Handysize",Main!AKC23,AHT23="Supramax",AJV23,AHT23="Panamax",AJO23,AHT23="NeoPanamax",AJH23,AHT23="Suezmax",AJA23,AHT23="Capesize",AIT23,AHT23="VLOC",AIM23)))))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U23" s="136" t="e">
        <f t="array" aca="1" ref="ALU23" ca="1">INDEX(Canals!$S$24:$S$29,MATCH(2,1/((Canals!$F$24:$F$29&lt;=$C23)*(Canals!$G$24:$G$29=_xlfn.IFS(AHT23="Handysize",Main!AKC23,AHT23="Supramax",AJV23,AHT23="Panamax",AJO23,AHT23="NeoPanamax",AJH23,AHT23="Suezmax",AJA23,AHT23="Capesize",AIT23,AHT23="VLOC",AIM23)))))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V23" s="136" t="e">
        <f t="array" aca="1" ref="ALV23" ca="1">INDEX(Canals!$T$24:$T$29,MATCH(2,1/((Canals!$F$24:$F$29&lt;=$C23)*(Canals!$G$24:$G$29=_xlfn.IFS(AHT23="Handysize",Main!AKC23,AHT23="Supramax",AJV23,AHT23="Panamax",AJO23,AHT23="NeoPanamax",AJH23,AHT23="Suezmax",AJA23,AHT23="Capesize",AIT23,AHT23="VLOC",AIM23)))))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W23" s="136" t="e">
        <f t="array" aca="1" ref="ALW23" ca="1">INDEX(Canals!$U$24:$U$29,MATCH(2,1/((Canals!$F$24:$F$29&lt;=$C23)*(Canals!$G$24:$G$29=_xlfn.IFS(AHT23="Handysize",Main!AKC23,AHT23="Supramax",AJV23,AHT23="Panamax",AJO23,AHT23="NeoPanamax",AJH23,AHT23="Suezmax",AJA23,AHT23="Capesize",AIT23,AHT23="VLOC",AIM23)))))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X23" s="136" t="e">
        <f t="array" aca="1" ref="ALX23" ca="1">INDEX(Canals!$V$24:$V$29,MATCH(2,1/((Canals!$F$24:$F$29&lt;=$C23)*(Canals!$G$24:$G$29=_xlfn.IFS(AHT23="Handysize",Main!AKC23,AHT23="Supramax",AJV23,AHT23="Panamax",AJO23,AHT23="NeoPanamax",AJH23,AHT23="Suezmax",AJA23,AHT23="Capesize",AIT23,AHT23="VLOC",AIM23)))))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Y23" s="136" t="e">
        <f t="array" aca="1" ref="ALY23" ca="1">INDEX(Canals!$W$24:$W$29,MATCH(2,1/((Canals!$F$24:$F$29&lt;=$C23)*(Canals!$G$24:$G$29=_xlfn.IFS(AHT23="Handysize",Main!AKC23,AHT23="Supramax",AJV23,AHT23="Panamax",AJO23,AHT23="NeoPanamax",AJH23,AHT23="Suezmax",AJA23,AHT23="Capesize",AIT23,AHT23="VLOC",AIM23)))))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LZ23" s="136" t="e">
        <f t="array" aca="1" ref="ALZ23" ca="1">INDEX(Canals!$X$24:$X$29,MATCH(2,1/((Canals!$F$24:$F$29&lt;=$C23)*(Canals!$G$24:$G$29=_xlfn.IFS(AHT23="Handysize",Main!AKC23,AHT23="Supramax",AJV23,AHT23="Panamax",AJO23,AHT23="NeoPanamax",AJH23,AHT23="Suezmax",AJA23,AHT23="Capesize",AIT23,AHT23="VLOC",AIM23)))))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A23" s="136" t="e">
        <f t="array" aca="1" ref="AMA23" ca="1">INDEX(Canals!$Y$24:$Y$29,MATCH(2,1/((Canals!$F$24:$F$29&lt;=$C23)*(Canals!$G$24:$G$29=_xlfn.IFS(AHT23="Handysize",Main!AKC23,AHT23="Supramax",AJV23,AHT23="Panamax",AJO23,AHT23="NeoPanamax",AJH23,AHT23="Suezmax",AJA23,AHT23="Capesize",AIT23,AHT23="VLOC",AIM23)))))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B23" s="136" t="e">
        <f t="array" aca="1" ref="AMB23" ca="1">INDEX(Canals!$Z$24:$Z$29,MATCH(2,1/((Canals!$F$24:$F$29&lt;=$C23)*(Canals!$G$24:$G$29=_xlfn.IFS(AHT23="Handysize",Main!AKC23,AHT23="Supramax",AJV23,AHT23="Panamax",AJO23,AHT23="NeoPanamax",AJH23,AHT23="Suezmax",AJA23,AHT23="Capesize",AIT23,AHT23="VLOC",AIM23)))))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C23" s="136" t="e">
        <f t="array" aca="1" ref="AMC23" ca="1">INDEX(Canals!$AA$24:$AA$29,MATCH(2,1/((Canals!$F$24:$F$29&lt;=$C23)*(Canals!$G$24:$G$29=_xlfn.IFS(AHT23="Handysize",Main!AKC23,AHT23="Supramax",AJV23,AHT23="Panamax",AJO23,AHT23="NeoPanamax",AJH23,AHT23="Suezmax",AJA23,AHT23="Capesize",AIT23,AHT23="VLOC",AIM23)))))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D23" s="136" t="e">
        <f t="array" aca="1" ref="AMD23" ca="1">INDEX(Canals!$AB$24:$AB$29,MATCH(2,1/((Canals!$F$24:$F$29&lt;=$C23)*(Canals!$G$24:$G$29=_xlfn.IFS(AHT23="Handysize",Main!AKC23,AHT23="Supramax",AJV23,AHT23="Panamax",AJO23,AHT23="NeoPanamax",AJH23,AHT23="Suezmax",AJA23,AHT23="Capesize",AIT23,AHT23="VLOC",AIM23)))))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E23" s="75" t="e">
        <f t="array" aca="1" ref="AME23" ca="1">INDEX(Canals!$AC$24:$AC$29,MATCH(2,1/((Canals!$F$24:$F$29&lt;=$C23)*(Canals!$G$24:$G$29=_xlfn.IFS(AHT23="Handysize",Main!AKC23,AHT23="Supramax",AJV23,AHT23="Panamax",AJO23,AHT23="NeoPanamax",AJH23,AHT23="Suezmax",AJA23,AHT23="Capesize",AIT23,AHT23="VLOC",AIM23)))))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F23" s="75" t="e">
        <f t="array" aca="1" ref="AMF23" ca="1">INDEX(Canals!$AD$24:$AD$29,MATCH(2,1/((Canals!$F$24:$F$29&lt;=$C23)*(Canals!$G$24:$G$29=_xlfn.IFS(AHT23="Handysize",Main!AKC23,AHT23="Supramax",AJV23,AHT23="Panamax",AJO23,AHT23="NeoPanamax",AJH23,AHT23="Suezmax",AJA23,AHT23="Capesize",AIT23,AHT23="VLOC",AIM23)))))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G23" s="75" t="e">
        <f t="array" aca="1" ref="AMG23" ca="1">INDEX(Canals!$AE$24:$AE$29,MATCH(2,1/((Canals!$F$24:$F$29&lt;=$C23)*(Canals!$G$24:$G$29=_xlfn.IFS(AHT23="Handysize",Main!AKC23,AHT23="Supramax",AJV23,AHT23="Panamax",AJO23,AHT23="NeoPanamax",AJH23,AHT23="Suezmax",AJA23,AHT23="Capesize",AIT23,AHT23="VLOC",AIM23)))))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H23" s="75" t="e">
        <f t="array" aca="1" ref="AMH23" ca="1">INDEX(Canals!$AF$24:$AF$29,MATCH(2,1/((Canals!$F$24:$F$29&lt;=$C23)*(Canals!$G$24:$G$29=_xlfn.IFS(AHT23="Handysize",Main!AKC23,AHT23="Supramax",AJV23,AHT23="Panamax",AJO23,AHT23="NeoPanamax",AJH23,AHT23="Suezmax",AJA23,AHT23="Capesize",AIT23,AHT23="VLOC",AIM23)))))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I23" s="75" t="e">
        <f t="array" aca="1" ref="AMI23" ca="1">INDEX(Canals!$AG$24:$AG$29,MATCH(2,1/((Canals!$F$24:$F$29&lt;=$C23)*(Canals!$G$24:$G$29=_xlfn.IFS(AHT23="Handysize",Main!AKC23,AHT23="Supramax",AJV23,AHT23="Panamax",AJO23,AHT23="NeoPanamax",AJH23,AHT23="Suezmax",AJA23,AHT23="Capesize",AIT23,AHT23="VLOC",AIM23)))))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J23" s="75" t="e">
        <f t="array" aca="1" ref="AMJ23" ca="1">INDEX(Canals!$AH$24:$AH$29,MATCH(2,1/((Canals!$F$24:$F$29&lt;=$C23)*(Canals!$G$24:$G$29=_xlfn.IFS(AHT23="Handysize",Main!AKC23,AHT23="Supramax",AJV23,AHT23="Panamax",AJO23,AHT23="NeoPanamax",AJH23,AHT23="Suezmax",AJA23,AHT23="Capesize",AIT23,AHT23="VLOC",AIM23)))))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K23" s="75" t="e">
        <f t="array" aca="1" ref="AMK23" ca="1">INDEX(Canals!$AI$24:$AI$29,MATCH(2,1/((Canals!$F$24:$F$29&lt;=$C23)*(Canals!$G$24:$G$29=_xlfn.IFS(AHT23="Handysize",Main!AKC23,AHT23="Supramax",AJV23,AHT23="Panamax",AJO23,AHT23="NeoPanamax",AJH23,AHT23="Suezmax",AJA23,AHT23="Capesize",AIT23,AHT23="VLOC",AIM23)))))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L23" s="75" t="e">
        <f t="array" aca="1" ref="AML23" ca="1">INDEX(Canals!$AJ$24:$AJ$29,MATCH(2,1/((Canals!$F$24:$F$29&lt;=$C23)*(Canals!$G$24:$G$29=_xlfn.IFS(AHT23="Handysize",Main!AKC23,AHT23="Supramax",AJV23,AHT23="Panamax",AJO23,AHT23="NeoPanamax",AJH23,AHT23="Suezmax",AJA23,AHT23="Capesize",AIT23,AHT23="VLOC",AIM23)))))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M23" s="75" t="e">
        <f t="array" aca="1" ref="AMM23" ca="1">INDEX(Canals!$AK$24:$AK$29,MATCH(2,1/((Canals!$F$24:$F$29&lt;=$C23)*(Canals!$G$24:$G$29=_xlfn.IFS(AHT23="Handysize",Main!AKC23,AHT23="Supramax",AJV23,AHT23="Panamax",AJO23,AHT23="NeoPanamax",AJH23,AHT23="Suezmax",AJA23,AHT23="Capesize",AIT23,AHT23="VLOC",AIM23)))))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N23" s="136" t="e">
        <f t="array" aca="1" ref="AMN23" ca="1">INDEX(Canals!$AL$24:$AL$29,MATCH(2,1/((Canals!$F$24:$F$29&lt;=$C23)*(Canals!$G$24:$G$29=_xlfn.IFS(AHT23="Handysize",Main!AKC23,AHT23="Supramax",AJV23,AHT23="Panamax",AJO23,AHT23="NeoPanamax",AJH23,AHT23="Suezmax",AJA23,AHT23="Capesize",AIT23,AHT23="VLOC",AIM23)))))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O23" s="136" t="e">
        <f t="array" aca="1" ref="AMO23" ca="1">INDEX(Canals!$AM$24:$AM$29,MATCH(2,1/((Canals!$F$24:$F$29&lt;=$C23)*(Canals!$G$24:$G$29=_xlfn.IFS(AHT23="Handysize",Main!AKC23,AHT23="Supramax",AJV23,AHT23="Panamax",AJO23,AHT23="NeoPanamax",AJH23,AHT23="Suezmax",AJA23,AHT23="Capesize",AIT23,AHT23="VLOC",AIM23)))))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P23" s="136" t="e">
        <f t="array" aca="1" ref="AMP23" ca="1">INDEX(Canals!$AN$24:$AN$29,MATCH(2,1/((Canals!$F$24:$F$29&lt;=$C23)*(Canals!$G$24:$G$29=_xlfn.IFS(AHT23="Handysize",Main!AKC23,AHT23="Supramax",AJV23,AHT23="Panamax",AJO23,AHT23="NeoPanamax",AJH23,AHT23="Suezmax",AJA23,AHT23="Capesize",AIT23,AHT23="VLOC",AIM23)))))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Q23" s="136" t="e">
        <f t="array" aca="1" ref="AMQ23" ca="1">INDEX(Canals!$AO$24:$AO$29,MATCH(2,1/((Canals!$F$24:$F$29&lt;=$C23)*(Canals!$G$24:$G$29=_xlfn.IFS(AHT23="Handysize",Main!AKC23,AHT23="Supramax",AJV23,AHT23="Panamax",AJO23,AHT23="NeoPanamax",AJH23,AHT23="Suezmax",AJA23,AHT23="Capesize",AIT23,AHT23="VLOC",AIM23)))))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R23" s="136" t="e">
        <f t="array" aca="1" ref="AMR23" ca="1">INDEX(Canals!$AP$24:$AP$29,MATCH(2,1/((Canals!$F$24:$F$29&lt;=$C23)*(Canals!$G$24:$G$29=_xlfn.IFS(AHT23="Handysize",Main!AKC23,AHT23="Supramax",AJV23,AHT23="Panamax",AJO23,AHT23="NeoPanamax",AJH23,AHT23="Suezmax",AJA23,AHT23="Capesize",AIT23,AHT23="VLOC",AIM23)))))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S23" s="136" t="e">
        <f t="array" aca="1" ref="AMS23" ca="1">INDEX(Canals!$AQ$24:$AQ$29,MATCH(2,1/((Canals!$F$24:$F$29&lt;=$C23)*(Canals!$G$24:$G$29=_xlfn.IFS(AHT23="Handysize",Main!AKC23,AHT23="Supramax",AJV23,AHT23="Panamax",AJO23,AHT23="NeoPanamax",AJH23,AHT23="Suezmax",AJA23,AHT23="Capesize",AIT23,AHT23="VLOC",AIM23)))))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T23" s="136" t="e">
        <f t="array" aca="1" ref="AMT23" ca="1">INDEX(Canals!$AR$24:$AR$29,MATCH(2,1/((Canals!$F$24:$F$29&lt;=$C23)*(Canals!$G$24:$G$29=_xlfn.IFS(AHT23="Handysize",Main!AKC23,AHT23="Supramax",AJV23,AHT23="Panamax",AJO23,AHT23="NeoPanamax",AJH23,AHT23="Suezmax",AJA23,AHT23="Capesize",AIT23,AHT23="VLOC",AIM23)))))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U23" s="136" t="e">
        <f t="array" aca="1" ref="AMU23" ca="1">INDEX(Canals!$AS$24:$AS$29,MATCH(2,1/((Canals!$F$24:$F$29&lt;=$C23)*(Canals!$G$24:$G$29=_xlfn.IFS(AHT23="Handysize",Main!AKC23,AHT23="Supramax",AJV23,AHT23="Panamax",AJO23,AHT23="NeoPanamax",AJH23,AHT23="Suezmax",AJA23,AHT23="Capesize",AIT23,AHT23="VLOC",AIM23)))))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V23" s="136" t="e">
        <f t="array" aca="1" ref="AMV23" ca="1">INDEX(Canals!$AT$24:$AT$29,MATCH(2,1/((Canals!$F$24:$F$29&lt;=$C23)*(Canals!$G$24:$G$29=_xlfn.IFS(AHT23="Handysize",Main!AKC23,AHT23="Supramax",AJV23,AHT23="Panamax",AJO23,AHT23="NeoPanamax",AJH23,AHT23="Suezmax",AJA23,AHT23="Capesize",AIT23,AHT23="VLOC",AIM23)))))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W23" s="136" t="e">
        <f t="array" aca="1" ref="AMW23" ca="1">INDEX(Canals!$AU$24:$AU$29,MATCH(2,1/((Canals!$F$24:$F$29&lt;=$C23)*(Canals!$G$24:$G$29=_xlfn.IFS(AHT23="Handysize",Main!AKC23,AHT23="Supramax",AJV23,AHT23="Panamax",AJO23,AHT23="NeoPanamax",AJH23,AHT23="Suezmax",AJA23,AHT23="Capesize",AIT23,AHT23="VLOC",AIM23)))))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X23" s="136" t="e">
        <f t="array" aca="1" ref="AMX23" ca="1">INDEX(Canals!$AV$24:$AV$29,MATCH(2,1/((Canals!$F$24:$F$29&lt;=$C23)*(Canals!$G$24:$G$29=_xlfn.IFS(AHT23="Handysize",Main!AKC23,AHT23="Supramax",AJV23,AHT23="Panamax",AJO23,AHT23="NeoPanamax",AJH23,AHT23="Suezmax",AJA23,AHT23="Capesize",AIT23,AHT23="VLOC",AIM23)))))</f>
        <v>#N/A</v>
      </c>
      <c r="AMZ23" s="75" t="e">
        <f t="array" aca="1" ref="AMZ23" ca="1">_xlfn.IFS(ALK23="DWT",AHR23,ALK23="NRT",AHV23,ALK23="GRT",AHW23,ALK23=0,0)</f>
        <v>#NAME?</v>
      </c>
      <c r="ANA23" s="279" t="e">
        <f t="shared" ca="1" si="227"/>
        <v>#NAME?</v>
      </c>
      <c r="ANB23" s="280" t="e">
        <f t="shared" ca="1" si="228"/>
        <v>#NAME?</v>
      </c>
      <c r="ANC23" s="280" t="e">
        <f t="shared" ca="1" si="229"/>
        <v>#NAME?</v>
      </c>
      <c r="AND23" s="280" t="e">
        <f t="shared" ca="1" si="230"/>
        <v>#NAME?</v>
      </c>
      <c r="ANE23" s="280" t="e">
        <f t="shared" ca="1" si="231"/>
        <v>#NAME?</v>
      </c>
      <c r="ANF23" s="280" t="e">
        <f t="shared" ca="1" si="232"/>
        <v>#NAME?</v>
      </c>
      <c r="ANG23" s="280" t="e">
        <f t="shared" ca="1" si="233"/>
        <v>#NAME?</v>
      </c>
      <c r="ANH23" s="280" t="e">
        <f t="shared" ca="1" si="234"/>
        <v>#NAME?</v>
      </c>
      <c r="ANI23" s="280" t="e">
        <f t="shared" ca="1" si="235"/>
        <v>#NAME?</v>
      </c>
      <c r="ANJ23" s="75">
        <f t="shared" si="236"/>
        <v>159090.90909090909</v>
      </c>
      <c r="ANK23" s="279" t="e">
        <f t="shared" ca="1" si="237"/>
        <v>#N/A</v>
      </c>
      <c r="ANL23" s="280" t="e">
        <f t="shared" ca="1" si="238"/>
        <v>#N/A</v>
      </c>
      <c r="ANM23" s="280" t="e">
        <f t="shared" ca="1" si="239"/>
        <v>#N/A</v>
      </c>
      <c r="ANN23" s="280" t="e">
        <f t="shared" ca="1" si="240"/>
        <v>#N/A</v>
      </c>
      <c r="ANO23" s="280" t="e">
        <f t="shared" ca="1" si="241"/>
        <v>#N/A</v>
      </c>
      <c r="ANP23" s="280" t="e">
        <f t="shared" ca="1" si="242"/>
        <v>#N/A</v>
      </c>
      <c r="ANQ23" s="280" t="e">
        <f t="shared" ca="1" si="243"/>
        <v>#N/A</v>
      </c>
      <c r="ANR23" s="280" t="e">
        <f t="shared" ca="1" si="244"/>
        <v>#N/A</v>
      </c>
      <c r="ANS23" s="280" t="e">
        <f t="shared" ca="1" si="245"/>
        <v>#N/A</v>
      </c>
      <c r="ANU23" s="75" t="e">
        <f t="array" aca="1" ref="ANU23" ca="1">_xlfn.IFS(AHT23="Handysize",Main!AJW23,AHT23="Supramax",AJP23,AHT23="Panamax",AJI23,AHT23="NeoPanamax",AJB23,AHT23="Suezmax",AIU23,AHT23="Capesize",AIN23,AHT23="VLOC",AIG23)*$JI23</f>
        <v>#NAME?</v>
      </c>
      <c r="ANV23" s="274" t="e">
        <f t="array" aca="1" ref="ANV23" ca="1">_xlfn.IFS(AHT23="Handysize",Main!AJX23,AHT23="Supramax",AJQ23,AHT23="Panamax",AJJ23,AHT23="NeoPanamax",AJC23,AHT23="Suezmax",AIV23,AHT23="Capesize",AIO23,AHT23="VLOC",AIH23)*$JI23</f>
        <v>#NAME?</v>
      </c>
      <c r="ANW23" s="71" t="e">
        <f t="array" aca="1" ref="ANW23" ca="1">_xlfn.IFS(AHT23="Handysize",Main!AHY23,AHT23="Supramax",AHZ23,AHT23="Panamax",AIA23,AHT23="NeoPanamax",AIB23,AHT23="Suezmax",AIC23,AHT23="Capesize",AID23,AHT23="VLOC",AIE23)</f>
        <v>#NAME?</v>
      </c>
      <c r="ANX23" s="71" t="e">
        <f t="array" aca="1" ref="ANX23" ca="1">_xlfn.IFS(AHT23="Handysize",Main!AKK23,AHT23="Supramax",AKL23,AHT23="Panamax",AKM23,AHT23="NeoPanamax",AKN23,AHT23="Suezmax",AKO23,AHT23="Capesize",AKP23,AHT23="VLOC",AKQ23)</f>
        <v>#NAME?</v>
      </c>
      <c r="ANY23" s="70">
        <f t="array" ref="ANY23">INDEX('Ship Speeds'!$G$11:$G$1011,MATCH(2,1/(('Ship Speeds'!$E$11:$E$1011&lt;=Main!$C23)*('Ship Speeds'!$F$11:$F$1011=Main!AHS23))))</f>
        <v>11</v>
      </c>
      <c r="ANZ23" s="403">
        <f t="shared" si="246"/>
        <v>33.759451753283166</v>
      </c>
      <c r="AOA23" s="401">
        <f t="shared" si="247"/>
        <v>2.942657342657343</v>
      </c>
      <c r="AOB23" s="70" t="e">
        <f t="shared" ca="1" si="248"/>
        <v>#NAME?</v>
      </c>
      <c r="AOC23" s="70" t="e">
        <f t="shared" ca="1" si="249"/>
        <v>#NAME?</v>
      </c>
      <c r="AOD23" s="70" t="e">
        <f t="shared" ca="1" si="250"/>
        <v>#NAME?</v>
      </c>
      <c r="AOE23" s="70" t="e">
        <f t="shared" ca="1" si="251"/>
        <v>#NAME?</v>
      </c>
      <c r="AOF23" s="72" t="e">
        <f t="shared" ca="1" si="252"/>
        <v>#N/A</v>
      </c>
      <c r="AOG23" s="70" t="e">
        <f t="shared" ca="1" si="253"/>
        <v>#NAME?</v>
      </c>
      <c r="AOH23" s="70" t="e">
        <f t="array" aca="1" ref="AOH23" ca="1">IF(ANU23=0,0,INDEX(AKE23:AKI23,MATCH(_xlfn.IFS(AHT23="Handysize",Main!AKA23,AHT23="Supramax",AJT23,AHT23="Panamax",AJM23,AHT23="NeoPanamax",AJF23,AHT23="Suezmax",AIY23,AHT23="Capesize",AIR23,AHT23="VLOC",AIK23),$AKE$7:$AKI$7,0)))</f>
        <v>#NAME?</v>
      </c>
      <c r="AOI23" s="70" t="e">
        <f t="array" aca="1" ref="AOI23" ca="1">IF(ANU23=0,0,INDEX(AKE23:AKI23,MATCH(_xlfn.IFS(AHT23="Handysize",Main!AKB23,AHT23="Supramax",AJU23,AHT23="Panamax",AJN23,AHT23="NeoPanamax",AJG23,AHT23="Suezmax",AIZ23,AHT23="Capesize",AIS23,AHT23="VLOC",AIL23),$AKE$7:$AKI$7,0)))</f>
        <v>#NAME?</v>
      </c>
      <c r="AOJ23" s="71" t="e">
        <f t="shared" ca="1" si="254"/>
        <v>#NAME?</v>
      </c>
      <c r="AOK23" s="71" t="e">
        <f t="shared" ca="1" si="255"/>
        <v>#NAME?</v>
      </c>
      <c r="AOL23" s="281" t="e">
        <f t="shared" ca="1" si="256"/>
        <v>#NAME?</v>
      </c>
      <c r="AOM23" s="71" t="e">
        <f t="shared" ca="1" si="257"/>
        <v>#NAME?</v>
      </c>
      <c r="AON23" s="71" t="e">
        <f t="shared" ca="1" si="258"/>
        <v>#NAME?</v>
      </c>
      <c r="AOO23" s="71" t="e">
        <f t="shared" ca="1" si="259"/>
        <v>#NAME?</v>
      </c>
      <c r="AOP23" s="71" t="e">
        <f t="shared" ca="1" si="260"/>
        <v>#NAME?</v>
      </c>
      <c r="AOQ23" s="71" t="e">
        <f t="shared" ca="1" si="261"/>
        <v>#NAME?</v>
      </c>
      <c r="AOR23" s="71" t="e">
        <f t="shared" ca="1" si="262"/>
        <v>#NAME?</v>
      </c>
      <c r="AOS23" s="71" t="e">
        <f t="shared" ca="1" si="263"/>
        <v>#NAME?</v>
      </c>
      <c r="AOT23" s="71" t="e">
        <f t="shared" ca="1" si="264"/>
        <v>#NAME?</v>
      </c>
      <c r="AOU23" s="71" t="e">
        <f t="shared" ca="1" si="265"/>
        <v>#NAME?</v>
      </c>
      <c r="AOV23" s="71" t="e">
        <f t="shared" ca="1" si="266"/>
        <v>#NAME?</v>
      </c>
      <c r="AOW23" s="71" t="e">
        <f t="shared" ca="1" si="267"/>
        <v>#NAME?</v>
      </c>
      <c r="AOX23" s="71" t="e">
        <f t="shared" ca="1" si="268"/>
        <v>#NAME?</v>
      </c>
      <c r="AOY23" s="72" t="e">
        <f t="shared" ca="1" si="269"/>
        <v>#NAME?</v>
      </c>
      <c r="AOZ23" s="72" t="e">
        <f t="shared" ca="1" si="270"/>
        <v>#NAME?</v>
      </c>
      <c r="APA23" s="71" t="e">
        <f t="shared" ca="1" si="271"/>
        <v>#NAME?</v>
      </c>
      <c r="APB23" s="71" t="e">
        <f t="array" aca="1" ref="APB23" ca="1">IF(ANU23=0,0,INDEX('Ship Time Charter Rates'!$H$22:$H$1021,MATCH(2,1/(('Ship Time Charter Rates'!$G$22:$G$1021=_xlfn.IFS(AHT23="Handysize",Main!AJY23,AHT23="Supramax",AJR23,AHT23="Panamax",AJK23,AHT23="NeoPanamax",AJD23,AHT23="Suezmax",AIW23,AHT23="Capesize",AIP23,AHT23="VLOC",AII23))*('Ship Time Charter Rates'!$E$22:$E$1021&lt;=Main!$C23)*(NOT(ISBLANK('Ship Time Charter Rates'!$H$22:$H$1021)))))))</f>
        <v>#NAME?</v>
      </c>
      <c r="APC23" s="71" t="e">
        <f t="shared" ca="1" si="272"/>
        <v>#NAME?</v>
      </c>
      <c r="APD23" s="70" t="e">
        <f t="shared" ca="1" si="273"/>
        <v>#NAME?</v>
      </c>
      <c r="APE23" s="71" t="e">
        <f t="shared" ca="1" si="274"/>
        <v>#NAME?</v>
      </c>
      <c r="APF23" s="71" t="e">
        <f t="shared" ca="1" si="308"/>
        <v>#NAME?</v>
      </c>
      <c r="APG23" s="72" t="e">
        <f ca="1">IF(APF23=0,0,APF23/(AHR23*(1-$AL23)*$JN23))</f>
        <v>#NAME?</v>
      </c>
      <c r="API23" s="287" t="s">
        <v>39</v>
      </c>
      <c r="APK23" s="289" t="e">
        <f t="shared" ca="1" si="275"/>
        <v>#NAME?</v>
      </c>
      <c r="APL23" s="289" t="e">
        <f t="shared" ca="1" si="276"/>
        <v>#NAME?</v>
      </c>
      <c r="APM23" s="289" t="e">
        <f t="shared" ca="1" si="277"/>
        <v>#NAME?</v>
      </c>
      <c r="APO23" s="287" t="s">
        <v>39</v>
      </c>
    </row>
    <row r="24" spans="2:1107">
      <c r="T24" s="287"/>
      <c r="AF24" s="97"/>
      <c r="AN24" s="182"/>
      <c r="AO24" s="264"/>
      <c r="AU24"/>
      <c r="AW24" s="237"/>
      <c r="BH24"/>
      <c r="BI24" s="237"/>
      <c r="BK24" s="287"/>
      <c r="CT24" s="287"/>
      <c r="EC24" s="287"/>
      <c r="FL24" s="287"/>
      <c r="IB24" s="287"/>
      <c r="IT24" s="287"/>
      <c r="KO24" s="287"/>
      <c r="RJ24"/>
      <c r="RK24" s="282"/>
      <c r="ZY24" s="287"/>
      <c r="AGU24" s="282"/>
      <c r="API24" s="287"/>
      <c r="APO24" s="287"/>
    </row>
    <row r="25" spans="2:1107">
      <c r="T25" s="287"/>
      <c r="AF25" s="97" t="str">
        <f ca="1">RIGHT(_xlfn.FORMULATEXT(AF10),LEN(_xlfn.FORMULATEXT(AF10))-1)</f>
        <v>IF(NOT(ISBLANK(I10)),I10,IF10)</v>
      </c>
      <c r="AG25" s="97" t="str">
        <f t="shared" ref="AG25:CR25" ca="1" si="324">RIGHT(_xlfn.FORMULATEXT(AG10),LEN(_xlfn.FORMULATEXT(AG10))-1)</f>
        <v>IF(NOT(ISBLANK(J10)),J10,IG10)</v>
      </c>
      <c r="AH25" s="97" t="str">
        <f t="shared" ca="1" si="324"/>
        <v>IF(NOT(ISBLANK(K10)),K10,IH10)</v>
      </c>
      <c r="AI25" s="97" t="str">
        <f t="shared" ca="1" si="324"/>
        <v>IF(NOT(ISBLANK(L10)),L10,II10)</v>
      </c>
      <c r="AJ25" s="97" t="str">
        <f t="shared" ca="1" si="324"/>
        <v>IF(NOT(ISBLANK(M10)),M10,IJ10)</v>
      </c>
      <c r="AK25" s="97" t="str">
        <f t="shared" ca="1" si="324"/>
        <v>IF(NOT(ISBLANK(N10)),N10,IK10)</v>
      </c>
      <c r="AL25" s="97" t="str">
        <f t="shared" ca="1" si="324"/>
        <v>IF(NOT(ISBLANK(O10)),O10,IL10)</v>
      </c>
      <c r="AM25" s="97" t="str">
        <f t="shared" ca="1" si="324"/>
        <v>IM10</v>
      </c>
      <c r="AN25" s="97" t="str">
        <f t="shared" ca="1" si="324"/>
        <v>IF(NOT(ISBLANK(P10)),P10*IF(H10="dmt",1,1-AL10),IO10*JN10*(1-AL10))</v>
      </c>
      <c r="AO25" s="97" t="str">
        <f t="shared" ca="1" si="324"/>
        <v>=IFERROR(IF(AND(AN10&gt;'Indices Mines Exporting Ports'!$D$11,MATCH(2,1/(('Indices Mines Exporting Ports'!$B$3:$B$10&lt;=C10)*('Indices Mines Exporting Ports'!$C$3:$C$10=E10)))),"Yes","No"),"No")}</v>
      </c>
      <c r="AP25" s="97" t="str">
        <f t="shared" ca="1" si="324"/>
        <v>=IF(AO10="Yes",INDEX('Indices Mines Exporting Ports'!$D$3:$D$10,MATCH(2,1/(('Indices Mines Exporting Ports'!$B$3:$B$10&lt;=Main!C10)*('Indices Mines Exporting Ports'!$C$3:$C$10=Main!AE10)))),IF(NOT(ISBLANK(Q10)),Q10,IP10))}</v>
      </c>
      <c r="AQ25" s="97" t="str">
        <f t="shared" ca="1" si="324"/>
        <v>=IF(AO10="no",0,INDEX('Indices Mines Exporting Ports'!$E$3:$E$10,MATCH(2,1/(('Indices Mines Exporting Ports'!$B$3:$B$10&lt;=Main!$C10)*('Indices Mines Exporting Ports'!$D$3:$D$10=Main!$AP10)))))}</v>
      </c>
      <c r="AR25" s="97" t="str">
        <f t="shared" ca="1" si="324"/>
        <v>=IF(AO10="No",0,AN10/ROUND(AN10/INDEX('Indices Mines Exporting Ports'!$F$3:$F$10,MATCH(2,1/(('Indices Mines Exporting Ports'!$B$3:$B$10&lt;=Main!C10)*('Indices Mines Exporting Ports'!$C$3:$C$10=Main!AE10)))),0))}</v>
      </c>
      <c r="AS25" s="97" t="str">
        <f t="shared" ca="1" si="324"/>
        <v>IF(NOT(ISBLANK(R10)),R10,"Qingdao")</v>
      </c>
      <c r="AT25" s="97" t="str">
        <f t="shared" ca="1" si="324"/>
        <v>IQ10</v>
      </c>
      <c r="AU25" s="97" t="str">
        <f t="shared" ca="1" si="324"/>
        <v>IR10</v>
      </c>
      <c r="AV25" s="97" t="e">
        <f t="shared" ca="1" si="324"/>
        <v>#N/A</v>
      </c>
      <c r="AW25" s="97" t="e">
        <f t="shared" ca="1" si="324"/>
        <v>#N/A</v>
      </c>
      <c r="AX25" s="97" t="str">
        <f t="shared" ca="1" si="324"/>
        <v>IF(AND(G10="FOB",H10="dmt"),F10,IF(AND(G10="FOB",H10="wmt"),F10/(1-AL10),AZ10-AY10))</v>
      </c>
      <c r="AY25" s="97" t="str">
        <f t="shared" ca="1" si="324"/>
        <v>APK10</v>
      </c>
      <c r="AZ25" s="97" t="str">
        <f t="shared" ca="1" si="324"/>
        <v>IF(AND(G10&lt;&gt;"FOB",H10="dmt"),F10*IF(G10="CIF",1,(1+KL10))+APM10,IF(AND(G10&lt;&gt;"FOB",H10="wmt"),(F10*IF(G10="CIF",1,(1+KL10)))/(1-AL10),AX10+AY10))</v>
      </c>
      <c r="BA25" s="97" t="str">
        <f t="shared" ca="1" si="324"/>
        <v>IN10</v>
      </c>
      <c r="BB25" s="97" t="e">
        <f t="shared" ca="1" si="324"/>
        <v>#N/A</v>
      </c>
      <c r="BC25" s="97" t="e">
        <f t="shared" ca="1" si="324"/>
        <v>#N/A</v>
      </c>
      <c r="BD25" s="97" t="str">
        <f t="shared" ca="1" si="324"/>
        <v>IF($AT10=BD$7,$CV10,0)</v>
      </c>
      <c r="BE25" s="97" t="str">
        <f t="shared" ca="1" si="324"/>
        <v>IF($AT10=BE$7,$CV10,0)</v>
      </c>
      <c r="BF25" s="97" t="str">
        <f t="shared" ca="1" si="324"/>
        <v>IF($AT10=BF$7,$CV10,0)</v>
      </c>
      <c r="BG25" s="97" t="str">
        <f t="shared" ca="1" si="324"/>
        <v>IF($AU10=BG$7,$EE10,0)</v>
      </c>
      <c r="BH25" s="97" t="str">
        <f t="shared" ca="1" si="324"/>
        <v>IF($AU10=BH$7,$EE10,)</v>
      </c>
      <c r="BI25" s="97" t="str">
        <f t="shared" ca="1" si="324"/>
        <v>GU10</v>
      </c>
      <c r="BJ25" s="97" t="e">
        <f t="shared" ca="1" si="324"/>
        <v>#N/A</v>
      </c>
      <c r="BK25" s="97" t="e">
        <f t="shared" ca="1" si="324"/>
        <v>#N/A</v>
      </c>
      <c r="BL25" s="97" t="e">
        <f t="shared" ca="1" si="324"/>
        <v>#N/A</v>
      </c>
      <c r="BM25" s="97" t="str">
        <f t="shared" ca="1" si="324"/>
        <v>$AZ10</v>
      </c>
      <c r="BN25" s="97" t="str">
        <f t="shared" ca="1" si="324"/>
        <v>$AF10</v>
      </c>
      <c r="BO25" s="97" t="str">
        <f t="shared" ca="1" si="324"/>
        <v>$AG10</v>
      </c>
      <c r="BP25" s="97" t="str">
        <f t="shared" ca="1" si="324"/>
        <v>$AH10</v>
      </c>
      <c r="BQ25" s="97" t="str">
        <f t="shared" ca="1" si="324"/>
        <v>$AI10</v>
      </c>
      <c r="BR25" s="97" t="str">
        <f t="shared" ca="1" si="324"/>
        <v>$AJ10</v>
      </c>
      <c r="BS25" s="97" t="str">
        <f t="shared" ca="1" si="324"/>
        <v>$AK10</v>
      </c>
      <c r="BT25" s="97" t="str">
        <f t="shared" ca="1" si="324"/>
        <v>$AL10</v>
      </c>
      <c r="BU25" s="97" t="str">
        <f t="shared" ca="1" si="324"/>
        <v>$AM10</v>
      </c>
      <c r="BV25" s="97" t="str">
        <f t="shared" ca="1" si="324"/>
        <v>$BA10</v>
      </c>
      <c r="BW25" s="97" t="e">
        <f t="shared" ca="1" si="324"/>
        <v>#N/A</v>
      </c>
      <c r="BX25" s="97" t="str">
        <f t="shared" ca="1" si="324"/>
        <v>=INDEX('Processing Factors'!$D$8:$D$29,MATCH(2,1/(('Processing Factors'!$B$8:$B$29&lt;=Main!$C10)*('Processing Factors'!$C$8:$C$29=Main!BU10))))}</v>
      </c>
      <c r="BY25" s="97" t="str">
        <f t="shared" ca="1" si="324"/>
        <v>=INDEX('Processing Factors'!$E$8:$E$29,MATCH(2,1/(('Processing Factors'!$B$8:$B$29&lt;=Main!$C10)*('Processing Factors'!$C$8:$C$29=Main!BU10))))}</v>
      </c>
      <c r="BZ25" s="97" t="str">
        <f t="shared" ca="1" si="324"/>
        <v>=INDEX('Processing Factors'!$F$8:$F$29,MATCH(2,1/(('Processing Factors'!$B$8:$B$29&lt;=Main!$C10)*('Processing Factors'!$C$8:$C$29=Main!BU10))))}</v>
      </c>
      <c r="CA25" s="97" t="str">
        <f t="shared" ca="1" si="324"/>
        <v>=INDEX('Processing Factors'!$G$8:$G$29,MATCH(2,1/(('Processing Factors'!$B$8:$B$29&lt;=Main!$C10)*('Processing Factors'!$C$8:$C$29=Main!BU10))))}</v>
      </c>
      <c r="CB25" s="97" t="str">
        <f t="shared" ca="1" si="324"/>
        <v>=INDEX('Processing Factors'!$H$8:$H$29,MATCH(2,1/(('Processing Factors'!$B$8:$B$29&lt;=Main!$C10)*('Processing Factors'!$C$8:$C$29=Main!BU10))))}</v>
      </c>
      <c r="CC25" s="97" t="str">
        <f t="shared" ca="1" si="324"/>
        <v>=INDEX('Processing Factors'!$I$8:$I$29,MATCH(2,1/(('Processing Factors'!$B$8:$B$29&lt;=Main!$C10)*('Processing Factors'!$C$8:$C$29=Main!BU10))))}</v>
      </c>
      <c r="CD25" s="97" t="str">
        <f t="shared" ca="1" si="324"/>
        <v>=INDEX('Processing Factors'!$J$8:$J$29,MATCH(2,1/(('Processing Factors'!$B$8:$B$29&lt;=Main!$C10)*('Processing Factors'!$C$8:$C$29=Main!BU10))))}</v>
      </c>
      <c r="CE25" s="97" t="str">
        <f t="shared" ca="1" si="324"/>
        <v>=INDEX('Processing Factors'!$K$8:$K$29,MATCH(2,1/(('Processing Factors'!$B$8:$B$29&lt;=Main!$C10)*('Processing Factors'!$C$8:$C$29=Main!BU10))))}</v>
      </c>
      <c r="CF25" s="97" t="e">
        <f t="shared" ca="1" si="324"/>
        <v>#N/A</v>
      </c>
      <c r="CG25" s="97" t="str">
        <f t="shared" ca="1" si="324"/>
        <v>(BN10-BO10-BQ10)*BX10+BO10+BQ10</v>
      </c>
      <c r="CH25" s="97" t="str">
        <f t="shared" ca="1" si="324"/>
        <v>BQ10+CC10*(BP10-BQ10)</v>
      </c>
      <c r="CI25" s="97" t="str">
        <f t="shared" ca="1" si="324"/>
        <v>CG10-BY10*CH10</v>
      </c>
      <c r="CJ25" s="97" t="str">
        <f t="shared" ca="1" si="324"/>
        <v>1/CI10/CD10</v>
      </c>
      <c r="CK25" s="97" t="str">
        <f t="shared" ca="1" si="324"/>
        <v>(BM10+BV10)*CJ10</v>
      </c>
      <c r="CL25" s="97" t="str">
        <f t="shared" ca="1" si="324"/>
        <v>CH10*BZ10*CJ10+CE10</v>
      </c>
      <c r="CM25" s="97" t="str">
        <f t="shared" ca="1" si="324"/>
        <v>CL10*$IW10</v>
      </c>
      <c r="CN25" s="97" t="str">
        <f t="shared" ca="1" si="324"/>
        <v>CB10*$IV10</v>
      </c>
      <c r="CO25" s="97" t="str">
        <f t="shared" ca="1" si="324"/>
        <v>CA10*$IX10</v>
      </c>
      <c r="CP25" s="97" t="str">
        <f t="shared" ca="1" si="324"/>
        <v>(CJ10-1+CL10+$CA10)</v>
      </c>
      <c r="CQ25" s="97" t="str">
        <f t="shared" ca="1" si="324"/>
        <v>CP10*$IY10</v>
      </c>
      <c r="CR25" s="97" t="str">
        <f t="shared" ca="1" si="324"/>
        <v>CK10+CM10+CN10+CO10+CQ10</v>
      </c>
      <c r="CS25" s="97" t="e">
        <f t="shared" ref="CS25:FD25" ca="1" si="325">RIGHT(_xlfn.FORMULATEXT(CS10),LEN(_xlfn.FORMULATEXT(CS10))-1)</f>
        <v>#N/A</v>
      </c>
      <c r="CT25" s="97" t="e">
        <f t="shared" ca="1" si="325"/>
        <v>#N/A</v>
      </c>
      <c r="CU25" s="97" t="e">
        <f t="shared" ca="1" si="325"/>
        <v>#N/A</v>
      </c>
      <c r="CV25" s="97" t="str">
        <f t="shared" ca="1" si="325"/>
        <v>($CR10-EA10)/DS10-DE10</v>
      </c>
      <c r="CW25" s="97" t="str">
        <f t="shared" ca="1" si="325"/>
        <v>=INDEX('Indices Mines Exporting Ports'!E$20:E$51, MATCH(2,1/(('Indices Mines Exporting Ports'!$C$20:$C$51=$AT10)*('Indices Mines Exporting Ports'!$D$20:$D$51&lt;=$C10))))}</v>
      </c>
      <c r="CX25" s="97" t="str">
        <f t="shared" ca="1" si="325"/>
        <v>=INDEX('Indices Mines Exporting Ports'!F$20:F$51, MATCH(2,1/(('Indices Mines Exporting Ports'!$C$20:$C$51=$AT10)*('Indices Mines Exporting Ports'!$D$20:$D$51&lt;=$C10))))}</v>
      </c>
      <c r="CY25" s="97" t="str">
        <f t="shared" ca="1" si="325"/>
        <v>=INDEX('Indices Mines Exporting Ports'!G$20:G$51, MATCH(2,1/(('Indices Mines Exporting Ports'!$C$20:$C$51=$AT10)*('Indices Mines Exporting Ports'!$D$20:$D$51&lt;=$C10))))}</v>
      </c>
      <c r="CZ25" s="97" t="str">
        <f t="shared" ca="1" si="325"/>
        <v>=INDEX('Indices Mines Exporting Ports'!H$20:H$51, MATCH(2,1/(('Indices Mines Exporting Ports'!$C$20:$C$51=$AT10)*('Indices Mines Exporting Ports'!$D$20:$D$51&lt;=$C10))))}</v>
      </c>
      <c r="DA25" s="97" t="str">
        <f t="shared" ca="1" si="325"/>
        <v>=INDEX('Indices Mines Exporting Ports'!I$20:I$51, MATCH(2,1/(('Indices Mines Exporting Ports'!$C$20:$C$51=$AT10)*('Indices Mines Exporting Ports'!$D$20:$D$51&lt;=$C10))))}</v>
      </c>
      <c r="DB25" s="97" t="str">
        <f t="shared" ca="1" si="325"/>
        <v>=INDEX('Indices Mines Exporting Ports'!J$20:J$51, MATCH(2,1/(('Indices Mines Exporting Ports'!$C$20:$C$51=$AT10)*('Indices Mines Exporting Ports'!$D$20:$D$51&lt;=$C10))))}</v>
      </c>
      <c r="DC25" s="97" t="str">
        <f t="shared" ca="1" si="325"/>
        <v>=INDEX('Indices Mines Exporting Ports'!K$20:K$51, MATCH(2,1/(('Indices Mines Exporting Ports'!$C$20:$C$51=$AT10)*('Indices Mines Exporting Ports'!$D$20:$D$51&lt;=$C10))))}</v>
      </c>
      <c r="DD25" s="97" t="str">
        <f t="shared" ca="1" si="325"/>
        <v>=INDEX('Indices Mines Exporting Ports'!L$20:L$51, MATCH(2,1/(('Indices Mines Exporting Ports'!$C$20:$C$51=$AT10)*('Indices Mines Exporting Ports'!$D$20:$D$51&lt;=$C10))))}</v>
      </c>
      <c r="DE25" s="97" t="str">
        <f t="shared" ca="1" si="325"/>
        <v>=INDEX('Indices Mines Exporting Ports'!M$20:M$51, MATCH(2,1/(('Indices Mines Exporting Ports'!$C$20:$C$51=$AT10)*('Indices Mines Exporting Ports'!$D$20:$D$51&lt;=$C10))))}</v>
      </c>
      <c r="DF25" s="97" t="e">
        <f t="shared" ca="1" si="325"/>
        <v>#N/A</v>
      </c>
      <c r="DG25" s="97" t="str">
        <f t="shared" ca="1" si="325"/>
        <v>=INDEX('Processing Factors'!$D$8:$D$29,MATCH(2,1/(('Processing Factors'!$B$8:$B$29&lt;=Main!$C10)*('Processing Factors'!$C$8:$C$29=Main!DD10))))}</v>
      </c>
      <c r="DH25" s="97" t="str">
        <f t="shared" ca="1" si="325"/>
        <v>=INDEX('Processing Factors'!$E$8:$E$29,MATCH(2,1/(('Processing Factors'!$B$8:$B$29&lt;=Main!$C10)*('Processing Factors'!$C$8:$C$29=Main!DD10))))}</v>
      </c>
      <c r="DI25" s="97" t="str">
        <f t="shared" ca="1" si="325"/>
        <v>=INDEX('Processing Factors'!$F$8:$F$29,MATCH(2,1/(('Processing Factors'!$B$8:$B$29&lt;=Main!$C10)*('Processing Factors'!$C$8:$C$29=Main!DD10))))}</v>
      </c>
      <c r="DJ25" s="97" t="str">
        <f t="shared" ca="1" si="325"/>
        <v>=INDEX('Processing Factors'!$G$8:$G$29,MATCH(2,1/(('Processing Factors'!$B$8:$B$29&lt;=Main!$C10)*('Processing Factors'!$C$8:$C$29=Main!DD10))))}</v>
      </c>
      <c r="DK25" s="97" t="str">
        <f t="shared" ca="1" si="325"/>
        <v>=INDEX('Processing Factors'!$H$8:$H$29,MATCH(2,1/(('Processing Factors'!$B$8:$B$29&lt;=Main!$C10)*('Processing Factors'!$C$8:$C$29=Main!DD10))))}</v>
      </c>
      <c r="DL25" s="97" t="str">
        <f t="shared" ca="1" si="325"/>
        <v>=INDEX('Processing Factors'!$I$8:$I$29,MATCH(2,1/(('Processing Factors'!$B$8:$B$29&lt;=Main!$C10)*('Processing Factors'!$C$8:$C$29=Main!DD10))))}</v>
      </c>
      <c r="DM25" s="97" t="str">
        <f t="shared" ca="1" si="325"/>
        <v>=INDEX('Processing Factors'!$J$8:$J$29,MATCH(2,1/(('Processing Factors'!$B$8:$B$29&lt;=Main!$C10)*('Processing Factors'!$C$8:$C$29=Main!DD10))))}</v>
      </c>
      <c r="DN25" s="97" t="str">
        <f t="shared" ca="1" si="325"/>
        <v>=INDEX('Processing Factors'!$K$8:$K$29,MATCH(2,1/(('Processing Factors'!$B$8:$B$29&lt;=Main!$C10)*('Processing Factors'!$C$8:$C$29=Main!DD10))))}</v>
      </c>
      <c r="DO25" s="97" t="e">
        <f t="shared" ca="1" si="325"/>
        <v>#N/A</v>
      </c>
      <c r="DP25" s="97" t="str">
        <f t="shared" ca="1" si="325"/>
        <v>(CW10-CX10-CZ10)*DG10+CX10+CZ10</v>
      </c>
      <c r="DQ25" s="97" t="str">
        <f t="shared" ca="1" si="325"/>
        <v>CZ10+DL10*(CY10-CZ10)</v>
      </c>
      <c r="DR25" s="97" t="str">
        <f t="shared" ca="1" si="325"/>
        <v>DP10-DH10*DQ10</v>
      </c>
      <c r="DS25" s="97" t="str">
        <f t="shared" ca="1" si="325"/>
        <v>1/DR10/DM10</v>
      </c>
      <c r="DT25" s="97" t="e">
        <f t="shared" ca="1" si="325"/>
        <v>#N/A</v>
      </c>
      <c r="DU25" s="97" t="str">
        <f t="shared" ca="1" si="325"/>
        <v>DQ10*DI10*DS10+DN10</v>
      </c>
      <c r="DV25" s="97" t="str">
        <f t="shared" ca="1" si="325"/>
        <v>DU10*$IW10</v>
      </c>
      <c r="DW25" s="97" t="str">
        <f t="shared" ca="1" si="325"/>
        <v>DK10*$IV10</v>
      </c>
      <c r="DX25" s="97" t="str">
        <f t="shared" ca="1" si="325"/>
        <v>DJ10*$IX10</v>
      </c>
      <c r="DY25" s="97" t="str">
        <f t="shared" ca="1" si="325"/>
        <v>(DS10-1+DU10+$CA10)</v>
      </c>
      <c r="DZ25" s="97" t="str">
        <f t="shared" ca="1" si="325"/>
        <v>DY10*$IY10</v>
      </c>
      <c r="EA25" s="97" t="str">
        <f t="shared" ca="1" si="325"/>
        <v>DT10+DV10+DW10+DX10+DZ10</v>
      </c>
      <c r="EB25" s="97" t="e">
        <f t="shared" ca="1" si="325"/>
        <v>#N/A</v>
      </c>
      <c r="EC25" s="97" t="e">
        <f t="shared" ca="1" si="325"/>
        <v>#N/A</v>
      </c>
      <c r="ED25" s="97" t="e">
        <f t="shared" ca="1" si="325"/>
        <v>#N/A</v>
      </c>
      <c r="EE25" s="97" t="str">
        <f t="shared" ca="1" si="325"/>
        <v>($CR10-FJ10)/FB10-EN10</v>
      </c>
      <c r="EF25" s="97" t="str">
        <f t="shared" ca="1" si="325"/>
        <v>=INDEX('Indices Mines Exporting Ports'!E$20:E$51, MATCH(2,1/(('Indices Mines Exporting Ports'!$C$20:$C$51=$AU10)*('Indices Mines Exporting Ports'!$D$20:$D$51&lt;=$C10))))}</v>
      </c>
      <c r="EG25" s="97" t="str">
        <f t="shared" ca="1" si="325"/>
        <v>=INDEX('Indices Mines Exporting Ports'!F$20:F$51, MATCH(2,1/(('Indices Mines Exporting Ports'!$C$20:$C$51=$AU10)*('Indices Mines Exporting Ports'!$D$20:$D$51&lt;=$C10))))}</v>
      </c>
      <c r="EH25" s="97" t="str">
        <f t="shared" ca="1" si="325"/>
        <v>=INDEX('Indices Mines Exporting Ports'!G$20:G$51, MATCH(2,1/(('Indices Mines Exporting Ports'!$C$20:$C$51=$AU10)*('Indices Mines Exporting Ports'!$D$20:$D$51&lt;=$C10))))}</v>
      </c>
      <c r="EI25" s="97" t="str">
        <f t="shared" ca="1" si="325"/>
        <v>=INDEX('Indices Mines Exporting Ports'!H$20:H$51, MATCH(2,1/(('Indices Mines Exporting Ports'!$C$20:$C$51=$AU10)*('Indices Mines Exporting Ports'!$D$20:$D$51&lt;=$C10))))}</v>
      </c>
      <c r="EJ25" s="97" t="str">
        <f t="shared" ca="1" si="325"/>
        <v>=INDEX('Indices Mines Exporting Ports'!I$20:I$51, MATCH(2,1/(('Indices Mines Exporting Ports'!$C$20:$C$51=$AU10)*('Indices Mines Exporting Ports'!$D$20:$D$51&lt;=$C10))))}</v>
      </c>
      <c r="EK25" s="97" t="str">
        <f t="shared" ca="1" si="325"/>
        <v>=INDEX('Indices Mines Exporting Ports'!J$20:J$51, MATCH(2,1/(('Indices Mines Exporting Ports'!$C$20:$C$51=$AU10)*('Indices Mines Exporting Ports'!$D$20:$D$51&lt;=$C10))))}</v>
      </c>
      <c r="EL25" s="97" t="str">
        <f t="shared" ca="1" si="325"/>
        <v>=INDEX('Indices Mines Exporting Ports'!K$20:K$51, MATCH(2,1/(('Indices Mines Exporting Ports'!$C$20:$C$51=$AU10)*('Indices Mines Exporting Ports'!$D$20:$D$51&lt;=$C10))))}</v>
      </c>
      <c r="EM25" s="97" t="str">
        <f t="shared" ca="1" si="325"/>
        <v>=INDEX('Indices Mines Exporting Ports'!L$20:L$51, MATCH(2,1/(('Indices Mines Exporting Ports'!$C$20:$C$51=$AU10)*('Indices Mines Exporting Ports'!$D$20:$D$51&lt;=$C10))))}</v>
      </c>
      <c r="EN25" s="97" t="str">
        <f t="shared" ca="1" si="325"/>
        <v>=INDEX('Indices Mines Exporting Ports'!M$20:M$51, MATCH(2,1/(('Indices Mines Exporting Ports'!$C$20:$C$51=$AU10)*('Indices Mines Exporting Ports'!$D$20:$D$51&lt;=$C10))))}</v>
      </c>
      <c r="EO25" s="97" t="e">
        <f t="shared" ca="1" si="325"/>
        <v>#N/A</v>
      </c>
      <c r="EP25" s="97" t="str">
        <f t="shared" ca="1" si="325"/>
        <v>=INDEX('Processing Factors'!$D$8:$D$29,MATCH(2,1/(('Processing Factors'!$B$8:$B$29&lt;=Main!$C10)*('Processing Factors'!$C$8:$C$29=Main!EM10))))}</v>
      </c>
      <c r="EQ25" s="97" t="str">
        <f t="shared" ca="1" si="325"/>
        <v>=INDEX('Processing Factors'!$E$8:$E$29,MATCH(2,1/(('Processing Factors'!$B$8:$B$29&lt;=Main!$C10)*('Processing Factors'!$C$8:$C$29=Main!EM10))))}</v>
      </c>
      <c r="ER25" s="97" t="str">
        <f t="shared" ca="1" si="325"/>
        <v>=INDEX('Processing Factors'!$F$8:$F$29,MATCH(2,1/(('Processing Factors'!$B$8:$B$29&lt;=Main!$C10)*('Processing Factors'!$C$8:$C$29=Main!EM10))))}</v>
      </c>
      <c r="ES25" s="97" t="str">
        <f t="shared" ca="1" si="325"/>
        <v>=INDEX('Processing Factors'!$G$8:$G$29,MATCH(2,1/(('Processing Factors'!$B$8:$B$29&lt;=Main!$C10)*('Processing Factors'!$C$8:$C$29=Main!EM10))))}</v>
      </c>
      <c r="ET25" s="97" t="str">
        <f t="shared" ca="1" si="325"/>
        <v>=INDEX('Processing Factors'!$H$8:$H$29,MATCH(2,1/(('Processing Factors'!$B$8:$B$29&lt;=Main!$C10)*('Processing Factors'!$C$8:$C$29=Main!EM10))))}</v>
      </c>
      <c r="EU25" s="97" t="str">
        <f t="shared" ca="1" si="325"/>
        <v>=INDEX('Processing Factors'!$I$8:$I$29,MATCH(2,1/(('Processing Factors'!$B$8:$B$29&lt;=Main!$C10)*('Processing Factors'!$C$8:$C$29=Main!EM10))))}</v>
      </c>
      <c r="EV25" s="97" t="str">
        <f t="shared" ca="1" si="325"/>
        <v>=INDEX('Processing Factors'!$J$8:$J$29,MATCH(2,1/(('Processing Factors'!$B$8:$B$29&lt;=Main!$C10)*('Processing Factors'!$C$8:$C$29=Main!EM10))))}</v>
      </c>
      <c r="EW25" s="97" t="str">
        <f t="shared" ca="1" si="325"/>
        <v>=INDEX('Processing Factors'!$K$8:$K$29,MATCH(2,1/(('Processing Factors'!$B$8:$B$29&lt;=Main!$C10)*('Processing Factors'!$C$8:$C$29=Main!EM10))))}</v>
      </c>
      <c r="EX25" s="97" t="e">
        <f t="shared" ca="1" si="325"/>
        <v>#N/A</v>
      </c>
      <c r="EY25" s="97" t="str">
        <f t="shared" ca="1" si="325"/>
        <v>(EF10-EG10-EI10)*EP10+EG10+EI10</v>
      </c>
      <c r="EZ25" s="97" t="str">
        <f t="shared" ca="1" si="325"/>
        <v>EI10+EU10*(EH10-EI10)</v>
      </c>
      <c r="FA25" s="97" t="str">
        <f t="shared" ca="1" si="325"/>
        <v>EY10-EQ10*EZ10</v>
      </c>
      <c r="FB25" s="97" t="str">
        <f t="shared" ca="1" si="325"/>
        <v>1/FA10/EV10</v>
      </c>
      <c r="FC25" s="97" t="e">
        <f t="shared" ca="1" si="325"/>
        <v>#N/A</v>
      </c>
      <c r="FD25" s="97" t="str">
        <f t="shared" ca="1" si="325"/>
        <v>EZ10*ER10*FB10+EW10</v>
      </c>
      <c r="FE25" s="97" t="str">
        <f t="shared" ref="FE25:HP25" ca="1" si="326">RIGHT(_xlfn.FORMULATEXT(FE10),LEN(_xlfn.FORMULATEXT(FE10))-1)</f>
        <v>FD10*$IW10</v>
      </c>
      <c r="FF25" s="97" t="str">
        <f t="shared" ca="1" si="326"/>
        <v>ET10*$IV10</v>
      </c>
      <c r="FG25" s="97" t="str">
        <f t="shared" ca="1" si="326"/>
        <v>ES10*$IX10</v>
      </c>
      <c r="FH25" s="97" t="str">
        <f t="shared" ca="1" si="326"/>
        <v>(FB10-1+FD10+$CA10)</v>
      </c>
      <c r="FI25" s="97" t="str">
        <f t="shared" ca="1" si="326"/>
        <v>FH10*$IY10</v>
      </c>
      <c r="FJ25" s="97" t="str">
        <f t="shared" ca="1" si="326"/>
        <v>FC10+FE10+FF10+FG10+FI10</v>
      </c>
      <c r="FK25" s="97" t="e">
        <f t="shared" ca="1" si="326"/>
        <v>#N/A</v>
      </c>
      <c r="FL25" s="97" t="e">
        <f t="shared" ca="1" si="326"/>
        <v>#N/A</v>
      </c>
      <c r="FM25" s="97" t="e">
        <f t="shared" ca="1" si="326"/>
        <v>#N/A</v>
      </c>
      <c r="FN25" s="97" t="str">
        <f t="shared" ca="1" si="326"/>
        <v>$AZ10</v>
      </c>
      <c r="FO25" s="97" t="str">
        <f t="shared" ca="1" si="326"/>
        <v>$AF10</v>
      </c>
      <c r="FP25" s="97" t="str">
        <f t="shared" ca="1" si="326"/>
        <v>$AG10</v>
      </c>
      <c r="FQ25" s="97" t="str">
        <f t="shared" ca="1" si="326"/>
        <v>$AH10</v>
      </c>
      <c r="FR25" s="97" t="str">
        <f t="shared" ca="1" si="326"/>
        <v>$AI10</v>
      </c>
      <c r="FS25" s="97" t="str">
        <f t="shared" ca="1" si="326"/>
        <v>$AJ10</v>
      </c>
      <c r="FT25" s="97" t="str">
        <f t="shared" ca="1" si="326"/>
        <v>$AK10</v>
      </c>
      <c r="FU25" s="97" t="str">
        <f t="shared" ca="1" si="326"/>
        <v>$AL10</v>
      </c>
      <c r="FV25" s="97" t="str">
        <f t="shared" ca="1" si="326"/>
        <v>$AM10</v>
      </c>
      <c r="FW25" s="97" t="e">
        <f t="shared" ca="1" si="326"/>
        <v>#N/A</v>
      </c>
      <c r="FX25" s="97" t="e">
        <f t="shared" ca="1" si="326"/>
        <v>#N/A</v>
      </c>
      <c r="FY25" s="97" t="str">
        <f t="shared" ca="1" si="326"/>
        <v>=INDEX('Processing Factors'!$D$8:$D$29,MATCH(2,1/(('Processing Factors'!$B$8:$B$29&lt;=Main!$C10)*('Processing Factors'!$C$8:$C$29=Main!FV10))))}</v>
      </c>
      <c r="FZ25" s="97" t="str">
        <f t="shared" ca="1" si="326"/>
        <v>=INDEX('Processing Factors'!$E$8:$E$29,MATCH(2,1/(('Processing Factors'!$B$8:$B$29&lt;=Main!$C10)*('Processing Factors'!$C$8:$C$29=Main!FV10))))}</v>
      </c>
      <c r="GA25" s="97" t="str">
        <f t="shared" ca="1" si="326"/>
        <v>=INDEX('Processing Factors'!$F$8:$F$29,MATCH(2,1/(('Processing Factors'!$B$8:$B$29&lt;=Main!$C10)*('Processing Factors'!$C$8:$C$29=Main!FV10))))}</v>
      </c>
      <c r="GB25" s="97" t="str">
        <f t="shared" ca="1" si="326"/>
        <v>=INDEX('Processing Factors'!$G$8:$G$29,MATCH(2,1/(('Processing Factors'!$B$8:$B$29&lt;=Main!$C10)*('Processing Factors'!$C$8:$C$29=Main!FV10))))}</v>
      </c>
      <c r="GC25" s="97" t="str">
        <f t="shared" ca="1" si="326"/>
        <v>=INDEX('Processing Factors'!$H$8:$H$29,MATCH(2,1/(('Processing Factors'!$B$8:$B$29&lt;=Main!$C10)*('Processing Factors'!$C$8:$C$29=Main!FV10))))}</v>
      </c>
      <c r="GD25" s="97" t="str">
        <f t="shared" ca="1" si="326"/>
        <v>=INDEX('Processing Factors'!$I$8:$I$29,MATCH(2,1/(('Processing Factors'!$B$8:$B$29&lt;=Main!$C10)*('Processing Factors'!$C$8:$C$29=Main!FV10))))}</v>
      </c>
      <c r="GE25" s="97" t="e">
        <f t="shared" ca="1" si="326"/>
        <v>#N/A</v>
      </c>
      <c r="GF25" s="97" t="str">
        <f t="shared" ca="1" si="326"/>
        <v>=INDEX('Processing Factors'!$K$8:$K$29,MATCH(2,1/(('Processing Factors'!$B$8:$B$29&lt;=Main!$C10)*('Processing Factors'!$C$8:$C$29=Main!FV10))))}</v>
      </c>
      <c r="GG25" s="97" t="e">
        <f t="shared" ca="1" si="326"/>
        <v>#N/A</v>
      </c>
      <c r="GH25" s="97" t="str">
        <f t="shared" ca="1" si="326"/>
        <v>(FO10-FP10-FR10)*FY10+FP10+FR10</v>
      </c>
      <c r="GI25" s="97" t="str">
        <f t="shared" ca="1" si="326"/>
        <v>FR10+GD10*(FQ10-FR10)</v>
      </c>
      <c r="GJ25" s="97" t="str">
        <f t="shared" ca="1" si="326"/>
        <v>GH10-FZ10*GI10</v>
      </c>
      <c r="GK25" s="97" t="str">
        <f t="shared" ca="1" si="326"/>
        <v>1/GJ10/GE10</v>
      </c>
      <c r="GL25" s="97" t="str">
        <f t="shared" ca="1" si="326"/>
        <v>(FN10+FW10)*GK10</v>
      </c>
      <c r="GM25" s="97" t="str">
        <f t="shared" ca="1" si="326"/>
        <v>GI10*GA10*GK10+GF10</v>
      </c>
      <c r="GN25" s="97" t="str">
        <f t="shared" ca="1" si="326"/>
        <v>GM10*$IW10</v>
      </c>
      <c r="GO25" s="97" t="str">
        <f t="shared" ca="1" si="326"/>
        <v>GC10*$IV10</v>
      </c>
      <c r="GP25" s="97" t="str">
        <f t="shared" ca="1" si="326"/>
        <v>GB10*$IX10</v>
      </c>
      <c r="GQ25" s="97" t="str">
        <f t="shared" ca="1" si="326"/>
        <v>(GK10-1+GM10+$CA10)</v>
      </c>
      <c r="GR25" s="97" t="str">
        <f t="shared" ca="1" si="326"/>
        <v>GQ10*$IY10</v>
      </c>
      <c r="GS25" s="97" t="str">
        <f t="shared" ca="1" si="326"/>
        <v>GL10+GN10+GO10+GP10+GR10</v>
      </c>
      <c r="GT25" s="97" t="e">
        <f t="shared" ca="1" si="326"/>
        <v>#N/A</v>
      </c>
      <c r="GU25" s="97" t="str">
        <f t="shared" ca="1" si="326"/>
        <v>($GS10-HZ10)/HR10-HD10</v>
      </c>
      <c r="GV25" s="97" t="str">
        <f t="shared" ca="1" si="326"/>
        <v>=INDEX('Indices Mines Exporting Ports'!E$20:E$51, MATCH(2,1/(('Indices Mines Exporting Ports'!$C$20:$C$51=$BC10)*('Indices Mines Exporting Ports'!$D$20:$D$51&lt;=$C10))))}</v>
      </c>
      <c r="GW25" s="97" t="str">
        <f t="shared" ca="1" si="326"/>
        <v>=INDEX('Indices Mines Exporting Ports'!F$20:F$51, MATCH(2,1/(('Indices Mines Exporting Ports'!$C$20:$C$51=$BC10)*('Indices Mines Exporting Ports'!$D$20:$D$51&lt;=$C10))))}</v>
      </c>
      <c r="GX25" s="97" t="str">
        <f t="shared" ca="1" si="326"/>
        <v>=INDEX('Indices Mines Exporting Ports'!G$20:G$51, MATCH(2,1/(('Indices Mines Exporting Ports'!$C$20:$C$51=$BC10)*('Indices Mines Exporting Ports'!$D$20:$D$51&lt;=$C10))))}</v>
      </c>
      <c r="GY25" s="97" t="str">
        <f t="shared" ca="1" si="326"/>
        <v>=INDEX('Indices Mines Exporting Ports'!H$20:H$51, MATCH(2,1/(('Indices Mines Exporting Ports'!$C$20:$C$51=$BC10)*('Indices Mines Exporting Ports'!$D$20:$D$51&lt;=$C10))))}</v>
      </c>
      <c r="GZ25" s="97" t="str">
        <f t="shared" ca="1" si="326"/>
        <v>=INDEX('Indices Mines Exporting Ports'!I$20:I$51, MATCH(2,1/(('Indices Mines Exporting Ports'!$C$20:$C$51=$BC10)*('Indices Mines Exporting Ports'!$D$20:$D$51&lt;=$C10))))}</v>
      </c>
      <c r="HA25" s="97" t="str">
        <f t="shared" ca="1" si="326"/>
        <v>=INDEX('Indices Mines Exporting Ports'!J$20:J$51, MATCH(2,1/(('Indices Mines Exporting Ports'!$C$20:$C$51=$BC10)*('Indices Mines Exporting Ports'!$D$20:$D$51&lt;=$C10))))}</v>
      </c>
      <c r="HB25" s="97" t="str">
        <f t="shared" ca="1" si="326"/>
        <v>=INDEX('Indices Mines Exporting Ports'!K$20:K$51, MATCH(2,1/(('Indices Mines Exporting Ports'!$C$20:$C$51=$BC10)*('Indices Mines Exporting Ports'!$D$20:$D$51&lt;=$C10))))}</v>
      </c>
      <c r="HC25" s="97" t="str">
        <f t="shared" ca="1" si="326"/>
        <v>=INDEX('Indices Mines Exporting Ports'!L$20:L$51, MATCH(2,1/(('Indices Mines Exporting Ports'!$C$20:$C$51=$BC10)*('Indices Mines Exporting Ports'!$D$20:$D$51&lt;=$C10))))}</v>
      </c>
      <c r="HD25" s="97" t="str">
        <f t="shared" ca="1" si="326"/>
        <v>=INDEX('Indices Mines Exporting Ports'!M$20:M$51, MATCH(2,1/(('Indices Mines Exporting Ports'!$C$20:$C$51=$BC10)*('Indices Mines Exporting Ports'!$D$20:$D$51&lt;=$C10))))}</v>
      </c>
      <c r="HE25" s="97" t="e">
        <f t="shared" ca="1" si="326"/>
        <v>#N/A</v>
      </c>
      <c r="HF25" s="97" t="str">
        <f t="shared" ca="1" si="326"/>
        <v>=INDEX('Processing Factors'!$D$8:$D$29,MATCH(2,1/(('Processing Factors'!$B$8:$B$29&lt;=Main!$C10)*('Processing Factors'!$C$8:$C$29=Main!HC10))))}</v>
      </c>
      <c r="HG25" s="97" t="str">
        <f t="shared" ca="1" si="326"/>
        <v>=INDEX('Processing Factors'!$E$8:$E$29,MATCH(2,1/(('Processing Factors'!$B$8:$B$29&lt;=Main!$C10)*('Processing Factors'!$C$8:$C$29=Main!HC10))))}</v>
      </c>
      <c r="HH25" s="97" t="str">
        <f t="shared" ca="1" si="326"/>
        <v>=INDEX('Processing Factors'!$F$8:$F$29,MATCH(2,1/(('Processing Factors'!$B$8:$B$29&lt;=Main!$C10)*('Processing Factors'!$C$8:$C$29=Main!HC10))))}</v>
      </c>
      <c r="HI25" s="97" t="str">
        <f t="shared" ca="1" si="326"/>
        <v>=INDEX('Processing Factors'!$G$8:$G$29,MATCH(2,1/(('Processing Factors'!$B$8:$B$29&lt;=Main!$C10)*('Processing Factors'!$C$8:$C$29=Main!HC10))))}</v>
      </c>
      <c r="HJ25" s="97" t="str">
        <f t="shared" ca="1" si="326"/>
        <v>=INDEX('Processing Factors'!$H$8:$H$29,MATCH(2,1/(('Processing Factors'!$B$8:$B$29&lt;=Main!$C10)*('Processing Factors'!$C$8:$C$29=Main!HC10))))}</v>
      </c>
      <c r="HK25" s="97" t="str">
        <f t="shared" ca="1" si="326"/>
        <v>=INDEX('Processing Factors'!$I$8:$I$29,MATCH(2,1/(('Processing Factors'!$B$8:$B$29&lt;=Main!$C10)*('Processing Factors'!$C$8:$C$29=Main!HC10))))}</v>
      </c>
      <c r="HL25" s="97" t="e">
        <f t="shared" ca="1" si="326"/>
        <v>#N/A</v>
      </c>
      <c r="HM25" s="97" t="str">
        <f t="shared" ca="1" si="326"/>
        <v>=INDEX('Processing Factors'!$K$8:$K$29,MATCH(2,1/(('Processing Factors'!$B$8:$B$29&lt;=Main!$C10)*('Processing Factors'!$C$8:$C$29=Main!HC10))))}</v>
      </c>
      <c r="HN25" s="97" t="e">
        <f t="shared" ca="1" si="326"/>
        <v>#N/A</v>
      </c>
      <c r="HO25" s="97" t="str">
        <f t="shared" ca="1" si="326"/>
        <v>(GV10-GW10-GY10)*HF10+GW10+GY10</v>
      </c>
      <c r="HP25" s="97" t="str">
        <f t="shared" ca="1" si="326"/>
        <v>GY10+HK10*(GX10-GY10)</v>
      </c>
      <c r="HQ25" s="97" t="str">
        <f t="shared" ref="HQ25:KB25" ca="1" si="327">RIGHT(_xlfn.FORMULATEXT(HQ10),LEN(_xlfn.FORMULATEXT(HQ10))-1)</f>
        <v>HO10-HG10*HP10</v>
      </c>
      <c r="HR25" s="97" t="str">
        <f t="shared" ca="1" si="327"/>
        <v>1/HQ10/HL10</v>
      </c>
      <c r="HS25" s="97" t="e">
        <f t="shared" ca="1" si="327"/>
        <v>#N/A</v>
      </c>
      <c r="HT25" s="97" t="str">
        <f t="shared" ca="1" si="327"/>
        <v>HP10*HH10*HR10+HM10</v>
      </c>
      <c r="HU25" s="97" t="str">
        <f t="shared" ca="1" si="327"/>
        <v>HT10*$IW10</v>
      </c>
      <c r="HV25" s="97" t="str">
        <f t="shared" ca="1" si="327"/>
        <v>HJ10*$IV10</v>
      </c>
      <c r="HW25" s="97" t="str">
        <f t="shared" ca="1" si="327"/>
        <v>HI10*$IX10</v>
      </c>
      <c r="HX25" s="97" t="str">
        <f t="shared" ca="1" si="327"/>
        <v>(HR10-1+HT10+$CA10)</v>
      </c>
      <c r="HY25" s="97" t="str">
        <f t="shared" ca="1" si="327"/>
        <v>HX10*$IY10</v>
      </c>
      <c r="HZ25" s="97" t="str">
        <f t="shared" ca="1" si="327"/>
        <v>HS10+HU10+HV10+HW10+HY10</v>
      </c>
      <c r="IA25" s="97" t="e">
        <f t="shared" ca="1" si="327"/>
        <v>#N/A</v>
      </c>
      <c r="IB25" s="97" t="e">
        <f t="shared" ca="1" si="327"/>
        <v>#N/A</v>
      </c>
      <c r="IC25" s="97" t="e">
        <f t="shared" ca="1" si="327"/>
        <v>#N/A</v>
      </c>
      <c r="ID25" s="97" t="str">
        <f t="shared" ca="1" si="327"/>
        <v>AE10</v>
      </c>
      <c r="IE25" s="97" t="str">
        <f t="shared" ca="1" si="327"/>
        <v>$C10</v>
      </c>
      <c r="IF25" s="97" t="str">
        <f t="shared" ca="1" si="327"/>
        <v>=INDEX('Indices Mines Exporting Ports'!E$20:E$51, MATCH(2,1/(('Indices Mines Exporting Ports'!$C$20:$C$51=$ID10)*('Indices Mines Exporting Ports'!$D$20:$D$51&lt;=$IE10))))}</v>
      </c>
      <c r="IG25" s="97" t="str">
        <f t="shared" ca="1" si="327"/>
        <v>=INDEX('Indices Mines Exporting Ports'!F$20:F$51, MATCH(2,1/(('Indices Mines Exporting Ports'!$C$20:$C$51=$ID10)*('Indices Mines Exporting Ports'!$D$20:$D$51&lt;=$IE10))))}</v>
      </c>
      <c r="IH25" s="97" t="str">
        <f t="shared" ca="1" si="327"/>
        <v>=INDEX('Indices Mines Exporting Ports'!G$20:G$51, MATCH(2,1/(('Indices Mines Exporting Ports'!$C$20:$C$51=$ID10)*('Indices Mines Exporting Ports'!$D$20:$D$51&lt;=$IE10))))}</v>
      </c>
      <c r="II25" s="97" t="str">
        <f t="shared" ca="1" si="327"/>
        <v>=INDEX('Indices Mines Exporting Ports'!H$20:H$51, MATCH(2,1/(('Indices Mines Exporting Ports'!$C$20:$C$51=$ID10)*('Indices Mines Exporting Ports'!$D$20:$D$51&lt;=$IE10))))}</v>
      </c>
      <c r="IJ25" s="97" t="str">
        <f t="shared" ca="1" si="327"/>
        <v>=INDEX('Indices Mines Exporting Ports'!I$20:I$51, MATCH(2,1/(('Indices Mines Exporting Ports'!$C$20:$C$51=$ID10)*('Indices Mines Exporting Ports'!$D$20:$D$51&lt;=$IE10))))}</v>
      </c>
      <c r="IK25" s="97" t="str">
        <f t="shared" ca="1" si="327"/>
        <v>=INDEX('Indices Mines Exporting Ports'!J$20:J$51, MATCH(2,1/(('Indices Mines Exporting Ports'!$C$20:$C$51=$ID10)*('Indices Mines Exporting Ports'!$D$20:$D$51&lt;=$IE10))))}</v>
      </c>
      <c r="IL25" s="97" t="str">
        <f t="shared" ca="1" si="327"/>
        <v>=INDEX('Indices Mines Exporting Ports'!K$20:K$51, MATCH(2,1/(('Indices Mines Exporting Ports'!$C$20:$C$51=$ID10)*('Indices Mines Exporting Ports'!$D$20:$D$51&lt;=$IE10))))}</v>
      </c>
      <c r="IM25" s="97" t="str">
        <f t="shared" ca="1" si="327"/>
        <v>=INDEX('Indices Mines Exporting Ports'!L$20:L$51, MATCH(2,1/(('Indices Mines Exporting Ports'!$C$20:$C$51=$ID10)*('Indices Mines Exporting Ports'!$D$20:$D$51&lt;=$IE10))))}</v>
      </c>
      <c r="IN25" s="97" t="str">
        <f t="shared" ca="1" si="327"/>
        <v>=INDEX('Indices Mines Exporting Ports'!M$20:M$51, MATCH(2,1/(('Indices Mines Exporting Ports'!$C$20:$C$51=$ID10)*('Indices Mines Exporting Ports'!$D$20:$D$51&lt;=$IE10))))}</v>
      </c>
      <c r="IO25" s="97" t="str">
        <f t="shared" ca="1" si="327"/>
        <v>=INDEX('Indices Mines Exporting Ports'!N$20:N$51, MATCH(2,1/(('Indices Mines Exporting Ports'!$C$20:$C$51=$ID10)*('Indices Mines Exporting Ports'!$D$20:$D$51&lt;=$IE10))))}</v>
      </c>
      <c r="IP25" s="97" t="str">
        <f t="shared" ca="1" si="327"/>
        <v>=INDEX('Indices Mines Exporting Ports'!Q$20:Q$51, MATCH(2,1/(('Indices Mines Exporting Ports'!$C$20:$C$51=$ID10)*('Indices Mines Exporting Ports'!$D$20:$D$51&lt;=$IE10))))}</v>
      </c>
      <c r="IQ25" s="97" t="str">
        <f t="shared" ca="1" si="327"/>
        <v>=INDEX('Indices Mines Exporting Ports'!O$20:O$51, MATCH(2,1/(('Indices Mines Exporting Ports'!$C$20:$C$51=$ID10)*('Indices Mines Exporting Ports'!$D$20:$D$51&lt;=$IE10))))}</v>
      </c>
      <c r="IR25" s="97" t="str">
        <f t="shared" ca="1" si="327"/>
        <v>=INDEX('Indices Mines Exporting Ports'!P$20:P$51, MATCH(2,1/(('Indices Mines Exporting Ports'!$C$20:$C$51=$ID10)*('Indices Mines Exporting Ports'!$D$20:$D$51&lt;=$IE10))))}</v>
      </c>
      <c r="IS25" s="97" t="e">
        <f t="shared" ca="1" si="327"/>
        <v>#N/A</v>
      </c>
      <c r="IT25" s="97" t="e">
        <f t="shared" ca="1" si="327"/>
        <v>#N/A</v>
      </c>
      <c r="IU25" s="97" t="e">
        <f t="shared" ca="1" si="327"/>
        <v>#N/A</v>
      </c>
      <c r="IV25" s="97" t="str">
        <f t="shared" ca="1" si="327"/>
        <v>491/$JA10/(4000*$JG10/$JF10)</v>
      </c>
      <c r="IW25" s="97" t="str">
        <f t="shared" ca="1" si="327"/>
        <v>1850/$JA10/(1)</v>
      </c>
      <c r="IX25" s="97" t="str">
        <f t="shared" ca="1" si="327"/>
        <v>240/$JA10</v>
      </c>
      <c r="IY25" s="97" t="str">
        <f t="shared" ca="1" si="327"/>
        <v>30/$JA10</v>
      </c>
      <c r="IZ25" s="97" t="e">
        <f t="shared" ca="1" si="327"/>
        <v>#N/A</v>
      </c>
      <c r="JA25" s="97" t="str">
        <f t="shared" ca="1" si="327"/>
        <v>=INDEX('FX rates'!E$10:E$1009,MATCH(2,1/(('FX rates'!$D$10:$D$1009&lt;=Main!$C10)*(NOT(ISBLANK('FX rates'!E$10:E$1009))))))}</v>
      </c>
      <c r="JB25" s="97" t="str">
        <f t="shared" ca="1" si="327"/>
        <v>=INDEX('FX rates'!F$10:F$1009,MATCH(2,1/(('FX rates'!$D$10:$D$1009&lt;=Main!$C10)*(NOT(ISBLANK('FX rates'!F$10:F$1009))))))}</v>
      </c>
      <c r="JC25" s="97" t="str">
        <f t="shared" ca="1" si="327"/>
        <v>=INDEX('FX rates'!G$10:G$1009,MATCH(2,1/(('FX rates'!$D$10:$D$1009&lt;=Main!$C10)*(NOT(ISBLANK('FX rates'!G$10:G$1009))))))}</v>
      </c>
      <c r="JD25" s="97" t="str">
        <f t="shared" ca="1" si="327"/>
        <v>=INDEX('FX rates'!H$10:H$1009,MATCH(2,1/(('FX rates'!$D$10:$D$1009&lt;=Main!$C10)*(NOT(ISBLANK('FX rates'!H$10:H$1009))))))}</v>
      </c>
      <c r="JE25" s="97" t="e">
        <f t="shared" ca="1" si="327"/>
        <v>#N/A</v>
      </c>
      <c r="JF25" s="97" t="str">
        <f t="shared" ca="1" si="327"/>
        <v>=INDEX('Global factors'!C$5:C$23,MATCH(2,1/(('Global factors'!$B$5:$B$23&lt;=Main!$C10)*(NOT(ISBLANK('Global factors'!C$5:C$23))))))}</v>
      </c>
      <c r="JG25" s="97" t="str">
        <f t="shared" ca="1" si="327"/>
        <v>=INDEX('Global factors'!D$5:D$23,MATCH(2,1/(('Global factors'!$B$5:$B$23&lt;=Main!$C10)*(NOT(ISBLANK('Global factors'!D$5:D$23))))))}</v>
      </c>
      <c r="JH25" s="97" t="str">
        <f t="shared" ca="1" si="327"/>
        <v>=INDEX('Global factors'!E$5:E$23,MATCH(2,1/(('Global factors'!$B$5:$B$23&lt;=Main!$C10)*(NOT(ISBLANK('Global factors'!E$5:E$23))))))}</v>
      </c>
      <c r="JI25" s="97" t="str">
        <f t="shared" ca="1" si="327"/>
        <v>=INDEX('Global factors'!F$5:F$23,MATCH(2,1/(('Global factors'!$B$5:$B$23&lt;=Main!$C10)*(NOT(ISBLANK('Global factors'!F$5:F$23))))))}</v>
      </c>
      <c r="JJ25" s="97" t="str">
        <f t="shared" ca="1" si="327"/>
        <v>=INDEX('Global factors'!G$5:G$23,MATCH(2,1/(('Global factors'!$B$5:$B$23&lt;=Main!$C10)*(NOT(ISBLANK('Global factors'!G$5:G$23))))))}</v>
      </c>
      <c r="JK25" s="97" t="str">
        <f t="shared" ca="1" si="327"/>
        <v>=INDEX('Global factors'!H$5:H$23,MATCH(2,1/(('Global factors'!$B$5:$B$23&lt;=Main!$C10)*(NOT(ISBLANK('Global factors'!H$5:H$23))))))}</v>
      </c>
      <c r="JL25" s="97" t="str">
        <f t="shared" ca="1" si="327"/>
        <v>=INDEX('Global factors'!I$5:I$23,MATCH(2,1/(('Global factors'!$B$5:$B$23&lt;=Main!$C10)*(NOT(ISBLANK('Global factors'!I$5:I$23))))))}</v>
      </c>
      <c r="JM25" s="97" t="str">
        <f t="shared" ca="1" si="327"/>
        <v>=INDEX('Global factors'!J$5:J$23,MATCH(2,1/(('Global factors'!$B$5:$B$23&lt;=Main!$C10)*(NOT(ISBLANK('Global factors'!J$5:J$23))))))}</v>
      </c>
      <c r="JN25" s="97" t="str">
        <f t="shared" ca="1" si="327"/>
        <v>=INDEX('Global factors'!K$5:K$23,MATCH(2,1/(('Global factors'!$B$5:$B$23&lt;=Main!$C10)*(NOT(ISBLANK('Global factors'!K$5:K$23))))))}</v>
      </c>
      <c r="JO25" s="97" t="str">
        <f t="shared" ca="1" si="327"/>
        <v>=INDEX('Global factors'!L$5:L$23,MATCH(2,1/(('Global factors'!$B$5:$B$23&lt;=Main!$C10)*(NOT(ISBLANK('Global factors'!L$5:L$23))))))}</v>
      </c>
      <c r="JP25" s="97" t="str">
        <f t="shared" ca="1" si="327"/>
        <v>=INDEX('Global factors'!M$5:M$23,MATCH(2,1/(('Global factors'!$B$5:$B$23&lt;=Main!$C10)*(NOT(ISBLANK('Global factors'!M$5:M$23))))))}</v>
      </c>
      <c r="JQ25" s="97" t="str">
        <f t="shared" ca="1" si="327"/>
        <v>=INDEX('Global factors'!N$5:N$23,MATCH(2,1/(('Global factors'!$B$5:$B$23&lt;=Main!$C10)*(NOT(ISBLANK('Global factors'!N$5:N$23))))))}</v>
      </c>
      <c r="JR25" s="97" t="str">
        <f t="shared" ca="1" si="327"/>
        <v>=INDEX('Global factors'!O$5:O$23,MATCH(2,1/(('Global factors'!$B$5:$B$23&lt;=Main!$C10)*(NOT(ISBLANK('Global factors'!O$5:O$23))))))}</v>
      </c>
      <c r="JS25" s="97" t="str">
        <f t="shared" ca="1" si="327"/>
        <v>=INDEX('Global factors'!P$5:P$23,MATCH(2,1/(('Global factors'!$B$5:$B$23&lt;=Main!$C10)*(NOT(ISBLANK('Global factors'!P$5:P$23))))))}</v>
      </c>
      <c r="JT25" s="97" t="str">
        <f t="shared" ca="1" si="327"/>
        <v>=INDEX('Global factors'!Q$5:Q$23,MATCH(2,1/(('Global factors'!$B$5:$B$23&lt;=Main!$C10)*(NOT(ISBLANK('Global factors'!Q$5:Q$23))))))}</v>
      </c>
      <c r="JU25" s="97" t="str">
        <f t="shared" ca="1" si="327"/>
        <v>=INDEX('Global factors'!R$5:R$23,MATCH(2,1/(('Global factors'!$B$5:$B$23&lt;=Main!$C10)*(NOT(ISBLANK('Global factors'!R$5:R$23))))))}</v>
      </c>
      <c r="JV25" s="97" t="str">
        <f t="shared" ca="1" si="327"/>
        <v>=INDEX('Global factors'!S$5:S$23,MATCH(2,1/(('Global factors'!$B$5:$B$23&lt;=Main!$C10)*(NOT(ISBLANK('Global factors'!S$5:S$23))))))}</v>
      </c>
      <c r="JW25" s="97" t="str">
        <f t="shared" ca="1" si="327"/>
        <v>=INDEX('Global factors'!T$5:T$23,MATCH(2,1/(('Global factors'!$B$5:$B$23&lt;=Main!$C10)*(NOT(ISBLANK('Global factors'!T$5:T$23))))))}</v>
      </c>
      <c r="JX25" s="97" t="str">
        <f t="shared" ca="1" si="327"/>
        <v>=INDEX('Global factors'!U$5:U$23,MATCH(2,1/(('Global factors'!$B$5:$B$23&lt;=Main!$C10)*(NOT(ISBLANK('Global factors'!U$5:U$23))))))}</v>
      </c>
      <c r="JY25" s="97" t="str">
        <f t="shared" ca="1" si="327"/>
        <v>=INDEX('Global factors'!V$5:V$23,MATCH(2,1/(('Global factors'!$B$5:$B$23&lt;=Main!$C10)*(NOT(ISBLANK('Global factors'!V$5:V$23))))))}</v>
      </c>
      <c r="JZ25" s="97" t="str">
        <f t="shared" ca="1" si="327"/>
        <v>=INDEX('Global factors'!W$5:W$23,MATCH(2,1/(('Global factors'!$B$5:$B$23&lt;=Main!$C10)*(NOT(ISBLANK('Global factors'!W$5:W$23))))))}</v>
      </c>
      <c r="KA25" s="97" t="str">
        <f t="shared" ca="1" si="327"/>
        <v>=INDEX('Global factors'!X$5:X$23,MATCH(2,1/(('Global factors'!$B$5:$B$23&lt;=Main!$C10)*(NOT(ISBLANK('Global factors'!X$5:X$23))))))}</v>
      </c>
      <c r="KB25" s="97" t="e">
        <f t="shared" ca="1" si="327"/>
        <v>#N/A</v>
      </c>
      <c r="KC25" s="97" t="str">
        <f t="shared" ref="KC25:MN25" ca="1" si="328">RIGHT(_xlfn.FORMULATEXT(KC10),LEN(_xlfn.FORMULATEXT(KC10))-1)</f>
        <v>=INDEX('Global factors'!Y$5:Y$23,MATCH(2,1/(('Global factors'!$B$5:$B$23&lt;=Main!$C10)*(NOT(ISBLANK('Global factors'!Y$5:Y$23))))))}</v>
      </c>
      <c r="KD25" s="97" t="str">
        <f t="shared" ca="1" si="328"/>
        <v>=INDEX('Global factors'!Z$5:Z$23,MATCH(2,1/(('Global factors'!$B$5:$B$23&lt;=Main!$C10)*(NOT(ISBLANK('Global factors'!Z$5:Z$23))))))}</v>
      </c>
      <c r="KE25" s="97" t="e">
        <f t="shared" ca="1" si="328"/>
        <v>#N/A</v>
      </c>
      <c r="KF25" s="97" t="e">
        <f t="shared" ca="1" si="328"/>
        <v>#N/A</v>
      </c>
      <c r="KG25" s="97" t="e">
        <f t="shared" ca="1" si="328"/>
        <v>#N/A</v>
      </c>
      <c r="KH25" s="97" t="str">
        <f t="shared" ca="1" si="328"/>
        <v>=INDEX('Global factors'!AB$5:AB$23,MATCH(2,1/(('Global factors'!$B$5:$B$23&lt;=Main!$C10)*(NOT(ISBLANK('Global factors'!AB$5:AB$23))))))}</v>
      </c>
      <c r="KI25" s="97" t="str">
        <f t="shared" ca="1" si="328"/>
        <v>=INDEX('Global factors'!AC$5:AC$23,MATCH(2,1/(('Global factors'!$B$5:$B$23&lt;=Main!$C10)*(NOT(ISBLANK('Global factors'!AC$5:AC$23))))))}</v>
      </c>
      <c r="KJ25" s="97" t="str">
        <f t="shared" ca="1" si="328"/>
        <v>=INDEX('Global factors'!AD$5:AD$23,MATCH(2,1/(('Global factors'!$B$5:$B$23&lt;=Main!$C10)*(NOT(ISBLANK('Global factors'!AD$5:AD$23))))))}</v>
      </c>
      <c r="KK25" s="97" t="str">
        <f t="shared" ca="1" si="328"/>
        <v>=INDEX('Global factors'!AE$5:AE$23,MATCH(2,1/(('Global factors'!$B$5:$B$23&lt;=Main!$C10)*(NOT(ISBLANK('Global factors'!AE$5:AE$23))))))}</v>
      </c>
      <c r="KL25" s="97" t="str">
        <f t="shared" ca="1" si="328"/>
        <v>=INDEX('Global factors'!AF$5:AF$23,MATCH(2,1/(('Global factors'!$B$5:$B$23&lt;=Main!$C10)*(NOT(ISBLANK('Global factors'!AF$5:AF$23))))))}</v>
      </c>
      <c r="KM25" s="97" t="str">
        <f t="shared" ca="1" si="328"/>
        <v>=INDEX('Global factors'!AG$5:AG$23,MATCH(2,1/(('Global factors'!$B$5:$B$23&lt;=Main!$C10)*(NOT(ISBLANK('Global factors'!AG$5:AG$23))))))}</v>
      </c>
      <c r="KN25" s="97" t="e">
        <f t="shared" ca="1" si="328"/>
        <v>#N/A</v>
      </c>
      <c r="KO25" s="97" t="e">
        <f t="shared" ca="1" si="328"/>
        <v>#N/A</v>
      </c>
      <c r="KP25" s="97" t="e">
        <f t="shared" ca="1" si="328"/>
        <v>#N/A</v>
      </c>
      <c r="KQ25" s="97" t="str">
        <f t="shared" ca="1" si="328"/>
        <v>IF($AO10="no",$AN10,$AR10)/(1-$AL10)/$JN10</v>
      </c>
      <c r="KR25" s="97" t="str">
        <f t="shared" ca="1" si="328"/>
        <v>VLOOKUP(KQ10,'Ship Time Charter Rates'!$F$10:$G$17,2,TRUE)</v>
      </c>
      <c r="KS25" s="97" t="str">
        <f t="shared" ca="1" si="328"/>
        <v>VLOOKUP(KQ10,Canals!$E$5:$F$12,2,TRUE)</v>
      </c>
      <c r="KT25" s="97" t="str">
        <f t="shared" ca="1" si="328"/>
        <v>(KQ10*$JO10 + $JP10)</v>
      </c>
      <c r="KU25" s="97" t="str">
        <f t="shared" ca="1" si="328"/>
        <v>(KQ10*$JQ10+$JR10)</v>
      </c>
      <c r="KV25" s="97" t="str">
        <f t="shared" ca="1" si="328"/>
        <v>(KQ10*$JS10+$JT10)</v>
      </c>
      <c r="KW25" s="97" t="e">
        <f t="shared" ca="1" si="328"/>
        <v>#N/A</v>
      </c>
      <c r="KX25" s="97" t="str">
        <f t="shared" ca="1" si="328"/>
        <v>=INDEX('Indices Mines Exporting Ports'!$R$20:$R$51,MATCH(2,1/(('Indices Mines Exporting Ports'!$D$20:$D$51&lt;=Main!$C10)*('Indices Mines Exporting Ports'!$Q$20:$Q$51=$AP10))))}</v>
      </c>
      <c r="KY25" s="97" t="str">
        <f t="shared" ca="1" si="328"/>
        <v>=INDEX('Indices Mines Exporting Ports'!$S$20:$S$51,MATCH(2,1/(('Indices Mines Exporting Ports'!$D$20:$D$51&lt;=Main!$C10)*('Indices Mines Exporting Ports'!$Q$20:$Q$51=$AP10))))}</v>
      </c>
      <c r="KZ25" s="97" t="str">
        <f t="shared" ca="1" si="328"/>
        <v>=INDEX('Indices Mines Exporting Ports'!$T$20:$T$51,MATCH(2,1/(('Indices Mines Exporting Ports'!$D$20:$D$51&lt;=Main!$C10)*('Indices Mines Exporting Ports'!$Q$20:$Q$51=$AP10))))}</v>
      </c>
      <c r="LA25" s="97" t="str">
        <f t="shared" ca="1" si="328"/>
        <v>=INDEX('Indices Mines Exporting Ports'!$U$20:$U$51,MATCH(2,1/(('Indices Mines Exporting Ports'!$D$20:$D$51&lt;=Main!$C10)*('Indices Mines Exporting Ports'!$Q$20:$Q$51=$AP10))))}</v>
      </c>
      <c r="LB25" s="97" t="str">
        <f t="shared" ca="1" si="328"/>
        <v>=INDEX('Indices Mines Exporting Ports'!$V$20:$V$51,MATCH(2,1/(('Indices Mines Exporting Ports'!$D$20:$D$51&lt;=Main!$C10)*('Indices Mines Exporting Ports'!$Q$20:$Q$51=$AP10))))}</v>
      </c>
      <c r="LC25" s="97" t="str">
        <f t="shared" ca="1" si="328"/>
        <v>=INDEX('Indices Mines Exporting Ports'!$W$20:$W$51,MATCH(2,1/(('Indices Mines Exporting Ports'!$D$20:$D$51&lt;=Main!$C10)*('Indices Mines Exporting Ports'!$Q$20:$Q$51=$AP10))))}</v>
      </c>
      <c r="LD25" s="97" t="str">
        <f t="shared" ca="1" si="328"/>
        <v>=INDEX('Indices Mines Exporting Ports'!$X$20:$X$51,MATCH(2,1/(('Indices Mines Exporting Ports'!$D$20:$D$51&lt;=Main!$C10)*('Indices Mines Exporting Ports'!$Q$20:$Q$51=$AP10))))}</v>
      </c>
      <c r="LE25" s="97" t="e">
        <f t="shared" ca="1" si="328"/>
        <v>#N/A</v>
      </c>
      <c r="LF25" s="97" t="str">
        <f t="shared" ca="1" si="328"/>
        <v>=INDEX('Port Linkages'!$E$18:$E$157,MATCH(2,1/(('Port Linkages'!$C$18:$C$157=$AP10)*('Port Linkages'!$D$18:$D$157=IF($AO10="Yes",$AQ10,$AS10))*('Port Linkages'!$A$18:$A$157&lt;=$C10))))}</v>
      </c>
      <c r="LG25" s="97" t="str">
        <f t="shared" ca="1" si="328"/>
        <v>=INDEX('Port Linkages'!$F$18:$F$157,MATCH(2,1/(('Port Linkages'!$C$18:$C$157=$AP10)*('Port Linkages'!$D$18:$D$157=IF($AO10="Yes",$AQ10,$AS10))*('Port Linkages'!$A$18:$A$157&lt;=$C10))))}</v>
      </c>
      <c r="LH25" s="97" t="str">
        <f t="shared" ca="1" si="328"/>
        <v>=INDEX('Port Linkages'!$G$18:$G$157,MATCH(2,1/(('Port Linkages'!$C$18:$C$157=$AP10)*('Port Linkages'!$D$18:$D$157=IF($AO10="Yes",$AQ10,$AS10))*('Port Linkages'!$A$18:$A$157&lt;=$C10))))}</v>
      </c>
      <c r="LI25" s="97" t="str">
        <f t="shared" ca="1" si="328"/>
        <v>=INDEX('Port Linkages'!$H$18:$H$157,MATCH(2,1/(('Port Linkages'!$C$18:$C$157=$AP10)*('Port Linkages'!$D$18:$D$157=IF($AO10="Yes",$AQ10,$AS10))*('Port Linkages'!$A$18:$A$157&lt;=$C10))))}</v>
      </c>
      <c r="LJ25" s="97" t="str">
        <f t="shared" ca="1" si="328"/>
        <v>=INDEX('Port Linkages'!$I$18:$I$157,MATCH(2,1/(('Port Linkages'!$C$18:$C$157=$AP10)*('Port Linkages'!$D$18:$D$157=IF($AO10="Yes",$AQ10,$AS10))*('Port Linkages'!$A$18:$A$157&lt;=$C10))))}</v>
      </c>
      <c r="LK25" s="97" t="str">
        <f t="shared" ca="1" si="328"/>
        <v>=INDEX('Port Linkages'!$J$18:$J$157,MATCH(2,1/(('Port Linkages'!$C$18:$C$157=$AP10)*('Port Linkages'!$D$18:$D$157=IF($AO10="Yes",$AQ10,$AS10))*('Port Linkages'!$A$18:$A$157&lt;=$C10))))}</v>
      </c>
      <c r="LL25" s="97" t="str">
        <f t="shared" ca="1" si="328"/>
        <v>=INDEX('Port Linkages'!$K$18:$K$157,MATCH(2,1/(('Port Linkages'!$C$18:$C$157=$AP10)*('Port Linkages'!$D$18:$D$157=IF($AO10="Yes",$AQ10,$AS10))*('Port Linkages'!$A$18:$A$157&lt;=$C10))))}</v>
      </c>
      <c r="LM25" s="97" t="str">
        <f t="shared" ca="1" si="328"/>
        <v>=INDEX('Port Linkages'!$L$18:$L$157,MATCH(2,1/(('Port Linkages'!$C$18:$C$157=$AP10)*('Port Linkages'!$D$18:$D$157=IF($AO10="Yes",$AQ10,$AS10))*('Port Linkages'!$A$18:$A$157&lt;=$C10))))}</v>
      </c>
      <c r="LN25" s="97" t="str">
        <f t="shared" ca="1" si="328"/>
        <v>=INDEX('Port Linkages'!$M$18:$M$157,MATCH(2,1/(('Port Linkages'!$C$18:$C$157=$AP10)*('Port Linkages'!$D$18:$D$157=IF($AO10="Yes",$AQ10,$AS10))*('Port Linkages'!$A$18:$A$157&lt;=$C10))))}</v>
      </c>
      <c r="LO25" s="97" t="str">
        <f t="shared" ca="1" si="328"/>
        <v>=INDEX('Port Linkages'!$N$18:$N$157,MATCH(2,1/(('Port Linkages'!$C$18:$C$157=$AP10)*('Port Linkages'!$D$18:$D$157=IF($AO10="Yes",$AQ10,$AS10))*('Port Linkages'!$A$18:$A$157&lt;=$C10))))}</v>
      </c>
      <c r="LP25" s="97" t="str">
        <f t="shared" ca="1" si="328"/>
        <v>=INDEX('Port Linkages'!$O$18:$O$157,MATCH(2,1/(('Port Linkages'!$C$18:$C$157=$AP10)*('Port Linkages'!$D$18:$D$157=IF($AO10="Yes",$AQ10,$AS10))*('Port Linkages'!$A$18:$A$157&lt;=$C10))))}</v>
      </c>
      <c r="LQ25" s="97" t="str">
        <f t="shared" ca="1" si="328"/>
        <v>=INDEX('Port Linkages'!$P$18:$P$157,MATCH(2,1/(('Port Linkages'!$C$18:$C$157=$AP10)*('Port Linkages'!$D$18:$D$157=IF($AO10="Yes",$AQ10,$AS10))*('Port Linkages'!$A$18:$A$157&lt;=$C10))))}</v>
      </c>
      <c r="LR25" s="97" t="str">
        <f t="shared" ca="1" si="328"/>
        <v>=INDEX('Port Linkages'!$Q$18:$Q$157,MATCH(2,1/(('Port Linkages'!$C$18:$C$157=$AP10)*('Port Linkages'!$D$18:$D$157=IF($AO10="Yes",$AQ10,$AS10))*('Port Linkages'!$A$18:$A$157&lt;=$C10))))}</v>
      </c>
      <c r="LS25" s="97" t="str">
        <f t="shared" ca="1" si="328"/>
        <v>=INDEX('Port Linkages'!$R$18:$R$157,MATCH(2,1/(('Port Linkages'!$C$18:$C$157=$AP10)*('Port Linkages'!$D$18:$D$157=IF($AO10="Yes",$AQ10,$AS10))*('Port Linkages'!$A$18:$A$157&lt;=$C10))))}</v>
      </c>
      <c r="LT25" s="97" t="str">
        <f t="shared" ca="1" si="328"/>
        <v>=INDEX('Port Linkages'!$S$18:$S$157,MATCH(2,1/(('Port Linkages'!$C$18:$C$157=$AP10)*('Port Linkages'!$D$18:$D$157=IF($AO10="Yes",$AQ10,$AS10))*('Port Linkages'!$A$18:$A$157&lt;=$C10))))}</v>
      </c>
      <c r="LU25" s="97" t="str">
        <f t="shared" ca="1" si="328"/>
        <v>=INDEX('Port Linkages'!$T$18:$T$157,MATCH(2,1/(('Port Linkages'!$C$18:$C$157=$AP10)*('Port Linkages'!$D$18:$D$157=IF($AO10="Yes",$AQ10,$AS10))*('Port Linkages'!$A$18:$A$157&lt;=$C10))))}</v>
      </c>
      <c r="LV25" s="97" t="str">
        <f t="shared" ca="1" si="328"/>
        <v>=INDEX('Port Linkages'!$U$18:$U$157,MATCH(2,1/(('Port Linkages'!$C$18:$C$157=$AP10)*('Port Linkages'!$D$18:$D$157=IF($AO10="Yes",$AQ10,$AS10))*('Port Linkages'!$A$18:$A$157&lt;=$C10))))}</v>
      </c>
      <c r="LW25" s="97" t="str">
        <f t="shared" ca="1" si="328"/>
        <v>=INDEX('Port Linkages'!$V$18:$V$157,MATCH(2,1/(('Port Linkages'!$C$18:$C$157=$AP10)*('Port Linkages'!$D$18:$D$157=IF($AO10="Yes",$AQ10,$AS10))*('Port Linkages'!$A$18:$A$157&lt;=$C10))))}</v>
      </c>
      <c r="LX25" s="97" t="str">
        <f t="shared" ca="1" si="328"/>
        <v>=INDEX('Port Linkages'!$W$18:$W$157,MATCH(2,1/(('Port Linkages'!$C$18:$C$157=$AP10)*('Port Linkages'!$D$18:$D$157=IF($AO10="Yes",$AQ10,$AS10))*('Port Linkages'!$A$18:$A$157&lt;=$C10))))}</v>
      </c>
      <c r="LY25" s="97" t="str">
        <f t="shared" ca="1" si="328"/>
        <v>=INDEX('Port Linkages'!$X$18:$X$157,MATCH(2,1/(('Port Linkages'!$C$18:$C$157=$AP10)*('Port Linkages'!$D$18:$D$157=IF($AO10="Yes",$AQ10,$AS10))*('Port Linkages'!$A$18:$A$157&lt;=$C10))))}</v>
      </c>
      <c r="LZ25" s="97" t="str">
        <f t="shared" ca="1" si="328"/>
        <v>=INDEX('Port Linkages'!$Y$18:$Y$157,MATCH(2,1/(('Port Linkages'!$C$18:$C$157=$AP10)*('Port Linkages'!$D$18:$D$157=IF($AO10="Yes",$AQ10,$AS10))*('Port Linkages'!$A$18:$A$157&lt;=$C10))))}</v>
      </c>
      <c r="MA25" s="97" t="str">
        <f t="shared" ca="1" si="328"/>
        <v>=INDEX('Port Linkages'!$Z$18:$Z$157,MATCH(2,1/(('Port Linkages'!$C$18:$C$157=$AP10)*('Port Linkages'!$D$18:$D$157=IF($AO10="Yes",$AQ10,$AS10))*('Port Linkages'!$A$18:$A$157&lt;=$C10))))}</v>
      </c>
      <c r="MB25" s="97" t="str">
        <f t="shared" ca="1" si="328"/>
        <v>=INDEX('Port Linkages'!$AA$18:$AA$157,MATCH(2,1/(('Port Linkages'!$C$18:$C$157=$AP10)*('Port Linkages'!$D$18:$D$157=IF($AO10="Yes",$AQ10,$AS10))*('Port Linkages'!$A$18:$A$157&lt;=$C10))))}</v>
      </c>
      <c r="MC25" s="97" t="str">
        <f t="shared" ca="1" si="328"/>
        <v>=INDEX('Port Linkages'!$AB$18:$AB$157,MATCH(2,1/(('Port Linkages'!$C$18:$C$157=$AP10)*('Port Linkages'!$D$18:$D$157=IF($AO10="Yes",$AQ10,$AS10))*('Port Linkages'!$A$18:$A$157&lt;=$C10))))}</v>
      </c>
      <c r="MD25" s="97" t="str">
        <f t="shared" ca="1" si="328"/>
        <v>=INDEX('Port Linkages'!$AC$18:$AC$157,MATCH(2,1/(('Port Linkages'!$C$18:$C$157=$AP10)*('Port Linkages'!$D$18:$D$157=IF($AO10="Yes",$AQ10,$AS10))*('Port Linkages'!$A$18:$A$157&lt;=$C10))))}</v>
      </c>
      <c r="ME25" s="97" t="str">
        <f t="shared" ca="1" si="328"/>
        <v>=INDEX('Port Linkages'!$AD$18:$AD$157,MATCH(2,1/(('Port Linkages'!$C$18:$C$157=$AP10)*('Port Linkages'!$D$18:$D$157=IF($AO10="Yes",$AQ10,$AS10))*('Port Linkages'!$A$18:$A$157&lt;=$C10))))}</v>
      </c>
      <c r="MF25" s="97" t="str">
        <f t="shared" ca="1" si="328"/>
        <v>=INDEX('Port Linkages'!$AE$18:$AE$157,MATCH(2,1/(('Port Linkages'!$C$18:$C$157=$AP10)*('Port Linkages'!$D$18:$D$157=IF($AO10="Yes",$AQ10,$AS10))*('Port Linkages'!$A$18:$A$157&lt;=$C10))))}</v>
      </c>
      <c r="MG25" s="97" t="str">
        <f t="shared" ca="1" si="328"/>
        <v>=INDEX('Port Linkages'!$AF$18:$AF$157,MATCH(2,1/(('Port Linkages'!$C$18:$C$157=$AP10)*('Port Linkages'!$D$18:$D$157=IF($AO10="Yes",$AQ10,$AS10))*('Port Linkages'!$A$18:$A$157&lt;=$C10))))}</v>
      </c>
      <c r="MH25" s="97" t="str">
        <f t="shared" ca="1" si="328"/>
        <v>=INDEX('Port Linkages'!$AG$18:$AG$157,MATCH(2,1/(('Port Linkages'!$C$18:$C$157=$AP10)*('Port Linkages'!$D$18:$D$157=IF($AO10="Yes",$AQ10,$AS10))*('Port Linkages'!$A$18:$A$157&lt;=$C10))))}</v>
      </c>
      <c r="MI25" s="97" t="str">
        <f t="shared" ca="1" si="328"/>
        <v>=INDEX('Port Linkages'!$AH$18:$AH$157,MATCH(2,1/(('Port Linkages'!$C$18:$C$157=$AP10)*('Port Linkages'!$D$18:$D$157=IF($AO10="Yes",$AQ10,$AS10))*('Port Linkages'!$A$18:$A$157&lt;=$C10))))}</v>
      </c>
      <c r="MJ25" s="97" t="str">
        <f t="shared" ca="1" si="328"/>
        <v>=INDEX('Port Linkages'!$AI$18:$AI$157,MATCH(2,1/(('Port Linkages'!$C$18:$C$157=$AP10)*('Port Linkages'!$D$18:$D$157=IF($AO10="Yes",$AQ10,$AS10))*('Port Linkages'!$A$18:$A$157&lt;=$C10))))}</v>
      </c>
      <c r="MK25" s="97" t="str">
        <f t="shared" ca="1" si="328"/>
        <v>=INDEX('Port Linkages'!$AJ$18:$AJ$157,MATCH(2,1/(('Port Linkages'!$C$18:$C$157=$AP10)*('Port Linkages'!$D$18:$D$157=IF($AO10="Yes",$AQ10,$AS10))*('Port Linkages'!$A$18:$A$157&lt;=$C10))))}</v>
      </c>
      <c r="ML25" s="97" t="str">
        <f t="shared" ca="1" si="328"/>
        <v>=INDEX('Port Linkages'!$AK$18:$AK$157,MATCH(2,1/(('Port Linkages'!$C$18:$C$157=$AP10)*('Port Linkages'!$D$18:$D$157=IF($AO10="Yes",$AQ10,$AS10))*('Port Linkages'!$A$18:$A$157&lt;=$C10))))}</v>
      </c>
      <c r="MM25" s="97" t="str">
        <f t="shared" ca="1" si="328"/>
        <v>=INDEX('Port Linkages'!$AL$18:$AL$157,MATCH(2,1/(('Port Linkages'!$C$18:$C$157=$AP10)*('Port Linkages'!$D$18:$D$157=IF($AO10="Yes",$AQ10,$AS10))*('Port Linkages'!$A$18:$A$157&lt;=$C10))))}</v>
      </c>
      <c r="MN25" s="97" t="str">
        <f t="shared" ca="1" si="328"/>
        <v>=INDEX('Port Linkages'!$AM$18:$AM$157,MATCH(2,1/(('Port Linkages'!$C$18:$C$157=$AP10)*('Port Linkages'!$D$18:$D$157=IF($AO10="Yes",$AQ10,$AS10))*('Port Linkages'!$A$18:$A$157&lt;=$C10))))}</v>
      </c>
      <c r="MO25" s="97" t="str">
        <f t="shared" ref="MO25:OZ25" ca="1" si="329">RIGHT(_xlfn.FORMULATEXT(MO10),LEN(_xlfn.FORMULATEXT(MO10))-1)</f>
        <v>=INDEX('Port Linkages'!$AN$18:$AN$157,MATCH(2,1/(('Port Linkages'!$C$18:$C$157=$AP10)*('Port Linkages'!$D$18:$D$157=IF($AO10="Yes",$AQ10,$AS10))*('Port Linkages'!$A$18:$A$157&lt;=$C10))))}</v>
      </c>
      <c r="MP25" s="97" t="str">
        <f t="shared" ca="1" si="329"/>
        <v>=INDEX('Port Linkages'!$AO$18:$AO$157,MATCH(2,1/(('Port Linkages'!$C$18:$C$157=$AP10)*('Port Linkages'!$D$18:$D$157=IF($AO10="Yes",$AQ10,$AS10))*('Port Linkages'!$A$18:$A$157&lt;=$C10))))}</v>
      </c>
      <c r="MQ25" s="97" t="str">
        <f t="shared" ca="1" si="329"/>
        <v>=INDEX('Port Linkages'!$AP$18:$AP$157,MATCH(2,1/(('Port Linkages'!$C$18:$C$157=$AP10)*('Port Linkages'!$D$18:$D$157=IF($AO10="Yes",$AQ10,$AS10))*('Port Linkages'!$A$18:$A$157&lt;=$C10))))}</v>
      </c>
      <c r="MR25" s="97" t="str">
        <f t="shared" ca="1" si="329"/>
        <v>=INDEX('Port Linkages'!$AQ$18:$AQ$157,MATCH(2,1/(('Port Linkages'!$C$18:$C$157=$AP10)*('Port Linkages'!$D$18:$D$157=IF($AO10="Yes",$AQ10,$AS10))*('Port Linkages'!$A$18:$A$157&lt;=$C10))))}</v>
      </c>
      <c r="MS25" s="97" t="str">
        <f t="shared" ca="1" si="329"/>
        <v>=INDEX('Port Linkages'!$AR$18:$AR$157,MATCH(2,1/(('Port Linkages'!$C$18:$C$157=$AP10)*('Port Linkages'!$D$18:$D$157=IF($AO10="Yes",$AQ10,$AS10))*('Port Linkages'!$A$18:$A$157&lt;=$C10))))}</v>
      </c>
      <c r="MT25" s="97" t="str">
        <f t="shared" ca="1" si="329"/>
        <v>=INDEX('Port Linkages'!$AS$18:$AS$157,MATCH(2,1/(('Port Linkages'!$C$18:$C$157=$AP10)*('Port Linkages'!$D$18:$D$157=IF($AO10="Yes",$AQ10,$AS10))*('Port Linkages'!$A$18:$A$157&lt;=$C10))))}</v>
      </c>
      <c r="MU25" s="97" t="str">
        <f t="shared" ca="1" si="329"/>
        <v>=INDEX('Port Linkages'!$AT$18:$AT$157,MATCH(2,1/(('Port Linkages'!$C$18:$C$157=$AP10)*('Port Linkages'!$D$18:$D$157=IF($AO10="Yes",$AQ10,$AS10))*('Port Linkages'!$A$18:$A$157&lt;=$C10))))}</v>
      </c>
      <c r="MV25" s="97" t="str">
        <f t="shared" ca="1" si="329"/>
        <v>=INDEX('Port Linkages'!$AU$18:$AU$157,MATCH(2,1/(('Port Linkages'!$C$18:$C$157=$AP10)*('Port Linkages'!$D$18:$D$157=IF($AO10="Yes",$AQ10,$AS10))*('Port Linkages'!$A$18:$A$157&lt;=$C10))))}</v>
      </c>
      <c r="MW25" s="97" t="str">
        <f t="shared" ca="1" si="329"/>
        <v>=INDEX('Port Linkages'!$AV$18:$AV$157,MATCH(2,1/(('Port Linkages'!$C$18:$C$157=$AP10)*('Port Linkages'!$D$18:$D$157=IF($AO10="Yes",$AQ10,$AS10))*('Port Linkages'!$A$18:$A$157&lt;=$C10))))}</v>
      </c>
      <c r="MX25" s="97" t="str">
        <f t="shared" ca="1" si="329"/>
        <v>=INDEX('Port Linkages'!$AW$18:$AW$157,MATCH(2,1/(('Port Linkages'!$C$18:$C$157=$AP10)*('Port Linkages'!$D$18:$D$157=IF($AO10="Yes",$AQ10,$AS10))*('Port Linkages'!$A$18:$A$157&lt;=$C10))))}</v>
      </c>
      <c r="MY25" s="97" t="str">
        <f t="shared" ca="1" si="329"/>
        <v>=INDEX('Port Linkages'!$AX$18:$AX$157,MATCH(2,1/(('Port Linkages'!$C$18:$C$157=$AP10)*('Port Linkages'!$D$18:$D$157=IF($AO10="Yes",$AQ10,$AS10))*('Port Linkages'!$A$18:$A$157&lt;=$C10))))}</v>
      </c>
      <c r="MZ25" s="97" t="str">
        <f t="shared" ca="1" si="329"/>
        <v>=INDEX('Port Linkages'!$AY$18:$AY$157,MATCH(2,1/(('Port Linkages'!$C$18:$C$157=$AP10)*('Port Linkages'!$D$18:$D$157=IF($AO10="Yes",$AQ10,$AS10))*('Port Linkages'!$A$18:$A$157&lt;=$C10))))}</v>
      </c>
      <c r="NA25" s="97" t="str">
        <f t="shared" ca="1" si="329"/>
        <v>=INDEX('Port Linkages'!$AZ$18:$AZ$157,MATCH(2,1/(('Port Linkages'!$C$18:$C$157=$AP10)*('Port Linkages'!$D$18:$D$157=IF($AO10="Yes",$AQ10,$AS10))*('Port Linkages'!$A$18:$A$157&lt;=$C10))))}</v>
      </c>
      <c r="NB25" s="97" t="str">
        <f t="shared" ca="1" si="329"/>
        <v>=INDEX('Port Linkages'!$BA$18:$BA$157,MATCH(2,1/(('Port Linkages'!$C$18:$C$157=$AP10)*('Port Linkages'!$D$18:$D$157=IF($AO10="Yes",$AQ10,$AS10))*('Port Linkages'!$A$18:$A$157&lt;=$C10))))}</v>
      </c>
      <c r="NC25" s="97" t="e">
        <f t="shared" ca="1" si="329"/>
        <v>#N/A</v>
      </c>
      <c r="ND25" s="97" t="str">
        <f t="shared" ca="1" si="329"/>
        <v>=INDEX('Ship Fuel Prices'!$F$5:$F$1004,MATCH(2,1/(('Ship Fuel Prices'!$E$5:$E$1004=_xlfn.IFS(KS10="Handysize",Main!MY10,KS10="Supramax",MR10,KS10="Panamax",MK10,KS10="NeoPanamax",MD10,KS10="Suezmax",LW10,KS10="Capesize",LP10,KS10="VLOC",LI10))*('Ship Fuel Prices'!$D$5:$D$1004&lt;=Main!$C10))))}</v>
      </c>
      <c r="NE25" s="97" t="str">
        <f t="shared" ca="1" si="329"/>
        <v>=INDEX('Ship Fuel Prices'!$G$5:$G$1004,MATCH(2,1/(('Ship Fuel Prices'!$E$5:$E$1004=_xlfn.IFS(KS10="Handysize",Main!MY10,KS10="Supramax",MR10,KS10="Panamax",MK10,KS10="NeoPanamax",MD10,KS10="Suezmax",LW10,KS10="Capesize",LP10,KS10="VLOC",LI10))*('Ship Fuel Prices'!$D$5:$D$1004&lt;=Main!$C10))))}</v>
      </c>
      <c r="NF25" s="97" t="str">
        <f t="shared" ca="1" si="329"/>
        <v>=INDEX('Ship Fuel Prices'!$H$5:$H$1004,MATCH(2,1/(('Ship Fuel Prices'!$E$5:$E$1004=_xlfn.IFS(KS10="Handysize",Main!MY10,KS10="Supramax",MR10,KS10="Panamax",MK10,KS10="NeoPanamax",MD10,KS10="Suezmax",LW10,KS10="Capesize",LP10,KS10="VLOC",LI10))*('Ship Fuel Prices'!$D$5:$D$1004&lt;=Main!$C10))))}</v>
      </c>
      <c r="NG25" s="97" t="str">
        <f t="shared" ca="1" si="329"/>
        <v>=INDEX('Ship Fuel Prices'!$I$5:$I$1004,MATCH(2,1/(('Ship Fuel Prices'!$E$5:$E$1004=_xlfn.IFS(KS10="Handysize",Main!MY10,KS10="Supramax",MR10,KS10="Panamax",MK10,KS10="NeoPanamax",MD10,KS10="Suezmax",LW10,KS10="Capesize",LP10,KS10="VLOC",LI10))*('Ship Fuel Prices'!$D$5:$D$1004&lt;=Main!$C10))))}</v>
      </c>
      <c r="NH25" s="97" t="str">
        <f t="shared" ca="1" si="329"/>
        <v>=INDEX('Ship Fuel Prices'!$J$5:$J$1004,MATCH(2,1/(('Ship Fuel Prices'!$E$5:$E$1004=_xlfn.IFS(KS10="Handysize",Main!MY10,KS10="Supramax",MR10,KS10="Panamax",MK10,KS10="NeoPanamax",MD10,KS10="Suezmax",LW10,KS10="Capesize",LP10,KS10="VLOC",LI10))*('Ship Fuel Prices'!$D$5:$D$1004&lt;=Main!$C10))))}</v>
      </c>
      <c r="NI25" s="97" t="e">
        <f t="shared" ca="1" si="329"/>
        <v>#N/A</v>
      </c>
      <c r="NJ25" s="97" t="str">
        <f t="shared" ca="1" si="329"/>
        <v>=INDEX('China n Importing Ports'!$E$20:$E$41,MATCH(2,1/(('China n Importing Ports'!$D$20:$D$41&lt;=$C10)*('China n Importing Ports'!$C$20:$C$41=IF($AO10="Yes",$AQ10,$AS10)))))}</v>
      </c>
      <c r="NK25" s="97" t="str">
        <f t="shared" ca="1" si="329"/>
        <v>=INDEX('China n Importing Ports'!$F$20:$F$41,MATCH(2,1/(('China n Importing Ports'!$D$20:$D$41&lt;=$C10)*('China n Importing Ports'!$C$20:$C$41=IF($AO10="Yes",$AQ10,$AS10)))))}</v>
      </c>
      <c r="NL25" s="97" t="str">
        <f t="shared" ca="1" si="329"/>
        <v>=INDEX('China n Importing Ports'!$G$20:$G$41,MATCH(2,1/(('China n Importing Ports'!$D$20:$D$41&lt;=$C10)*('China n Importing Ports'!$C$20:$C$41=IF($AO10="Yes",$AQ10,$AS10)))))}</v>
      </c>
      <c r="NM25" s="97" t="str">
        <f t="shared" ca="1" si="329"/>
        <v>=INDEX('China n Importing Ports'!$H$20:$H$41,MATCH(2,1/(('China n Importing Ports'!$D$20:$D$41&lt;=$C10)*('China n Importing Ports'!$C$20:$C$41=IF($AO10="Yes",$AQ10,$AS10)))))}</v>
      </c>
      <c r="NN25" s="97" t="str">
        <f t="shared" ca="1" si="329"/>
        <v>=INDEX('China n Importing Ports'!$I$20:$I$41,MATCH(2,1/(('China n Importing Ports'!$D$20:$D$41&lt;=$C10)*('China n Importing Ports'!$C$20:$C$41=IF($AO10="Yes",$AQ10,$AS10)))))}</v>
      </c>
      <c r="NO25" s="97" t="str">
        <f t="shared" ca="1" si="329"/>
        <v>=INDEX('China n Importing Ports'!$J$20:$J$41,MATCH(2,1/(('China n Importing Ports'!$D$20:$D$41&lt;=$C10)*('China n Importing Ports'!$C$20:$C$41=IF($AO10="Yes",$AQ10,$AS10)))))}</v>
      </c>
      <c r="NP25" s="97" t="str">
        <f t="shared" ca="1" si="329"/>
        <v>=INDEX('China n Importing Ports'!$K$20:$K$41,MATCH(2,1/(('China n Importing Ports'!$D$20:$D$41&lt;=$C10)*('China n Importing Ports'!$C$20:$C$41=IF($AO10="Yes",$AQ10,$AS10)))))}</v>
      </c>
      <c r="NQ25" s="97" t="str">
        <f t="shared" ca="1" si="329"/>
        <v>=INDEX('China n Importing Ports'!$L$20:$L$41,MATCH(2,1/(('China n Importing Ports'!$D$20:$D$41&lt;=$C10)*('China n Importing Ports'!$C$20:$C$41=IF($AO10="Yes",$AQ10,$AS10)))))}</v>
      </c>
      <c r="NR25" s="97" t="str">
        <f t="shared" ca="1" si="329"/>
        <v>=INDEX('China n Importing Ports'!$M$20:$M$41,MATCH(2,1/(('China n Importing Ports'!$D$20:$D$41&lt;=$C10)*('China n Importing Ports'!$C$20:$C$41=IF($AO10="Yes",$AQ10,$AS10)))))}</v>
      </c>
      <c r="NS25" s="97" t="str">
        <f t="shared" ca="1" si="329"/>
        <v>=INDEX('China n Importing Ports'!$N$20:$N$41,MATCH(2,1/(('China n Importing Ports'!$D$20:$D$41&lt;=$C10)*('China n Importing Ports'!$C$20:$C$41=IF($AO10="Yes",$AQ10,$AS10)))))}</v>
      </c>
      <c r="NT25" s="97" t="str">
        <f t="shared" ca="1" si="329"/>
        <v>=INDEX('China n Importing Ports'!$O$20:$O$41,MATCH(2,1/(('China n Importing Ports'!$D$20:$D$41&lt;=$C10)*('China n Importing Ports'!$C$20:$C$41=IF($AO10="Yes",$AQ10,$AS10)))))}</v>
      </c>
      <c r="NU25" s="97" t="str">
        <f t="shared" ca="1" si="329"/>
        <v>=INDEX('China n Importing Ports'!$P$20:$P$41,MATCH(2,1/(('China n Importing Ports'!$D$20:$D$41&lt;=$C10)*('China n Importing Ports'!$C$20:$C$41=IF($AO10="Yes",$AQ10,$AS10)))))}</v>
      </c>
      <c r="NV25" s="97" t="str">
        <f t="shared" ca="1" si="329"/>
        <v>=INDEX('China n Importing Ports'!$Q$20:$Q$41,MATCH(2,1/(('China n Importing Ports'!$D$20:$D$41&lt;=$C10)*('China n Importing Ports'!$C$20:$C$41=IF($AO10="Yes",$AQ10,$AS10)))))}</v>
      </c>
      <c r="NW25" s="97" t="str">
        <f t="shared" ca="1" si="329"/>
        <v>=INDEX('China n Importing Ports'!$R$20:$R$41,MATCH(2,1/(('China n Importing Ports'!$D$20:$D$41&lt;=$C10)*('China n Importing Ports'!$C$20:$C$41=IF($AO10="Yes",$AQ10,$AS10)))))}</v>
      </c>
      <c r="NX25" s="97" t="str">
        <f t="shared" ca="1" si="329"/>
        <v>=INDEX('China n Importing Ports'!$S$20:$S$41,MATCH(2,1/(('China n Importing Ports'!$D$20:$D$41&lt;=$C10)*('China n Importing Ports'!$C$20:$C$41=IF($AO10="Yes",$AQ10,$AS10)))))}</v>
      </c>
      <c r="NY25" s="97" t="str">
        <f t="shared" ca="1" si="329"/>
        <v>=INDEX('China n Importing Ports'!$T$20:$T$41,MATCH(2,1/(('China n Importing Ports'!$D$20:$D$41&lt;=$C10)*('China n Importing Ports'!$C$20:$C$41=IF($AO10="Yes",$AQ10,$AS10)))))}</v>
      </c>
      <c r="NZ25" s="97" t="str">
        <f t="shared" ca="1" si="329"/>
        <v>=INDEX('China n Importing Ports'!$U$20:$U$41,MATCH(2,1/(('China n Importing Ports'!$D$20:$D$41&lt;=$C10)*('China n Importing Ports'!$C$20:$C$41=IF($AO10="Yes",$AQ10,$AS10)))))}</v>
      </c>
      <c r="OA25" s="97" t="str">
        <f t="shared" ca="1" si="329"/>
        <v>=INDEX('China n Importing Ports'!$V$20:$V$41,MATCH(2,1/(('China n Importing Ports'!$D$20:$D$41&lt;=$C10)*('China n Importing Ports'!$C$20:$C$41=IF($AO10="Yes",$AQ10,$AS10)))))}</v>
      </c>
      <c r="OB25" s="97" t="str">
        <f t="shared" ca="1" si="329"/>
        <v>=INDEX('China n Importing Ports'!$W$20:$W$41,MATCH(2,1/(('China n Importing Ports'!$D$20:$D$41&lt;=$C10)*('China n Importing Ports'!$C$20:$C$41=IF($AO10="Yes",$AQ10,$AS10)))))}</v>
      </c>
      <c r="OC25" s="97" t="str">
        <f t="shared" ca="1" si="329"/>
        <v>=INDEX('China n Importing Ports'!$X$20:$X$41,MATCH(2,1/(('China n Importing Ports'!$D$20:$D$41&lt;=$C10)*('China n Importing Ports'!$C$20:$C$41=IF($AO10="Yes",$AQ10,$AS10)))))}</v>
      </c>
      <c r="OD25" s="97" t="str">
        <f t="shared" ca="1" si="329"/>
        <v>=INDEX('China n Importing Ports'!$Y$20:$Y$41,MATCH(2,1/(('China n Importing Ports'!$D$20:$D$41&lt;=$C10)*('China n Importing Ports'!$C$20:$C$41=IF($AO10="Yes",$AQ10,$AS10)))))}</v>
      </c>
      <c r="OE25" s="97" t="str">
        <f t="shared" ca="1" si="329"/>
        <v>=INDEX('China n Importing Ports'!$Z$20:$Z$41,MATCH(2,1/(('China n Importing Ports'!$D$20:$D$41&lt;=$C10)*('China n Importing Ports'!$C$20:$C$41=IF($AO10="Yes",$AQ10,$AS10)))))}</v>
      </c>
      <c r="OF25" s="97" t="str">
        <f t="shared" ca="1" si="329"/>
        <v>=INDEX('China n Importing Ports'!$AA$20:$AA$41,MATCH(2,1/(('China n Importing Ports'!$D$20:$D$41&lt;=$C10)*('China n Importing Ports'!$C$20:$C$41=IF($AO10="Yes",$AQ10,$AS10)))))}</v>
      </c>
      <c r="OG25" s="97" t="e">
        <f t="shared" ca="1" si="329"/>
        <v>#N/A</v>
      </c>
      <c r="OH25" s="97" t="str">
        <f t="shared" ca="1" si="329"/>
        <v>=INDEX(Canals!$G$24:$G$29,MATCH(2,1/((Canals!$F$24:$F$29&lt;=$C10)*(Canals!$G$24:$G$29=_xlfn.IFS(KS10="Handysize",Main!NB10,KS10="Supramax",MU10,KS10="Panamax",MN10,KS10="NeoPanamax",MG10,KS10="Suezmax",LZ10,KS10="Capesize",LS10,KS10="VLOC",LL10)))))}</v>
      </c>
      <c r="OI25" s="97" t="str">
        <f t="shared" ca="1" si="329"/>
        <v>=INDEX(Canals!$H$24:$H$29,MATCH(2,1/((Canals!$F$24:$F$29&lt;=$C10)*(Canals!$G$24:$G$29=_xlfn.IFS(KS10="Handysize",Main!NB10,KS10="Supramax",MU10,KS10="Panamax",MN10,KS10="NeoPanamax",MG10,KS10="Suezmax",LZ10,KS10="Capesize",LS10,KS10="VLOC",LL10)))))}</v>
      </c>
      <c r="OJ25" s="97" t="str">
        <f t="shared" ca="1" si="329"/>
        <v>=INDEX(Canals!$I$24:$I$29,MATCH(2,1/((Canals!$F$24:$F$29&lt;=$C10)*(Canals!$G$24:$G$29=_xlfn.IFS(KS10="Handysize",Main!NB10,KS10="Supramax",MU10,KS10="Panamax",MN10,KS10="NeoPanamax",MG10,KS10="Suezmax",LZ10,KS10="Capesize",LS10,KS10="VLOC",LL10)))))}</v>
      </c>
      <c r="OK25" s="97" t="str">
        <f t="shared" ca="1" si="329"/>
        <v>=INDEX(Canals!$J$24:$J$29,MATCH(2,1/((Canals!$F$24:$F$29&lt;=$C10)*(Canals!$G$24:$G$29=_xlfn.IFS(KS10="Handysize",Main!NB10,KS10="Supramax",MU10,KS10="Panamax",MN10,KS10="NeoPanamax",MG10,KS10="Suezmax",LZ10,KS10="Capesize",LS10,KS10="VLOC",LL10)))))}</v>
      </c>
      <c r="OL25" s="97" t="str">
        <f t="shared" ca="1" si="329"/>
        <v>=INDEX(Canals!$K$24:$K$29,MATCH(2,1/((Canals!$F$24:$F$29&lt;=$C10)*(Canals!$G$24:$G$29=_xlfn.IFS(KS10="Handysize",Main!NB10,KS10="Supramax",MU10,KS10="Panamax",MN10,KS10="NeoPanamax",MG10,KS10="Suezmax",LZ10,KS10="Capesize",LS10,KS10="VLOC",LL10)))))}</v>
      </c>
      <c r="OM25" s="97" t="str">
        <f t="shared" ca="1" si="329"/>
        <v>=INDEX(Canals!$L$24:$L$29,MATCH(2,1/((Canals!$F$24:$F$29&lt;=$C10)*(Canals!$G$24:$G$29=_xlfn.IFS(KS10="Handysize",Main!NB10,KS10="Supramax",MU10,KS10="Panamax",MN10,KS10="NeoPanamax",MG10,KS10="Suezmax",LZ10,KS10="Capesize",LS10,KS10="VLOC",LL10)))))}</v>
      </c>
      <c r="ON25" s="97" t="str">
        <f t="shared" ca="1" si="329"/>
        <v>=INDEX(Canals!$M$24:$M$29,MATCH(2,1/((Canals!$F$24:$F$29&lt;=$C10)*(Canals!$G$24:$G$29=_xlfn.IFS(KS10="Handysize",Main!NB10,KS10="Supramax",MU10,KS10="Panamax",MN10,KS10="NeoPanamax",MG10,KS10="Suezmax",LZ10,KS10="Capesize",LS10,KS10="VLOC",LL10)))))}</v>
      </c>
      <c r="OO25" s="97" t="str">
        <f t="shared" ca="1" si="329"/>
        <v>=INDEX(Canals!$N$24:$N$29,MATCH(2,1/((Canals!$F$24:$F$29&lt;=$C10)*(Canals!$G$24:$G$29=_xlfn.IFS(KS10="Handysize",Main!NB10,KS10="Supramax",MU10,KS10="Panamax",MN10,KS10="NeoPanamax",MG10,KS10="Suezmax",LZ10,KS10="Capesize",LS10,KS10="VLOC",LL10)))))}</v>
      </c>
      <c r="OP25" s="97" t="str">
        <f t="shared" ca="1" si="329"/>
        <v>=INDEX(Canals!$O$24:$O$29,MATCH(2,1/((Canals!$F$24:$F$29&lt;=$C10)*(Canals!$G$24:$G$29=_xlfn.IFS(KS10="Handysize",Main!NB10,KS10="Supramax",MU10,KS10="Panamax",MN10,KS10="NeoPanamax",MG10,KS10="Suezmax",LZ10,KS10="Capesize",LS10,KS10="VLOC",LL10)))))}</v>
      </c>
      <c r="OQ25" s="97" t="str">
        <f t="shared" ca="1" si="329"/>
        <v>=INDEX(Canals!$P$24:$P$29,MATCH(2,1/((Canals!$F$24:$F$29&lt;=$C10)*(Canals!$G$24:$G$29=_xlfn.IFS(KS10="Handysize",Main!NB10,KS10="Supramax",MU10,KS10="Panamax",MN10,KS10="NeoPanamax",MG10,KS10="Suezmax",LZ10,KS10="Capesize",LS10,KS10="VLOC",LL10)))))}</v>
      </c>
      <c r="OR25" s="97" t="str">
        <f t="shared" ca="1" si="329"/>
        <v>=INDEX(Canals!$Q$24:$Q$29,MATCH(2,1/((Canals!$F$24:$F$29&lt;=$C10)*(Canals!$G$24:$G$29=_xlfn.IFS(KS10="Handysize",Main!NB10,KS10="Supramax",MU10,KS10="Panamax",MN10,KS10="NeoPanamax",MG10,KS10="Suezmax",LZ10,KS10="Capesize",LS10,KS10="VLOC",LL10)))))}</v>
      </c>
      <c r="OS25" s="97" t="str">
        <f t="shared" ca="1" si="329"/>
        <v>=INDEX(Canals!$R$24:$R$29,MATCH(2,1/((Canals!$F$24:$F$29&lt;=$C10)*(Canals!$G$24:$G$29=_xlfn.IFS(KS10="Handysize",Main!NB10,KS10="Supramax",MU10,KS10="Panamax",MN10,KS10="NeoPanamax",MG10,KS10="Suezmax",LZ10,KS10="Capesize",LS10,KS10="VLOC",LL10)))))}</v>
      </c>
      <c r="OT25" s="97" t="str">
        <f t="shared" ca="1" si="329"/>
        <v>=INDEX(Canals!$S$24:$S$29,MATCH(2,1/((Canals!$F$24:$F$29&lt;=$C10)*(Canals!$G$24:$G$29=_xlfn.IFS(KS10="Handysize",Main!NB10,KS10="Supramax",MU10,KS10="Panamax",MN10,KS10="NeoPanamax",MG10,KS10="Suezmax",LZ10,KS10="Capesize",LS10,KS10="VLOC",LL10)))))}</v>
      </c>
      <c r="OU25" s="97" t="str">
        <f t="shared" ca="1" si="329"/>
        <v>=INDEX(Canals!$T$24:$T$29,MATCH(2,1/((Canals!$F$24:$F$29&lt;=$C10)*(Canals!$G$24:$G$29=_xlfn.IFS(KS10="Handysize",Main!NB10,KS10="Supramax",MU10,KS10="Panamax",MN10,KS10="NeoPanamax",MG10,KS10="Suezmax",LZ10,KS10="Capesize",LS10,KS10="VLOC",LL10)))))}</v>
      </c>
      <c r="OV25" s="97" t="str">
        <f t="shared" ca="1" si="329"/>
        <v>=INDEX(Canals!$U$24:$U$29,MATCH(2,1/((Canals!$F$24:$F$29&lt;=$C10)*(Canals!$G$24:$G$29=_xlfn.IFS(KS10="Handysize",Main!NB10,KS10="Supramax",MU10,KS10="Panamax",MN10,KS10="NeoPanamax",MG10,KS10="Suezmax",LZ10,KS10="Capesize",LS10,KS10="VLOC",LL10)))))}</v>
      </c>
      <c r="OW25" s="97" t="str">
        <f t="shared" ca="1" si="329"/>
        <v>=INDEX(Canals!$V$24:$V$29,MATCH(2,1/((Canals!$F$24:$F$29&lt;=$C10)*(Canals!$G$24:$G$29=_xlfn.IFS(KS10="Handysize",Main!NB10,KS10="Supramax",MU10,KS10="Panamax",MN10,KS10="NeoPanamax",MG10,KS10="Suezmax",LZ10,KS10="Capesize",LS10,KS10="VLOC",LL10)))))}</v>
      </c>
      <c r="OX25" s="97" t="str">
        <f t="shared" ca="1" si="329"/>
        <v>=INDEX(Canals!$W$24:$W$29,MATCH(2,1/((Canals!$F$24:$F$29&lt;=$C10)*(Canals!$G$24:$G$29=_xlfn.IFS(KS10="Handysize",Main!NB10,KS10="Supramax",MU10,KS10="Panamax",MN10,KS10="NeoPanamax",MG10,KS10="Suezmax",LZ10,KS10="Capesize",LS10,KS10="VLOC",LL10)))))}</v>
      </c>
      <c r="OY25" s="97" t="str">
        <f t="shared" ca="1" si="329"/>
        <v>=INDEX(Canals!$X$24:$X$29,MATCH(2,1/((Canals!$F$24:$F$29&lt;=$C10)*(Canals!$G$24:$G$29=_xlfn.IFS(KS10="Handysize",Main!NB10,KS10="Supramax",MU10,KS10="Panamax",MN10,KS10="NeoPanamax",MG10,KS10="Suezmax",LZ10,KS10="Capesize",LS10,KS10="VLOC",LL10)))))}</v>
      </c>
      <c r="OZ25" s="97" t="str">
        <f t="shared" ca="1" si="329"/>
        <v>=INDEX(Canals!$Y$24:$Y$29,MATCH(2,1/((Canals!$F$24:$F$29&lt;=$C10)*(Canals!$G$24:$G$29=_xlfn.IFS(KS10="Handysize",Main!NB10,KS10="Supramax",MU10,KS10="Panamax",MN10,KS10="NeoPanamax",MG10,KS10="Suezmax",LZ10,KS10="Capesize",LS10,KS10="VLOC",LL10)))))}</v>
      </c>
      <c r="PA25" s="97" t="str">
        <f t="shared" ref="PA25:RL25" ca="1" si="330">RIGHT(_xlfn.FORMULATEXT(PA10),LEN(_xlfn.FORMULATEXT(PA10))-1)</f>
        <v>=INDEX(Canals!$Z$24:$Z$29,MATCH(2,1/((Canals!$F$24:$F$29&lt;=$C10)*(Canals!$G$24:$G$29=_xlfn.IFS(KS10="Handysize",Main!NB10,KS10="Supramax",MU10,KS10="Panamax",MN10,KS10="NeoPanamax",MG10,KS10="Suezmax",LZ10,KS10="Capesize",LS10,KS10="VLOC",LL10)))))}</v>
      </c>
      <c r="PB25" s="97" t="str">
        <f t="shared" ca="1" si="330"/>
        <v>=INDEX(Canals!$AA$24:$AA$29,MATCH(2,1/((Canals!$F$24:$F$29&lt;=$C10)*(Canals!$G$24:$G$29=_xlfn.IFS(KS10="Handysize",Main!NB10,KS10="Supramax",MU10,KS10="Panamax",MN10,KS10="NeoPanamax",MG10,KS10="Suezmax",LZ10,KS10="Capesize",LS10,KS10="VLOC",LL10)))))}</v>
      </c>
      <c r="PC25" s="97" t="str">
        <f t="shared" ca="1" si="330"/>
        <v>=INDEX(Canals!$AB$24:$AB$29,MATCH(2,1/((Canals!$F$24:$F$29&lt;=$C10)*(Canals!$G$24:$G$29=_xlfn.IFS(KS10="Handysize",Main!NB10,KS10="Supramax",MU10,KS10="Panamax",MN10,KS10="NeoPanamax",MG10,KS10="Suezmax",LZ10,KS10="Capesize",LS10,KS10="VLOC",LL10)))))}</v>
      </c>
      <c r="PD25" s="97" t="str">
        <f t="shared" ca="1" si="330"/>
        <v>=INDEX(Canals!$AC$24:$AC$29,MATCH(2,1/((Canals!$F$24:$F$29&lt;=$C10)*(Canals!$G$24:$G$29=_xlfn.IFS(KS10="Handysize",Main!NB10,KS10="Supramax",MU10,KS10="Panamax",MN10,KS10="NeoPanamax",MG10,KS10="Suezmax",LZ10,KS10="Capesize",LS10,KS10="VLOC",LL10)))))}</v>
      </c>
      <c r="PE25" s="97" t="str">
        <f t="shared" ca="1" si="330"/>
        <v>=INDEX(Canals!$AD$24:$AD$29,MATCH(2,1/((Canals!$F$24:$F$29&lt;=$C10)*(Canals!$G$24:$G$29=_xlfn.IFS(KS10="Handysize",Main!NB10,KS10="Supramax",MU10,KS10="Panamax",MN10,KS10="NeoPanamax",MG10,KS10="Suezmax",LZ10,KS10="Capesize",LS10,KS10="VLOC",LL10)))))}</v>
      </c>
      <c r="PF25" s="97" t="str">
        <f t="shared" ca="1" si="330"/>
        <v>=INDEX(Canals!$AE$24:$AE$29,MATCH(2,1/((Canals!$F$24:$F$29&lt;=$C10)*(Canals!$G$24:$G$29=_xlfn.IFS(KS10="Handysize",Main!NB10,KS10="Supramax",MU10,KS10="Panamax",MN10,KS10="NeoPanamax",MG10,KS10="Suezmax",LZ10,KS10="Capesize",LS10,KS10="VLOC",LL10)))))}</v>
      </c>
      <c r="PG25" s="97" t="str">
        <f t="shared" ca="1" si="330"/>
        <v>=INDEX(Canals!$AF$24:$AF$29,MATCH(2,1/((Canals!$F$24:$F$29&lt;=$C10)*(Canals!$G$24:$G$29=_xlfn.IFS(KS10="Handysize",Main!NB10,KS10="Supramax",MU10,KS10="Panamax",MN10,KS10="NeoPanamax",MG10,KS10="Suezmax",LZ10,KS10="Capesize",LS10,KS10="VLOC",LL10)))))}</v>
      </c>
      <c r="PH25" s="97" t="str">
        <f t="shared" ca="1" si="330"/>
        <v>=INDEX(Canals!$AG$24:$AG$29,MATCH(2,1/((Canals!$F$24:$F$29&lt;=$C10)*(Canals!$G$24:$G$29=_xlfn.IFS(KS10="Handysize",Main!NB10,KS10="Supramax",MU10,KS10="Panamax",MN10,KS10="NeoPanamax",MG10,KS10="Suezmax",LZ10,KS10="Capesize",LS10,KS10="VLOC",LL10)))))}</v>
      </c>
      <c r="PI25" s="97" t="str">
        <f t="shared" ca="1" si="330"/>
        <v>=INDEX(Canals!$AH$24:$AH$29,MATCH(2,1/((Canals!$F$24:$F$29&lt;=$C10)*(Canals!$G$24:$G$29=_xlfn.IFS(KS10="Handysize",Main!NB10,KS10="Supramax",MU10,KS10="Panamax",MN10,KS10="NeoPanamax",MG10,KS10="Suezmax",LZ10,KS10="Capesize",LS10,KS10="VLOC",LL10)))))}</v>
      </c>
      <c r="PJ25" s="97" t="str">
        <f t="shared" ca="1" si="330"/>
        <v>=INDEX(Canals!$AI$24:$AI$29,MATCH(2,1/((Canals!$F$24:$F$29&lt;=$C10)*(Canals!$G$24:$G$29=_xlfn.IFS(KS10="Handysize",Main!NB10,KS10="Supramax",MU10,KS10="Panamax",MN10,KS10="NeoPanamax",MG10,KS10="Suezmax",LZ10,KS10="Capesize",LS10,KS10="VLOC",LL10)))))}</v>
      </c>
      <c r="PK25" s="97" t="str">
        <f t="shared" ca="1" si="330"/>
        <v>=INDEX(Canals!$AJ$24:$AJ$29,MATCH(2,1/((Canals!$F$24:$F$29&lt;=$C10)*(Canals!$G$24:$G$29=_xlfn.IFS(KS10="Handysize",Main!NB10,KS10="Supramax",MU10,KS10="Panamax",MN10,KS10="NeoPanamax",MG10,KS10="Suezmax",LZ10,KS10="Capesize",LS10,KS10="VLOC",LL10)))))}</v>
      </c>
      <c r="PL25" s="97" t="str">
        <f t="shared" ca="1" si="330"/>
        <v>=INDEX(Canals!$AK$24:$AK$29,MATCH(2,1/((Canals!$F$24:$F$29&lt;=$C10)*(Canals!$G$24:$G$29=_xlfn.IFS(KS10="Handysize",Main!NB10,KS10="Supramax",MU10,KS10="Panamax",MN10,KS10="NeoPanamax",MG10,KS10="Suezmax",LZ10,KS10="Capesize",LS10,KS10="VLOC",LL10)))))}</v>
      </c>
      <c r="PM25" s="97" t="str">
        <f t="shared" ca="1" si="330"/>
        <v>=INDEX(Canals!$AL$24:$AL$29,MATCH(2,1/((Canals!$F$24:$F$29&lt;=$C10)*(Canals!$G$24:$G$29=_xlfn.IFS(KS10="Handysize",Main!NB10,KS10="Supramax",MU10,KS10="Panamax",MN10,KS10="NeoPanamax",MG10,KS10="Suezmax",LZ10,KS10="Capesize",LS10,KS10="VLOC",LL10)))))}</v>
      </c>
      <c r="PN25" s="97" t="str">
        <f t="shared" ca="1" si="330"/>
        <v>=INDEX(Canals!$AM$24:$AM$29,MATCH(2,1/((Canals!$F$24:$F$29&lt;=$C10)*(Canals!$G$24:$G$29=_xlfn.IFS(KS10="Handysize",Main!NB10,KS10="Supramax",MU10,KS10="Panamax",MN10,KS10="NeoPanamax",MG10,KS10="Suezmax",LZ10,KS10="Capesize",LS10,KS10="VLOC",LL10)))))}</v>
      </c>
      <c r="PO25" s="97" t="str">
        <f t="shared" ca="1" si="330"/>
        <v>=INDEX(Canals!$AN$24:$AN$29,MATCH(2,1/((Canals!$F$24:$F$29&lt;=$C10)*(Canals!$G$24:$G$29=_xlfn.IFS(KS10="Handysize",Main!NB10,KS10="Supramax",MU10,KS10="Panamax",MN10,KS10="NeoPanamax",MG10,KS10="Suezmax",LZ10,KS10="Capesize",LS10,KS10="VLOC",LL10)))))}</v>
      </c>
      <c r="PP25" s="97" t="str">
        <f t="shared" ca="1" si="330"/>
        <v>=INDEX(Canals!$AO$24:$AO$29,MATCH(2,1/((Canals!$F$24:$F$29&lt;=$C10)*(Canals!$G$24:$G$29=_xlfn.IFS(KS10="Handysize",Main!NB10,KS10="Supramax",MU10,KS10="Panamax",MN10,KS10="NeoPanamax",MG10,KS10="Suezmax",LZ10,KS10="Capesize",LS10,KS10="VLOC",LL10)))))}</v>
      </c>
      <c r="PQ25" s="97" t="str">
        <f t="shared" ca="1" si="330"/>
        <v>=INDEX(Canals!$AP$24:$AP$29,MATCH(2,1/((Canals!$F$24:$F$29&lt;=$C10)*(Canals!$G$24:$G$29=_xlfn.IFS(KS10="Handysize",Main!NB10,KS10="Supramax",MU10,KS10="Panamax",MN10,KS10="NeoPanamax",MG10,KS10="Suezmax",LZ10,KS10="Capesize",LS10,KS10="VLOC",LL10)))))}</v>
      </c>
      <c r="PR25" s="97" t="str">
        <f t="shared" ca="1" si="330"/>
        <v>=INDEX(Canals!$AQ$24:$AQ$29,MATCH(2,1/((Canals!$F$24:$F$29&lt;=$C10)*(Canals!$G$24:$G$29=_xlfn.IFS(KS10="Handysize",Main!NB10,KS10="Supramax",MU10,KS10="Panamax",MN10,KS10="NeoPanamax",MG10,KS10="Suezmax",LZ10,KS10="Capesize",LS10,KS10="VLOC",LL10)))))}</v>
      </c>
      <c r="PS25" s="97" t="str">
        <f t="shared" ca="1" si="330"/>
        <v>=INDEX(Canals!$AR$24:$AR$29,MATCH(2,1/((Canals!$F$24:$F$29&lt;=$C10)*(Canals!$G$24:$G$29=_xlfn.IFS(KS10="Handysize",Main!NB10,KS10="Supramax",MU10,KS10="Panamax",MN10,KS10="NeoPanamax",MG10,KS10="Suezmax",LZ10,KS10="Capesize",LS10,KS10="VLOC",LL10)))))}</v>
      </c>
      <c r="PT25" s="97" t="str">
        <f t="shared" ca="1" si="330"/>
        <v>=INDEX(Canals!$AS$24:$AS$29,MATCH(2,1/((Canals!$F$24:$F$29&lt;=$C10)*(Canals!$G$24:$G$29=_xlfn.IFS(KS10="Handysize",Main!NB10,KS10="Supramax",MU10,KS10="Panamax",MN10,KS10="NeoPanamax",MG10,KS10="Suezmax",LZ10,KS10="Capesize",LS10,KS10="VLOC",LL10)))))}</v>
      </c>
      <c r="PU25" s="97" t="str">
        <f t="shared" ca="1" si="330"/>
        <v>=INDEX(Canals!$AT$24:$AT$29,MATCH(2,1/((Canals!$F$24:$F$29&lt;=$C10)*(Canals!$G$24:$G$29=_xlfn.IFS(KS10="Handysize",Main!NB10,KS10="Supramax",MU10,KS10="Panamax",MN10,KS10="NeoPanamax",MG10,KS10="Suezmax",LZ10,KS10="Capesize",LS10,KS10="VLOC",LL10)))))}</v>
      </c>
      <c r="PV25" s="97" t="str">
        <f t="shared" ca="1" si="330"/>
        <v>=INDEX(Canals!$AU$24:$AU$29,MATCH(2,1/((Canals!$F$24:$F$29&lt;=$C10)*(Canals!$G$24:$G$29=_xlfn.IFS(KS10="Handysize",Main!NB10,KS10="Supramax",MU10,KS10="Panamax",MN10,KS10="NeoPanamax",MG10,KS10="Suezmax",LZ10,KS10="Capesize",LS10,KS10="VLOC",LL10)))))}</v>
      </c>
      <c r="PW25" s="97" t="str">
        <f t="shared" ca="1" si="330"/>
        <v>=INDEX(Canals!$AV$24:$AV$29,MATCH(2,1/((Canals!$F$24:$F$29&lt;=$C10)*(Canals!$G$24:$G$29=_xlfn.IFS(KS10="Handysize",Main!NB10,KS10="Supramax",MU10,KS10="Panamax",MN10,KS10="NeoPanamax",MG10,KS10="Suezmax",LZ10,KS10="Capesize",LS10,KS10="VLOC",LL10)))))}</v>
      </c>
      <c r="PX25" s="97" t="e">
        <f t="shared" ca="1" si="330"/>
        <v>#N/A</v>
      </c>
      <c r="PY25" s="97" t="str">
        <f t="shared" ca="1" si="330"/>
        <v>=_xlfn.IFS(OJ10="DWT",KQ10,OJ10="NRT",KU10,OJ10="GRT",KV10)}</v>
      </c>
      <c r="PZ25" s="97" t="str">
        <f t="shared" ca="1" si="330"/>
        <v>IF(PY10&gt;OK10,OK10,PY10)</v>
      </c>
      <c r="QA25" s="97" t="str">
        <f t="shared" ca="1" si="330"/>
        <v>IF(PY10&gt;SUM(OK10:OL10),OL10,PY10-SUM(PZ10:PZ10))</v>
      </c>
      <c r="QB25" s="97" t="str">
        <f t="shared" ca="1" si="330"/>
        <v>IF(PY10&gt;SUM(OK10:OM10),OM10,PY10-SUM(PZ10:QA10))</v>
      </c>
      <c r="QC25" s="97" t="str">
        <f t="shared" ca="1" si="330"/>
        <v>IF(PY10&gt;SUM(OK10:ON10),ON10,PY10-SUM(PZ10:QB10))</v>
      </c>
      <c r="QD25" s="97" t="str">
        <f t="shared" ca="1" si="330"/>
        <v>IF(PY10&gt;SUM(OK10:OO10),OO10,PY10-SUM(PZ10:QC10))</v>
      </c>
      <c r="QE25" s="97" t="str">
        <f t="shared" ca="1" si="330"/>
        <v>IF(PY10&gt;SUM(OK10:OP10),OP10,PY10-SUM(PZ10:QD10))</v>
      </c>
      <c r="QF25" s="97" t="str">
        <f t="shared" ca="1" si="330"/>
        <v>IF(PY10&gt;SUM(OK10:OQ10),OQ10,PY10-SUM(PZ10:QE10))</v>
      </c>
      <c r="QG25" s="97" t="str">
        <f t="shared" ca="1" si="330"/>
        <v>IF(PY10&gt;SUM(OK10:OR10),OR10,PY10-SUM(PZ10:QF10))</v>
      </c>
      <c r="QH25" s="97" t="str">
        <f t="shared" ca="1" si="330"/>
        <v>IF(PY10&gt;SUM(OK10:OS10),OS10,PY10-SUM(PZ10:QG10))</v>
      </c>
      <c r="QI25" s="97" t="str">
        <f t="shared" ca="1" si="330"/>
        <v>KQ10*$JN10</v>
      </c>
      <c r="QJ25" s="97" t="str">
        <f t="shared" ca="1" si="330"/>
        <v>IF(QI10&gt;PD10,PD10,QI10)</v>
      </c>
      <c r="QK25" s="97" t="str">
        <f t="shared" ca="1" si="330"/>
        <v>IF(QI10&gt;SUM(PD10:PE10),PE10,QI10-SUM(QJ10:QJ10))</v>
      </c>
      <c r="QL25" s="97" t="str">
        <f t="shared" ca="1" si="330"/>
        <v>IF(QI10&gt;SUM(PD10:PF10),PF10,QI10-SUM(QJ10:QK10))</v>
      </c>
      <c r="QM25" s="97" t="str">
        <f t="shared" ca="1" si="330"/>
        <v>IF(QI10&gt;SUM(PD10:PG10),PG10,QI10-SUM(QJ10:QL10))</v>
      </c>
      <c r="QN25" s="97" t="str">
        <f t="shared" ca="1" si="330"/>
        <v>IF(QI10&gt;SUM(PD10:PH10),PH10,QI10-SUM(QJ10:QM10))</v>
      </c>
      <c r="QO25" s="97" t="str">
        <f t="shared" ca="1" si="330"/>
        <v>IF(QI10&gt;SUM(PD10:PI10),PI10,QI10-SUM(QJ10:QN10))</v>
      </c>
      <c r="QP25" s="97" t="str">
        <f t="shared" ca="1" si="330"/>
        <v>IF(QI10&gt;SUM(PD10:PJ10),PJ10,QI10-SUM(QJ10:QO10))</v>
      </c>
      <c r="QQ25" s="97" t="str">
        <f t="shared" ca="1" si="330"/>
        <v>IF(QI10&gt;SUM(PD10:PK10),PK10,QI10-SUM(QJ10:QP10))</v>
      </c>
      <c r="QR25" s="97" t="str">
        <f t="shared" ca="1" si="330"/>
        <v>IF(QI10&gt;SUM(PD10:PL10),PL10,QI10-SUM(QJ10:QQ10))</v>
      </c>
      <c r="QS25" s="97" t="e">
        <f t="shared" ca="1" si="330"/>
        <v>#N/A</v>
      </c>
      <c r="QT25" s="97" t="str">
        <f t="shared" ca="1" si="330"/>
        <v>=_xlfn.IFS(KS10="Handysize",Main!MV10,KS10="Supramax",MO10,KS10="Panamax",MH10,KS10="NeoPanamax",MA10,KS10="Suezmax",LT10,KS10="Capesize",LM10,KS10="VLOC",LF10)*$JI10}</v>
      </c>
      <c r="QU25" s="97" t="str">
        <f t="shared" ca="1" si="330"/>
        <v>=_xlfn.IFS(KS10="Handysize",Main!MW10,KS10="Supramax",MP10,KS10="Panamax",MI10,KS10="NeoPanamax",MB10,KS10="Suezmax",LU10,KS10="Capesize",LN10,KS10="VLOC",LG10)*$JI10}</v>
      </c>
      <c r="QV25" s="97" t="str">
        <f t="shared" ca="1" si="330"/>
        <v>=_xlfn.IFS(KS10="Handysize",Main!KX10,KS10="Supramax",KY10,KS10="Panamax",KZ10,KS10="NeoPanamax",LA10,KS10="Suezmax",LB10,KS10="Capesize",LC10,KS10="VLOC",LD10)}</v>
      </c>
      <c r="QW25" s="97" t="str">
        <f t="shared" ca="1" si="330"/>
        <v>=_xlfn.IFS(KS10="Handysize",Main!NJ10,KS10="Supramax",NK10,KS10="Panamax",NL10,KS10="NeoPanamax",NM10,KS10="Suezmax",NN10,KS10="Capesize",NO10,KS10="VLOC",NP10)}</v>
      </c>
      <c r="QX25" s="97" t="str">
        <f t="shared" ca="1" si="330"/>
        <v>=INDEX('Ship Speeds'!$G$11:$G$1011,MATCH(2,1/(('Ship Speeds'!$E$11:$E$1011&lt;=Main!$C10)*('Ship Speeds'!$F$11:$F$1011=Main!KR10))))}</v>
      </c>
      <c r="QY25" s="97" t="str">
        <f t="shared" ca="1" si="330"/>
        <v>(($KH10*QX10^2+$KI10*QX10^3+$KG10*QX10)*((KQ10/$KC10)^$KD10)*$KJ10+(KQ10/$KC10)*$KF10+$KE10)</v>
      </c>
      <c r="QZ25" s="97" t="str">
        <f t="shared" ca="1" si="330"/>
        <v>(KQ10/$JY10)*$JZ10+$KA10+$KB10*(KQ10/$JY10)^2</v>
      </c>
      <c r="RA25" s="97" t="str">
        <f t="shared" ca="1" si="330"/>
        <v>QT10/QX10/$JH10</v>
      </c>
      <c r="RB25" s="97" t="str">
        <f t="shared" ca="1" si="330"/>
        <v>QU10/QX10/$JH10</v>
      </c>
      <c r="RC25" s="97" t="str">
        <f t="shared" ca="1" si="330"/>
        <v>IF($AO10="no",$AN10,$AR10)/(1-$AL10)/QV10</v>
      </c>
      <c r="RD25" s="97" t="str">
        <f t="shared" ca="1" si="330"/>
        <v>IF($AO10="no",$AN10,$AR10)/(1-$AL10)/QW10</v>
      </c>
      <c r="RE25" s="97" t="str">
        <f t="shared" ca="1" si="330"/>
        <v>PW10*$JI10</v>
      </c>
      <c r="RF25" s="97" t="str">
        <f t="shared" ca="1" si="330"/>
        <v>MAX(SUM(RA10:RE10)*$JV10,$JU10)</v>
      </c>
      <c r="RG25" s="97" t="str">
        <f t="shared" ca="1" si="330"/>
        <v>=INDEX(ND10:NH10,MATCH(_xlfn.IFS(KS10="Handysize",Main!MZ10,KS10="Supramax",MS10,KS10="Panamax",ML10,KS10="NeoPanamax",ME10,KS10="Suezmax",LX10,KS10="Capesize",LQ10,KS10="VLOC",LJ10),$ND$7:$NH$7,0))}</v>
      </c>
      <c r="RH25" s="97" t="str">
        <f t="shared" ca="1" si="330"/>
        <v>=INDEX(ND10:NH10,MATCH(_xlfn.IFS(KS10="Handysize",Main!NA10,KS10="Supramax",MT10,KS10="Panamax",MM10,KS10="NeoPanamax",MF10,KS10="Suezmax",LY10,KS10="Capesize",LR10,KS10="VLOC",LK10),$ND$7:$NH$7,0))}</v>
      </c>
      <c r="RI25" s="97" t="str">
        <f t="shared" ca="1" si="330"/>
        <v>RA10*QY10*RG10</v>
      </c>
      <c r="RJ25" s="97" t="str">
        <f t="shared" ca="1" si="330"/>
        <v>SUM(RC10:RF10)*QZ10*RH10+RB10*QY10*RH10</v>
      </c>
      <c r="RK25" s="97" t="str">
        <f t="shared" ca="1" si="330"/>
        <v>INDEX($JA10:$JD10,MATCH(NQ10,$JA$7:$JD$7,0))</v>
      </c>
      <c r="RL25" s="97" t="str">
        <f t="shared" ca="1" si="330"/>
        <v>NR10/RK10</v>
      </c>
      <c r="RM25" s="97" t="str">
        <f t="shared" ref="RM25:TX25" ca="1" si="331">RIGHT(_xlfn.FORMULATEXT(RM10),LEN(_xlfn.FORMULATEXT(RM10))-1)</f>
        <v>NS10*SUM(RD10,$JX10)/RK10</v>
      </c>
      <c r="RN25" s="97" t="str">
        <f t="shared" ca="1" si="331"/>
        <v>NT10*(RF10*(1-$JW10))/RK10</v>
      </c>
      <c r="RO25" s="97" t="str">
        <f t="shared" ca="1" si="331"/>
        <v>NU10*(KQ10*$JN10)/RK10</v>
      </c>
      <c r="RP25" s="97" t="str">
        <f t="shared" ca="1" si="331"/>
        <v>NV10*(KQ10*$JN10)*SUM(RD10,$JX10)/RK10</v>
      </c>
      <c r="RQ25" s="97" t="str">
        <f t="shared" ca="1" si="331"/>
        <v>NW10*(KQ10*$JN10)*(RF10*(1-$JW10))/RK10</v>
      </c>
      <c r="RR25" s="97" t="str">
        <f t="shared" ca="1" si="331"/>
        <v>NX10*KU10/RK10</v>
      </c>
      <c r="RS25" s="97" t="str">
        <f t="shared" ca="1" si="331"/>
        <v>NY10*KU10*SUM(RD10,$JX10)/RK10</v>
      </c>
      <c r="RT25" s="97" t="str">
        <f t="shared" ca="1" si="331"/>
        <v>NZ10*KU10*(RF10*(1-$JW10))/RK10</v>
      </c>
      <c r="RU25" s="97" t="str">
        <f t="shared" ca="1" si="331"/>
        <v>OA10*KV10/RK10</v>
      </c>
      <c r="RV25" s="97" t="str">
        <f t="shared" ca="1" si="331"/>
        <v>OB10*KV10*SUM(RD10,$JX10)/RK10</v>
      </c>
      <c r="RW25" s="97" t="str">
        <f t="shared" ca="1" si="331"/>
        <v>OC10*KV10*(RF10*(1-$JW10))/RK10</v>
      </c>
      <c r="RX25" s="97" t="str">
        <f t="shared" ca="1" si="331"/>
        <v>OD10*KT10/RK10</v>
      </c>
      <c r="RY25" s="97" t="str">
        <f t="shared" ca="1" si="331"/>
        <v>OE10*KT10*SUM(RD10,$JX10)/RK10</v>
      </c>
      <c r="RZ25" s="97" t="str">
        <f t="shared" ca="1" si="331"/>
        <v>OF10*KT10*(RF10*(1-$JW10))/RK10</v>
      </c>
      <c r="SA25" s="97" t="str">
        <f t="shared" ca="1" si="331"/>
        <v>=INDEX('Ship Time Charter Rates'!$H$22:$H$1021,MATCH(2,1/(('Ship Time Charter Rates'!$G$22:$G$1021=_xlfn.IFS(KS10="Handysize",Main!MX10,KS10="Supramax",MQ10,KS10="Panamax",MJ10,KS10="NeoPanamax",MC10,KS10="Suezmax",LV10,KS10="Capesize",LO10,KS10="VLOC",LH10))*('Ship Time Charter Rates'!$E$22:$E$1021&lt;=Main!$C10)*(NOT(ISBLANK('Ship Time Charter Rates'!$H$22:$H$1021))))))}</v>
      </c>
      <c r="SB25" s="97" t="str">
        <f t="shared" ca="1" si="331"/>
        <v>SUM(RA10:RF10,$JI10*$JX10)*SA10</v>
      </c>
      <c r="SC25" s="97" t="str">
        <f t="shared" ca="1" si="331"/>
        <v>SUMPRODUCT(OT10:PB10,PZ10:QH10)+SUMPRODUCT(PM10:PU10,QJ10:QR10)</v>
      </c>
      <c r="SD25" s="97" t="str">
        <f t="shared" ca="1" si="331"/>
        <v>SUM(RI10,RJ10)+SB10+SC10+SUM(RL10:RZ10)</v>
      </c>
      <c r="SE25" s="97" t="str">
        <f t="shared" ca="1" si="331"/>
        <v>SD10*(1+$KL10)*(1+$KM10)</v>
      </c>
      <c r="SF25" s="97" t="str">
        <f t="shared" ca="1" si="331"/>
        <v>IF(SE10=0,0,SE10/(KQ10*(1-$AL10)*$JN10))</v>
      </c>
      <c r="SG25" s="97" t="e">
        <f t="shared" ca="1" si="331"/>
        <v>#N/A</v>
      </c>
      <c r="SH25" s="97" t="str">
        <f t="shared" ca="1" si="331"/>
        <v>IF($AO10="yes",$AN10,$AR10)/(1-$AL10)/$JN10</v>
      </c>
      <c r="SI25" s="97" t="str">
        <f t="shared" ca="1" si="331"/>
        <v>VLOOKUP(SH10,'Ship Time Charter Rates'!$F$10:$G$17,2,TRUE)</v>
      </c>
      <c r="SJ25" s="97" t="str">
        <f t="shared" ca="1" si="331"/>
        <v>VLOOKUP(SH10,Canals!$E$5:$F$12,2,TRUE)</v>
      </c>
      <c r="SK25" s="97" t="str">
        <f t="shared" ca="1" si="331"/>
        <v>(SH10*$JO10 + $JP10)</v>
      </c>
      <c r="SL25" s="97" t="str">
        <f t="shared" ca="1" si="331"/>
        <v>(SH10*$JQ10+$JR10)</v>
      </c>
      <c r="SM25" s="97" t="str">
        <f t="shared" ca="1" si="331"/>
        <v>(SH10*$JS10+$JT10)</v>
      </c>
      <c r="SN25" s="97" t="e">
        <f t="shared" ca="1" si="331"/>
        <v>#N/A</v>
      </c>
      <c r="SO25" s="97" t="str">
        <f t="shared" ca="1" si="331"/>
        <v>=INDEX('Indices Mines Exporting Ports'!$R$20:$R$51,MATCH(2,1/(('Indices Mines Exporting Ports'!$D$20:$D$51&lt;=Main!$C10)*('Indices Mines Exporting Ports'!$Q$20:$Q$51=$AQ10))))}</v>
      </c>
      <c r="SP25" s="97" t="str">
        <f t="shared" ca="1" si="331"/>
        <v>=INDEX('Indices Mines Exporting Ports'!$S$20:$S$51,MATCH(2,1/(('Indices Mines Exporting Ports'!$D$20:$D$51&lt;=Main!$C10)*('Indices Mines Exporting Ports'!$Q$20:$Q$51=$AQ10))))}</v>
      </c>
      <c r="SQ25" s="97" t="str">
        <f t="shared" ca="1" si="331"/>
        <v>=INDEX('Indices Mines Exporting Ports'!$T$20:$T$51,MATCH(2,1/(('Indices Mines Exporting Ports'!$D$20:$D$51&lt;=Main!$C10)*('Indices Mines Exporting Ports'!$Q$20:$Q$51=$AQ10))))}</v>
      </c>
      <c r="SR25" s="97" t="str">
        <f t="shared" ca="1" si="331"/>
        <v>=INDEX('Indices Mines Exporting Ports'!$U$20:$U$51,MATCH(2,1/(('Indices Mines Exporting Ports'!$D$20:$D$51&lt;=Main!$C10)*('Indices Mines Exporting Ports'!$Q$20:$Q$51=$AQ10))))}</v>
      </c>
      <c r="SS25" s="97" t="str">
        <f t="shared" ca="1" si="331"/>
        <v>=INDEX('Indices Mines Exporting Ports'!$V$20:$V$51,MATCH(2,1/(('Indices Mines Exporting Ports'!$D$20:$D$51&lt;=Main!$C10)*('Indices Mines Exporting Ports'!$Q$20:$Q$51=$AQ10))))}</v>
      </c>
      <c r="ST25" s="97" t="str">
        <f t="shared" ca="1" si="331"/>
        <v>=INDEX('Indices Mines Exporting Ports'!$W$20:$W$51,MATCH(2,1/(('Indices Mines Exporting Ports'!$D$20:$D$51&lt;=Main!$C10)*('Indices Mines Exporting Ports'!$Q$20:$Q$51=$AQ10))))}</v>
      </c>
      <c r="SU25" s="97" t="str">
        <f t="shared" ca="1" si="331"/>
        <v>=INDEX('Indices Mines Exporting Ports'!$X$20:$X$51,MATCH(2,1/(('Indices Mines Exporting Ports'!$D$20:$D$51&lt;=Main!$C10)*('Indices Mines Exporting Ports'!$Q$20:$Q$51=$AQ10))))}</v>
      </c>
      <c r="SV25" s="97" t="e">
        <f t="shared" ca="1" si="331"/>
        <v>#N/A</v>
      </c>
      <c r="SW25" s="97" t="str">
        <f t="shared" ca="1" si="331"/>
        <v>=INDEX('Port Linkages'!$E$18:$E$157,MATCH(2,1/(('Port Linkages'!$C$18:$C$157=$AQ10)*('Port Linkages'!$D$18:$D$157=IF($AO10="no",$AQ10,$AS10))*('Port Linkages'!$A$18:$A$157&lt;=$C10))))}</v>
      </c>
      <c r="SX25" s="97" t="str">
        <f t="shared" ca="1" si="331"/>
        <v>=INDEX('Port Linkages'!$F$18:$F$157,MATCH(2,1/(('Port Linkages'!$C$18:$C$157=$AQ10)*('Port Linkages'!$D$18:$D$157=IF($AO10="no",$AQ10,$AS10))*('Port Linkages'!$A$18:$A$157&lt;=$C10))))}</v>
      </c>
      <c r="SY25" s="97" t="str">
        <f t="shared" ca="1" si="331"/>
        <v>=INDEX('Port Linkages'!$G$18:$G$157,MATCH(2,1/(('Port Linkages'!$C$18:$C$157=$AQ10)*('Port Linkages'!$D$18:$D$157=IF($AO10="no",$AQ10,$AS10))*('Port Linkages'!$A$18:$A$157&lt;=$C10))))}</v>
      </c>
      <c r="SZ25" s="97" t="str">
        <f t="shared" ca="1" si="331"/>
        <v>=INDEX('Port Linkages'!$H$18:$H$157,MATCH(2,1/(('Port Linkages'!$C$18:$C$157=$AQ10)*('Port Linkages'!$D$18:$D$157=IF($AO10="no",$AQ10,$AS10))*('Port Linkages'!$A$18:$A$157&lt;=$C10))))}</v>
      </c>
      <c r="TA25" s="97" t="str">
        <f t="shared" ca="1" si="331"/>
        <v>=INDEX('Port Linkages'!$I$18:$I$157,MATCH(2,1/(('Port Linkages'!$C$18:$C$157=$AQ10)*('Port Linkages'!$D$18:$D$157=IF($AO10="no",$AQ10,$AS10))*('Port Linkages'!$A$18:$A$157&lt;=$C10))))}</v>
      </c>
      <c r="TB25" s="97" t="str">
        <f t="shared" ca="1" si="331"/>
        <v>=INDEX('Port Linkages'!$J$18:$J$157,MATCH(2,1/(('Port Linkages'!$C$18:$C$157=$AQ10)*('Port Linkages'!$D$18:$D$157=IF($AO10="no",$AQ10,$AS10))*('Port Linkages'!$A$18:$A$157&lt;=$C10))))}</v>
      </c>
      <c r="TC25" s="97" t="str">
        <f t="shared" ca="1" si="331"/>
        <v>=INDEX('Port Linkages'!$K$18:$K$157,MATCH(2,1/(('Port Linkages'!$C$18:$C$157=$AQ10)*('Port Linkages'!$D$18:$D$157=IF($AO10="no",$AQ10,$AS10))*('Port Linkages'!$A$18:$A$157&lt;=$C10))))}</v>
      </c>
      <c r="TD25" s="97" t="str">
        <f t="shared" ca="1" si="331"/>
        <v>=INDEX('Port Linkages'!$L$18:$L$157,MATCH(2,1/(('Port Linkages'!$C$18:$C$157=$AQ10)*('Port Linkages'!$D$18:$D$157=IF($AO10="no",$AQ10,$AS10))*('Port Linkages'!$A$18:$A$157&lt;=$C10))))}</v>
      </c>
      <c r="TE25" s="97" t="str">
        <f t="shared" ca="1" si="331"/>
        <v>=INDEX('Port Linkages'!$M$18:$M$157,MATCH(2,1/(('Port Linkages'!$C$18:$C$157=$AQ10)*('Port Linkages'!$D$18:$D$157=IF($AO10="no",$AQ10,$AS10))*('Port Linkages'!$A$18:$A$157&lt;=$C10))))}</v>
      </c>
      <c r="TF25" s="97" t="str">
        <f t="shared" ca="1" si="331"/>
        <v>=INDEX('Port Linkages'!$N$18:$N$157,MATCH(2,1/(('Port Linkages'!$C$18:$C$157=$AQ10)*('Port Linkages'!$D$18:$D$157=IF($AO10="no",$AQ10,$AS10))*('Port Linkages'!$A$18:$A$157&lt;=$C10))))}</v>
      </c>
      <c r="TG25" s="97" t="str">
        <f t="shared" ca="1" si="331"/>
        <v>=INDEX('Port Linkages'!$O$18:$O$157,MATCH(2,1/(('Port Linkages'!$C$18:$C$157=$AQ10)*('Port Linkages'!$D$18:$D$157=IF($AO10="no",$AQ10,$AS10))*('Port Linkages'!$A$18:$A$157&lt;=$C10))))}</v>
      </c>
      <c r="TH25" s="97" t="str">
        <f t="shared" ca="1" si="331"/>
        <v>=INDEX('Port Linkages'!$P$18:$P$157,MATCH(2,1/(('Port Linkages'!$C$18:$C$157=$AQ10)*('Port Linkages'!$D$18:$D$157=IF($AO10="no",$AQ10,$AS10))*('Port Linkages'!$A$18:$A$157&lt;=$C10))))}</v>
      </c>
      <c r="TI25" s="97" t="str">
        <f t="shared" ca="1" si="331"/>
        <v>=INDEX('Port Linkages'!$Q$18:$Q$157,MATCH(2,1/(('Port Linkages'!$C$18:$C$157=$AQ10)*('Port Linkages'!$D$18:$D$157=IF($AO10="no",$AQ10,$AS10))*('Port Linkages'!$A$18:$A$157&lt;=$C10))))}</v>
      </c>
      <c r="TJ25" s="97" t="str">
        <f t="shared" ca="1" si="331"/>
        <v>=INDEX('Port Linkages'!$R$18:$R$157,MATCH(2,1/(('Port Linkages'!$C$18:$C$157=$AQ10)*('Port Linkages'!$D$18:$D$157=IF($AO10="no",$AQ10,$AS10))*('Port Linkages'!$A$18:$A$157&lt;=$C10))))}</v>
      </c>
      <c r="TK25" s="97" t="str">
        <f t="shared" ca="1" si="331"/>
        <v>=INDEX('Port Linkages'!$S$18:$S$157,MATCH(2,1/(('Port Linkages'!$C$18:$C$157=$AQ10)*('Port Linkages'!$D$18:$D$157=IF($AO10="no",$AQ10,$AS10))*('Port Linkages'!$A$18:$A$157&lt;=$C10))))}</v>
      </c>
      <c r="TL25" s="97" t="str">
        <f t="shared" ca="1" si="331"/>
        <v>=INDEX('Port Linkages'!$T$18:$T$157,MATCH(2,1/(('Port Linkages'!$C$18:$C$157=$AQ10)*('Port Linkages'!$D$18:$D$157=IF($AO10="no",$AQ10,$AS10))*('Port Linkages'!$A$18:$A$157&lt;=$C10))))}</v>
      </c>
      <c r="TM25" s="97" t="str">
        <f t="shared" ca="1" si="331"/>
        <v>=INDEX('Port Linkages'!$U$18:$U$157,MATCH(2,1/(('Port Linkages'!$C$18:$C$157=$AQ10)*('Port Linkages'!$D$18:$D$157=IF($AO10="no",$AQ10,$AS10))*('Port Linkages'!$A$18:$A$157&lt;=$C10))))}</v>
      </c>
      <c r="TN25" s="97" t="str">
        <f t="shared" ca="1" si="331"/>
        <v>=INDEX('Port Linkages'!$V$18:$V$157,MATCH(2,1/(('Port Linkages'!$C$18:$C$157=$AQ10)*('Port Linkages'!$D$18:$D$157=IF($AO10="no",$AQ10,$AS10))*('Port Linkages'!$A$18:$A$157&lt;=$C10))))}</v>
      </c>
      <c r="TO25" s="97" t="str">
        <f t="shared" ca="1" si="331"/>
        <v>=INDEX('Port Linkages'!$W$18:$W$157,MATCH(2,1/(('Port Linkages'!$C$18:$C$157=$AQ10)*('Port Linkages'!$D$18:$D$157=IF($AO10="no",$AQ10,$AS10))*('Port Linkages'!$A$18:$A$157&lt;=$C10))))}</v>
      </c>
      <c r="TP25" s="97" t="str">
        <f t="shared" ca="1" si="331"/>
        <v>=INDEX('Port Linkages'!$X$18:$X$157,MATCH(2,1/(('Port Linkages'!$C$18:$C$157=$AQ10)*('Port Linkages'!$D$18:$D$157=IF($AO10="no",$AQ10,$AS10))*('Port Linkages'!$A$18:$A$157&lt;=$C10))))}</v>
      </c>
      <c r="TQ25" s="97" t="str">
        <f t="shared" ca="1" si="331"/>
        <v>=INDEX('Port Linkages'!$Y$18:$Y$157,MATCH(2,1/(('Port Linkages'!$C$18:$C$157=$AQ10)*('Port Linkages'!$D$18:$D$157=IF($AO10="no",$AQ10,$AS10))*('Port Linkages'!$A$18:$A$157&lt;=$C10))))}</v>
      </c>
      <c r="TR25" s="97" t="str">
        <f t="shared" ca="1" si="331"/>
        <v>=INDEX('Port Linkages'!$Z$18:$Z$157,MATCH(2,1/(('Port Linkages'!$C$18:$C$157=$AQ10)*('Port Linkages'!$D$18:$D$157=IF($AO10="no",$AQ10,$AS10))*('Port Linkages'!$A$18:$A$157&lt;=$C10))))}</v>
      </c>
      <c r="TS25" s="97" t="str">
        <f t="shared" ca="1" si="331"/>
        <v>=INDEX('Port Linkages'!$AA$18:$AA$157,MATCH(2,1/(('Port Linkages'!$C$18:$C$157=$AQ10)*('Port Linkages'!$D$18:$D$157=IF($AO10="no",$AQ10,$AS10))*('Port Linkages'!$A$18:$A$157&lt;=$C10))))}</v>
      </c>
      <c r="TT25" s="97" t="str">
        <f t="shared" ca="1" si="331"/>
        <v>=INDEX('Port Linkages'!$AB$18:$AB$157,MATCH(2,1/(('Port Linkages'!$C$18:$C$157=$AQ10)*('Port Linkages'!$D$18:$D$157=IF($AO10="no",$AQ10,$AS10))*('Port Linkages'!$A$18:$A$157&lt;=$C10))))}</v>
      </c>
      <c r="TU25" s="97" t="str">
        <f t="shared" ca="1" si="331"/>
        <v>=INDEX('Port Linkages'!$AC$18:$AC$157,MATCH(2,1/(('Port Linkages'!$C$18:$C$157=$AQ10)*('Port Linkages'!$D$18:$D$157=IF($AO10="no",$AQ10,$AS10))*('Port Linkages'!$A$18:$A$157&lt;=$C10))))}</v>
      </c>
      <c r="TV25" s="97" t="str">
        <f t="shared" ca="1" si="331"/>
        <v>=INDEX('Port Linkages'!$AD$18:$AD$157,MATCH(2,1/(('Port Linkages'!$C$18:$C$157=$AQ10)*('Port Linkages'!$D$18:$D$157=IF($AO10="no",$AQ10,$AS10))*('Port Linkages'!$A$18:$A$157&lt;=$C10))))}</v>
      </c>
      <c r="TW25" s="97" t="str">
        <f t="shared" ca="1" si="331"/>
        <v>=INDEX('Port Linkages'!$AE$18:$AE$157,MATCH(2,1/(('Port Linkages'!$C$18:$C$157=$AQ10)*('Port Linkages'!$D$18:$D$157=IF($AO10="no",$AQ10,$AS10))*('Port Linkages'!$A$18:$A$157&lt;=$C10))))}</v>
      </c>
      <c r="TX25" s="97" t="str">
        <f t="shared" ca="1" si="331"/>
        <v>=INDEX('Port Linkages'!$AF$18:$AF$157,MATCH(2,1/(('Port Linkages'!$C$18:$C$157=$AQ10)*('Port Linkages'!$D$18:$D$157=IF($AO10="no",$AQ10,$AS10))*('Port Linkages'!$A$18:$A$157&lt;=$C10))))}</v>
      </c>
      <c r="TY25" s="97" t="str">
        <f t="shared" ref="TY25:WJ25" ca="1" si="332">RIGHT(_xlfn.FORMULATEXT(TY10),LEN(_xlfn.FORMULATEXT(TY10))-1)</f>
        <v>=INDEX('Port Linkages'!$AG$18:$AG$157,MATCH(2,1/(('Port Linkages'!$C$18:$C$157=$AQ10)*('Port Linkages'!$D$18:$D$157=IF($AO10="no",$AQ10,$AS10))*('Port Linkages'!$A$18:$A$157&lt;=$C10))))}</v>
      </c>
      <c r="TZ25" s="97" t="str">
        <f t="shared" ca="1" si="332"/>
        <v>=INDEX('Port Linkages'!$AH$18:$AH$157,MATCH(2,1/(('Port Linkages'!$C$18:$C$157=$AQ10)*('Port Linkages'!$D$18:$D$157=IF($AO10="no",$AQ10,$AS10))*('Port Linkages'!$A$18:$A$157&lt;=$C10))))}</v>
      </c>
      <c r="UA25" s="97" t="str">
        <f t="shared" ca="1" si="332"/>
        <v>=INDEX('Port Linkages'!$AI$18:$AI$157,MATCH(2,1/(('Port Linkages'!$C$18:$C$157=$AQ10)*('Port Linkages'!$D$18:$D$157=IF($AO10="no",$AQ10,$AS10))*('Port Linkages'!$A$18:$A$157&lt;=$C10))))}</v>
      </c>
      <c r="UB25" s="97" t="str">
        <f t="shared" ca="1" si="332"/>
        <v>=INDEX('Port Linkages'!$AJ$18:$AJ$157,MATCH(2,1/(('Port Linkages'!$C$18:$C$157=$AQ10)*('Port Linkages'!$D$18:$D$157=IF($AO10="no",$AQ10,$AS10))*('Port Linkages'!$A$18:$A$157&lt;=$C10))))}</v>
      </c>
      <c r="UC25" s="97" t="str">
        <f t="shared" ca="1" si="332"/>
        <v>=INDEX('Port Linkages'!$AK$18:$AK$157,MATCH(2,1/(('Port Linkages'!$C$18:$C$157=$AQ10)*('Port Linkages'!$D$18:$D$157=IF($AO10="no",$AQ10,$AS10))*('Port Linkages'!$A$18:$A$157&lt;=$C10))))}</v>
      </c>
      <c r="UD25" s="97" t="str">
        <f t="shared" ca="1" si="332"/>
        <v>=INDEX('Port Linkages'!$AL$18:$AL$157,MATCH(2,1/(('Port Linkages'!$C$18:$C$157=$AQ10)*('Port Linkages'!$D$18:$D$157=IF($AO10="no",$AQ10,$AS10))*('Port Linkages'!$A$18:$A$157&lt;=$C10))))}</v>
      </c>
      <c r="UE25" s="97" t="str">
        <f t="shared" ca="1" si="332"/>
        <v>=INDEX('Port Linkages'!$AM$18:$AM$157,MATCH(2,1/(('Port Linkages'!$C$18:$C$157=$AQ10)*('Port Linkages'!$D$18:$D$157=IF($AO10="no",$AQ10,$AS10))*('Port Linkages'!$A$18:$A$157&lt;=$C10))))}</v>
      </c>
      <c r="UF25" s="97" t="str">
        <f t="shared" ca="1" si="332"/>
        <v>=INDEX('Port Linkages'!$AN$18:$AN$157,MATCH(2,1/(('Port Linkages'!$C$18:$C$157=$AQ10)*('Port Linkages'!$D$18:$D$157=IF($AO10="no",$AQ10,$AS10))*('Port Linkages'!$A$18:$A$157&lt;=$C10))))}</v>
      </c>
      <c r="UG25" s="97" t="str">
        <f t="shared" ca="1" si="332"/>
        <v>=INDEX('Port Linkages'!$AO$18:$AO$157,MATCH(2,1/(('Port Linkages'!$C$18:$C$157=$AQ10)*('Port Linkages'!$D$18:$D$157=IF($AO10="no",$AQ10,$AS10))*('Port Linkages'!$A$18:$A$157&lt;=$C10))))}</v>
      </c>
      <c r="UH25" s="97" t="str">
        <f t="shared" ca="1" si="332"/>
        <v>=INDEX('Port Linkages'!$AP$18:$AP$157,MATCH(2,1/(('Port Linkages'!$C$18:$C$157=$AQ10)*('Port Linkages'!$D$18:$D$157=IF($AO10="no",$AQ10,$AS10))*('Port Linkages'!$A$18:$A$157&lt;=$C10))))}</v>
      </c>
      <c r="UI25" s="97" t="str">
        <f t="shared" ca="1" si="332"/>
        <v>=INDEX('Port Linkages'!$AQ$18:$AQ$157,MATCH(2,1/(('Port Linkages'!$C$18:$C$157=$AQ10)*('Port Linkages'!$D$18:$D$157=IF($AO10="no",$AQ10,$AS10))*('Port Linkages'!$A$18:$A$157&lt;=$C10))))}</v>
      </c>
      <c r="UJ25" s="97" t="str">
        <f t="shared" ca="1" si="332"/>
        <v>=INDEX('Port Linkages'!$AR$18:$AR$157,MATCH(2,1/(('Port Linkages'!$C$18:$C$157=$AQ10)*('Port Linkages'!$D$18:$D$157=IF($AO10="no",$AQ10,$AS10))*('Port Linkages'!$A$18:$A$157&lt;=$C10))))}</v>
      </c>
      <c r="UK25" s="97" t="str">
        <f t="shared" ca="1" si="332"/>
        <v>=INDEX('Port Linkages'!$AS$18:$AS$157,MATCH(2,1/(('Port Linkages'!$C$18:$C$157=$AQ10)*('Port Linkages'!$D$18:$D$157=IF($AO10="no",$AQ10,$AS10))*('Port Linkages'!$A$18:$A$157&lt;=$C10))))}</v>
      </c>
      <c r="UL25" s="97" t="str">
        <f t="shared" ca="1" si="332"/>
        <v>=INDEX('Port Linkages'!$AT$18:$AT$157,MATCH(2,1/(('Port Linkages'!$C$18:$C$157=$AQ10)*('Port Linkages'!$D$18:$D$157=IF($AO10="no",$AQ10,$AS10))*('Port Linkages'!$A$18:$A$157&lt;=$C10))))}</v>
      </c>
      <c r="UM25" s="97" t="str">
        <f t="shared" ca="1" si="332"/>
        <v>=INDEX('Port Linkages'!$AU$18:$AU$157,MATCH(2,1/(('Port Linkages'!$C$18:$C$157=$AQ10)*('Port Linkages'!$D$18:$D$157=IF($AO10="no",$AQ10,$AS10))*('Port Linkages'!$A$18:$A$157&lt;=$C10))))}</v>
      </c>
      <c r="UN25" s="97" t="str">
        <f t="shared" ca="1" si="332"/>
        <v>=INDEX('Port Linkages'!$AV$18:$AV$157,MATCH(2,1/(('Port Linkages'!$C$18:$C$157=$AQ10)*('Port Linkages'!$D$18:$D$157=IF($AO10="no",$AQ10,$AS10))*('Port Linkages'!$A$18:$A$157&lt;=$C10))))}</v>
      </c>
      <c r="UO25" s="97" t="str">
        <f t="shared" ca="1" si="332"/>
        <v>=INDEX('Port Linkages'!$AW$18:$AW$157,MATCH(2,1/(('Port Linkages'!$C$18:$C$157=$AQ10)*('Port Linkages'!$D$18:$D$157=IF($AO10="no",$AQ10,$AS10))*('Port Linkages'!$A$18:$A$157&lt;=$C10))))}</v>
      </c>
      <c r="UP25" s="97" t="str">
        <f t="shared" ca="1" si="332"/>
        <v>=INDEX('Port Linkages'!$AX$18:$AX$157,MATCH(2,1/(('Port Linkages'!$C$18:$C$157=$AQ10)*('Port Linkages'!$D$18:$D$157=IF($AO10="no",$AQ10,$AS10))*('Port Linkages'!$A$18:$A$157&lt;=$C10))))}</v>
      </c>
      <c r="UQ25" s="97" t="str">
        <f t="shared" ca="1" si="332"/>
        <v>=INDEX('Port Linkages'!$AY$18:$AY$157,MATCH(2,1/(('Port Linkages'!$C$18:$C$157=$AQ10)*('Port Linkages'!$D$18:$D$157=IF($AO10="no",$AQ10,$AS10))*('Port Linkages'!$A$18:$A$157&lt;=$C10))))}</v>
      </c>
      <c r="UR25" s="97" t="str">
        <f t="shared" ca="1" si="332"/>
        <v>=INDEX('Port Linkages'!$AZ$18:$AZ$157,MATCH(2,1/(('Port Linkages'!$C$18:$C$157=$AQ10)*('Port Linkages'!$D$18:$D$157=IF($AO10="no",$AQ10,$AS10))*('Port Linkages'!$A$18:$A$157&lt;=$C10))))}</v>
      </c>
      <c r="US25" s="97" t="str">
        <f t="shared" ca="1" si="332"/>
        <v>=INDEX('Port Linkages'!$BA$18:$BA$157,MATCH(2,1/(('Port Linkages'!$C$18:$C$157=$AQ10)*('Port Linkages'!$D$18:$D$157=IF($AO10="no",$AQ10,$AS10))*('Port Linkages'!$A$18:$A$157&lt;=$C10))))}</v>
      </c>
      <c r="UT25" s="97" t="e">
        <f t="shared" ca="1" si="332"/>
        <v>#N/A</v>
      </c>
      <c r="UU25" s="97" t="str">
        <f t="shared" ca="1" si="332"/>
        <v>=INDEX('Ship Fuel Prices'!$F$5:$F$1004,MATCH(2,1/(('Ship Fuel Prices'!$E$5:$E$1004=_xlfn.IFS(SJ10="Handysize",Main!UP10,SJ10="Supramax",UI10,SJ10="Panamax",UB10,SJ10="NeoPanamax",TU10,SJ10="Suezmax",TN10,SJ10="Capesize",TG10,SJ10="VLOC",SZ10))*('Ship Fuel Prices'!$D$5:$D$1004&lt;=Main!$C10))))}</v>
      </c>
      <c r="UV25" s="97" t="str">
        <f t="shared" ca="1" si="332"/>
        <v>=INDEX('Ship Fuel Prices'!$G$5:$G$1004,MATCH(2,1/(('Ship Fuel Prices'!$E$5:$E$1004=_xlfn.IFS(SJ10="Handysize",Main!UP10,SJ10="Supramax",UI10,SJ10="Panamax",UB10,SJ10="NeoPanamax",TU10,SJ10="Suezmax",TN10,SJ10="Capesize",TG10,SJ10="VLOC",SZ10))*('Ship Fuel Prices'!$D$5:$D$1004&lt;=Main!$C10))))}</v>
      </c>
      <c r="UW25" s="97" t="str">
        <f t="shared" ca="1" si="332"/>
        <v>=INDEX('Ship Fuel Prices'!$H$5:$H$1004,MATCH(2,1/(('Ship Fuel Prices'!$E$5:$E$1004=_xlfn.IFS(SJ10="Handysize",Main!UP10,SJ10="Supramax",UI10,SJ10="Panamax",UB10,SJ10="NeoPanamax",TU10,SJ10="Suezmax",TN10,SJ10="Capesize",TG10,SJ10="VLOC",SZ10))*('Ship Fuel Prices'!$D$5:$D$1004&lt;=Main!$C10))))}</v>
      </c>
      <c r="UX25" s="97" t="str">
        <f t="shared" ca="1" si="332"/>
        <v>=INDEX('Ship Fuel Prices'!$I$5:$I$1004,MATCH(2,1/(('Ship Fuel Prices'!$E$5:$E$1004=_xlfn.IFS(SJ10="Handysize",Main!UP10,SJ10="Supramax",UI10,SJ10="Panamax",UB10,SJ10="NeoPanamax",TU10,SJ10="Suezmax",TN10,SJ10="Capesize",TG10,SJ10="VLOC",SZ10))*('Ship Fuel Prices'!$D$5:$D$1004&lt;=Main!$C10))))}</v>
      </c>
      <c r="UY25" s="97" t="str">
        <f t="shared" ca="1" si="332"/>
        <v>=INDEX('Ship Fuel Prices'!$J$5:$J$1004,MATCH(2,1/(('Ship Fuel Prices'!$E$5:$E$1004=_xlfn.IFS(SJ10="Handysize",Main!UP10,SJ10="Supramax",UI10,SJ10="Panamax",UB10,SJ10="NeoPanamax",TU10,SJ10="Suezmax",TN10,SJ10="Capesize",TG10,SJ10="VLOC",SZ10))*('Ship Fuel Prices'!$D$5:$D$1004&lt;=Main!$C10))))}</v>
      </c>
      <c r="UZ25" s="97" t="e">
        <f t="shared" ca="1" si="332"/>
        <v>#N/A</v>
      </c>
      <c r="VA25" s="97" t="str">
        <f t="shared" ca="1" si="332"/>
        <v>=INDEX('China n Importing Ports'!$E$20:$E$41,MATCH(2,1/(('China n Importing Ports'!$D$20:$D$41&lt;=$C10)*('China n Importing Ports'!$C$20:$C$41=IF($AO10="No",$AQ10,$AS10)))))}</v>
      </c>
      <c r="VB25" s="97" t="str">
        <f t="shared" ca="1" si="332"/>
        <v>=INDEX('China n Importing Ports'!$F$20:$F$41,MATCH(2,1/(('China n Importing Ports'!$D$20:$D$41&lt;=$C10)*('China n Importing Ports'!$C$20:$C$41=IF($AO10="No",$AQ10,$AS10)))))}</v>
      </c>
      <c r="VC25" s="97" t="str">
        <f t="shared" ca="1" si="332"/>
        <v>=INDEX('China n Importing Ports'!$G$20:$G$41,MATCH(2,1/(('China n Importing Ports'!$D$20:$D$41&lt;=$C10)*('China n Importing Ports'!$C$20:$C$41=IF($AO10="No",$AQ10,$AS10)))))}</v>
      </c>
      <c r="VD25" s="97" t="str">
        <f t="shared" ca="1" si="332"/>
        <v>=INDEX('China n Importing Ports'!$H$20:$H$41,MATCH(2,1/(('China n Importing Ports'!$D$20:$D$41&lt;=$C10)*('China n Importing Ports'!$C$20:$C$41=IF($AO10="No",$AQ10,$AS10)))))}</v>
      </c>
      <c r="VE25" s="97" t="str">
        <f t="shared" ca="1" si="332"/>
        <v>=INDEX('China n Importing Ports'!$I$20:$I$41,MATCH(2,1/(('China n Importing Ports'!$D$20:$D$41&lt;=$C10)*('China n Importing Ports'!$C$20:$C$41=IF($AO10="No",$AQ10,$AS10)))))}</v>
      </c>
      <c r="VF25" s="97" t="str">
        <f t="shared" ca="1" si="332"/>
        <v>=INDEX('China n Importing Ports'!$J$20:$J$41,MATCH(2,1/(('China n Importing Ports'!$D$20:$D$41&lt;=$C10)*('China n Importing Ports'!$C$20:$C$41=IF($AO10="No",$AQ10,$AS10)))))}</v>
      </c>
      <c r="VG25" s="97" t="str">
        <f t="shared" ca="1" si="332"/>
        <v>=INDEX('China n Importing Ports'!$K$20:$K$41,MATCH(2,1/(('China n Importing Ports'!$D$20:$D$41&lt;=$C10)*('China n Importing Ports'!$C$20:$C$41=IF($AO10="No",$AQ10,$AS10)))))}</v>
      </c>
      <c r="VH25" s="97" t="str">
        <f t="shared" ca="1" si="332"/>
        <v>=INDEX('China n Importing Ports'!$L$20:$L$41,MATCH(2,1/(('China n Importing Ports'!$D$20:$D$41&lt;=$C10)*('China n Importing Ports'!$C$20:$C$41=IF($AO10="No",$AQ10,$AS10)))))}</v>
      </c>
      <c r="VI25" s="97" t="str">
        <f t="shared" ca="1" si="332"/>
        <v>=INDEX('China n Importing Ports'!$M$20:$M$41,MATCH(2,1/(('China n Importing Ports'!$D$20:$D$41&lt;=$C10)*('China n Importing Ports'!$C$20:$C$41=IF($AO10="No",$AQ10,$AS10)))))}</v>
      </c>
      <c r="VJ25" s="97" t="str">
        <f t="shared" ca="1" si="332"/>
        <v>=INDEX('China n Importing Ports'!$N$20:$N$41,MATCH(2,1/(('China n Importing Ports'!$D$20:$D$41&lt;=$C10)*('China n Importing Ports'!$C$20:$C$41=IF($AO10="No",$AQ10,$AS10)))))}</v>
      </c>
      <c r="VK25" s="97" t="str">
        <f t="shared" ca="1" si="332"/>
        <v>=INDEX('China n Importing Ports'!$O$20:$O$41,MATCH(2,1/(('China n Importing Ports'!$D$20:$D$41&lt;=$C10)*('China n Importing Ports'!$C$20:$C$41=IF($AO10="No",$AQ10,$AS10)))))}</v>
      </c>
      <c r="VL25" s="97" t="str">
        <f t="shared" ca="1" si="332"/>
        <v>=INDEX('China n Importing Ports'!$P$20:$P$41,MATCH(2,1/(('China n Importing Ports'!$D$20:$D$41&lt;=$C10)*('China n Importing Ports'!$C$20:$C$41=IF($AO10="No",$AQ10,$AS10)))))}</v>
      </c>
      <c r="VM25" s="97" t="str">
        <f t="shared" ca="1" si="332"/>
        <v>=INDEX('China n Importing Ports'!$Q$20:$Q$41,MATCH(2,1/(('China n Importing Ports'!$D$20:$D$41&lt;=$C10)*('China n Importing Ports'!$C$20:$C$41=IF($AO10="No",$AQ10,$AS10)))))}</v>
      </c>
      <c r="VN25" s="97" t="str">
        <f t="shared" ca="1" si="332"/>
        <v>=INDEX('China n Importing Ports'!$R$20:$R$41,MATCH(2,1/(('China n Importing Ports'!$D$20:$D$41&lt;=$C10)*('China n Importing Ports'!$C$20:$C$41=IF($AO10="No",$AQ10,$AS10)))))}</v>
      </c>
      <c r="VO25" s="97" t="str">
        <f t="shared" ca="1" si="332"/>
        <v>=INDEX('China n Importing Ports'!$S$20:$S$41,MATCH(2,1/(('China n Importing Ports'!$D$20:$D$41&lt;=$C10)*('China n Importing Ports'!$C$20:$C$41=IF($AO10="No",$AQ10,$AS10)))))}</v>
      </c>
      <c r="VP25" s="97" t="str">
        <f t="shared" ca="1" si="332"/>
        <v>=INDEX('China n Importing Ports'!$T$20:$T$41,MATCH(2,1/(('China n Importing Ports'!$D$20:$D$41&lt;=$C10)*('China n Importing Ports'!$C$20:$C$41=IF($AO10="No",$AQ10,$AS10)))))}</v>
      </c>
      <c r="VQ25" s="97" t="str">
        <f t="shared" ca="1" si="332"/>
        <v>=INDEX('China n Importing Ports'!$U$20:$U$41,MATCH(2,1/(('China n Importing Ports'!$D$20:$D$41&lt;=$C10)*('China n Importing Ports'!$C$20:$C$41=IF($AO10="No",$AQ10,$AS10)))))}</v>
      </c>
      <c r="VR25" s="97" t="str">
        <f t="shared" ca="1" si="332"/>
        <v>=INDEX('China n Importing Ports'!$V$20:$V$41,MATCH(2,1/(('China n Importing Ports'!$D$20:$D$41&lt;=$C10)*('China n Importing Ports'!$C$20:$C$41=IF($AO10="No",$AQ10,$AS10)))))}</v>
      </c>
      <c r="VS25" s="97" t="str">
        <f t="shared" ca="1" si="332"/>
        <v>=INDEX('China n Importing Ports'!$W$20:$W$41,MATCH(2,1/(('China n Importing Ports'!$D$20:$D$41&lt;=$C10)*('China n Importing Ports'!$C$20:$C$41=IF($AO10="No",$AQ10,$AS10)))))}</v>
      </c>
      <c r="VT25" s="97" t="str">
        <f t="shared" ca="1" si="332"/>
        <v>=INDEX('China n Importing Ports'!$X$20:$X$41,MATCH(2,1/(('China n Importing Ports'!$D$20:$D$41&lt;=$C10)*('China n Importing Ports'!$C$20:$C$41=IF($AO10="No",$AQ10,$AS10)))))}</v>
      </c>
      <c r="VU25" s="97" t="str">
        <f t="shared" ca="1" si="332"/>
        <v>=INDEX('China n Importing Ports'!$Y$20:$Y$41,MATCH(2,1/(('China n Importing Ports'!$D$20:$D$41&lt;=$C10)*('China n Importing Ports'!$C$20:$C$41=IF($AO10="No",$AQ10,$AS10)))))}</v>
      </c>
      <c r="VV25" s="97" t="str">
        <f t="shared" ca="1" si="332"/>
        <v>=INDEX('China n Importing Ports'!$Z$20:$Z$41,MATCH(2,1/(('China n Importing Ports'!$D$20:$D$41&lt;=$C10)*('China n Importing Ports'!$C$20:$C$41=IF($AO10="No",$AQ10,$AS10)))))}</v>
      </c>
      <c r="VW25" s="97" t="str">
        <f t="shared" ca="1" si="332"/>
        <v>=INDEX('China n Importing Ports'!$AA$20:$AA$41,MATCH(2,1/(('China n Importing Ports'!$D$20:$D$41&lt;=$C10)*('China n Importing Ports'!$C$20:$C$41=IF($AO10="No",$AQ10,$AS10)))))}</v>
      </c>
      <c r="VX25" s="97" t="e">
        <f t="shared" ca="1" si="332"/>
        <v>#N/A</v>
      </c>
      <c r="VY25" s="97" t="str">
        <f t="shared" ca="1" si="332"/>
        <v>=INDEX(Canals!$G$24:$G$29,MATCH(2,1/((Canals!$F$24:$F$29&lt;=$C10)*(Canals!$G$24:$G$29=_xlfn.IFS(SJ10="Handysize",US10,SJ10="Supramax",UL10,SJ10="Panamax",UE10,SJ10="NeoPanamax",TX10,SJ10="Suezmax",TQ10,SJ10="Capesize",TJ10,SJ10="VLOC",TC10)))))}</v>
      </c>
      <c r="VZ25" s="97" t="str">
        <f t="shared" ca="1" si="332"/>
        <v>=INDEX(Canals!$H$24:$H$29,MATCH(2,1/((Canals!$F$24:$F$29&lt;=$C10)*(Canals!$G$24:$G$29=_xlfn.IFS(SJ10="Handysize",US10,SJ10="Supramax",UL10,SJ10="Panamax",UE10,SJ10="NeoPanamax",TX10,SJ10="Suezmax",TQ10,SJ10="Capesize",TJ10,SJ10="VLOC",TC10)))))}</v>
      </c>
      <c r="WA25" s="97" t="str">
        <f t="shared" ca="1" si="332"/>
        <v>=INDEX(Canals!$I$24:$I$29,MATCH(2,1/((Canals!$F$24:$F$29&lt;=$C10)*(Canals!$G$24:$G$29=_xlfn.IFS(SJ10="Handysize",US10,SJ10="Supramax",UL10,SJ10="Panamax",UE10,SJ10="NeoPanamax",TX10,SJ10="Suezmax",TQ10,SJ10="Capesize",TJ10,SJ10="VLOC",TC10)))))}</v>
      </c>
      <c r="WB25" s="97" t="str">
        <f t="shared" ca="1" si="332"/>
        <v>=INDEX(Canals!$J$24:$J$29,MATCH(2,1/((Canals!$F$24:$F$29&lt;=$C10)*(Canals!$G$24:$G$29=_xlfn.IFS(SJ10="Handysize",Main!US10,SJ10="Supramax",UL10,SJ10="Panamax",UE10,SJ10="NeoPanamax",TX10,SJ10="Suezmax",TQ10,SJ10="Capesize",TJ10,SJ10="VLOC",TC10)))))}</v>
      </c>
      <c r="WC25" s="97" t="str">
        <f t="shared" ca="1" si="332"/>
        <v>=INDEX(Canals!$K$24:$K$29,MATCH(2,1/((Canals!$F$24:$F$29&lt;=$C10)*(Canals!$G$24:$G$29=_xlfn.IFS(SJ10="Handysize",Main!US10,SJ10="Supramax",UL10,SJ10="Panamax",UE10,SJ10="NeoPanamax",TX10,SJ10="Suezmax",TQ10,SJ10="Capesize",TJ10,SJ10="VLOC",TC10)))))}</v>
      </c>
      <c r="WD25" s="97" t="str">
        <f t="shared" ca="1" si="332"/>
        <v>=INDEX(Canals!$L$24:$L$29,MATCH(2,1/((Canals!$F$24:$F$29&lt;=$C10)*(Canals!$G$24:$G$29=_xlfn.IFS(SJ10="Handysize",Main!US10,SJ10="Supramax",UL10,SJ10="Panamax",UE10,SJ10="NeoPanamax",TX10,SJ10="Suezmax",TQ10,SJ10="Capesize",TJ10,SJ10="VLOC",TC10)))))}</v>
      </c>
      <c r="WE25" s="97" t="str">
        <f t="shared" ca="1" si="332"/>
        <v>=INDEX(Canals!$M$24:$M$29,MATCH(2,1/((Canals!$F$24:$F$29&lt;=$C10)*(Canals!$G$24:$G$29=_xlfn.IFS(SJ10="Handysize",Main!US10,SJ10="Supramax",UL10,SJ10="Panamax",UE10,SJ10="NeoPanamax",TX10,SJ10="Suezmax",TQ10,SJ10="Capesize",TJ10,SJ10="VLOC",TC10)))))}</v>
      </c>
      <c r="WF25" s="97" t="str">
        <f t="shared" ca="1" si="332"/>
        <v>=INDEX(Canals!$N$24:$N$29,MATCH(2,1/((Canals!$F$24:$F$29&lt;=$C10)*(Canals!$G$24:$G$29=_xlfn.IFS(SJ10="Handysize",Main!US10,SJ10="Supramax",UL10,SJ10="Panamax",UE10,SJ10="NeoPanamax",TX10,SJ10="Suezmax",TQ10,SJ10="Capesize",TJ10,SJ10="VLOC",TC10)))))}</v>
      </c>
      <c r="WG25" s="97" t="str">
        <f t="shared" ca="1" si="332"/>
        <v>=INDEX(Canals!$O$24:$O$29,MATCH(2,1/((Canals!$F$24:$F$29&lt;=$C10)*(Canals!$G$24:$G$29=_xlfn.IFS(SJ10="Handysize",Main!US10,SJ10="Supramax",UL10,SJ10="Panamax",UE10,SJ10="NeoPanamax",TX10,SJ10="Suezmax",TQ10,SJ10="Capesize",TJ10,SJ10="VLOC",TC10)))))}</v>
      </c>
      <c r="WH25" s="97" t="str">
        <f t="shared" ca="1" si="332"/>
        <v>=INDEX(Canals!$P$24:$P$29,MATCH(2,1/((Canals!$F$24:$F$29&lt;=$C10)*(Canals!$G$24:$G$29=_xlfn.IFS(SJ10="Handysize",Main!US10,SJ10="Supramax",UL10,SJ10="Panamax",UE10,SJ10="NeoPanamax",TX10,SJ10="Suezmax",TQ10,SJ10="Capesize",TJ10,SJ10="VLOC",TC10)))))}</v>
      </c>
      <c r="WI25" s="97" t="str">
        <f t="shared" ca="1" si="332"/>
        <v>=INDEX(Canals!$Q$24:$Q$29,MATCH(2,1/((Canals!$F$24:$F$29&lt;=$C10)*(Canals!$G$24:$G$29=_xlfn.IFS(SJ10="Handysize",Main!US10,SJ10="Supramax",UL10,SJ10="Panamax",UE10,SJ10="NeoPanamax",TX10,SJ10="Suezmax",TQ10,SJ10="Capesize",TJ10,SJ10="VLOC",TC10)))))}</v>
      </c>
      <c r="WJ25" s="97" t="str">
        <f t="shared" ca="1" si="332"/>
        <v>=INDEX(Canals!$R$24:$R$29,MATCH(2,1/((Canals!$F$24:$F$29&lt;=$C10)*(Canals!$G$24:$G$29=_xlfn.IFS(SJ10="Handysize",Main!US10,SJ10="Supramax",UL10,SJ10="Panamax",UE10,SJ10="NeoPanamax",TX10,SJ10="Suezmax",TQ10,SJ10="Capesize",TJ10,SJ10="VLOC",TC10)))))}</v>
      </c>
      <c r="WK25" s="97" t="str">
        <f t="shared" ref="WK25:YV25" ca="1" si="333">RIGHT(_xlfn.FORMULATEXT(WK10),LEN(_xlfn.FORMULATEXT(WK10))-1)</f>
        <v>=INDEX(Canals!$S$24:$S$29,MATCH(2,1/((Canals!$F$24:$F$29&lt;=$C10)*(Canals!$G$24:$G$29=_xlfn.IFS(SJ10="Handysize",Main!US10,SJ10="Supramax",UL10,SJ10="Panamax",UE10,SJ10="NeoPanamax",TX10,SJ10="Suezmax",TQ10,SJ10="Capesize",TJ10,SJ10="VLOC",TC10)))))}</v>
      </c>
      <c r="WL25" s="97" t="str">
        <f t="shared" ca="1" si="333"/>
        <v>=INDEX(Canals!$T$24:$T$29,MATCH(2,1/((Canals!$F$24:$F$29&lt;=$C10)*(Canals!$G$24:$G$29=_xlfn.IFS(SJ10="Handysize",Main!US10,SJ10="Supramax",UL10,SJ10="Panamax",UE10,SJ10="NeoPanamax",TX10,SJ10="Suezmax",TQ10,SJ10="Capesize",TJ10,SJ10="VLOC",TC10)))))}</v>
      </c>
      <c r="WM25" s="97" t="str">
        <f t="shared" ca="1" si="333"/>
        <v>=INDEX(Canals!$U$24:$U$29,MATCH(2,1/((Canals!$F$24:$F$29&lt;=$C10)*(Canals!$G$24:$G$29=_xlfn.IFS(SJ10="Handysize",Main!US10,SJ10="Supramax",UL10,SJ10="Panamax",UE10,SJ10="NeoPanamax",TX10,SJ10="Suezmax",TQ10,SJ10="Capesize",TJ10,SJ10="VLOC",TC10)))))}</v>
      </c>
      <c r="WN25" s="97" t="str">
        <f t="shared" ca="1" si="333"/>
        <v>=INDEX(Canals!$V$24:$V$29,MATCH(2,1/((Canals!$F$24:$F$29&lt;=$C10)*(Canals!$G$24:$G$29=_xlfn.IFS(SJ10="Handysize",Main!US10,SJ10="Supramax",UL10,SJ10="Panamax",UE10,SJ10="NeoPanamax",TX10,SJ10="Suezmax",TQ10,SJ10="Capesize",TJ10,SJ10="VLOC",TC10)))))}</v>
      </c>
      <c r="WO25" s="97" t="str">
        <f t="shared" ca="1" si="333"/>
        <v>=INDEX(Canals!$W$24:$W$29,MATCH(2,1/((Canals!$F$24:$F$29&lt;=$C10)*(Canals!$G$24:$G$29=_xlfn.IFS(SJ10="Handysize",Main!US10,SJ10="Supramax",UL10,SJ10="Panamax",UE10,SJ10="NeoPanamax",TX10,SJ10="Suezmax",TQ10,SJ10="Capesize",TJ10,SJ10="VLOC",TC10)))))}</v>
      </c>
      <c r="WP25" s="97" t="str">
        <f t="shared" ca="1" si="333"/>
        <v>=INDEX(Canals!$X$24:$X$29,MATCH(2,1/((Canals!$F$24:$F$29&lt;=$C10)*(Canals!$G$24:$G$29=_xlfn.IFS(SJ10="Handysize",Main!US10,SJ10="Supramax",UL10,SJ10="Panamax",UE10,SJ10="NeoPanamax",TX10,SJ10="Suezmax",TQ10,SJ10="Capesize",TJ10,SJ10="VLOC",TC10)))))}</v>
      </c>
      <c r="WQ25" s="97" t="str">
        <f t="shared" ca="1" si="333"/>
        <v>=INDEX(Canals!$Y$24:$Y$29,MATCH(2,1/((Canals!$F$24:$F$29&lt;=$C10)*(Canals!$G$24:$G$29=_xlfn.IFS(SJ10="Handysize",Main!US10,SJ10="Supramax",UL10,SJ10="Panamax",UE10,SJ10="NeoPanamax",TX10,SJ10="Suezmax",TQ10,SJ10="Capesize",TJ10,SJ10="VLOC",TC10)))))}</v>
      </c>
      <c r="WR25" s="97" t="str">
        <f t="shared" ca="1" si="333"/>
        <v>=INDEX(Canals!$Z$24:$Z$29,MATCH(2,1/((Canals!$F$24:$F$29&lt;=$C10)*(Canals!$G$24:$G$29=_xlfn.IFS(SJ10="Handysize",Main!US10,SJ10="Supramax",UL10,SJ10="Panamax",UE10,SJ10="NeoPanamax",TX10,SJ10="Suezmax",TQ10,SJ10="Capesize",TJ10,SJ10="VLOC",TC10)))))}</v>
      </c>
      <c r="WS25" s="97" t="str">
        <f t="shared" ca="1" si="333"/>
        <v>=INDEX(Canals!$AA$24:$AA$29,MATCH(2,1/((Canals!$F$24:$F$29&lt;=$C10)*(Canals!$G$24:$G$29=_xlfn.IFS(SJ10="Handysize",Main!US10,SJ10="Supramax",UL10,SJ10="Panamax",UE10,SJ10="NeoPanamax",TX10,SJ10="Suezmax",TQ10,SJ10="Capesize",TJ10,SJ10="VLOC",TC10)))))}</v>
      </c>
      <c r="WT25" s="97" t="str">
        <f t="shared" ca="1" si="333"/>
        <v>=INDEX(Canals!$AB$24:$AB$29,MATCH(2,1/((Canals!$F$24:$F$29&lt;=$C10)*(Canals!$G$24:$G$29=_xlfn.IFS(SJ10="Handysize",Main!US10,SJ10="Supramax",UL10,SJ10="Panamax",UE10,SJ10="NeoPanamax",TX10,SJ10="Suezmax",TQ10,SJ10="Capesize",TJ10,SJ10="VLOC",TC10)))))}</v>
      </c>
      <c r="WU25" s="97" t="str">
        <f t="shared" ca="1" si="333"/>
        <v>=INDEX(Canals!$AC$24:$AC$29,MATCH(2,1/((Canals!$F$24:$F$29&lt;=$C10)*(Canals!$G$24:$G$29=_xlfn.IFS(SJ10="Handysize",Main!US10,SJ10="Supramax",UL10,SJ10="Panamax",UE10,SJ10="NeoPanamax",TX10,SJ10="Suezmax",TQ10,SJ10="Capesize",TJ10,SJ10="VLOC",TC10)))))}</v>
      </c>
      <c r="WV25" s="97" t="str">
        <f t="shared" ca="1" si="333"/>
        <v>=INDEX(Canals!$AD$24:$AD$29,MATCH(2,1/((Canals!$F$24:$F$29&lt;=$C10)*(Canals!$G$24:$G$29=_xlfn.IFS(SJ10="Handysize",Main!US10,SJ10="Supramax",UL10,SJ10="Panamax",UE10,SJ10="NeoPanamax",TX10,SJ10="Suezmax",TQ10,SJ10="Capesize",TJ10,SJ10="VLOC",TC10)))))}</v>
      </c>
      <c r="WW25" s="97" t="str">
        <f t="shared" ca="1" si="333"/>
        <v>=INDEX(Canals!$AE$24:$AE$29,MATCH(2,1/((Canals!$F$24:$F$29&lt;=$C10)*(Canals!$G$24:$G$29=_xlfn.IFS(SJ10="Handysize",Main!US10,SJ10="Supramax",UL10,SJ10="Panamax",UE10,SJ10="NeoPanamax",TX10,SJ10="Suezmax",TQ10,SJ10="Capesize",TJ10,SJ10="VLOC",TC10)))))}</v>
      </c>
      <c r="WX25" s="97" t="str">
        <f t="shared" ca="1" si="333"/>
        <v>=INDEX(Canals!$AF$24:$AF$29,MATCH(2,1/((Canals!$F$24:$F$29&lt;=$C10)*(Canals!$G$24:$G$29=_xlfn.IFS(SJ10="Handysize",Main!US10,SJ10="Supramax",UL10,SJ10="Panamax",UE10,SJ10="NeoPanamax",TX10,SJ10="Suezmax",TQ10,SJ10="Capesize",TJ10,SJ10="VLOC",TC10)))))}</v>
      </c>
      <c r="WY25" s="97" t="str">
        <f t="shared" ca="1" si="333"/>
        <v>=INDEX(Canals!$AG$24:$AG$29,MATCH(2,1/((Canals!$F$24:$F$29&lt;=$C10)*(Canals!$G$24:$G$29=_xlfn.IFS(SJ10="Handysize",Main!US10,SJ10="Supramax",UL10,SJ10="Panamax",UE10,SJ10="NeoPanamax",TX10,SJ10="Suezmax",TQ10,SJ10="Capesize",TJ10,SJ10="VLOC",TC10)))))}</v>
      </c>
      <c r="WZ25" s="97" t="str">
        <f t="shared" ca="1" si="333"/>
        <v>=INDEX(Canals!$AH$24:$AH$29,MATCH(2,1/((Canals!$F$24:$F$29&lt;=$C10)*(Canals!$G$24:$G$29=_xlfn.IFS(SJ10="Handysize",Main!US10,SJ10="Supramax",UL10,SJ10="Panamax",UE10,SJ10="NeoPanamax",TX10,SJ10="Suezmax",TQ10,SJ10="Capesize",TJ10,SJ10="VLOC",TC10)))))}</v>
      </c>
      <c r="XA25" s="97" t="str">
        <f t="shared" ca="1" si="333"/>
        <v>=INDEX(Canals!$AI$24:$AI$29,MATCH(2,1/((Canals!$F$24:$F$29&lt;=$C10)*(Canals!$G$24:$G$29=_xlfn.IFS(SJ10="Handysize",Main!US10,SJ10="Supramax",UL10,SJ10="Panamax",UE10,SJ10="NeoPanamax",TX10,SJ10="Suezmax",TQ10,SJ10="Capesize",TJ10,SJ10="VLOC",TC10)))))}</v>
      </c>
      <c r="XB25" s="97" t="str">
        <f t="shared" ca="1" si="333"/>
        <v>=INDEX(Canals!$AJ$24:$AJ$29,MATCH(2,1/((Canals!$F$24:$F$29&lt;=$C10)*(Canals!$G$24:$G$29=_xlfn.IFS(SJ10="Handysize",Main!US10,SJ10="Supramax",UL10,SJ10="Panamax",UE10,SJ10="NeoPanamax",TX10,SJ10="Suezmax",TQ10,SJ10="Capesize",TJ10,SJ10="VLOC",TC10)))))}</v>
      </c>
      <c r="XC25" s="97" t="str">
        <f t="shared" ca="1" si="333"/>
        <v>=INDEX(Canals!$AK$24:$AK$29,MATCH(2,1/((Canals!$F$24:$F$29&lt;=$C10)*(Canals!$G$24:$G$29=_xlfn.IFS(SJ10="Handysize",Main!US10,SJ10="Supramax",UL10,SJ10="Panamax",UE10,SJ10="NeoPanamax",TX10,SJ10="Suezmax",TQ10,SJ10="Capesize",TJ10,SJ10="VLOC",TC10)))))}</v>
      </c>
      <c r="XD25" s="97" t="str">
        <f t="shared" ca="1" si="333"/>
        <v>=INDEX(Canals!$AL$24:$AL$29,MATCH(2,1/((Canals!$F$24:$F$29&lt;=$C10)*(Canals!$G$24:$G$29=_xlfn.IFS(SJ10="Handysize",Main!US10,SJ10="Supramax",UL10,SJ10="Panamax",UE10,SJ10="NeoPanamax",TX10,SJ10="Suezmax",TQ10,SJ10="Capesize",TJ10,SJ10="VLOC",TC10)))))}</v>
      </c>
      <c r="XE25" s="97" t="str">
        <f t="shared" ca="1" si="333"/>
        <v>=INDEX(Canals!$AM$24:$AM$29,MATCH(2,1/((Canals!$F$24:$F$29&lt;=$C10)*(Canals!$G$24:$G$29=_xlfn.IFS(SJ10="Handysize",Main!US10,SJ10="Supramax",UL10,SJ10="Panamax",UE10,SJ10="NeoPanamax",TX10,SJ10="Suezmax",TQ10,SJ10="Capesize",TJ10,SJ10="VLOC",TC10)))))}</v>
      </c>
      <c r="XF25" s="97" t="str">
        <f t="shared" ca="1" si="333"/>
        <v>=INDEX(Canals!$AN$24:$AN$29,MATCH(2,1/((Canals!$F$24:$F$29&lt;=$C10)*(Canals!$G$24:$G$29=_xlfn.IFS(SJ10="Handysize",Main!US10,SJ10="Supramax",UL10,SJ10="Panamax",UE10,SJ10="NeoPanamax",TX10,SJ10="Suezmax",TQ10,SJ10="Capesize",TJ10,SJ10="VLOC",TC10)))))}</v>
      </c>
      <c r="XG25" s="97" t="str">
        <f t="shared" ca="1" si="333"/>
        <v>=INDEX(Canals!$AO$24:$AO$29,MATCH(2,1/((Canals!$F$24:$F$29&lt;=$C10)*(Canals!$G$24:$G$29=_xlfn.IFS(SJ10="Handysize",Main!US10,SJ10="Supramax",UL10,SJ10="Panamax",UE10,SJ10="NeoPanamax",TX10,SJ10="Suezmax",TQ10,SJ10="Capesize",TJ10,SJ10="VLOC",TC10)))))}</v>
      </c>
      <c r="XH25" s="97" t="str">
        <f t="shared" ca="1" si="333"/>
        <v>=INDEX(Canals!$AP$24:$AP$29,MATCH(2,1/((Canals!$F$24:$F$29&lt;=$C10)*(Canals!$G$24:$G$29=_xlfn.IFS(SJ10="Handysize",Main!US10,SJ10="Supramax",UL10,SJ10="Panamax",UE10,SJ10="NeoPanamax",TX10,SJ10="Suezmax",TQ10,SJ10="Capesize",TJ10,SJ10="VLOC",TC10)))))}</v>
      </c>
      <c r="XI25" s="97" t="str">
        <f t="shared" ca="1" si="333"/>
        <v>=INDEX(Canals!$AQ$24:$AQ$29,MATCH(2,1/((Canals!$F$24:$F$29&lt;=$C10)*(Canals!$G$24:$G$29=_xlfn.IFS(SJ10="Handysize",Main!US10,SJ10="Supramax",UL10,SJ10="Panamax",UE10,SJ10="NeoPanamax",TX10,SJ10="Suezmax",TQ10,SJ10="Capesize",TJ10,SJ10="VLOC",TC10)))))}</v>
      </c>
      <c r="XJ25" s="97" t="str">
        <f t="shared" ca="1" si="333"/>
        <v>=INDEX(Canals!$AR$24:$AR$29,MATCH(2,1/((Canals!$F$24:$F$29&lt;=$C10)*(Canals!$G$24:$G$29=_xlfn.IFS(SJ10="Handysize",Main!US10,SJ10="Supramax",UL10,SJ10="Panamax",UE10,SJ10="NeoPanamax",TX10,SJ10="Suezmax",TQ10,SJ10="Capesize",TJ10,SJ10="VLOC",TC10)))))}</v>
      </c>
      <c r="XK25" s="97" t="str">
        <f t="shared" ca="1" si="333"/>
        <v>=INDEX(Canals!$AS$24:$AS$29,MATCH(2,1/((Canals!$F$24:$F$29&lt;=$C10)*(Canals!$G$24:$G$29=_xlfn.IFS(SJ10="Handysize",Main!US10,SJ10="Supramax",UL10,SJ10="Panamax",UE10,SJ10="NeoPanamax",TX10,SJ10="Suezmax",TQ10,SJ10="Capesize",TJ10,SJ10="VLOC",TC10)))))}</v>
      </c>
      <c r="XL25" s="97" t="str">
        <f t="shared" ca="1" si="333"/>
        <v>=INDEX(Canals!$AT$24:$AT$29,MATCH(2,1/((Canals!$F$24:$F$29&lt;=$C10)*(Canals!$G$24:$G$29=_xlfn.IFS(SJ10="Handysize",Main!US10,SJ10="Supramax",UL10,SJ10="Panamax",UE10,SJ10="NeoPanamax",TX10,SJ10="Suezmax",TQ10,SJ10="Capesize",TJ10,SJ10="VLOC",TC10)))))}</v>
      </c>
      <c r="XM25" s="97" t="str">
        <f t="shared" ca="1" si="333"/>
        <v>=INDEX(Canals!$AU$24:$AU$29,MATCH(2,1/((Canals!$F$24:$F$29&lt;=$C10)*(Canals!$G$24:$G$29=_xlfn.IFS(SJ10="Handysize",Main!US10,SJ10="Supramax",UL10,SJ10="Panamax",UE10,SJ10="NeoPanamax",TX10,SJ10="Suezmax",TQ10,SJ10="Capesize",TJ10,SJ10="VLOC",TC10)))))}</v>
      </c>
      <c r="XN25" s="97" t="str">
        <f t="shared" ca="1" si="333"/>
        <v>=INDEX(Canals!$AV$24:$AV$29,MATCH(2,1/((Canals!$F$24:$F$29&lt;=$C10)*(Canals!$G$24:$G$29=_xlfn.IFS(SJ10="Handysize",Main!US10,SJ10="Supramax",UL10,SJ10="Panamax",UE10,SJ10="NeoPanamax",TX10,SJ10="Suezmax",TQ10,SJ10="Capesize",TJ10,SJ10="VLOC",TC10)))))}</v>
      </c>
      <c r="XO25" s="97" t="e">
        <f t="shared" ca="1" si="333"/>
        <v>#N/A</v>
      </c>
      <c r="XP25" s="97" t="str">
        <f t="shared" ca="1" si="333"/>
        <v>=_xlfn.IFS(WA10="DWT",SH10,WA10="NRT",SL10,WA10="GRT",SM10,WA10=0,0)}</v>
      </c>
      <c r="XQ25" s="97" t="str">
        <f t="shared" ca="1" si="333"/>
        <v>IF(XP10&gt;WB10,WB10,XP10)</v>
      </c>
      <c r="XR25" s="97" t="str">
        <f t="shared" ca="1" si="333"/>
        <v>IF(XP10&gt;SUM(WB10:WC10),WC10,XP10-SUM(XQ10:XQ10))</v>
      </c>
      <c r="XS25" s="97" t="str">
        <f t="shared" ca="1" si="333"/>
        <v>IF(XP10&gt;SUM(WB10:WD10),WD10,XP10-SUM(XQ10:XR10))</v>
      </c>
      <c r="XT25" s="97" t="str">
        <f t="shared" ca="1" si="333"/>
        <v>IF(XP10&gt;SUM(WB10:WE10),WE10,XP10-SUM(XQ10:XS10))</v>
      </c>
      <c r="XU25" s="97" t="str">
        <f t="shared" ca="1" si="333"/>
        <v>IF(XP10&gt;SUM(WB10:WF10),WF10,XP10-SUM(XQ10:XT10))</v>
      </c>
      <c r="XV25" s="97" t="str">
        <f t="shared" ca="1" si="333"/>
        <v>IF(XP10&gt;SUM(WB10:WG10),WG10,XP10-SUM(XQ10:XU10))</v>
      </c>
      <c r="XW25" s="97" t="str">
        <f t="shared" ca="1" si="333"/>
        <v>IF(XP10&gt;SUM(WB10:WH10),WH10,XP10-SUM(XQ10:XV10))</v>
      </c>
      <c r="XX25" s="97" t="str">
        <f t="shared" ca="1" si="333"/>
        <v>IF(XP10&gt;SUM(WB10:WI10),WI10,XP10-SUM(XQ10:XW10))</v>
      </c>
      <c r="XY25" s="97" t="str">
        <f t="shared" ca="1" si="333"/>
        <v>IF(XP10&gt;SUM(WB10:WJ10),WJ10,XP10-SUM(XQ10:XX10))</v>
      </c>
      <c r="XZ25" s="97" t="str">
        <f t="shared" ca="1" si="333"/>
        <v>SH10*$JN10</v>
      </c>
      <c r="YA25" s="97" t="str">
        <f t="shared" ca="1" si="333"/>
        <v>IF(XZ10&gt;WU10,WU10,XZ10)</v>
      </c>
      <c r="YB25" s="97" t="str">
        <f t="shared" ca="1" si="333"/>
        <v>IF(XZ10&gt;SUM(WU10:WV10),WV10,XZ10-SUM(YA10:YA10))</v>
      </c>
      <c r="YC25" s="97" t="str">
        <f t="shared" ca="1" si="333"/>
        <v>IF(XZ10&gt;SUM(WU10:WW10),WW10,XZ10-SUM(YA10:YB10))</v>
      </c>
      <c r="YD25" s="97" t="str">
        <f t="shared" ca="1" si="333"/>
        <v>IF(XZ10&gt;SUM(WU10:WX10),WX10,XZ10-SUM(YA10:YC10))</v>
      </c>
      <c r="YE25" s="97" t="str">
        <f t="shared" ca="1" si="333"/>
        <v>IF(XZ10&gt;SUM(WU10:WY10),WY10,XZ10-SUM(YA10:YD10))</v>
      </c>
      <c r="YF25" s="97" t="str">
        <f t="shared" ca="1" si="333"/>
        <v>IF(XZ10&gt;SUM(WU10:WZ10),WZ10,XZ10-SUM(YA10:YE10))</v>
      </c>
      <c r="YG25" s="97" t="str">
        <f t="shared" ca="1" si="333"/>
        <v>IF(XZ10&gt;SUM(WU10:XA10),XA10,XZ10-SUM(YA10:YF10))</v>
      </c>
      <c r="YH25" s="97" t="str">
        <f t="shared" ca="1" si="333"/>
        <v>IF(XZ10&gt;SUM(WU10:XB10),XB10,XZ10-SUM(YA10:YG10))</v>
      </c>
      <c r="YI25" s="97" t="str">
        <f t="shared" ca="1" si="333"/>
        <v>IF(XZ10&gt;SUM(WU10:XC10),XC10,XZ10-SUM(YA10:YH10))</v>
      </c>
      <c r="YJ25" s="97" t="e">
        <f t="shared" ca="1" si="333"/>
        <v>#N/A</v>
      </c>
      <c r="YK25" s="97" t="str">
        <f t="shared" ca="1" si="333"/>
        <v>=_xlfn.IFS(SJ10="Handysize",Main!UM10,SJ10="Supramax",UF10,SJ10="Panamax",TY10,SJ10="NeoPanamax",TR10,SJ10="Suezmax",TK10,SJ10="Capesize",TD10,SJ10="VLOC",SW10)*$JI10}</v>
      </c>
      <c r="YL25" s="97" t="str">
        <f t="shared" ca="1" si="333"/>
        <v>=_xlfn.IFS(SJ10="Handysize",Main!UN10,SJ10="Supramax",UG10,SJ10="Panamax",TZ10,SJ10="NeoPanamax",TS10,SJ10="Suezmax",TL10,SJ10="Capesize",TE10,SJ10="VLOC",SX10)*$JI10}</v>
      </c>
      <c r="YM25" s="97" t="str">
        <f t="shared" ca="1" si="333"/>
        <v>=_xlfn.IFS(SJ10="Handysize",Main!SO10,SJ10="Supramax",SP10,SJ10="Panamax",SQ10,SJ10="NeoPanamax",SR10,SJ10="Suezmax",SS10,SJ10="Capesize",ST10,SJ10="VLOC",SU10)}</v>
      </c>
      <c r="YN25" s="97" t="str">
        <f t="shared" ca="1" si="333"/>
        <v>=_xlfn.IFS(SJ10="Handysize",Main!VA10,SJ10="Supramax",VB10,SJ10="Panamax",VC10,SJ10="NeoPanamax",VD10,SJ10="Suezmax",VE10,SJ10="Capesize",VF10,SJ10="VLOC",VG10)}</v>
      </c>
      <c r="YO25" s="97" t="str">
        <f t="shared" ca="1" si="333"/>
        <v>=INDEX('Ship Speeds'!$G$11:$G$1011,MATCH(2,1/(('Ship Speeds'!$E$11:$E$1011&lt;=Main!$C10)*('Ship Speeds'!$F$11:$F$1011=Main!SI10))))}</v>
      </c>
      <c r="YP25" s="97" t="str">
        <f t="shared" ca="1" si="333"/>
        <v>(($KH10*YO10^2+$KI10*YO10^3+$KG10*YO10)*((SH10/$KC10)^$KD10)*$KJ10+(SH10/$KC10)*$KF10+$KE10)</v>
      </c>
      <c r="YQ25" s="97" t="str">
        <f t="shared" ca="1" si="333"/>
        <v>(SH10/$JY10)*$JZ10+$KA10+$KB10*(SH10/$JY10)^2</v>
      </c>
      <c r="YR25" s="97" t="str">
        <f t="shared" ca="1" si="333"/>
        <v>YK10/YO10/$JH10</v>
      </c>
      <c r="YS25" s="97" t="str">
        <f t="shared" ca="1" si="333"/>
        <v>YL10/YO10/$JH10</v>
      </c>
      <c r="YT25" s="97" t="str">
        <f t="shared" ca="1" si="333"/>
        <v>IF(YM10=0,0,IF($AO10="yes",$AN10,$AR10)/(1-$AL10)/YM10)</v>
      </c>
      <c r="YU25" s="97" t="str">
        <f t="shared" ca="1" si="333"/>
        <v>IF(YN10=0,0,IF($AO10="yes",$AN10,$AR10)/(1-$AL10)/YN10)</v>
      </c>
      <c r="YV25" s="97" t="str">
        <f t="shared" ca="1" si="333"/>
        <v>XN10*$JI10</v>
      </c>
      <c r="YW25" s="97" t="str">
        <f t="shared" ref="YW25:ABH25" ca="1" si="334">RIGHT(_xlfn.FORMULATEXT(YW10),LEN(_xlfn.FORMULATEXT(YW10))-1)</f>
        <v>IF(YK10=0,0,MAX(SUM(YR10:YV10)*$JV10,$JU10))</v>
      </c>
      <c r="YX25" s="97" t="str">
        <f t="shared" ca="1" si="334"/>
        <v>=IF(YK10=0,0,INDEX(UU10:UY10,MATCH(_xlfn.IFS(SJ10="Handysize",Main!UQ10,SJ10="Supramax",UJ10,SJ10="Panamax",UC10,SJ10="NeoPanamax",TV10,SJ10="Suezmax",TO10,SJ10="Capesize",TH10,SJ10="VLOC",TA10),$UU$7:$UY$7,0)))}</v>
      </c>
      <c r="YY25" s="97" t="str">
        <f t="shared" ca="1" si="334"/>
        <v>=IF(YK10=0,0,INDEX(UU10:UY10,MATCH(_xlfn.IFS(SJ10="Handysize",Main!UR10,SJ10="Supramax",UK10,SJ10="Panamax",UD10,SJ10="NeoPanamax",TW10,SJ10="Suezmax",TP10,SJ10="Capesize",TI10,SJ10="VLOC",TB10),$UU$7:$UY$7,0)))}</v>
      </c>
      <c r="YZ25" s="97" t="str">
        <f t="shared" ca="1" si="334"/>
        <v>YR10*YP10*YX10</v>
      </c>
      <c r="ZA25" s="97" t="str">
        <f t="shared" ca="1" si="334"/>
        <v>SUM(YT10:YW10)*YQ10*YY10+YS10*YP10*YY10</v>
      </c>
      <c r="ZB25" s="97" t="str">
        <f t="shared" ca="1" si="334"/>
        <v>IF(YK10=0,0,INDEX($JA10:$JD10,MATCH(VH10,$JA$7:$JD$7,0)))</v>
      </c>
      <c r="ZC25" s="97" t="str">
        <f t="shared" ca="1" si="334"/>
        <v>IF(YK10=0,0,VI10/ZB10)</v>
      </c>
      <c r="ZD25" s="97" t="str">
        <f t="shared" ca="1" si="334"/>
        <v>IF(YK10=0,0,VJ10*SUM(YU10,$JX10)/ZB10)</v>
      </c>
      <c r="ZE25" s="97" t="str">
        <f t="shared" ca="1" si="334"/>
        <v>IF(YK10=0,0,VK10*(YW10*(1-$JW10))/ZB10)</v>
      </c>
      <c r="ZF25" s="97" t="str">
        <f t="shared" ca="1" si="334"/>
        <v>IF(YK10=0,0,VL10*(SH10*$JN10)/ZB10)</v>
      </c>
      <c r="ZG25" s="97" t="str">
        <f t="shared" ca="1" si="334"/>
        <v>IF(YK10=0,0,VM10*(SH10*$JN10)*SUM(YU10,$JX10)/ZB10)</v>
      </c>
      <c r="ZH25" s="97" t="str">
        <f t="shared" ca="1" si="334"/>
        <v>IF(YK10=0,0,VN10*(SH10*$JN10)*(YW10*(1-$JW10))/ZB10)</v>
      </c>
      <c r="ZI25" s="97" t="str">
        <f t="shared" ca="1" si="334"/>
        <v>IF(YK10=0,0,VO10*SL10/ZB10)</v>
      </c>
      <c r="ZJ25" s="97" t="str">
        <f t="shared" ca="1" si="334"/>
        <v>IF(YK10=0,0,VP10*SL10*SUM(YU10,$JX10)/ZB10)</v>
      </c>
      <c r="ZK25" s="97" t="str">
        <f t="shared" ca="1" si="334"/>
        <v>IF(YK10=0,0,VQ10*SL10*(YW10*(1-$JW10))/ZB10)</v>
      </c>
      <c r="ZL25" s="97" t="str">
        <f t="shared" ca="1" si="334"/>
        <v>IF(YK10=0,0,VR10*SM10/ZB10)</v>
      </c>
      <c r="ZM25" s="97" t="str">
        <f t="shared" ca="1" si="334"/>
        <v>IF(YK10=0,0,VS10*SM10*SUM(YU10,$JX10)/ZB10)</v>
      </c>
      <c r="ZN25" s="97" t="str">
        <f t="shared" ca="1" si="334"/>
        <v>IF(YK10=0,0,VT10*SM10*(YW10*(1-$JW10))/ZB10)</v>
      </c>
      <c r="ZO25" s="97" t="str">
        <f t="shared" ca="1" si="334"/>
        <v>IF(YK10=0,0,VU10*SK10/ZB10)</v>
      </c>
      <c r="ZP25" s="97" t="str">
        <f t="shared" ca="1" si="334"/>
        <v>IF(YK10=0,0,VV10*SK10*SUM(YU10,$JX10)/ZB10)</v>
      </c>
      <c r="ZQ25" s="97" t="str">
        <f t="shared" ca="1" si="334"/>
        <v>IF(YK10=0,0,VW10*SK10*(YW10*(1-$JW10))/ZB10)</v>
      </c>
      <c r="ZR25" s="97" t="str">
        <f t="shared" ca="1" si="334"/>
        <v>=IF(YK10=0,0,INDEX('Ship Time Charter Rates'!$H$22:$H$1021,MATCH(2,1/(('Ship Time Charter Rates'!$G$22:$G$1021=_xlfn.IFS(SJ10="Handysize",Main!UO10,SJ10="Supramax",UH10,SJ10="Panamax",UA10,SJ10="NeoPanamax",TT10,SJ10="Suezmax",TM10,SJ10="Capesize",TF10,SJ10="VLOC",SY10))*('Ship Time Charter Rates'!$E$22:$E$1021&lt;=Main!$C10)*(NOT(ISBLANK('Ship Time Charter Rates'!$H$22:$H$1021)))))))}</v>
      </c>
      <c r="ZS25" s="97" t="str">
        <f t="shared" ca="1" si="334"/>
        <v>IF(YK10=0,0,SUM(YR10:YW10,$JI10*$JX10)*ZR10)</v>
      </c>
      <c r="ZT25" s="97" t="str">
        <f t="shared" ca="1" si="334"/>
        <v>IF(YK10=0,0,SUMPRODUCT(WK10:WS10,XQ10:XY10)+SUMPRODUCT(XD10:XL10,YA10:YI10))</v>
      </c>
      <c r="ZU25" s="97" t="str">
        <f t="shared" ca="1" si="334"/>
        <v>IF(YK10=0,0,SUM(YZ10,ZA10)+ZS10+ZT10+SUM(ZC10:ZQ10))</v>
      </c>
      <c r="ZV25" s="97" t="str">
        <f t="shared" ca="1" si="334"/>
        <v>ZU10*(1+$KL10)*(1+$KM10)</v>
      </c>
      <c r="ZW25" s="97" t="str">
        <f t="shared" ca="1" si="334"/>
        <v>IF(ZV10=0,0,ZV10/(SH10*(1-$AL10)*$JN10))</v>
      </c>
      <c r="ZX25" s="97" t="e">
        <f t="shared" ca="1" si="334"/>
        <v>#N/A</v>
      </c>
      <c r="ZY25" s="97" t="e">
        <f t="shared" ca="1" si="334"/>
        <v>#N/A</v>
      </c>
      <c r="ZZ25" s="97" t="e">
        <f t="shared" ca="1" si="334"/>
        <v>#N/A</v>
      </c>
      <c r="AAA25" s="97" t="str">
        <f t="shared" ca="1" si="334"/>
        <v>IF($AO10="no",$AN10,$AR10)/(1-$AL10)/$JN10</v>
      </c>
      <c r="AAB25" s="97" t="str">
        <f t="shared" ca="1" si="334"/>
        <v>VLOOKUP(AAA10,'Ship Time Charter Rates'!$F$10:$G$17,2,TRUE)</v>
      </c>
      <c r="AAC25" s="97" t="str">
        <f t="shared" ca="1" si="334"/>
        <v>VLOOKUP(AAA10,Canals!$E$5:$F$12,2,TRUE)</v>
      </c>
      <c r="AAD25" s="97" t="str">
        <f t="shared" ca="1" si="334"/>
        <v>(AAA10*$JO10 + $JP10)</v>
      </c>
      <c r="AAE25" s="97" t="str">
        <f t="shared" ca="1" si="334"/>
        <v>(AAA10*$JQ10+$JR10)</v>
      </c>
      <c r="AAF25" s="97" t="str">
        <f t="shared" ca="1" si="334"/>
        <v>(AAA10*$JS10+$JT10)</v>
      </c>
      <c r="AAG25" s="97" t="e">
        <f t="shared" ca="1" si="334"/>
        <v>#N/A</v>
      </c>
      <c r="AAH25" s="97" t="str">
        <f t="shared" ca="1" si="334"/>
        <v>=INDEX('Indices Mines Exporting Ports'!$R$20:$R$51,MATCH(2,1/(('Indices Mines Exporting Ports'!$D$20:$D$51&lt;=Main!$C10)*('Indices Mines Exporting Ports'!$Q$20:$Q$51=$AP10))))}</v>
      </c>
      <c r="AAI25" s="97" t="str">
        <f t="shared" ca="1" si="334"/>
        <v>=INDEX('Indices Mines Exporting Ports'!$S$20:$S$51,MATCH(2,1/(('Indices Mines Exporting Ports'!$D$20:$D$51&lt;=Main!$C10)*('Indices Mines Exporting Ports'!$Q$20:$Q$51=$AP10))))}</v>
      </c>
      <c r="AAJ25" s="97" t="str">
        <f t="shared" ca="1" si="334"/>
        <v>=INDEX('Indices Mines Exporting Ports'!$T$20:$T$51,MATCH(2,1/(('Indices Mines Exporting Ports'!$D$20:$D$51&lt;=Main!$C10)*('Indices Mines Exporting Ports'!$Q$20:$Q$51=$AP10))))}</v>
      </c>
      <c r="AAK25" s="97" t="str">
        <f t="shared" ca="1" si="334"/>
        <v>=INDEX('Indices Mines Exporting Ports'!$U$20:$U$51,MATCH(2,1/(('Indices Mines Exporting Ports'!$D$20:$D$51&lt;=Main!$C10)*('Indices Mines Exporting Ports'!$Q$20:$Q$51=$AP10))))}</v>
      </c>
      <c r="AAL25" s="97" t="str">
        <f t="shared" ca="1" si="334"/>
        <v>=INDEX('Indices Mines Exporting Ports'!$V$20:$V$51,MATCH(2,1/(('Indices Mines Exporting Ports'!$D$20:$D$51&lt;=Main!$C10)*('Indices Mines Exporting Ports'!$Q$20:$Q$51=$AP10))))}</v>
      </c>
      <c r="AAM25" s="97" t="str">
        <f t="shared" ca="1" si="334"/>
        <v>=INDEX('Indices Mines Exporting Ports'!$W$20:$W$51,MATCH(2,1/(('Indices Mines Exporting Ports'!$D$20:$D$51&lt;=Main!$C10)*('Indices Mines Exporting Ports'!$Q$20:$Q$51=$AP10))))}</v>
      </c>
      <c r="AAN25" s="97" t="str">
        <f t="shared" ca="1" si="334"/>
        <v>=INDEX('Indices Mines Exporting Ports'!$X$20:$X$51,MATCH(2,1/(('Indices Mines Exporting Ports'!$D$20:$D$51&lt;=Main!$C10)*('Indices Mines Exporting Ports'!$Q$20:$Q$51=$AP10))))}</v>
      </c>
      <c r="AAO25" s="97" t="e">
        <f t="shared" ca="1" si="334"/>
        <v>#N/A</v>
      </c>
      <c r="AAP25" s="97" t="str">
        <f t="shared" ca="1" si="334"/>
        <v>=INDEX('Port Linkages'!$E$18:$E$157,MATCH(2,1/(('Port Linkages'!$C$18:$C$157=$AP10)*('Port Linkages'!$D$18:$D$157=IF($AO10="Yes",$AQ10,$KK10))*('Port Linkages'!$A$18:$A$157&lt;=$C10))))}</v>
      </c>
      <c r="AAQ25" s="97" t="str">
        <f t="shared" ca="1" si="334"/>
        <v>=INDEX('Port Linkages'!$F$18:$F$157,MATCH(2,1/(('Port Linkages'!$C$18:$C$157=$AP10)*('Port Linkages'!$D$18:$D$157=IF($AO10="Yes",$AQ10,$KK10))*('Port Linkages'!$A$18:$A$157&lt;=$C10))))}</v>
      </c>
      <c r="AAR25" s="97" t="str">
        <f t="shared" ca="1" si="334"/>
        <v>=INDEX('Port Linkages'!$G$18:$G$157,MATCH(2,1/(('Port Linkages'!$C$18:$C$157=$AP10)*('Port Linkages'!$D$18:$D$157=IF($AO10="Yes",$AQ10,$KK10))*('Port Linkages'!$A$18:$A$157&lt;=$C10))))}</v>
      </c>
      <c r="AAS25" s="97" t="str">
        <f t="shared" ca="1" si="334"/>
        <v>=INDEX('Port Linkages'!$H$18:$H$157,MATCH(2,1/(('Port Linkages'!$C$18:$C$157=$AP10)*('Port Linkages'!$D$18:$D$157=IF($AO10="Yes",$AQ10,$KK10))*('Port Linkages'!$A$18:$A$157&lt;=$C10))))}</v>
      </c>
      <c r="AAT25" s="97" t="str">
        <f t="shared" ca="1" si="334"/>
        <v>=INDEX('Port Linkages'!$I$18:$I$157,MATCH(2,1/(('Port Linkages'!$C$18:$C$157=$AP10)*('Port Linkages'!$D$18:$D$157=IF($AO10="Yes",$AQ10,$KK10))*('Port Linkages'!$A$18:$A$157&lt;=$C10))))}</v>
      </c>
      <c r="AAU25" s="97" t="str">
        <f t="shared" ca="1" si="334"/>
        <v>=INDEX('Port Linkages'!$J$18:$J$157,MATCH(2,1/(('Port Linkages'!$C$18:$C$157=$AP10)*('Port Linkages'!$D$18:$D$157=IF($AO10="Yes",$AQ10,$KK10))*('Port Linkages'!$A$18:$A$157&lt;=$C10))))}</v>
      </c>
      <c r="AAV25" s="97" t="str">
        <f t="shared" ca="1" si="334"/>
        <v>=INDEX('Port Linkages'!$K$18:$K$157,MATCH(2,1/(('Port Linkages'!$C$18:$C$157=$AP10)*('Port Linkages'!$D$18:$D$157=IF($AO10="Yes",$AQ10,$KK10))*('Port Linkages'!$A$18:$A$157&lt;=$C10))))}</v>
      </c>
      <c r="AAW25" s="97" t="str">
        <f t="shared" ca="1" si="334"/>
        <v>=INDEX('Port Linkages'!$L$18:$L$157,MATCH(2,1/(('Port Linkages'!$C$18:$C$157=$AP10)*('Port Linkages'!$D$18:$D$157=IF($AO10="Yes",$AQ10,$KK10))*('Port Linkages'!$A$18:$A$157&lt;=$C10))))}</v>
      </c>
      <c r="AAX25" s="97" t="str">
        <f t="shared" ca="1" si="334"/>
        <v>=INDEX('Port Linkages'!$M$18:$M$157,MATCH(2,1/(('Port Linkages'!$C$18:$C$157=$AP10)*('Port Linkages'!$D$18:$D$157=IF($AO10="Yes",$AQ10,$KK10))*('Port Linkages'!$A$18:$A$157&lt;=$C10))))}</v>
      </c>
      <c r="AAY25" s="97" t="str">
        <f t="shared" ca="1" si="334"/>
        <v>=INDEX('Port Linkages'!$N$18:$N$157,MATCH(2,1/(('Port Linkages'!$C$18:$C$157=$AP10)*('Port Linkages'!$D$18:$D$157=IF($AO10="Yes",$AQ10,$KK10))*('Port Linkages'!$A$18:$A$157&lt;=$C10))))}</v>
      </c>
      <c r="AAZ25" s="97" t="str">
        <f t="shared" ca="1" si="334"/>
        <v>=INDEX('Port Linkages'!$O$18:$O$157,MATCH(2,1/(('Port Linkages'!$C$18:$C$157=$AP10)*('Port Linkages'!$D$18:$D$157=IF($AO10="Yes",$AQ10,$KK10))*('Port Linkages'!$A$18:$A$157&lt;=$C10))))}</v>
      </c>
      <c r="ABA25" s="97" t="str">
        <f t="shared" ca="1" si="334"/>
        <v>=INDEX('Port Linkages'!$P$18:$P$157,MATCH(2,1/(('Port Linkages'!$C$18:$C$157=$AP10)*('Port Linkages'!$D$18:$D$157=IF($AO10="Yes",$AQ10,$KK10))*('Port Linkages'!$A$18:$A$157&lt;=$C10))))}</v>
      </c>
      <c r="ABB25" s="97" t="str">
        <f t="shared" ca="1" si="334"/>
        <v>=INDEX('Port Linkages'!$Q$18:$Q$157,MATCH(2,1/(('Port Linkages'!$C$18:$C$157=$AP10)*('Port Linkages'!$D$18:$D$157=IF($AO10="Yes",$AQ10,$KK10))*('Port Linkages'!$A$18:$A$157&lt;=$C10))))}</v>
      </c>
      <c r="ABC25" s="97" t="str">
        <f t="shared" ca="1" si="334"/>
        <v>=INDEX('Port Linkages'!$R$18:$R$157,MATCH(2,1/(('Port Linkages'!$C$18:$C$157=$AP10)*('Port Linkages'!$D$18:$D$157=IF($AO10="Yes",$AQ10,$KK10))*('Port Linkages'!$A$18:$A$157&lt;=$C10))))}</v>
      </c>
      <c r="ABD25" s="97" t="str">
        <f t="shared" ca="1" si="334"/>
        <v>=INDEX('Port Linkages'!$S$18:$S$157,MATCH(2,1/(('Port Linkages'!$C$18:$C$157=$AP10)*('Port Linkages'!$D$18:$D$157=IF($AO10="Yes",$AQ10,$KK10))*('Port Linkages'!$A$18:$A$157&lt;=$C10))))}</v>
      </c>
      <c r="ABE25" s="97" t="str">
        <f t="shared" ca="1" si="334"/>
        <v>=INDEX('Port Linkages'!$T$18:$T$157,MATCH(2,1/(('Port Linkages'!$C$18:$C$157=$AP10)*('Port Linkages'!$D$18:$D$157=IF($AO10="Yes",$AQ10,$KK10))*('Port Linkages'!$A$18:$A$157&lt;=$C10))))}</v>
      </c>
      <c r="ABF25" s="97" t="str">
        <f t="shared" ca="1" si="334"/>
        <v>=INDEX('Port Linkages'!$U$18:$U$157,MATCH(2,1/(('Port Linkages'!$C$18:$C$157=$AP10)*('Port Linkages'!$D$18:$D$157=IF($AO10="Yes",$AQ10,$KK10))*('Port Linkages'!$A$18:$A$157&lt;=$C10))))}</v>
      </c>
      <c r="ABG25" s="97" t="str">
        <f t="shared" ca="1" si="334"/>
        <v>=INDEX('Port Linkages'!$V$18:$V$157,MATCH(2,1/(('Port Linkages'!$C$18:$C$157=$AP10)*('Port Linkages'!$D$18:$D$157=IF($AO10="Yes",$AQ10,$KK10))*('Port Linkages'!$A$18:$A$157&lt;=$C10))))}</v>
      </c>
      <c r="ABH25" s="97" t="str">
        <f t="shared" ca="1" si="334"/>
        <v>=INDEX('Port Linkages'!$W$18:$W$157,MATCH(2,1/(('Port Linkages'!$C$18:$C$157=$AP10)*('Port Linkages'!$D$18:$D$157=IF($AO10="Yes",$AQ10,$KK10))*('Port Linkages'!$A$18:$A$157&lt;=$C10))))}</v>
      </c>
      <c r="ABI25" s="97" t="str">
        <f t="shared" ref="ABI25:ADT25" ca="1" si="335">RIGHT(_xlfn.FORMULATEXT(ABI10),LEN(_xlfn.FORMULATEXT(ABI10))-1)</f>
        <v>=INDEX('Port Linkages'!$X$18:$X$157,MATCH(2,1/(('Port Linkages'!$C$18:$C$157=$AP10)*('Port Linkages'!$D$18:$D$157=IF($AO10="Yes",$AQ10,$KK10))*('Port Linkages'!$A$18:$A$157&lt;=$C10))))}</v>
      </c>
      <c r="ABJ25" s="97" t="str">
        <f t="shared" ca="1" si="335"/>
        <v>=INDEX('Port Linkages'!$Y$18:$Y$157,MATCH(2,1/(('Port Linkages'!$C$18:$C$157=$AP10)*('Port Linkages'!$D$18:$D$157=IF($AO10="Yes",$AQ10,$KK10))*('Port Linkages'!$A$18:$A$157&lt;=$C10))))}</v>
      </c>
      <c r="ABK25" s="97" t="str">
        <f t="shared" ca="1" si="335"/>
        <v>=INDEX('Port Linkages'!$Z$18:$Z$157,MATCH(2,1/(('Port Linkages'!$C$18:$C$157=$AP10)*('Port Linkages'!$D$18:$D$157=IF($AO10="Yes",$AQ10,$KK10))*('Port Linkages'!$A$18:$A$157&lt;=$C10))))}</v>
      </c>
      <c r="ABL25" s="97" t="str">
        <f t="shared" ca="1" si="335"/>
        <v>=INDEX('Port Linkages'!$AA$18:$AA$157,MATCH(2,1/(('Port Linkages'!$C$18:$C$157=$AP10)*('Port Linkages'!$D$18:$D$157=IF($AO10="Yes",$AQ10,$KK10))*('Port Linkages'!$A$18:$A$157&lt;=$C10))))}</v>
      </c>
      <c r="ABM25" s="97" t="str">
        <f t="shared" ca="1" si="335"/>
        <v>=INDEX('Port Linkages'!$AB$18:$AB$157,MATCH(2,1/(('Port Linkages'!$C$18:$C$157=$AP10)*('Port Linkages'!$D$18:$D$157=IF($AO10="Yes",$AQ10,$KK10))*('Port Linkages'!$A$18:$A$157&lt;=$C10))))}</v>
      </c>
      <c r="ABN25" s="97" t="str">
        <f t="shared" ca="1" si="335"/>
        <v>=INDEX('Port Linkages'!$AC$18:$AC$157,MATCH(2,1/(('Port Linkages'!$C$18:$C$157=$AP10)*('Port Linkages'!$D$18:$D$157=IF($AO10="Yes",$AQ10,$KK10))*('Port Linkages'!$A$18:$A$157&lt;=$C10))))}</v>
      </c>
      <c r="ABO25" s="97" t="str">
        <f t="shared" ca="1" si="335"/>
        <v>=INDEX('Port Linkages'!$AD$18:$AD$157,MATCH(2,1/(('Port Linkages'!$C$18:$C$157=$AP10)*('Port Linkages'!$D$18:$D$157=IF($AO10="Yes",$AQ10,$KK10))*('Port Linkages'!$A$18:$A$157&lt;=$C10))))}</v>
      </c>
      <c r="ABP25" s="97" t="str">
        <f t="shared" ca="1" si="335"/>
        <v>=INDEX('Port Linkages'!$AE$18:$AE$157,MATCH(2,1/(('Port Linkages'!$C$18:$C$157=$AP10)*('Port Linkages'!$D$18:$D$157=IF($AO10="Yes",$AQ10,$KK10))*('Port Linkages'!$A$18:$A$157&lt;=$C10))))}</v>
      </c>
      <c r="ABQ25" s="97" t="str">
        <f t="shared" ca="1" si="335"/>
        <v>=INDEX('Port Linkages'!$AF$18:$AF$157,MATCH(2,1/(('Port Linkages'!$C$18:$C$157=$AP10)*('Port Linkages'!$D$18:$D$157=IF($AO10="Yes",$AQ10,$KK10))*('Port Linkages'!$A$18:$A$157&lt;=$C10))))}</v>
      </c>
      <c r="ABR25" s="97" t="str">
        <f t="shared" ca="1" si="335"/>
        <v>=INDEX('Port Linkages'!$AG$18:$AG$157,MATCH(2,1/(('Port Linkages'!$C$18:$C$157=$AP10)*('Port Linkages'!$D$18:$D$157=IF($AO10="Yes",$AQ10,$KK10))*('Port Linkages'!$A$18:$A$157&lt;=$C10))))}</v>
      </c>
      <c r="ABS25" s="97" t="str">
        <f t="shared" ca="1" si="335"/>
        <v>=INDEX('Port Linkages'!$AH$18:$AH$157,MATCH(2,1/(('Port Linkages'!$C$18:$C$157=$AP10)*('Port Linkages'!$D$18:$D$157=IF($AO10="Yes",$AQ10,$KK10))*('Port Linkages'!$A$18:$A$157&lt;=$C10))))}</v>
      </c>
      <c r="ABT25" s="97" t="str">
        <f t="shared" ca="1" si="335"/>
        <v>=INDEX('Port Linkages'!$AI$18:$AI$157,MATCH(2,1/(('Port Linkages'!$C$18:$C$157=$AP10)*('Port Linkages'!$D$18:$D$157=IF($AO10="Yes",$AQ10,$KK10))*('Port Linkages'!$A$18:$A$157&lt;=$C10))))}</v>
      </c>
      <c r="ABU25" s="97" t="str">
        <f t="shared" ca="1" si="335"/>
        <v>=INDEX('Port Linkages'!$AJ$18:$AJ$157,MATCH(2,1/(('Port Linkages'!$C$18:$C$157=$AP10)*('Port Linkages'!$D$18:$D$157=IF($AO10="Yes",$AQ10,$KK10))*('Port Linkages'!$A$18:$A$157&lt;=$C10))))}</v>
      </c>
      <c r="ABV25" s="97" t="str">
        <f t="shared" ca="1" si="335"/>
        <v>=INDEX('Port Linkages'!$AK$18:$AK$157,MATCH(2,1/(('Port Linkages'!$C$18:$C$157=$AP10)*('Port Linkages'!$D$18:$D$157=IF($AO10="Yes",$AQ10,$KK10))*('Port Linkages'!$A$18:$A$157&lt;=$C10))))}</v>
      </c>
      <c r="ABW25" s="97" t="str">
        <f t="shared" ca="1" si="335"/>
        <v>=INDEX('Port Linkages'!$AL$18:$AL$157,MATCH(2,1/(('Port Linkages'!$C$18:$C$157=$AP10)*('Port Linkages'!$D$18:$D$157=IF($AO10="Yes",$AQ10,$KK10))*('Port Linkages'!$A$18:$A$157&lt;=$C10))))}</v>
      </c>
      <c r="ABX25" s="97" t="str">
        <f t="shared" ca="1" si="335"/>
        <v>=INDEX('Port Linkages'!$AM$18:$AM$157,MATCH(2,1/(('Port Linkages'!$C$18:$C$157=$AP10)*('Port Linkages'!$D$18:$D$157=IF($AO10="Yes",$AQ10,$KK10))*('Port Linkages'!$A$18:$A$157&lt;=$C10))))}</v>
      </c>
      <c r="ABY25" s="97" t="str">
        <f t="shared" ca="1" si="335"/>
        <v>=INDEX('Port Linkages'!$AN$18:$AN$157,MATCH(2,1/(('Port Linkages'!$C$18:$C$157=$AP10)*('Port Linkages'!$D$18:$D$157=IF($AO10="Yes",$AQ10,$KK10))*('Port Linkages'!$A$18:$A$157&lt;=$C10))))}</v>
      </c>
      <c r="ABZ25" s="97" t="str">
        <f t="shared" ca="1" si="335"/>
        <v>=INDEX('Port Linkages'!$AO$18:$AO$157,MATCH(2,1/(('Port Linkages'!$C$18:$C$157=$AP10)*('Port Linkages'!$D$18:$D$157=IF($AO10="Yes",$AQ10,$KK10))*('Port Linkages'!$A$18:$A$157&lt;=$C10))))}</v>
      </c>
      <c r="ACA25" s="97" t="str">
        <f t="shared" ca="1" si="335"/>
        <v>=INDEX('Port Linkages'!$AP$18:$AP$157,MATCH(2,1/(('Port Linkages'!$C$18:$C$157=$AP10)*('Port Linkages'!$D$18:$D$157=IF($AO10="Yes",$AQ10,$KK10))*('Port Linkages'!$A$18:$A$157&lt;=$C10))))}</v>
      </c>
      <c r="ACB25" s="97" t="str">
        <f t="shared" ca="1" si="335"/>
        <v>=INDEX('Port Linkages'!$AQ$18:$AQ$157,MATCH(2,1/(('Port Linkages'!$C$18:$C$157=$AP10)*('Port Linkages'!$D$18:$D$157=IF($AO10="Yes",$AQ10,$KK10))*('Port Linkages'!$A$18:$A$157&lt;=$C10))))}</v>
      </c>
      <c r="ACC25" s="97" t="str">
        <f t="shared" ca="1" si="335"/>
        <v>=INDEX('Port Linkages'!$AR$18:$AR$157,MATCH(2,1/(('Port Linkages'!$C$18:$C$157=$AP10)*('Port Linkages'!$D$18:$D$157=IF($AO10="Yes",$AQ10,$KK10))*('Port Linkages'!$A$18:$A$157&lt;=$C10))))}</v>
      </c>
      <c r="ACD25" s="97" t="str">
        <f t="shared" ca="1" si="335"/>
        <v>=INDEX('Port Linkages'!$AS$18:$AS$157,MATCH(2,1/(('Port Linkages'!$C$18:$C$157=$AP10)*('Port Linkages'!$D$18:$D$157=IF($AO10="Yes",$AQ10,$KK10))*('Port Linkages'!$A$18:$A$157&lt;=$C10))))}</v>
      </c>
      <c r="ACE25" s="97" t="str">
        <f t="shared" ca="1" si="335"/>
        <v>=INDEX('Port Linkages'!$AT$18:$AT$157,MATCH(2,1/(('Port Linkages'!$C$18:$C$157=$AP10)*('Port Linkages'!$D$18:$D$157=IF($AO10="Yes",$AQ10,$KK10))*('Port Linkages'!$A$18:$A$157&lt;=$C10))))}</v>
      </c>
      <c r="ACF25" s="97" t="str">
        <f t="shared" ca="1" si="335"/>
        <v>=INDEX('Port Linkages'!$AU$18:$AU$157,MATCH(2,1/(('Port Linkages'!$C$18:$C$157=$AP10)*('Port Linkages'!$D$18:$D$157=IF($AO10="Yes",$AQ10,$KK10))*('Port Linkages'!$A$18:$A$157&lt;=$C10))))}</v>
      </c>
      <c r="ACG25" s="97" t="str">
        <f t="shared" ca="1" si="335"/>
        <v>=INDEX('Port Linkages'!$AV$18:$AV$157,MATCH(2,1/(('Port Linkages'!$C$18:$C$157=$AP10)*('Port Linkages'!$D$18:$D$157=IF($AO10="Yes",$AQ10,$KK10))*('Port Linkages'!$A$18:$A$157&lt;=$C10))))}</v>
      </c>
      <c r="ACH25" s="97" t="str">
        <f t="shared" ca="1" si="335"/>
        <v>=INDEX('Port Linkages'!$AW$18:$AW$157,MATCH(2,1/(('Port Linkages'!$C$18:$C$157=$AP10)*('Port Linkages'!$D$18:$D$157=IF($AO10="Yes",$AQ10,$KK10))*('Port Linkages'!$A$18:$A$157&lt;=$C10))))}</v>
      </c>
      <c r="ACI25" s="97" t="str">
        <f t="shared" ca="1" si="335"/>
        <v>=INDEX('Port Linkages'!$AX$18:$AX$157,MATCH(2,1/(('Port Linkages'!$C$18:$C$157=$AP10)*('Port Linkages'!$D$18:$D$157=IF($AO10="Yes",$AQ10,$KK10))*('Port Linkages'!$A$18:$A$157&lt;=$C10))))}</v>
      </c>
      <c r="ACJ25" s="97" t="str">
        <f t="shared" ca="1" si="335"/>
        <v>=INDEX('Port Linkages'!$AY$18:$AY$157,MATCH(2,1/(('Port Linkages'!$C$18:$C$157=$AP10)*('Port Linkages'!$D$18:$D$157=IF($AO10="Yes",$AQ10,$KK10))*('Port Linkages'!$A$18:$A$157&lt;=$C10))))}</v>
      </c>
      <c r="ACK25" s="97" t="str">
        <f t="shared" ca="1" si="335"/>
        <v>=INDEX('Port Linkages'!$AZ$18:$AZ$157,MATCH(2,1/(('Port Linkages'!$C$18:$C$157=$AP10)*('Port Linkages'!$D$18:$D$157=IF($AO10="Yes",$AQ10,$KK10))*('Port Linkages'!$A$18:$A$157&lt;=$C10))))}</v>
      </c>
      <c r="ACL25" s="97" t="str">
        <f t="shared" ca="1" si="335"/>
        <v>=INDEX('Port Linkages'!$BA$18:$BA$157,MATCH(2,1/(('Port Linkages'!$C$18:$C$157=$AP10)*('Port Linkages'!$D$18:$D$157=IF($AO10="Yes",$AQ10,$KK10))*('Port Linkages'!$A$18:$A$157&lt;=$C10))))}</v>
      </c>
      <c r="ACM25" s="97" t="e">
        <f t="shared" ca="1" si="335"/>
        <v>#N/A</v>
      </c>
      <c r="ACN25" s="97" t="str">
        <f t="shared" ca="1" si="335"/>
        <v>=INDEX('Ship Fuel Prices'!$F$5:$F$1004,MATCH(2,1/(('Ship Fuel Prices'!$E$5:$E$1004=_xlfn.IFS(AAC10="Handysize",Main!ACI10,AAC10="Supramax",ACB10,AAC10="Panamax",ABU10,AAC10="NeoPanamax",ABN10,AAC10="Suezmax",ABG10,AAC10="Capesize",AAZ10,AAC10="VLOC",AAS10))*('Ship Fuel Prices'!$D$5:$D$1004&lt;=Main!$C10))))}</v>
      </c>
      <c r="ACO25" s="97" t="str">
        <f t="shared" ca="1" si="335"/>
        <v>=INDEX('Ship Fuel Prices'!$G$5:$G$1004,MATCH(2,1/(('Ship Fuel Prices'!$E$5:$E$1004=_xlfn.IFS(AAC10="Handysize",Main!ACI10,AAC10="Supramax",ACB10,AAC10="Panamax",ABU10,AAC10="NeoPanamax",ABN10,AAC10="Suezmax",ABG10,AAC10="Capesize",AAZ10,AAC10="VLOC",AAS10))*('Ship Fuel Prices'!$D$5:$D$1004&lt;=Main!$C10))))}</v>
      </c>
      <c r="ACP25" s="97" t="str">
        <f t="shared" ca="1" si="335"/>
        <v>=INDEX('Ship Fuel Prices'!$H$5:$H$1004,MATCH(2,1/(('Ship Fuel Prices'!$E$5:$E$1004=_xlfn.IFS(AAC10="Handysize",Main!ACI10,AAC10="Supramax",ACB10,AAC10="Panamax",ABU10,AAC10="NeoPanamax",ABN10,AAC10="Suezmax",ABG10,AAC10="Capesize",AAZ10,AAC10="VLOC",AAS10))*('Ship Fuel Prices'!$D$5:$D$1004&lt;=Main!$C10))))}</v>
      </c>
      <c r="ACQ25" s="97" t="str">
        <f t="shared" ca="1" si="335"/>
        <v>=INDEX('Ship Fuel Prices'!$I$5:$I$1004,MATCH(2,1/(('Ship Fuel Prices'!$E$5:$E$1004=_xlfn.IFS(AAC10="Handysize",Main!ACI10,AAC10="Supramax",ACB10,AAC10="Panamax",ABU10,AAC10="NeoPanamax",ABN10,AAC10="Suezmax",ABG10,AAC10="Capesize",AAZ10,AAC10="VLOC",AAS10))*('Ship Fuel Prices'!$D$5:$D$1004&lt;=Main!$C10))))}</v>
      </c>
      <c r="ACR25" s="97" t="str">
        <f t="shared" ca="1" si="335"/>
        <v>=INDEX('Ship Fuel Prices'!$J$5:$J$1004,MATCH(2,1/(('Ship Fuel Prices'!$E$5:$E$1004=_xlfn.IFS(AAC10="Handysize",Main!ACI10,AAC10="Supramax",ACB10,AAC10="Panamax",ABU10,AAC10="NeoPanamax",ABN10,AAC10="Suezmax",ABG10,AAC10="Capesize",AAZ10,AAC10="VLOC",AAS10))*('Ship Fuel Prices'!$D$5:$D$1004&lt;=Main!$C10))))}</v>
      </c>
      <c r="ACS25" s="97" t="e">
        <f t="shared" ca="1" si="335"/>
        <v>#N/A</v>
      </c>
      <c r="ACT25" s="97" t="str">
        <f t="shared" ca="1" si="335"/>
        <v>=INDEX('China n Importing Ports'!$E$20:$E$41,MATCH(2,1/(('China n Importing Ports'!$D$20:$D$41&lt;=$C10)*('China n Importing Ports'!$C$20:$C$41=IF($AO10="Yes",$AQ10,$KK10)))))}</v>
      </c>
      <c r="ACU25" s="97" t="str">
        <f t="shared" ca="1" si="335"/>
        <v>=INDEX('China n Importing Ports'!$F$20:$F$41,MATCH(2,1/(('China n Importing Ports'!$D$20:$D$41&lt;=$C10)*('China n Importing Ports'!$C$20:$C$41=IF($AO10="Yes",$AQ10,$KK10)))))}</v>
      </c>
      <c r="ACV25" s="97" t="str">
        <f t="shared" ca="1" si="335"/>
        <v>=INDEX('China n Importing Ports'!$G$20:$G$41,MATCH(2,1/(('China n Importing Ports'!$D$20:$D$41&lt;=$C10)*('China n Importing Ports'!$C$20:$C$41=IF($AO10="Yes",$AQ10,$KK10)))))}</v>
      </c>
      <c r="ACW25" s="97" t="str">
        <f t="shared" ca="1" si="335"/>
        <v>=INDEX('China n Importing Ports'!$H$20:$H$41,MATCH(2,1/(('China n Importing Ports'!$D$20:$D$41&lt;=$C10)*('China n Importing Ports'!$C$20:$C$41=IF($AO10="Yes",$AQ10,$KK10)))))}</v>
      </c>
      <c r="ACX25" s="97" t="str">
        <f t="shared" ca="1" si="335"/>
        <v>=INDEX('China n Importing Ports'!$I$20:$I$41,MATCH(2,1/(('China n Importing Ports'!$D$20:$D$41&lt;=$C10)*('China n Importing Ports'!$C$20:$C$41=IF($AO10="Yes",$AQ10,$KK10)))))}</v>
      </c>
      <c r="ACY25" s="97" t="str">
        <f t="shared" ca="1" si="335"/>
        <v>=INDEX('China n Importing Ports'!$J$20:$J$41,MATCH(2,1/(('China n Importing Ports'!$D$20:$D$41&lt;=$C10)*('China n Importing Ports'!$C$20:$C$41=IF($AO10="Yes",$AQ10,$KK10)))))}</v>
      </c>
      <c r="ACZ25" s="97" t="str">
        <f t="shared" ca="1" si="335"/>
        <v>=INDEX('China n Importing Ports'!$K$20:$K$41,MATCH(2,1/(('China n Importing Ports'!$D$20:$D$41&lt;=$C10)*('China n Importing Ports'!$C$20:$C$41=IF($AO10="Yes",$AQ10,$KK10)))))}</v>
      </c>
      <c r="ADA25" s="97" t="str">
        <f t="shared" ca="1" si="335"/>
        <v>=INDEX('China n Importing Ports'!$L$20:$L$41,MATCH(2,1/(('China n Importing Ports'!$D$20:$D$41&lt;=$C10)*('China n Importing Ports'!$C$20:$C$41=IF($AO10="Yes",$AQ10,$KK10)))))}</v>
      </c>
      <c r="ADB25" s="97" t="str">
        <f t="shared" ca="1" si="335"/>
        <v>=INDEX('China n Importing Ports'!$M$20:$M$41,MATCH(2,1/(('China n Importing Ports'!$D$20:$D$41&lt;=$C10)*('China n Importing Ports'!$C$20:$C$41=IF($AO10="Yes",$AQ10,$KK10)))))}</v>
      </c>
      <c r="ADC25" s="97" t="str">
        <f t="shared" ca="1" si="335"/>
        <v>=INDEX('China n Importing Ports'!$N$20:$N$41,MATCH(2,1/(('China n Importing Ports'!$D$20:$D$41&lt;=$C10)*('China n Importing Ports'!$C$20:$C$41=IF($AO10="Yes",$AQ10,$KK10)))))}</v>
      </c>
      <c r="ADD25" s="97" t="str">
        <f t="shared" ca="1" si="335"/>
        <v>=INDEX('China n Importing Ports'!$O$20:$O$41,MATCH(2,1/(('China n Importing Ports'!$D$20:$D$41&lt;=$C10)*('China n Importing Ports'!$C$20:$C$41=IF($AO10="Yes",$AQ10,$KK10)))))}</v>
      </c>
      <c r="ADE25" s="97" t="str">
        <f t="shared" ca="1" si="335"/>
        <v>=INDEX('China n Importing Ports'!$P$20:$P$41,MATCH(2,1/(('China n Importing Ports'!$D$20:$D$41&lt;=$C10)*('China n Importing Ports'!$C$20:$C$41=IF($AO10="Yes",$AQ10,$KK10)))))}</v>
      </c>
      <c r="ADF25" s="97" t="str">
        <f t="shared" ca="1" si="335"/>
        <v>=INDEX('China n Importing Ports'!$Q$20:$Q$41,MATCH(2,1/(('China n Importing Ports'!$D$20:$D$41&lt;=$C10)*('China n Importing Ports'!$C$20:$C$41=IF($AO10="Yes",$AQ10,$KK10)))))}</v>
      </c>
      <c r="ADG25" s="97" t="str">
        <f t="shared" ca="1" si="335"/>
        <v>=INDEX('China n Importing Ports'!$R$20:$R$41,MATCH(2,1/(('China n Importing Ports'!$D$20:$D$41&lt;=$C10)*('China n Importing Ports'!$C$20:$C$41=IF($AO10="Yes",$AQ10,$KK10)))))}</v>
      </c>
      <c r="ADH25" s="97" t="str">
        <f t="shared" ca="1" si="335"/>
        <v>=INDEX('China n Importing Ports'!$S$20:$S$41,MATCH(2,1/(('China n Importing Ports'!$D$20:$D$41&lt;=$C10)*('China n Importing Ports'!$C$20:$C$41=IF($AO10="Yes",$AQ10,$KK10)))))}</v>
      </c>
      <c r="ADI25" s="97" t="str">
        <f t="shared" ca="1" si="335"/>
        <v>=INDEX('China n Importing Ports'!$T$20:$T$41,MATCH(2,1/(('China n Importing Ports'!$D$20:$D$41&lt;=$C10)*('China n Importing Ports'!$C$20:$C$41=IF($AO10="Yes",$AQ10,$KK10)))))}</v>
      </c>
      <c r="ADJ25" s="97" t="str">
        <f t="shared" ca="1" si="335"/>
        <v>=INDEX('China n Importing Ports'!$U$20:$U$41,MATCH(2,1/(('China n Importing Ports'!$D$20:$D$41&lt;=$C10)*('China n Importing Ports'!$C$20:$C$41=IF($AO10="Yes",$AQ10,$KK10)))))}</v>
      </c>
      <c r="ADK25" s="97" t="str">
        <f t="shared" ca="1" si="335"/>
        <v>=INDEX('China n Importing Ports'!$V$20:$V$41,MATCH(2,1/(('China n Importing Ports'!$D$20:$D$41&lt;=$C10)*('China n Importing Ports'!$C$20:$C$41=IF($AO10="Yes",$AQ10,$KK10)))))}</v>
      </c>
      <c r="ADL25" s="97" t="str">
        <f t="shared" ca="1" si="335"/>
        <v>=INDEX('China n Importing Ports'!$W$20:$W$41,MATCH(2,1/(('China n Importing Ports'!$D$20:$D$41&lt;=$C10)*('China n Importing Ports'!$C$20:$C$41=IF($AO10="Yes",$AQ10,$KK10)))))}</v>
      </c>
      <c r="ADM25" s="97" t="str">
        <f t="shared" ca="1" si="335"/>
        <v>=INDEX('China n Importing Ports'!$X$20:$X$41,MATCH(2,1/(('China n Importing Ports'!$D$20:$D$41&lt;=$C10)*('China n Importing Ports'!$C$20:$C$41=IF($AO10="Yes",$AQ10,$KK10)))))}</v>
      </c>
      <c r="ADN25" s="97" t="str">
        <f t="shared" ca="1" si="335"/>
        <v>=INDEX('China n Importing Ports'!$Y$20:$Y$41,MATCH(2,1/(('China n Importing Ports'!$D$20:$D$41&lt;=$C10)*('China n Importing Ports'!$C$20:$C$41=IF($AO10="Yes",$AQ10,$KK10)))))}</v>
      </c>
      <c r="ADO25" s="97" t="str">
        <f t="shared" ca="1" si="335"/>
        <v>=INDEX('China n Importing Ports'!$Z$20:$Z$41,MATCH(2,1/(('China n Importing Ports'!$D$20:$D$41&lt;=$C10)*('China n Importing Ports'!$C$20:$C$41=IF($AO10="Yes",$AQ10,$KK10)))))}</v>
      </c>
      <c r="ADP25" s="97" t="str">
        <f t="shared" ca="1" si="335"/>
        <v>=INDEX('China n Importing Ports'!$AA$20:$AA$41,MATCH(2,1/(('China n Importing Ports'!$D$20:$D$41&lt;=$C10)*('China n Importing Ports'!$C$20:$C$41=IF($AO10="Yes",$AQ10,$KK10)))))}</v>
      </c>
      <c r="ADQ25" s="97" t="e">
        <f t="shared" ca="1" si="335"/>
        <v>#N/A</v>
      </c>
      <c r="ADR25" s="97" t="str">
        <f t="shared" ca="1" si="335"/>
        <v>=INDEX(Canals!$G$24:$G$29,MATCH(2,1/((Canals!$F$24:$F$29&lt;=$C10)*(Canals!$G$24:$G$29=_xlfn.IFS(AAC10="Handysize",Main!ACL10,AAC10="Supramax",ACE10,AAC10="Panamax",ABX10,AAC10="NeoPanamax",ABQ10,AAC10="Suezmax",ABJ10,AAC10="Capesize",ABC10,AAC10="VLOC",AAV10)))))}</v>
      </c>
      <c r="ADS25" s="97" t="str">
        <f t="shared" ca="1" si="335"/>
        <v>=INDEX(Canals!$H$24:$H$29,MATCH(2,1/((Canals!$F$24:$F$29&lt;=$C10)*(Canals!$G$24:$G$29=_xlfn.IFS(AAC10="Handysize",Main!ACL10,AAC10="Supramax",ACE10,AAC10="Panamax",ABX10,AAC10="NeoPanamax",ABQ10,AAC10="Suezmax",ABJ10,AAC10="Capesize",ABC10,AAC10="VLOC",AAV10)))))}</v>
      </c>
      <c r="ADT25" s="97" t="str">
        <f t="shared" ca="1" si="335"/>
        <v>=INDEX(Canals!$I$24:$I$29,MATCH(2,1/((Canals!$F$24:$F$29&lt;=$C10)*(Canals!$G$24:$G$29=_xlfn.IFS(AAC10="Handysize",Main!ACL10,AAC10="Supramax",ACE10,AAC10="Panamax",ABX10,AAC10="NeoPanamax",ABQ10,AAC10="Suezmax",ABJ10,AAC10="Capesize",ABC10,AAC10="VLOC",AAV10)))))}</v>
      </c>
      <c r="ADU25" s="97" t="str">
        <f t="shared" ref="ADU25:AGF25" ca="1" si="336">RIGHT(_xlfn.FORMULATEXT(ADU10),LEN(_xlfn.FORMULATEXT(ADU10))-1)</f>
        <v>=INDEX(Canals!$J$24:$J$29,MATCH(2,1/((Canals!$F$24:$F$29&lt;=$C10)*(Canals!$G$24:$G$29=_xlfn.IFS(AAC10="Handysize",Main!ACL10,AAC10="Supramax",ACE10,AAC10="Panamax",ABX10,AAC10="NeoPanamax",ABQ10,AAC10="Suezmax",ABJ10,AAC10="Capesize",ABC10,AAC10="VLOC",AAV10)))))}</v>
      </c>
      <c r="ADV25" s="97" t="str">
        <f t="shared" ca="1" si="336"/>
        <v>=INDEX(Canals!$K$24:$K$29,MATCH(2,1/((Canals!$F$24:$F$29&lt;=$C10)*(Canals!$G$24:$G$29=_xlfn.IFS(AAC10="Handysize",Main!ACL10,AAC10="Supramax",ACE10,AAC10="Panamax",ABX10,AAC10="NeoPanamax",ABQ10,AAC10="Suezmax",ABJ10,AAC10="Capesize",ABC10,AAC10="VLOC",AAV10)))))}</v>
      </c>
      <c r="ADW25" s="97" t="str">
        <f t="shared" ca="1" si="336"/>
        <v>=INDEX(Canals!$L$24:$L$29,MATCH(2,1/((Canals!$F$24:$F$29&lt;=$C10)*(Canals!$G$24:$G$29=_xlfn.IFS(AAC10="Handysize",Main!ACL10,AAC10="Supramax",ACE10,AAC10="Panamax",ABX10,AAC10="NeoPanamax",ABQ10,AAC10="Suezmax",ABJ10,AAC10="Capesize",ABC10,AAC10="VLOC",AAV10)))))}</v>
      </c>
      <c r="ADX25" s="97" t="str">
        <f t="shared" ca="1" si="336"/>
        <v>=INDEX(Canals!$M$24:$M$29,MATCH(2,1/((Canals!$F$24:$F$29&lt;=$C10)*(Canals!$G$24:$G$29=_xlfn.IFS(AAC10="Handysize",Main!ACL10,AAC10="Supramax",ACE10,AAC10="Panamax",ABX10,AAC10="NeoPanamax",ABQ10,AAC10="Suezmax",ABJ10,AAC10="Capesize",ABC10,AAC10="VLOC",AAV10)))))}</v>
      </c>
      <c r="ADY25" s="97" t="str">
        <f t="shared" ca="1" si="336"/>
        <v>=INDEX(Canals!$N$24:$N$29,MATCH(2,1/((Canals!$F$24:$F$29&lt;=$C10)*(Canals!$G$24:$G$29=_xlfn.IFS(AAC10="Handysize",Main!ACL10,AAC10="Supramax",ACE10,AAC10="Panamax",ABX10,AAC10="NeoPanamax",ABQ10,AAC10="Suezmax",ABJ10,AAC10="Capesize",ABC10,AAC10="VLOC",AAV10)))))}</v>
      </c>
      <c r="ADZ25" s="97" t="str">
        <f t="shared" ca="1" si="336"/>
        <v>=INDEX(Canals!$O$24:$O$29,MATCH(2,1/((Canals!$F$24:$F$29&lt;=$C10)*(Canals!$G$24:$G$29=_xlfn.IFS(AAC10="Handysize",Main!ACL10,AAC10="Supramax",ACE10,AAC10="Panamax",ABX10,AAC10="NeoPanamax",ABQ10,AAC10="Suezmax",ABJ10,AAC10="Capesize",ABC10,AAC10="VLOC",AAV10)))))}</v>
      </c>
      <c r="AEA25" s="97" t="str">
        <f t="shared" ca="1" si="336"/>
        <v>=INDEX(Canals!$P$24:$P$29,MATCH(2,1/((Canals!$F$24:$F$29&lt;=$C10)*(Canals!$G$24:$G$29=_xlfn.IFS(AAC10="Handysize",Main!ACL10,AAC10="Supramax",ACE10,AAC10="Panamax",ABX10,AAC10="NeoPanamax",ABQ10,AAC10="Suezmax",ABJ10,AAC10="Capesize",ABC10,AAC10="VLOC",AAV10)))))}</v>
      </c>
      <c r="AEB25" s="97" t="str">
        <f t="shared" ca="1" si="336"/>
        <v>=INDEX(Canals!$Q$24:$Q$29,MATCH(2,1/((Canals!$F$24:$F$29&lt;=$C10)*(Canals!$G$24:$G$29=_xlfn.IFS(AAC10="Handysize",Main!ACL10,AAC10="Supramax",ACE10,AAC10="Panamax",ABX10,AAC10="NeoPanamax",ABQ10,AAC10="Suezmax",ABJ10,AAC10="Capesize",ABC10,AAC10="VLOC",AAV10)))))}</v>
      </c>
      <c r="AEC25" s="97" t="str">
        <f t="shared" ca="1" si="336"/>
        <v>=INDEX(Canals!$R$24:$R$29,MATCH(2,1/((Canals!$F$24:$F$29&lt;=$C10)*(Canals!$G$24:$G$29=_xlfn.IFS(AAC10="Handysize",Main!ACL10,AAC10="Supramax",ACE10,AAC10="Panamax",ABX10,AAC10="NeoPanamax",ABQ10,AAC10="Suezmax",ABJ10,AAC10="Capesize",ABC10,AAC10="VLOC",AAV10)))))}</v>
      </c>
      <c r="AED25" s="97" t="str">
        <f t="shared" ca="1" si="336"/>
        <v>=INDEX(Canals!$S$24:$S$29,MATCH(2,1/((Canals!$F$24:$F$29&lt;=$C10)*(Canals!$G$24:$G$29=_xlfn.IFS(AAC10="Handysize",Main!ACL10,AAC10="Supramax",ACE10,AAC10="Panamax",ABX10,AAC10="NeoPanamax",ABQ10,AAC10="Suezmax",ABJ10,AAC10="Capesize",ABC10,AAC10="VLOC",AAV10)))))}</v>
      </c>
      <c r="AEE25" s="97" t="str">
        <f t="shared" ca="1" si="336"/>
        <v>=INDEX(Canals!$T$24:$T$29,MATCH(2,1/((Canals!$F$24:$F$29&lt;=$C10)*(Canals!$G$24:$G$29=_xlfn.IFS(AAC10="Handysize",Main!ACL10,AAC10="Supramax",ACE10,AAC10="Panamax",ABX10,AAC10="NeoPanamax",ABQ10,AAC10="Suezmax",ABJ10,AAC10="Capesize",ABC10,AAC10="VLOC",AAV10)))))}</v>
      </c>
      <c r="AEF25" s="97" t="str">
        <f t="shared" ca="1" si="336"/>
        <v>=INDEX(Canals!$U$24:$U$29,MATCH(2,1/((Canals!$F$24:$F$29&lt;=$C10)*(Canals!$G$24:$G$29=_xlfn.IFS(AAC10="Handysize",Main!ACL10,AAC10="Supramax",ACE10,AAC10="Panamax",ABX10,AAC10="NeoPanamax",ABQ10,AAC10="Suezmax",ABJ10,AAC10="Capesize",ABC10,AAC10="VLOC",AAV10)))))}</v>
      </c>
      <c r="AEG25" s="97" t="str">
        <f t="shared" ca="1" si="336"/>
        <v>=INDEX(Canals!$V$24:$V$29,MATCH(2,1/((Canals!$F$24:$F$29&lt;=$C10)*(Canals!$G$24:$G$29=_xlfn.IFS(AAC10="Handysize",Main!ACL10,AAC10="Supramax",ACE10,AAC10="Panamax",ABX10,AAC10="NeoPanamax",ABQ10,AAC10="Suezmax",ABJ10,AAC10="Capesize",ABC10,AAC10="VLOC",AAV10)))))}</v>
      </c>
      <c r="AEH25" s="97" t="str">
        <f t="shared" ca="1" si="336"/>
        <v>=INDEX(Canals!$W$24:$W$29,MATCH(2,1/((Canals!$F$24:$F$29&lt;=$C10)*(Canals!$G$24:$G$29=_xlfn.IFS(AAC10="Handysize",Main!ACL10,AAC10="Supramax",ACE10,AAC10="Panamax",ABX10,AAC10="NeoPanamax",ABQ10,AAC10="Suezmax",ABJ10,AAC10="Capesize",ABC10,AAC10="VLOC",AAV10)))))}</v>
      </c>
      <c r="AEI25" s="97" t="str">
        <f t="shared" ca="1" si="336"/>
        <v>=INDEX(Canals!$X$24:$X$29,MATCH(2,1/((Canals!$F$24:$F$29&lt;=$C10)*(Canals!$G$24:$G$29=_xlfn.IFS(AAC10="Handysize",Main!ACL10,AAC10="Supramax",ACE10,AAC10="Panamax",ABX10,AAC10="NeoPanamax",ABQ10,AAC10="Suezmax",ABJ10,AAC10="Capesize",ABC10,AAC10="VLOC",AAV10)))))}</v>
      </c>
      <c r="AEJ25" s="97" t="str">
        <f t="shared" ca="1" si="336"/>
        <v>=INDEX(Canals!$Y$24:$Y$29,MATCH(2,1/((Canals!$F$24:$F$29&lt;=$C10)*(Canals!$G$24:$G$29=_xlfn.IFS(AAC10="Handysize",Main!ACL10,AAC10="Supramax",ACE10,AAC10="Panamax",ABX10,AAC10="NeoPanamax",ABQ10,AAC10="Suezmax",ABJ10,AAC10="Capesize",ABC10,AAC10="VLOC",AAV10)))))}</v>
      </c>
      <c r="AEK25" s="97" t="str">
        <f t="shared" ca="1" si="336"/>
        <v>=INDEX(Canals!$Z$24:$Z$29,MATCH(2,1/((Canals!$F$24:$F$29&lt;=$C10)*(Canals!$G$24:$G$29=_xlfn.IFS(AAC10="Handysize",Main!ACL10,AAC10="Supramax",ACE10,AAC10="Panamax",ABX10,AAC10="NeoPanamax",ABQ10,AAC10="Suezmax",ABJ10,AAC10="Capesize",ABC10,AAC10="VLOC",AAV10)))))}</v>
      </c>
      <c r="AEL25" s="97" t="str">
        <f t="shared" ca="1" si="336"/>
        <v>=INDEX(Canals!$AA$24:$AA$29,MATCH(2,1/((Canals!$F$24:$F$29&lt;=$C10)*(Canals!$G$24:$G$29=_xlfn.IFS(AAC10="Handysize",Main!ACL10,AAC10="Supramax",ACE10,AAC10="Panamax",ABX10,AAC10="NeoPanamax",ABQ10,AAC10="Suezmax",ABJ10,AAC10="Capesize",ABC10,AAC10="VLOC",AAV10)))))}</v>
      </c>
      <c r="AEM25" s="97" t="str">
        <f t="shared" ca="1" si="336"/>
        <v>=INDEX(Canals!$AB$24:$AB$29,MATCH(2,1/((Canals!$F$24:$F$29&lt;=$C10)*(Canals!$G$24:$G$29=_xlfn.IFS(AAC10="Handysize",Main!ACL10,AAC10="Supramax",ACE10,AAC10="Panamax",ABX10,AAC10="NeoPanamax",ABQ10,AAC10="Suezmax",ABJ10,AAC10="Capesize",ABC10,AAC10="VLOC",AAV10)))))}</v>
      </c>
      <c r="AEN25" s="97" t="str">
        <f t="shared" ca="1" si="336"/>
        <v>=INDEX(Canals!$AC$24:$AC$29,MATCH(2,1/((Canals!$F$24:$F$29&lt;=$C10)*(Canals!$G$24:$G$29=_xlfn.IFS(AAC10="Handysize",Main!ACL10,AAC10="Supramax",ACE10,AAC10="Panamax",ABX10,AAC10="NeoPanamax",ABQ10,AAC10="Suezmax",ABJ10,AAC10="Capesize",ABC10,AAC10="VLOC",AAV10)))))}</v>
      </c>
      <c r="AEO25" s="97" t="str">
        <f t="shared" ca="1" si="336"/>
        <v>=INDEX(Canals!$AD$24:$AD$29,MATCH(2,1/((Canals!$F$24:$F$29&lt;=$C10)*(Canals!$G$24:$G$29=_xlfn.IFS(AAC10="Handysize",Main!ACL10,AAC10="Supramax",ACE10,AAC10="Panamax",ABX10,AAC10="NeoPanamax",ABQ10,AAC10="Suezmax",ABJ10,AAC10="Capesize",ABC10,AAC10="VLOC",AAV10)))))}</v>
      </c>
      <c r="AEP25" s="97" t="str">
        <f t="shared" ca="1" si="336"/>
        <v>=INDEX(Canals!$AE$24:$AE$29,MATCH(2,1/((Canals!$F$24:$F$29&lt;=$C10)*(Canals!$G$24:$G$29=_xlfn.IFS(AAC10="Handysize",Main!ACL10,AAC10="Supramax",ACE10,AAC10="Panamax",ABX10,AAC10="NeoPanamax",ABQ10,AAC10="Suezmax",ABJ10,AAC10="Capesize",ABC10,AAC10="VLOC",AAV10)))))}</v>
      </c>
      <c r="AEQ25" s="97" t="str">
        <f t="shared" ca="1" si="336"/>
        <v>=INDEX(Canals!$AF$24:$AF$29,MATCH(2,1/((Canals!$F$24:$F$29&lt;=$C10)*(Canals!$G$24:$G$29=_xlfn.IFS(AAC10="Handysize",Main!ACL10,AAC10="Supramax",ACE10,AAC10="Panamax",ABX10,AAC10="NeoPanamax",ABQ10,AAC10="Suezmax",ABJ10,AAC10="Capesize",ABC10,AAC10="VLOC",AAV10)))))}</v>
      </c>
      <c r="AER25" s="97" t="str">
        <f t="shared" ca="1" si="336"/>
        <v>=INDEX(Canals!$AG$24:$AG$29,MATCH(2,1/((Canals!$F$24:$F$29&lt;=$C10)*(Canals!$G$24:$G$29=_xlfn.IFS(AAC10="Handysize",Main!ACL10,AAC10="Supramax",ACE10,AAC10="Panamax",ABX10,AAC10="NeoPanamax",ABQ10,AAC10="Suezmax",ABJ10,AAC10="Capesize",ABC10,AAC10="VLOC",AAV10)))))}</v>
      </c>
      <c r="AES25" s="97" t="str">
        <f t="shared" ca="1" si="336"/>
        <v>=INDEX(Canals!$AH$24:$AH$29,MATCH(2,1/((Canals!$F$24:$F$29&lt;=$C10)*(Canals!$G$24:$G$29=_xlfn.IFS(AAC10="Handysize",Main!ACL10,AAC10="Supramax",ACE10,AAC10="Panamax",ABX10,AAC10="NeoPanamax",ABQ10,AAC10="Suezmax",ABJ10,AAC10="Capesize",ABC10,AAC10="VLOC",AAV10)))))}</v>
      </c>
      <c r="AET25" s="97" t="str">
        <f t="shared" ca="1" si="336"/>
        <v>=INDEX(Canals!$AI$24:$AI$29,MATCH(2,1/((Canals!$F$24:$F$29&lt;=$C10)*(Canals!$G$24:$G$29=_xlfn.IFS(AAC10="Handysize",Main!ACL10,AAC10="Supramax",ACE10,AAC10="Panamax",ABX10,AAC10="NeoPanamax",ABQ10,AAC10="Suezmax",ABJ10,AAC10="Capesize",ABC10,AAC10="VLOC",AAV10)))))}</v>
      </c>
      <c r="AEU25" s="97" t="str">
        <f t="shared" ca="1" si="336"/>
        <v>=INDEX(Canals!$AJ$24:$AJ$29,MATCH(2,1/((Canals!$F$24:$F$29&lt;=$C10)*(Canals!$G$24:$G$29=_xlfn.IFS(AAC10="Handysize",Main!ACL10,AAC10="Supramax",ACE10,AAC10="Panamax",ABX10,AAC10="NeoPanamax",ABQ10,AAC10="Suezmax",ABJ10,AAC10="Capesize",ABC10,AAC10="VLOC",AAV10)))))}</v>
      </c>
      <c r="AEV25" s="97" t="str">
        <f t="shared" ca="1" si="336"/>
        <v>=INDEX(Canals!$AK$24:$AK$29,MATCH(2,1/((Canals!$F$24:$F$29&lt;=$C10)*(Canals!$G$24:$G$29=_xlfn.IFS(AAC10="Handysize",Main!ACL10,AAC10="Supramax",ACE10,AAC10="Panamax",ABX10,AAC10="NeoPanamax",ABQ10,AAC10="Suezmax",ABJ10,AAC10="Capesize",ABC10,AAC10="VLOC",AAV10)))))}</v>
      </c>
      <c r="AEW25" s="97" t="str">
        <f t="shared" ca="1" si="336"/>
        <v>=INDEX(Canals!$AL$24:$AL$29,MATCH(2,1/((Canals!$F$24:$F$29&lt;=$C10)*(Canals!$G$24:$G$29=_xlfn.IFS(AAC10="Handysize",Main!ACL10,AAC10="Supramax",ACE10,AAC10="Panamax",ABX10,AAC10="NeoPanamax",ABQ10,AAC10="Suezmax",ABJ10,AAC10="Capesize",ABC10,AAC10="VLOC",AAV10)))))}</v>
      </c>
      <c r="AEX25" s="97" t="str">
        <f t="shared" ca="1" si="336"/>
        <v>=INDEX(Canals!$AM$24:$AM$29,MATCH(2,1/((Canals!$F$24:$F$29&lt;=$C10)*(Canals!$G$24:$G$29=_xlfn.IFS(AAC10="Handysize",Main!ACL10,AAC10="Supramax",ACE10,AAC10="Panamax",ABX10,AAC10="NeoPanamax",ABQ10,AAC10="Suezmax",ABJ10,AAC10="Capesize",ABC10,AAC10="VLOC",AAV10)))))}</v>
      </c>
      <c r="AEY25" s="97" t="str">
        <f t="shared" ca="1" si="336"/>
        <v>=INDEX(Canals!$AN$24:$AN$29,MATCH(2,1/((Canals!$F$24:$F$29&lt;=$C10)*(Canals!$G$24:$G$29=_xlfn.IFS(AAC10="Handysize",Main!ACL10,AAC10="Supramax",ACE10,AAC10="Panamax",ABX10,AAC10="NeoPanamax",ABQ10,AAC10="Suezmax",ABJ10,AAC10="Capesize",ABC10,AAC10="VLOC",AAV10)))))}</v>
      </c>
      <c r="AEZ25" s="97" t="str">
        <f t="shared" ca="1" si="336"/>
        <v>=INDEX(Canals!$AO$24:$AO$29,MATCH(2,1/((Canals!$F$24:$F$29&lt;=$C10)*(Canals!$G$24:$G$29=_xlfn.IFS(AAC10="Handysize",Main!ACL10,AAC10="Supramax",ACE10,AAC10="Panamax",ABX10,AAC10="NeoPanamax",ABQ10,AAC10="Suezmax",ABJ10,AAC10="Capesize",ABC10,AAC10="VLOC",AAV10)))))}</v>
      </c>
      <c r="AFA25" s="97" t="str">
        <f t="shared" ca="1" si="336"/>
        <v>=INDEX(Canals!$AP$24:$AP$29,MATCH(2,1/((Canals!$F$24:$F$29&lt;=$C10)*(Canals!$G$24:$G$29=_xlfn.IFS(AAC10="Handysize",Main!ACL10,AAC10="Supramax",ACE10,AAC10="Panamax",ABX10,AAC10="NeoPanamax",ABQ10,AAC10="Suezmax",ABJ10,AAC10="Capesize",ABC10,AAC10="VLOC",AAV10)))))}</v>
      </c>
      <c r="AFB25" s="97" t="str">
        <f t="shared" ca="1" si="336"/>
        <v>=INDEX(Canals!$AQ$24:$AQ$29,MATCH(2,1/((Canals!$F$24:$F$29&lt;=$C10)*(Canals!$G$24:$G$29=_xlfn.IFS(AAC10="Handysize",Main!ACL10,AAC10="Supramax",ACE10,AAC10="Panamax",ABX10,AAC10="NeoPanamax",ABQ10,AAC10="Suezmax",ABJ10,AAC10="Capesize",ABC10,AAC10="VLOC",AAV10)))))}</v>
      </c>
      <c r="AFC25" s="97" t="str">
        <f t="shared" ca="1" si="336"/>
        <v>=INDEX(Canals!$AR$24:$AR$29,MATCH(2,1/((Canals!$F$24:$F$29&lt;=$C10)*(Canals!$G$24:$G$29=_xlfn.IFS(AAC10="Handysize",Main!ACL10,AAC10="Supramax",ACE10,AAC10="Panamax",ABX10,AAC10="NeoPanamax",ABQ10,AAC10="Suezmax",ABJ10,AAC10="Capesize",ABC10,AAC10="VLOC",AAV10)))))}</v>
      </c>
      <c r="AFD25" s="97" t="str">
        <f t="shared" ca="1" si="336"/>
        <v>=INDEX(Canals!$AS$24:$AS$29,MATCH(2,1/((Canals!$F$24:$F$29&lt;=$C10)*(Canals!$G$24:$G$29=_xlfn.IFS(AAC10="Handysize",Main!ACL10,AAC10="Supramax",ACE10,AAC10="Panamax",ABX10,AAC10="NeoPanamax",ABQ10,AAC10="Suezmax",ABJ10,AAC10="Capesize",ABC10,AAC10="VLOC",AAV10)))))}</v>
      </c>
      <c r="AFE25" s="97" t="str">
        <f t="shared" ca="1" si="336"/>
        <v>=INDEX(Canals!$AT$24:$AT$29,MATCH(2,1/((Canals!$F$24:$F$29&lt;=$C10)*(Canals!$G$24:$G$29=_xlfn.IFS(AAC10="Handysize",Main!ACL10,AAC10="Supramax",ACE10,AAC10="Panamax",ABX10,AAC10="NeoPanamax",ABQ10,AAC10="Suezmax",ABJ10,AAC10="Capesize",ABC10,AAC10="VLOC",AAV10)))))}</v>
      </c>
      <c r="AFF25" s="97" t="str">
        <f t="shared" ca="1" si="336"/>
        <v>=INDEX(Canals!$AU$24:$AU$29,MATCH(2,1/((Canals!$F$24:$F$29&lt;=$C10)*(Canals!$G$24:$G$29=_xlfn.IFS(AAC10="Handysize",Main!ACL10,AAC10="Supramax",ACE10,AAC10="Panamax",ABX10,AAC10="NeoPanamax",ABQ10,AAC10="Suezmax",ABJ10,AAC10="Capesize",ABC10,AAC10="VLOC",AAV10)))))}</v>
      </c>
      <c r="AFG25" s="97" t="str">
        <f t="shared" ca="1" si="336"/>
        <v>=INDEX(Canals!$AV$24:$AV$29,MATCH(2,1/((Canals!$F$24:$F$29&lt;=$C10)*(Canals!$G$24:$G$29=_xlfn.IFS(AAC10="Handysize",Main!ACL10,AAC10="Supramax",ACE10,AAC10="Panamax",ABX10,AAC10="NeoPanamax",ABQ10,AAC10="Suezmax",ABJ10,AAC10="Capesize",ABC10,AAC10="VLOC",AAV10)))))}</v>
      </c>
      <c r="AFH25" s="97" t="e">
        <f t="shared" ca="1" si="336"/>
        <v>#N/A</v>
      </c>
      <c r="AFI25" s="97" t="str">
        <f t="shared" ca="1" si="336"/>
        <v>=_xlfn.IFS(ADT10="DWT",AAA10,ADT10="NRT",AAE10,ADT10="GRT",AAF10)}</v>
      </c>
      <c r="AFJ25" s="97" t="str">
        <f t="shared" ca="1" si="336"/>
        <v>IF(AFI10&gt;ADU10,ADU10,AFI10)</v>
      </c>
      <c r="AFK25" s="97" t="str">
        <f t="shared" ca="1" si="336"/>
        <v>IF(AFI10&gt;SUM(ADU10:ADV10),ADV10,AFI10-SUM(AFJ10:AFJ10))</v>
      </c>
      <c r="AFL25" s="97" t="str">
        <f t="shared" ca="1" si="336"/>
        <v>IF(AFI10&gt;SUM(ADU10:ADW10),ADW10,AFI10-SUM(AFJ10:AFK10))</v>
      </c>
      <c r="AFM25" s="97" t="str">
        <f t="shared" ca="1" si="336"/>
        <v>IF(AFI10&gt;SUM(ADU10:ADX10),ADX10,AFI10-SUM(AFJ10:AFL10))</v>
      </c>
      <c r="AFN25" s="97" t="str">
        <f t="shared" ca="1" si="336"/>
        <v>IF(AFI10&gt;SUM(ADU10:ADY10),ADY10,AFI10-SUM(AFJ10:AFM10))</v>
      </c>
      <c r="AFO25" s="97" t="str">
        <f t="shared" ca="1" si="336"/>
        <v>IF(AFI10&gt;SUM(ADU10:ADZ10),ADZ10,AFI10-SUM(AFJ10:AFN10))</v>
      </c>
      <c r="AFP25" s="97" t="str">
        <f t="shared" ca="1" si="336"/>
        <v>IF(AFI10&gt;SUM(ADU10:AEA10),AEA10,AFI10-SUM(AFJ10:AFO10))</v>
      </c>
      <c r="AFQ25" s="97" t="str">
        <f t="shared" ca="1" si="336"/>
        <v>IF(AFI10&gt;SUM(ADU10:AEB10),AEB10,AFI10-SUM(AFJ10:AFP10))</v>
      </c>
      <c r="AFR25" s="97" t="str">
        <f t="shared" ca="1" si="336"/>
        <v>IF(AFI10&gt;SUM(ADU10:AEC10),AEC10,AFI10-SUM(AFJ10:AFQ10))</v>
      </c>
      <c r="AFS25" s="97" t="str">
        <f t="shared" ca="1" si="336"/>
        <v>AAA10*$JN10</v>
      </c>
      <c r="AFT25" s="97" t="str">
        <f t="shared" ca="1" si="336"/>
        <v>IF(AFS10&gt;AEN10,AEN10,AFS10)</v>
      </c>
      <c r="AFU25" s="97" t="str">
        <f t="shared" ca="1" si="336"/>
        <v>IF(AFS10&gt;SUM(AEN10:AEO10),AEO10,AFS10-SUM(AFT10:AFT10))</v>
      </c>
      <c r="AFV25" s="97" t="str">
        <f t="shared" ca="1" si="336"/>
        <v>IF(AFS10&gt;SUM(AEN10:AEP10),AEP10,AFS10-SUM(AFT10:AFU10))</v>
      </c>
      <c r="AFW25" s="97" t="str">
        <f t="shared" ca="1" si="336"/>
        <v>IF(AFS10&gt;SUM(AEN10:AEQ10),AEQ10,AFS10-SUM(AFT10:AFV10))</v>
      </c>
      <c r="AFX25" s="97" t="str">
        <f t="shared" ca="1" si="336"/>
        <v>IF(AFS10&gt;SUM(AEN10:AER10),AER10,AFS10-SUM(AFT10:AFW10))</v>
      </c>
      <c r="AFY25" s="97" t="str">
        <f t="shared" ca="1" si="336"/>
        <v>IF(AFS10&gt;SUM(AEN10:AES10),AES10,AFS10-SUM(AFT10:AFX10))</v>
      </c>
      <c r="AFZ25" s="97" t="str">
        <f t="shared" ca="1" si="336"/>
        <v>IF(AFS10&gt;SUM(AEN10:AET10),AET10,AFS10-SUM(AFT10:AFY10))</v>
      </c>
      <c r="AGA25" s="97" t="str">
        <f t="shared" ca="1" si="336"/>
        <v>IF(AFS10&gt;SUM(AEN10:AEU10),AEU10,AFS10-SUM(AFT10:AFZ10))</v>
      </c>
      <c r="AGB25" s="97" t="str">
        <f t="shared" ca="1" si="336"/>
        <v>IF(AFS10&gt;SUM(AEN10:AEV10),AEV10,AFS10-SUM(AFT10:AGA10))</v>
      </c>
      <c r="AGC25" s="97" t="e">
        <f t="shared" ca="1" si="336"/>
        <v>#N/A</v>
      </c>
      <c r="AGD25" s="97" t="str">
        <f t="shared" ca="1" si="336"/>
        <v>=_xlfn.IFS(AAC10="Handysize",Main!ACF10,AAC10="Supramax",ABY10,AAC10="Panamax",ABR10,AAC10="NeoPanamax",ABK10,AAC10="Suezmax",ABD10,AAC10="Capesize",AAW10,AAC10="VLOC",AAP10)*$JI10}</v>
      </c>
      <c r="AGE25" s="97" t="str">
        <f t="shared" ca="1" si="336"/>
        <v>=_xlfn.IFS(AAC10="Handysize",Main!ACG10,AAC10="Supramax",ABZ10,AAC10="Panamax",ABS10,AAC10="NeoPanamax",ABL10,AAC10="Suezmax",ABE10,AAC10="Capesize",AAX10,AAC10="VLOC",AAQ10)*$JI10}</v>
      </c>
      <c r="AGF25" s="97" t="str">
        <f t="shared" ca="1" si="336"/>
        <v>=_xlfn.IFS(AAC10="Handysize",Main!AAH10,AAC10="Supramax",AAI10,AAC10="Panamax",AAJ10,AAC10="NeoPanamax",AAK10,AAC10="Suezmax",AAL10,AAC10="Capesize",AAM10,AAC10="VLOC",AAN10)}</v>
      </c>
      <c r="AGG25" s="97" t="str">
        <f t="shared" ref="AGG25:AIR25" ca="1" si="337">RIGHT(_xlfn.FORMULATEXT(AGG10),LEN(_xlfn.FORMULATEXT(AGG10))-1)</f>
        <v>=_xlfn.IFS(AAC10="Handysize",Main!ACT10,AAC10="Supramax",ACU10,AAC10="Panamax",ACV10,AAC10="NeoPanamax",ACW10,AAC10="Suezmax",ACX10,AAC10="Capesize",ACY10,AAC10="VLOC",ACZ10)}</v>
      </c>
      <c r="AGH25" s="97" t="str">
        <f t="shared" ca="1" si="337"/>
        <v>=INDEX('Ship Speeds'!$G$11:$G$1011,MATCH(2,1/(('Ship Speeds'!$E$11:$E$1011&lt;=Main!$C10)*('Ship Speeds'!$F$11:$F$1011=Main!AAB10))))}</v>
      </c>
      <c r="AGI25" s="97" t="str">
        <f t="shared" ca="1" si="337"/>
        <v>(($KH10*AGH10^2+$KI10*AGH10^3+$KG10*AGH10)*((AAA10/$KC10)^$KD10)*$KJ10+(AAA10/$KC10)*$KF10+$KE10)</v>
      </c>
      <c r="AGJ25" s="97" t="str">
        <f t="shared" ca="1" si="337"/>
        <v>(AAA10/$JY10)*$JZ10+$KA10+$KB10*(AAA10/$JY10)^2</v>
      </c>
      <c r="AGK25" s="97" t="str">
        <f t="shared" ca="1" si="337"/>
        <v>AGD10/AGH10/$JH10</v>
      </c>
      <c r="AGL25" s="97" t="str">
        <f t="shared" ca="1" si="337"/>
        <v>AGE10/AGH10/$JH10</v>
      </c>
      <c r="AGM25" s="97" t="str">
        <f t="shared" ca="1" si="337"/>
        <v>IF($AO10="no",$AN10,$AR10)/(1-$AL10)/AGF10</v>
      </c>
      <c r="AGN25" s="97" t="str">
        <f t="shared" ca="1" si="337"/>
        <v>IF($AO10="no",$AN10,$AR10)/(1-$AL10)/AGG10</v>
      </c>
      <c r="AGO25" s="97" t="str">
        <f t="shared" ca="1" si="337"/>
        <v>AFG10*$JI10</v>
      </c>
      <c r="AGP25" s="97" t="str">
        <f t="shared" ca="1" si="337"/>
        <v>MAX(SUM(AGK10:AGO10)*$JV10,$JU10)</v>
      </c>
      <c r="AGQ25" s="97" t="str">
        <f t="shared" ca="1" si="337"/>
        <v>=INDEX(ACN10:ACR10,MATCH(_xlfn.IFS(AAC10="Handysize",Main!ACJ10,AAC10="Supramax",ACC10,AAC10="Panamax",ABV10,AAC10="NeoPanamax",ABO10,AAC10="Suezmax",ABH10,AAC10="Capesize",ABA10,AAC10="VLOC",AAT10),$ACN$7:$ACR$7,0))}</v>
      </c>
      <c r="AGR25" s="97" t="str">
        <f t="shared" ca="1" si="337"/>
        <v>=INDEX(ACN10:ACR10,MATCH(_xlfn.IFS(AAC10="Handysize",Main!ACK10,AAC10="Supramax",ACD10,AAC10="Panamax",ABW10,AAC10="NeoPanamax",ABP10,AAC10="Suezmax",ABI10,AAC10="Capesize",ABB10,AAC10="VLOC",AAU10),$ACN$7:$ACR$7,0))}</v>
      </c>
      <c r="AGS25" s="97" t="str">
        <f t="shared" ca="1" si="337"/>
        <v>AGK10*AGI10*AGQ10</v>
      </c>
      <c r="AGT25" s="97" t="str">
        <f t="shared" ca="1" si="337"/>
        <v>SUM(AGM10:AGP10)*AGJ10*AGR10+AGL10*AGI10*AGR10</v>
      </c>
      <c r="AGU25" s="97" t="str">
        <f t="shared" ca="1" si="337"/>
        <v>INDEX($JA10:$JD10,MATCH(ADA10,$JA$7:$JD$7,0))</v>
      </c>
      <c r="AGV25" s="97" t="str">
        <f t="shared" ca="1" si="337"/>
        <v>ADB10/AGU10</v>
      </c>
      <c r="AGW25" s="97" t="str">
        <f t="shared" ca="1" si="337"/>
        <v>ADC10*SUM(AGN10,$JX10)/AGU10</v>
      </c>
      <c r="AGX25" s="97" t="str">
        <f t="shared" ca="1" si="337"/>
        <v>ADD10*(AGP10*(1-$JW10))/AGU10</v>
      </c>
      <c r="AGY25" s="97" t="str">
        <f t="shared" ca="1" si="337"/>
        <v>ADE10*(AAA10*$JN10)/AGU10</v>
      </c>
      <c r="AGZ25" s="97" t="str">
        <f t="shared" ca="1" si="337"/>
        <v>ADF10*(AAA10*$JN10)*SUM(AGN10,$JX10)/AGU10</v>
      </c>
      <c r="AHA25" s="97" t="str">
        <f t="shared" ca="1" si="337"/>
        <v>ADG10*(AAA10*$JN10)*(AGP10*(1-$JW10))/AGU10</v>
      </c>
      <c r="AHB25" s="97" t="str">
        <f t="shared" ca="1" si="337"/>
        <v>ADH10*AAE10/AGU10</v>
      </c>
      <c r="AHC25" s="97" t="str">
        <f t="shared" ca="1" si="337"/>
        <v>ADI10*AAE10*SUM(AGN10,$JX10)/AGU10</v>
      </c>
      <c r="AHD25" s="97" t="str">
        <f t="shared" ca="1" si="337"/>
        <v>ADJ10*AAE10*(AGP10*(1-$JW10))/AGU10</v>
      </c>
      <c r="AHE25" s="97" t="str">
        <f t="shared" ca="1" si="337"/>
        <v>ADK10*AAF10/AGU10</v>
      </c>
      <c r="AHF25" s="97" t="str">
        <f t="shared" ca="1" si="337"/>
        <v>ADL10*AAF10*SUM(AGN10,$JX10)/AGU10</v>
      </c>
      <c r="AHG25" s="97" t="str">
        <f t="shared" ca="1" si="337"/>
        <v>ADM10*AAF10*(AGP10*(1-$JW10))/AGU10</v>
      </c>
      <c r="AHH25" s="97" t="str">
        <f t="shared" ca="1" si="337"/>
        <v>ADN10*AAD10/AGU10</v>
      </c>
      <c r="AHI25" s="97" t="str">
        <f t="shared" ca="1" si="337"/>
        <v>ADO10*AAD10*SUM(AGN10,$JX10)/AGU10</v>
      </c>
      <c r="AHJ25" s="97" t="str">
        <f t="shared" ca="1" si="337"/>
        <v>ADP10*AAD10*(AGP10*(1-$JW10))/AGU10</v>
      </c>
      <c r="AHK25" s="97" t="str">
        <f t="shared" ca="1" si="337"/>
        <v>=INDEX('Ship Time Charter Rates'!$H$22:$H$1021,MATCH(2,1/(('Ship Time Charter Rates'!$G$22:$G$1021=_xlfn.IFS(AAC10="Handysize",Main!ACH10,AAC10="Supramax",ACA10,AAC10="Panamax",ABT10,AAC10="NeoPanamax",ABM10,AAC10="Suezmax",ABF10,AAC10="Capesize",AAY10,AAC10="VLOC",AAR10))*('Ship Time Charter Rates'!$E$22:$E$1021&lt;=Main!$C10)*(NOT(ISBLANK('Ship Time Charter Rates'!$H$22:$H$1021))))))}</v>
      </c>
      <c r="AHL25" s="97" t="str">
        <f t="shared" ca="1" si="337"/>
        <v>SUM(AGK10:AGP10,$JI10*$JX10)*AHK10</v>
      </c>
      <c r="AHM25" s="97" t="str">
        <f t="shared" ca="1" si="337"/>
        <v>SUMPRODUCT(AED10:AEL10,AFJ10:AFR10)+SUMPRODUCT(AEW10:AFE10,AFT10:AGB10)</v>
      </c>
      <c r="AHN25" s="97" t="str">
        <f t="shared" ca="1" si="337"/>
        <v>SUM(AGS10,AGT10)+AHL10+AHM10+SUM(AGV10:AHJ10)</v>
      </c>
      <c r="AHO25" s="97" t="str">
        <f t="shared" ca="1" si="337"/>
        <v>AHN10*(1+$KL10)*(1+$KM10)</v>
      </c>
      <c r="AHP25" s="97" t="str">
        <f t="shared" ca="1" si="337"/>
        <v>IF(AHO10=0,0,AHO10/(AAA10*(1-$AL10)*$JN10))</v>
      </c>
      <c r="AHQ25" s="97" t="e">
        <f t="shared" ca="1" si="337"/>
        <v>#N/A</v>
      </c>
      <c r="AHR25" s="97" t="str">
        <f t="shared" ca="1" si="337"/>
        <v>IF($AO10="yes",$AN10,$AR10)/(1-$AL10)/$JN10</v>
      </c>
      <c r="AHS25" s="97" t="str">
        <f t="shared" ca="1" si="337"/>
        <v>VLOOKUP(AHR10,'Ship Time Charter Rates'!$F$10:$G$17,2,TRUE)</v>
      </c>
      <c r="AHT25" s="97" t="str">
        <f t="shared" ca="1" si="337"/>
        <v>VLOOKUP(AHR10,Canals!$E$5:$F$12,2,TRUE)</v>
      </c>
      <c r="AHU25" s="97" t="str">
        <f t="shared" ca="1" si="337"/>
        <v>(AHR10*$JO10 + $JP10)</v>
      </c>
      <c r="AHV25" s="97" t="str">
        <f t="shared" ca="1" si="337"/>
        <v>(AHR10*$JQ10+$JR10)</v>
      </c>
      <c r="AHW25" s="97" t="str">
        <f t="shared" ca="1" si="337"/>
        <v>(AHR10*$JS10+$JT10)</v>
      </c>
      <c r="AHX25" s="97" t="e">
        <f t="shared" ca="1" si="337"/>
        <v>#N/A</v>
      </c>
      <c r="AHY25" s="97" t="str">
        <f t="shared" ca="1" si="337"/>
        <v>=INDEX('Indices Mines Exporting Ports'!$R$20:$R$51,MATCH(2,1/(('Indices Mines Exporting Ports'!$D$20:$D$51&lt;=Main!$C10)*('Indices Mines Exporting Ports'!$Q$20:$Q$51=$AQ10))))}</v>
      </c>
      <c r="AHZ25" s="97" t="str">
        <f t="shared" ca="1" si="337"/>
        <v>=INDEX('Indices Mines Exporting Ports'!$S$20:$S$51,MATCH(2,1/(('Indices Mines Exporting Ports'!$D$20:$D$51&lt;=Main!$C10)*('Indices Mines Exporting Ports'!$Q$20:$Q$51=$AQ10))))}</v>
      </c>
      <c r="AIA25" s="97" t="str">
        <f t="shared" ca="1" si="337"/>
        <v>=INDEX('Indices Mines Exporting Ports'!$T$20:$T$51,MATCH(2,1/(('Indices Mines Exporting Ports'!$D$20:$D$51&lt;=Main!$C10)*('Indices Mines Exporting Ports'!$Q$20:$Q$51=$AQ10))))}</v>
      </c>
      <c r="AIB25" s="97" t="str">
        <f t="shared" ca="1" si="337"/>
        <v>=INDEX('Indices Mines Exporting Ports'!$U$20:$U$51,MATCH(2,1/(('Indices Mines Exporting Ports'!$D$20:$D$51&lt;=Main!$C10)*('Indices Mines Exporting Ports'!$Q$20:$Q$51=$AQ10))))}</v>
      </c>
      <c r="AIC25" s="97" t="str">
        <f t="shared" ca="1" si="337"/>
        <v>=INDEX('Indices Mines Exporting Ports'!$V$20:$V$51,MATCH(2,1/(('Indices Mines Exporting Ports'!$D$20:$D$51&lt;=Main!$C10)*('Indices Mines Exporting Ports'!$Q$20:$Q$51=$AQ10))))}</v>
      </c>
      <c r="AID25" s="97" t="str">
        <f t="shared" ca="1" si="337"/>
        <v>=INDEX('Indices Mines Exporting Ports'!$W$20:$W$51,MATCH(2,1/(('Indices Mines Exporting Ports'!$D$20:$D$51&lt;=Main!$C10)*('Indices Mines Exporting Ports'!$Q$20:$Q$51=$AQ10))))}</v>
      </c>
      <c r="AIE25" s="97" t="str">
        <f t="shared" ca="1" si="337"/>
        <v>=INDEX('Indices Mines Exporting Ports'!$X$20:$X$51,MATCH(2,1/(('Indices Mines Exporting Ports'!$D$20:$D$51&lt;=Main!$C10)*('Indices Mines Exporting Ports'!$Q$20:$Q$51=$AQ10))))}</v>
      </c>
      <c r="AIF25" s="97" t="e">
        <f t="shared" ca="1" si="337"/>
        <v>#N/A</v>
      </c>
      <c r="AIG25" s="97" t="str">
        <f t="shared" ca="1" si="337"/>
        <v>=INDEX('Port Linkages'!$E$18:$E$157,MATCH(2,1/(('Port Linkages'!$C$18:$C$157=$AQ10)*('Port Linkages'!$D$18:$D$157=IF($AO10="no",$AQ10,$KK10))*('Port Linkages'!$A$18:$A$157&lt;=$C10))))}</v>
      </c>
      <c r="AIH25" s="97" t="str">
        <f t="shared" ca="1" si="337"/>
        <v>=INDEX('Port Linkages'!$F$18:$F$157,MATCH(2,1/(('Port Linkages'!$C$18:$C$157=$AQ10)*('Port Linkages'!$D$18:$D$157=IF($AO10="no",$AQ10,$KK10))*('Port Linkages'!$A$18:$A$157&lt;=$C10))))}</v>
      </c>
      <c r="AII25" s="97" t="str">
        <f t="shared" ca="1" si="337"/>
        <v>=INDEX('Port Linkages'!$G$18:$G$157,MATCH(2,1/(('Port Linkages'!$C$18:$C$157=$AQ10)*('Port Linkages'!$D$18:$D$157=IF($AO10="no",$AQ10,$KK10))*('Port Linkages'!$A$18:$A$157&lt;=$C10))))}</v>
      </c>
      <c r="AIJ25" s="97" t="str">
        <f t="shared" ca="1" si="337"/>
        <v>=INDEX('Port Linkages'!$H$18:$H$157,MATCH(2,1/(('Port Linkages'!$C$18:$C$157=$AQ10)*('Port Linkages'!$D$18:$D$157=IF($AO10="no",$AQ10,$KK10))*('Port Linkages'!$A$18:$A$157&lt;=$C10))))}</v>
      </c>
      <c r="AIK25" s="97" t="str">
        <f t="shared" ca="1" si="337"/>
        <v>=INDEX('Port Linkages'!$I$18:$I$157,MATCH(2,1/(('Port Linkages'!$C$18:$C$157=$AQ10)*('Port Linkages'!$D$18:$D$157=IF($AO10="no",$AQ10,$KK10))*('Port Linkages'!$A$18:$A$157&lt;=$C10))))}</v>
      </c>
      <c r="AIL25" s="97" t="str">
        <f t="shared" ca="1" si="337"/>
        <v>=INDEX('Port Linkages'!$J$18:$J$157,MATCH(2,1/(('Port Linkages'!$C$18:$C$157=$AQ10)*('Port Linkages'!$D$18:$D$157=IF($AO10="no",$AQ10,$KK10))*('Port Linkages'!$A$18:$A$157&lt;=$C10))))}</v>
      </c>
      <c r="AIM25" s="97" t="str">
        <f t="shared" ca="1" si="337"/>
        <v>=INDEX('Port Linkages'!$K$18:$K$157,MATCH(2,1/(('Port Linkages'!$C$18:$C$157=$AQ10)*('Port Linkages'!$D$18:$D$157=IF($AO10="no",$AQ10,$KK10))*('Port Linkages'!$A$18:$A$157&lt;=$C10))))}</v>
      </c>
      <c r="AIN25" s="97" t="str">
        <f t="shared" ca="1" si="337"/>
        <v>=INDEX('Port Linkages'!$L$18:$L$157,MATCH(2,1/(('Port Linkages'!$C$18:$C$157=$AQ10)*('Port Linkages'!$D$18:$D$157=IF($AO10="no",$AQ10,$KK10))*('Port Linkages'!$A$18:$A$157&lt;=$C10))))}</v>
      </c>
      <c r="AIO25" s="97" t="str">
        <f t="shared" ca="1" si="337"/>
        <v>=INDEX('Port Linkages'!$M$18:$M$157,MATCH(2,1/(('Port Linkages'!$C$18:$C$157=$AQ10)*('Port Linkages'!$D$18:$D$157=IF($AO10="no",$AQ10,$KK10))*('Port Linkages'!$A$18:$A$157&lt;=$C10))))}</v>
      </c>
      <c r="AIP25" s="97" t="str">
        <f t="shared" ca="1" si="337"/>
        <v>=INDEX('Port Linkages'!$N$18:$N$157,MATCH(2,1/(('Port Linkages'!$C$18:$C$157=$AQ10)*('Port Linkages'!$D$18:$D$157=IF($AO10="no",$AQ10,$KK10))*('Port Linkages'!$A$18:$A$157&lt;=$C10))))}</v>
      </c>
      <c r="AIQ25" s="97" t="str">
        <f t="shared" ca="1" si="337"/>
        <v>=INDEX('Port Linkages'!$O$18:$O$157,MATCH(2,1/(('Port Linkages'!$C$18:$C$157=$AQ10)*('Port Linkages'!$D$18:$D$157=IF($AO10="no",$AQ10,$KK10))*('Port Linkages'!$A$18:$A$157&lt;=$C10))))}</v>
      </c>
      <c r="AIR25" s="97" t="str">
        <f t="shared" ca="1" si="337"/>
        <v>=INDEX('Port Linkages'!$P$18:$P$157,MATCH(2,1/(('Port Linkages'!$C$18:$C$157=$AQ10)*('Port Linkages'!$D$18:$D$157=IF($AO10="no",$AQ10,$KK10))*('Port Linkages'!$A$18:$A$157&lt;=$C10))))}</v>
      </c>
      <c r="AIS25" s="97" t="str">
        <f t="shared" ref="AIS25:ALD25" ca="1" si="338">RIGHT(_xlfn.FORMULATEXT(AIS10),LEN(_xlfn.FORMULATEXT(AIS10))-1)</f>
        <v>=INDEX('Port Linkages'!$Q$18:$Q$157,MATCH(2,1/(('Port Linkages'!$C$18:$C$157=$AQ10)*('Port Linkages'!$D$18:$D$157=IF($AO10="no",$AQ10,$KK10))*('Port Linkages'!$A$18:$A$157&lt;=$C10))))}</v>
      </c>
      <c r="AIT25" s="97" t="str">
        <f t="shared" ca="1" si="338"/>
        <v>=INDEX('Port Linkages'!$R$18:$R$157,MATCH(2,1/(('Port Linkages'!$C$18:$C$157=$AQ10)*('Port Linkages'!$D$18:$D$157=IF($AO10="no",$AQ10,$KK10))*('Port Linkages'!$A$18:$A$157&lt;=$C10))))}</v>
      </c>
      <c r="AIU25" s="97" t="str">
        <f t="shared" ca="1" si="338"/>
        <v>=INDEX('Port Linkages'!$S$18:$S$157,MATCH(2,1/(('Port Linkages'!$C$18:$C$157=$AQ10)*('Port Linkages'!$D$18:$D$157=IF($AO10="no",$AQ10,$KK10))*('Port Linkages'!$A$18:$A$157&lt;=$C10))))}</v>
      </c>
      <c r="AIV25" s="97" t="str">
        <f t="shared" ca="1" si="338"/>
        <v>=INDEX('Port Linkages'!$T$18:$T$157,MATCH(2,1/(('Port Linkages'!$C$18:$C$157=$AQ10)*('Port Linkages'!$D$18:$D$157=IF($AO10="no",$AQ10,$KK10))*('Port Linkages'!$A$18:$A$157&lt;=$C10))))}</v>
      </c>
      <c r="AIW25" s="97" t="str">
        <f t="shared" ca="1" si="338"/>
        <v>=INDEX('Port Linkages'!$U$18:$U$157,MATCH(2,1/(('Port Linkages'!$C$18:$C$157=$AQ10)*('Port Linkages'!$D$18:$D$157=IF($AO10="no",$AQ10,$KK10))*('Port Linkages'!$A$18:$A$157&lt;=$C10))))}</v>
      </c>
      <c r="AIX25" s="97" t="str">
        <f t="shared" ca="1" si="338"/>
        <v>=INDEX('Port Linkages'!$V$18:$V$157,MATCH(2,1/(('Port Linkages'!$C$18:$C$157=$AQ10)*('Port Linkages'!$D$18:$D$157=IF($AO10="no",$AQ10,$KK10))*('Port Linkages'!$A$18:$A$157&lt;=$C10))))}</v>
      </c>
      <c r="AIY25" s="97" t="str">
        <f t="shared" ca="1" si="338"/>
        <v>=INDEX('Port Linkages'!$W$18:$W$157,MATCH(2,1/(('Port Linkages'!$C$18:$C$157=$AQ10)*('Port Linkages'!$D$18:$D$157=IF($AO10="no",$AQ10,$KK10))*('Port Linkages'!$A$18:$A$157&lt;=$C10))))}</v>
      </c>
      <c r="AIZ25" s="97" t="str">
        <f t="shared" ca="1" si="338"/>
        <v>=INDEX('Port Linkages'!$X$18:$X$157,MATCH(2,1/(('Port Linkages'!$C$18:$C$157=$AQ10)*('Port Linkages'!$D$18:$D$157=IF($AO10="no",$AQ10,$KK10))*('Port Linkages'!$A$18:$A$157&lt;=$C10))))}</v>
      </c>
      <c r="AJA25" s="97" t="str">
        <f t="shared" ca="1" si="338"/>
        <v>=INDEX('Port Linkages'!$Y$18:$Y$157,MATCH(2,1/(('Port Linkages'!$C$18:$C$157=$AQ10)*('Port Linkages'!$D$18:$D$157=IF($AO10="no",$AQ10,$KK10))*('Port Linkages'!$A$18:$A$157&lt;=$C10))))}</v>
      </c>
      <c r="AJB25" s="97" t="str">
        <f t="shared" ca="1" si="338"/>
        <v>=INDEX('Port Linkages'!$Z$18:$Z$157,MATCH(2,1/(('Port Linkages'!$C$18:$C$157=$AQ10)*('Port Linkages'!$D$18:$D$157=IF($AO10="no",$AQ10,$KK10))*('Port Linkages'!$A$18:$A$157&lt;=$C10))))}</v>
      </c>
      <c r="AJC25" s="97" t="str">
        <f t="shared" ca="1" si="338"/>
        <v>=INDEX('Port Linkages'!$AA$18:$AA$157,MATCH(2,1/(('Port Linkages'!$C$18:$C$157=$AQ10)*('Port Linkages'!$D$18:$D$157=IF($AO10="no",$AQ10,$KK10))*('Port Linkages'!$A$18:$A$157&lt;=$C10))))}</v>
      </c>
      <c r="AJD25" s="97" t="str">
        <f t="shared" ca="1" si="338"/>
        <v>=INDEX('Port Linkages'!$AB$18:$AB$157,MATCH(2,1/(('Port Linkages'!$C$18:$C$157=$AQ10)*('Port Linkages'!$D$18:$D$157=IF($AO10="no",$AQ10,$KK10))*('Port Linkages'!$A$18:$A$157&lt;=$C10))))}</v>
      </c>
      <c r="AJE25" s="97" t="str">
        <f t="shared" ca="1" si="338"/>
        <v>=INDEX('Port Linkages'!$AC$18:$AC$157,MATCH(2,1/(('Port Linkages'!$C$18:$C$157=$AQ10)*('Port Linkages'!$D$18:$D$157=IF($AO10="no",$AQ10,$KK10))*('Port Linkages'!$A$18:$A$157&lt;=$C10))))}</v>
      </c>
      <c r="AJF25" s="97" t="str">
        <f t="shared" ca="1" si="338"/>
        <v>=INDEX('Port Linkages'!$AD$18:$AD$157,MATCH(2,1/(('Port Linkages'!$C$18:$C$157=$AQ10)*('Port Linkages'!$D$18:$D$157=IF($AO10="no",$AQ10,$KK10))*('Port Linkages'!$A$18:$A$157&lt;=$C10))))}</v>
      </c>
      <c r="AJG25" s="97" t="str">
        <f t="shared" ca="1" si="338"/>
        <v>=INDEX('Port Linkages'!$AE$18:$AE$157,MATCH(2,1/(('Port Linkages'!$C$18:$C$157=$AQ10)*('Port Linkages'!$D$18:$D$157=IF($AO10="no",$AQ10,$KK10))*('Port Linkages'!$A$18:$A$157&lt;=$C10))))}</v>
      </c>
      <c r="AJH25" s="97" t="str">
        <f t="shared" ca="1" si="338"/>
        <v>=INDEX('Port Linkages'!$AF$18:$AF$157,MATCH(2,1/(('Port Linkages'!$C$18:$C$157=$AQ10)*('Port Linkages'!$D$18:$D$157=IF($AO10="no",$AQ10,$KK10))*('Port Linkages'!$A$18:$A$157&lt;=$C10))))}</v>
      </c>
      <c r="AJI25" s="97" t="str">
        <f t="shared" ca="1" si="338"/>
        <v>=INDEX('Port Linkages'!$AG$18:$AG$157,MATCH(2,1/(('Port Linkages'!$C$18:$C$157=$AQ10)*('Port Linkages'!$D$18:$D$157=IF($AO10="no",$AQ10,$KK10))*('Port Linkages'!$A$18:$A$157&lt;=$C10))))}</v>
      </c>
      <c r="AJJ25" s="97" t="str">
        <f t="shared" ca="1" si="338"/>
        <v>=INDEX('Port Linkages'!$AH$18:$AH$157,MATCH(2,1/(('Port Linkages'!$C$18:$C$157=$AQ10)*('Port Linkages'!$D$18:$D$157=IF($AO10="no",$AQ10,$KK10))*('Port Linkages'!$A$18:$A$157&lt;=$C10))))}</v>
      </c>
      <c r="AJK25" s="97" t="str">
        <f t="shared" ca="1" si="338"/>
        <v>=INDEX('Port Linkages'!$AI$18:$AI$157,MATCH(2,1/(('Port Linkages'!$C$18:$C$157=$AQ10)*('Port Linkages'!$D$18:$D$157=IF($AO10="no",$AQ10,$KK10))*('Port Linkages'!$A$18:$A$157&lt;=$C10))))}</v>
      </c>
      <c r="AJL25" s="97" t="str">
        <f t="shared" ca="1" si="338"/>
        <v>=INDEX('Port Linkages'!$AJ$18:$AJ$157,MATCH(2,1/(('Port Linkages'!$C$18:$C$157=$AQ10)*('Port Linkages'!$D$18:$D$157=IF($AO10="no",$AQ10,$KK10))*('Port Linkages'!$A$18:$A$157&lt;=$C10))))}</v>
      </c>
      <c r="AJM25" s="97" t="str">
        <f t="shared" ca="1" si="338"/>
        <v>=INDEX('Port Linkages'!$AK$18:$AK$157,MATCH(2,1/(('Port Linkages'!$C$18:$C$157=$AQ10)*('Port Linkages'!$D$18:$D$157=IF($AO10="no",$AQ10,$KK10))*('Port Linkages'!$A$18:$A$157&lt;=$C10))))}</v>
      </c>
      <c r="AJN25" s="97" t="str">
        <f t="shared" ca="1" si="338"/>
        <v>=INDEX('Port Linkages'!$AL$18:$AL$157,MATCH(2,1/(('Port Linkages'!$C$18:$C$157=$AQ10)*('Port Linkages'!$D$18:$D$157=IF($AO10="no",$AQ10,$KK10))*('Port Linkages'!$A$18:$A$157&lt;=$C10))))}</v>
      </c>
      <c r="AJO25" s="97" t="str">
        <f t="shared" ca="1" si="338"/>
        <v>=INDEX('Port Linkages'!$AM$18:$AM$157,MATCH(2,1/(('Port Linkages'!$C$18:$C$157=$AQ10)*('Port Linkages'!$D$18:$D$157=IF($AO10="no",$AQ10,$KK10))*('Port Linkages'!$A$18:$A$157&lt;=$C10))))}</v>
      </c>
      <c r="AJP25" s="97" t="str">
        <f t="shared" ca="1" si="338"/>
        <v>=INDEX('Port Linkages'!$AN$18:$AN$157,MATCH(2,1/(('Port Linkages'!$C$18:$C$157=$AQ10)*('Port Linkages'!$D$18:$D$157=IF($AO10="no",$AQ10,$KK10))*('Port Linkages'!$A$18:$A$157&lt;=$C10))))}</v>
      </c>
      <c r="AJQ25" s="97" t="str">
        <f t="shared" ca="1" si="338"/>
        <v>=INDEX('Port Linkages'!$AO$18:$AO$157,MATCH(2,1/(('Port Linkages'!$C$18:$C$157=$AQ10)*('Port Linkages'!$D$18:$D$157=IF($AO10="no",$AQ10,$KK10))*('Port Linkages'!$A$18:$A$157&lt;=$C10))))}</v>
      </c>
      <c r="AJR25" s="97" t="str">
        <f t="shared" ca="1" si="338"/>
        <v>=INDEX('Port Linkages'!$AP$18:$AP$157,MATCH(2,1/(('Port Linkages'!$C$18:$C$157=$AQ10)*('Port Linkages'!$D$18:$D$157=IF($AO10="no",$AQ10,$KK10))*('Port Linkages'!$A$18:$A$157&lt;=$C10))))}</v>
      </c>
      <c r="AJS25" s="97" t="str">
        <f t="shared" ca="1" si="338"/>
        <v>=INDEX('Port Linkages'!$AQ$18:$AQ$157,MATCH(2,1/(('Port Linkages'!$C$18:$C$157=$AQ10)*('Port Linkages'!$D$18:$D$157=IF($AO10="no",$AQ10,$KK10))*('Port Linkages'!$A$18:$A$157&lt;=$C10))))}</v>
      </c>
      <c r="AJT25" s="97" t="str">
        <f t="shared" ca="1" si="338"/>
        <v>=INDEX('Port Linkages'!$AR$18:$AR$157,MATCH(2,1/(('Port Linkages'!$C$18:$C$157=$AQ10)*('Port Linkages'!$D$18:$D$157=IF($AO10="no",$AQ10,$KK10))*('Port Linkages'!$A$18:$A$157&lt;=$C10))))}</v>
      </c>
      <c r="AJU25" s="97" t="str">
        <f t="shared" ca="1" si="338"/>
        <v>=INDEX('Port Linkages'!$AS$18:$AS$157,MATCH(2,1/(('Port Linkages'!$C$18:$C$157=$AQ10)*('Port Linkages'!$D$18:$D$157=IF($AO10="no",$AQ10,$KK10))*('Port Linkages'!$A$18:$A$157&lt;=$C10))))}</v>
      </c>
      <c r="AJV25" s="97" t="str">
        <f t="shared" ca="1" si="338"/>
        <v>=INDEX('Port Linkages'!$AT$18:$AT$157,MATCH(2,1/(('Port Linkages'!$C$18:$C$157=$AQ10)*('Port Linkages'!$D$18:$D$157=IF($AO10="no",$AQ10,$KK10))*('Port Linkages'!$A$18:$A$157&lt;=$C10))))}</v>
      </c>
      <c r="AJW25" s="97" t="str">
        <f t="shared" ca="1" si="338"/>
        <v>=INDEX('Port Linkages'!$AU$18:$AU$157,MATCH(2,1/(('Port Linkages'!$C$18:$C$157=$AQ10)*('Port Linkages'!$D$18:$D$157=IF($AO10="no",$AQ10,$KK10))*('Port Linkages'!$A$18:$A$157&lt;=$C10))))}</v>
      </c>
      <c r="AJX25" s="97" t="str">
        <f t="shared" ca="1" si="338"/>
        <v>=INDEX('Port Linkages'!$AV$18:$AV$157,MATCH(2,1/(('Port Linkages'!$C$18:$C$157=$AQ10)*('Port Linkages'!$D$18:$D$157=IF($AO10="no",$AQ10,$KK10))*('Port Linkages'!$A$18:$A$157&lt;=$C10))))}</v>
      </c>
      <c r="AJY25" s="97" t="str">
        <f t="shared" ca="1" si="338"/>
        <v>=INDEX('Port Linkages'!$AW$18:$AW$157,MATCH(2,1/(('Port Linkages'!$C$18:$C$157=$AQ10)*('Port Linkages'!$D$18:$D$157=IF($AO10="no",$AQ10,$KK10))*('Port Linkages'!$A$18:$A$157&lt;=$C10))))}</v>
      </c>
      <c r="AJZ25" s="97" t="str">
        <f t="shared" ca="1" si="338"/>
        <v>=INDEX('Port Linkages'!$AX$18:$AX$157,MATCH(2,1/(('Port Linkages'!$C$18:$C$157=$AQ10)*('Port Linkages'!$D$18:$D$157=IF($AO10="no",$AQ10,$KK10))*('Port Linkages'!$A$18:$A$157&lt;=$C10))))}</v>
      </c>
      <c r="AKA25" s="97" t="str">
        <f t="shared" ca="1" si="338"/>
        <v>=INDEX('Port Linkages'!$AY$18:$AY$157,MATCH(2,1/(('Port Linkages'!$C$18:$C$157=$AQ10)*('Port Linkages'!$D$18:$D$157=IF($AO10="no",$AQ10,$KK10))*('Port Linkages'!$A$18:$A$157&lt;=$C10))))}</v>
      </c>
      <c r="AKB25" s="97" t="str">
        <f t="shared" ca="1" si="338"/>
        <v>=INDEX('Port Linkages'!$AZ$18:$AZ$157,MATCH(2,1/(('Port Linkages'!$C$18:$C$157=$AQ10)*('Port Linkages'!$D$18:$D$157=IF($AO10="no",$AQ10,$KK10))*('Port Linkages'!$A$18:$A$157&lt;=$C10))))}</v>
      </c>
      <c r="AKC25" s="97" t="str">
        <f t="shared" ca="1" si="338"/>
        <v>=INDEX('Port Linkages'!$BA$18:$BA$157,MATCH(2,1/(('Port Linkages'!$C$18:$C$157=$AQ10)*('Port Linkages'!$D$18:$D$157=IF($AO10="no",$AQ10,$KK10))*('Port Linkages'!$A$18:$A$157&lt;=$C10))))}</v>
      </c>
      <c r="AKD25" s="97" t="e">
        <f t="shared" ca="1" si="338"/>
        <v>#N/A</v>
      </c>
      <c r="AKE25" s="97" t="str">
        <f t="shared" ca="1" si="338"/>
        <v>=INDEX('Ship Fuel Prices'!$F$5:$F$1004,MATCH(2,1/(('Ship Fuel Prices'!$E$5:$E$1004=_xlfn.IFS(AHT10="Handysize",Main!AJZ10,AHT10="Supramax",AJS10,AHT10="Panamax",AJL10,AHT10="NeoPanamax",AJE10,AHT10="Suezmax",AIX10,AHT10="Capesize",AIQ10,AHT10="VLOC",AIJ10))*('Ship Fuel Prices'!$D$5:$D$1004&lt;=Main!$C10))))}</v>
      </c>
      <c r="AKF25" s="97" t="str">
        <f t="shared" ca="1" si="338"/>
        <v>=INDEX('Ship Fuel Prices'!$G$5:$G$1004,MATCH(2,1/(('Ship Fuel Prices'!$E$5:$E$1004=_xlfn.IFS(AHT10="Handysize",Main!AJZ10,AHT10="Supramax",AJS10,AHT10="Panamax",AJL10,AHT10="NeoPanamax",AJE10,AHT10="Suezmax",AIX10,AHT10="Capesize",AIQ10,AHT10="VLOC",AIJ10))*('Ship Fuel Prices'!$D$5:$D$1004&lt;=Main!$C10))))}</v>
      </c>
      <c r="AKG25" s="97" t="str">
        <f t="shared" ca="1" si="338"/>
        <v>=INDEX('Ship Fuel Prices'!$H$5:$H$1004,MATCH(2,1/(('Ship Fuel Prices'!$E$5:$E$1004=_xlfn.IFS(AHT10="Handysize",Main!AJZ10,AHT10="Supramax",AJS10,AHT10="Panamax",AJL10,AHT10="NeoPanamax",AJE10,AHT10="Suezmax",AIX10,AHT10="Capesize",AIQ10,AHT10="VLOC",AIJ10))*('Ship Fuel Prices'!$D$5:$D$1004&lt;=Main!$C10))))}</v>
      </c>
      <c r="AKH25" s="97" t="str">
        <f t="shared" ca="1" si="338"/>
        <v>=INDEX('Ship Fuel Prices'!$I$5:$I$1004,MATCH(2,1/(('Ship Fuel Prices'!$E$5:$E$1004=_xlfn.IFS(AHT10="Handysize",Main!AJZ10,AHT10="Supramax",AJS10,AHT10="Panamax",AJL10,AHT10="NeoPanamax",AJE10,AHT10="Suezmax",AIX10,AHT10="Capesize",AIQ10,AHT10="VLOC",AIJ10))*('Ship Fuel Prices'!$D$5:$D$1004&lt;=Main!$C10))))}</v>
      </c>
      <c r="AKI25" s="97" t="str">
        <f t="shared" ca="1" si="338"/>
        <v>=INDEX('Ship Fuel Prices'!$J$5:$J$1004,MATCH(2,1/(('Ship Fuel Prices'!$E$5:$E$1004=_xlfn.IFS(AHT10="Handysize",Main!AJZ10,AHT10="Supramax",AJS10,AHT10="Panamax",AJL10,AHT10="NeoPanamax",AJE10,AHT10="Suezmax",AIX10,AHT10="Capesize",AIQ10,AHT10="VLOC",AIJ10))*('Ship Fuel Prices'!$D$5:$D$1004&lt;=Main!$C10))))}</v>
      </c>
      <c r="AKJ25" s="97" t="e">
        <f t="shared" ca="1" si="338"/>
        <v>#N/A</v>
      </c>
      <c r="AKK25" s="97" t="str">
        <f t="shared" ca="1" si="338"/>
        <v>=INDEX('China n Importing Ports'!$E$20:$E$41,MATCH(2,1/(('China n Importing Ports'!$D$20:$D$41&lt;=$C10)*('China n Importing Ports'!$C$20:$C$41=IF($AO10="No",$AQ10,$KK10)))))}</v>
      </c>
      <c r="AKL25" s="97" t="str">
        <f t="shared" ca="1" si="338"/>
        <v>=INDEX('China n Importing Ports'!$F$20:$F$41,MATCH(2,1/(('China n Importing Ports'!$D$20:$D$41&lt;=$C10)*('China n Importing Ports'!$C$20:$C$41=IF($AO10="No",$AQ10,$KK10)))))}</v>
      </c>
      <c r="AKM25" s="97" t="str">
        <f t="shared" ca="1" si="338"/>
        <v>=INDEX('China n Importing Ports'!$G$20:$G$41,MATCH(2,1/(('China n Importing Ports'!$D$20:$D$41&lt;=$C10)*('China n Importing Ports'!$C$20:$C$41=IF($AO10="No",$AQ10,$KK10)))))}</v>
      </c>
      <c r="AKN25" s="97" t="str">
        <f t="shared" ca="1" si="338"/>
        <v>=INDEX('China n Importing Ports'!$H$20:$H$41,MATCH(2,1/(('China n Importing Ports'!$D$20:$D$41&lt;=$C10)*('China n Importing Ports'!$C$20:$C$41=IF($AO10="No",$AQ10,$KK10)))))}</v>
      </c>
      <c r="AKO25" s="97" t="str">
        <f t="shared" ca="1" si="338"/>
        <v>=INDEX('China n Importing Ports'!$I$20:$I$41,MATCH(2,1/(('China n Importing Ports'!$D$20:$D$41&lt;=$C10)*('China n Importing Ports'!$C$20:$C$41=IF($AO10="No",$AQ10,$KK10)))))}</v>
      </c>
      <c r="AKP25" s="97" t="str">
        <f t="shared" ca="1" si="338"/>
        <v>=INDEX('China n Importing Ports'!$J$20:$J$41,MATCH(2,1/(('China n Importing Ports'!$D$20:$D$41&lt;=$C10)*('China n Importing Ports'!$C$20:$C$41=IF($AO10="No",$AQ10,$KK10)))))}</v>
      </c>
      <c r="AKQ25" s="97" t="str">
        <f t="shared" ca="1" si="338"/>
        <v>=INDEX('China n Importing Ports'!$K$20:$K$41,MATCH(2,1/(('China n Importing Ports'!$D$20:$D$41&lt;=$C10)*('China n Importing Ports'!$C$20:$C$41=IF($AO10="No",$AQ10,$KK10)))))}</v>
      </c>
      <c r="AKR25" s="97" t="str">
        <f t="shared" ca="1" si="338"/>
        <v>=INDEX('China n Importing Ports'!$L$20:$L$41,MATCH(2,1/(('China n Importing Ports'!$D$20:$D$41&lt;=$C10)*('China n Importing Ports'!$C$20:$C$41=IF($AO10="No",$AQ10,$KK10)))))}</v>
      </c>
      <c r="AKS25" s="97" t="str">
        <f t="shared" ca="1" si="338"/>
        <v>=INDEX('China n Importing Ports'!$M$20:$M$41,MATCH(2,1/(('China n Importing Ports'!$D$20:$D$41&lt;=$C10)*('China n Importing Ports'!$C$20:$C$41=IF($AO10="No",$AQ10,$KK10)))))}</v>
      </c>
      <c r="AKT25" s="97" t="str">
        <f t="shared" ca="1" si="338"/>
        <v>=INDEX('China n Importing Ports'!$N$20:$N$41,MATCH(2,1/(('China n Importing Ports'!$D$20:$D$41&lt;=$C10)*('China n Importing Ports'!$C$20:$C$41=IF($AO10="No",$AQ10,$KK10)))))}</v>
      </c>
      <c r="AKU25" s="97" t="str">
        <f t="shared" ca="1" si="338"/>
        <v>=INDEX('China n Importing Ports'!$O$20:$O$41,MATCH(2,1/(('China n Importing Ports'!$D$20:$D$41&lt;=$C10)*('China n Importing Ports'!$C$20:$C$41=IF($AO10="No",$AQ10,$KK10)))))}</v>
      </c>
      <c r="AKV25" s="97" t="str">
        <f t="shared" ca="1" si="338"/>
        <v>=INDEX('China n Importing Ports'!$P$20:$P$41,MATCH(2,1/(('China n Importing Ports'!$D$20:$D$41&lt;=$C10)*('China n Importing Ports'!$C$20:$C$41=IF($AO10="No",$AQ10,$KK10)))))}</v>
      </c>
      <c r="AKW25" s="97" t="str">
        <f t="shared" ca="1" si="338"/>
        <v>=INDEX('China n Importing Ports'!$Q$20:$Q$41,MATCH(2,1/(('China n Importing Ports'!$D$20:$D$41&lt;=$C10)*('China n Importing Ports'!$C$20:$C$41=IF($AO10="No",$AQ10,$KK10)))))}</v>
      </c>
      <c r="AKX25" s="97" t="str">
        <f t="shared" ca="1" si="338"/>
        <v>=INDEX('China n Importing Ports'!$R$20:$R$41,MATCH(2,1/(('China n Importing Ports'!$D$20:$D$41&lt;=$C10)*('China n Importing Ports'!$C$20:$C$41=IF($AO10="No",$AQ10,$KK10)))))}</v>
      </c>
      <c r="AKY25" s="97" t="str">
        <f t="shared" ca="1" si="338"/>
        <v>=INDEX('China n Importing Ports'!$S$20:$S$41,MATCH(2,1/(('China n Importing Ports'!$D$20:$D$41&lt;=$C10)*('China n Importing Ports'!$C$20:$C$41=IF($AO10="No",$AQ10,$KK10)))))}</v>
      </c>
      <c r="AKZ25" s="97" t="str">
        <f t="shared" ca="1" si="338"/>
        <v>=INDEX('China n Importing Ports'!$T$20:$T$41,MATCH(2,1/(('China n Importing Ports'!$D$20:$D$41&lt;=$C10)*('China n Importing Ports'!$C$20:$C$41=IF($AO10="No",$AQ10,$KK10)))))}</v>
      </c>
      <c r="ALA25" s="97" t="str">
        <f t="shared" ca="1" si="338"/>
        <v>=INDEX('China n Importing Ports'!$U$20:$U$41,MATCH(2,1/(('China n Importing Ports'!$D$20:$D$41&lt;=$C10)*('China n Importing Ports'!$C$20:$C$41=IF($AO10="No",$AQ10,$KK10)))))}</v>
      </c>
      <c r="ALB25" s="97" t="str">
        <f t="shared" ca="1" si="338"/>
        <v>=INDEX('China n Importing Ports'!$V$20:$V$41,MATCH(2,1/(('China n Importing Ports'!$D$20:$D$41&lt;=$C10)*('China n Importing Ports'!$C$20:$C$41=IF($AO10="No",$AQ10,$KK10)))))}</v>
      </c>
      <c r="ALC25" s="97" t="str">
        <f t="shared" ca="1" si="338"/>
        <v>=INDEX('China n Importing Ports'!$W$20:$W$41,MATCH(2,1/(('China n Importing Ports'!$D$20:$D$41&lt;=$C10)*('China n Importing Ports'!$C$20:$C$41=IF($AO10="No",$AQ10,$KK10)))))}</v>
      </c>
      <c r="ALD25" s="97" t="str">
        <f t="shared" ca="1" si="338"/>
        <v>=INDEX('China n Importing Ports'!$X$20:$X$41,MATCH(2,1/(('China n Importing Ports'!$D$20:$D$41&lt;=$C10)*('China n Importing Ports'!$C$20:$C$41=IF($AO10="No",$AQ10,$KK10)))))}</v>
      </c>
      <c r="ALE25" s="97" t="str">
        <f t="shared" ref="ALE25:ANP25" ca="1" si="339">RIGHT(_xlfn.FORMULATEXT(ALE10),LEN(_xlfn.FORMULATEXT(ALE10))-1)</f>
        <v>=INDEX('China n Importing Ports'!$Y$20:$Y$41,MATCH(2,1/(('China n Importing Ports'!$D$20:$D$41&lt;=$C10)*('China n Importing Ports'!$C$20:$C$41=IF($AO10="No",$AQ10,$KK10)))))}</v>
      </c>
      <c r="ALF25" s="97" t="str">
        <f t="shared" ca="1" si="339"/>
        <v>=INDEX('China n Importing Ports'!$Z$20:$Z$41,MATCH(2,1/(('China n Importing Ports'!$D$20:$D$41&lt;=$C10)*('China n Importing Ports'!$C$20:$C$41=IF($AO10="No",$AQ10,$KK10)))))}</v>
      </c>
      <c r="ALG25" s="97" t="str">
        <f t="shared" ca="1" si="339"/>
        <v>=INDEX('China n Importing Ports'!$AA$20:$AA$41,MATCH(2,1/(('China n Importing Ports'!$D$20:$D$41&lt;=$C10)*('China n Importing Ports'!$C$20:$C$41=IF($AO10="No",$AQ10,$KK10)))))}</v>
      </c>
      <c r="ALH25" s="97" t="e">
        <f t="shared" ca="1" si="339"/>
        <v>#N/A</v>
      </c>
      <c r="ALI25" s="97" t="str">
        <f t="shared" ca="1" si="339"/>
        <v>=INDEX(Canals!$G$24:$G$29,MATCH(2,1/((Canals!$F$24:$F$29&lt;=$C10)*(Canals!$G$24:$G$29=_xlfn.IFS(AHT10="Handysize",AKC10,AHT10="Supramax",AJV10,AHT10="Panamax",AJO10,AHT10="NeoPanamax",AJH10,AHT10="Suezmax",AJA10,AHT10="Capesize",AIT10,AHT10="VLOC",AIM10)))))}</v>
      </c>
      <c r="ALJ25" s="97" t="str">
        <f t="shared" ca="1" si="339"/>
        <v>=INDEX(Canals!$H$24:$H$29,MATCH(2,1/((Canals!$F$24:$F$29&lt;=$C10)*(Canals!$G$24:$G$29=_xlfn.IFS(AHT10="Handysize",AKC10,AHT10="Supramax",AJV10,AHT10="Panamax",AJO10,AHT10="NeoPanamax",AJH10,AHT10="Suezmax",AJA10,AHT10="Capesize",AIT10,AHT10="VLOC",AIM10)))))}</v>
      </c>
      <c r="ALK25" s="97" t="str">
        <f t="shared" ca="1" si="339"/>
        <v>=INDEX(Canals!$I$24:$I$29,MATCH(2,1/((Canals!$F$24:$F$29&lt;=$C10)*(Canals!$G$24:$G$29=_xlfn.IFS(AHT10="Handysize",AKC10,AHT10="Supramax",AJV10,AHT10="Panamax",AJO10,AHT10="NeoPanamax",AJH10,AHT10="Suezmax",AJA10,AHT10="Capesize",AIT10,AHT10="VLOC",AIM10)))))}</v>
      </c>
      <c r="ALL25" s="97" t="str">
        <f t="shared" ca="1" si="339"/>
        <v>=INDEX(Canals!$J$24:$J$29,MATCH(2,1/((Canals!$F$24:$F$29&lt;=$C10)*(Canals!$G$24:$G$29=_xlfn.IFS(AHT10="Handysize",Main!AKC10,AHT10="Supramax",AJV10,AHT10="Panamax",AJO10,AHT10="NeoPanamax",AJH10,AHT10="Suezmax",AJA10,AHT10="Capesize",AIT10,AHT10="VLOC",AIM10)))))}</v>
      </c>
      <c r="ALM25" s="97" t="str">
        <f t="shared" ca="1" si="339"/>
        <v>=INDEX(Canals!$K$24:$K$29,MATCH(2,1/((Canals!$F$24:$F$29&lt;=$C10)*(Canals!$G$24:$G$29=_xlfn.IFS(AHT10="Handysize",Main!AKC10,AHT10="Supramax",AJV10,AHT10="Panamax",AJO10,AHT10="NeoPanamax",AJH10,AHT10="Suezmax",AJA10,AHT10="Capesize",AIT10,AHT10="VLOC",AIM10)))))}</v>
      </c>
      <c r="ALN25" s="97" t="str">
        <f t="shared" ca="1" si="339"/>
        <v>=INDEX(Canals!$L$24:$L$29,MATCH(2,1/((Canals!$F$24:$F$29&lt;=$C10)*(Canals!$G$24:$G$29=_xlfn.IFS(AHT10="Handysize",Main!AKC10,AHT10="Supramax",AJV10,AHT10="Panamax",AJO10,AHT10="NeoPanamax",AJH10,AHT10="Suezmax",AJA10,AHT10="Capesize",AIT10,AHT10="VLOC",AIM10)))))}</v>
      </c>
      <c r="ALO25" s="97" t="str">
        <f t="shared" ca="1" si="339"/>
        <v>=INDEX(Canals!$M$24:$M$29,MATCH(2,1/((Canals!$F$24:$F$29&lt;=$C10)*(Canals!$G$24:$G$29=_xlfn.IFS(AHT10="Handysize",Main!AKC10,AHT10="Supramax",AJV10,AHT10="Panamax",AJO10,AHT10="NeoPanamax",AJH10,AHT10="Suezmax",AJA10,AHT10="Capesize",AIT10,AHT10="VLOC",AIM10)))))}</v>
      </c>
      <c r="ALP25" s="97" t="str">
        <f t="shared" ca="1" si="339"/>
        <v>=INDEX(Canals!$N$24:$N$29,MATCH(2,1/((Canals!$F$24:$F$29&lt;=$C10)*(Canals!$G$24:$G$29=_xlfn.IFS(AHT10="Handysize",Main!AKC10,AHT10="Supramax",AJV10,AHT10="Panamax",AJO10,AHT10="NeoPanamax",AJH10,AHT10="Suezmax",AJA10,AHT10="Capesize",AIT10,AHT10="VLOC",AIM10)))))}</v>
      </c>
      <c r="ALQ25" s="97" t="str">
        <f t="shared" ca="1" si="339"/>
        <v>=INDEX(Canals!$O$24:$O$29,MATCH(2,1/((Canals!$F$24:$F$29&lt;=$C10)*(Canals!$G$24:$G$29=_xlfn.IFS(AHT10="Handysize",Main!AKC10,AHT10="Supramax",AJV10,AHT10="Panamax",AJO10,AHT10="NeoPanamax",AJH10,AHT10="Suezmax",AJA10,AHT10="Capesize",AIT10,AHT10="VLOC",AIM10)))))}</v>
      </c>
      <c r="ALR25" s="97" t="str">
        <f t="shared" ca="1" si="339"/>
        <v>=INDEX(Canals!$P$24:$P$29,MATCH(2,1/((Canals!$F$24:$F$29&lt;=$C10)*(Canals!$G$24:$G$29=_xlfn.IFS(AHT10="Handysize",Main!AKC10,AHT10="Supramax",AJV10,AHT10="Panamax",AJO10,AHT10="NeoPanamax",AJH10,AHT10="Suezmax",AJA10,AHT10="Capesize",AIT10,AHT10="VLOC",AIM10)))))}</v>
      </c>
      <c r="ALS25" s="97" t="str">
        <f t="shared" ca="1" si="339"/>
        <v>=INDEX(Canals!$Q$24:$Q$29,MATCH(2,1/((Canals!$F$24:$F$29&lt;=$C10)*(Canals!$G$24:$G$29=_xlfn.IFS(AHT10="Handysize",Main!AKC10,AHT10="Supramax",AJV10,AHT10="Panamax",AJO10,AHT10="NeoPanamax",AJH10,AHT10="Suezmax",AJA10,AHT10="Capesize",AIT10,AHT10="VLOC",AIM10)))))}</v>
      </c>
      <c r="ALT25" s="97" t="str">
        <f t="shared" ca="1" si="339"/>
        <v>=INDEX(Canals!$R$24:$R$29,MATCH(2,1/((Canals!$F$24:$F$29&lt;=$C10)*(Canals!$G$24:$G$29=_xlfn.IFS(AHT10="Handysize",Main!AKC10,AHT10="Supramax",AJV10,AHT10="Panamax",AJO10,AHT10="NeoPanamax",AJH10,AHT10="Suezmax",AJA10,AHT10="Capesize",AIT10,AHT10="VLOC",AIM10)))))}</v>
      </c>
      <c r="ALU25" s="97" t="str">
        <f t="shared" ca="1" si="339"/>
        <v>=INDEX(Canals!$S$24:$S$29,MATCH(2,1/((Canals!$F$24:$F$29&lt;=$C10)*(Canals!$G$24:$G$29=_xlfn.IFS(AHT10="Handysize",Main!AKC10,AHT10="Supramax",AJV10,AHT10="Panamax",AJO10,AHT10="NeoPanamax",AJH10,AHT10="Suezmax",AJA10,AHT10="Capesize",AIT10,AHT10="VLOC",AIM10)))))}</v>
      </c>
      <c r="ALV25" s="97" t="str">
        <f t="shared" ca="1" si="339"/>
        <v>=INDEX(Canals!$T$24:$T$29,MATCH(2,1/((Canals!$F$24:$F$29&lt;=$C10)*(Canals!$G$24:$G$29=_xlfn.IFS(AHT10="Handysize",Main!AKC10,AHT10="Supramax",AJV10,AHT10="Panamax",AJO10,AHT10="NeoPanamax",AJH10,AHT10="Suezmax",AJA10,AHT10="Capesize",AIT10,AHT10="VLOC",AIM10)))))}</v>
      </c>
      <c r="ALW25" s="97" t="str">
        <f t="shared" ca="1" si="339"/>
        <v>=INDEX(Canals!$U$24:$U$29,MATCH(2,1/((Canals!$F$24:$F$29&lt;=$C10)*(Canals!$G$24:$G$29=_xlfn.IFS(AHT10="Handysize",Main!AKC10,AHT10="Supramax",AJV10,AHT10="Panamax",AJO10,AHT10="NeoPanamax",AJH10,AHT10="Suezmax",AJA10,AHT10="Capesize",AIT10,AHT10="VLOC",AIM10)))))}</v>
      </c>
      <c r="ALX25" s="97" t="str">
        <f t="shared" ca="1" si="339"/>
        <v>=INDEX(Canals!$V$24:$V$29,MATCH(2,1/((Canals!$F$24:$F$29&lt;=$C10)*(Canals!$G$24:$G$29=_xlfn.IFS(AHT10="Handysize",Main!AKC10,AHT10="Supramax",AJV10,AHT10="Panamax",AJO10,AHT10="NeoPanamax",AJH10,AHT10="Suezmax",AJA10,AHT10="Capesize",AIT10,AHT10="VLOC",AIM10)))))}</v>
      </c>
      <c r="ALY25" s="97" t="str">
        <f t="shared" ca="1" si="339"/>
        <v>=INDEX(Canals!$W$24:$W$29,MATCH(2,1/((Canals!$F$24:$F$29&lt;=$C10)*(Canals!$G$24:$G$29=_xlfn.IFS(AHT10="Handysize",Main!AKC10,AHT10="Supramax",AJV10,AHT10="Panamax",AJO10,AHT10="NeoPanamax",AJH10,AHT10="Suezmax",AJA10,AHT10="Capesize",AIT10,AHT10="VLOC",AIM10)))))}</v>
      </c>
      <c r="ALZ25" s="97" t="str">
        <f t="shared" ca="1" si="339"/>
        <v>=INDEX(Canals!$X$24:$X$29,MATCH(2,1/((Canals!$F$24:$F$29&lt;=$C10)*(Canals!$G$24:$G$29=_xlfn.IFS(AHT10="Handysize",Main!AKC10,AHT10="Supramax",AJV10,AHT10="Panamax",AJO10,AHT10="NeoPanamax",AJH10,AHT10="Suezmax",AJA10,AHT10="Capesize",AIT10,AHT10="VLOC",AIM10)))))}</v>
      </c>
      <c r="AMA25" s="97" t="str">
        <f t="shared" ca="1" si="339"/>
        <v>=INDEX(Canals!$Y$24:$Y$29,MATCH(2,1/((Canals!$F$24:$F$29&lt;=$C10)*(Canals!$G$24:$G$29=_xlfn.IFS(AHT10="Handysize",Main!AKC10,AHT10="Supramax",AJV10,AHT10="Panamax",AJO10,AHT10="NeoPanamax",AJH10,AHT10="Suezmax",AJA10,AHT10="Capesize",AIT10,AHT10="VLOC",AIM10)))))}</v>
      </c>
      <c r="AMB25" s="97" t="str">
        <f t="shared" ca="1" si="339"/>
        <v>=INDEX(Canals!$Z$24:$Z$29,MATCH(2,1/((Canals!$F$24:$F$29&lt;=$C10)*(Canals!$G$24:$G$29=_xlfn.IFS(AHT10="Handysize",Main!AKC10,AHT10="Supramax",AJV10,AHT10="Panamax",AJO10,AHT10="NeoPanamax",AJH10,AHT10="Suezmax",AJA10,AHT10="Capesize",AIT10,AHT10="VLOC",AIM10)))))}</v>
      </c>
      <c r="AMC25" s="97" t="str">
        <f t="shared" ca="1" si="339"/>
        <v>=INDEX(Canals!$AA$24:$AA$29,MATCH(2,1/((Canals!$F$24:$F$29&lt;=$C10)*(Canals!$G$24:$G$29=_xlfn.IFS(AHT10="Handysize",Main!AKC10,AHT10="Supramax",AJV10,AHT10="Panamax",AJO10,AHT10="NeoPanamax",AJH10,AHT10="Suezmax",AJA10,AHT10="Capesize",AIT10,AHT10="VLOC",AIM10)))))}</v>
      </c>
      <c r="AMD25" s="97" t="str">
        <f t="shared" ca="1" si="339"/>
        <v>=INDEX(Canals!$AB$24:$AB$29,MATCH(2,1/((Canals!$F$24:$F$29&lt;=$C10)*(Canals!$G$24:$G$29=_xlfn.IFS(AHT10="Handysize",Main!AKC10,AHT10="Supramax",AJV10,AHT10="Panamax",AJO10,AHT10="NeoPanamax",AJH10,AHT10="Suezmax",AJA10,AHT10="Capesize",AIT10,AHT10="VLOC",AIM10)))))}</v>
      </c>
      <c r="AME25" s="97" t="str">
        <f t="shared" ca="1" si="339"/>
        <v>=INDEX(Canals!$AC$24:$AC$29,MATCH(2,1/((Canals!$F$24:$F$29&lt;=$C10)*(Canals!$G$24:$G$29=_xlfn.IFS(AHT10="Handysize",Main!AKC10,AHT10="Supramax",AJV10,AHT10="Panamax",AJO10,AHT10="NeoPanamax",AJH10,AHT10="Suezmax",AJA10,AHT10="Capesize",AIT10,AHT10="VLOC",AIM10)))))}</v>
      </c>
      <c r="AMF25" s="97" t="str">
        <f t="shared" ca="1" si="339"/>
        <v>=INDEX(Canals!$AD$24:$AD$29,MATCH(2,1/((Canals!$F$24:$F$29&lt;=$C10)*(Canals!$G$24:$G$29=_xlfn.IFS(AHT10="Handysize",Main!AKC10,AHT10="Supramax",AJV10,AHT10="Panamax",AJO10,AHT10="NeoPanamax",AJH10,AHT10="Suezmax",AJA10,AHT10="Capesize",AIT10,AHT10="VLOC",AIM10)))))}</v>
      </c>
      <c r="AMG25" s="97" t="str">
        <f t="shared" ca="1" si="339"/>
        <v>=INDEX(Canals!$AE$24:$AE$29,MATCH(2,1/((Canals!$F$24:$F$29&lt;=$C10)*(Canals!$G$24:$G$29=_xlfn.IFS(AHT10="Handysize",Main!AKC10,AHT10="Supramax",AJV10,AHT10="Panamax",AJO10,AHT10="NeoPanamax",AJH10,AHT10="Suezmax",AJA10,AHT10="Capesize",AIT10,AHT10="VLOC",AIM10)))))}</v>
      </c>
      <c r="AMH25" s="97" t="str">
        <f t="shared" ca="1" si="339"/>
        <v>=INDEX(Canals!$AF$24:$AF$29,MATCH(2,1/((Canals!$F$24:$F$29&lt;=$C10)*(Canals!$G$24:$G$29=_xlfn.IFS(AHT10="Handysize",Main!AKC10,AHT10="Supramax",AJV10,AHT10="Panamax",AJO10,AHT10="NeoPanamax",AJH10,AHT10="Suezmax",AJA10,AHT10="Capesize",AIT10,AHT10="VLOC",AIM10)))))}</v>
      </c>
      <c r="AMI25" s="97" t="str">
        <f t="shared" ca="1" si="339"/>
        <v>=INDEX(Canals!$AG$24:$AG$29,MATCH(2,1/((Canals!$F$24:$F$29&lt;=$C10)*(Canals!$G$24:$G$29=_xlfn.IFS(AHT10="Handysize",Main!AKC10,AHT10="Supramax",AJV10,AHT10="Panamax",AJO10,AHT10="NeoPanamax",AJH10,AHT10="Suezmax",AJA10,AHT10="Capesize",AIT10,AHT10="VLOC",AIM10)))))}</v>
      </c>
      <c r="AMJ25" s="97" t="str">
        <f t="shared" ca="1" si="339"/>
        <v>=INDEX(Canals!$AH$24:$AH$29,MATCH(2,1/((Canals!$F$24:$F$29&lt;=$C10)*(Canals!$G$24:$G$29=_xlfn.IFS(AHT10="Handysize",Main!AKC10,AHT10="Supramax",AJV10,AHT10="Panamax",AJO10,AHT10="NeoPanamax",AJH10,AHT10="Suezmax",AJA10,AHT10="Capesize",AIT10,AHT10="VLOC",AIM10)))))}</v>
      </c>
      <c r="AMK25" s="97" t="str">
        <f t="shared" ca="1" si="339"/>
        <v>=INDEX(Canals!$AI$24:$AI$29,MATCH(2,1/((Canals!$F$24:$F$29&lt;=$C10)*(Canals!$G$24:$G$29=_xlfn.IFS(AHT10="Handysize",Main!AKC10,AHT10="Supramax",AJV10,AHT10="Panamax",AJO10,AHT10="NeoPanamax",AJH10,AHT10="Suezmax",AJA10,AHT10="Capesize",AIT10,AHT10="VLOC",AIM10)))))}</v>
      </c>
      <c r="AML25" s="97" t="str">
        <f t="shared" ca="1" si="339"/>
        <v>=INDEX(Canals!$AJ$24:$AJ$29,MATCH(2,1/((Canals!$F$24:$F$29&lt;=$C10)*(Canals!$G$24:$G$29=_xlfn.IFS(AHT10="Handysize",Main!AKC10,AHT10="Supramax",AJV10,AHT10="Panamax",AJO10,AHT10="NeoPanamax",AJH10,AHT10="Suezmax",AJA10,AHT10="Capesize",AIT10,AHT10="VLOC",AIM10)))))}</v>
      </c>
      <c r="AMM25" s="97" t="str">
        <f t="shared" ca="1" si="339"/>
        <v>=INDEX(Canals!$AK$24:$AK$29,MATCH(2,1/((Canals!$F$24:$F$29&lt;=$C10)*(Canals!$G$24:$G$29=_xlfn.IFS(AHT10="Handysize",Main!AKC10,AHT10="Supramax",AJV10,AHT10="Panamax",AJO10,AHT10="NeoPanamax",AJH10,AHT10="Suezmax",AJA10,AHT10="Capesize",AIT10,AHT10="VLOC",AIM10)))))}</v>
      </c>
      <c r="AMN25" s="97" t="str">
        <f t="shared" ca="1" si="339"/>
        <v>=INDEX(Canals!$AL$24:$AL$29,MATCH(2,1/((Canals!$F$24:$F$29&lt;=$C10)*(Canals!$G$24:$G$29=_xlfn.IFS(AHT10="Handysize",Main!AKC10,AHT10="Supramax",AJV10,AHT10="Panamax",AJO10,AHT10="NeoPanamax",AJH10,AHT10="Suezmax",AJA10,AHT10="Capesize",AIT10,AHT10="VLOC",AIM10)))))}</v>
      </c>
      <c r="AMO25" s="97" t="str">
        <f t="shared" ca="1" si="339"/>
        <v>=INDEX(Canals!$AM$24:$AM$29,MATCH(2,1/((Canals!$F$24:$F$29&lt;=$C10)*(Canals!$G$24:$G$29=_xlfn.IFS(AHT10="Handysize",Main!AKC10,AHT10="Supramax",AJV10,AHT10="Panamax",AJO10,AHT10="NeoPanamax",AJH10,AHT10="Suezmax",AJA10,AHT10="Capesize",AIT10,AHT10="VLOC",AIM10)))))}</v>
      </c>
      <c r="AMP25" s="97" t="str">
        <f t="shared" ca="1" si="339"/>
        <v>=INDEX(Canals!$AN$24:$AN$29,MATCH(2,1/((Canals!$F$24:$F$29&lt;=$C10)*(Canals!$G$24:$G$29=_xlfn.IFS(AHT10="Handysize",Main!AKC10,AHT10="Supramax",AJV10,AHT10="Panamax",AJO10,AHT10="NeoPanamax",AJH10,AHT10="Suezmax",AJA10,AHT10="Capesize",AIT10,AHT10="VLOC",AIM10)))))}</v>
      </c>
      <c r="AMQ25" s="97" t="str">
        <f t="shared" ca="1" si="339"/>
        <v>=INDEX(Canals!$AO$24:$AO$29,MATCH(2,1/((Canals!$F$24:$F$29&lt;=$C10)*(Canals!$G$24:$G$29=_xlfn.IFS(AHT10="Handysize",Main!AKC10,AHT10="Supramax",AJV10,AHT10="Panamax",AJO10,AHT10="NeoPanamax",AJH10,AHT10="Suezmax",AJA10,AHT10="Capesize",AIT10,AHT10="VLOC",AIM10)))))}</v>
      </c>
      <c r="AMR25" s="97" t="str">
        <f t="shared" ca="1" si="339"/>
        <v>=INDEX(Canals!$AP$24:$AP$29,MATCH(2,1/((Canals!$F$24:$F$29&lt;=$C10)*(Canals!$G$24:$G$29=_xlfn.IFS(AHT10="Handysize",Main!AKC10,AHT10="Supramax",AJV10,AHT10="Panamax",AJO10,AHT10="NeoPanamax",AJH10,AHT10="Suezmax",AJA10,AHT10="Capesize",AIT10,AHT10="VLOC",AIM10)))))}</v>
      </c>
      <c r="AMS25" s="97" t="str">
        <f t="shared" ca="1" si="339"/>
        <v>=INDEX(Canals!$AQ$24:$AQ$29,MATCH(2,1/((Canals!$F$24:$F$29&lt;=$C10)*(Canals!$G$24:$G$29=_xlfn.IFS(AHT10="Handysize",Main!AKC10,AHT10="Supramax",AJV10,AHT10="Panamax",AJO10,AHT10="NeoPanamax",AJH10,AHT10="Suezmax",AJA10,AHT10="Capesize",AIT10,AHT10="VLOC",AIM10)))))}</v>
      </c>
      <c r="AMT25" s="97" t="str">
        <f t="shared" ca="1" si="339"/>
        <v>=INDEX(Canals!$AR$24:$AR$29,MATCH(2,1/((Canals!$F$24:$F$29&lt;=$C10)*(Canals!$G$24:$G$29=_xlfn.IFS(AHT10="Handysize",Main!AKC10,AHT10="Supramax",AJV10,AHT10="Panamax",AJO10,AHT10="NeoPanamax",AJH10,AHT10="Suezmax",AJA10,AHT10="Capesize",AIT10,AHT10="VLOC",AIM10)))))}</v>
      </c>
      <c r="AMU25" s="97" t="str">
        <f t="shared" ca="1" si="339"/>
        <v>=INDEX(Canals!$AS$24:$AS$29,MATCH(2,1/((Canals!$F$24:$F$29&lt;=$C10)*(Canals!$G$24:$G$29=_xlfn.IFS(AHT10="Handysize",Main!AKC10,AHT10="Supramax",AJV10,AHT10="Panamax",AJO10,AHT10="NeoPanamax",AJH10,AHT10="Suezmax",AJA10,AHT10="Capesize",AIT10,AHT10="VLOC",AIM10)))))}</v>
      </c>
      <c r="AMV25" s="97" t="str">
        <f t="shared" ca="1" si="339"/>
        <v>=INDEX(Canals!$AT$24:$AT$29,MATCH(2,1/((Canals!$F$24:$F$29&lt;=$C10)*(Canals!$G$24:$G$29=_xlfn.IFS(AHT10="Handysize",Main!AKC10,AHT10="Supramax",AJV10,AHT10="Panamax",AJO10,AHT10="NeoPanamax",AJH10,AHT10="Suezmax",AJA10,AHT10="Capesize",AIT10,AHT10="VLOC",AIM10)))))}</v>
      </c>
      <c r="AMW25" s="97" t="str">
        <f t="shared" ca="1" si="339"/>
        <v>=INDEX(Canals!$AU$24:$AU$29,MATCH(2,1/((Canals!$F$24:$F$29&lt;=$C10)*(Canals!$G$24:$G$29=_xlfn.IFS(AHT10="Handysize",Main!AKC10,AHT10="Supramax",AJV10,AHT10="Panamax",AJO10,AHT10="NeoPanamax",AJH10,AHT10="Suezmax",AJA10,AHT10="Capesize",AIT10,AHT10="VLOC",AIM10)))))}</v>
      </c>
      <c r="AMX25" s="97" t="str">
        <f t="shared" ca="1" si="339"/>
        <v>=INDEX(Canals!$AV$24:$AV$29,MATCH(2,1/((Canals!$F$24:$F$29&lt;=$C10)*(Canals!$G$24:$G$29=_xlfn.IFS(AHT10="Handysize",Main!AKC10,AHT10="Supramax",AJV10,AHT10="Panamax",AJO10,AHT10="NeoPanamax",AJH10,AHT10="Suezmax",AJA10,AHT10="Capesize",AIT10,AHT10="VLOC",AIM10)))))}</v>
      </c>
      <c r="AMY25" s="97" t="e">
        <f t="shared" ca="1" si="339"/>
        <v>#N/A</v>
      </c>
      <c r="AMZ25" s="97" t="str">
        <f t="shared" ca="1" si="339"/>
        <v>=_xlfn.IFS(ALK10="DWT",AHR10,ALK10="NRT",AHV10,ALK10="GRT",AHW10,ALK10=0,0)}</v>
      </c>
      <c r="ANA25" s="97" t="str">
        <f t="shared" ca="1" si="339"/>
        <v>IF(AMZ10&gt;ALL10,ALL10,AMZ10)</v>
      </c>
      <c r="ANB25" s="97" t="str">
        <f t="shared" ca="1" si="339"/>
        <v>IF(AMZ10&gt;SUM(ALL10:ALM10),ALM10,AMZ10-SUM(ANA10:ANA10))</v>
      </c>
      <c r="ANC25" s="97" t="str">
        <f t="shared" ca="1" si="339"/>
        <v>IF(AMZ10&gt;SUM(ALL10:ALN10),ALN10,AMZ10-SUM(ANA10:ANB10))</v>
      </c>
      <c r="AND25" s="97" t="str">
        <f t="shared" ca="1" si="339"/>
        <v>IF(AMZ10&gt;SUM(ALL10:ALO10),ALO10,AMZ10-SUM(ANA10:ANC10))</v>
      </c>
      <c r="ANE25" s="97" t="str">
        <f t="shared" ca="1" si="339"/>
        <v>IF(AMZ10&gt;SUM(ALL10:ALP10),ALP10,AMZ10-SUM(ANA10:AND10))</v>
      </c>
      <c r="ANF25" s="97" t="str">
        <f t="shared" ca="1" si="339"/>
        <v>IF(AMZ10&gt;SUM(ALL10:ALQ10),ALQ10,AMZ10-SUM(ANA10:ANE10))</v>
      </c>
      <c r="ANG25" s="97" t="str">
        <f t="shared" ca="1" si="339"/>
        <v>IF(AMZ10&gt;SUM(ALL10:ALR10),ALR10,AMZ10-SUM(ANA10:ANF10))</v>
      </c>
      <c r="ANH25" s="97" t="str">
        <f t="shared" ca="1" si="339"/>
        <v>IF(AMZ10&gt;SUM(ALL10:ALS10),ALS10,AMZ10-SUM(ANA10:ANG10))</v>
      </c>
      <c r="ANI25" s="97" t="str">
        <f t="shared" ca="1" si="339"/>
        <v>IF(AMZ10&gt;SUM(ALL10:ALT10),ALT10,AMZ10-SUM(ANA10:ANH10))</v>
      </c>
      <c r="ANJ25" s="97" t="str">
        <f t="shared" ca="1" si="339"/>
        <v>AHR10*$JN10</v>
      </c>
      <c r="ANK25" s="97" t="str">
        <f t="shared" ca="1" si="339"/>
        <v>IF(ANJ10&gt;AME10,AME10,ANJ10)</v>
      </c>
      <c r="ANL25" s="97" t="str">
        <f t="shared" ca="1" si="339"/>
        <v>IF(ANJ10&gt;SUM(AME10:AMF10),AMF10,ANJ10-SUM(ANK10:ANK10))</v>
      </c>
      <c r="ANM25" s="97" t="str">
        <f t="shared" ca="1" si="339"/>
        <v>IF(ANJ10&gt;SUM(AME10:AMG10),AMG10,ANJ10-SUM(ANK10:ANL10))</v>
      </c>
      <c r="ANN25" s="97" t="str">
        <f t="shared" ca="1" si="339"/>
        <v>IF(ANJ10&gt;SUM(AME10:AMH10),AMH10,ANJ10-SUM(ANK10:ANM10))</v>
      </c>
      <c r="ANO25" s="97" t="str">
        <f t="shared" ca="1" si="339"/>
        <v>IF(ANJ10&gt;SUM(AME10:AMI10),AMI10,ANJ10-SUM(ANK10:ANN10))</v>
      </c>
      <c r="ANP25" s="97" t="str">
        <f t="shared" ca="1" si="339"/>
        <v>IF(ANJ10&gt;SUM(AME10:AMJ10),AMJ10,ANJ10-SUM(ANK10:ANO10))</v>
      </c>
      <c r="ANQ25" s="97" t="str">
        <f t="shared" ref="ANQ25:APM25" ca="1" si="340">RIGHT(_xlfn.FORMULATEXT(ANQ10),LEN(_xlfn.FORMULATEXT(ANQ10))-1)</f>
        <v>IF(ANJ10&gt;SUM(AME10:AMK10),AMK10,ANJ10-SUM(ANK10:ANP10))</v>
      </c>
      <c r="ANR25" s="97" t="str">
        <f t="shared" ca="1" si="340"/>
        <v>IF(ANJ10&gt;SUM(AME10:AML10),AML10,ANJ10-SUM(ANK10:ANQ10))</v>
      </c>
      <c r="ANS25" s="97" t="str">
        <f t="shared" ca="1" si="340"/>
        <v>IF(ANJ10&gt;SUM(AME10:AMM10),AMM10,ANJ10-SUM(ANK10:ANR10))</v>
      </c>
      <c r="ANT25" s="97" t="e">
        <f t="shared" ca="1" si="340"/>
        <v>#N/A</v>
      </c>
      <c r="ANU25" s="97" t="str">
        <f t="shared" ca="1" si="340"/>
        <v>=_xlfn.IFS(AHT10="Handysize",Main!AJW10,AHT10="Supramax",AJP10,AHT10="Panamax",AJI10,AHT10="NeoPanamax",AJB10,AHT10="Suezmax",AIU10,AHT10="Capesize",AIN10,AHT10="VLOC",AIG10)*$JI10}</v>
      </c>
      <c r="ANV25" s="97" t="str">
        <f t="shared" ca="1" si="340"/>
        <v>=_xlfn.IFS(AHT10="Handysize",Main!AJX10,AHT10="Supramax",AJQ10,AHT10="Panamax",AJJ10,AHT10="NeoPanamax",AJC10,AHT10="Suezmax",AIV10,AHT10="Capesize",AIO10,AHT10="VLOC",AIH10)*$JI10}</v>
      </c>
      <c r="ANW25" s="97" t="str">
        <f t="shared" ca="1" si="340"/>
        <v>=_xlfn.IFS(AHT10="Handysize",Main!AHY10,AHT10="Supramax",AHZ10,AHT10="Panamax",AIA10,AHT10="NeoPanamax",AIB10,AHT10="Suezmax",AIC10,AHT10="Capesize",AID10,AHT10="VLOC",AIE10)}</v>
      </c>
      <c r="ANX25" s="97" t="str">
        <f t="shared" ca="1" si="340"/>
        <v>=_xlfn.IFS(AHT10="Handysize",Main!AKK10,AHT10="Supramax",AKL10,AHT10="Panamax",AKM10,AHT10="NeoPanamax",AKN10,AHT10="Suezmax",AKO10,AHT10="Capesize",AKP10,AHT10="VLOC",AKQ10)}</v>
      </c>
      <c r="ANY25" s="97" t="str">
        <f t="shared" ca="1" si="340"/>
        <v>=INDEX('Ship Speeds'!$G$11:$G$1011,MATCH(2,1/(('Ship Speeds'!$E$11:$E$1011&lt;=Main!$C10)*('Ship Speeds'!$F$11:$F$1011=Main!AHS10))))}</v>
      </c>
      <c r="ANZ25" s="97" t="str">
        <f t="shared" ca="1" si="340"/>
        <v>(($KH10*ANY10^2+$KI10*ANY10^3+$KG10*ANY10)*((AHR10/$KC10)^$KD10)*$KJ10+(AHR10/$KC10)*$KF10+$KE10)</v>
      </c>
      <c r="AOA25" s="97" t="str">
        <f t="shared" ca="1" si="340"/>
        <v>(AHR10/$JY10)*$JZ10+$KA10+$KB10*(AHR10/$JY10)^2</v>
      </c>
      <c r="AOB25" s="97" t="str">
        <f t="shared" ca="1" si="340"/>
        <v>ANU10/ANY10/$JH10</v>
      </c>
      <c r="AOC25" s="97" t="str">
        <f t="shared" ca="1" si="340"/>
        <v>ANV10/ANY10/$JH10</v>
      </c>
      <c r="AOD25" s="97" t="str">
        <f t="shared" ca="1" si="340"/>
        <v>IF(ANW10=0,0,IF($AO10="yes",$AN10,$AR10)/(1-$AL10)/ANW10)</v>
      </c>
      <c r="AOE25" s="97" t="str">
        <f t="shared" ca="1" si="340"/>
        <v>IF(ANX10=0,0,IF($AO10="yes",$AN10,$AR10)/(1-$AL10)/ANX10)</v>
      </c>
      <c r="AOF25" s="97" t="str">
        <f t="shared" ca="1" si="340"/>
        <v>AMX10*$JI10</v>
      </c>
      <c r="AOG25" s="97" t="str">
        <f t="shared" ca="1" si="340"/>
        <v>IF(ANU10=0,0,MAX(SUM(AOB10:AOF10)*$JV10,$JU10))</v>
      </c>
      <c r="AOH25" s="97" t="str">
        <f t="shared" ca="1" si="340"/>
        <v>=IF(ANU10=0,0,INDEX(AKE10:AKI10,MATCH(_xlfn.IFS(AHT10="Handysize",Main!AKA10,AHT10="Supramax",AJT10,AHT10="Panamax",AJM10,AHT10="NeoPanamax",AJF10,AHT10="Suezmax",AIY10,AHT10="Capesize",AIR10,AHT10="VLOC",AIK10),$AKE$7:$AKI$7,0)))}</v>
      </c>
      <c r="AOI25" s="97" t="str">
        <f t="shared" ca="1" si="340"/>
        <v>=IF(ANU10=0,0,INDEX(AKE10:AKI10,MATCH(_xlfn.IFS(AHT10="Handysize",Main!AKB10,AHT10="Supramax",AJU10,AHT10="Panamax",AJN10,AHT10="NeoPanamax",AJG10,AHT10="Suezmax",AIZ10,AHT10="Capesize",AIS10,AHT10="VLOC",AIL10),$AKE$7:$AKI$7,0)))}</v>
      </c>
      <c r="AOJ25" s="97" t="str">
        <f t="shared" ca="1" si="340"/>
        <v>AOB10*ANZ10*AOH10</v>
      </c>
      <c r="AOK25" s="97" t="str">
        <f t="shared" ca="1" si="340"/>
        <v>SUM(AOD10:AOG10)*AOA10*AOI10+AOC10*ANZ10*AOI10</v>
      </c>
      <c r="AOL25" s="97" t="str">
        <f t="shared" ca="1" si="340"/>
        <v>IF(ANU10=0,0,INDEX($JA10:$JD10,MATCH(AKR10,$JA$7:$JD$7,0)))</v>
      </c>
      <c r="AOM25" s="97" t="str">
        <f t="shared" ca="1" si="340"/>
        <v>IF(ANU10=0,0,AKS10/AOL10)</v>
      </c>
      <c r="AON25" s="97" t="str">
        <f t="shared" ca="1" si="340"/>
        <v>IF(ANU10=0,0,AKT10*SUM(AOE10,$JX10)/AOL10)</v>
      </c>
      <c r="AOO25" s="97" t="str">
        <f t="shared" ca="1" si="340"/>
        <v>IF(ANU10=0,0,AKU10*(AOG10*(1-$JW10))/AOL10)</v>
      </c>
      <c r="AOP25" s="97" t="str">
        <f t="shared" ca="1" si="340"/>
        <v>IF(ANU10=0,0,AKV10*(AHR10*$JN10)/AOL10)</v>
      </c>
      <c r="AOQ25" s="97" t="str">
        <f t="shared" ca="1" si="340"/>
        <v>IF(ANU10=0,0,AKW10*(AHR10*$JN10)*SUM(AOE10,$JX10)/AOL10)</v>
      </c>
      <c r="AOR25" s="97" t="str">
        <f t="shared" ca="1" si="340"/>
        <v>IF(ANU10=0,0,AKX10*(AHR10*$JN10)*(AOG10*(1-$JW10))/AOL10)</v>
      </c>
      <c r="AOS25" s="97" t="str">
        <f t="shared" ca="1" si="340"/>
        <v>IF(ANU10=0,0,AKY10*AHV10/AOL10)</v>
      </c>
      <c r="AOT25" s="97" t="str">
        <f t="shared" ca="1" si="340"/>
        <v>IF(ANU10=0,0,AKZ10*AHV10*SUM(AOE10,$JX10)/AOL10)</v>
      </c>
      <c r="AOU25" s="97" t="str">
        <f t="shared" ca="1" si="340"/>
        <v>IF(ANU10=0,0,ALA10*AHV10*(AOG10*(1-$JW10))/AOL10)</v>
      </c>
      <c r="AOV25" s="97" t="str">
        <f t="shared" ca="1" si="340"/>
        <v>IF(ANU10=0,0,ALB10*AHW10/AOL10)</v>
      </c>
      <c r="AOW25" s="97" t="str">
        <f t="shared" ca="1" si="340"/>
        <v>IF(ANU10=0,0,ALC10*AHW10*SUM(AOE10,$JX10)/AOL10)</v>
      </c>
      <c r="AOX25" s="97" t="str">
        <f t="shared" ca="1" si="340"/>
        <v>IF(ANU10=0,0,ALD10*AHW10*(AOG10*(1-$JW10))/AOL10)</v>
      </c>
      <c r="AOY25" s="97" t="str">
        <f t="shared" ca="1" si="340"/>
        <v>IF(ANU10=0,0,ALE10*AHU10/AOL10)</v>
      </c>
      <c r="AOZ25" s="97" t="str">
        <f t="shared" ca="1" si="340"/>
        <v>IF(ANU10=0,0,ALF10*AHU10*SUM(AOE10,$JX10)/AOL10)</v>
      </c>
      <c r="APA25" s="97" t="str">
        <f t="shared" ca="1" si="340"/>
        <v>IF(ANU10=0,0,ALG10*AHU10*(AOG10*(1-$JW10))/AOL10)</v>
      </c>
      <c r="APB25" s="97" t="str">
        <f t="shared" ca="1" si="340"/>
        <v>=IF(ANU10=0,0,INDEX('Ship Time Charter Rates'!$H$22:$H$1021,MATCH(2,1/(('Ship Time Charter Rates'!$G$22:$G$1021=_xlfn.IFS(AHT10="Handysize",Main!AJY10,AHT10="Supramax",AJR10,AHT10="Panamax",AJK10,AHT10="NeoPanamax",AJD10,AHT10="Suezmax",AIW10,AHT10="Capesize",AIP10,AHT10="VLOC",AII10))*('Ship Time Charter Rates'!$E$22:$E$1021&lt;=Main!$C10)*(NOT(ISBLANK('Ship Time Charter Rates'!$H$22:$H$1021)))))))}</v>
      </c>
      <c r="APC25" s="97" t="str">
        <f t="shared" ca="1" si="340"/>
        <v>IF(ANU10=0,0,SUM(AOB10:AOG10,$JI10*$JX10)*APB10)</v>
      </c>
      <c r="APD25" s="97" t="str">
        <f t="shared" ca="1" si="340"/>
        <v>IF(ANU10=0,0,SUMPRODUCT(ALU10:AMC10,ANA10:ANI10)+SUMPRODUCT(AMN10:AMV10,ANK10:ANS10))</v>
      </c>
      <c r="APE25" s="97" t="str">
        <f t="shared" ca="1" si="340"/>
        <v>IF(ANU10=0,0,SUM(AOJ10,AOK10)+APC10+APD10+SUM(AOM10:APA10))</v>
      </c>
      <c r="APF25" s="97" t="str">
        <f t="shared" ca="1" si="340"/>
        <v>APE10*(1+$KL10)*(1+$KM10)</v>
      </c>
      <c r="APG25" s="97" t="str">
        <f t="shared" ca="1" si="340"/>
        <v>IF(APF10=0,0,APF10/(AHR10*(1-$AL10)*$JN10))</v>
      </c>
      <c r="APH25" s="97" t="e">
        <f t="shared" ca="1" si="340"/>
        <v>#N/A</v>
      </c>
      <c r="API25" s="97" t="e">
        <f t="shared" ca="1" si="340"/>
        <v>#N/A</v>
      </c>
      <c r="APJ25" s="97" t="e">
        <f t="shared" ca="1" si="340"/>
        <v>#N/A</v>
      </c>
      <c r="APK25" s="97" t="str">
        <f t="shared" ca="1" si="340"/>
        <v>SUM(APG10,AHP10)</v>
      </c>
      <c r="APL25" s="97" t="str">
        <f t="shared" ca="1" si="340"/>
        <v>SUM(ZW10,SF10)</v>
      </c>
      <c r="APM25" s="97" t="str">
        <f t="shared" ca="1" si="340"/>
        <v>APK10-APL10</v>
      </c>
      <c r="APO25" s="287"/>
    </row>
    <row r="26" spans="2:1107" s="334" customFormat="1" ht="31.5">
      <c r="B26" s="327" t="s">
        <v>426</v>
      </c>
      <c r="C26" s="328">
        <f ca="1">TODAY()</f>
        <v>43999</v>
      </c>
      <c r="D26" s="1" t="s">
        <v>20</v>
      </c>
      <c r="E26" s="329" t="s">
        <v>165</v>
      </c>
      <c r="F26" s="330">
        <v>50</v>
      </c>
      <c r="G26" s="1" t="s">
        <v>185</v>
      </c>
      <c r="H26" s="1" t="s">
        <v>5</v>
      </c>
      <c r="I26" s="331">
        <v>0.52</v>
      </c>
      <c r="J26" s="331"/>
      <c r="K26" s="331"/>
      <c r="L26" s="331"/>
      <c r="M26" s="331"/>
      <c r="N26" s="331"/>
      <c r="O26" s="331"/>
      <c r="P26" s="332"/>
      <c r="Q26" s="333"/>
      <c r="R26" s="1" t="s">
        <v>95</v>
      </c>
      <c r="T26" s="287" t="s">
        <v>39</v>
      </c>
      <c r="V26" s="335"/>
      <c r="W26" s="336" t="str">
        <f t="shared" ref="W26:AC26" si="341">IF(ISBLANK($V26),"not used yet",IF($V26&lt;&gt;$E26,"error",0))</f>
        <v>not used yet</v>
      </c>
      <c r="X26" s="336" t="str">
        <f t="shared" si="341"/>
        <v>not used yet</v>
      </c>
      <c r="Y26" s="336" t="str">
        <f t="shared" si="341"/>
        <v>not used yet</v>
      </c>
      <c r="Z26" s="336" t="str">
        <f t="shared" si="341"/>
        <v>not used yet</v>
      </c>
      <c r="AA26" s="336" t="str">
        <f t="shared" si="341"/>
        <v>not used yet</v>
      </c>
      <c r="AB26" s="336" t="str">
        <f t="shared" si="341"/>
        <v>not used yet</v>
      </c>
      <c r="AC26" s="336" t="str">
        <f t="shared" si="341"/>
        <v>not used yet</v>
      </c>
      <c r="AE26" s="337" t="str">
        <f>E26</f>
        <v>Weipa/Amrun Generic</v>
      </c>
      <c r="AF26" s="336">
        <f t="shared" ref="AF26:AL26" si="342">IF(NOT(ISBLANK(I26)),I26,IF26)</f>
        <v>0.52</v>
      </c>
      <c r="AG26" s="336">
        <f t="shared" ca="1" si="342"/>
        <v>0.36250000000000004</v>
      </c>
      <c r="AH26" s="338">
        <f t="shared" ca="1" si="342"/>
        <v>0.09</v>
      </c>
      <c r="AI26" s="338">
        <f t="shared" ca="1" si="342"/>
        <v>6.7500000000000004E-2</v>
      </c>
      <c r="AJ26" s="338">
        <f t="shared" ca="1" si="342"/>
        <v>2.2499999999999999E-2</v>
      </c>
      <c r="AK26" s="336">
        <f t="shared" ca="1" si="342"/>
        <v>0.1</v>
      </c>
      <c r="AL26" s="336">
        <f t="shared" ca="1" si="342"/>
        <v>0.13</v>
      </c>
      <c r="AM26" s="339" t="str">
        <f ca="1">IM26</f>
        <v>HT-D</v>
      </c>
      <c r="AN26" s="428">
        <f ca="1">IF(NOT(ISBLANK(P26)),P26*IF(H26="dmt",1,1-AL26),IO26*JN26*(1-AL26))</f>
        <v>64467</v>
      </c>
      <c r="AO26" s="340" t="str">
        <f t="array" aca="1" ref="AO26" ca="1">IFERROR(IF(AND(AN26&gt;'Indices Mines Exporting Ports'!$D$11,MATCH(2,1/(('Indices Mines Exporting Ports'!$B$3:$B$10&lt;=C26)*('Indices Mines Exporting Ports'!$C$3:$C$10=E26)))),"Yes","No"),"No")</f>
        <v>No</v>
      </c>
      <c r="AP26" s="341" t="str">
        <f t="array" aca="1" ref="AP26" ca="1">IF(AO26="Yes",INDEX('Indices Mines Exporting Ports'!$D$3:$D$10,MATCH(2,1/(('Indices Mines Exporting Ports'!B9:B16&lt;=Main!C26)*('Indices Mines Exporting Ports'!C9:C16=Main!AE26)))),IF(NOT(ISBLANK(Q26)),Q26,IP26))</f>
        <v>Weipa_Amrun_Wharf</v>
      </c>
      <c r="AQ26" s="342">
        <f t="array" aca="1" ref="AQ26" ca="1">IF(AO26="no",0,INDEX('Indices Mines Exporting Ports'!$E$3:$E$10,MATCH(2,1/(('Indices Mines Exporting Ports'!$B$3:$B$10&lt;=Main!$C26)*('Indices Mines Exporting Ports'!$D$3:$D$10=Main!$AP26)))))</f>
        <v>0</v>
      </c>
      <c r="AR26" s="343">
        <f t="array" aca="1" ref="AR26" ca="1">IF(AO26="No",0,AN26/ROUND(AN26/INDEX('Indices Mines Exporting Ports'!$F$3:$F$10,MATCH(2,1/(('Indices Mines Exporting Ports'!$B$3:$B$10&lt;=Main!C26)*('Indices Mines Exporting Ports'!$C$3:$C$10=Main!AE26)))),0))</f>
        <v>0</v>
      </c>
      <c r="AS26" s="340" t="str">
        <f>IF(NOT(ISBLANK(R26)),R26,"Qingdao")</f>
        <v>Qingdao</v>
      </c>
      <c r="AT26" s="344" t="str">
        <f ca="1">IQ26</f>
        <v>Australia HT</v>
      </c>
      <c r="AU26" s="344" t="str">
        <f ca="1">IR26</f>
        <v>CBIX HT</v>
      </c>
      <c r="AV26" s="242" t="s">
        <v>4</v>
      </c>
      <c r="AW26" s="242" t="s">
        <v>5</v>
      </c>
      <c r="AX26" s="345" t="e">
        <f ca="1">IF(AND(G26="FOB",H26="dmt"),F26,IF(AND(G26="FOB",H26="wmt"),F26/(1-AL26),AZ26-AY26))</f>
        <v>#NAME?</v>
      </c>
      <c r="AY26" s="346" t="e">
        <f ca="1">APK26</f>
        <v>#NAME?</v>
      </c>
      <c r="AZ26" s="345" t="e">
        <f ca="1">IF(AND(G26&lt;&gt;"FOB",H26="dmt"),F26*IF(G26="CIF",1,(1+KL26))+APM26,IF(AND(G26&lt;&gt;"FOB",H26="wmt"),(F26*IF(G26="CIF",1,(1+KL26)))/(1-AL26),AX26+AY26))</f>
        <v>#NAME?</v>
      </c>
      <c r="BA26" s="347">
        <f ca="1">IN26</f>
        <v>0.67</v>
      </c>
      <c r="BB26" s="348"/>
      <c r="BC26" s="242" t="s">
        <v>403</v>
      </c>
      <c r="BD26" s="408">
        <f t="shared" ca="1" si="279"/>
        <v>0</v>
      </c>
      <c r="BE26" s="408">
        <f t="shared" ca="1" si="279"/>
        <v>0</v>
      </c>
      <c r="BF26" s="408" t="e">
        <f t="shared" ca="1" si="279"/>
        <v>#NAME?</v>
      </c>
      <c r="BG26" s="408">
        <f t="shared" ca="1" si="280"/>
        <v>0</v>
      </c>
      <c r="BH26" s="408" t="e">
        <f t="shared" ca="1" si="281"/>
        <v>#NAME?</v>
      </c>
      <c r="BI26" s="372" t="e">
        <f ca="1">GU26</f>
        <v>#NAME?</v>
      </c>
      <c r="BK26" s="287" t="s">
        <v>39</v>
      </c>
      <c r="BM26" s="346" t="e">
        <f ca="1">$AZ26</f>
        <v>#NAME?</v>
      </c>
      <c r="BN26" s="349">
        <f>$AF26</f>
        <v>0.52</v>
      </c>
      <c r="BO26" s="349">
        <f ca="1">$AG26</f>
        <v>0.36250000000000004</v>
      </c>
      <c r="BP26" s="349">
        <f ca="1">$AH26</f>
        <v>0.09</v>
      </c>
      <c r="BQ26" s="349">
        <f ca="1">$AI26</f>
        <v>6.7500000000000004E-2</v>
      </c>
      <c r="BR26" s="349">
        <f ca="1">$AJ26</f>
        <v>2.2499999999999999E-2</v>
      </c>
      <c r="BS26" s="349">
        <f ca="1">$AK26</f>
        <v>0.1</v>
      </c>
      <c r="BT26" s="349">
        <f ca="1">$AL26</f>
        <v>0.13</v>
      </c>
      <c r="BU26" s="350" t="str">
        <f ca="1">$AM26</f>
        <v>HT-D</v>
      </c>
      <c r="BV26" s="346">
        <f ca="1">$BA26</f>
        <v>0.67</v>
      </c>
      <c r="BX26" s="351">
        <f t="array" aca="1" ref="BX26" ca="1">INDEX('Processing Factors'!$D$8:$D$29,MATCH(2,1/(('Processing Factors'!$B$8:$B$29&lt;=Main!$C26)*('Processing Factors'!$C$8:$C$29=Main!BU26))))</f>
        <v>1</v>
      </c>
      <c r="BY26" s="352">
        <f t="array" aca="1" ref="BY26" ca="1">INDEX('Processing Factors'!$E$8:$E$29,MATCH(2,1/(('Processing Factors'!$B$8:$B$29&lt;=Main!$C26)*('Processing Factors'!$C$8:$C$29=Main!BU26))))</f>
        <v>1.23</v>
      </c>
      <c r="BZ26" s="352">
        <f t="array" aca="1" ref="BZ26" ca="1">INDEX('Processing Factors'!$F$8:$F$29,MATCH(2,1/(('Processing Factors'!$B$8:$B$29&lt;=Main!$C26)*('Processing Factors'!$C$8:$C$29=Main!BU26))))</f>
        <v>0.6</v>
      </c>
      <c r="CA26" s="352">
        <f t="array" aca="1" ref="CA26" ca="1">INDEX('Processing Factors'!$G$8:$G$29,MATCH(2,1/(('Processing Factors'!$B$8:$B$29&lt;=Main!$C26)*('Processing Factors'!$C$8:$C$29=Main!BU26))))</f>
        <v>0.22</v>
      </c>
      <c r="CB26" s="352">
        <f t="array" aca="1" ref="CB26" ca="1">INDEX('Processing Factors'!$H$8:$H$29,MATCH(2,1/(('Processing Factors'!$B$8:$B$29&lt;=Main!$C26)*('Processing Factors'!$C$8:$C$29=Main!BU26))))</f>
        <v>13.5</v>
      </c>
      <c r="CC26" s="351">
        <f t="array" aca="1" ref="CC26" ca="1">INDEX('Processing Factors'!$I$8:$I$29,MATCH(2,1/(('Processing Factors'!$B$8:$B$29&lt;=Main!$C26)*('Processing Factors'!$C$8:$C$29=Main!BU26))))</f>
        <v>1</v>
      </c>
      <c r="CD26" s="351">
        <f t="array" aca="1" ref="CD26" ca="1">INDEX('Processing Factors'!$J$8:$J$29,MATCH(2,1/(('Processing Factors'!$B$8:$B$29&lt;=Main!$C26)*('Processing Factors'!$C$8:$C$29=Main!BU26))))</f>
        <v>0.9</v>
      </c>
      <c r="CE26" s="352">
        <f t="array" aca="1" ref="CE26" ca="1">INDEX('Processing Factors'!$K$8:$K$29,MATCH(2,1/(('Processing Factors'!$B$8:$B$29&lt;=Main!$C26)*('Processing Factors'!$C$8:$C$29=Main!BU26))))</f>
        <v>3.5000000000000003E-2</v>
      </c>
      <c r="CG26" s="353">
        <f ca="1">(BN26-BO26-BQ26)*BX26+BO26+BQ26</f>
        <v>0.52</v>
      </c>
      <c r="CH26" s="353">
        <f ca="1">BQ26+CC26*(BP26-BQ26)</f>
        <v>0.09</v>
      </c>
      <c r="CI26" s="353">
        <f ca="1">CG26-BY26*CH26</f>
        <v>0.4093</v>
      </c>
      <c r="CJ26" s="352">
        <f ca="1">1/CI26/CD26</f>
        <v>2.714661888861742</v>
      </c>
      <c r="CK26" s="354" t="e">
        <f ca="1">(BM26+BV26)*CJ26</f>
        <v>#NAME?</v>
      </c>
      <c r="CL26" s="352">
        <f ca="1">CH26*BZ26*CJ26+CE26</f>
        <v>0.18159174199853406</v>
      </c>
      <c r="CM26" s="354">
        <f ca="1">CL26*$IW26</f>
        <v>43.581484847362987</v>
      </c>
      <c r="CN26" s="354">
        <f ca="1">CB26*$IV26</f>
        <v>55.912662950947436</v>
      </c>
      <c r="CO26" s="354">
        <f ca="1">CA26*$IX26</f>
        <v>7.4540264448529117</v>
      </c>
      <c r="CP26" s="352">
        <f ca="1">(CJ26-1+CL26+$CA26)</f>
        <v>2.116253630860276</v>
      </c>
      <c r="CQ26" s="354">
        <f ca="1">CP26*$IY26</f>
        <v>8.9628468911639132</v>
      </c>
      <c r="CR26" s="354" t="e">
        <f ca="1">CK26+CM26+CN26+CO26+CQ26</f>
        <v>#NAME?</v>
      </c>
      <c r="CT26" s="287" t="s">
        <v>39</v>
      </c>
      <c r="CV26" s="355" t="e">
        <f ca="1">($CR26-EA26)/DS26-DE26</f>
        <v>#NAME?</v>
      </c>
      <c r="CW26" s="338">
        <f t="array" aca="1" ref="CW26" ca="1">INDEX('Indices Mines Exporting Ports'!E$20:E$51, MATCH(2,1/(('Indices Mines Exporting Ports'!$C$20:$C$51=$AT26)*('Indices Mines Exporting Ports'!$D$20:$D$51&lt;=$C26))))</f>
        <v>0.54</v>
      </c>
      <c r="CX26" s="338">
        <f t="array" aca="1" ref="CX26" ca="1">INDEX('Indices Mines Exporting Ports'!F$20:F$51, MATCH(2,1/(('Indices Mines Exporting Ports'!$C$20:$C$51=$AT26)*('Indices Mines Exporting Ports'!$D$20:$D$51&lt;=$C26))))</f>
        <v>0.37250000000000005</v>
      </c>
      <c r="CY26" s="338">
        <f t="array" aca="1" ref="CY26" ca="1">INDEX('Indices Mines Exporting Ports'!G$20:G$51, MATCH(2,1/(('Indices Mines Exporting Ports'!$C$20:$C$51=$AT26)*('Indices Mines Exporting Ports'!$D$20:$D$51&lt;=$C26))))</f>
        <v>0.09</v>
      </c>
      <c r="CZ26" s="338">
        <f t="array" aca="1" ref="CZ26" ca="1">INDEX('Indices Mines Exporting Ports'!H$20:H$51, MATCH(2,1/(('Indices Mines Exporting Ports'!$C$20:$C$51=$AT26)*('Indices Mines Exporting Ports'!$D$20:$D$51&lt;=$C26))))</f>
        <v>6.7500000000000004E-2</v>
      </c>
      <c r="DA26" s="338">
        <f t="array" aca="1" ref="DA26" ca="1">INDEX('Indices Mines Exporting Ports'!I$20:I$51, MATCH(2,1/(('Indices Mines Exporting Ports'!$C$20:$C$51=$AT26)*('Indices Mines Exporting Ports'!$D$20:$D$51&lt;=$C26))))</f>
        <v>2.2499999999999992E-2</v>
      </c>
      <c r="DB26" s="338">
        <f t="array" aca="1" ref="DB26" ca="1">INDEX('Indices Mines Exporting Ports'!J$20:J$51, MATCH(2,1/(('Indices Mines Exporting Ports'!$C$20:$C$51=$AT26)*('Indices Mines Exporting Ports'!$D$20:$D$51&lt;=$C26))))</f>
        <v>0.1</v>
      </c>
      <c r="DC26" s="338">
        <f t="array" aca="1" ref="DC26" ca="1">INDEX('Indices Mines Exporting Ports'!K$20:K$51, MATCH(2,1/(('Indices Mines Exporting Ports'!$C$20:$C$51=$AT26)*('Indices Mines Exporting Ports'!$D$20:$D$51&lt;=$C26))))</f>
        <v>0.125</v>
      </c>
      <c r="DD26" s="356" t="str">
        <f t="array" aca="1" ref="DD26" ca="1">INDEX('Indices Mines Exporting Ports'!L$20:L$51, MATCH(2,1/(('Indices Mines Exporting Ports'!$C$20:$C$51=$AT26)*('Indices Mines Exporting Ports'!$D$20:$D$51&lt;=$C26))))</f>
        <v>HT-D</v>
      </c>
      <c r="DE26" s="357">
        <f t="array" aca="1" ref="DE26" ca="1">INDEX('Indices Mines Exporting Ports'!M$20:M$51, MATCH(2,1/(('Indices Mines Exporting Ports'!$C$20:$C$51=$AT26)*('Indices Mines Exporting Ports'!$D$20:$D$51&lt;=$C26))))</f>
        <v>0.67</v>
      </c>
      <c r="DG26" s="351">
        <f t="array" aca="1" ref="DG26" ca="1">INDEX('Processing Factors'!$D$8:$D$29,MATCH(2,1/(('Processing Factors'!$B$8:$B$29&lt;=Main!$C26)*('Processing Factors'!$C$8:$C$29=Main!DD26))))</f>
        <v>1</v>
      </c>
      <c r="DH26" s="352">
        <f t="array" aca="1" ref="DH26" ca="1">INDEX('Processing Factors'!$E$8:$E$29,MATCH(2,1/(('Processing Factors'!$B$8:$B$29&lt;=Main!$C26)*('Processing Factors'!$C$8:$C$29=Main!DD26))))</f>
        <v>1.23</v>
      </c>
      <c r="DI26" s="352">
        <f t="array" aca="1" ref="DI26" ca="1">INDEX('Processing Factors'!$F$8:$F$29,MATCH(2,1/(('Processing Factors'!$B$8:$B$29&lt;=Main!$C26)*('Processing Factors'!$C$8:$C$29=Main!DD26))))</f>
        <v>0.6</v>
      </c>
      <c r="DJ26" s="352">
        <f t="array" aca="1" ref="DJ26" ca="1">INDEX('Processing Factors'!$G$8:$G$29,MATCH(2,1/(('Processing Factors'!$B$8:$B$29&lt;=Main!$C26)*('Processing Factors'!$C$8:$C$29=Main!DD26))))</f>
        <v>0.22</v>
      </c>
      <c r="DK26" s="352">
        <f t="array" aca="1" ref="DK26" ca="1">INDEX('Processing Factors'!$H$8:$H$29,MATCH(2,1/(('Processing Factors'!$B$8:$B$29&lt;=Main!$C26)*('Processing Factors'!$C$8:$C$29=Main!DD26))))</f>
        <v>13.5</v>
      </c>
      <c r="DL26" s="351">
        <f t="array" aca="1" ref="DL26" ca="1">INDEX('Processing Factors'!$I$8:$I$29,MATCH(2,1/(('Processing Factors'!$B$8:$B$29&lt;=Main!$C26)*('Processing Factors'!$C$8:$C$29=Main!DD26))))</f>
        <v>1</v>
      </c>
      <c r="DM26" s="351">
        <f t="array" aca="1" ref="DM26" ca="1">INDEX('Processing Factors'!$J$8:$J$29,MATCH(2,1/(('Processing Factors'!$B$8:$B$29&lt;=Main!$C26)*('Processing Factors'!$C$8:$C$29=Main!DD26))))</f>
        <v>0.9</v>
      </c>
      <c r="DN26" s="352">
        <f t="array" aca="1" ref="DN26" ca="1">INDEX('Processing Factors'!$K$8:$K$29,MATCH(2,1/(('Processing Factors'!$B$8:$B$29&lt;=Main!$C26)*('Processing Factors'!$C$8:$C$29=Main!DD26))))</f>
        <v>3.5000000000000003E-2</v>
      </c>
      <c r="DP26" s="353">
        <f ca="1">(CW26-CX26-CZ26)*DG26+CX26+CZ26</f>
        <v>0.54</v>
      </c>
      <c r="DQ26" s="353">
        <f ca="1">CZ26+DL26*(CY26-CZ26)</f>
        <v>0.09</v>
      </c>
      <c r="DR26" s="353">
        <f ca="1">DP26-DH26*DQ26</f>
        <v>0.42930000000000001</v>
      </c>
      <c r="DS26" s="352">
        <f ca="1">1/DR26/DM26</f>
        <v>2.5881926650619871</v>
      </c>
      <c r="DT26" s="358">
        <v>0</v>
      </c>
      <c r="DU26" s="352">
        <f ca="1">DQ26*DI26*DS26+DN26</f>
        <v>0.1747624039133473</v>
      </c>
      <c r="DV26" s="354">
        <f ca="1">DU26*$IW26</f>
        <v>41.942463760823223</v>
      </c>
      <c r="DW26" s="354">
        <f ca="1">DK26*$IV26</f>
        <v>55.912662950947436</v>
      </c>
      <c r="DX26" s="354">
        <f ca="1">DJ26*$IX26</f>
        <v>7.4540264448529117</v>
      </c>
      <c r="DY26" s="352">
        <f ca="1">(DS26-1+DU26+$CA26)</f>
        <v>1.9829550689753344</v>
      </c>
      <c r="DZ26" s="354">
        <f ca="1">DY26*$IY26</f>
        <v>8.3982951835779946</v>
      </c>
      <c r="EA26" s="354">
        <f ca="1">DT26+DV26+DW26+DX26+DZ26</f>
        <v>113.70744834020157</v>
      </c>
      <c r="EC26" s="287" t="s">
        <v>39</v>
      </c>
      <c r="EE26" s="355" t="e">
        <f ca="1">($CR26-FJ26)/FB26-EN26</f>
        <v>#NAME?</v>
      </c>
      <c r="EF26" s="336">
        <f t="array" aca="1" ref="EF26" ca="1">INDEX('Indices Mines Exporting Ports'!E$20:E$51, MATCH(2,1/(('Indices Mines Exporting Ports'!$C$20:$C$51=$AU26)*('Indices Mines Exporting Ports'!$D$20:$D$51&lt;=$C26))))</f>
        <v>0.5</v>
      </c>
      <c r="EG26" s="336">
        <f t="array" aca="1" ref="EG26" ca="1">INDEX('Indices Mines Exporting Ports'!F$20:F$51, MATCH(2,1/(('Indices Mines Exporting Ports'!$C$20:$C$51=$AU26)*('Indices Mines Exporting Ports'!$D$20:$D$51&lt;=$C26))))</f>
        <v>0.45</v>
      </c>
      <c r="EH26" s="336">
        <f t="array" aca="1" ref="EH26" ca="1">INDEX('Indices Mines Exporting Ports'!G$20:G$51, MATCH(2,1/(('Indices Mines Exporting Ports'!$C$20:$C$51=$AU26)*('Indices Mines Exporting Ports'!$D$20:$D$51&lt;=$C26))))</f>
        <v>0.05</v>
      </c>
      <c r="EI26" s="336">
        <f t="array" aca="1" ref="EI26" ca="1">INDEX('Indices Mines Exporting Ports'!H$20:H$51, MATCH(2,1/(('Indices Mines Exporting Ports'!$C$20:$C$51=$AU26)*('Indices Mines Exporting Ports'!$D$20:$D$51&lt;=$C26))))</f>
        <v>0.05</v>
      </c>
      <c r="EJ26" s="336">
        <f t="array" aca="1" ref="EJ26" ca="1">INDEX('Indices Mines Exporting Ports'!I$20:I$51, MATCH(2,1/(('Indices Mines Exporting Ports'!$C$20:$C$51=$AU26)*('Indices Mines Exporting Ports'!$D$20:$D$51&lt;=$C26))))</f>
        <v>0</v>
      </c>
      <c r="EK26" s="336">
        <f t="array" aca="1" ref="EK26" ca="1">INDEX('Indices Mines Exporting Ports'!J$20:J$51, MATCH(2,1/(('Indices Mines Exporting Ports'!$C$20:$C$51=$AU26)*('Indices Mines Exporting Ports'!$D$20:$D$51&lt;=$C26))))</f>
        <v>0</v>
      </c>
      <c r="EL26" s="336">
        <f t="array" aca="1" ref="EL26" ca="1">INDEX('Indices Mines Exporting Ports'!K$20:K$51, MATCH(2,1/(('Indices Mines Exporting Ports'!$C$20:$C$51=$AU26)*('Indices Mines Exporting Ports'!$D$20:$D$51&lt;=$C26))))</f>
        <v>0.1</v>
      </c>
      <c r="EM26" s="356" t="str">
        <f t="array" aca="1" ref="EM26" ca="1">INDEX('Indices Mines Exporting Ports'!L$20:L$51, MATCH(2,1/(('Indices Mines Exporting Ports'!$C$20:$C$51=$AU26)*('Indices Mines Exporting Ports'!$D$20:$D$51&lt;=$C26))))</f>
        <v>LT</v>
      </c>
      <c r="EN26" s="357">
        <f t="array" aca="1" ref="EN26" ca="1">INDEX('Indices Mines Exporting Ports'!M$20:M$51, MATCH(2,1/(('Indices Mines Exporting Ports'!$C$20:$C$51=$AU26)*('Indices Mines Exporting Ports'!$D$20:$D$51&lt;=$C26))))</f>
        <v>0</v>
      </c>
      <c r="EP26" s="351">
        <f t="array" aca="1" ref="EP26" ca="1">INDEX('Processing Factors'!$D$8:$D$29,MATCH(2,1/(('Processing Factors'!$B$8:$B$29&lt;=Main!$C26)*('Processing Factors'!$C$8:$C$29=Main!EM26))))</f>
        <v>0</v>
      </c>
      <c r="EQ26" s="352">
        <f t="array" aca="1" ref="EQ26" ca="1">INDEX('Processing Factors'!$E$8:$E$29,MATCH(2,1/(('Processing Factors'!$B$8:$B$29&lt;=Main!$C26)*('Processing Factors'!$C$8:$C$29=Main!EM26))))</f>
        <v>1</v>
      </c>
      <c r="ER26" s="352">
        <f t="array" aca="1" ref="ER26" ca="1">INDEX('Processing Factors'!$F$8:$F$29,MATCH(2,1/(('Processing Factors'!$B$8:$B$29&lt;=Main!$C26)*('Processing Factors'!$C$8:$C$29=Main!EM26))))</f>
        <v>0.9</v>
      </c>
      <c r="ES26" s="352">
        <f t="array" aca="1" ref="ES26" ca="1">INDEX('Processing Factors'!$G$8:$G$29,MATCH(2,1/(('Processing Factors'!$B$8:$B$29&lt;=Main!$C26)*('Processing Factors'!$C$8:$C$29=Main!EM26))))</f>
        <v>3.5999999999999997E-2</v>
      </c>
      <c r="ET26" s="352">
        <f t="array" aca="1" ref="ET26" ca="1">INDEX('Processing Factors'!$H$8:$H$29,MATCH(2,1/(('Processing Factors'!$B$8:$B$29&lt;=Main!$C26)*('Processing Factors'!$C$8:$C$29=Main!EM26))))</f>
        <v>12.15</v>
      </c>
      <c r="EU26" s="351">
        <f t="array" aca="1" ref="EU26" ca="1">INDEX('Processing Factors'!$I$8:$I$29,MATCH(2,1/(('Processing Factors'!$B$8:$B$29&lt;=Main!$C26)*('Processing Factors'!$C$8:$C$29=Main!EM26))))</f>
        <v>0</v>
      </c>
      <c r="EV26" s="351">
        <f t="array" aca="1" ref="EV26" ca="1">INDEX('Processing Factors'!$J$8:$J$29,MATCH(2,1/(('Processing Factors'!$B$8:$B$29&lt;=Main!$C26)*('Processing Factors'!$C$8:$C$29=Main!EM26))))</f>
        <v>0.9</v>
      </c>
      <c r="EW26" s="352">
        <f t="array" aca="1" ref="EW26" ca="1">INDEX('Processing Factors'!$K$8:$K$29,MATCH(2,1/(('Processing Factors'!$B$8:$B$29&lt;=Main!$C26)*('Processing Factors'!$C$8:$C$29=Main!EM26))))</f>
        <v>3.5000000000000003E-2</v>
      </c>
      <c r="EY26" s="353">
        <f ca="1">(EF26-EG26-EI26)*EP26+EG26+EI26</f>
        <v>0.5</v>
      </c>
      <c r="EZ26" s="353">
        <f ca="1">EI26+EU26*(EH26-EI26)</f>
        <v>0.05</v>
      </c>
      <c r="FA26" s="353">
        <f ca="1">EY26-EQ26*EZ26</f>
        <v>0.45</v>
      </c>
      <c r="FB26" s="352">
        <f ca="1">1/FA26/EV26</f>
        <v>2.4691358024691357</v>
      </c>
      <c r="FC26" s="358">
        <v>0</v>
      </c>
      <c r="FD26" s="352">
        <f ca="1">EZ26*ER26*FB26+EW26</f>
        <v>0.14611111111111114</v>
      </c>
      <c r="FE26" s="354">
        <f ca="1">FD26*$IW26</f>
        <v>35.06623762093578</v>
      </c>
      <c r="FF26" s="354">
        <f ca="1">ET26*$IV26</f>
        <v>50.321396655852695</v>
      </c>
      <c r="FG26" s="354">
        <f ca="1">ES26*$IX26</f>
        <v>1.2197497818850218</v>
      </c>
      <c r="FH26" s="352">
        <f ca="1">(FB26-1+FD26+$CA26)</f>
        <v>1.8352469135802467</v>
      </c>
      <c r="FI26" s="354">
        <f ca="1">FH26*$IY26</f>
        <v>7.7727153560578666</v>
      </c>
      <c r="FJ26" s="354">
        <f ca="1">FC26+FE26+FF26+FG26+FI26</f>
        <v>94.380099414731376</v>
      </c>
      <c r="FL26" s="287" t="s">
        <v>39</v>
      </c>
      <c r="FN26" s="359" t="e">
        <f ca="1">$AZ26</f>
        <v>#NAME?</v>
      </c>
      <c r="FO26" s="360">
        <f>$AF26</f>
        <v>0.52</v>
      </c>
      <c r="FP26" s="360">
        <f ca="1">$AG26</f>
        <v>0.36250000000000004</v>
      </c>
      <c r="FQ26" s="360">
        <f ca="1">$AH26</f>
        <v>0.09</v>
      </c>
      <c r="FR26" s="360">
        <f ca="1">$AI26</f>
        <v>6.7500000000000004E-2</v>
      </c>
      <c r="FS26" s="360">
        <f ca="1">$AJ26</f>
        <v>2.2499999999999999E-2</v>
      </c>
      <c r="FT26" s="360">
        <f ca="1">$AK26</f>
        <v>0.1</v>
      </c>
      <c r="FU26" s="360">
        <f ca="1">$AL26</f>
        <v>0.13</v>
      </c>
      <c r="FV26" s="361" t="str">
        <f ca="1">$AM26</f>
        <v>HT-D</v>
      </c>
      <c r="FW26" s="362">
        <v>0</v>
      </c>
      <c r="FX26" s="363"/>
      <c r="FY26" s="364">
        <f t="array" aca="1" ref="FY26" ca="1">INDEX('Processing Factors'!$D$8:$D$29,MATCH(2,1/(('Processing Factors'!$B$8:$B$29&lt;=Main!$C26)*('Processing Factors'!$C$8:$C$29=Main!FV26))))</f>
        <v>1</v>
      </c>
      <c r="FZ26" s="365">
        <f t="array" aca="1" ref="FZ26" ca="1">INDEX('Processing Factors'!$E$8:$E$29,MATCH(2,1/(('Processing Factors'!$B$8:$B$29&lt;=Main!$C26)*('Processing Factors'!$C$8:$C$29=Main!FV26))))</f>
        <v>1.23</v>
      </c>
      <c r="GA26" s="365">
        <f t="array" aca="1" ref="GA26" ca="1">INDEX('Processing Factors'!$F$8:$F$29,MATCH(2,1/(('Processing Factors'!$B$8:$B$29&lt;=Main!$C26)*('Processing Factors'!$C$8:$C$29=Main!FV26))))</f>
        <v>0.6</v>
      </c>
      <c r="GB26" s="365">
        <f t="array" aca="1" ref="GB26" ca="1">INDEX('Processing Factors'!$G$8:$G$29,MATCH(2,1/(('Processing Factors'!$B$8:$B$29&lt;=Main!$C26)*('Processing Factors'!$C$8:$C$29=Main!FV26))))</f>
        <v>0.22</v>
      </c>
      <c r="GC26" s="365">
        <f t="array" aca="1" ref="GC26" ca="1">INDEX('Processing Factors'!$H$8:$H$29,MATCH(2,1/(('Processing Factors'!$B$8:$B$29&lt;=Main!$C26)*('Processing Factors'!$C$8:$C$29=Main!FV26))))</f>
        <v>13.5</v>
      </c>
      <c r="GD26" s="364">
        <f t="array" aca="1" ref="GD26" ca="1">INDEX('Processing Factors'!$I$8:$I$29,MATCH(2,1/(('Processing Factors'!$B$8:$B$29&lt;=Main!$C26)*('Processing Factors'!$C$8:$C$29=Main!FV26))))</f>
        <v>1</v>
      </c>
      <c r="GE26" s="366">
        <v>0.92</v>
      </c>
      <c r="GF26" s="365">
        <f t="array" aca="1" ref="GF26" ca="1">INDEX('Processing Factors'!$K$8:$K$29,MATCH(2,1/(('Processing Factors'!$B$8:$B$29&lt;=Main!$C26)*('Processing Factors'!$C$8:$C$29=Main!FV26))))</f>
        <v>3.5000000000000003E-2</v>
      </c>
      <c r="GG26" s="363"/>
      <c r="GH26" s="367">
        <f ca="1">(FO26-FP26-FR26)*FY26+FP26+FR26</f>
        <v>0.52</v>
      </c>
      <c r="GI26" s="367">
        <f ca="1">FR26+GD26*(FQ26-FR26)</f>
        <v>0.09</v>
      </c>
      <c r="GJ26" s="367">
        <f ca="1">GH26-FZ26*GI26</f>
        <v>0.4093</v>
      </c>
      <c r="GK26" s="365">
        <f ca="1">1/GJ26/GE26</f>
        <v>2.6556474999734432</v>
      </c>
      <c r="GL26" s="368" t="e">
        <f ca="1">(FN26+FW26)*GK26</f>
        <v>#NAME?</v>
      </c>
      <c r="GM26" s="365">
        <f ca="1">GI26*GA26*GK26+GF26</f>
        <v>0.17840496499856592</v>
      </c>
      <c r="GN26" s="368">
        <f ca="1">GM26*$IW26</f>
        <v>42.816667725133065</v>
      </c>
      <c r="GO26" s="368">
        <f ca="1">GC26*$IV26</f>
        <v>55.912662950947436</v>
      </c>
      <c r="GP26" s="368">
        <f ca="1">GB26*$IX26</f>
        <v>7.4540264448529117</v>
      </c>
      <c r="GQ26" s="365">
        <f ca="1">(GK26-1+GM26+$CA26)</f>
        <v>2.0540524649720093</v>
      </c>
      <c r="GR26" s="368">
        <f ca="1">GQ26*$IY26</f>
        <v>8.6994098823958321</v>
      </c>
      <c r="GS26" s="368" t="e">
        <f ca="1">GL26+GN26+GO26+GP26+GR26</f>
        <v>#NAME?</v>
      </c>
      <c r="GT26" s="363"/>
      <c r="GU26" s="369" t="e">
        <f ca="1">($GS26-HZ26)/HR26-HD26</f>
        <v>#NAME?</v>
      </c>
      <c r="GV26" s="370">
        <f t="array" aca="1" ref="GV26" ca="1">INDEX('Indices Mines Exporting Ports'!E$20:E$51, MATCH(2,1/(('Indices Mines Exporting Ports'!$C$20:$C$51=$BC26)*('Indices Mines Exporting Ports'!$D$20:$D$51&lt;=$C26))))</f>
        <v>0.5</v>
      </c>
      <c r="GW26" s="370">
        <f t="array" aca="1" ref="GW26" ca="1">INDEX('Indices Mines Exporting Ports'!F$20:F$51, MATCH(2,1/(('Indices Mines Exporting Ports'!$C$20:$C$51=$BC26)*('Indices Mines Exporting Ports'!$D$20:$D$51&lt;=$C26))))</f>
        <v>0.45</v>
      </c>
      <c r="GX26" s="370">
        <f t="array" aca="1" ref="GX26" ca="1">INDEX('Indices Mines Exporting Ports'!G$20:G$51, MATCH(2,1/(('Indices Mines Exporting Ports'!$C$20:$C$51=$BC26)*('Indices Mines Exporting Ports'!$D$20:$D$51&lt;=$C26))))</f>
        <v>0.05</v>
      </c>
      <c r="GY26" s="370">
        <f t="array" aca="1" ref="GY26" ca="1">INDEX('Indices Mines Exporting Ports'!H$20:H$51, MATCH(2,1/(('Indices Mines Exporting Ports'!$C$20:$C$51=$BC26)*('Indices Mines Exporting Ports'!$D$20:$D$51&lt;=$C26))))</f>
        <v>0.05</v>
      </c>
      <c r="GZ26" s="370">
        <f t="array" aca="1" ref="GZ26" ca="1">INDEX('Indices Mines Exporting Ports'!I$20:I$51, MATCH(2,1/(('Indices Mines Exporting Ports'!$C$20:$C$51=$BC26)*('Indices Mines Exporting Ports'!$D$20:$D$51&lt;=$C26))))</f>
        <v>0</v>
      </c>
      <c r="HA26" s="370">
        <f t="array" aca="1" ref="HA26" ca="1">INDEX('Indices Mines Exporting Ports'!J$20:J$51, MATCH(2,1/(('Indices Mines Exporting Ports'!$C$20:$C$51=$BC26)*('Indices Mines Exporting Ports'!$D$20:$D$51&lt;=$C26))))</f>
        <v>0</v>
      </c>
      <c r="HB26" s="370">
        <f t="array" aca="1" ref="HB26" ca="1">INDEX('Indices Mines Exporting Ports'!K$20:K$51, MATCH(2,1/(('Indices Mines Exporting Ports'!$C$20:$C$51=$BC26)*('Indices Mines Exporting Ports'!$D$20:$D$51&lt;=$C26))))</f>
        <v>0.1</v>
      </c>
      <c r="HC26" s="371" t="str">
        <f t="array" aca="1" ref="HC26" ca="1">INDEX('Indices Mines Exporting Ports'!L$20:L$51, MATCH(2,1/(('Indices Mines Exporting Ports'!$C$20:$C$51=$BC26)*('Indices Mines Exporting Ports'!$D$20:$D$51&lt;=$C26))))</f>
        <v>LT</v>
      </c>
      <c r="HD26" s="342">
        <f t="array" aca="1" ref="HD26" ca="1">INDEX('Indices Mines Exporting Ports'!M$20:M$51, MATCH(2,1/(('Indices Mines Exporting Ports'!$C$20:$C$51=$BC26)*('Indices Mines Exporting Ports'!$D$20:$D$51&lt;=$C26))))</f>
        <v>0</v>
      </c>
      <c r="HE26" s="363"/>
      <c r="HF26" s="364">
        <f t="array" aca="1" ref="HF26" ca="1">INDEX('Processing Factors'!$D$8:$D$29,MATCH(2,1/(('Processing Factors'!$B$8:$B$29&lt;=Main!$C26)*('Processing Factors'!$C$8:$C$29=Main!HC26))))</f>
        <v>0</v>
      </c>
      <c r="HG26" s="365">
        <f t="array" aca="1" ref="HG26" ca="1">INDEX('Processing Factors'!$E$8:$E$29,MATCH(2,1/(('Processing Factors'!$B$8:$B$29&lt;=Main!$C26)*('Processing Factors'!$C$8:$C$29=Main!HC26))))</f>
        <v>1</v>
      </c>
      <c r="HH26" s="365">
        <f t="array" aca="1" ref="HH26" ca="1">INDEX('Processing Factors'!$F$8:$F$29,MATCH(2,1/(('Processing Factors'!$B$8:$B$29&lt;=Main!$C26)*('Processing Factors'!$C$8:$C$29=Main!HC26))))</f>
        <v>0.9</v>
      </c>
      <c r="HI26" s="365">
        <f t="array" aca="1" ref="HI26" ca="1">INDEX('Processing Factors'!$G$8:$G$29,MATCH(2,1/(('Processing Factors'!$B$8:$B$29&lt;=Main!$C26)*('Processing Factors'!$C$8:$C$29=Main!HC26))))</f>
        <v>3.5999999999999997E-2</v>
      </c>
      <c r="HJ26" s="365">
        <f t="array" aca="1" ref="HJ26" ca="1">INDEX('Processing Factors'!$H$8:$H$29,MATCH(2,1/(('Processing Factors'!$B$8:$B$29&lt;=Main!$C26)*('Processing Factors'!$C$8:$C$29=Main!HC26))))</f>
        <v>12.15</v>
      </c>
      <c r="HK26" s="364">
        <f t="array" aca="1" ref="HK26" ca="1">INDEX('Processing Factors'!$I$8:$I$29,MATCH(2,1/(('Processing Factors'!$B$8:$B$29&lt;=Main!$C26)*('Processing Factors'!$C$8:$C$29=Main!HC26))))</f>
        <v>0</v>
      </c>
      <c r="HL26" s="366">
        <v>0.92</v>
      </c>
      <c r="HM26" s="365">
        <f t="array" aca="1" ref="HM26" ca="1">INDEX('Processing Factors'!$K$8:$K$29,MATCH(2,1/(('Processing Factors'!$B$8:$B$29&lt;=Main!$C26)*('Processing Factors'!$C$8:$C$29=Main!HC26))))</f>
        <v>3.5000000000000003E-2</v>
      </c>
      <c r="HN26" s="363"/>
      <c r="HO26" s="367">
        <f ca="1">(GV26-GW26-GY26)*HF26+GW26+GY26</f>
        <v>0.5</v>
      </c>
      <c r="HP26" s="367">
        <f ca="1">GY26+HK26*(GX26-GY26)</f>
        <v>0.05</v>
      </c>
      <c r="HQ26" s="367">
        <f ca="1">HO26-HG26*HP26</f>
        <v>0.45</v>
      </c>
      <c r="HR26" s="365">
        <f ca="1">1/HQ26/HL26</f>
        <v>2.4154589371980677</v>
      </c>
      <c r="HS26" s="372">
        <v>0</v>
      </c>
      <c r="HT26" s="365">
        <f ca="1">HP26*HH26*HR26+HM26</f>
        <v>0.14369565217391306</v>
      </c>
      <c r="HU26" s="368">
        <f ca="1">HT26*$IW26</f>
        <v>34.486534568845585</v>
      </c>
      <c r="HV26" s="368">
        <f ca="1">HJ26*$IV26</f>
        <v>50.321396655852695</v>
      </c>
      <c r="HW26" s="368">
        <f ca="1">HI26*$IX26</f>
        <v>1.2197497818850218</v>
      </c>
      <c r="HX26" s="365">
        <f ca="1">(HR26-1+HT26+$CA26)</f>
        <v>1.7791545893719807</v>
      </c>
      <c r="HY26" s="368">
        <f ca="1">HX26*$IY26</f>
        <v>7.5351507719660038</v>
      </c>
      <c r="HZ26" s="368">
        <f ca="1">HS26+HU26+HV26+HW26+HY26</f>
        <v>93.56283177854931</v>
      </c>
      <c r="IB26" s="287" t="s">
        <v>39</v>
      </c>
      <c r="ID26" s="373" t="str">
        <f>AE26</f>
        <v>Weipa/Amrun Generic</v>
      </c>
      <c r="IE26" s="374">
        <f ca="1">$C26</f>
        <v>43999</v>
      </c>
      <c r="IF26" s="375">
        <f t="array" aca="1" ref="IF26" ca="1">INDEX('Indices Mines Exporting Ports'!E$20:E$51, MATCH(2,1/(('Indices Mines Exporting Ports'!$C$20:$C$51=$ID26)*('Indices Mines Exporting Ports'!$D$20:$D$51&lt;=$IE26))))</f>
        <v>0.53</v>
      </c>
      <c r="IG26" s="375">
        <f t="array" aca="1" ref="IG26" ca="1">INDEX('Indices Mines Exporting Ports'!F$20:F$51, MATCH(2,1/(('Indices Mines Exporting Ports'!$C$20:$C$51=$ID26)*('Indices Mines Exporting Ports'!$D$20:$D$51&lt;=$IE26))))</f>
        <v>0.36250000000000004</v>
      </c>
      <c r="IH26" s="376">
        <f t="array" aca="1" ref="IH26" ca="1">INDEX('Indices Mines Exporting Ports'!G$20:G$51, MATCH(2,1/(('Indices Mines Exporting Ports'!$C$20:$C$51=$ID26)*('Indices Mines Exporting Ports'!$D$20:$D$51&lt;=$IE26))))</f>
        <v>0.09</v>
      </c>
      <c r="II26" s="376">
        <f t="array" aca="1" ref="II26" ca="1">INDEX('Indices Mines Exporting Ports'!H$20:H$51, MATCH(2,1/(('Indices Mines Exporting Ports'!$C$20:$C$51=$ID26)*('Indices Mines Exporting Ports'!$D$20:$D$51&lt;=$IE26))))</f>
        <v>6.7500000000000004E-2</v>
      </c>
      <c r="IJ26" s="376">
        <f t="array" aca="1" ref="IJ26" ca="1">INDEX('Indices Mines Exporting Ports'!I$20:I$51, MATCH(2,1/(('Indices Mines Exporting Ports'!$C$20:$C$51=$ID26)*('Indices Mines Exporting Ports'!$D$20:$D$51&lt;=$IE26))))</f>
        <v>2.2499999999999999E-2</v>
      </c>
      <c r="IK26" s="375">
        <f t="array" aca="1" ref="IK26" ca="1">INDEX('Indices Mines Exporting Ports'!J$20:J$51, MATCH(2,1/(('Indices Mines Exporting Ports'!$C$20:$C$51=$ID26)*('Indices Mines Exporting Ports'!$D$20:$D$51&lt;=$IE26))))</f>
        <v>0.1</v>
      </c>
      <c r="IL26" s="375">
        <f t="array" aca="1" ref="IL26" ca="1">INDEX('Indices Mines Exporting Ports'!K$20:K$51, MATCH(2,1/(('Indices Mines Exporting Ports'!$C$20:$C$51=$ID26)*('Indices Mines Exporting Ports'!$D$20:$D$51&lt;=$IE26))))</f>
        <v>0.13</v>
      </c>
      <c r="IM26" s="377" t="str">
        <f t="array" aca="1" ref="IM26" ca="1">INDEX('Indices Mines Exporting Ports'!L$20:L$51, MATCH(2,1/(('Indices Mines Exporting Ports'!$C$20:$C$51=$ID26)*('Indices Mines Exporting Ports'!$D$20:$D$51&lt;=$IE26))))</f>
        <v>HT-D</v>
      </c>
      <c r="IN26" s="378">
        <f t="array" aca="1" ref="IN26" ca="1">INDEX('Indices Mines Exporting Ports'!M$20:M$51, MATCH(2,1/(('Indices Mines Exporting Ports'!$C$20:$C$51=$ID26)*('Indices Mines Exporting Ports'!$D$20:$D$51&lt;=$IE26))))</f>
        <v>0.67</v>
      </c>
      <c r="IO26" s="379">
        <f t="array" aca="1" ref="IO26" ca="1">INDEX('Indices Mines Exporting Ports'!N$20:N$51, MATCH(2,1/(('Indices Mines Exporting Ports'!$C$20:$C$51=$ID26)*('Indices Mines Exporting Ports'!$D$20:$D$51&lt;=$IE26))))</f>
        <v>76000</v>
      </c>
      <c r="IP26" s="376" t="str">
        <f t="array" aca="1" ref="IP26" ca="1">INDEX('Indices Mines Exporting Ports'!Q$20:Q$51, MATCH(2,1/(('Indices Mines Exporting Ports'!$C$20:$C$51=$ID26)*('Indices Mines Exporting Ports'!$D$20:$D$51&lt;=$IE26))))</f>
        <v>Weipa_Amrun_Wharf</v>
      </c>
      <c r="IQ26" s="376" t="str">
        <f t="array" aca="1" ref="IQ26" ca="1">INDEX('Indices Mines Exporting Ports'!O$20:O$51, MATCH(2,1/(('Indices Mines Exporting Ports'!$C$20:$C$51=$ID26)*('Indices Mines Exporting Ports'!$D$20:$D$51&lt;=$IE26))))</f>
        <v>Australia HT</v>
      </c>
      <c r="IR26" s="376" t="str">
        <f t="array" aca="1" ref="IR26" ca="1">INDEX('Indices Mines Exporting Ports'!P$20:P$51, MATCH(2,1/(('Indices Mines Exporting Ports'!$C$20:$C$51=$ID26)*('Indices Mines Exporting Ports'!$D$20:$D$51&lt;=$IE26))))</f>
        <v>CBIX HT</v>
      </c>
      <c r="IT26" s="287" t="s">
        <v>39</v>
      </c>
      <c r="IV26" s="345">
        <f ca="1">VLOOKUP($C26,'China Price Series'!$C$10:$D$1009,2,TRUE)/$JA26/(VLOOKUP($C26,'China Price Series'!$C$10:$E$1009,3,TRUE)*$JG26/$JF26)</f>
        <v>4.1416787371072177</v>
      </c>
      <c r="IW26" s="345">
        <f ca="1">VLOOKUP($C26,'China Price Series'!$G$10:$H$1009,2,TRUE)/$JA26/(VLOOKUP($C26,'China Price Series'!$G$10:$I$1009,3,TRUE))</f>
        <v>239.99706356533991</v>
      </c>
      <c r="IX26" s="345">
        <f ca="1">VLOOKUP($C26,'China Price Series'!$K$10:$L$1009,2,TRUE)/$JA26</f>
        <v>33.881938385695051</v>
      </c>
      <c r="IY26" s="345">
        <f ca="1">VLOOKUP($C26,'China Price Series'!$N$10:$O$1009,2,TRUE)/$JA26</f>
        <v>4.2352422982118814</v>
      </c>
      <c r="JA26" s="380">
        <f t="array" aca="1" ref="JA26" ca="1">INDEX('FX rates'!E$10:E$1009,MATCH(2,1/(('FX rates'!$D$10:$D$1009&lt;=Main!$C26)*(NOT(ISBLANK('FX rates'!E$10:E$1009))))))</f>
        <v>7.0834199999999994</v>
      </c>
      <c r="JB26" s="380">
        <f t="array" aca="1" ref="JB26" ca="1">INDEX('FX rates'!F$10:F$1009,MATCH(2,1/(('FX rates'!$D$10:$D$1009&lt;=Main!$C26)*(NOT(ISBLANK('FX rates'!F$10:F$1009))))))</f>
        <v>0.61160022139928016</v>
      </c>
      <c r="JC26" s="380">
        <f t="array" aca="1" ref="JC26" ca="1">INDEX('FX rates'!G$10:G$1009,MATCH(2,1/(('FX rates'!$D$10:$D$1009&lt;=Main!$C26)*(NOT(ISBLANK('FX rates'!G$10:G$1009))))))</f>
        <v>1</v>
      </c>
      <c r="JD26" s="380">
        <f t="array" aca="1" ref="JD26" ca="1">INDEX('FX rates'!H$10:H$1009,MATCH(2,1/(('FX rates'!$D$10:$D$1009&lt;=Main!$C26)*(NOT(ISBLANK('FX rates'!H$10:H$1009))))))</f>
        <v>1.35</v>
      </c>
      <c r="JF26" s="381">
        <f t="array" aca="1" ref="JF26" ca="1">INDEX('Global factors'!C$5:C$23,MATCH(2,1/(('Global factors'!$B$5:$B$23&lt;=Main!$C26)*(NOT(ISBLANK('Global factors'!C$5:C$23))))))</f>
        <v>239000</v>
      </c>
      <c r="JG26" s="382">
        <f t="array" aca="1" ref="JG26" ca="1">INDEX('Global factors'!D$5:D$23,MATCH(2,1/(('Global factors'!$B$5:$B$23&lt;=Main!$C26)*(NOT(ISBLANK('Global factors'!D$5:D$23))))))</f>
        <v>1000</v>
      </c>
      <c r="JH26" s="382">
        <f t="array" aca="1" ref="JH26" ca="1">INDEX('Global factors'!E$5:E$23,MATCH(2,1/(('Global factors'!$B$5:$B$23&lt;=Main!$C26)*(NOT(ISBLANK('Global factors'!E$5:E$23))))))</f>
        <v>24</v>
      </c>
      <c r="JI26" s="382">
        <f t="array" aca="1" ref="JI26" ca="1">INDEX('Global factors'!F$5:F$23,MATCH(2,1/(('Global factors'!$B$5:$B$23&lt;=Main!$C26)*(NOT(ISBLANK('Global factors'!F$5:F$23))))))</f>
        <v>2</v>
      </c>
      <c r="JJ26" s="383">
        <f t="array" aca="1" ref="JJ26" ca="1">INDEX('Global factors'!G$5:G$23,MATCH(2,1/(('Global factors'!$B$5:$B$23&lt;=Main!$C26)*(NOT(ISBLANK('Global factors'!G$5:G$23))))))</f>
        <v>0.08</v>
      </c>
      <c r="JK26" s="384">
        <f t="array" aca="1" ref="JK26" ca="1">INDEX('Global factors'!H$5:H$23,MATCH(2,1/(('Global factors'!$B$5:$B$23&lt;=Main!$C26)*(NOT(ISBLANK('Global factors'!H$5:H$23))))))</f>
        <v>101.96</v>
      </c>
      <c r="JL26" s="384">
        <f t="array" aca="1" ref="JL26" ca="1">INDEX('Global factors'!I$5:I$23,MATCH(2,1/(('Global factors'!$B$5:$B$23&lt;=Main!$C26)*(NOT(ISBLANK('Global factors'!I$5:I$23))))))</f>
        <v>60.08</v>
      </c>
      <c r="JM26" s="385">
        <f t="array" aca="1" ref="JM26" ca="1">INDEX('Global factors'!J$5:J$23,MATCH(2,1/(('Global factors'!$B$5:$B$23&lt;=Main!$C26)*(NOT(ISBLANK('Global factors'!J$5:J$23))))))</f>
        <v>0.84853528628495334</v>
      </c>
      <c r="JN26" s="386">
        <f t="array" aca="1" ref="JN26" ca="1">INDEX('Global factors'!K$5:K$23,MATCH(2,1/(('Global factors'!$B$5:$B$23&lt;=Main!$C26)*(NOT(ISBLANK('Global factors'!K$5:K$23))))))</f>
        <v>0.97499999999999998</v>
      </c>
      <c r="JO26" s="387">
        <f t="array" aca="1" ref="JO26" ca="1">INDEX('Global factors'!L$5:L$23,MATCH(2,1/(('Global factors'!$B$5:$B$23&lt;=Main!$C26)*(NOT(ISBLANK('Global factors'!L$5:L$23))))))</f>
        <v>8.7299999999999997E-4</v>
      </c>
      <c r="JP26" s="387">
        <f t="array" aca="1" ref="JP26" ca="1">INDEX('Global factors'!M$5:M$23,MATCH(2,1/(('Global factors'!$B$5:$B$23&lt;=Main!$C26)*(NOT(ISBLANK('Global factors'!M$5:M$23))))))</f>
        <v>145.88999999999999</v>
      </c>
      <c r="JQ26" s="387">
        <f t="array" aca="1" ref="JQ26" ca="1">INDEX('Global factors'!N$5:N$23,MATCH(2,1/(('Global factors'!$B$5:$B$23&lt;=Main!$C26)*(NOT(ISBLANK('Global factors'!N$5:N$23))))))</f>
        <v>0.40339999999999998</v>
      </c>
      <c r="JR26" s="387">
        <f t="array" aca="1" ref="JR26" ca="1">INDEX('Global factors'!O$5:O$23,MATCH(2,1/(('Global factors'!$B$5:$B$23&lt;=Main!$C26)*(NOT(ISBLANK('Global factors'!O$5:O$23))))))</f>
        <v>0</v>
      </c>
      <c r="JS26" s="387">
        <f t="array" aca="1" ref="JS26" ca="1">INDEX('Global factors'!P$5:P$23,MATCH(2,1/(('Global factors'!$B$5:$B$23&lt;=Main!$C26)*(NOT(ISBLANK('Global factors'!P$5:P$23))))))</f>
        <v>0.51890000000000003</v>
      </c>
      <c r="JT26" s="387">
        <f t="array" aca="1" ref="JT26" ca="1">INDEX('Global factors'!Q$5:Q$23,MATCH(2,1/(('Global factors'!$B$5:$B$23&lt;=Main!$C26)*(NOT(ISBLANK('Global factors'!Q$5:Q$23))))))</f>
        <v>4797</v>
      </c>
      <c r="JU26" s="387">
        <f t="array" aca="1" ref="JU26" ca="1">INDEX('Global factors'!R$5:R$23,MATCH(2,1/(('Global factors'!$B$5:$B$23&lt;=Main!$C26)*(NOT(ISBLANK('Global factors'!R$5:R$23))))))</f>
        <v>7</v>
      </c>
      <c r="JV26" s="386">
        <f t="array" aca="1" ref="JV26" ca="1">INDEX('Global factors'!S$5:S$23,MATCH(2,1/(('Global factors'!$B$5:$B$23&lt;=Main!$C26)*(NOT(ISBLANK('Global factors'!S$5:S$23))))))</f>
        <v>0.12</v>
      </c>
      <c r="JW26" s="386">
        <f t="array" aca="1" ref="JW26" ca="1">INDEX('Global factors'!T$5:T$23,MATCH(2,1/(('Global factors'!$B$5:$B$23&lt;=Main!$C26)*(NOT(ISBLANK('Global factors'!T$5:T$23))))))</f>
        <v>0.5</v>
      </c>
      <c r="JX26" s="387">
        <f t="array" aca="1" ref="JX26" ca="1">INDEX('Global factors'!U$5:U$23,MATCH(2,1/(('Global factors'!$B$5:$B$23&lt;=Main!$C26)*(NOT(ISBLANK('Global factors'!U$5:U$23))))))</f>
        <v>0.5</v>
      </c>
      <c r="JY26" s="387">
        <f t="array" aca="1" ref="JY26" ca="1">INDEX('Global factors'!V$5:V$23,MATCH(2,1/(('Global factors'!$B$5:$B$23&lt;=Main!$C26)*(NOT(ISBLANK('Global factors'!V$5:V$23))))))</f>
        <v>10000</v>
      </c>
      <c r="JZ26" s="387">
        <f t="array" aca="1" ref="JZ26" ca="1">INDEX('Global factors'!W$5:W$23,MATCH(2,1/(('Global factors'!$B$5:$B$23&lt;=Main!$C26)*(NOT(ISBLANK('Global factors'!W$5:W$23))))))</f>
        <v>0.10680000000000001</v>
      </c>
      <c r="KA26" s="387">
        <f t="array" aca="1" ref="KA26" ca="1">INDEX('Global factors'!X$5:X$23,MATCH(2,1/(('Global factors'!$B$5:$B$23&lt;=Main!$C26)*(NOT(ISBLANK('Global factors'!X$5:X$23))))))</f>
        <v>1.2</v>
      </c>
      <c r="KB26" s="387">
        <v>0</v>
      </c>
      <c r="KC26" s="388">
        <f t="array" aca="1" ref="KC26" ca="1">INDEX('Global factors'!Y$5:Y$23,MATCH(2,1/(('Global factors'!$B$5:$B$23&lt;=Main!$C26)*(NOT(ISBLANK('Global factors'!Y$5:Y$23))))))</f>
        <v>23643.7088248818</v>
      </c>
      <c r="KD26" s="389">
        <f t="array" aca="1" ref="KD26" ca="1">INDEX('Global factors'!Z$5:Z$23,MATCH(2,1/(('Global factors'!$B$5:$B$23&lt;=Main!$C26)*(NOT(ISBLANK('Global factors'!Z$5:Z$23))))))</f>
        <v>0.62802869915581405</v>
      </c>
      <c r="KE26" s="389">
        <v>0</v>
      </c>
      <c r="KF26" s="389">
        <v>0</v>
      </c>
      <c r="KG26" s="387">
        <v>0</v>
      </c>
      <c r="KH26" s="387">
        <f t="array" aca="1" ref="KH26" ca="1">INDEX('Global factors'!AB$5:AB$23,MATCH(2,1/(('Global factors'!$B$5:$B$23&lt;=Main!$C26)*(NOT(ISBLANK('Global factors'!AB$5:AB$23))))))</f>
        <v>6.2556361557795204E-2</v>
      </c>
      <c r="KI26" s="387">
        <f t="array" aca="1" ref="KI26" ca="1">INDEX('Global factors'!AC$5:AC$23,MATCH(2,1/(('Global factors'!$B$5:$B$23&lt;=Main!$C26)*(NOT(ISBLANK('Global factors'!AC$5:AC$23))))))</f>
        <v>8.6923129044225601E-4</v>
      </c>
      <c r="KJ26" s="387">
        <f t="array" aca="1" ref="KJ26" ca="1">INDEX('Global factors'!AD$5:AD$23,MATCH(2,1/(('Global factors'!$B$5:$B$23&lt;=Main!$C26)*(NOT(ISBLANK('Global factors'!AD$5:AD$23))))))</f>
        <v>1.1499999999999999</v>
      </c>
      <c r="KK26" s="387" t="str">
        <f t="array" aca="1" ref="KK26" ca="1">INDEX('Global factors'!AE$5:AE$23,MATCH(2,1/(('Global factors'!$B$5:$B$23&lt;=Main!$C26)*(NOT(ISBLANK('Global factors'!AE$5:AE$23))))))</f>
        <v>Qingdao</v>
      </c>
      <c r="KL26" s="390">
        <f t="array" aca="1" ref="KL26" ca="1">INDEX('Global factors'!AF$5:AF$23,MATCH(2,1/(('Global factors'!$B$5:$B$23&lt;=Main!$C26)*(NOT(ISBLANK('Global factors'!AF$5:AF$23))))))</f>
        <v>3.0000000000000001E-3</v>
      </c>
      <c r="KM26" s="390">
        <f t="array" aca="1" ref="KM26" ca="1">INDEX('Global factors'!AG$5:AG$23,MATCH(2,1/(('Global factors'!$B$5:$B$23&lt;=Main!$C26)*(NOT(ISBLANK('Global factors'!AG$5:AG$23))))))</f>
        <v>0.05</v>
      </c>
      <c r="KO26" s="287" t="s">
        <v>39</v>
      </c>
      <c r="KQ26" s="391">
        <f ca="1">IF($AO26="no",$AN26,$AR26)/(1-$AL26)/$JN26</f>
        <v>76000</v>
      </c>
      <c r="KR26" s="335" t="str">
        <f ca="1">VLOOKUP(KQ26,'Ship Time Charter Rates'!$F$10:$G$17,2,TRUE)</f>
        <v>Panamax</v>
      </c>
      <c r="KS26" s="335" t="str">
        <f ca="1">VLOOKUP(KQ26,Canals!$E$5:$F$12,2,TRUE)</f>
        <v>Panamax</v>
      </c>
      <c r="KT26" s="391">
        <f ca="1">(KQ26*$JO26 + $JP26)</f>
        <v>212.238</v>
      </c>
      <c r="KU26" s="391">
        <f ca="1">(KQ26*$JQ26+$JR26)</f>
        <v>30658.399999999998</v>
      </c>
      <c r="KV26" s="391">
        <f ca="1">(KQ26*$JS26+$JT26)</f>
        <v>44233.4</v>
      </c>
      <c r="KX26" s="392">
        <f t="array" aca="1" ref="KX26" ca="1">INDEX('Indices Mines Exporting Ports'!$R$20:$R$51,MATCH(2,1/(('Indices Mines Exporting Ports'!$D$20:$D$51&lt;=Main!$C26)*('Indices Mines Exporting Ports'!$Q$20:$Q$51=$AP26))))</f>
        <v>80000</v>
      </c>
      <c r="KY26" s="392">
        <f t="array" aca="1" ref="KY26" ca="1">INDEX('Indices Mines Exporting Ports'!$S$20:$S$51,MATCH(2,1/(('Indices Mines Exporting Ports'!$D$20:$D$51&lt;=Main!$C26)*('Indices Mines Exporting Ports'!$Q$20:$Q$51=$AP26))))</f>
        <v>80000</v>
      </c>
      <c r="KZ26" s="392">
        <f t="array" aca="1" ref="KZ26" ca="1">INDEX('Indices Mines Exporting Ports'!$T$20:$T$51,MATCH(2,1/(('Indices Mines Exporting Ports'!$D$20:$D$51&lt;=Main!$C26)*('Indices Mines Exporting Ports'!$Q$20:$Q$51=$AP26))))</f>
        <v>80000</v>
      </c>
      <c r="LA26" s="392">
        <f t="array" aca="1" ref="LA26" ca="1">INDEX('Indices Mines Exporting Ports'!$U$20:$U$51,MATCH(2,1/(('Indices Mines Exporting Ports'!$D$20:$D$51&lt;=Main!$C26)*('Indices Mines Exporting Ports'!$Q$20:$Q$51=$AP26))))</f>
        <v>80000</v>
      </c>
      <c r="LB26" s="392">
        <f t="array" aca="1" ref="LB26" ca="1">INDEX('Indices Mines Exporting Ports'!$V$20:$V$51,MATCH(2,1/(('Indices Mines Exporting Ports'!$D$20:$D$51&lt;=Main!$C26)*('Indices Mines Exporting Ports'!$Q$20:$Q$51=$AP26))))</f>
        <v>80000</v>
      </c>
      <c r="LC26" s="392">
        <f t="array" aca="1" ref="LC26" ca="1">INDEX('Indices Mines Exporting Ports'!$W$20:$W$51,MATCH(2,1/(('Indices Mines Exporting Ports'!$D$20:$D$51&lt;=Main!$C26)*('Indices Mines Exporting Ports'!$Q$20:$Q$51=$AP26))))</f>
        <v>40000</v>
      </c>
      <c r="LD26" s="392">
        <f t="array" aca="1" ref="LD26" ca="1">INDEX('Indices Mines Exporting Ports'!$X$20:$X$51,MATCH(2,1/(('Indices Mines Exporting Ports'!$D$20:$D$51&lt;=Main!$C26)*('Indices Mines Exporting Ports'!$Q$20:$Q$51=$AP26))))</f>
        <v>40000</v>
      </c>
      <c r="LF26" s="392" t="e">
        <f t="array" aca="1" ref="LF26" ca="1">INDEX('Port Linkages'!$E$18:$E$157,MATCH(2,1/(('Port Linkages'!$C$18:$C$157=$AP26)*('Port Linkages'!$D$18:$D$157=IF($AO26="Yes",$AQ26,$AS26))*('Port Linkages'!$A$18:$A$157&lt;=$C26))))</f>
        <v>#N/A</v>
      </c>
      <c r="LG26" s="392">
        <f t="array" aca="1" ref="LG26" ca="1">INDEX('Port Linkages'!$F$18:$F$157,MATCH(2,1/(('Port Linkages'!$C$18:$C$157=$AP26)*('Port Linkages'!$D$18:$D$157=IF($AO26="Yes",$AQ26,$AS26))*('Port Linkages'!$A$18:$A$157&lt;=$C26))))</f>
        <v>0</v>
      </c>
      <c r="LH26" s="392" t="str">
        <f t="array" aca="1" ref="LH26" ca="1">INDEX('Port Linkages'!$G$18:$G$157,MATCH(2,1/(('Port Linkages'!$C$18:$C$157=$AP26)*('Port Linkages'!$D$18:$D$157=IF($AO26="Yes",$AQ26,$AS26))*('Port Linkages'!$A$18:$A$157&lt;=$C26))))</f>
        <v>VLOC_General</v>
      </c>
      <c r="LI26" s="392" t="str">
        <f t="array" aca="1" ref="LI26" ca="1">INDEX('Port Linkages'!$H$18:$H$157,MATCH(2,1/(('Port Linkages'!$C$18:$C$157=$AP26)*('Port Linkages'!$D$18:$D$157=IF($AO26="Yes",$AQ26,$AS26))*('Port Linkages'!$A$18:$A$157&lt;=$C26))))</f>
        <v>Singapore</v>
      </c>
      <c r="LJ26" s="392" t="str">
        <f t="array" aca="1" ref="LJ26" ca="1">INDEX('Port Linkages'!$I$18:$I$157,MATCH(2,1/(('Port Linkages'!$C$18:$C$157=$AP26)*('Port Linkages'!$D$18:$D$157=IF($AO26="Yes",$AQ26,$AS26))*('Port Linkages'!$A$18:$A$157&lt;=$C26))))</f>
        <v>VLSFO</v>
      </c>
      <c r="LK26" s="392" t="str">
        <f t="array" aca="1" ref="LK26" ca="1">INDEX('Port Linkages'!$J$18:$J$157,MATCH(2,1/(('Port Linkages'!$C$18:$C$157=$AP26)*('Port Linkages'!$D$18:$D$157=IF($AO26="Yes",$AQ26,$AS26))*('Port Linkages'!$A$18:$A$157&lt;=$C26))))</f>
        <v>MGO_Regular</v>
      </c>
      <c r="LL26" s="392" t="str">
        <f t="array" aca="1" ref="LL26" ca="1">INDEX('Port Linkages'!$K$18:$K$157,MATCH(2,1/(('Port Linkages'!$C$18:$C$157=$AP26)*('Port Linkages'!$D$18:$D$157=IF($AO26="Yes",$AQ26,$AS26))*('Port Linkages'!$A$18:$A$157&lt;=$C26))))</f>
        <v>none</v>
      </c>
      <c r="LM26" s="392" t="e">
        <f t="array" aca="1" ref="LM26" ca="1">INDEX('Port Linkages'!$L$18:$L$157,MATCH(2,1/(('Port Linkages'!$C$18:$C$157=$AP26)*('Port Linkages'!$D$18:$D$157=IF($AO26="Yes",$AQ26,$AS26))*('Port Linkages'!$A$18:$A$157&lt;=$C26))))</f>
        <v>#N/A</v>
      </c>
      <c r="LN26" s="392">
        <f t="array" aca="1" ref="LN26" ca="1">INDEX('Port Linkages'!$M$18:$M$157,MATCH(2,1/(('Port Linkages'!$C$18:$C$157=$AP26)*('Port Linkages'!$D$18:$D$157=IF($AO26="Yes",$AQ26,$AS26))*('Port Linkages'!$A$18:$A$157&lt;=$C26))))</f>
        <v>0</v>
      </c>
      <c r="LO26" s="392" t="str">
        <f t="array" aca="1" ref="LO26" ca="1">INDEX('Port Linkages'!$N$18:$N$157,MATCH(2,1/(('Port Linkages'!$C$18:$C$157=$AP26)*('Port Linkages'!$D$18:$D$157=IF($AO26="Yes",$AQ26,$AS26))*('Port Linkages'!$A$18:$A$157&lt;=$C26))))</f>
        <v>Capesize_General</v>
      </c>
      <c r="LP26" s="392" t="str">
        <f t="array" aca="1" ref="LP26" ca="1">INDEX('Port Linkages'!$O$18:$O$157,MATCH(2,1/(('Port Linkages'!$C$18:$C$157=$AP26)*('Port Linkages'!$D$18:$D$157=IF($AO26="Yes",$AQ26,$AS26))*('Port Linkages'!$A$18:$A$157&lt;=$C26))))</f>
        <v>Singapore</v>
      </c>
      <c r="LQ26" s="392" t="str">
        <f t="array" aca="1" ref="LQ26" ca="1">INDEX('Port Linkages'!$P$18:$P$157,MATCH(2,1/(('Port Linkages'!$C$18:$C$157=$AP26)*('Port Linkages'!$D$18:$D$157=IF($AO26="Yes",$AQ26,$AS26))*('Port Linkages'!$A$18:$A$157&lt;=$C26))))</f>
        <v>VLSFO</v>
      </c>
      <c r="LR26" s="392" t="str">
        <f t="array" aca="1" ref="LR26" ca="1">INDEX('Port Linkages'!$Q$18:$Q$157,MATCH(2,1/(('Port Linkages'!$C$18:$C$157=$AP26)*('Port Linkages'!$D$18:$D$157=IF($AO26="Yes",$AQ26,$AS26))*('Port Linkages'!$A$18:$A$157&lt;=$C26))))</f>
        <v>MGO_Regular</v>
      </c>
      <c r="LS26" s="392" t="str">
        <f t="array" aca="1" ref="LS26" ca="1">INDEX('Port Linkages'!$R$18:$R$157,MATCH(2,1/(('Port Linkages'!$C$18:$C$157=$AP26)*('Port Linkages'!$D$18:$D$157=IF($AO26="Yes",$AQ26,$AS26))*('Port Linkages'!$A$18:$A$157&lt;=$C26))))</f>
        <v>none</v>
      </c>
      <c r="LT26" s="392" t="e">
        <f t="array" aca="1" ref="LT26" ca="1">INDEX('Port Linkages'!$S$18:$S$157,MATCH(2,1/(('Port Linkages'!$C$18:$C$157=$AP26)*('Port Linkages'!$D$18:$D$157=IF($AO26="Yes",$AQ26,$AS26))*('Port Linkages'!$A$18:$A$157&lt;=$C26))))</f>
        <v>#N/A</v>
      </c>
      <c r="LU26" s="392">
        <f t="array" aca="1" ref="LU26" ca="1">INDEX('Port Linkages'!$T$18:$T$157,MATCH(2,1/(('Port Linkages'!$C$18:$C$157=$AP26)*('Port Linkages'!$D$18:$D$157=IF($AO26="Yes",$AQ26,$AS26))*('Port Linkages'!$A$18:$A$157&lt;=$C26))))</f>
        <v>0</v>
      </c>
      <c r="LV26" s="392" t="str">
        <f t="array" aca="1" ref="LV26" ca="1">INDEX('Port Linkages'!$U$18:$U$157,MATCH(2,1/(('Port Linkages'!$C$18:$C$157=$AP26)*('Port Linkages'!$D$18:$D$157=IF($AO26="Yes",$AQ26,$AS26))*('Port Linkages'!$A$18:$A$157&lt;=$C26))))</f>
        <v>Capesize_General</v>
      </c>
      <c r="LW26" s="392" t="str">
        <f t="array" aca="1" ref="LW26" ca="1">INDEX('Port Linkages'!$V$18:$V$157,MATCH(2,1/(('Port Linkages'!$C$18:$C$157=$AP26)*('Port Linkages'!$D$18:$D$157=IF($AO26="Yes",$AQ26,$AS26))*('Port Linkages'!$A$18:$A$157&lt;=$C26))))</f>
        <v>Singapore</v>
      </c>
      <c r="LX26" s="392" t="str">
        <f t="array" aca="1" ref="LX26" ca="1">INDEX('Port Linkages'!$W$18:$W$157,MATCH(2,1/(('Port Linkages'!$C$18:$C$157=$AP26)*('Port Linkages'!$D$18:$D$157=IF($AO26="Yes",$AQ26,$AS26))*('Port Linkages'!$A$18:$A$157&lt;=$C26))))</f>
        <v>VLSFO</v>
      </c>
      <c r="LY26" s="392" t="str">
        <f t="array" aca="1" ref="LY26" ca="1">INDEX('Port Linkages'!$X$18:$X$157,MATCH(2,1/(('Port Linkages'!$C$18:$C$157=$AP26)*('Port Linkages'!$D$18:$D$157=IF($AO26="Yes",$AQ26,$AS26))*('Port Linkages'!$A$18:$A$157&lt;=$C26))))</f>
        <v>MGO_Regular</v>
      </c>
      <c r="LZ26" s="392" t="str">
        <f t="array" aca="1" ref="LZ26" ca="1">INDEX('Port Linkages'!$Y$18:$Y$157,MATCH(2,1/(('Port Linkages'!$C$18:$C$157=$AP26)*('Port Linkages'!$D$18:$D$157=IF($AO26="Yes",$AQ26,$AS26))*('Port Linkages'!$A$18:$A$157&lt;=$C26))))</f>
        <v>none</v>
      </c>
      <c r="MA26" s="392">
        <f t="array" aca="1" ref="MA26" ca="1">INDEX('Port Linkages'!$Z$18:$Z$157,MATCH(2,1/(('Port Linkages'!$C$18:$C$157=$AP26)*('Port Linkages'!$D$18:$D$157=IF($AO26="Yes",$AQ26,$AS26))*('Port Linkages'!$A$18:$A$157&lt;=$C26))))</f>
        <v>3280</v>
      </c>
      <c r="MB26" s="392">
        <f t="array" aca="1" ref="MB26" ca="1">INDEX('Port Linkages'!$AA$18:$AA$157,MATCH(2,1/(('Port Linkages'!$C$18:$C$157=$AP26)*('Port Linkages'!$D$18:$D$157=IF($AO26="Yes",$AQ26,$AS26))*('Port Linkages'!$A$18:$A$157&lt;=$C26))))</f>
        <v>0</v>
      </c>
      <c r="MC26" s="392" t="str">
        <f t="array" aca="1" ref="MC26" ca="1">INDEX('Port Linkages'!$AB$18:$AB$157,MATCH(2,1/(('Port Linkages'!$C$18:$C$157=$AP26)*('Port Linkages'!$D$18:$D$157=IF($AO26="Yes",$AQ26,$AS26))*('Port Linkages'!$A$18:$A$157&lt;=$C26))))</f>
        <v>Capesize_General</v>
      </c>
      <c r="MD26" s="392" t="str">
        <f t="array" aca="1" ref="MD26" ca="1">INDEX('Port Linkages'!$AC$18:$AC$157,MATCH(2,1/(('Port Linkages'!$C$18:$C$157=$AP26)*('Port Linkages'!$D$18:$D$157=IF($AO26="Yes",$AQ26,$AS26))*('Port Linkages'!$A$18:$A$157&lt;=$C26))))</f>
        <v>Singapore</v>
      </c>
      <c r="ME26" s="392" t="str">
        <f t="array" aca="1" ref="ME26" ca="1">INDEX('Port Linkages'!$AD$18:$AD$157,MATCH(2,1/(('Port Linkages'!$C$18:$C$157=$AP26)*('Port Linkages'!$D$18:$D$157=IF($AO26="Yes",$AQ26,$AS26))*('Port Linkages'!$A$18:$A$157&lt;=$C26))))</f>
        <v>VLSFO</v>
      </c>
      <c r="MF26" s="392" t="str">
        <f t="array" aca="1" ref="MF26" ca="1">INDEX('Port Linkages'!$AE$18:$AE$157,MATCH(2,1/(('Port Linkages'!$C$18:$C$157=$AP26)*('Port Linkages'!$D$18:$D$157=IF($AO26="Yes",$AQ26,$AS26))*('Port Linkages'!$A$18:$A$157&lt;=$C26))))</f>
        <v>MGO_Regular</v>
      </c>
      <c r="MG26" s="392" t="str">
        <f t="array" aca="1" ref="MG26" ca="1">INDEX('Port Linkages'!$AF$18:$AF$157,MATCH(2,1/(('Port Linkages'!$C$18:$C$157=$AP26)*('Port Linkages'!$D$18:$D$157=IF($AO26="Yes",$AQ26,$AS26))*('Port Linkages'!$A$18:$A$157&lt;=$C26))))</f>
        <v>none</v>
      </c>
      <c r="MH26" s="392">
        <f t="array" aca="1" ref="MH26" ca="1">INDEX('Port Linkages'!$AG$18:$AG$157,MATCH(2,1/(('Port Linkages'!$C$18:$C$157=$AP26)*('Port Linkages'!$D$18:$D$157=IF($AO26="Yes",$AQ26,$AS26))*('Port Linkages'!$A$18:$A$157&lt;=$C26))))</f>
        <v>3280</v>
      </c>
      <c r="MI26" s="392">
        <f t="array" aca="1" ref="MI26" ca="1">INDEX('Port Linkages'!$AH$18:$AH$157,MATCH(2,1/(('Port Linkages'!$C$18:$C$157=$AP26)*('Port Linkages'!$D$18:$D$157=IF($AO26="Yes",$AQ26,$AS26))*('Port Linkages'!$A$18:$A$157&lt;=$C26))))</f>
        <v>0</v>
      </c>
      <c r="MJ26" s="392" t="str">
        <f t="array" aca="1" ref="MJ26" ca="1">INDEX('Port Linkages'!$AI$18:$AI$157,MATCH(2,1/(('Port Linkages'!$C$18:$C$157=$AP26)*('Port Linkages'!$D$18:$D$157=IF($AO26="Yes",$AQ26,$AS26))*('Port Linkages'!$A$18:$A$157&lt;=$C26))))</f>
        <v>Panamax_General</v>
      </c>
      <c r="MK26" s="392" t="str">
        <f t="array" aca="1" ref="MK26" ca="1">INDEX('Port Linkages'!$AJ$18:$AJ$157,MATCH(2,1/(('Port Linkages'!$C$18:$C$157=$AP26)*('Port Linkages'!$D$18:$D$157=IF($AO26="Yes",$AQ26,$AS26))*('Port Linkages'!$A$18:$A$157&lt;=$C26))))</f>
        <v>Singapore</v>
      </c>
      <c r="ML26" s="392" t="str">
        <f t="array" aca="1" ref="ML26" ca="1">INDEX('Port Linkages'!$AK$18:$AK$157,MATCH(2,1/(('Port Linkages'!$C$18:$C$157=$AP26)*('Port Linkages'!$D$18:$D$157=IF($AO26="Yes",$AQ26,$AS26))*('Port Linkages'!$A$18:$A$157&lt;=$C26))))</f>
        <v>VLSFO</v>
      </c>
      <c r="MM26" s="392" t="str">
        <f t="array" aca="1" ref="MM26" ca="1">INDEX('Port Linkages'!$AL$18:$AL$157,MATCH(2,1/(('Port Linkages'!$C$18:$C$157=$AP26)*('Port Linkages'!$D$18:$D$157=IF($AO26="Yes",$AQ26,$AS26))*('Port Linkages'!$A$18:$A$157&lt;=$C26))))</f>
        <v>MGO_Regular</v>
      </c>
      <c r="MN26" s="392" t="str">
        <f t="array" aca="1" ref="MN26" ca="1">INDEX('Port Linkages'!$AM$18:$AM$157,MATCH(2,1/(('Port Linkages'!$C$18:$C$157=$AP26)*('Port Linkages'!$D$18:$D$157=IF($AO26="Yes",$AQ26,$AS26))*('Port Linkages'!$A$18:$A$157&lt;=$C26))))</f>
        <v>none</v>
      </c>
      <c r="MO26" s="392">
        <f t="array" aca="1" ref="MO26" ca="1">INDEX('Port Linkages'!$AN$18:$AN$157,MATCH(2,1/(('Port Linkages'!$C$18:$C$157=$AP26)*('Port Linkages'!$D$18:$D$157=IF($AO26="Yes",$AQ26,$AS26))*('Port Linkages'!$A$18:$A$157&lt;=$C26))))</f>
        <v>3280</v>
      </c>
      <c r="MP26" s="392">
        <f t="array" aca="1" ref="MP26" ca="1">INDEX('Port Linkages'!$AO$18:$AO$157,MATCH(2,1/(('Port Linkages'!$C$18:$C$157=$AP26)*('Port Linkages'!$D$18:$D$157=IF($AO26="Yes",$AQ26,$AS26))*('Port Linkages'!$A$18:$A$157&lt;=$C26))))</f>
        <v>0</v>
      </c>
      <c r="MQ26" s="392" t="str">
        <f t="array" aca="1" ref="MQ26" ca="1">INDEX('Port Linkages'!$AP$18:$AP$157,MATCH(2,1/(('Port Linkages'!$C$18:$C$157=$AP26)*('Port Linkages'!$D$18:$D$157=IF($AO26="Yes",$AQ26,$AS26))*('Port Linkages'!$A$18:$A$157&lt;=$C26))))</f>
        <v>Supramax_General</v>
      </c>
      <c r="MR26" s="392" t="str">
        <f t="array" aca="1" ref="MR26" ca="1">INDEX('Port Linkages'!$AQ$18:$AQ$157,MATCH(2,1/(('Port Linkages'!$C$18:$C$157=$AP26)*('Port Linkages'!$D$18:$D$157=IF($AO26="Yes",$AQ26,$AS26))*('Port Linkages'!$A$18:$A$157&lt;=$C26))))</f>
        <v>Singapore</v>
      </c>
      <c r="MS26" s="392" t="str">
        <f t="array" aca="1" ref="MS26" ca="1">INDEX('Port Linkages'!$AR$18:$AR$157,MATCH(2,1/(('Port Linkages'!$C$18:$C$157=$AP26)*('Port Linkages'!$D$18:$D$157=IF($AO26="Yes",$AQ26,$AS26))*('Port Linkages'!$A$18:$A$157&lt;=$C26))))</f>
        <v>VLSFO</v>
      </c>
      <c r="MT26" s="392" t="str">
        <f t="array" aca="1" ref="MT26" ca="1">INDEX('Port Linkages'!$AS$18:$AS$157,MATCH(2,1/(('Port Linkages'!$C$18:$C$157=$AP26)*('Port Linkages'!$D$18:$D$157=IF($AO26="Yes",$AQ26,$AS26))*('Port Linkages'!$A$18:$A$157&lt;=$C26))))</f>
        <v>MGO_Regular</v>
      </c>
      <c r="MU26" s="392" t="str">
        <f t="array" aca="1" ref="MU26" ca="1">INDEX('Port Linkages'!$AT$18:$AT$157,MATCH(2,1/(('Port Linkages'!$C$18:$C$157=$AP26)*('Port Linkages'!$D$18:$D$157=IF($AO26="Yes",$AQ26,$AS26))*('Port Linkages'!$A$18:$A$157&lt;=$C26))))</f>
        <v>none</v>
      </c>
      <c r="MV26" s="392">
        <f t="array" aca="1" ref="MV26" ca="1">INDEX('Port Linkages'!$AU$18:$AU$157,MATCH(2,1/(('Port Linkages'!$C$18:$C$157=$AP26)*('Port Linkages'!$D$18:$D$157=IF($AO26="Yes",$AQ26,$AS26))*('Port Linkages'!$A$18:$A$157&lt;=$C26))))</f>
        <v>3280</v>
      </c>
      <c r="MW26" s="392">
        <f t="array" aca="1" ref="MW26" ca="1">INDEX('Port Linkages'!$AV$18:$AV$157,MATCH(2,1/(('Port Linkages'!$C$18:$C$157=$AP26)*('Port Linkages'!$D$18:$D$157=IF($AO26="Yes",$AQ26,$AS26))*('Port Linkages'!$A$18:$A$157&lt;=$C26))))</f>
        <v>0</v>
      </c>
      <c r="MX26" s="392" t="str">
        <f t="array" aca="1" ref="MX26" ca="1">INDEX('Port Linkages'!$AW$18:$AW$157,MATCH(2,1/(('Port Linkages'!$C$18:$C$157=$AP26)*('Port Linkages'!$D$18:$D$157=IF($AO26="Yes",$AQ26,$AS26))*('Port Linkages'!$A$18:$A$157&lt;=$C26))))</f>
        <v>Handysize_General</v>
      </c>
      <c r="MY26" s="392" t="str">
        <f t="array" aca="1" ref="MY26" ca="1">INDEX('Port Linkages'!$AX$18:$AX$157,MATCH(2,1/(('Port Linkages'!$C$18:$C$157=$AP26)*('Port Linkages'!$D$18:$D$157=IF($AO26="Yes",$AQ26,$AS26))*('Port Linkages'!$A$18:$A$157&lt;=$C26))))</f>
        <v>Singapore</v>
      </c>
      <c r="MZ26" s="392" t="str">
        <f t="array" aca="1" ref="MZ26" ca="1">INDEX('Port Linkages'!$AY$18:$AY$157,MATCH(2,1/(('Port Linkages'!$C$18:$C$157=$AP26)*('Port Linkages'!$D$18:$D$157=IF($AO26="Yes",$AQ26,$AS26))*('Port Linkages'!$A$18:$A$157&lt;=$C26))))</f>
        <v>VLSFO</v>
      </c>
      <c r="NA26" s="392" t="str">
        <f t="array" aca="1" ref="NA26" ca="1">INDEX('Port Linkages'!$AZ$18:$AZ$157,MATCH(2,1/(('Port Linkages'!$C$18:$C$157=$AP26)*('Port Linkages'!$D$18:$D$157=IF($AO26="Yes",$AQ26,$AS26))*('Port Linkages'!$A$18:$A$157&lt;=$C26))))</f>
        <v>MGO_Regular</v>
      </c>
      <c r="NB26" s="392" t="str">
        <f t="array" aca="1" ref="NB26" ca="1">INDEX('Port Linkages'!$BA$18:$BA$157,MATCH(2,1/(('Port Linkages'!$C$18:$C$157=$AP26)*('Port Linkages'!$D$18:$D$157=IF($AO26="Yes",$AQ26,$AS26))*('Port Linkages'!$A$18:$A$157&lt;=$C26))))</f>
        <v>none</v>
      </c>
      <c r="ND26" s="391" t="e">
        <f t="array" aca="1" ref="ND26" ca="1">INDEX('Ship Fuel Prices'!$F$5:$F$1004,MATCH(2,1/(('Ship Fuel Prices'!$E$5:$E$1004=_xlfn.IFS(KS26="Handysize",Main!MY26,KS26="Supramax",MR26,KS26="Panamax",MK26,KS26="NeoPanamax",MD26,KS26="Suezmax",LW26,KS26="Capesize",LP26,KS26="VLOC",LI26))*('Ship Fuel Prices'!$D$5:$D$1004&lt;=Main!$C26))))</f>
        <v>#N/A</v>
      </c>
      <c r="NE26" s="391" t="e">
        <f t="array" aca="1" ref="NE26" ca="1">INDEX('Ship Fuel Prices'!$G$5:$G$1004,MATCH(2,1/(('Ship Fuel Prices'!$E$5:$E$1004=_xlfn.IFS(KS26="Handysize",Main!MY26,KS26="Supramax",MR26,KS26="Panamax",MK26,KS26="NeoPanamax",MD26,KS26="Suezmax",LW26,KS26="Capesize",LP26,KS26="VLOC",LI26))*('Ship Fuel Prices'!$D$5:$D$1004&lt;=Main!$C26))))</f>
        <v>#N/A</v>
      </c>
      <c r="NF26" s="391" t="e">
        <f t="array" aca="1" ref="NF26" ca="1">INDEX('Ship Fuel Prices'!$H$5:$H$1004,MATCH(2,1/(('Ship Fuel Prices'!$E$5:$E$1004=_xlfn.IFS(KS26="Handysize",Main!MY26,KS26="Supramax",MR26,KS26="Panamax",MK26,KS26="NeoPanamax",MD26,KS26="Suezmax",LW26,KS26="Capesize",LP26,KS26="VLOC",LI26))*('Ship Fuel Prices'!$D$5:$D$1004&lt;=Main!$C26))))</f>
        <v>#N/A</v>
      </c>
      <c r="NG26" s="391" t="e">
        <f t="array" aca="1" ref="NG26" ca="1">INDEX('Ship Fuel Prices'!$I$5:$I$1004,MATCH(2,1/(('Ship Fuel Prices'!$E$5:$E$1004=_xlfn.IFS(KS26="Handysize",Main!MY26,KS26="Supramax",MR26,KS26="Panamax",MK26,KS26="NeoPanamax",MD26,KS26="Suezmax",LW26,KS26="Capesize",LP26,KS26="VLOC",LI26))*('Ship Fuel Prices'!$D$5:$D$1004&lt;=Main!$C26))))</f>
        <v>#N/A</v>
      </c>
      <c r="NH26" s="391" t="e">
        <f t="array" aca="1" ref="NH26" ca="1">INDEX('Ship Fuel Prices'!$J$5:$J$1004,MATCH(2,1/(('Ship Fuel Prices'!$E$5:$E$1004=_xlfn.IFS(KS26="Handysize",Main!MY26,KS26="Supramax",MR26,KS26="Panamax",MK26,KS26="NeoPanamax",MD26,KS26="Suezmax",LW26,KS26="Capesize",LP26,KS26="VLOC",LI26))*('Ship Fuel Prices'!$D$5:$D$1004&lt;=Main!$C26))))</f>
        <v>#N/A</v>
      </c>
      <c r="NJ26" s="392">
        <f t="array" aca="1" ref="NJ26" ca="1">INDEX('China n Importing Ports'!$E$20:$E$41,MATCH(2,1/(('China n Importing Ports'!$D$20:$D$41&lt;=$C26)*('China n Importing Ports'!$C$20:$C$41=IF($AO26="Yes",$AQ26,$AS26)))))</f>
        <v>42500</v>
      </c>
      <c r="NK26" s="392">
        <f t="array" aca="1" ref="NK26" ca="1">INDEX('China n Importing Ports'!$F$20:$F$41,MATCH(2,1/(('China n Importing Ports'!$D$20:$D$41&lt;=$C26)*('China n Importing Ports'!$C$20:$C$41=IF($AO26="Yes",$AQ26,$AS26)))))</f>
        <v>42500</v>
      </c>
      <c r="NL26" s="392">
        <f t="array" aca="1" ref="NL26" ca="1">INDEX('China n Importing Ports'!$G$20:$G$41,MATCH(2,1/(('China n Importing Ports'!$D$20:$D$41&lt;=$C26)*('China n Importing Ports'!$C$20:$C$41=IF($AO26="Yes",$AQ26,$AS26)))))</f>
        <v>42500</v>
      </c>
      <c r="NM26" s="392">
        <f t="array" aca="1" ref="NM26" ca="1">INDEX('China n Importing Ports'!$H$20:$H$41,MATCH(2,1/(('China n Importing Ports'!$D$20:$D$41&lt;=$C26)*('China n Importing Ports'!$C$20:$C$41=IF($AO26="Yes",$AQ26,$AS26)))))</f>
        <v>42500</v>
      </c>
      <c r="NN26" s="392">
        <f t="array" aca="1" ref="NN26" ca="1">INDEX('China n Importing Ports'!$I$20:$I$41,MATCH(2,1/(('China n Importing Ports'!$D$20:$D$41&lt;=$C26)*('China n Importing Ports'!$C$20:$C$41=IF($AO26="Yes",$AQ26,$AS26)))))</f>
        <v>42500</v>
      </c>
      <c r="NO26" s="392">
        <f t="array" aca="1" ref="NO26" ca="1">INDEX('China n Importing Ports'!$J$20:$J$41,MATCH(2,1/(('China n Importing Ports'!$D$20:$D$41&lt;=$C26)*('China n Importing Ports'!$C$20:$C$41=IF($AO26="Yes",$AQ26,$AS26)))))</f>
        <v>42500</v>
      </c>
      <c r="NP26" s="392">
        <f t="array" aca="1" ref="NP26" ca="1">INDEX('China n Importing Ports'!$K$20:$K$41,MATCH(2,1/(('China n Importing Ports'!$D$20:$D$41&lt;=$C26)*('China n Importing Ports'!$C$20:$C$41=IF($AO26="Yes",$AQ26,$AS26)))))</f>
        <v>42500</v>
      </c>
      <c r="NQ26" s="392" t="str">
        <f t="array" aca="1" ref="NQ26" ca="1">INDEX('China n Importing Ports'!$L$20:$L$41,MATCH(2,1/(('China n Importing Ports'!$D$20:$D$41&lt;=$C26)*('China n Importing Ports'!$C$20:$C$41=IF($AO26="Yes",$AQ26,$AS26)))))</f>
        <v>RMB</v>
      </c>
      <c r="NR26" s="392">
        <f t="array" aca="1" ref="NR26" ca="1">INDEX('China n Importing Ports'!$M$20:$M$41,MATCH(2,1/(('China n Importing Ports'!$D$20:$D$41&lt;=$C26)*('China n Importing Ports'!$C$20:$C$41=IF($AO26="Yes",$AQ26,$AS26)))))</f>
        <v>12342</v>
      </c>
      <c r="NS26" s="392">
        <f t="array" aca="1" ref="NS26" ca="1">INDEX('China n Importing Ports'!$N$20:$N$41,MATCH(2,1/(('China n Importing Ports'!$D$20:$D$41&lt;=$C26)*('China n Importing Ports'!$C$20:$C$41=IF($AO26="Yes",$AQ26,$AS26)))))</f>
        <v>0</v>
      </c>
      <c r="NT26" s="392">
        <f t="array" aca="1" ref="NT26" ca="1">INDEX('China n Importing Ports'!$O$20:$O$41,MATCH(2,1/(('China n Importing Ports'!$D$20:$D$41&lt;=$C26)*('China n Importing Ports'!$C$20:$C$41=IF($AO26="Yes",$AQ26,$AS26)))))</f>
        <v>0</v>
      </c>
      <c r="NU26" s="393">
        <f t="array" aca="1" ref="NU26" ca="1">INDEX('China n Importing Ports'!$P$20:$P$41,MATCH(2,1/(('China n Importing Ports'!$D$20:$D$41&lt;=$C26)*('China n Importing Ports'!$C$20:$C$41=IF($AO26="Yes",$AQ26,$AS26)))))</f>
        <v>2.64</v>
      </c>
      <c r="NV26" s="393">
        <f t="array" aca="1" ref="NV26" ca="1">INDEX('China n Importing Ports'!$Q$20:$Q$41,MATCH(2,1/(('China n Importing Ports'!$D$20:$D$41&lt;=$C26)*('China n Importing Ports'!$C$20:$C$41=IF($AO26="Yes",$AQ26,$AS26)))))</f>
        <v>0</v>
      </c>
      <c r="NW26" s="393">
        <f t="array" aca="1" ref="NW26" ca="1">INDEX('China n Importing Ports'!$R$20:$R$41,MATCH(2,1/(('China n Importing Ports'!$D$20:$D$41&lt;=$C26)*('China n Importing Ports'!$C$20:$C$41=IF($AO26="Yes",$AQ26,$AS26)))))</f>
        <v>0</v>
      </c>
      <c r="NX26" s="393">
        <f t="array" aca="1" ref="NX26" ca="1">INDEX('China n Importing Ports'!$S$20:$S$41,MATCH(2,1/(('China n Importing Ports'!$D$20:$D$41&lt;=$C26)*('China n Importing Ports'!$C$20:$C$41=IF($AO26="Yes",$AQ26,$AS26)))))</f>
        <v>4.53</v>
      </c>
      <c r="NY26" s="393">
        <f t="array" aca="1" ref="NY26" ca="1">INDEX('China n Importing Ports'!$T$20:$T$41,MATCH(2,1/(('China n Importing Ports'!$D$20:$D$41&lt;=$C26)*('China n Importing Ports'!$C$20:$C$41=IF($AO26="Yes",$AQ26,$AS26)))))</f>
        <v>0.36699999999999999</v>
      </c>
      <c r="NZ26" s="393">
        <f t="array" aca="1" ref="NZ26" ca="1">INDEX('China n Importing Ports'!$U$20:$U$41,MATCH(2,1/(('China n Importing Ports'!$D$20:$D$41&lt;=$C26)*('China n Importing Ports'!$C$20:$C$41=IF($AO26="Yes",$AQ26,$AS26)))))</f>
        <v>0.05</v>
      </c>
      <c r="OA26" s="393">
        <f t="array" aca="1" ref="OA26" ca="1">INDEX('China n Importing Ports'!$V$20:$V$41,MATCH(2,1/(('China n Importing Ports'!$D$20:$D$41&lt;=$C26)*('China n Importing Ports'!$C$20:$C$41=IF($AO26="Yes",$AQ26,$AS26)))))</f>
        <v>0</v>
      </c>
      <c r="OB26" s="393">
        <f t="array" aca="1" ref="OB26" ca="1">INDEX('China n Importing Ports'!$W$20:$W$41,MATCH(2,1/(('China n Importing Ports'!$D$20:$D$41&lt;=$C26)*('China n Importing Ports'!$C$20:$C$41=IF($AO26="Yes",$AQ26,$AS26)))))</f>
        <v>0</v>
      </c>
      <c r="OC26" s="393">
        <f t="array" aca="1" ref="OC26" ca="1">INDEX('China n Importing Ports'!$X$20:$X$41,MATCH(2,1/(('China n Importing Ports'!$D$20:$D$41&lt;=$C26)*('China n Importing Ports'!$C$20:$C$41=IF($AO26="Yes",$AQ26,$AS26)))))</f>
        <v>0</v>
      </c>
      <c r="OD26" s="393">
        <f t="array" aca="1" ref="OD26" ca="1">INDEX('China n Importing Ports'!$Y$20:$Y$41,MATCH(2,1/(('China n Importing Ports'!$D$20:$D$41&lt;=$C26)*('China n Importing Ports'!$C$20:$C$41=IF($AO26="Yes",$AQ26,$AS26)))))</f>
        <v>197</v>
      </c>
      <c r="OE26" s="393">
        <f t="array" aca="1" ref="OE26" ca="1">INDEX('China n Importing Ports'!$Z$20:$Z$41,MATCH(2,1/(('China n Importing Ports'!$D$20:$D$41&lt;=$C26)*('China n Importing Ports'!$C$20:$C$41=IF($AO26="Yes",$AQ26,$AS26)))))</f>
        <v>0</v>
      </c>
      <c r="OF26" s="393">
        <f t="array" aca="1" ref="OF26" ca="1">INDEX('China n Importing Ports'!$AA$20:$AA$41,MATCH(2,1/(('China n Importing Ports'!$D$20:$D$41&lt;=$C26)*('China n Importing Ports'!$C$20:$C$41=IF($AO26="Yes",$AQ26,$AS26)))))</f>
        <v>0</v>
      </c>
      <c r="OH26" s="392" t="e">
        <f t="array" aca="1" ref="OH26" ca="1">INDEX(Canals!$G$24:$G$29,MATCH(2,1/((Canals!$F$24:$F$29&lt;=$C26)*(Canals!$G$24:$G$29=_xlfn.IFS(KS26="Handysize",Main!NB26,KS26="Supramax",MU26,KS26="Panamax",MN26,KS26="NeoPanamax",MG26,KS26="Suezmax",LZ26,KS26="Capesize",LS26,KS26="VLOC",LL26)))))</f>
        <v>#N/A</v>
      </c>
      <c r="OI26" s="392" t="e">
        <f t="array" aca="1" ref="OI26" ca="1">INDEX(Canals!$H$24:$H$29,MATCH(2,1/((Canals!$F$24:$F$29&lt;=$C26)*(Canals!$G$24:$G$29=_xlfn.IFS(KS26="Handysize",Main!NB26,KS26="Supramax",MU26,KS26="Panamax",MN26,KS26="NeoPanamax",MG26,KS26="Suezmax",LZ26,KS26="Capesize",LS26,KS26="VLOC",LL26)))))</f>
        <v>#N/A</v>
      </c>
      <c r="OJ26" s="392" t="e">
        <f t="array" aca="1" ref="OJ26" ca="1">INDEX(Canals!$I$24:$I$29,MATCH(2,1/((Canals!$F$24:$F$29&lt;=$C26)*(Canals!$G$24:$G$29=_xlfn.IFS(KS26="Handysize",Main!NB26,KS26="Supramax",MU26,KS26="Panamax",MN26,KS26="NeoPanamax",MG26,KS26="Suezmax",LZ26,KS26="Capesize",LS26,KS26="VLOC",LL26)))))</f>
        <v>#N/A</v>
      </c>
      <c r="OK26" s="392" t="e">
        <f t="array" aca="1" ref="OK26" ca="1">INDEX(Canals!$J$24:$J$29,MATCH(2,1/((Canals!$F$24:$F$29&lt;=$C26)*(Canals!$G$24:$G$29=_xlfn.IFS(KS26="Handysize",Main!NB26,KS26="Supramax",MU26,KS26="Panamax",MN26,KS26="NeoPanamax",MG26,KS26="Suezmax",LZ26,KS26="Capesize",LS26,KS26="VLOC",LL26)))))</f>
        <v>#N/A</v>
      </c>
      <c r="OL26" s="392" t="e">
        <f t="array" aca="1" ref="OL26" ca="1">INDEX(Canals!$K$24:$K$29,MATCH(2,1/((Canals!$F$24:$F$29&lt;=$C26)*(Canals!$G$24:$G$29=_xlfn.IFS(KS26="Handysize",Main!NB26,KS26="Supramax",MU26,KS26="Panamax",MN26,KS26="NeoPanamax",MG26,KS26="Suezmax",LZ26,KS26="Capesize",LS26,KS26="VLOC",LL26)))))</f>
        <v>#N/A</v>
      </c>
      <c r="OM26" s="392" t="e">
        <f t="array" aca="1" ref="OM26" ca="1">INDEX(Canals!$L$24:$L$29,MATCH(2,1/((Canals!$F$24:$F$29&lt;=$C26)*(Canals!$G$24:$G$29=_xlfn.IFS(KS26="Handysize",Main!NB26,KS26="Supramax",MU26,KS26="Panamax",MN26,KS26="NeoPanamax",MG26,KS26="Suezmax",LZ26,KS26="Capesize",LS26,KS26="VLOC",LL26)))))</f>
        <v>#N/A</v>
      </c>
      <c r="ON26" s="392" t="e">
        <f t="array" aca="1" ref="ON26" ca="1">INDEX(Canals!$M$24:$M$29,MATCH(2,1/((Canals!$F$24:$F$29&lt;=$C26)*(Canals!$G$24:$G$29=_xlfn.IFS(KS26="Handysize",Main!NB26,KS26="Supramax",MU26,KS26="Panamax",MN26,KS26="NeoPanamax",MG26,KS26="Suezmax",LZ26,KS26="Capesize",LS26,KS26="VLOC",LL26)))))</f>
        <v>#N/A</v>
      </c>
      <c r="OO26" s="392" t="e">
        <f t="array" aca="1" ref="OO26" ca="1">INDEX(Canals!$N$24:$N$29,MATCH(2,1/((Canals!$F$24:$F$29&lt;=$C26)*(Canals!$G$24:$G$29=_xlfn.IFS(KS26="Handysize",Main!NB26,KS26="Supramax",MU26,KS26="Panamax",MN26,KS26="NeoPanamax",MG26,KS26="Suezmax",LZ26,KS26="Capesize",LS26,KS26="VLOC",LL26)))))</f>
        <v>#N/A</v>
      </c>
      <c r="OP26" s="392" t="e">
        <f t="array" aca="1" ref="OP26" ca="1">INDEX(Canals!$O$24:$O$29,MATCH(2,1/((Canals!$F$24:$F$29&lt;=$C26)*(Canals!$G$24:$G$29=_xlfn.IFS(KS26="Handysize",Main!NB26,KS26="Supramax",MU26,KS26="Panamax",MN26,KS26="NeoPanamax",MG26,KS26="Suezmax",LZ26,KS26="Capesize",LS26,KS26="VLOC",LL26)))))</f>
        <v>#N/A</v>
      </c>
      <c r="OQ26" s="392" t="e">
        <f t="array" aca="1" ref="OQ26" ca="1">INDEX(Canals!$P$24:$P$29,MATCH(2,1/((Canals!$F$24:$F$29&lt;=$C26)*(Canals!$G$24:$G$29=_xlfn.IFS(KS26="Handysize",Main!NB26,KS26="Supramax",MU26,KS26="Panamax",MN26,KS26="NeoPanamax",MG26,KS26="Suezmax",LZ26,KS26="Capesize",LS26,KS26="VLOC",LL26)))))</f>
        <v>#N/A</v>
      </c>
      <c r="OR26" s="392" t="e">
        <f t="array" aca="1" ref="OR26" ca="1">INDEX(Canals!$Q$24:$Q$29,MATCH(2,1/((Canals!$F$24:$F$29&lt;=$C26)*(Canals!$G$24:$G$29=_xlfn.IFS(KS26="Handysize",Main!NB26,KS26="Supramax",MU26,KS26="Panamax",MN26,KS26="NeoPanamax",MG26,KS26="Suezmax",LZ26,KS26="Capesize",LS26,KS26="VLOC",LL26)))))</f>
        <v>#N/A</v>
      </c>
      <c r="OS26" s="392" t="e">
        <f t="array" aca="1" ref="OS26" ca="1">INDEX(Canals!$R$24:$R$29,MATCH(2,1/((Canals!$F$24:$F$29&lt;=$C26)*(Canals!$G$24:$G$29=_xlfn.IFS(KS26="Handysize",Main!NB26,KS26="Supramax",MU26,KS26="Panamax",MN26,KS26="NeoPanamax",MG26,KS26="Suezmax",LZ26,KS26="Capesize",LS26,KS26="VLOC",LL26)))))</f>
        <v>#N/A</v>
      </c>
      <c r="OT26" s="393" t="e">
        <f t="array" aca="1" ref="OT26" ca="1">INDEX(Canals!$S$24:$S$29,MATCH(2,1/((Canals!$F$24:$F$29&lt;=$C26)*(Canals!$G$24:$G$29=_xlfn.IFS(KS26="Handysize",Main!NB26,KS26="Supramax",MU26,KS26="Panamax",MN26,KS26="NeoPanamax",MG26,KS26="Suezmax",LZ26,KS26="Capesize",LS26,KS26="VLOC",LL26)))))</f>
        <v>#N/A</v>
      </c>
      <c r="OU26" s="393" t="e">
        <f t="array" aca="1" ref="OU26" ca="1">INDEX(Canals!$T$24:$T$29,MATCH(2,1/((Canals!$F$24:$F$29&lt;=$C26)*(Canals!$G$24:$G$29=_xlfn.IFS(KS26="Handysize",Main!NB26,KS26="Supramax",MU26,KS26="Panamax",MN26,KS26="NeoPanamax",MG26,KS26="Suezmax",LZ26,KS26="Capesize",LS26,KS26="VLOC",LL26)))))</f>
        <v>#N/A</v>
      </c>
      <c r="OV26" s="393" t="e">
        <f t="array" aca="1" ref="OV26" ca="1">INDEX(Canals!$U$24:$U$29,MATCH(2,1/((Canals!$F$24:$F$29&lt;=$C26)*(Canals!$G$24:$G$29=_xlfn.IFS(KS26="Handysize",Main!NB26,KS26="Supramax",MU26,KS26="Panamax",MN26,KS26="NeoPanamax",MG26,KS26="Suezmax",LZ26,KS26="Capesize",LS26,KS26="VLOC",LL26)))))</f>
        <v>#N/A</v>
      </c>
      <c r="OW26" s="393" t="e">
        <f t="array" aca="1" ref="OW26" ca="1">INDEX(Canals!$V$24:$V$29,MATCH(2,1/((Canals!$F$24:$F$29&lt;=$C26)*(Canals!$G$24:$G$29=_xlfn.IFS(KS26="Handysize",Main!NB26,KS26="Supramax",MU26,KS26="Panamax",MN26,KS26="NeoPanamax",MG26,KS26="Suezmax",LZ26,KS26="Capesize",LS26,KS26="VLOC",LL26)))))</f>
        <v>#N/A</v>
      </c>
      <c r="OX26" s="393" t="e">
        <f t="array" aca="1" ref="OX26" ca="1">INDEX(Canals!$W$24:$W$29,MATCH(2,1/((Canals!$F$24:$F$29&lt;=$C26)*(Canals!$G$24:$G$29=_xlfn.IFS(KS26="Handysize",Main!NB26,KS26="Supramax",MU26,KS26="Panamax",MN26,KS26="NeoPanamax",MG26,KS26="Suezmax",LZ26,KS26="Capesize",LS26,KS26="VLOC",LL26)))))</f>
        <v>#N/A</v>
      </c>
      <c r="OY26" s="393" t="e">
        <f t="array" aca="1" ref="OY26" ca="1">INDEX(Canals!$X$24:$X$29,MATCH(2,1/((Canals!$F$24:$F$29&lt;=$C26)*(Canals!$G$24:$G$29=_xlfn.IFS(KS26="Handysize",Main!NB26,KS26="Supramax",MU26,KS26="Panamax",MN26,KS26="NeoPanamax",MG26,KS26="Suezmax",LZ26,KS26="Capesize",LS26,KS26="VLOC",LL26)))))</f>
        <v>#N/A</v>
      </c>
      <c r="OZ26" s="393" t="e">
        <f t="array" aca="1" ref="OZ26" ca="1">INDEX(Canals!$Y$24:$Y$29,MATCH(2,1/((Canals!$F$24:$F$29&lt;=$C26)*(Canals!$G$24:$G$29=_xlfn.IFS(KS26="Handysize",Main!NB26,KS26="Supramax",MU26,KS26="Panamax",MN26,KS26="NeoPanamax",MG26,KS26="Suezmax",LZ26,KS26="Capesize",LS26,KS26="VLOC",LL26)))))</f>
        <v>#N/A</v>
      </c>
      <c r="PA26" s="393" t="e">
        <f t="array" aca="1" ref="PA26" ca="1">INDEX(Canals!$Z$24:$Z$29,MATCH(2,1/((Canals!$F$24:$F$29&lt;=$C26)*(Canals!$G$24:$G$29=_xlfn.IFS(KS26="Handysize",Main!NB26,KS26="Supramax",MU26,KS26="Panamax",MN26,KS26="NeoPanamax",MG26,KS26="Suezmax",LZ26,KS26="Capesize",LS26,KS26="VLOC",LL26)))))</f>
        <v>#N/A</v>
      </c>
      <c r="PB26" s="393" t="e">
        <f t="array" aca="1" ref="PB26" ca="1">INDEX(Canals!$AA$24:$AA$29,MATCH(2,1/((Canals!$F$24:$F$29&lt;=$C26)*(Canals!$G$24:$G$29=_xlfn.IFS(KS26="Handysize",Main!NB26,KS26="Supramax",MU26,KS26="Panamax",MN26,KS26="NeoPanamax",MG26,KS26="Suezmax",LZ26,KS26="Capesize",LS26,KS26="VLOC",LL26)))))</f>
        <v>#N/A</v>
      </c>
      <c r="PC26" s="393" t="e">
        <f t="array" aca="1" ref="PC26" ca="1">INDEX(Canals!$AB$24:$AB$29,MATCH(2,1/((Canals!$F$24:$F$29&lt;=$C26)*(Canals!$G$24:$G$29=_xlfn.IFS(KS26="Handysize",Main!NB26,KS26="Supramax",MU26,KS26="Panamax",MN26,KS26="NeoPanamax",MG26,KS26="Suezmax",LZ26,KS26="Capesize",LS26,KS26="VLOC",LL26)))))</f>
        <v>#N/A</v>
      </c>
      <c r="PD26" s="392" t="e">
        <f t="array" aca="1" ref="PD26" ca="1">INDEX(Canals!$AC$24:$AC$29,MATCH(2,1/((Canals!$F$24:$F$29&lt;=$C26)*(Canals!$G$24:$G$29=_xlfn.IFS(KS26="Handysize",Main!NB26,KS26="Supramax",MU26,KS26="Panamax",MN26,KS26="NeoPanamax",MG26,KS26="Suezmax",LZ26,KS26="Capesize",LS26,KS26="VLOC",LL26)))))</f>
        <v>#N/A</v>
      </c>
      <c r="PE26" s="392" t="e">
        <f t="array" aca="1" ref="PE26" ca="1">INDEX(Canals!$AD$24:$AD$29,MATCH(2,1/((Canals!$F$24:$F$29&lt;=$C26)*(Canals!$G$24:$G$29=_xlfn.IFS(KS26="Handysize",Main!NB26,KS26="Supramax",MU26,KS26="Panamax",MN26,KS26="NeoPanamax",MG26,KS26="Suezmax",LZ26,KS26="Capesize",LS26,KS26="VLOC",LL26)))))</f>
        <v>#N/A</v>
      </c>
      <c r="PF26" s="392" t="e">
        <f t="array" aca="1" ref="PF26" ca="1">INDEX(Canals!$AE$24:$AE$29,MATCH(2,1/((Canals!$F$24:$F$29&lt;=$C26)*(Canals!$G$24:$G$29=_xlfn.IFS(KS26="Handysize",Main!NB26,KS26="Supramax",MU26,KS26="Panamax",MN26,KS26="NeoPanamax",MG26,KS26="Suezmax",LZ26,KS26="Capesize",LS26,KS26="VLOC",LL26)))))</f>
        <v>#N/A</v>
      </c>
      <c r="PG26" s="392" t="e">
        <f t="array" aca="1" ref="PG26" ca="1">INDEX(Canals!$AF$24:$AF$29,MATCH(2,1/((Canals!$F$24:$F$29&lt;=$C26)*(Canals!$G$24:$G$29=_xlfn.IFS(KS26="Handysize",Main!NB26,KS26="Supramax",MU26,KS26="Panamax",MN26,KS26="NeoPanamax",MG26,KS26="Suezmax",LZ26,KS26="Capesize",LS26,KS26="VLOC",LL26)))))</f>
        <v>#N/A</v>
      </c>
      <c r="PH26" s="392" t="e">
        <f t="array" aca="1" ref="PH26" ca="1">INDEX(Canals!$AG$24:$AG$29,MATCH(2,1/((Canals!$F$24:$F$29&lt;=$C26)*(Canals!$G$24:$G$29=_xlfn.IFS(KS26="Handysize",Main!NB26,KS26="Supramax",MU26,KS26="Panamax",MN26,KS26="NeoPanamax",MG26,KS26="Suezmax",LZ26,KS26="Capesize",LS26,KS26="VLOC",LL26)))))</f>
        <v>#N/A</v>
      </c>
      <c r="PI26" s="392" t="e">
        <f t="array" aca="1" ref="PI26" ca="1">INDEX(Canals!$AH$24:$AH$29,MATCH(2,1/((Canals!$F$24:$F$29&lt;=$C26)*(Canals!$G$24:$G$29=_xlfn.IFS(KS26="Handysize",Main!NB26,KS26="Supramax",MU26,KS26="Panamax",MN26,KS26="NeoPanamax",MG26,KS26="Suezmax",LZ26,KS26="Capesize",LS26,KS26="VLOC",LL26)))))</f>
        <v>#N/A</v>
      </c>
      <c r="PJ26" s="392" t="e">
        <f t="array" aca="1" ref="PJ26" ca="1">INDEX(Canals!$AI$24:$AI$29,MATCH(2,1/((Canals!$F$24:$F$29&lt;=$C26)*(Canals!$G$24:$G$29=_xlfn.IFS(KS26="Handysize",Main!NB26,KS26="Supramax",MU26,KS26="Panamax",MN26,KS26="NeoPanamax",MG26,KS26="Suezmax",LZ26,KS26="Capesize",LS26,KS26="VLOC",LL26)))))</f>
        <v>#N/A</v>
      </c>
      <c r="PK26" s="392" t="e">
        <f t="array" aca="1" ref="PK26" ca="1">INDEX(Canals!$AJ$24:$AJ$29,MATCH(2,1/((Canals!$F$24:$F$29&lt;=$C26)*(Canals!$G$24:$G$29=_xlfn.IFS(KS26="Handysize",Main!NB26,KS26="Supramax",MU26,KS26="Panamax",MN26,KS26="NeoPanamax",MG26,KS26="Suezmax",LZ26,KS26="Capesize",LS26,KS26="VLOC",LL26)))))</f>
        <v>#N/A</v>
      </c>
      <c r="PL26" s="392" t="e">
        <f t="array" aca="1" ref="PL26" ca="1">INDEX(Canals!$AK$24:$AK$29,MATCH(2,1/((Canals!$F$24:$F$29&lt;=$C26)*(Canals!$G$24:$G$29=_xlfn.IFS(KS26="Handysize",Main!NB26,KS26="Supramax",MU26,KS26="Panamax",MN26,KS26="NeoPanamax",MG26,KS26="Suezmax",LZ26,KS26="Capesize",LS26,KS26="VLOC",LL26)))))</f>
        <v>#N/A</v>
      </c>
      <c r="PM26" s="393" t="e">
        <f t="array" aca="1" ref="PM26" ca="1">INDEX(Canals!$AL$24:$AL$29,MATCH(2,1/((Canals!$F$24:$F$29&lt;=$C26)*(Canals!$G$24:$G$29=_xlfn.IFS(KS26="Handysize",Main!NB26,KS26="Supramax",MU26,KS26="Panamax",MN26,KS26="NeoPanamax",MG26,KS26="Suezmax",LZ26,KS26="Capesize",LS26,KS26="VLOC",LL26)))))</f>
        <v>#N/A</v>
      </c>
      <c r="PN26" s="393" t="e">
        <f t="array" aca="1" ref="PN26" ca="1">INDEX(Canals!$AM$24:$AM$29,MATCH(2,1/((Canals!$F$24:$F$29&lt;=$C26)*(Canals!$G$24:$G$29=_xlfn.IFS(KS26="Handysize",Main!NB26,KS26="Supramax",MU26,KS26="Panamax",MN26,KS26="NeoPanamax",MG26,KS26="Suezmax",LZ26,KS26="Capesize",LS26,KS26="VLOC",LL26)))))</f>
        <v>#N/A</v>
      </c>
      <c r="PO26" s="393" t="e">
        <f t="array" aca="1" ref="PO26" ca="1">INDEX(Canals!$AN$24:$AN$29,MATCH(2,1/((Canals!$F$24:$F$29&lt;=$C26)*(Canals!$G$24:$G$29=_xlfn.IFS(KS26="Handysize",Main!NB26,KS26="Supramax",MU26,KS26="Panamax",MN26,KS26="NeoPanamax",MG26,KS26="Suezmax",LZ26,KS26="Capesize",LS26,KS26="VLOC",LL26)))))</f>
        <v>#N/A</v>
      </c>
      <c r="PP26" s="393" t="e">
        <f t="array" aca="1" ref="PP26" ca="1">INDEX(Canals!$AO$24:$AO$29,MATCH(2,1/((Canals!$F$24:$F$29&lt;=$C26)*(Canals!$G$24:$G$29=_xlfn.IFS(KS26="Handysize",Main!NB26,KS26="Supramax",MU26,KS26="Panamax",MN26,KS26="NeoPanamax",MG26,KS26="Suezmax",LZ26,KS26="Capesize",LS26,KS26="VLOC",LL26)))))</f>
        <v>#N/A</v>
      </c>
      <c r="PQ26" s="393" t="e">
        <f t="array" aca="1" ref="PQ26" ca="1">INDEX(Canals!$AP$24:$AP$29,MATCH(2,1/((Canals!$F$24:$F$29&lt;=$C26)*(Canals!$G$24:$G$29=_xlfn.IFS(KS26="Handysize",Main!NB26,KS26="Supramax",MU26,KS26="Panamax",MN26,KS26="NeoPanamax",MG26,KS26="Suezmax",LZ26,KS26="Capesize",LS26,KS26="VLOC",LL26)))))</f>
        <v>#N/A</v>
      </c>
      <c r="PR26" s="393" t="e">
        <f t="array" aca="1" ref="PR26" ca="1">INDEX(Canals!$AQ$24:$AQ$29,MATCH(2,1/((Canals!$F$24:$F$29&lt;=$C26)*(Canals!$G$24:$G$29=_xlfn.IFS(KS26="Handysize",Main!NB26,KS26="Supramax",MU26,KS26="Panamax",MN26,KS26="NeoPanamax",MG26,KS26="Suezmax",LZ26,KS26="Capesize",LS26,KS26="VLOC",LL26)))))</f>
        <v>#N/A</v>
      </c>
      <c r="PS26" s="393" t="e">
        <f t="array" aca="1" ref="PS26" ca="1">INDEX(Canals!$AR$24:$AR$29,MATCH(2,1/((Canals!$F$24:$F$29&lt;=$C26)*(Canals!$G$24:$G$29=_xlfn.IFS(KS26="Handysize",Main!NB26,KS26="Supramax",MU26,KS26="Panamax",MN26,KS26="NeoPanamax",MG26,KS26="Suezmax",LZ26,KS26="Capesize",LS26,KS26="VLOC",LL26)))))</f>
        <v>#N/A</v>
      </c>
      <c r="PT26" s="393" t="e">
        <f t="array" aca="1" ref="PT26" ca="1">INDEX(Canals!$AS$24:$AS$29,MATCH(2,1/((Canals!$F$24:$F$29&lt;=$C26)*(Canals!$G$24:$G$29=_xlfn.IFS(KS26="Handysize",Main!NB26,KS26="Supramax",MU26,KS26="Panamax",MN26,KS26="NeoPanamax",MG26,KS26="Suezmax",LZ26,KS26="Capesize",LS26,KS26="VLOC",LL26)))))</f>
        <v>#N/A</v>
      </c>
      <c r="PU26" s="393" t="e">
        <f t="array" aca="1" ref="PU26" ca="1">INDEX(Canals!$AT$24:$AT$29,MATCH(2,1/((Canals!$F$24:$F$29&lt;=$C26)*(Canals!$G$24:$G$29=_xlfn.IFS(KS26="Handysize",Main!NB26,KS26="Supramax",MU26,KS26="Panamax",MN26,KS26="NeoPanamax",MG26,KS26="Suezmax",LZ26,KS26="Capesize",LS26,KS26="VLOC",LL26)))))</f>
        <v>#N/A</v>
      </c>
      <c r="PV26" s="393" t="e">
        <f t="array" aca="1" ref="PV26" ca="1">INDEX(Canals!$AU$24:$AU$29,MATCH(2,1/((Canals!$F$24:$F$29&lt;=$C26)*(Canals!$G$24:$G$29=_xlfn.IFS(KS26="Handysize",Main!NB26,KS26="Supramax",MU26,KS26="Panamax",MN26,KS26="NeoPanamax",MG26,KS26="Suezmax",LZ26,KS26="Capesize",LS26,KS26="VLOC",LL26)))))</f>
        <v>#N/A</v>
      </c>
      <c r="PW26" s="393" t="e">
        <f t="array" aca="1" ref="PW26" ca="1">INDEX(Canals!$AV$24:$AV$29,MATCH(2,1/((Canals!$F$24:$F$29&lt;=$C26)*(Canals!$G$24:$G$29=_xlfn.IFS(KS26="Handysize",Main!NB26,KS26="Supramax",MU26,KS26="Panamax",MN26,KS26="NeoPanamax",MG26,KS26="Suezmax",LZ26,KS26="Capesize",LS26,KS26="VLOC",LL26)))))</f>
        <v>#N/A</v>
      </c>
      <c r="PY26" s="392" t="e">
        <f t="array" aca="1" ref="PY26" ca="1">_xlfn.IFS(OJ26="DWT",KQ26,OJ26="NRT",KU26,OJ26="GRT",KV26)</f>
        <v>#NAME?</v>
      </c>
      <c r="PZ26" s="394" t="e">
        <f ca="1">IF(PY26&gt;OK26,OK26,PY26)</f>
        <v>#NAME?</v>
      </c>
      <c r="QA26" s="395" t="e">
        <f ca="1">IF(PY26&gt;SUM(OK26:OL26),OL26,PY26-SUM(PZ26:PZ26))</f>
        <v>#NAME?</v>
      </c>
      <c r="QB26" s="395" t="e">
        <f ca="1">IF(PY26&gt;SUM(OK26:OM26),OM26,PY26-SUM(PZ26:QA26))</f>
        <v>#NAME?</v>
      </c>
      <c r="QC26" s="395" t="e">
        <f ca="1">IF(PY26&gt;SUM(OK26:ON26),ON26,PY26-SUM(PZ26:QB26))</f>
        <v>#NAME?</v>
      </c>
      <c r="QD26" s="395" t="e">
        <f ca="1">IF(PY26&gt;SUM(OK26:OO26),OO26,PY26-SUM(PZ26:QC26))</f>
        <v>#NAME?</v>
      </c>
      <c r="QE26" s="395" t="e">
        <f ca="1">IF(PY26&gt;SUM(OK26:OP26),OP26,PY26-SUM(PZ26:QD26))</f>
        <v>#NAME?</v>
      </c>
      <c r="QF26" s="395" t="e">
        <f ca="1">IF(PY26&gt;SUM(OK26:OQ26),OQ26,PY26-SUM(PZ26:QE26))</f>
        <v>#NAME?</v>
      </c>
      <c r="QG26" s="395" t="e">
        <f ca="1">IF(PY26&gt;SUM(OK26:OR26),OR26,PY26-SUM(PZ26:QF26))</f>
        <v>#NAME?</v>
      </c>
      <c r="QH26" s="395" t="e">
        <f ca="1">IF(PY26&gt;SUM(OK26:OS26),OS26,PY26-SUM(PZ26:QG26))</f>
        <v>#NAME?</v>
      </c>
      <c r="QI26" s="392">
        <f ca="1">KQ26*$JN26</f>
        <v>74100</v>
      </c>
      <c r="QJ26" s="394" t="e">
        <f ca="1">IF(QI26&gt;PD26,PD26,QI26)</f>
        <v>#N/A</v>
      </c>
      <c r="QK26" s="395" t="e">
        <f ca="1">IF(QI26&gt;SUM(PD26:PE26),PE26,QI26-SUM(QJ26:QJ26))</f>
        <v>#N/A</v>
      </c>
      <c r="QL26" s="395" t="e">
        <f ca="1">IF(QI26&gt;SUM(PD26:PF26),PF26,QI26-SUM(QJ26:QK26))</f>
        <v>#N/A</v>
      </c>
      <c r="QM26" s="395" t="e">
        <f ca="1">IF(QI26&gt;SUM(PD26:PG26),PG26,QI26-SUM(QJ26:QL26))</f>
        <v>#N/A</v>
      </c>
      <c r="QN26" s="395" t="e">
        <f ca="1">IF(QI26&gt;SUM(PD26:PH26),PH26,QI26-SUM(QJ26:QM26))</f>
        <v>#N/A</v>
      </c>
      <c r="QO26" s="395" t="e">
        <f ca="1">IF(QI26&gt;SUM(PD26:PI26),PI26,QI26-SUM(QJ26:QN26))</f>
        <v>#N/A</v>
      </c>
      <c r="QP26" s="395" t="e">
        <f ca="1">IF(QI26&gt;SUM(PD26:PJ26),PJ26,QI26-SUM(QJ26:QO26))</f>
        <v>#N/A</v>
      </c>
      <c r="QQ26" s="395" t="e">
        <f ca="1">IF(QI26&gt;SUM(PD26:PK26),PK26,QI26-SUM(QJ26:QP26))</f>
        <v>#N/A</v>
      </c>
      <c r="QR26" s="395" t="e">
        <f ca="1">IF(QI26&gt;SUM(PD26:PL26),PL26,QI26-SUM(QJ26:QQ26))</f>
        <v>#N/A</v>
      </c>
      <c r="QT26" s="392" t="e">
        <f t="array" aca="1" ref="QT26" ca="1">_xlfn.IFS(KS26="Handysize",Main!MV26,KS26="Supramax",MO26,KS26="Panamax",MH26,KS26="NeoPanamax",MA26,KS26="Suezmax",LT26,KS26="Capesize",LM26,KS26="VLOC",LF26)*$JI26</f>
        <v>#NAME?</v>
      </c>
      <c r="QU26" s="396" t="e">
        <f t="array" aca="1" ref="QU26" ca="1">_xlfn.IFS(KS26="Handysize",Main!MW26,KS26="Supramax",MP26,KS26="Panamax",MI26,KS26="NeoPanamax",MB26,KS26="Suezmax",LU26,KS26="Capesize",LN26,KS26="VLOC",LG26)*$JI26</f>
        <v>#NAME?</v>
      </c>
      <c r="QV26" s="397" t="e">
        <f t="array" aca="1" ref="QV26" ca="1">_xlfn.IFS(KS26="Handysize",Main!KX26,KS26="Supramax",KY26,KS26="Panamax",KZ26,KS26="NeoPanamax",LA26,KS26="Suezmax",LB26,KS26="Capesize",LC26,KS26="VLOC",LD26)</f>
        <v>#NAME?</v>
      </c>
      <c r="QW26" s="397" t="e">
        <f t="array" aca="1" ref="QW26" ca="1">_xlfn.IFS(KS26="Handysize",Main!NJ26,KS26="Supramax",NK26,KS26="Panamax",NL26,KS26="NeoPanamax",NM26,KS26="Suezmax",NN26,KS26="Capesize",NO26,KS26="VLOC",NP26)</f>
        <v>#NAME?</v>
      </c>
      <c r="QX26" s="398">
        <f t="array" aca="1" ref="QX26" ca="1">INDEX('Ship Speeds'!$G$11:$G$1011,MATCH(2,1/(('Ship Speeds'!$E$11:$E$1011&lt;=Main!$C26)*('Ship Speeds'!$F$11:$F$1011=Main!KR26))))</f>
        <v>11</v>
      </c>
      <c r="QY26" s="402">
        <f ca="1">(($KH26*QX26^2+$KI26*QX26^3+$KG26*QX26)*((KQ26/$KC26)^$KD26)*$KJ26+(KQ26/$KC26)*$KF26+$KE26)</f>
        <v>20.892884736032425</v>
      </c>
      <c r="QZ26" s="402">
        <f ca="1">(KQ26/$JY26)*$JZ26+$KA26+$KB26*(KQ26/$JY26)^2</f>
        <v>2.0116800000000001</v>
      </c>
      <c r="RA26" s="398" t="e">
        <f ca="1">QT26/QX26/$JH26</f>
        <v>#NAME?</v>
      </c>
      <c r="RB26" s="398" t="e">
        <f ca="1">QU26/QX26/$JH26</f>
        <v>#NAME?</v>
      </c>
      <c r="RC26" s="398" t="e">
        <f ca="1">IF($AO26="no",$AN26,$AR26)/(1-$AL26)/QV26</f>
        <v>#NAME?</v>
      </c>
      <c r="RD26" s="398" t="e">
        <f ca="1">IF($AO26="no",$AN26,$AR26)/(1-$AL26)/QW26</f>
        <v>#NAME?</v>
      </c>
      <c r="RE26" s="399" t="e">
        <f ca="1">PW26*$JI26</f>
        <v>#N/A</v>
      </c>
      <c r="RF26" s="398" t="e">
        <f ca="1">MAX(SUM(RA26:RE26)*$JV26,$JU26)</f>
        <v>#NAME?</v>
      </c>
      <c r="RG26" s="398" t="e">
        <f t="array" aca="1" ref="RG26" ca="1">INDEX(ND26:NH26,MATCH(_xlfn.IFS(KS26="Handysize",Main!MZ26,KS26="Supramax",MS26,KS26="Panamax",ML26,KS26="NeoPanamax",ME26,KS26="Suezmax",LX26,KS26="Capesize",LQ26,KS26="VLOC",LJ26),$ND$7:$NH$7,0))</f>
        <v>#NAME?</v>
      </c>
      <c r="RH26" s="398" t="e">
        <f t="array" aca="1" ref="RH26" ca="1">INDEX(ND26:NH26,MATCH(_xlfn.IFS(KS26="Handysize",Main!NA26,KS26="Supramax",MT26,KS26="Panamax",MM26,KS26="NeoPanamax",MF26,KS26="Suezmax",LY26,KS26="Capesize",LR26,KS26="VLOC",LK26),$ND$7:$NH$7,0))</f>
        <v>#NAME?</v>
      </c>
      <c r="RI26" s="397" t="e">
        <f ca="1">RA26*QY26*RG26</f>
        <v>#NAME?</v>
      </c>
      <c r="RJ26" s="397" t="e">
        <f ca="1">SUM(RC26:RF26)*QZ26*RH26+RB26*QY26*RH26</f>
        <v>#NAME?</v>
      </c>
      <c r="RK26" s="354">
        <f ca="1">INDEX($JA26:$JD26,MATCH(NQ26,$JA$7:$JD$7,0))</f>
        <v>7.0834199999999994</v>
      </c>
      <c r="RL26" s="397">
        <f ca="1">NR26/RK26</f>
        <v>1742.3786814843679</v>
      </c>
      <c r="RM26" s="397" t="e">
        <f ca="1">NS26*SUM(RD26,$JX26)/RK26</f>
        <v>#NAME?</v>
      </c>
      <c r="RN26" s="397" t="e">
        <f ca="1">NT26*(RF26*(1-$JW26))/RK26</f>
        <v>#NAME?</v>
      </c>
      <c r="RO26" s="397">
        <f ca="1">NU26*(KQ26*$JN26)/RK26</f>
        <v>27617.167978180034</v>
      </c>
      <c r="RP26" s="397" t="e">
        <f ca="1">NV26*(KQ26*$JN26)*SUM(RD26,$JX26)/RK26</f>
        <v>#NAME?</v>
      </c>
      <c r="RQ26" s="397" t="e">
        <f ca="1">NW26*(KQ26*$JN26)*(RF26*(1-$JW26))/RK26</f>
        <v>#NAME?</v>
      </c>
      <c r="RR26" s="397">
        <f ca="1">NX26*KU26/RK26</f>
        <v>19606.708623800369</v>
      </c>
      <c r="RS26" s="397" t="e">
        <f ca="1">NY26*KU26*SUM(RD26,$JX26)/RK26</f>
        <v>#NAME?</v>
      </c>
      <c r="RT26" s="397" t="e">
        <f ca="1">NZ26*KU26*(RF26*(1-$JW26))/RK26</f>
        <v>#NAME?</v>
      </c>
      <c r="RU26" s="397">
        <f ca="1">OA26*KV26/RK26</f>
        <v>0</v>
      </c>
      <c r="RV26" s="397" t="e">
        <f ca="1">OB26*KV26*SUM(RD26,$JX26)/RK26</f>
        <v>#NAME?</v>
      </c>
      <c r="RW26" s="397" t="e">
        <f ca="1">OC26*KV26*(RF26*(1-$JW26))/RK26</f>
        <v>#NAME?</v>
      </c>
      <c r="RX26" s="399">
        <f ca="1">OD26*KT26/RK26</f>
        <v>5902.6410970971656</v>
      </c>
      <c r="RY26" s="399" t="e">
        <f ca="1">OE26*KT26*SUM(RD26,$JX26)/RK26</f>
        <v>#NAME?</v>
      </c>
      <c r="RZ26" s="397" t="e">
        <f ca="1">OF26*KT26*(RF26*(1-$JW26))/RK26</f>
        <v>#NAME?</v>
      </c>
      <c r="SA26" s="397" t="e">
        <f t="array" aca="1" ref="SA26" ca="1">INDEX('Ship Time Charter Rates'!$H$22:$H$1021,MATCH(2,1/(('Ship Time Charter Rates'!$G$22:$G$1021=_xlfn.IFS(KS26="Handysize",Main!MX26,KS26="Supramax",MQ26,KS26="Panamax",MJ26,KS26="NeoPanamax",MC26,KS26="Suezmax",LV26,KS26="Capesize",LO26,KS26="VLOC",LH26))*('Ship Time Charter Rates'!$E$22:$E$1021&lt;=Main!$C26)*(NOT(ISBLANK('Ship Time Charter Rates'!$H$22:$H$1021))))))</f>
        <v>#N/A</v>
      </c>
      <c r="SB26" s="397" t="e">
        <f ca="1">SUM(RA26:RF26,$JI26*$JX26)*SA26</f>
        <v>#NAME?</v>
      </c>
      <c r="SC26" s="398" t="e">
        <f ca="1">SUMPRODUCT(OT26:PB26,PZ26:QH26)+SUMPRODUCT(PM26:PU26,QJ26:QR26)</f>
        <v>#N/A</v>
      </c>
      <c r="SD26" s="397" t="e">
        <f ca="1">SUM(RI26,RJ26)+SB26+SC26+SUM(RL26:RZ26)</f>
        <v>#NAME?</v>
      </c>
      <c r="SE26" s="397" t="e">
        <f ca="1">SD26*(1+$KL26)*(1+$KM26)</f>
        <v>#NAME?</v>
      </c>
      <c r="SF26" s="399" t="e">
        <f t="shared" ca="1" si="303"/>
        <v>#NAME?</v>
      </c>
      <c r="SH26" s="391">
        <f ca="1">IF($AO26="yes",$AN26,$AR26)/(1-$AL26)/$JN26</f>
        <v>0</v>
      </c>
      <c r="SI26" s="335" t="str">
        <f ca="1">VLOOKUP(SH26,'Ship Time Charter Rates'!$F$10:$G$17,2,TRUE)</f>
        <v>Handysize</v>
      </c>
      <c r="SJ26" s="335" t="str">
        <f ca="1">VLOOKUP(SH26,Canals!$E$5:$F$12,2,TRUE)</f>
        <v>Handysize</v>
      </c>
      <c r="SK26" s="391">
        <f ca="1">(SH26*$JO26 + $JP26)</f>
        <v>145.88999999999999</v>
      </c>
      <c r="SL26" s="391">
        <f ca="1">(SH26*$JQ26+$JR26)</f>
        <v>0</v>
      </c>
      <c r="SM26" s="391">
        <f ca="1">(SH26*$JS26+$JT26)</f>
        <v>4797</v>
      </c>
      <c r="SO26" s="392">
        <f t="array" aca="1" ref="SO26" ca="1">INDEX('Indices Mines Exporting Ports'!$R$20:$R$51,MATCH(2,1/(('Indices Mines Exporting Ports'!$D$20:$D$51&lt;=Main!$C26)*('Indices Mines Exporting Ports'!$Q$20:$Q$51=$AQ26))))</f>
        <v>0</v>
      </c>
      <c r="SP26" s="392">
        <f t="array" aca="1" ref="SP26" ca="1">INDEX('Indices Mines Exporting Ports'!$S$20:$S$51,MATCH(2,1/(('Indices Mines Exporting Ports'!$D$20:$D$51&lt;=Main!$C26)*('Indices Mines Exporting Ports'!$Q$20:$Q$51=$AQ26))))</f>
        <v>0</v>
      </c>
      <c r="SQ26" s="392">
        <f t="array" aca="1" ref="SQ26" ca="1">INDEX('Indices Mines Exporting Ports'!$T$20:$T$51,MATCH(2,1/(('Indices Mines Exporting Ports'!$D$20:$D$51&lt;=Main!$C26)*('Indices Mines Exporting Ports'!$Q$20:$Q$51=$AQ26))))</f>
        <v>0</v>
      </c>
      <c r="SR26" s="392">
        <f t="array" aca="1" ref="SR26" ca="1">INDEX('Indices Mines Exporting Ports'!$U$20:$U$51,MATCH(2,1/(('Indices Mines Exporting Ports'!$D$20:$D$51&lt;=Main!$C26)*('Indices Mines Exporting Ports'!$Q$20:$Q$51=$AQ26))))</f>
        <v>0</v>
      </c>
      <c r="SS26" s="392">
        <f t="array" aca="1" ref="SS26" ca="1">INDEX('Indices Mines Exporting Ports'!$V$20:$V$51,MATCH(2,1/(('Indices Mines Exporting Ports'!$D$20:$D$51&lt;=Main!$C26)*('Indices Mines Exporting Ports'!$Q$20:$Q$51=$AQ26))))</f>
        <v>0</v>
      </c>
      <c r="ST26" s="392">
        <f t="array" aca="1" ref="ST26" ca="1">INDEX('Indices Mines Exporting Ports'!$W$20:$W$51,MATCH(2,1/(('Indices Mines Exporting Ports'!$D$20:$D$51&lt;=Main!$C26)*('Indices Mines Exporting Ports'!$Q$20:$Q$51=$AQ26))))</f>
        <v>0</v>
      </c>
      <c r="SU26" s="392">
        <f t="array" aca="1" ref="SU26" ca="1">INDEX('Indices Mines Exporting Ports'!$X$20:$X$51,MATCH(2,1/(('Indices Mines Exporting Ports'!$D$20:$D$51&lt;=Main!$C26)*('Indices Mines Exporting Ports'!$Q$20:$Q$51=$AQ26))))</f>
        <v>0</v>
      </c>
      <c r="SW26" s="392">
        <f t="array" aca="1" ref="SW26" ca="1">INDEX('Port Linkages'!$E$18:$E$157,MATCH(2,1/(('Port Linkages'!$C$18:$C$157=$AQ26)*('Port Linkages'!$D$18:$D$157=IF($AO26="no",$AQ26,$AS26))*('Port Linkages'!$A$18:$A$157&lt;=$C26))))</f>
        <v>0</v>
      </c>
      <c r="SX26" s="392">
        <f t="array" aca="1" ref="SX26" ca="1">INDEX('Port Linkages'!$F$18:$F$157,MATCH(2,1/(('Port Linkages'!$C$18:$C$157=$AQ26)*('Port Linkages'!$D$18:$D$157=IF($AO26="no",$AQ26,$AS26))*('Port Linkages'!$A$18:$A$157&lt;=$C26))))</f>
        <v>0</v>
      </c>
      <c r="SY26" s="392">
        <f t="array" aca="1" ref="SY26" ca="1">INDEX('Port Linkages'!$G$18:$G$157,MATCH(2,1/(('Port Linkages'!$C$18:$C$157=$AQ26)*('Port Linkages'!$D$18:$D$157=IF($AO26="no",$AQ26,$AS26))*('Port Linkages'!$A$18:$A$157&lt;=$C26))))</f>
        <v>0</v>
      </c>
      <c r="SZ26" s="392">
        <f t="array" aca="1" ref="SZ26" ca="1">INDEX('Port Linkages'!$H$18:$H$157,MATCH(2,1/(('Port Linkages'!$C$18:$C$157=$AQ26)*('Port Linkages'!$D$18:$D$157=IF($AO26="no",$AQ26,$AS26))*('Port Linkages'!$A$18:$A$157&lt;=$C26))))</f>
        <v>0</v>
      </c>
      <c r="TA26" s="392">
        <f t="array" aca="1" ref="TA26" ca="1">INDEX('Port Linkages'!$I$18:$I$157,MATCH(2,1/(('Port Linkages'!$C$18:$C$157=$AQ26)*('Port Linkages'!$D$18:$D$157=IF($AO26="no",$AQ26,$AS26))*('Port Linkages'!$A$18:$A$157&lt;=$C26))))</f>
        <v>0</v>
      </c>
      <c r="TB26" s="392">
        <f t="array" aca="1" ref="TB26" ca="1">INDEX('Port Linkages'!$J$18:$J$157,MATCH(2,1/(('Port Linkages'!$C$18:$C$157=$AQ26)*('Port Linkages'!$D$18:$D$157=IF($AO26="no",$AQ26,$AS26))*('Port Linkages'!$A$18:$A$157&lt;=$C26))))</f>
        <v>0</v>
      </c>
      <c r="TC26" s="392">
        <f t="array" aca="1" ref="TC26" ca="1">INDEX('Port Linkages'!$K$18:$K$157,MATCH(2,1/(('Port Linkages'!$C$18:$C$157=$AQ26)*('Port Linkages'!$D$18:$D$157=IF($AO26="no",$AQ26,$AS26))*('Port Linkages'!$A$18:$A$157&lt;=$C26))))</f>
        <v>0</v>
      </c>
      <c r="TD26" s="392">
        <f t="array" aca="1" ref="TD26" ca="1">INDEX('Port Linkages'!$L$18:$L$157,MATCH(2,1/(('Port Linkages'!$C$18:$C$157=$AQ26)*('Port Linkages'!$D$18:$D$157=IF($AO26="no",$AQ26,$AS26))*('Port Linkages'!$A$18:$A$157&lt;=$C26))))</f>
        <v>0</v>
      </c>
      <c r="TE26" s="392">
        <f t="array" aca="1" ref="TE26" ca="1">INDEX('Port Linkages'!$M$18:$M$157,MATCH(2,1/(('Port Linkages'!$C$18:$C$157=$AQ26)*('Port Linkages'!$D$18:$D$157=IF($AO26="no",$AQ26,$AS26))*('Port Linkages'!$A$18:$A$157&lt;=$C26))))</f>
        <v>0</v>
      </c>
      <c r="TF26" s="392">
        <f t="array" aca="1" ref="TF26" ca="1">INDEX('Port Linkages'!$N$18:$N$157,MATCH(2,1/(('Port Linkages'!$C$18:$C$157=$AQ26)*('Port Linkages'!$D$18:$D$157=IF($AO26="no",$AQ26,$AS26))*('Port Linkages'!$A$18:$A$157&lt;=$C26))))</f>
        <v>0</v>
      </c>
      <c r="TG26" s="392">
        <f t="array" aca="1" ref="TG26" ca="1">INDEX('Port Linkages'!$O$18:$O$157,MATCH(2,1/(('Port Linkages'!$C$18:$C$157=$AQ26)*('Port Linkages'!$D$18:$D$157=IF($AO26="no",$AQ26,$AS26))*('Port Linkages'!$A$18:$A$157&lt;=$C26))))</f>
        <v>0</v>
      </c>
      <c r="TH26" s="392">
        <f t="array" aca="1" ref="TH26" ca="1">INDEX('Port Linkages'!$P$18:$P$157,MATCH(2,1/(('Port Linkages'!$C$18:$C$157=$AQ26)*('Port Linkages'!$D$18:$D$157=IF($AO26="no",$AQ26,$AS26))*('Port Linkages'!$A$18:$A$157&lt;=$C26))))</f>
        <v>0</v>
      </c>
      <c r="TI26" s="392">
        <f t="array" aca="1" ref="TI26" ca="1">INDEX('Port Linkages'!$Q$18:$Q$157,MATCH(2,1/(('Port Linkages'!$C$18:$C$157=$AQ26)*('Port Linkages'!$D$18:$D$157=IF($AO26="no",$AQ26,$AS26))*('Port Linkages'!$A$18:$A$157&lt;=$C26))))</f>
        <v>0</v>
      </c>
      <c r="TJ26" s="392">
        <f t="array" aca="1" ref="TJ26" ca="1">INDEX('Port Linkages'!$R$18:$R$157,MATCH(2,1/(('Port Linkages'!$C$18:$C$157=$AQ26)*('Port Linkages'!$D$18:$D$157=IF($AO26="no",$AQ26,$AS26))*('Port Linkages'!$A$18:$A$157&lt;=$C26))))</f>
        <v>0</v>
      </c>
      <c r="TK26" s="392">
        <f t="array" aca="1" ref="TK26" ca="1">INDEX('Port Linkages'!$S$18:$S$157,MATCH(2,1/(('Port Linkages'!$C$18:$C$157=$AQ26)*('Port Linkages'!$D$18:$D$157=IF($AO26="no",$AQ26,$AS26))*('Port Linkages'!$A$18:$A$157&lt;=$C26))))</f>
        <v>0</v>
      </c>
      <c r="TL26" s="392">
        <f t="array" aca="1" ref="TL26" ca="1">INDEX('Port Linkages'!$T$18:$T$157,MATCH(2,1/(('Port Linkages'!$C$18:$C$157=$AQ26)*('Port Linkages'!$D$18:$D$157=IF($AO26="no",$AQ26,$AS26))*('Port Linkages'!$A$18:$A$157&lt;=$C26))))</f>
        <v>0</v>
      </c>
      <c r="TM26" s="392">
        <f t="array" aca="1" ref="TM26" ca="1">INDEX('Port Linkages'!$U$18:$U$157,MATCH(2,1/(('Port Linkages'!$C$18:$C$157=$AQ26)*('Port Linkages'!$D$18:$D$157=IF($AO26="no",$AQ26,$AS26))*('Port Linkages'!$A$18:$A$157&lt;=$C26))))</f>
        <v>0</v>
      </c>
      <c r="TN26" s="392">
        <f t="array" aca="1" ref="TN26" ca="1">INDEX('Port Linkages'!$V$18:$V$157,MATCH(2,1/(('Port Linkages'!$C$18:$C$157=$AQ26)*('Port Linkages'!$D$18:$D$157=IF($AO26="no",$AQ26,$AS26))*('Port Linkages'!$A$18:$A$157&lt;=$C26))))</f>
        <v>0</v>
      </c>
      <c r="TO26" s="392">
        <f t="array" aca="1" ref="TO26" ca="1">INDEX('Port Linkages'!$W$18:$W$157,MATCH(2,1/(('Port Linkages'!$C$18:$C$157=$AQ26)*('Port Linkages'!$D$18:$D$157=IF($AO26="no",$AQ26,$AS26))*('Port Linkages'!$A$18:$A$157&lt;=$C26))))</f>
        <v>0</v>
      </c>
      <c r="TP26" s="392">
        <f t="array" aca="1" ref="TP26" ca="1">INDEX('Port Linkages'!$X$18:$X$157,MATCH(2,1/(('Port Linkages'!$C$18:$C$157=$AQ26)*('Port Linkages'!$D$18:$D$157=IF($AO26="no",$AQ26,$AS26))*('Port Linkages'!$A$18:$A$157&lt;=$C26))))</f>
        <v>0</v>
      </c>
      <c r="TQ26" s="392">
        <f t="array" aca="1" ref="TQ26" ca="1">INDEX('Port Linkages'!$Y$18:$Y$157,MATCH(2,1/(('Port Linkages'!$C$18:$C$157=$AQ26)*('Port Linkages'!$D$18:$D$157=IF($AO26="no",$AQ26,$AS26))*('Port Linkages'!$A$18:$A$157&lt;=$C26))))</f>
        <v>0</v>
      </c>
      <c r="TR26" s="392">
        <f t="array" aca="1" ref="TR26" ca="1">INDEX('Port Linkages'!$Z$18:$Z$157,MATCH(2,1/(('Port Linkages'!$C$18:$C$157=$AQ26)*('Port Linkages'!$D$18:$D$157=IF($AO26="no",$AQ26,$AS26))*('Port Linkages'!$A$18:$A$157&lt;=$C26))))</f>
        <v>0</v>
      </c>
      <c r="TS26" s="392">
        <f t="array" aca="1" ref="TS26" ca="1">INDEX('Port Linkages'!$AA$18:$AA$157,MATCH(2,1/(('Port Linkages'!$C$18:$C$157=$AQ26)*('Port Linkages'!$D$18:$D$157=IF($AO26="no",$AQ26,$AS26))*('Port Linkages'!$A$18:$A$157&lt;=$C26))))</f>
        <v>0</v>
      </c>
      <c r="TT26" s="392">
        <f t="array" aca="1" ref="TT26" ca="1">INDEX('Port Linkages'!$AB$18:$AB$157,MATCH(2,1/(('Port Linkages'!$C$18:$C$157=$AQ26)*('Port Linkages'!$D$18:$D$157=IF($AO26="no",$AQ26,$AS26))*('Port Linkages'!$A$18:$A$157&lt;=$C26))))</f>
        <v>0</v>
      </c>
      <c r="TU26" s="392">
        <f t="array" aca="1" ref="TU26" ca="1">INDEX('Port Linkages'!$AC$18:$AC$157,MATCH(2,1/(('Port Linkages'!$C$18:$C$157=$AQ26)*('Port Linkages'!$D$18:$D$157=IF($AO26="no",$AQ26,$AS26))*('Port Linkages'!$A$18:$A$157&lt;=$C26))))</f>
        <v>0</v>
      </c>
      <c r="TV26" s="392">
        <f t="array" aca="1" ref="TV26" ca="1">INDEX('Port Linkages'!$AD$18:$AD$157,MATCH(2,1/(('Port Linkages'!$C$18:$C$157=$AQ26)*('Port Linkages'!$D$18:$D$157=IF($AO26="no",$AQ26,$AS26))*('Port Linkages'!$A$18:$A$157&lt;=$C26))))</f>
        <v>0</v>
      </c>
      <c r="TW26" s="392">
        <f t="array" aca="1" ref="TW26" ca="1">INDEX('Port Linkages'!$AE$18:$AE$157,MATCH(2,1/(('Port Linkages'!$C$18:$C$157=$AQ26)*('Port Linkages'!$D$18:$D$157=IF($AO26="no",$AQ26,$AS26))*('Port Linkages'!$A$18:$A$157&lt;=$C26))))</f>
        <v>0</v>
      </c>
      <c r="TX26" s="392">
        <f t="array" aca="1" ref="TX26" ca="1">INDEX('Port Linkages'!$AF$18:$AF$157,MATCH(2,1/(('Port Linkages'!$C$18:$C$157=$AQ26)*('Port Linkages'!$D$18:$D$157=IF($AO26="no",$AQ26,$AS26))*('Port Linkages'!$A$18:$A$157&lt;=$C26))))</f>
        <v>0</v>
      </c>
      <c r="TY26" s="392">
        <f t="array" aca="1" ref="TY26" ca="1">INDEX('Port Linkages'!$AG$18:$AG$157,MATCH(2,1/(('Port Linkages'!$C$18:$C$157=$AQ26)*('Port Linkages'!$D$18:$D$157=IF($AO26="no",$AQ26,$AS26))*('Port Linkages'!$A$18:$A$157&lt;=$C26))))</f>
        <v>0</v>
      </c>
      <c r="TZ26" s="392">
        <f t="array" aca="1" ref="TZ26" ca="1">INDEX('Port Linkages'!$AH$18:$AH$157,MATCH(2,1/(('Port Linkages'!$C$18:$C$157=$AQ26)*('Port Linkages'!$D$18:$D$157=IF($AO26="no",$AQ26,$AS26))*('Port Linkages'!$A$18:$A$157&lt;=$C26))))</f>
        <v>0</v>
      </c>
      <c r="UA26" s="392">
        <f t="array" aca="1" ref="UA26" ca="1">INDEX('Port Linkages'!$AI$18:$AI$157,MATCH(2,1/(('Port Linkages'!$C$18:$C$157=$AQ26)*('Port Linkages'!$D$18:$D$157=IF($AO26="no",$AQ26,$AS26))*('Port Linkages'!$A$18:$A$157&lt;=$C26))))</f>
        <v>0</v>
      </c>
      <c r="UB26" s="392">
        <f t="array" aca="1" ref="UB26" ca="1">INDEX('Port Linkages'!$AJ$18:$AJ$157,MATCH(2,1/(('Port Linkages'!$C$18:$C$157=$AQ26)*('Port Linkages'!$D$18:$D$157=IF($AO26="no",$AQ26,$AS26))*('Port Linkages'!$A$18:$A$157&lt;=$C26))))</f>
        <v>0</v>
      </c>
      <c r="UC26" s="392">
        <f t="array" aca="1" ref="UC26" ca="1">INDEX('Port Linkages'!$AK$18:$AK$157,MATCH(2,1/(('Port Linkages'!$C$18:$C$157=$AQ26)*('Port Linkages'!$D$18:$D$157=IF($AO26="no",$AQ26,$AS26))*('Port Linkages'!$A$18:$A$157&lt;=$C26))))</f>
        <v>0</v>
      </c>
      <c r="UD26" s="392">
        <f t="array" aca="1" ref="UD26" ca="1">INDEX('Port Linkages'!$AL$18:$AL$157,MATCH(2,1/(('Port Linkages'!$C$18:$C$157=$AQ26)*('Port Linkages'!$D$18:$D$157=IF($AO26="no",$AQ26,$AS26))*('Port Linkages'!$A$18:$A$157&lt;=$C26))))</f>
        <v>0</v>
      </c>
      <c r="UE26" s="392">
        <f t="array" aca="1" ref="UE26" ca="1">INDEX('Port Linkages'!$AM$18:$AM$157,MATCH(2,1/(('Port Linkages'!$C$18:$C$157=$AQ26)*('Port Linkages'!$D$18:$D$157=IF($AO26="no",$AQ26,$AS26))*('Port Linkages'!$A$18:$A$157&lt;=$C26))))</f>
        <v>0</v>
      </c>
      <c r="UF26" s="392">
        <f t="array" aca="1" ref="UF26" ca="1">INDEX('Port Linkages'!$AN$18:$AN$157,MATCH(2,1/(('Port Linkages'!$C$18:$C$157=$AQ26)*('Port Linkages'!$D$18:$D$157=IF($AO26="no",$AQ26,$AS26))*('Port Linkages'!$A$18:$A$157&lt;=$C26))))</f>
        <v>0</v>
      </c>
      <c r="UG26" s="392">
        <f t="array" aca="1" ref="UG26" ca="1">INDEX('Port Linkages'!$AO$18:$AO$157,MATCH(2,1/(('Port Linkages'!$C$18:$C$157=$AQ26)*('Port Linkages'!$D$18:$D$157=IF($AO26="no",$AQ26,$AS26))*('Port Linkages'!$A$18:$A$157&lt;=$C26))))</f>
        <v>0</v>
      </c>
      <c r="UH26" s="392">
        <f t="array" aca="1" ref="UH26" ca="1">INDEX('Port Linkages'!$AP$18:$AP$157,MATCH(2,1/(('Port Linkages'!$C$18:$C$157=$AQ26)*('Port Linkages'!$D$18:$D$157=IF($AO26="no",$AQ26,$AS26))*('Port Linkages'!$A$18:$A$157&lt;=$C26))))</f>
        <v>0</v>
      </c>
      <c r="UI26" s="392">
        <f t="array" aca="1" ref="UI26" ca="1">INDEX('Port Linkages'!$AQ$18:$AQ$157,MATCH(2,1/(('Port Linkages'!$C$18:$C$157=$AQ26)*('Port Linkages'!$D$18:$D$157=IF($AO26="no",$AQ26,$AS26))*('Port Linkages'!$A$18:$A$157&lt;=$C26))))</f>
        <v>0</v>
      </c>
      <c r="UJ26" s="392">
        <f t="array" aca="1" ref="UJ26" ca="1">INDEX('Port Linkages'!$AR$18:$AR$157,MATCH(2,1/(('Port Linkages'!$C$18:$C$157=$AQ26)*('Port Linkages'!$D$18:$D$157=IF($AO26="no",$AQ26,$AS26))*('Port Linkages'!$A$18:$A$157&lt;=$C26))))</f>
        <v>0</v>
      </c>
      <c r="UK26" s="392">
        <f t="array" aca="1" ref="UK26" ca="1">INDEX('Port Linkages'!$AS$18:$AS$157,MATCH(2,1/(('Port Linkages'!$C$18:$C$157=$AQ26)*('Port Linkages'!$D$18:$D$157=IF($AO26="no",$AQ26,$AS26))*('Port Linkages'!$A$18:$A$157&lt;=$C26))))</f>
        <v>0</v>
      </c>
      <c r="UL26" s="392">
        <f t="array" aca="1" ref="UL26" ca="1">INDEX('Port Linkages'!$AT$18:$AT$157,MATCH(2,1/(('Port Linkages'!$C$18:$C$157=$AQ26)*('Port Linkages'!$D$18:$D$157=IF($AO26="no",$AQ26,$AS26))*('Port Linkages'!$A$18:$A$157&lt;=$C26))))</f>
        <v>0</v>
      </c>
      <c r="UM26" s="392">
        <f t="array" aca="1" ref="UM26" ca="1">INDEX('Port Linkages'!$AU$18:$AU$157,MATCH(2,1/(('Port Linkages'!$C$18:$C$157=$AQ26)*('Port Linkages'!$D$18:$D$157=IF($AO26="no",$AQ26,$AS26))*('Port Linkages'!$A$18:$A$157&lt;=$C26))))</f>
        <v>0</v>
      </c>
      <c r="UN26" s="392">
        <f t="array" aca="1" ref="UN26" ca="1">INDEX('Port Linkages'!$AV$18:$AV$157,MATCH(2,1/(('Port Linkages'!$C$18:$C$157=$AQ26)*('Port Linkages'!$D$18:$D$157=IF($AO26="no",$AQ26,$AS26))*('Port Linkages'!$A$18:$A$157&lt;=$C26))))</f>
        <v>0</v>
      </c>
      <c r="UO26" s="392">
        <f t="array" aca="1" ref="UO26" ca="1">INDEX('Port Linkages'!$AW$18:$AW$157,MATCH(2,1/(('Port Linkages'!$C$18:$C$157=$AQ26)*('Port Linkages'!$D$18:$D$157=IF($AO26="no",$AQ26,$AS26))*('Port Linkages'!$A$18:$A$157&lt;=$C26))))</f>
        <v>0</v>
      </c>
      <c r="UP26" s="392">
        <f t="array" aca="1" ref="UP26" ca="1">INDEX('Port Linkages'!$AX$18:$AX$157,MATCH(2,1/(('Port Linkages'!$C$18:$C$157=$AQ26)*('Port Linkages'!$D$18:$D$157=IF($AO26="no",$AQ26,$AS26))*('Port Linkages'!$A$18:$A$157&lt;=$C26))))</f>
        <v>0</v>
      </c>
      <c r="UQ26" s="392">
        <f t="array" aca="1" ref="UQ26" ca="1">INDEX('Port Linkages'!$AY$18:$AY$157,MATCH(2,1/(('Port Linkages'!$C$18:$C$157=$AQ26)*('Port Linkages'!$D$18:$D$157=IF($AO26="no",$AQ26,$AS26))*('Port Linkages'!$A$18:$A$157&lt;=$C26))))</f>
        <v>0</v>
      </c>
      <c r="UR26" s="392">
        <f t="array" aca="1" ref="UR26" ca="1">INDEX('Port Linkages'!$AZ$18:$AZ$157,MATCH(2,1/(('Port Linkages'!$C$18:$C$157=$AQ26)*('Port Linkages'!$D$18:$D$157=IF($AO26="no",$AQ26,$AS26))*('Port Linkages'!$A$18:$A$157&lt;=$C26))))</f>
        <v>0</v>
      </c>
      <c r="US26" s="392">
        <f t="array" aca="1" ref="US26" ca="1">INDEX('Port Linkages'!$BA$18:$BA$157,MATCH(2,1/(('Port Linkages'!$C$18:$C$157=$AQ26)*('Port Linkages'!$D$18:$D$157=IF($AO26="no",$AQ26,$AS26))*('Port Linkages'!$A$18:$A$157&lt;=$C26))))</f>
        <v>0</v>
      </c>
      <c r="UU26" s="391" t="e">
        <f t="array" aca="1" ref="UU26" ca="1">INDEX('Ship Fuel Prices'!$F$5:$F$1004,MATCH(2,1/(('Ship Fuel Prices'!$E$5:$E$1004=_xlfn.IFS(SJ26="Handysize",Main!UP26,SJ26="Supramax",UI26,SJ26="Panamax",UB26,SJ26="NeoPanamax",TU26,SJ26="Suezmax",TN26,SJ26="Capesize",TG26,SJ26="VLOC",SZ26))*('Ship Fuel Prices'!$D$5:$D$1004&lt;=Main!$C26))))</f>
        <v>#N/A</v>
      </c>
      <c r="UV26" s="391" t="e">
        <f t="array" aca="1" ref="UV26" ca="1">INDEX('Ship Fuel Prices'!$G$5:$G$1004,MATCH(2,1/(('Ship Fuel Prices'!$E$5:$E$1004=_xlfn.IFS(SJ26="Handysize",Main!UP26,SJ26="Supramax",UI26,SJ26="Panamax",UB26,SJ26="NeoPanamax",TU26,SJ26="Suezmax",TN26,SJ26="Capesize",TG26,SJ26="VLOC",SZ26))*('Ship Fuel Prices'!$D$5:$D$1004&lt;=Main!$C26))))</f>
        <v>#N/A</v>
      </c>
      <c r="UW26" s="391" t="e">
        <f t="array" aca="1" ref="UW26" ca="1">INDEX('Ship Fuel Prices'!$H$5:$H$1004,MATCH(2,1/(('Ship Fuel Prices'!$E$5:$E$1004=_xlfn.IFS(SJ26="Handysize",Main!UP26,SJ26="Supramax",UI26,SJ26="Panamax",UB26,SJ26="NeoPanamax",TU26,SJ26="Suezmax",TN26,SJ26="Capesize",TG26,SJ26="VLOC",SZ26))*('Ship Fuel Prices'!$D$5:$D$1004&lt;=Main!$C26))))</f>
        <v>#N/A</v>
      </c>
      <c r="UX26" s="391" t="e">
        <f t="array" aca="1" ref="UX26" ca="1">INDEX('Ship Fuel Prices'!$I$5:$I$1004,MATCH(2,1/(('Ship Fuel Prices'!$E$5:$E$1004=_xlfn.IFS(SJ26="Handysize",Main!UP26,SJ26="Supramax",UI26,SJ26="Panamax",UB26,SJ26="NeoPanamax",TU26,SJ26="Suezmax",TN26,SJ26="Capesize",TG26,SJ26="VLOC",SZ26))*('Ship Fuel Prices'!$D$5:$D$1004&lt;=Main!$C26))))</f>
        <v>#N/A</v>
      </c>
      <c r="UY26" s="391" t="e">
        <f t="array" aca="1" ref="UY26" ca="1">INDEX('Ship Fuel Prices'!$J$5:$J$1004,MATCH(2,1/(('Ship Fuel Prices'!$E$5:$E$1004=_xlfn.IFS(SJ26="Handysize",Main!UP26,SJ26="Supramax",UI26,SJ26="Panamax",UB26,SJ26="NeoPanamax",TU26,SJ26="Suezmax",TN26,SJ26="Capesize",TG26,SJ26="VLOC",SZ26))*('Ship Fuel Prices'!$D$5:$D$1004&lt;=Main!$C26))))</f>
        <v>#N/A</v>
      </c>
      <c r="VA26" s="392">
        <f t="array" aca="1" ref="VA26" ca="1">INDEX('China n Importing Ports'!$E$20:$E$41,MATCH(2,1/(('China n Importing Ports'!$D$20:$D$41&lt;=$C26)*('China n Importing Ports'!$C$20:$C$41=IF($AO26="No",$AQ26,$AS26)))))</f>
        <v>0</v>
      </c>
      <c r="VB26" s="392">
        <f t="array" aca="1" ref="VB26" ca="1">INDEX('China n Importing Ports'!$F$20:$F$41,MATCH(2,1/(('China n Importing Ports'!$D$20:$D$41&lt;=$C26)*('China n Importing Ports'!$C$20:$C$41=IF($AO26="No",$AQ26,$AS26)))))</f>
        <v>0</v>
      </c>
      <c r="VC26" s="392">
        <f t="array" aca="1" ref="VC26" ca="1">INDEX('China n Importing Ports'!$G$20:$G$41,MATCH(2,1/(('China n Importing Ports'!$D$20:$D$41&lt;=$C26)*('China n Importing Ports'!$C$20:$C$41=IF($AO26="No",$AQ26,$AS26)))))</f>
        <v>0</v>
      </c>
      <c r="VD26" s="392">
        <f t="array" aca="1" ref="VD26" ca="1">INDEX('China n Importing Ports'!$H$20:$H$41,MATCH(2,1/(('China n Importing Ports'!$D$20:$D$41&lt;=$C26)*('China n Importing Ports'!$C$20:$C$41=IF($AO26="No",$AQ26,$AS26)))))</f>
        <v>0</v>
      </c>
      <c r="VE26" s="392">
        <f t="array" aca="1" ref="VE26" ca="1">INDEX('China n Importing Ports'!$I$20:$I$41,MATCH(2,1/(('China n Importing Ports'!$D$20:$D$41&lt;=$C26)*('China n Importing Ports'!$C$20:$C$41=IF($AO26="No",$AQ26,$AS26)))))</f>
        <v>0</v>
      </c>
      <c r="VF26" s="392">
        <f t="array" aca="1" ref="VF26" ca="1">INDEX('China n Importing Ports'!$J$20:$J$41,MATCH(2,1/(('China n Importing Ports'!$D$20:$D$41&lt;=$C26)*('China n Importing Ports'!$C$20:$C$41=IF($AO26="No",$AQ26,$AS26)))))</f>
        <v>0</v>
      </c>
      <c r="VG26" s="392">
        <f t="array" aca="1" ref="VG26" ca="1">INDEX('China n Importing Ports'!$K$20:$K$41,MATCH(2,1/(('China n Importing Ports'!$D$20:$D$41&lt;=$C26)*('China n Importing Ports'!$C$20:$C$41=IF($AO26="No",$AQ26,$AS26)))))</f>
        <v>0</v>
      </c>
      <c r="VH26" s="392">
        <f t="array" aca="1" ref="VH26" ca="1">INDEX('China n Importing Ports'!$L$20:$L$41,MATCH(2,1/(('China n Importing Ports'!$D$20:$D$41&lt;=$C26)*('China n Importing Ports'!$C$20:$C$41=IF($AO26="No",$AQ26,$AS26)))))</f>
        <v>0</v>
      </c>
      <c r="VI26" s="392">
        <f t="array" aca="1" ref="VI26" ca="1">INDEX('China n Importing Ports'!$M$20:$M$41,MATCH(2,1/(('China n Importing Ports'!$D$20:$D$41&lt;=$C26)*('China n Importing Ports'!$C$20:$C$41=IF($AO26="No",$AQ26,$AS26)))))</f>
        <v>0</v>
      </c>
      <c r="VJ26" s="392">
        <f t="array" aca="1" ref="VJ26" ca="1">INDEX('China n Importing Ports'!$N$20:$N$41,MATCH(2,1/(('China n Importing Ports'!$D$20:$D$41&lt;=$C26)*('China n Importing Ports'!$C$20:$C$41=IF($AO26="No",$AQ26,$AS26)))))</f>
        <v>0</v>
      </c>
      <c r="VK26" s="392">
        <f t="array" aca="1" ref="VK26" ca="1">INDEX('China n Importing Ports'!$O$20:$O$41,MATCH(2,1/(('China n Importing Ports'!$D$20:$D$41&lt;=$C26)*('China n Importing Ports'!$C$20:$C$41=IF($AO26="No",$AQ26,$AS26)))))</f>
        <v>0</v>
      </c>
      <c r="VL26" s="393">
        <f t="array" aca="1" ref="VL26" ca="1">INDEX('China n Importing Ports'!$P$20:$P$41,MATCH(2,1/(('China n Importing Ports'!$D$20:$D$41&lt;=$C26)*('China n Importing Ports'!$C$20:$C$41=IF($AO26="No",$AQ26,$AS26)))))</f>
        <v>0</v>
      </c>
      <c r="VM26" s="393">
        <f t="array" aca="1" ref="VM26" ca="1">INDEX('China n Importing Ports'!$Q$20:$Q$41,MATCH(2,1/(('China n Importing Ports'!$D$20:$D$41&lt;=$C26)*('China n Importing Ports'!$C$20:$C$41=IF($AO26="No",$AQ26,$AS26)))))</f>
        <v>0</v>
      </c>
      <c r="VN26" s="393">
        <f t="array" aca="1" ref="VN26" ca="1">INDEX('China n Importing Ports'!$R$20:$R$41,MATCH(2,1/(('China n Importing Ports'!$D$20:$D$41&lt;=$C26)*('China n Importing Ports'!$C$20:$C$41=IF($AO26="No",$AQ26,$AS26)))))</f>
        <v>0</v>
      </c>
      <c r="VO26" s="393">
        <f t="array" aca="1" ref="VO26" ca="1">INDEX('China n Importing Ports'!$S$20:$S$41,MATCH(2,1/(('China n Importing Ports'!$D$20:$D$41&lt;=$C26)*('China n Importing Ports'!$C$20:$C$41=IF($AO26="No",$AQ26,$AS26)))))</f>
        <v>0</v>
      </c>
      <c r="VP26" s="393">
        <f t="array" aca="1" ref="VP26" ca="1">INDEX('China n Importing Ports'!$T$20:$T$41,MATCH(2,1/(('China n Importing Ports'!$D$20:$D$41&lt;=$C26)*('China n Importing Ports'!$C$20:$C$41=IF($AO26="No",$AQ26,$AS26)))))</f>
        <v>0</v>
      </c>
      <c r="VQ26" s="393">
        <f t="array" aca="1" ref="VQ26" ca="1">INDEX('China n Importing Ports'!$U$20:$U$41,MATCH(2,1/(('China n Importing Ports'!$D$20:$D$41&lt;=$C26)*('China n Importing Ports'!$C$20:$C$41=IF($AO26="No",$AQ26,$AS26)))))</f>
        <v>0</v>
      </c>
      <c r="VR26" s="393">
        <f t="array" aca="1" ref="VR26" ca="1">INDEX('China n Importing Ports'!$V$20:$V$41,MATCH(2,1/(('China n Importing Ports'!$D$20:$D$41&lt;=$C26)*('China n Importing Ports'!$C$20:$C$41=IF($AO26="No",$AQ26,$AS26)))))</f>
        <v>0</v>
      </c>
      <c r="VS26" s="393">
        <f t="array" aca="1" ref="VS26" ca="1">INDEX('China n Importing Ports'!$W$20:$W$41,MATCH(2,1/(('China n Importing Ports'!$D$20:$D$41&lt;=$C26)*('China n Importing Ports'!$C$20:$C$41=IF($AO26="No",$AQ26,$AS26)))))</f>
        <v>0</v>
      </c>
      <c r="VT26" s="393">
        <f t="array" aca="1" ref="VT26" ca="1">INDEX('China n Importing Ports'!$X$20:$X$41,MATCH(2,1/(('China n Importing Ports'!$D$20:$D$41&lt;=$C26)*('China n Importing Ports'!$C$20:$C$41=IF($AO26="No",$AQ26,$AS26)))))</f>
        <v>0</v>
      </c>
      <c r="VU26" s="393">
        <f t="array" aca="1" ref="VU26" ca="1">INDEX('China n Importing Ports'!$Y$20:$Y$41,MATCH(2,1/(('China n Importing Ports'!$D$20:$D$41&lt;=$C26)*('China n Importing Ports'!$C$20:$C$41=IF($AO26="No",$AQ26,$AS26)))))</f>
        <v>0</v>
      </c>
      <c r="VV26" s="393">
        <f t="array" aca="1" ref="VV26" ca="1">INDEX('China n Importing Ports'!$Z$20:$Z$41,MATCH(2,1/(('China n Importing Ports'!$D$20:$D$41&lt;=$C26)*('China n Importing Ports'!$C$20:$C$41=IF($AO26="No",$AQ26,$AS26)))))</f>
        <v>0</v>
      </c>
      <c r="VW26" s="393">
        <f t="array" aca="1" ref="VW26" ca="1">INDEX('China n Importing Ports'!$AA$20:$AA$41,MATCH(2,1/(('China n Importing Ports'!$D$20:$D$41&lt;=$C26)*('China n Importing Ports'!$C$20:$C$41=IF($AO26="No",$AQ26,$AS26)))))</f>
        <v>0</v>
      </c>
      <c r="VY26" s="392" t="e">
        <f t="array" aca="1" ref="VY26" ca="1">INDEX(Canals!$G$24:$G$29,MATCH(2,1/((Canals!$F$24:$F$29&lt;=$C26)*(Canals!$G$24:$G$29=_xlfn.IFS(SJ26="Handysize",US26,SJ26="Supramax",UL26,SJ26="Panamax",UE26,SJ26="NeoPanamax",TX26,SJ26="Suezmax",TQ26,SJ26="Capesize",TJ26,SJ26="VLOC",TC26)))))</f>
        <v>#N/A</v>
      </c>
      <c r="VZ26" s="392" t="e">
        <f t="array" aca="1" ref="VZ26" ca="1">INDEX(Canals!$H$24:$H$29,MATCH(2,1/((Canals!$F$24:$F$29&lt;=$C26)*(Canals!$G$24:$G$29=_xlfn.IFS(SJ26="Handysize",US26,SJ26="Supramax",UL26,SJ26="Panamax",UE26,SJ26="NeoPanamax",TX26,SJ26="Suezmax",TQ26,SJ26="Capesize",TJ26,SJ26="VLOC",TC26)))))</f>
        <v>#N/A</v>
      </c>
      <c r="WA26" s="392" t="e">
        <f t="array" aca="1" ref="WA26" ca="1">INDEX(Canals!$I$24:$I$29,MATCH(2,1/((Canals!$F$24:$F$29&lt;=$C26)*(Canals!$G$24:$G$29=_xlfn.IFS(SJ26="Handysize",US26,SJ26="Supramax",UL26,SJ26="Panamax",UE26,SJ26="NeoPanamax",TX26,SJ26="Suezmax",TQ26,SJ26="Capesize",TJ26,SJ26="VLOC",TC26)))))</f>
        <v>#N/A</v>
      </c>
      <c r="WB26" s="392" t="e">
        <f t="array" aca="1" ref="WB26" ca="1">INDEX(Canals!$J$24:$J$29,MATCH(2,1/((Canals!$F$24:$F$29&lt;=$C26)*(Canals!$G$24:$G$29=_xlfn.IFS(SJ26="Handysize",Main!US26,SJ26="Supramax",UL26,SJ26="Panamax",UE26,SJ26="NeoPanamax",TX26,SJ26="Suezmax",TQ26,SJ26="Capesize",TJ26,SJ26="VLOC",TC26)))))</f>
        <v>#N/A</v>
      </c>
      <c r="WC26" s="392" t="e">
        <f t="array" aca="1" ref="WC26" ca="1">INDEX(Canals!$K$24:$K$29,MATCH(2,1/((Canals!$F$24:$F$29&lt;=$C26)*(Canals!$G$24:$G$29=_xlfn.IFS(SJ26="Handysize",Main!US26,SJ26="Supramax",UL26,SJ26="Panamax",UE26,SJ26="NeoPanamax",TX26,SJ26="Suezmax",TQ26,SJ26="Capesize",TJ26,SJ26="VLOC",TC26)))))</f>
        <v>#N/A</v>
      </c>
      <c r="WD26" s="392" t="e">
        <f t="array" aca="1" ref="WD26" ca="1">INDEX(Canals!$L$24:$L$29,MATCH(2,1/((Canals!$F$24:$F$29&lt;=$C26)*(Canals!$G$24:$G$29=_xlfn.IFS(SJ26="Handysize",Main!US26,SJ26="Supramax",UL26,SJ26="Panamax",UE26,SJ26="NeoPanamax",TX26,SJ26="Suezmax",TQ26,SJ26="Capesize",TJ26,SJ26="VLOC",TC26)))))</f>
        <v>#N/A</v>
      </c>
      <c r="WE26" s="392" t="e">
        <f t="array" aca="1" ref="WE26" ca="1">INDEX(Canals!$M$24:$M$29,MATCH(2,1/((Canals!$F$24:$F$29&lt;=$C26)*(Canals!$G$24:$G$29=_xlfn.IFS(SJ26="Handysize",Main!US26,SJ26="Supramax",UL26,SJ26="Panamax",UE26,SJ26="NeoPanamax",TX26,SJ26="Suezmax",TQ26,SJ26="Capesize",TJ26,SJ26="VLOC",TC26)))))</f>
        <v>#N/A</v>
      </c>
      <c r="WF26" s="392" t="e">
        <f t="array" aca="1" ref="WF26" ca="1">INDEX(Canals!$N$24:$N$29,MATCH(2,1/((Canals!$F$24:$F$29&lt;=$C26)*(Canals!$G$24:$G$29=_xlfn.IFS(SJ26="Handysize",Main!US26,SJ26="Supramax",UL26,SJ26="Panamax",UE26,SJ26="NeoPanamax",TX26,SJ26="Suezmax",TQ26,SJ26="Capesize",TJ26,SJ26="VLOC",TC26)))))</f>
        <v>#N/A</v>
      </c>
      <c r="WG26" s="392" t="e">
        <f t="array" aca="1" ref="WG26" ca="1">INDEX(Canals!$O$24:$O$29,MATCH(2,1/((Canals!$F$24:$F$29&lt;=$C26)*(Canals!$G$24:$G$29=_xlfn.IFS(SJ26="Handysize",Main!US26,SJ26="Supramax",UL26,SJ26="Panamax",UE26,SJ26="NeoPanamax",TX26,SJ26="Suezmax",TQ26,SJ26="Capesize",TJ26,SJ26="VLOC",TC26)))))</f>
        <v>#N/A</v>
      </c>
      <c r="WH26" s="392" t="e">
        <f t="array" aca="1" ref="WH26" ca="1">INDEX(Canals!$P$24:$P$29,MATCH(2,1/((Canals!$F$24:$F$29&lt;=$C26)*(Canals!$G$24:$G$29=_xlfn.IFS(SJ26="Handysize",Main!US26,SJ26="Supramax",UL26,SJ26="Panamax",UE26,SJ26="NeoPanamax",TX26,SJ26="Suezmax",TQ26,SJ26="Capesize",TJ26,SJ26="VLOC",TC26)))))</f>
        <v>#N/A</v>
      </c>
      <c r="WI26" s="392" t="e">
        <f t="array" aca="1" ref="WI26" ca="1">INDEX(Canals!$Q$24:$Q$29,MATCH(2,1/((Canals!$F$24:$F$29&lt;=$C26)*(Canals!$G$24:$G$29=_xlfn.IFS(SJ26="Handysize",Main!US26,SJ26="Supramax",UL26,SJ26="Panamax",UE26,SJ26="NeoPanamax",TX26,SJ26="Suezmax",TQ26,SJ26="Capesize",TJ26,SJ26="VLOC",TC26)))))</f>
        <v>#N/A</v>
      </c>
      <c r="WJ26" s="392" t="e">
        <f t="array" aca="1" ref="WJ26" ca="1">INDEX(Canals!$R$24:$R$29,MATCH(2,1/((Canals!$F$24:$F$29&lt;=$C26)*(Canals!$G$24:$G$29=_xlfn.IFS(SJ26="Handysize",Main!US26,SJ26="Supramax",UL26,SJ26="Panamax",UE26,SJ26="NeoPanamax",TX26,SJ26="Suezmax",TQ26,SJ26="Capesize",TJ26,SJ26="VLOC",TC26)))))</f>
        <v>#N/A</v>
      </c>
      <c r="WK26" s="393" t="e">
        <f t="array" aca="1" ref="WK26" ca="1">INDEX(Canals!$S$24:$S$29,MATCH(2,1/((Canals!$F$24:$F$29&lt;=$C26)*(Canals!$G$24:$G$29=_xlfn.IFS(SJ26="Handysize",Main!US26,SJ26="Supramax",UL26,SJ26="Panamax",UE26,SJ26="NeoPanamax",TX26,SJ26="Suezmax",TQ26,SJ26="Capesize",TJ26,SJ26="VLOC",TC26)))))</f>
        <v>#N/A</v>
      </c>
      <c r="WL26" s="393" t="e">
        <f t="array" aca="1" ref="WL26" ca="1">INDEX(Canals!$T$24:$T$29,MATCH(2,1/((Canals!$F$24:$F$29&lt;=$C26)*(Canals!$G$24:$G$29=_xlfn.IFS(SJ26="Handysize",Main!US26,SJ26="Supramax",UL26,SJ26="Panamax",UE26,SJ26="NeoPanamax",TX26,SJ26="Suezmax",TQ26,SJ26="Capesize",TJ26,SJ26="VLOC",TC26)))))</f>
        <v>#N/A</v>
      </c>
      <c r="WM26" s="393" t="e">
        <f t="array" aca="1" ref="WM26" ca="1">INDEX(Canals!$U$24:$U$29,MATCH(2,1/((Canals!$F$24:$F$29&lt;=$C26)*(Canals!$G$24:$G$29=_xlfn.IFS(SJ26="Handysize",Main!US26,SJ26="Supramax",UL26,SJ26="Panamax",UE26,SJ26="NeoPanamax",TX26,SJ26="Suezmax",TQ26,SJ26="Capesize",TJ26,SJ26="VLOC",TC26)))))</f>
        <v>#N/A</v>
      </c>
      <c r="WN26" s="393" t="e">
        <f t="array" aca="1" ref="WN26" ca="1">INDEX(Canals!$V$24:$V$29,MATCH(2,1/((Canals!$F$24:$F$29&lt;=$C26)*(Canals!$G$24:$G$29=_xlfn.IFS(SJ26="Handysize",Main!US26,SJ26="Supramax",UL26,SJ26="Panamax",UE26,SJ26="NeoPanamax",TX26,SJ26="Suezmax",TQ26,SJ26="Capesize",TJ26,SJ26="VLOC",TC26)))))</f>
        <v>#N/A</v>
      </c>
      <c r="WO26" s="393" t="e">
        <f t="array" aca="1" ref="WO26" ca="1">INDEX(Canals!$W$24:$W$29,MATCH(2,1/((Canals!$F$24:$F$29&lt;=$C26)*(Canals!$G$24:$G$29=_xlfn.IFS(SJ26="Handysize",Main!US26,SJ26="Supramax",UL26,SJ26="Panamax",UE26,SJ26="NeoPanamax",TX26,SJ26="Suezmax",TQ26,SJ26="Capesize",TJ26,SJ26="VLOC",TC26)))))</f>
        <v>#N/A</v>
      </c>
      <c r="WP26" s="393" t="e">
        <f t="array" aca="1" ref="WP26" ca="1">INDEX(Canals!$X$24:$X$29,MATCH(2,1/((Canals!$F$24:$F$29&lt;=$C26)*(Canals!$G$24:$G$29=_xlfn.IFS(SJ26="Handysize",Main!US26,SJ26="Supramax",UL26,SJ26="Panamax",UE26,SJ26="NeoPanamax",TX26,SJ26="Suezmax",TQ26,SJ26="Capesize",TJ26,SJ26="VLOC",TC26)))))</f>
        <v>#N/A</v>
      </c>
      <c r="WQ26" s="393" t="e">
        <f t="array" aca="1" ref="WQ26" ca="1">INDEX(Canals!$Y$24:$Y$29,MATCH(2,1/((Canals!$F$24:$F$29&lt;=$C26)*(Canals!$G$24:$G$29=_xlfn.IFS(SJ26="Handysize",Main!US26,SJ26="Supramax",UL26,SJ26="Panamax",UE26,SJ26="NeoPanamax",TX26,SJ26="Suezmax",TQ26,SJ26="Capesize",TJ26,SJ26="VLOC",TC26)))))</f>
        <v>#N/A</v>
      </c>
      <c r="WR26" s="393" t="e">
        <f t="array" aca="1" ref="WR26" ca="1">INDEX(Canals!$Z$24:$Z$29,MATCH(2,1/((Canals!$F$24:$F$29&lt;=$C26)*(Canals!$G$24:$G$29=_xlfn.IFS(SJ26="Handysize",Main!US26,SJ26="Supramax",UL26,SJ26="Panamax",UE26,SJ26="NeoPanamax",TX26,SJ26="Suezmax",TQ26,SJ26="Capesize",TJ26,SJ26="VLOC",TC26)))))</f>
        <v>#N/A</v>
      </c>
      <c r="WS26" s="393" t="e">
        <f t="array" aca="1" ref="WS26" ca="1">INDEX(Canals!$AA$24:$AA$29,MATCH(2,1/((Canals!$F$24:$F$29&lt;=$C26)*(Canals!$G$24:$G$29=_xlfn.IFS(SJ26="Handysize",Main!US26,SJ26="Supramax",UL26,SJ26="Panamax",UE26,SJ26="NeoPanamax",TX26,SJ26="Suezmax",TQ26,SJ26="Capesize",TJ26,SJ26="VLOC",TC26)))))</f>
        <v>#N/A</v>
      </c>
      <c r="WT26" s="393" t="e">
        <f t="array" aca="1" ref="WT26" ca="1">INDEX(Canals!$AB$24:$AB$29,MATCH(2,1/((Canals!$F$24:$F$29&lt;=$C26)*(Canals!$G$24:$G$29=_xlfn.IFS(SJ26="Handysize",Main!US26,SJ26="Supramax",UL26,SJ26="Panamax",UE26,SJ26="NeoPanamax",TX26,SJ26="Suezmax",TQ26,SJ26="Capesize",TJ26,SJ26="VLOC",TC26)))))</f>
        <v>#N/A</v>
      </c>
      <c r="WU26" s="392" t="e">
        <f t="array" aca="1" ref="WU26" ca="1">INDEX(Canals!$AC$24:$AC$29,MATCH(2,1/((Canals!$F$24:$F$29&lt;=$C26)*(Canals!$G$24:$G$29=_xlfn.IFS(SJ26="Handysize",Main!US26,SJ26="Supramax",UL26,SJ26="Panamax",UE26,SJ26="NeoPanamax",TX26,SJ26="Suezmax",TQ26,SJ26="Capesize",TJ26,SJ26="VLOC",TC26)))))</f>
        <v>#N/A</v>
      </c>
      <c r="WV26" s="392" t="e">
        <f t="array" aca="1" ref="WV26" ca="1">INDEX(Canals!$AD$24:$AD$29,MATCH(2,1/((Canals!$F$24:$F$29&lt;=$C26)*(Canals!$G$24:$G$29=_xlfn.IFS(SJ26="Handysize",Main!US26,SJ26="Supramax",UL26,SJ26="Panamax",UE26,SJ26="NeoPanamax",TX26,SJ26="Suezmax",TQ26,SJ26="Capesize",TJ26,SJ26="VLOC",TC26)))))</f>
        <v>#N/A</v>
      </c>
      <c r="WW26" s="392" t="e">
        <f t="array" aca="1" ref="WW26" ca="1">INDEX(Canals!$AE$24:$AE$29,MATCH(2,1/((Canals!$F$24:$F$29&lt;=$C26)*(Canals!$G$24:$G$29=_xlfn.IFS(SJ26="Handysize",Main!US26,SJ26="Supramax",UL26,SJ26="Panamax",UE26,SJ26="NeoPanamax",TX26,SJ26="Suezmax",TQ26,SJ26="Capesize",TJ26,SJ26="VLOC",TC26)))))</f>
        <v>#N/A</v>
      </c>
      <c r="WX26" s="392" t="e">
        <f t="array" aca="1" ref="WX26" ca="1">INDEX(Canals!$AF$24:$AF$29,MATCH(2,1/((Canals!$F$24:$F$29&lt;=$C26)*(Canals!$G$24:$G$29=_xlfn.IFS(SJ26="Handysize",Main!US26,SJ26="Supramax",UL26,SJ26="Panamax",UE26,SJ26="NeoPanamax",TX26,SJ26="Suezmax",TQ26,SJ26="Capesize",TJ26,SJ26="VLOC",TC26)))))</f>
        <v>#N/A</v>
      </c>
      <c r="WY26" s="392" t="e">
        <f t="array" aca="1" ref="WY26" ca="1">INDEX(Canals!$AG$24:$AG$29,MATCH(2,1/((Canals!$F$24:$F$29&lt;=$C26)*(Canals!$G$24:$G$29=_xlfn.IFS(SJ26="Handysize",Main!US26,SJ26="Supramax",UL26,SJ26="Panamax",UE26,SJ26="NeoPanamax",TX26,SJ26="Suezmax",TQ26,SJ26="Capesize",TJ26,SJ26="VLOC",TC26)))))</f>
        <v>#N/A</v>
      </c>
      <c r="WZ26" s="392" t="e">
        <f t="array" aca="1" ref="WZ26" ca="1">INDEX(Canals!$AH$24:$AH$29,MATCH(2,1/((Canals!$F$24:$F$29&lt;=$C26)*(Canals!$G$24:$G$29=_xlfn.IFS(SJ26="Handysize",Main!US26,SJ26="Supramax",UL26,SJ26="Panamax",UE26,SJ26="NeoPanamax",TX26,SJ26="Suezmax",TQ26,SJ26="Capesize",TJ26,SJ26="VLOC",TC26)))))</f>
        <v>#N/A</v>
      </c>
      <c r="XA26" s="392" t="e">
        <f t="array" aca="1" ref="XA26" ca="1">INDEX(Canals!$AI$24:$AI$29,MATCH(2,1/((Canals!$F$24:$F$29&lt;=$C26)*(Canals!$G$24:$G$29=_xlfn.IFS(SJ26="Handysize",Main!US26,SJ26="Supramax",UL26,SJ26="Panamax",UE26,SJ26="NeoPanamax",TX26,SJ26="Suezmax",TQ26,SJ26="Capesize",TJ26,SJ26="VLOC",TC26)))))</f>
        <v>#N/A</v>
      </c>
      <c r="XB26" s="392" t="e">
        <f t="array" aca="1" ref="XB26" ca="1">INDEX(Canals!$AJ$24:$AJ$29,MATCH(2,1/((Canals!$F$24:$F$29&lt;=$C26)*(Canals!$G$24:$G$29=_xlfn.IFS(SJ26="Handysize",Main!US26,SJ26="Supramax",UL26,SJ26="Panamax",UE26,SJ26="NeoPanamax",TX26,SJ26="Suezmax",TQ26,SJ26="Capesize",TJ26,SJ26="VLOC",TC26)))))</f>
        <v>#N/A</v>
      </c>
      <c r="XC26" s="392" t="e">
        <f t="array" aca="1" ref="XC26" ca="1">INDEX(Canals!$AK$24:$AK$29,MATCH(2,1/((Canals!$F$24:$F$29&lt;=$C26)*(Canals!$G$24:$G$29=_xlfn.IFS(SJ26="Handysize",Main!US26,SJ26="Supramax",UL26,SJ26="Panamax",UE26,SJ26="NeoPanamax",TX26,SJ26="Suezmax",TQ26,SJ26="Capesize",TJ26,SJ26="VLOC",TC26)))))</f>
        <v>#N/A</v>
      </c>
      <c r="XD26" s="393" t="e">
        <f t="array" aca="1" ref="XD26" ca="1">INDEX(Canals!$AL$24:$AL$29,MATCH(2,1/((Canals!$F$24:$F$29&lt;=$C26)*(Canals!$G$24:$G$29=_xlfn.IFS(SJ26="Handysize",Main!US26,SJ26="Supramax",UL26,SJ26="Panamax",UE26,SJ26="NeoPanamax",TX26,SJ26="Suezmax",TQ26,SJ26="Capesize",TJ26,SJ26="VLOC",TC26)))))</f>
        <v>#N/A</v>
      </c>
      <c r="XE26" s="393" t="e">
        <f t="array" aca="1" ref="XE26" ca="1">INDEX(Canals!$AM$24:$AM$29,MATCH(2,1/((Canals!$F$24:$F$29&lt;=$C26)*(Canals!$G$24:$G$29=_xlfn.IFS(SJ26="Handysize",Main!US26,SJ26="Supramax",UL26,SJ26="Panamax",UE26,SJ26="NeoPanamax",TX26,SJ26="Suezmax",TQ26,SJ26="Capesize",TJ26,SJ26="VLOC",TC26)))))</f>
        <v>#N/A</v>
      </c>
      <c r="XF26" s="393" t="e">
        <f t="array" aca="1" ref="XF26" ca="1">INDEX(Canals!$AN$24:$AN$29,MATCH(2,1/((Canals!$F$24:$F$29&lt;=$C26)*(Canals!$G$24:$G$29=_xlfn.IFS(SJ26="Handysize",Main!US26,SJ26="Supramax",UL26,SJ26="Panamax",UE26,SJ26="NeoPanamax",TX26,SJ26="Suezmax",TQ26,SJ26="Capesize",TJ26,SJ26="VLOC",TC26)))))</f>
        <v>#N/A</v>
      </c>
      <c r="XG26" s="393" t="e">
        <f t="array" aca="1" ref="XG26" ca="1">INDEX(Canals!$AO$24:$AO$29,MATCH(2,1/((Canals!$F$24:$F$29&lt;=$C26)*(Canals!$G$24:$G$29=_xlfn.IFS(SJ26="Handysize",Main!US26,SJ26="Supramax",UL26,SJ26="Panamax",UE26,SJ26="NeoPanamax",TX26,SJ26="Suezmax",TQ26,SJ26="Capesize",TJ26,SJ26="VLOC",TC26)))))</f>
        <v>#N/A</v>
      </c>
      <c r="XH26" s="393" t="e">
        <f t="array" aca="1" ref="XH26" ca="1">INDEX(Canals!$AP$24:$AP$29,MATCH(2,1/((Canals!$F$24:$F$29&lt;=$C26)*(Canals!$G$24:$G$29=_xlfn.IFS(SJ26="Handysize",Main!US26,SJ26="Supramax",UL26,SJ26="Panamax",UE26,SJ26="NeoPanamax",TX26,SJ26="Suezmax",TQ26,SJ26="Capesize",TJ26,SJ26="VLOC",TC26)))))</f>
        <v>#N/A</v>
      </c>
      <c r="XI26" s="393" t="e">
        <f t="array" aca="1" ref="XI26" ca="1">INDEX(Canals!$AQ$24:$AQ$29,MATCH(2,1/((Canals!$F$24:$F$29&lt;=$C26)*(Canals!$G$24:$G$29=_xlfn.IFS(SJ26="Handysize",Main!US26,SJ26="Supramax",UL26,SJ26="Panamax",UE26,SJ26="NeoPanamax",TX26,SJ26="Suezmax",TQ26,SJ26="Capesize",TJ26,SJ26="VLOC",TC26)))))</f>
        <v>#N/A</v>
      </c>
      <c r="XJ26" s="393" t="e">
        <f t="array" aca="1" ref="XJ26" ca="1">INDEX(Canals!$AR$24:$AR$29,MATCH(2,1/((Canals!$F$24:$F$29&lt;=$C26)*(Canals!$G$24:$G$29=_xlfn.IFS(SJ26="Handysize",Main!US26,SJ26="Supramax",UL26,SJ26="Panamax",UE26,SJ26="NeoPanamax",TX26,SJ26="Suezmax",TQ26,SJ26="Capesize",TJ26,SJ26="VLOC",TC26)))))</f>
        <v>#N/A</v>
      </c>
      <c r="XK26" s="393" t="e">
        <f t="array" aca="1" ref="XK26" ca="1">INDEX(Canals!$AS$24:$AS$29,MATCH(2,1/((Canals!$F$24:$F$29&lt;=$C26)*(Canals!$G$24:$G$29=_xlfn.IFS(SJ26="Handysize",Main!US26,SJ26="Supramax",UL26,SJ26="Panamax",UE26,SJ26="NeoPanamax",TX26,SJ26="Suezmax",TQ26,SJ26="Capesize",TJ26,SJ26="VLOC",TC26)))))</f>
        <v>#N/A</v>
      </c>
      <c r="XL26" s="393" t="e">
        <f t="array" aca="1" ref="XL26" ca="1">INDEX(Canals!$AT$24:$AT$29,MATCH(2,1/((Canals!$F$24:$F$29&lt;=$C26)*(Canals!$G$24:$G$29=_xlfn.IFS(SJ26="Handysize",Main!US26,SJ26="Supramax",UL26,SJ26="Panamax",UE26,SJ26="NeoPanamax",TX26,SJ26="Suezmax",TQ26,SJ26="Capesize",TJ26,SJ26="VLOC",TC26)))))</f>
        <v>#N/A</v>
      </c>
      <c r="XM26" s="393" t="e">
        <f t="array" aca="1" ref="XM26" ca="1">INDEX(Canals!$AU$24:$AU$29,MATCH(2,1/((Canals!$F$24:$F$29&lt;=$C26)*(Canals!$G$24:$G$29=_xlfn.IFS(SJ26="Handysize",Main!US26,SJ26="Supramax",UL26,SJ26="Panamax",UE26,SJ26="NeoPanamax",TX26,SJ26="Suezmax",TQ26,SJ26="Capesize",TJ26,SJ26="VLOC",TC26)))))</f>
        <v>#N/A</v>
      </c>
      <c r="XN26" s="393" t="e">
        <f t="array" aca="1" ref="XN26" ca="1">INDEX(Canals!$AV$24:$AV$29,MATCH(2,1/((Canals!$F$24:$F$29&lt;=$C26)*(Canals!$G$24:$G$29=_xlfn.IFS(SJ26="Handysize",Main!US26,SJ26="Supramax",UL26,SJ26="Panamax",UE26,SJ26="NeoPanamax",TX26,SJ26="Suezmax",TQ26,SJ26="Capesize",TJ26,SJ26="VLOC",TC26)))))</f>
        <v>#N/A</v>
      </c>
      <c r="XP26" s="392" t="e">
        <f t="array" aca="1" ref="XP26" ca="1">_xlfn.IFS(WA26="DWT",SH26,WA26="NRT",SL26,WA26="GRT",SM26,WA26=0,0)</f>
        <v>#NAME?</v>
      </c>
      <c r="XQ26" s="394" t="e">
        <f ca="1">IF(XP26&gt;WB26,WB26,XP26)</f>
        <v>#NAME?</v>
      </c>
      <c r="XR26" s="395" t="e">
        <f ca="1">IF(XP26&gt;SUM(WB26:WC26),WC26,XP26-SUM(XQ26:XQ26))</f>
        <v>#NAME?</v>
      </c>
      <c r="XS26" s="395" t="e">
        <f ca="1">IF(XP26&gt;SUM(WB26:WD26),WD26,XP26-SUM(XQ26:XR26))</f>
        <v>#NAME?</v>
      </c>
      <c r="XT26" s="395" t="e">
        <f ca="1">IF(XP26&gt;SUM(WB26:WE26),WE26,XP26-SUM(XQ26:XS26))</f>
        <v>#NAME?</v>
      </c>
      <c r="XU26" s="395" t="e">
        <f ca="1">IF(XP26&gt;SUM(WB26:WF26),WF26,XP26-SUM(XQ26:XT26))</f>
        <v>#NAME?</v>
      </c>
      <c r="XV26" s="395" t="e">
        <f ca="1">IF(XP26&gt;SUM(WB26:WG26),WG26,XP26-SUM(XQ26:XU26))</f>
        <v>#NAME?</v>
      </c>
      <c r="XW26" s="395" t="e">
        <f ca="1">IF(XP26&gt;SUM(WB26:WH26),WH26,XP26-SUM(XQ26:XV26))</f>
        <v>#NAME?</v>
      </c>
      <c r="XX26" s="395" t="e">
        <f ca="1">IF(XP26&gt;SUM(WB26:WI26),WI26,XP26-SUM(XQ26:XW26))</f>
        <v>#NAME?</v>
      </c>
      <c r="XY26" s="395" t="e">
        <f ca="1">IF(XP26&gt;SUM(WB26:WJ26),WJ26,XP26-SUM(XQ26:XX26))</f>
        <v>#NAME?</v>
      </c>
      <c r="XZ26" s="392">
        <f ca="1">SH26*$JN26</f>
        <v>0</v>
      </c>
      <c r="YA26" s="394" t="e">
        <f ca="1">IF(XZ26&gt;WU26,WU26,XZ26)</f>
        <v>#N/A</v>
      </c>
      <c r="YB26" s="395" t="e">
        <f ca="1">IF(XZ26&gt;SUM(WU26:WV26),WV26,XZ26-SUM(YA26:YA26))</f>
        <v>#N/A</v>
      </c>
      <c r="YC26" s="395" t="e">
        <f ca="1">IF(XZ26&gt;SUM(WU26:WW26),WW26,XZ26-SUM(YA26:YB26))</f>
        <v>#N/A</v>
      </c>
      <c r="YD26" s="395" t="e">
        <f ca="1">IF(XZ26&gt;SUM(WU26:WX26),WX26,XZ26-SUM(YA26:YC26))</f>
        <v>#N/A</v>
      </c>
      <c r="YE26" s="395" t="e">
        <f ca="1">IF(XZ26&gt;SUM(WU26:WY26),WY26,XZ26-SUM(YA26:YD26))</f>
        <v>#N/A</v>
      </c>
      <c r="YF26" s="395" t="e">
        <f ca="1">IF(XZ26&gt;SUM(WU26:WZ26),WZ26,XZ26-SUM(YA26:YE26))</f>
        <v>#N/A</v>
      </c>
      <c r="YG26" s="395" t="e">
        <f ca="1">IF(XZ26&gt;SUM(WU26:XA26),XA26,XZ26-SUM(YA26:YF26))</f>
        <v>#N/A</v>
      </c>
      <c r="YH26" s="395" t="e">
        <f ca="1">IF(XZ26&gt;SUM(WU26:XB26),XB26,XZ26-SUM(YA26:YG26))</f>
        <v>#N/A</v>
      </c>
      <c r="YI26" s="395" t="e">
        <f ca="1">IF(XZ26&gt;SUM(WU26:XC26),XC26,XZ26-SUM(YA26:YH26))</f>
        <v>#N/A</v>
      </c>
      <c r="YK26" s="392" t="e">
        <f t="array" aca="1" ref="YK26" ca="1">_xlfn.IFS(SJ26="Handysize",Main!UM26,SJ26="Supramax",UF26,SJ26="Panamax",TY26,SJ26="NeoPanamax",TR26,SJ26="Suezmax",TK26,SJ26="Capesize",TD26,SJ26="VLOC",SW26)*$JI26</f>
        <v>#NAME?</v>
      </c>
      <c r="YL26" s="396" t="e">
        <f t="array" aca="1" ref="YL26" ca="1">_xlfn.IFS(SJ26="Handysize",Main!UN26,SJ26="Supramax",UG26,SJ26="Panamax",TZ26,SJ26="NeoPanamax",TS26,SJ26="Suezmax",TL26,SJ26="Capesize",TE26,SJ26="VLOC",SX26)*$JI26</f>
        <v>#NAME?</v>
      </c>
      <c r="YM26" s="397" t="e">
        <f t="array" aca="1" ref="YM26" ca="1">_xlfn.IFS(SJ26="Handysize",Main!SO26,SJ26="Supramax",SP26,SJ26="Panamax",SQ26,SJ26="NeoPanamax",SR26,SJ26="Suezmax",SS26,SJ26="Capesize",ST26,SJ26="VLOC",SU26)</f>
        <v>#NAME?</v>
      </c>
      <c r="YN26" s="397" t="e">
        <f t="array" aca="1" ref="YN26" ca="1">_xlfn.IFS(SJ26="Handysize",Main!VA26,SJ26="Supramax",VB26,SJ26="Panamax",VC26,SJ26="NeoPanamax",VD26,SJ26="Suezmax",VE26,SJ26="Capesize",VF26,SJ26="VLOC",VG26)</f>
        <v>#NAME?</v>
      </c>
      <c r="YO26" s="398">
        <f t="array" aca="1" ref="YO26" ca="1">INDEX('Ship Speeds'!$G$11:$G$1011,MATCH(2,1/(('Ship Speeds'!$E$11:$E$1011&lt;=Main!$C26)*('Ship Speeds'!$F$11:$F$1011=Main!SI26))))</f>
        <v>11</v>
      </c>
      <c r="YP26" s="402">
        <f ca="1">(($KH26*YO26^2+$KI26*YO26^3+$KG26*YO26)*((SH26/$KC26)^$KD26)*$KJ26+(SH26/$KC26)*$KF26+$KE26)</f>
        <v>0</v>
      </c>
      <c r="YQ26" s="402">
        <f ca="1">(SH26/$JY26)*$JZ26+$KA26+$KB26*(SH26/$JY26)^2</f>
        <v>1.2</v>
      </c>
      <c r="YR26" s="398" t="e">
        <f ca="1">YK26/YO26/$JH26</f>
        <v>#NAME?</v>
      </c>
      <c r="YS26" s="398" t="e">
        <f ca="1">YL26/YO26/$JH26</f>
        <v>#NAME?</v>
      </c>
      <c r="YT26" s="398" t="e">
        <f ca="1">IF(YM26=0,0,IF($AO26="yes",$AN26,$AR26)/(1-$AL26)/YM26)</f>
        <v>#NAME?</v>
      </c>
      <c r="YU26" s="398" t="e">
        <f ca="1">IF(YN26=0,0,IF($AO26="yes",$AN26,$AR26)/(1-$AL26)/YN26)</f>
        <v>#NAME?</v>
      </c>
      <c r="YV26" s="399" t="e">
        <f ca="1">XN26*$JI26</f>
        <v>#N/A</v>
      </c>
      <c r="YW26" s="398" t="e">
        <f ca="1">IF(YK26=0,0,MAX(SUM(YR26:YV26)*$JV26,$JU26))</f>
        <v>#NAME?</v>
      </c>
      <c r="YX26" s="398" t="e">
        <f t="array" aca="1" ref="YX26" ca="1">IF(YK26=0,0,INDEX(UU26:UY26,MATCH(_xlfn.IFS(SJ26="Handysize",Main!UQ26,SJ26="Supramax",UJ26,SJ26="Panamax",UC26,SJ26="NeoPanamax",TV26,SJ26="Suezmax",TO26,SJ26="Capesize",TH26,SJ26="VLOC",TA26),$UU$7:$UY$7,0)))</f>
        <v>#NAME?</v>
      </c>
      <c r="YY26" s="398" t="e">
        <f t="array" aca="1" ref="YY26" ca="1">IF(YK26=0,0,INDEX(UU26:UY26,MATCH(_xlfn.IFS(SJ26="Handysize",Main!UR26,SJ26="Supramax",UK26,SJ26="Panamax",UD26,SJ26="NeoPanamax",TW26,SJ26="Suezmax",TP26,SJ26="Capesize",TI26,SJ26="VLOC",TB26),$UU$7:$UY$7,0)))</f>
        <v>#NAME?</v>
      </c>
      <c r="YZ26" s="397" t="e">
        <f ca="1">YR26*YP26*YX26</f>
        <v>#NAME?</v>
      </c>
      <c r="ZA26" s="397" t="e">
        <f ca="1">SUM(YT26:YW26)*YQ26*YY26+YS26*YP26*YY26</f>
        <v>#NAME?</v>
      </c>
      <c r="ZB26" s="354" t="e">
        <f ca="1">IF(YK26=0,0,INDEX($JA26:$JD26,MATCH(VH26,$JA$7:$JD$7,0)))</f>
        <v>#NAME?</v>
      </c>
      <c r="ZC26" s="397" t="e">
        <f ca="1">IF(YK26=0,0,VI26/ZB26)</f>
        <v>#NAME?</v>
      </c>
      <c r="ZD26" s="397" t="e">
        <f ca="1">IF(YK26=0,0,VJ26*SUM(YU26,$JX26)/ZB26)</f>
        <v>#NAME?</v>
      </c>
      <c r="ZE26" s="397" t="e">
        <f ca="1">IF(YK26=0,0,VK26*(YW26*(1-$JW26))/ZB26)</f>
        <v>#NAME?</v>
      </c>
      <c r="ZF26" s="397" t="e">
        <f ca="1">IF(YK26=0,0,VL26*(SH26*$JN26)/ZB26)</f>
        <v>#NAME?</v>
      </c>
      <c r="ZG26" s="397" t="e">
        <f ca="1">IF(YK26=0,0,VM26*(SH26*$JN26)*SUM(YU26,$JX26)/ZB26)</f>
        <v>#NAME?</v>
      </c>
      <c r="ZH26" s="397" t="e">
        <f ca="1">IF(YK26=0,0,VN26*(SH26*$JN26)*(YW26*(1-$JW26))/ZB26)</f>
        <v>#NAME?</v>
      </c>
      <c r="ZI26" s="397" t="e">
        <f ca="1">IF(YK26=0,0,VO26*SL26/ZB26)</f>
        <v>#NAME?</v>
      </c>
      <c r="ZJ26" s="397" t="e">
        <f ca="1">IF(YK26=0,0,VP26*SL26*SUM(YU26,$JX26)/ZB26)</f>
        <v>#NAME?</v>
      </c>
      <c r="ZK26" s="397" t="e">
        <f ca="1">IF(YK26=0,0,VQ26*SL26*(YW26*(1-$JW26))/ZB26)</f>
        <v>#NAME?</v>
      </c>
      <c r="ZL26" s="397" t="e">
        <f ca="1">IF(YK26=0,0,VR26*SM26/ZB26)</f>
        <v>#NAME?</v>
      </c>
      <c r="ZM26" s="397" t="e">
        <f ca="1">IF(YK26=0,0,VS26*SM26*SUM(YU26,$JX26)/ZB26)</f>
        <v>#NAME?</v>
      </c>
      <c r="ZN26" s="397" t="e">
        <f ca="1">IF(YK26=0,0,VT26*SM26*(YW26*(1-$JW26))/ZB26)</f>
        <v>#NAME?</v>
      </c>
      <c r="ZO26" s="399" t="e">
        <f ca="1">IF(YK26=0,0,VU26*SK26/ZB26)</f>
        <v>#NAME?</v>
      </c>
      <c r="ZP26" s="399" t="e">
        <f ca="1">IF(YK26=0,0,VV26*SK26*SUM(YU26,$JX26)/ZB26)</f>
        <v>#NAME?</v>
      </c>
      <c r="ZQ26" s="397" t="e">
        <f ca="1">IF(YK26=0,0,VW26*SK26*(YW26*(1-$JW26))/ZB26)</f>
        <v>#NAME?</v>
      </c>
      <c r="ZR26" s="397" t="e">
        <f t="array" aca="1" ref="ZR26" ca="1">IF(YK26=0,0,INDEX('Ship Time Charter Rates'!$H$22:$H$1021,MATCH(2,1/(('Ship Time Charter Rates'!$G$22:$G$1021=_xlfn.IFS(SJ26="Handysize",Main!UO26,SJ26="Supramax",UH26,SJ26="Panamax",UA26,SJ26="NeoPanamax",TT26,SJ26="Suezmax",TM26,SJ26="Capesize",TF26,SJ26="VLOC",SY26))*('Ship Time Charter Rates'!$E$22:$E$1021&lt;=Main!$C26)*(NOT(ISBLANK('Ship Time Charter Rates'!$H$22:$H$1021)))))))</f>
        <v>#NAME?</v>
      </c>
      <c r="ZS26" s="397" t="e">
        <f ca="1">IF(YK26=0,0,SUM(YR26:YW26,$JI26*$JX26)*ZR26)</f>
        <v>#NAME?</v>
      </c>
      <c r="ZT26" s="398" t="e">
        <f ca="1">IF(YK26=0,0,SUMPRODUCT(WK26:WS26,XQ26:XY26)+SUMPRODUCT(XD26:XL26,YA26:YI26))</f>
        <v>#NAME?</v>
      </c>
      <c r="ZU26" s="397" t="e">
        <f ca="1">IF(YK26=0,0,SUM(YZ26,ZA26)+ZS26+ZT26+SUM(ZC26:ZQ26))</f>
        <v>#NAME?</v>
      </c>
      <c r="ZV26" s="397" t="e">
        <f ca="1">ZU26*(1+$KL26)*(1+$KM26)</f>
        <v>#NAME?</v>
      </c>
      <c r="ZW26" s="399" t="e">
        <f t="shared" ca="1" si="305"/>
        <v>#NAME?</v>
      </c>
      <c r="ZY26" s="287" t="s">
        <v>39</v>
      </c>
      <c r="AAA26" s="391">
        <f ca="1">IF($AO26="no",$AN26,$AR26)/(1-$AL26)/$JN26</f>
        <v>76000</v>
      </c>
      <c r="AAB26" s="335" t="str">
        <f ca="1">VLOOKUP(AAA26,'Ship Time Charter Rates'!$F$10:$G$17,2,TRUE)</f>
        <v>Panamax</v>
      </c>
      <c r="AAC26" s="335" t="str">
        <f ca="1">VLOOKUP(AAA26,Canals!$E$5:$F$12,2,TRUE)</f>
        <v>Panamax</v>
      </c>
      <c r="AAD26" s="391">
        <f ca="1">(AAA26*$JO26 + $JP26)</f>
        <v>212.238</v>
      </c>
      <c r="AAE26" s="391">
        <f ca="1">(AAA26*$JQ26+$JR26)</f>
        <v>30658.399999999998</v>
      </c>
      <c r="AAF26" s="391">
        <f ca="1">(AAA26*$JS26+$JT26)</f>
        <v>44233.4</v>
      </c>
      <c r="AAH26" s="392">
        <f t="array" aca="1" ref="AAH26" ca="1">INDEX('Indices Mines Exporting Ports'!$R$20:$R$51,MATCH(2,1/(('Indices Mines Exporting Ports'!$D$20:$D$51&lt;=Main!$C26)*('Indices Mines Exporting Ports'!$Q$20:$Q$51=$AP26))))</f>
        <v>80000</v>
      </c>
      <c r="AAI26" s="392">
        <f t="array" aca="1" ref="AAI26" ca="1">INDEX('Indices Mines Exporting Ports'!$S$20:$S$51,MATCH(2,1/(('Indices Mines Exporting Ports'!$D$20:$D$51&lt;=Main!$C26)*('Indices Mines Exporting Ports'!$Q$20:$Q$51=$AP26))))</f>
        <v>80000</v>
      </c>
      <c r="AAJ26" s="392">
        <f t="array" aca="1" ref="AAJ26" ca="1">INDEX('Indices Mines Exporting Ports'!$T$20:$T$51,MATCH(2,1/(('Indices Mines Exporting Ports'!$D$20:$D$51&lt;=Main!$C26)*('Indices Mines Exporting Ports'!$Q$20:$Q$51=$AP26))))</f>
        <v>80000</v>
      </c>
      <c r="AAK26" s="392">
        <f t="array" aca="1" ref="AAK26" ca="1">INDEX('Indices Mines Exporting Ports'!$U$20:$U$51,MATCH(2,1/(('Indices Mines Exporting Ports'!$D$20:$D$51&lt;=Main!$C26)*('Indices Mines Exporting Ports'!$Q$20:$Q$51=$AP26))))</f>
        <v>80000</v>
      </c>
      <c r="AAL26" s="392">
        <f t="array" aca="1" ref="AAL26" ca="1">INDEX('Indices Mines Exporting Ports'!$V$20:$V$51,MATCH(2,1/(('Indices Mines Exporting Ports'!$D$20:$D$51&lt;=Main!$C26)*('Indices Mines Exporting Ports'!$Q$20:$Q$51=$AP26))))</f>
        <v>80000</v>
      </c>
      <c r="AAM26" s="392">
        <f t="array" aca="1" ref="AAM26" ca="1">INDEX('Indices Mines Exporting Ports'!$W$20:$W$51,MATCH(2,1/(('Indices Mines Exporting Ports'!$D$20:$D$51&lt;=Main!$C26)*('Indices Mines Exporting Ports'!$Q$20:$Q$51=$AP26))))</f>
        <v>40000</v>
      </c>
      <c r="AAN26" s="392">
        <f t="array" aca="1" ref="AAN26" ca="1">INDEX('Indices Mines Exporting Ports'!$X$20:$X$51,MATCH(2,1/(('Indices Mines Exporting Ports'!$D$20:$D$51&lt;=Main!$C26)*('Indices Mines Exporting Ports'!$Q$20:$Q$51=$AP26))))</f>
        <v>40000</v>
      </c>
      <c r="AAP26" s="392" t="e">
        <f t="array" aca="1" ref="AAP26" ca="1">INDEX('Port Linkages'!$E$18:$E$157,MATCH(2,1/(('Port Linkages'!$C$18:$C$157=$AP26)*('Port Linkages'!$D$18:$D$157=IF($AO26="Yes",$AQ26,$KK26))*('Port Linkages'!$A$18:$A$157&lt;=$C26))))</f>
        <v>#N/A</v>
      </c>
      <c r="AAQ26" s="392">
        <f t="array" aca="1" ref="AAQ26" ca="1">INDEX('Port Linkages'!$F$18:$F$157,MATCH(2,1/(('Port Linkages'!$C$18:$C$157=$AP26)*('Port Linkages'!$D$18:$D$157=IF($AO26="Yes",$AQ26,$KK26))*('Port Linkages'!$A$18:$A$157&lt;=$C26))))</f>
        <v>0</v>
      </c>
      <c r="AAR26" s="392" t="str">
        <f t="array" aca="1" ref="AAR26" ca="1">INDEX('Port Linkages'!$G$18:$G$157,MATCH(2,1/(('Port Linkages'!$C$18:$C$157=$AP26)*('Port Linkages'!$D$18:$D$157=IF($AO26="Yes",$AQ26,$KK26))*('Port Linkages'!$A$18:$A$157&lt;=$C26))))</f>
        <v>VLOC_General</v>
      </c>
      <c r="AAS26" s="392" t="str">
        <f t="array" aca="1" ref="AAS26" ca="1">INDEX('Port Linkages'!$H$18:$H$157,MATCH(2,1/(('Port Linkages'!$C$18:$C$157=$AP26)*('Port Linkages'!$D$18:$D$157=IF($AO26="Yes",$AQ26,$KK26))*('Port Linkages'!$A$18:$A$157&lt;=$C26))))</f>
        <v>Singapore</v>
      </c>
      <c r="AAT26" s="392" t="str">
        <f t="array" aca="1" ref="AAT26" ca="1">INDEX('Port Linkages'!$I$18:$I$157,MATCH(2,1/(('Port Linkages'!$C$18:$C$157=$AP26)*('Port Linkages'!$D$18:$D$157=IF($AO26="Yes",$AQ26,$KK26))*('Port Linkages'!$A$18:$A$157&lt;=$C26))))</f>
        <v>VLSFO</v>
      </c>
      <c r="AAU26" s="392" t="str">
        <f t="array" aca="1" ref="AAU26" ca="1">INDEX('Port Linkages'!$J$18:$J$157,MATCH(2,1/(('Port Linkages'!$C$18:$C$157=$AP26)*('Port Linkages'!$D$18:$D$157=IF($AO26="Yes",$AQ26,$KK26))*('Port Linkages'!$A$18:$A$157&lt;=$C26))))</f>
        <v>MGO_Regular</v>
      </c>
      <c r="AAV26" s="392" t="str">
        <f t="array" aca="1" ref="AAV26" ca="1">INDEX('Port Linkages'!$K$18:$K$157,MATCH(2,1/(('Port Linkages'!$C$18:$C$157=$AP26)*('Port Linkages'!$D$18:$D$157=IF($AO26="Yes",$AQ26,$KK26))*('Port Linkages'!$A$18:$A$157&lt;=$C26))))</f>
        <v>none</v>
      </c>
      <c r="AAW26" s="392" t="e">
        <f t="array" aca="1" ref="AAW26" ca="1">INDEX('Port Linkages'!$L$18:$L$157,MATCH(2,1/(('Port Linkages'!$C$18:$C$157=$AP26)*('Port Linkages'!$D$18:$D$157=IF($AO26="Yes",$AQ26,$KK26))*('Port Linkages'!$A$18:$A$157&lt;=$C26))))</f>
        <v>#N/A</v>
      </c>
      <c r="AAX26" s="392">
        <f t="array" aca="1" ref="AAX26" ca="1">INDEX('Port Linkages'!$M$18:$M$157,MATCH(2,1/(('Port Linkages'!$C$18:$C$157=$AP26)*('Port Linkages'!$D$18:$D$157=IF($AO26="Yes",$AQ26,$KK26))*('Port Linkages'!$A$18:$A$157&lt;=$C26))))</f>
        <v>0</v>
      </c>
      <c r="AAY26" s="392" t="str">
        <f t="array" aca="1" ref="AAY26" ca="1">INDEX('Port Linkages'!$N$18:$N$157,MATCH(2,1/(('Port Linkages'!$C$18:$C$157=$AP26)*('Port Linkages'!$D$18:$D$157=IF($AO26="Yes",$AQ26,$KK26))*('Port Linkages'!$A$18:$A$157&lt;=$C26))))</f>
        <v>Capesize_General</v>
      </c>
      <c r="AAZ26" s="392" t="str">
        <f t="array" aca="1" ref="AAZ26" ca="1">INDEX('Port Linkages'!$O$18:$O$157,MATCH(2,1/(('Port Linkages'!$C$18:$C$157=$AP26)*('Port Linkages'!$D$18:$D$157=IF($AO26="Yes",$AQ26,$KK26))*('Port Linkages'!$A$18:$A$157&lt;=$C26))))</f>
        <v>Singapore</v>
      </c>
      <c r="ABA26" s="392" t="str">
        <f t="array" aca="1" ref="ABA26" ca="1">INDEX('Port Linkages'!$P$18:$P$157,MATCH(2,1/(('Port Linkages'!$C$18:$C$157=$AP26)*('Port Linkages'!$D$18:$D$157=IF($AO26="Yes",$AQ26,$KK26))*('Port Linkages'!$A$18:$A$157&lt;=$C26))))</f>
        <v>VLSFO</v>
      </c>
      <c r="ABB26" s="392" t="str">
        <f t="array" aca="1" ref="ABB26" ca="1">INDEX('Port Linkages'!$Q$18:$Q$157,MATCH(2,1/(('Port Linkages'!$C$18:$C$157=$AP26)*('Port Linkages'!$D$18:$D$157=IF($AO26="Yes",$AQ26,$KK26))*('Port Linkages'!$A$18:$A$157&lt;=$C26))))</f>
        <v>MGO_Regular</v>
      </c>
      <c r="ABC26" s="392" t="str">
        <f t="array" aca="1" ref="ABC26" ca="1">INDEX('Port Linkages'!$R$18:$R$157,MATCH(2,1/(('Port Linkages'!$C$18:$C$157=$AP26)*('Port Linkages'!$D$18:$D$157=IF($AO26="Yes",$AQ26,$KK26))*('Port Linkages'!$A$18:$A$157&lt;=$C26))))</f>
        <v>none</v>
      </c>
      <c r="ABD26" s="392" t="e">
        <f t="array" aca="1" ref="ABD26" ca="1">INDEX('Port Linkages'!$S$18:$S$157,MATCH(2,1/(('Port Linkages'!$C$18:$C$157=$AP26)*('Port Linkages'!$D$18:$D$157=IF($AO26="Yes",$AQ26,$KK26))*('Port Linkages'!$A$18:$A$157&lt;=$C26))))</f>
        <v>#N/A</v>
      </c>
      <c r="ABE26" s="392">
        <f t="array" aca="1" ref="ABE26" ca="1">INDEX('Port Linkages'!$T$18:$T$157,MATCH(2,1/(('Port Linkages'!$C$18:$C$157=$AP26)*('Port Linkages'!$D$18:$D$157=IF($AO26="Yes",$AQ26,$KK26))*('Port Linkages'!$A$18:$A$157&lt;=$C26))))</f>
        <v>0</v>
      </c>
      <c r="ABF26" s="392" t="str">
        <f t="array" aca="1" ref="ABF26" ca="1">INDEX('Port Linkages'!$U$18:$U$157,MATCH(2,1/(('Port Linkages'!$C$18:$C$157=$AP26)*('Port Linkages'!$D$18:$D$157=IF($AO26="Yes",$AQ26,$KK26))*('Port Linkages'!$A$18:$A$157&lt;=$C26))))</f>
        <v>Capesize_General</v>
      </c>
      <c r="ABG26" s="392" t="str">
        <f t="array" aca="1" ref="ABG26" ca="1">INDEX('Port Linkages'!$V$18:$V$157,MATCH(2,1/(('Port Linkages'!$C$18:$C$157=$AP26)*('Port Linkages'!$D$18:$D$157=IF($AO26="Yes",$AQ26,$KK26))*('Port Linkages'!$A$18:$A$157&lt;=$C26))))</f>
        <v>Singapore</v>
      </c>
      <c r="ABH26" s="392" t="str">
        <f t="array" aca="1" ref="ABH26" ca="1">INDEX('Port Linkages'!$W$18:$W$157,MATCH(2,1/(('Port Linkages'!$C$18:$C$157=$AP26)*('Port Linkages'!$D$18:$D$157=IF($AO26="Yes",$AQ26,$KK26))*('Port Linkages'!$A$18:$A$157&lt;=$C26))))</f>
        <v>VLSFO</v>
      </c>
      <c r="ABI26" s="392" t="str">
        <f t="array" aca="1" ref="ABI26" ca="1">INDEX('Port Linkages'!$X$18:$X$157,MATCH(2,1/(('Port Linkages'!$C$18:$C$157=$AP26)*('Port Linkages'!$D$18:$D$157=IF($AO26="Yes",$AQ26,$KK26))*('Port Linkages'!$A$18:$A$157&lt;=$C26))))</f>
        <v>MGO_Regular</v>
      </c>
      <c r="ABJ26" s="392" t="str">
        <f t="array" aca="1" ref="ABJ26" ca="1">INDEX('Port Linkages'!$Y$18:$Y$157,MATCH(2,1/(('Port Linkages'!$C$18:$C$157=$AP26)*('Port Linkages'!$D$18:$D$157=IF($AO26="Yes",$AQ26,$KK26))*('Port Linkages'!$A$18:$A$157&lt;=$C26))))</f>
        <v>none</v>
      </c>
      <c r="ABK26" s="392">
        <f t="array" aca="1" ref="ABK26" ca="1">INDEX('Port Linkages'!$Z$18:$Z$157,MATCH(2,1/(('Port Linkages'!$C$18:$C$157=$AP26)*('Port Linkages'!$D$18:$D$157=IF($AO26="Yes",$AQ26,$KK26))*('Port Linkages'!$A$18:$A$157&lt;=$C26))))</f>
        <v>3280</v>
      </c>
      <c r="ABL26" s="392">
        <f t="array" aca="1" ref="ABL26" ca="1">INDEX('Port Linkages'!$AA$18:$AA$157,MATCH(2,1/(('Port Linkages'!$C$18:$C$157=$AP26)*('Port Linkages'!$D$18:$D$157=IF($AO26="Yes",$AQ26,$KK26))*('Port Linkages'!$A$18:$A$157&lt;=$C26))))</f>
        <v>0</v>
      </c>
      <c r="ABM26" s="392" t="str">
        <f t="array" aca="1" ref="ABM26" ca="1">INDEX('Port Linkages'!$AB$18:$AB$157,MATCH(2,1/(('Port Linkages'!$C$18:$C$157=$AP26)*('Port Linkages'!$D$18:$D$157=IF($AO26="Yes",$AQ26,$KK26))*('Port Linkages'!$A$18:$A$157&lt;=$C26))))</f>
        <v>Capesize_General</v>
      </c>
      <c r="ABN26" s="392" t="str">
        <f t="array" aca="1" ref="ABN26" ca="1">INDEX('Port Linkages'!$AC$18:$AC$157,MATCH(2,1/(('Port Linkages'!$C$18:$C$157=$AP26)*('Port Linkages'!$D$18:$D$157=IF($AO26="Yes",$AQ26,$KK26))*('Port Linkages'!$A$18:$A$157&lt;=$C26))))</f>
        <v>Singapore</v>
      </c>
      <c r="ABO26" s="392" t="str">
        <f t="array" aca="1" ref="ABO26" ca="1">INDEX('Port Linkages'!$AD$18:$AD$157,MATCH(2,1/(('Port Linkages'!$C$18:$C$157=$AP26)*('Port Linkages'!$D$18:$D$157=IF($AO26="Yes",$AQ26,$KK26))*('Port Linkages'!$A$18:$A$157&lt;=$C26))))</f>
        <v>VLSFO</v>
      </c>
      <c r="ABP26" s="392" t="str">
        <f t="array" aca="1" ref="ABP26" ca="1">INDEX('Port Linkages'!$AE$18:$AE$157,MATCH(2,1/(('Port Linkages'!$C$18:$C$157=$AP26)*('Port Linkages'!$D$18:$D$157=IF($AO26="Yes",$AQ26,$KK26))*('Port Linkages'!$A$18:$A$157&lt;=$C26))))</f>
        <v>MGO_Regular</v>
      </c>
      <c r="ABQ26" s="392" t="str">
        <f t="array" aca="1" ref="ABQ26" ca="1">INDEX('Port Linkages'!$AF$18:$AF$157,MATCH(2,1/(('Port Linkages'!$C$18:$C$157=$AP26)*('Port Linkages'!$D$18:$D$157=IF($AO26="Yes",$AQ26,$KK26))*('Port Linkages'!$A$18:$A$157&lt;=$C26))))</f>
        <v>none</v>
      </c>
      <c r="ABR26" s="392">
        <f t="array" aca="1" ref="ABR26" ca="1">INDEX('Port Linkages'!$AG$18:$AG$157,MATCH(2,1/(('Port Linkages'!$C$18:$C$157=$AP26)*('Port Linkages'!$D$18:$D$157=IF($AO26="Yes",$AQ26,$KK26))*('Port Linkages'!$A$18:$A$157&lt;=$C26))))</f>
        <v>3280</v>
      </c>
      <c r="ABS26" s="392">
        <f t="array" aca="1" ref="ABS26" ca="1">INDEX('Port Linkages'!$AH$18:$AH$157,MATCH(2,1/(('Port Linkages'!$C$18:$C$157=$AP26)*('Port Linkages'!$D$18:$D$157=IF($AO26="Yes",$AQ26,$KK26))*('Port Linkages'!$A$18:$A$157&lt;=$C26))))</f>
        <v>0</v>
      </c>
      <c r="ABT26" s="392" t="str">
        <f t="array" aca="1" ref="ABT26" ca="1">INDEX('Port Linkages'!$AI$18:$AI$157,MATCH(2,1/(('Port Linkages'!$C$18:$C$157=$AP26)*('Port Linkages'!$D$18:$D$157=IF($AO26="Yes",$AQ26,$KK26))*('Port Linkages'!$A$18:$A$157&lt;=$C26))))</f>
        <v>Panamax_General</v>
      </c>
      <c r="ABU26" s="392" t="str">
        <f t="array" aca="1" ref="ABU26" ca="1">INDEX('Port Linkages'!$AJ$18:$AJ$157,MATCH(2,1/(('Port Linkages'!$C$18:$C$157=$AP26)*('Port Linkages'!$D$18:$D$157=IF($AO26="Yes",$AQ26,$KK26))*('Port Linkages'!$A$18:$A$157&lt;=$C26))))</f>
        <v>Singapore</v>
      </c>
      <c r="ABV26" s="392" t="str">
        <f t="array" aca="1" ref="ABV26" ca="1">INDEX('Port Linkages'!$AK$18:$AK$157,MATCH(2,1/(('Port Linkages'!$C$18:$C$157=$AP26)*('Port Linkages'!$D$18:$D$157=IF($AO26="Yes",$AQ26,$KK26))*('Port Linkages'!$A$18:$A$157&lt;=$C26))))</f>
        <v>VLSFO</v>
      </c>
      <c r="ABW26" s="392" t="str">
        <f t="array" aca="1" ref="ABW26" ca="1">INDEX('Port Linkages'!$AL$18:$AL$157,MATCH(2,1/(('Port Linkages'!$C$18:$C$157=$AP26)*('Port Linkages'!$D$18:$D$157=IF($AO26="Yes",$AQ26,$KK26))*('Port Linkages'!$A$18:$A$157&lt;=$C26))))</f>
        <v>MGO_Regular</v>
      </c>
      <c r="ABX26" s="392" t="str">
        <f t="array" aca="1" ref="ABX26" ca="1">INDEX('Port Linkages'!$AM$18:$AM$157,MATCH(2,1/(('Port Linkages'!$C$18:$C$157=$AP26)*('Port Linkages'!$D$18:$D$157=IF($AO26="Yes",$AQ26,$KK26))*('Port Linkages'!$A$18:$A$157&lt;=$C26))))</f>
        <v>none</v>
      </c>
      <c r="ABY26" s="392">
        <f t="array" aca="1" ref="ABY26" ca="1">INDEX('Port Linkages'!$AN$18:$AN$157,MATCH(2,1/(('Port Linkages'!$C$18:$C$157=$AP26)*('Port Linkages'!$D$18:$D$157=IF($AO26="Yes",$AQ26,$KK26))*('Port Linkages'!$A$18:$A$157&lt;=$C26))))</f>
        <v>3280</v>
      </c>
      <c r="ABZ26" s="392">
        <f t="array" aca="1" ref="ABZ26" ca="1">INDEX('Port Linkages'!$AO$18:$AO$157,MATCH(2,1/(('Port Linkages'!$C$18:$C$157=$AP26)*('Port Linkages'!$D$18:$D$157=IF($AO26="Yes",$AQ26,$KK26))*('Port Linkages'!$A$18:$A$157&lt;=$C26))))</f>
        <v>0</v>
      </c>
      <c r="ACA26" s="392" t="str">
        <f t="array" aca="1" ref="ACA26" ca="1">INDEX('Port Linkages'!$AP$18:$AP$157,MATCH(2,1/(('Port Linkages'!$C$18:$C$157=$AP26)*('Port Linkages'!$D$18:$D$157=IF($AO26="Yes",$AQ26,$KK26))*('Port Linkages'!$A$18:$A$157&lt;=$C26))))</f>
        <v>Supramax_General</v>
      </c>
      <c r="ACB26" s="392" t="str">
        <f t="array" aca="1" ref="ACB26" ca="1">INDEX('Port Linkages'!$AQ$18:$AQ$157,MATCH(2,1/(('Port Linkages'!$C$18:$C$157=$AP26)*('Port Linkages'!$D$18:$D$157=IF($AO26="Yes",$AQ26,$KK26))*('Port Linkages'!$A$18:$A$157&lt;=$C26))))</f>
        <v>Singapore</v>
      </c>
      <c r="ACC26" s="392" t="str">
        <f t="array" aca="1" ref="ACC26" ca="1">INDEX('Port Linkages'!$AR$18:$AR$157,MATCH(2,1/(('Port Linkages'!$C$18:$C$157=$AP26)*('Port Linkages'!$D$18:$D$157=IF($AO26="Yes",$AQ26,$KK26))*('Port Linkages'!$A$18:$A$157&lt;=$C26))))</f>
        <v>VLSFO</v>
      </c>
      <c r="ACD26" s="392" t="str">
        <f t="array" aca="1" ref="ACD26" ca="1">INDEX('Port Linkages'!$AS$18:$AS$157,MATCH(2,1/(('Port Linkages'!$C$18:$C$157=$AP26)*('Port Linkages'!$D$18:$D$157=IF($AO26="Yes",$AQ26,$KK26))*('Port Linkages'!$A$18:$A$157&lt;=$C26))))</f>
        <v>MGO_Regular</v>
      </c>
      <c r="ACE26" s="392" t="str">
        <f t="array" aca="1" ref="ACE26" ca="1">INDEX('Port Linkages'!$AT$18:$AT$157,MATCH(2,1/(('Port Linkages'!$C$18:$C$157=$AP26)*('Port Linkages'!$D$18:$D$157=IF($AO26="Yes",$AQ26,$KK26))*('Port Linkages'!$A$18:$A$157&lt;=$C26))))</f>
        <v>none</v>
      </c>
      <c r="ACF26" s="392">
        <f t="array" aca="1" ref="ACF26" ca="1">INDEX('Port Linkages'!$AU$18:$AU$157,MATCH(2,1/(('Port Linkages'!$C$18:$C$157=$AP26)*('Port Linkages'!$D$18:$D$157=IF($AO26="Yes",$AQ26,$KK26))*('Port Linkages'!$A$18:$A$157&lt;=$C26))))</f>
        <v>3280</v>
      </c>
      <c r="ACG26" s="392">
        <f t="array" aca="1" ref="ACG26" ca="1">INDEX('Port Linkages'!$AV$18:$AV$157,MATCH(2,1/(('Port Linkages'!$C$18:$C$157=$AP26)*('Port Linkages'!$D$18:$D$157=IF($AO26="Yes",$AQ26,$KK26))*('Port Linkages'!$A$18:$A$157&lt;=$C26))))</f>
        <v>0</v>
      </c>
      <c r="ACH26" s="392" t="str">
        <f t="array" aca="1" ref="ACH26" ca="1">INDEX('Port Linkages'!$AW$18:$AW$157,MATCH(2,1/(('Port Linkages'!$C$18:$C$157=$AP26)*('Port Linkages'!$D$18:$D$157=IF($AO26="Yes",$AQ26,$KK26))*('Port Linkages'!$A$18:$A$157&lt;=$C26))))</f>
        <v>Handysize_General</v>
      </c>
      <c r="ACI26" s="392" t="str">
        <f t="array" aca="1" ref="ACI26" ca="1">INDEX('Port Linkages'!$AX$18:$AX$157,MATCH(2,1/(('Port Linkages'!$C$18:$C$157=$AP26)*('Port Linkages'!$D$18:$D$157=IF($AO26="Yes",$AQ26,$KK26))*('Port Linkages'!$A$18:$A$157&lt;=$C26))))</f>
        <v>Singapore</v>
      </c>
      <c r="ACJ26" s="392" t="str">
        <f t="array" aca="1" ref="ACJ26" ca="1">INDEX('Port Linkages'!$AY$18:$AY$157,MATCH(2,1/(('Port Linkages'!$C$18:$C$157=$AP26)*('Port Linkages'!$D$18:$D$157=IF($AO26="Yes",$AQ26,$KK26))*('Port Linkages'!$A$18:$A$157&lt;=$C26))))</f>
        <v>VLSFO</v>
      </c>
      <c r="ACK26" s="392" t="str">
        <f t="array" aca="1" ref="ACK26" ca="1">INDEX('Port Linkages'!$AZ$18:$AZ$157,MATCH(2,1/(('Port Linkages'!$C$18:$C$157=$AP26)*('Port Linkages'!$D$18:$D$157=IF($AO26="Yes",$AQ26,$KK26))*('Port Linkages'!$A$18:$A$157&lt;=$C26))))</f>
        <v>MGO_Regular</v>
      </c>
      <c r="ACL26" s="392" t="str">
        <f t="array" aca="1" ref="ACL26" ca="1">INDEX('Port Linkages'!$BA$18:$BA$157,MATCH(2,1/(('Port Linkages'!$C$18:$C$157=$AP26)*('Port Linkages'!$D$18:$D$157=IF($AO26="Yes",$AQ26,$KK26))*('Port Linkages'!$A$18:$A$157&lt;=$C26))))</f>
        <v>none</v>
      </c>
      <c r="ACN26" s="391" t="e">
        <f t="array" aca="1" ref="ACN26" ca="1">INDEX('Ship Fuel Prices'!$F$5:$F$1004,MATCH(2,1/(('Ship Fuel Prices'!$E$5:$E$1004=_xlfn.IFS(AAC26="Handysize",Main!ACI26,AAC26="Supramax",ACB26,AAC26="Panamax",ABU26,AAC26="NeoPanamax",ABN26,AAC26="Suezmax",ABG26,AAC26="Capesize",AAZ26,AAC26="VLOC",AAS26))*('Ship Fuel Prices'!$D$5:$D$1004&lt;=Main!$C26))))</f>
        <v>#N/A</v>
      </c>
      <c r="ACO26" s="391" t="e">
        <f t="array" aca="1" ref="ACO26" ca="1">INDEX('Ship Fuel Prices'!$G$5:$G$1004,MATCH(2,1/(('Ship Fuel Prices'!$E$5:$E$1004=_xlfn.IFS(AAC26="Handysize",Main!ACI26,AAC26="Supramax",ACB26,AAC26="Panamax",ABU26,AAC26="NeoPanamax",ABN26,AAC26="Suezmax",ABG26,AAC26="Capesize",AAZ26,AAC26="VLOC",AAS26))*('Ship Fuel Prices'!$D$5:$D$1004&lt;=Main!$C26))))</f>
        <v>#N/A</v>
      </c>
      <c r="ACP26" s="391" t="e">
        <f t="array" aca="1" ref="ACP26" ca="1">INDEX('Ship Fuel Prices'!$H$5:$H$1004,MATCH(2,1/(('Ship Fuel Prices'!$E$5:$E$1004=_xlfn.IFS(AAC26="Handysize",Main!ACI26,AAC26="Supramax",ACB26,AAC26="Panamax",ABU26,AAC26="NeoPanamax",ABN26,AAC26="Suezmax",ABG26,AAC26="Capesize",AAZ26,AAC26="VLOC",AAS26))*('Ship Fuel Prices'!$D$5:$D$1004&lt;=Main!$C26))))</f>
        <v>#N/A</v>
      </c>
      <c r="ACQ26" s="391" t="e">
        <f t="array" aca="1" ref="ACQ26" ca="1">INDEX('Ship Fuel Prices'!$I$5:$I$1004,MATCH(2,1/(('Ship Fuel Prices'!$E$5:$E$1004=_xlfn.IFS(AAC26="Handysize",Main!ACI26,AAC26="Supramax",ACB26,AAC26="Panamax",ABU26,AAC26="NeoPanamax",ABN26,AAC26="Suezmax",ABG26,AAC26="Capesize",AAZ26,AAC26="VLOC",AAS26))*('Ship Fuel Prices'!$D$5:$D$1004&lt;=Main!$C26))))</f>
        <v>#N/A</v>
      </c>
      <c r="ACR26" s="391" t="e">
        <f t="array" aca="1" ref="ACR26" ca="1">INDEX('Ship Fuel Prices'!$J$5:$J$1004,MATCH(2,1/(('Ship Fuel Prices'!$E$5:$E$1004=_xlfn.IFS(AAC26="Handysize",Main!ACI26,AAC26="Supramax",ACB26,AAC26="Panamax",ABU26,AAC26="NeoPanamax",ABN26,AAC26="Suezmax",ABG26,AAC26="Capesize",AAZ26,AAC26="VLOC",AAS26))*('Ship Fuel Prices'!$D$5:$D$1004&lt;=Main!$C26))))</f>
        <v>#N/A</v>
      </c>
      <c r="ACT26" s="392">
        <f t="array" aca="1" ref="ACT26" ca="1">INDEX('China n Importing Ports'!$E$20:$E$41,MATCH(2,1/(('China n Importing Ports'!$D$20:$D$41&lt;=$C26)*('China n Importing Ports'!$C$20:$C$41=IF($AO26="Yes",$AQ26,$KK26)))))</f>
        <v>42500</v>
      </c>
      <c r="ACU26" s="392">
        <f t="array" aca="1" ref="ACU26" ca="1">INDEX('China n Importing Ports'!$F$20:$F$41,MATCH(2,1/(('China n Importing Ports'!$D$20:$D$41&lt;=$C26)*('China n Importing Ports'!$C$20:$C$41=IF($AO26="Yes",$AQ26,$KK26)))))</f>
        <v>42500</v>
      </c>
      <c r="ACV26" s="392">
        <f t="array" aca="1" ref="ACV26" ca="1">INDEX('China n Importing Ports'!$G$20:$G$41,MATCH(2,1/(('China n Importing Ports'!$D$20:$D$41&lt;=$C26)*('China n Importing Ports'!$C$20:$C$41=IF($AO26="Yes",$AQ26,$KK26)))))</f>
        <v>42500</v>
      </c>
      <c r="ACW26" s="392">
        <f t="array" aca="1" ref="ACW26" ca="1">INDEX('China n Importing Ports'!$H$20:$H$41,MATCH(2,1/(('China n Importing Ports'!$D$20:$D$41&lt;=$C26)*('China n Importing Ports'!$C$20:$C$41=IF($AO26="Yes",$AQ26,$KK26)))))</f>
        <v>42500</v>
      </c>
      <c r="ACX26" s="392">
        <f t="array" aca="1" ref="ACX26" ca="1">INDEX('China n Importing Ports'!$I$20:$I$41,MATCH(2,1/(('China n Importing Ports'!$D$20:$D$41&lt;=$C26)*('China n Importing Ports'!$C$20:$C$41=IF($AO26="Yes",$AQ26,$KK26)))))</f>
        <v>42500</v>
      </c>
      <c r="ACY26" s="392">
        <f t="array" aca="1" ref="ACY26" ca="1">INDEX('China n Importing Ports'!$J$20:$J$41,MATCH(2,1/(('China n Importing Ports'!$D$20:$D$41&lt;=$C26)*('China n Importing Ports'!$C$20:$C$41=IF($AO26="Yes",$AQ26,$KK26)))))</f>
        <v>42500</v>
      </c>
      <c r="ACZ26" s="392">
        <f t="array" aca="1" ref="ACZ26" ca="1">INDEX('China n Importing Ports'!$K$20:$K$41,MATCH(2,1/(('China n Importing Ports'!$D$20:$D$41&lt;=$C26)*('China n Importing Ports'!$C$20:$C$41=IF($AO26="Yes",$AQ26,$KK26)))))</f>
        <v>42500</v>
      </c>
      <c r="ADA26" s="392" t="str">
        <f t="array" aca="1" ref="ADA26" ca="1">INDEX('China n Importing Ports'!$L$20:$L$41,MATCH(2,1/(('China n Importing Ports'!$D$20:$D$41&lt;=$C26)*('China n Importing Ports'!$C$20:$C$41=IF($AO26="Yes",$AQ26,$KK26)))))</f>
        <v>RMB</v>
      </c>
      <c r="ADB26" s="392">
        <f t="array" aca="1" ref="ADB26" ca="1">INDEX('China n Importing Ports'!$M$20:$M$41,MATCH(2,1/(('China n Importing Ports'!$D$20:$D$41&lt;=$C26)*('China n Importing Ports'!$C$20:$C$41=IF($AO26="Yes",$AQ26,$KK26)))))</f>
        <v>12342</v>
      </c>
      <c r="ADC26" s="392">
        <f t="array" aca="1" ref="ADC26" ca="1">INDEX('China n Importing Ports'!$N$20:$N$41,MATCH(2,1/(('China n Importing Ports'!$D$20:$D$41&lt;=$C26)*('China n Importing Ports'!$C$20:$C$41=IF($AO26="Yes",$AQ26,$KK26)))))</f>
        <v>0</v>
      </c>
      <c r="ADD26" s="392">
        <f t="array" aca="1" ref="ADD26" ca="1">INDEX('China n Importing Ports'!$O$20:$O$41,MATCH(2,1/(('China n Importing Ports'!$D$20:$D$41&lt;=$C26)*('China n Importing Ports'!$C$20:$C$41=IF($AO26="Yes",$AQ26,$KK26)))))</f>
        <v>0</v>
      </c>
      <c r="ADE26" s="393">
        <f t="array" aca="1" ref="ADE26" ca="1">INDEX('China n Importing Ports'!$P$20:$P$41,MATCH(2,1/(('China n Importing Ports'!$D$20:$D$41&lt;=$C26)*('China n Importing Ports'!$C$20:$C$41=IF($AO26="Yes",$AQ26,$KK26)))))</f>
        <v>2.64</v>
      </c>
      <c r="ADF26" s="393">
        <f t="array" aca="1" ref="ADF26" ca="1">INDEX('China n Importing Ports'!$Q$20:$Q$41,MATCH(2,1/(('China n Importing Ports'!$D$20:$D$41&lt;=$C26)*('China n Importing Ports'!$C$20:$C$41=IF($AO26="Yes",$AQ26,$KK26)))))</f>
        <v>0</v>
      </c>
      <c r="ADG26" s="393">
        <f t="array" aca="1" ref="ADG26" ca="1">INDEX('China n Importing Ports'!$R$20:$R$41,MATCH(2,1/(('China n Importing Ports'!$D$20:$D$41&lt;=$C26)*('China n Importing Ports'!$C$20:$C$41=IF($AO26="Yes",$AQ26,$KK26)))))</f>
        <v>0</v>
      </c>
      <c r="ADH26" s="393">
        <f t="array" aca="1" ref="ADH26" ca="1">INDEX('China n Importing Ports'!$S$20:$S$41,MATCH(2,1/(('China n Importing Ports'!$D$20:$D$41&lt;=$C26)*('China n Importing Ports'!$C$20:$C$41=IF($AO26="Yes",$AQ26,$KK26)))))</f>
        <v>4.53</v>
      </c>
      <c r="ADI26" s="393">
        <f t="array" aca="1" ref="ADI26" ca="1">INDEX('China n Importing Ports'!$T$20:$T$41,MATCH(2,1/(('China n Importing Ports'!$D$20:$D$41&lt;=$C26)*('China n Importing Ports'!$C$20:$C$41=IF($AO26="Yes",$AQ26,$KK26)))))</f>
        <v>0.36699999999999999</v>
      </c>
      <c r="ADJ26" s="393">
        <f t="array" aca="1" ref="ADJ26" ca="1">INDEX('China n Importing Ports'!$U$20:$U$41,MATCH(2,1/(('China n Importing Ports'!$D$20:$D$41&lt;=$C26)*('China n Importing Ports'!$C$20:$C$41=IF($AO26="Yes",$AQ26,$KK26)))))</f>
        <v>0.05</v>
      </c>
      <c r="ADK26" s="393">
        <f t="array" aca="1" ref="ADK26" ca="1">INDEX('China n Importing Ports'!$V$20:$V$41,MATCH(2,1/(('China n Importing Ports'!$D$20:$D$41&lt;=$C26)*('China n Importing Ports'!$C$20:$C$41=IF($AO26="Yes",$AQ26,$KK26)))))</f>
        <v>0</v>
      </c>
      <c r="ADL26" s="393">
        <f t="array" aca="1" ref="ADL26" ca="1">INDEX('China n Importing Ports'!$W$20:$W$41,MATCH(2,1/(('China n Importing Ports'!$D$20:$D$41&lt;=$C26)*('China n Importing Ports'!$C$20:$C$41=IF($AO26="Yes",$AQ26,$KK26)))))</f>
        <v>0</v>
      </c>
      <c r="ADM26" s="393">
        <f t="array" aca="1" ref="ADM26" ca="1">INDEX('China n Importing Ports'!$X$20:$X$41,MATCH(2,1/(('China n Importing Ports'!$D$20:$D$41&lt;=$C26)*('China n Importing Ports'!$C$20:$C$41=IF($AO26="Yes",$AQ26,$KK26)))))</f>
        <v>0</v>
      </c>
      <c r="ADN26" s="393">
        <f t="array" aca="1" ref="ADN26" ca="1">INDEX('China n Importing Ports'!$Y$20:$Y$41,MATCH(2,1/(('China n Importing Ports'!$D$20:$D$41&lt;=$C26)*('China n Importing Ports'!$C$20:$C$41=IF($AO26="Yes",$AQ26,$KK26)))))</f>
        <v>197</v>
      </c>
      <c r="ADO26" s="393">
        <f t="array" aca="1" ref="ADO26" ca="1">INDEX('China n Importing Ports'!$Z$20:$Z$41,MATCH(2,1/(('China n Importing Ports'!$D$20:$D$41&lt;=$C26)*('China n Importing Ports'!$C$20:$C$41=IF($AO26="Yes",$AQ26,$KK26)))))</f>
        <v>0</v>
      </c>
      <c r="ADP26" s="393">
        <f t="array" aca="1" ref="ADP26" ca="1">INDEX('China n Importing Ports'!$AA$20:$AA$41,MATCH(2,1/(('China n Importing Ports'!$D$20:$D$41&lt;=$C26)*('China n Importing Ports'!$C$20:$C$41=IF($AO26="Yes",$AQ26,$KK26)))))</f>
        <v>0</v>
      </c>
      <c r="ADR26" s="392" t="e">
        <f t="array" aca="1" ref="ADR26" ca="1">INDEX(Canals!$G$24:$G$29,MATCH(2,1/((Canals!$F$24:$F$29&lt;=$C26)*(Canals!$G$24:$G$29=_xlfn.IFS(AAC26="Handysize",Main!ACL26,AAC26="Supramax",ACE26,AAC26="Panamax",ABX26,AAC26="NeoPanamax",ABQ26,AAC26="Suezmax",ABJ26,AAC26="Capesize",ABC26,AAC26="VLOC",AAV26)))))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S26" s="392" t="e">
        <f t="array" aca="1" ref="ADS26" ca="1">INDEX(Canals!$H$24:$H$29,MATCH(2,1/((Canals!$F$24:$F$29&lt;=$C26)*(Canals!$G$24:$G$29=_xlfn.IFS(AAC26="Handysize",Main!ACL26,AAC26="Supramax",ACE26,AAC26="Panamax",ABX26,AAC26="NeoPanamax",ABQ26,AAC26="Suezmax",ABJ26,AAC26="Capesize",ABC26,AAC26="VLOC",AAV26)))))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T26" s="392" t="e">
        <f t="array" aca="1" ref="ADT26" ca="1">INDEX(Canals!$I$24:$I$29,MATCH(2,1/((Canals!$F$24:$F$29&lt;=$C26)*(Canals!$G$24:$G$29=_xlfn.IFS(AAC26="Handysize",Main!ACL26,AAC26="Supramax",ACE26,AAC26="Panamax",ABX26,AAC26="NeoPanamax",ABQ26,AAC26="Suezmax",ABJ26,AAC26="Capesize",ABC26,AAC26="VLOC",AAV26)))))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U26" s="392" t="e">
        <f t="array" aca="1" ref="ADU26" ca="1">INDEX(Canals!$J$24:$J$29,MATCH(2,1/((Canals!$F$24:$F$29&lt;=$C26)*(Canals!$G$24:$G$29=_xlfn.IFS(AAC26="Handysize",Main!ACL26,AAC26="Supramax",ACE26,AAC26="Panamax",ABX26,AAC26="NeoPanamax",ABQ26,AAC26="Suezmax",ABJ26,AAC26="Capesize",ABC26,AAC26="VLOC",AAV26)))))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V26" s="392" t="e">
        <f t="array" aca="1" ref="ADV26" ca="1">INDEX(Canals!$K$24:$K$29,MATCH(2,1/((Canals!$F$24:$F$29&lt;=$C26)*(Canals!$G$24:$G$29=_xlfn.IFS(AAC26="Handysize",Main!ACL26,AAC26="Supramax",ACE26,AAC26="Panamax",ABX26,AAC26="NeoPanamax",ABQ26,AAC26="Suezmax",ABJ26,AAC26="Capesize",ABC26,AAC26="VLOC",AAV26)))))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W26" s="392" t="e">
        <f t="array" aca="1" ref="ADW26" ca="1">INDEX(Canals!$L$24:$L$29,MATCH(2,1/((Canals!$F$24:$F$29&lt;=$C26)*(Canals!$G$24:$G$29=_xlfn.IFS(AAC26="Handysize",Main!ACL26,AAC26="Supramax",ACE26,AAC26="Panamax",ABX26,AAC26="NeoPanamax",ABQ26,AAC26="Suezmax",ABJ26,AAC26="Capesize",ABC26,AAC26="VLOC",AAV26)))))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X26" s="392" t="e">
        <f t="array" aca="1" ref="ADX26" ca="1">INDEX(Canals!$M$24:$M$29,MATCH(2,1/((Canals!$F$24:$F$29&lt;=$C26)*(Canals!$G$24:$G$29=_xlfn.IFS(AAC26="Handysize",Main!ACL26,AAC26="Supramax",ACE26,AAC26="Panamax",ABX26,AAC26="NeoPanamax",ABQ26,AAC26="Suezmax",ABJ26,AAC26="Capesize",ABC26,AAC26="VLOC",AAV26)))))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Y26" s="392" t="e">
        <f t="array" aca="1" ref="ADY26" ca="1">INDEX(Canals!$N$24:$N$29,MATCH(2,1/((Canals!$F$24:$F$29&lt;=$C26)*(Canals!$G$24:$G$29=_xlfn.IFS(AAC26="Handysize",Main!ACL26,AAC26="Supramax",ACE26,AAC26="Panamax",ABX26,AAC26="NeoPanamax",ABQ26,AAC26="Suezmax",ABJ26,AAC26="Capesize",ABC26,AAC26="VLOC",AAV26)))))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DZ26" s="392" t="e">
        <f t="array" aca="1" ref="ADZ26" ca="1">INDEX(Canals!$O$24:$O$29,MATCH(2,1/((Canals!$F$24:$F$29&lt;=$C26)*(Canals!$G$24:$G$29=_xlfn.IFS(AAC26="Handysize",Main!ACL26,AAC26="Supramax",ACE26,AAC26="Panamax",ABX26,AAC26="NeoPanamax",ABQ26,AAC26="Suezmax",ABJ26,AAC26="Capesize",ABC26,AAC26="VLOC",AAV26)))))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A26" s="392" t="e">
        <f t="array" aca="1" ref="AEA26" ca="1">INDEX(Canals!$P$24:$P$29,MATCH(2,1/((Canals!$F$24:$F$29&lt;=$C26)*(Canals!$G$24:$G$29=_xlfn.IFS(AAC26="Handysize",Main!ACL26,AAC26="Supramax",ACE26,AAC26="Panamax",ABX26,AAC26="NeoPanamax",ABQ26,AAC26="Suezmax",ABJ26,AAC26="Capesize",ABC26,AAC26="VLOC",AAV26)))))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B26" s="392" t="e">
        <f t="array" aca="1" ref="AEB26" ca="1">INDEX(Canals!$Q$24:$Q$29,MATCH(2,1/((Canals!$F$24:$F$29&lt;=$C26)*(Canals!$G$24:$G$29=_xlfn.IFS(AAC26="Handysize",Main!ACL26,AAC26="Supramax",ACE26,AAC26="Panamax",ABX26,AAC26="NeoPanamax",ABQ26,AAC26="Suezmax",ABJ26,AAC26="Capesize",ABC26,AAC26="VLOC",AAV26)))))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C26" s="392" t="e">
        <f t="array" aca="1" ref="AEC26" ca="1">INDEX(Canals!$R$24:$R$29,MATCH(2,1/((Canals!$F$24:$F$29&lt;=$C26)*(Canals!$G$24:$G$29=_xlfn.IFS(AAC26="Handysize",Main!ACL26,AAC26="Supramax",ACE26,AAC26="Panamax",ABX26,AAC26="NeoPanamax",ABQ26,AAC26="Suezmax",ABJ26,AAC26="Capesize",ABC26,AAC26="VLOC",AAV26)))))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D26" s="393" t="e">
        <f t="array" aca="1" ref="AED26" ca="1">INDEX(Canals!$S$24:$S$29,MATCH(2,1/((Canals!$F$24:$F$29&lt;=$C26)*(Canals!$G$24:$G$29=_xlfn.IFS(AAC26="Handysize",Main!ACL26,AAC26="Supramax",ACE26,AAC26="Panamax",ABX26,AAC26="NeoPanamax",ABQ26,AAC26="Suezmax",ABJ26,AAC26="Capesize",ABC26,AAC26="VLOC",AAV26)))))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E26" s="393" t="e">
        <f t="array" aca="1" ref="AEE26" ca="1">INDEX(Canals!$T$24:$T$29,MATCH(2,1/((Canals!$F$24:$F$29&lt;=$C26)*(Canals!$G$24:$G$29=_xlfn.IFS(AAC26="Handysize",Main!ACL26,AAC26="Supramax",ACE26,AAC26="Panamax",ABX26,AAC26="NeoPanamax",ABQ26,AAC26="Suezmax",ABJ26,AAC26="Capesize",ABC26,AAC26="VLOC",AAV26)))))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F26" s="393" t="e">
        <f t="array" aca="1" ref="AEF26" ca="1">INDEX(Canals!$U$24:$U$29,MATCH(2,1/((Canals!$F$24:$F$29&lt;=$C26)*(Canals!$G$24:$G$29=_xlfn.IFS(AAC26="Handysize",Main!ACL26,AAC26="Supramax",ACE26,AAC26="Panamax",ABX26,AAC26="NeoPanamax",ABQ26,AAC26="Suezmax",ABJ26,AAC26="Capesize",ABC26,AAC26="VLOC",AAV26)))))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G26" s="393" t="e">
        <f t="array" aca="1" ref="AEG26" ca="1">INDEX(Canals!$V$24:$V$29,MATCH(2,1/((Canals!$F$24:$F$29&lt;=$C26)*(Canals!$G$24:$G$29=_xlfn.IFS(AAC26="Handysize",Main!ACL26,AAC26="Supramax",ACE26,AAC26="Panamax",ABX26,AAC26="NeoPanamax",ABQ26,AAC26="Suezmax",ABJ26,AAC26="Capesize",ABC26,AAC26="VLOC",AAV26)))))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H26" s="393" t="e">
        <f t="array" aca="1" ref="AEH26" ca="1">INDEX(Canals!$W$24:$W$29,MATCH(2,1/((Canals!$F$24:$F$29&lt;=$C26)*(Canals!$G$24:$G$29=_xlfn.IFS(AAC26="Handysize",Main!ACL26,AAC26="Supramax",ACE26,AAC26="Panamax",ABX26,AAC26="NeoPanamax",ABQ26,AAC26="Suezmax",ABJ26,AAC26="Capesize",ABC26,AAC26="VLOC",AAV26)))))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I26" s="393" t="e">
        <f t="array" aca="1" ref="AEI26" ca="1">INDEX(Canals!$X$24:$X$29,MATCH(2,1/((Canals!$F$24:$F$29&lt;=$C26)*(Canals!$G$24:$G$29=_xlfn.IFS(AAC26="Handysize",Main!ACL26,AAC26="Supramax",ACE26,AAC26="Panamax",ABX26,AAC26="NeoPanamax",ABQ26,AAC26="Suezmax",ABJ26,AAC26="Capesize",ABC26,AAC26="VLOC",AAV26)))))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J26" s="393" t="e">
        <f t="array" aca="1" ref="AEJ26" ca="1">INDEX(Canals!$Y$24:$Y$29,MATCH(2,1/((Canals!$F$24:$F$29&lt;=$C26)*(Canals!$G$24:$G$29=_xlfn.IFS(AAC26="Handysize",Main!ACL26,AAC26="Supramax",ACE26,AAC26="Panamax",ABX26,AAC26="NeoPanamax",ABQ26,AAC26="Suezmax",ABJ26,AAC26="Capesize",ABC26,AAC26="VLOC",AAV26)))))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K26" s="393" t="e">
        <f t="array" aca="1" ref="AEK26" ca="1">INDEX(Canals!$Z$24:$Z$29,MATCH(2,1/((Canals!$F$24:$F$29&lt;=$C26)*(Canals!$G$24:$G$29=_xlfn.IFS(AAC26="Handysize",Main!ACL26,AAC26="Supramax",ACE26,AAC26="Panamax",ABX26,AAC26="NeoPanamax",ABQ26,AAC26="Suezmax",ABJ26,AAC26="Capesize",ABC26,AAC26="VLOC",AAV26)))))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L26" s="393" t="e">
        <f t="array" aca="1" ref="AEL26" ca="1">INDEX(Canals!$AA$24:$AA$29,MATCH(2,1/((Canals!$F$24:$F$29&lt;=$C26)*(Canals!$G$24:$G$29=_xlfn.IFS(AAC26="Handysize",Main!ACL26,AAC26="Supramax",ACE26,AAC26="Panamax",ABX26,AAC26="NeoPanamax",ABQ26,AAC26="Suezmax",ABJ26,AAC26="Capesize",ABC26,AAC26="VLOC",AAV26)))))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M26" s="393" t="e">
        <f t="array" aca="1" ref="AEM26" ca="1">INDEX(Canals!$AB$24:$AB$29,MATCH(2,1/((Canals!$F$24:$F$29&lt;=$C26)*(Canals!$G$24:$G$29=_xlfn.IFS(AAC26="Handysize",Main!ACL26,AAC26="Supramax",ACE26,AAC26="Panamax",ABX26,AAC26="NeoPanamax",ABQ26,AAC26="Suezmax",ABJ26,AAC26="Capesize",ABC26,AAC26="VLOC",AAV26)))))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N26" s="392" t="e">
        <f t="array" aca="1" ref="AEN26" ca="1">INDEX(Canals!$AC$24:$AC$29,MATCH(2,1/((Canals!$F$24:$F$29&lt;=$C26)*(Canals!$G$24:$G$29=_xlfn.IFS(AAC26="Handysize",Main!ACL26,AAC26="Supramax",ACE26,AAC26="Panamax",ABX26,AAC26="NeoPanamax",ABQ26,AAC26="Suezmax",ABJ26,AAC26="Capesize",ABC26,AAC26="VLOC",AAV26)))))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O26" s="392" t="e">
        <f t="array" aca="1" ref="AEO26" ca="1">INDEX(Canals!$AD$24:$AD$29,MATCH(2,1/((Canals!$F$24:$F$29&lt;=$C26)*(Canals!$G$24:$G$29=_xlfn.IFS(AAC26="Handysize",Main!ACL26,AAC26="Supramax",ACE26,AAC26="Panamax",ABX26,AAC26="NeoPanamax",ABQ26,AAC26="Suezmax",ABJ26,AAC26="Capesize",ABC26,AAC26="VLOC",AAV26)))))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P26" s="392" t="e">
        <f t="array" aca="1" ref="AEP26" ca="1">INDEX(Canals!$AE$24:$AE$29,MATCH(2,1/((Canals!$F$24:$F$29&lt;=$C26)*(Canals!$G$24:$G$29=_xlfn.IFS(AAC26="Handysize",Main!ACL26,AAC26="Supramax",ACE26,AAC26="Panamax",ABX26,AAC26="NeoPanamax",ABQ26,AAC26="Suezmax",ABJ26,AAC26="Capesize",ABC26,AAC26="VLOC",AAV26)))))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Q26" s="392" t="e">
        <f t="array" aca="1" ref="AEQ26" ca="1">INDEX(Canals!$AF$24:$AF$29,MATCH(2,1/((Canals!$F$24:$F$29&lt;=$C26)*(Canals!$G$24:$G$29=_xlfn.IFS(AAC26="Handysize",Main!ACL26,AAC26="Supramax",ACE26,AAC26="Panamax",ABX26,AAC26="NeoPanamax",ABQ26,AAC26="Suezmax",ABJ26,AAC26="Capesize",ABC26,AAC26="VLOC",AAV26)))))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R26" s="392" t="e">
        <f t="array" aca="1" ref="AER26" ca="1">INDEX(Canals!$AG$24:$AG$29,MATCH(2,1/((Canals!$F$24:$F$29&lt;=$C26)*(Canals!$G$24:$G$29=_xlfn.IFS(AAC26="Handysize",Main!ACL26,AAC26="Supramax",ACE26,AAC26="Panamax",ABX26,AAC26="NeoPanamax",ABQ26,AAC26="Suezmax",ABJ26,AAC26="Capesize",ABC26,AAC26="VLOC",AAV26)))))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S26" s="392" t="e">
        <f t="array" aca="1" ref="AES26" ca="1">INDEX(Canals!$AH$24:$AH$29,MATCH(2,1/((Canals!$F$24:$F$29&lt;=$C26)*(Canals!$G$24:$G$29=_xlfn.IFS(AAC26="Handysize",Main!ACL26,AAC26="Supramax",ACE26,AAC26="Panamax",ABX26,AAC26="NeoPanamax",ABQ26,AAC26="Suezmax",ABJ26,AAC26="Capesize",ABC26,AAC26="VLOC",AAV26)))))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T26" s="392" t="e">
        <f t="array" aca="1" ref="AET26" ca="1">INDEX(Canals!$AI$24:$AI$29,MATCH(2,1/((Canals!$F$24:$F$29&lt;=$C26)*(Canals!$G$24:$G$29=_xlfn.IFS(AAC26="Handysize",Main!ACL26,AAC26="Supramax",ACE26,AAC26="Panamax",ABX26,AAC26="NeoPanamax",ABQ26,AAC26="Suezmax",ABJ26,AAC26="Capesize",ABC26,AAC26="VLOC",AAV26)))))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U26" s="392" t="e">
        <f t="array" aca="1" ref="AEU26" ca="1">INDEX(Canals!$AJ$24:$AJ$29,MATCH(2,1/((Canals!$F$24:$F$29&lt;=$C26)*(Canals!$G$24:$G$29=_xlfn.IFS(AAC26="Handysize",Main!ACL26,AAC26="Supramax",ACE26,AAC26="Panamax",ABX26,AAC26="NeoPanamax",ABQ26,AAC26="Suezmax",ABJ26,AAC26="Capesize",ABC26,AAC26="VLOC",AAV26)))))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V26" s="392" t="e">
        <f t="array" aca="1" ref="AEV26" ca="1">INDEX(Canals!$AK$24:$AK$29,MATCH(2,1/((Canals!$F$24:$F$29&lt;=$C26)*(Canals!$G$24:$G$29=_xlfn.IFS(AAC26="Handysize",Main!ACL26,AAC26="Supramax",ACE26,AAC26="Panamax",ABX26,AAC26="NeoPanamax",ABQ26,AAC26="Suezmax",ABJ26,AAC26="Capesize",ABC26,AAC26="VLOC",AAV26)))))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W26" s="393" t="e">
        <f t="array" aca="1" ref="AEW26" ca="1">INDEX(Canals!$AL$24:$AL$29,MATCH(2,1/((Canals!$F$24:$F$29&lt;=$C26)*(Canals!$G$24:$G$29=_xlfn.IFS(AAC26="Handysize",Main!ACL26,AAC26="Supramax",ACE26,AAC26="Panamax",ABX26,AAC26="NeoPanamax",ABQ26,AAC26="Suezmax",ABJ26,AAC26="Capesize",ABC26,AAC26="VLOC",AAV26)))))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X26" s="393" t="e">
        <f t="array" aca="1" ref="AEX26" ca="1">INDEX(Canals!$AM$24:$AM$29,MATCH(2,1/((Canals!$F$24:$F$29&lt;=$C26)*(Canals!$G$24:$G$29=_xlfn.IFS(AAC26="Handysize",Main!ACL26,AAC26="Supramax",ACE26,AAC26="Panamax",ABX26,AAC26="NeoPanamax",ABQ26,AAC26="Suezmax",ABJ26,AAC26="Capesize",ABC26,AAC26="VLOC",AAV26)))))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Y26" s="393" t="e">
        <f t="array" aca="1" ref="AEY26" ca="1">INDEX(Canals!$AN$24:$AN$29,MATCH(2,1/((Canals!$F$24:$F$29&lt;=$C26)*(Canals!$G$24:$G$29=_xlfn.IFS(AAC26="Handysize",Main!ACL26,AAC26="Supramax",ACE26,AAC26="Panamax",ABX26,AAC26="NeoPanamax",ABQ26,AAC26="Suezmax",ABJ26,AAC26="Capesize",ABC26,AAC26="VLOC",AAV26)))))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EZ26" s="393" t="e">
        <f t="array" aca="1" ref="AEZ26" ca="1">INDEX(Canals!$AO$24:$AO$29,MATCH(2,1/((Canals!$F$24:$F$29&lt;=$C26)*(Canals!$G$24:$G$29=_xlfn.IFS(AAC26="Handysize",Main!ACL26,AAC26="Supramax",ACE26,AAC26="Panamax",ABX26,AAC26="NeoPanamax",ABQ26,AAC26="Suezmax",ABJ26,AAC26="Capesize",ABC26,AAC26="VLOC",AAV26)))))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A26" s="393" t="e">
        <f t="array" aca="1" ref="AFA26" ca="1">INDEX(Canals!$AP$24:$AP$29,MATCH(2,1/((Canals!$F$24:$F$29&lt;=$C26)*(Canals!$G$24:$G$29=_xlfn.IFS(AAC26="Handysize",Main!ACL26,AAC26="Supramax",ACE26,AAC26="Panamax",ABX26,AAC26="NeoPanamax",ABQ26,AAC26="Suezmax",ABJ26,AAC26="Capesize",ABC26,AAC26="VLOC",AAV26)))))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B26" s="393" t="e">
        <f t="array" aca="1" ref="AFB26" ca="1">INDEX(Canals!$AQ$24:$AQ$29,MATCH(2,1/((Canals!$F$24:$F$29&lt;=$C26)*(Canals!$G$24:$G$29=_xlfn.IFS(AAC26="Handysize",Main!ACL26,AAC26="Supramax",ACE26,AAC26="Panamax",ABX26,AAC26="NeoPanamax",ABQ26,AAC26="Suezmax",ABJ26,AAC26="Capesize",ABC26,AAC26="VLOC",AAV26)))))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C26" s="393" t="e">
        <f t="array" aca="1" ref="AFC26" ca="1">INDEX(Canals!$AR$24:$AR$29,MATCH(2,1/((Canals!$F$24:$F$29&lt;=$C26)*(Canals!$G$24:$G$29=_xlfn.IFS(AAC26="Handysize",Main!ACL26,AAC26="Supramax",ACE26,AAC26="Panamax",ABX26,AAC26="NeoPanamax",ABQ26,AAC26="Suezmax",ABJ26,AAC26="Capesize",ABC26,AAC26="VLOC",AAV26)))))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D26" s="393" t="e">
        <f t="array" aca="1" ref="AFD26" ca="1">INDEX(Canals!$AS$24:$AS$29,MATCH(2,1/((Canals!$F$24:$F$29&lt;=$C26)*(Canals!$G$24:$G$29=_xlfn.IFS(AAC26="Handysize",Main!ACL26,AAC26="Supramax",ACE26,AAC26="Panamax",ABX26,AAC26="NeoPanamax",ABQ26,AAC26="Suezmax",ABJ26,AAC26="Capesize",ABC26,AAC26="VLOC",AAV26)))))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E26" s="393" t="e">
        <f t="array" aca="1" ref="AFE26" ca="1">INDEX(Canals!$AT$24:$AT$29,MATCH(2,1/((Canals!$F$24:$F$29&lt;=$C26)*(Canals!$G$24:$G$29=_xlfn.IFS(AAC26="Handysize",Main!ACL26,AAC26="Supramax",ACE26,AAC26="Panamax",ABX26,AAC26="NeoPanamax",ABQ26,AAC26="Suezmax",ABJ26,AAC26="Capesize",ABC26,AAC26="VLOC",AAV26)))))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F26" s="393" t="e">
        <f t="array" aca="1" ref="AFF26" ca="1">INDEX(Canals!$AU$24:$AU$29,MATCH(2,1/((Canals!$F$24:$F$29&lt;=$C26)*(Canals!$G$24:$G$29=_xlfn.IFS(AAC26="Handysize",Main!ACL26,AAC26="Supramax",ACE26,AAC26="Panamax",ABX26,AAC26="NeoPanamax",ABQ26,AAC26="Suezmax",ABJ26,AAC26="Capesize",ABC26,AAC26="VLOC",AAV26)))))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G26" s="393" t="e">
        <f t="array" aca="1" ref="AFG26" ca="1">INDEX(Canals!$AV$24:$AV$29,MATCH(2,1/((Canals!$F$24:$F$29&lt;=$C26)*(Canals!$G$24:$G$29=_xlfn.IFS(AAC26="Handysize",Main!ACL26,AAC26="Supramax",ACE26,AAC26="Panamax",ABX26,AAC26="NeoPanamax",ABQ26,AAC26="Suezmax",ABJ26,AAC26="Capesize",ABC26,AAC26="VLOC",AAV26)))))</f>
        <v>#N/A</v>
      </c>
      <c r="AFI26" s="392" t="e">
        <f t="array" aca="1" ref="AFI26" ca="1">_xlfn.IFS(ADT26="DWT",AAA26,ADT26="NRT",AAE26,ADT26="GRT",AAF26)</f>
        <v>#NAME?</v>
      </c>
      <c r="AFJ26" s="394" t="e">
        <f ca="1">IF(AFI26&gt;ADU26,ADU26,AFI26)</f>
        <v>#NAME?</v>
      </c>
      <c r="AFK26" s="395" t="e">
        <f ca="1">IF(AFI26&gt;SUM(ADU26:ADV26),ADV26,AFI26-SUM(AFJ26:AFJ26))</f>
        <v>#NAME?</v>
      </c>
      <c r="AFL26" s="395" t="e">
        <f ca="1">IF(AFI26&gt;SUM(ADU26:ADW26),ADW26,AFI26-SUM(AFJ26:AFK26))</f>
        <v>#NAME?</v>
      </c>
      <c r="AFM26" s="395" t="e">
        <f ca="1">IF(AFI26&gt;SUM(ADU26:ADX26),ADX26,AFI26-SUM(AFJ26:AFL26))</f>
        <v>#NAME?</v>
      </c>
      <c r="AFN26" s="395" t="e">
        <f ca="1">IF(AFI26&gt;SUM(ADU26:ADY26),ADY26,AFI26-SUM(AFJ26:AFM26))</f>
        <v>#NAME?</v>
      </c>
      <c r="AFO26" s="395" t="e">
        <f ca="1">IF(AFI26&gt;SUM(ADU26:ADZ26),ADZ26,AFI26-SUM(AFJ26:AFN26))</f>
        <v>#NAME?</v>
      </c>
      <c r="AFP26" s="395" t="e">
        <f ca="1">IF(AFI26&gt;SUM(ADU26:AEA26),AEA26,AFI26-SUM(AFJ26:AFO26))</f>
        <v>#NAME?</v>
      </c>
      <c r="AFQ26" s="395" t="e">
        <f ca="1">IF(AFI26&gt;SUM(ADU26:AEB26),AEB26,AFI26-SUM(AFJ26:AFP26))</f>
        <v>#NAME?</v>
      </c>
      <c r="AFR26" s="395" t="e">
        <f ca="1">IF(AFI26&gt;SUM(ADU26:AEC26),AEC26,AFI26-SUM(AFJ26:AFQ26))</f>
        <v>#NAME?</v>
      </c>
      <c r="AFS26" s="392">
        <f ca="1">AAA26*$JN26</f>
        <v>74100</v>
      </c>
      <c r="AFT26" s="394" t="e">
        <f ca="1">IF(AFS26&gt;AEN26,AEN26,AFS26)</f>
        <v>#N/A</v>
      </c>
      <c r="AFU26" s="395" t="e">
        <f ca="1">IF(AFS26&gt;SUM(AEN26:AEO26),AEO26,AFS26-SUM(AFT26:AFT26))</f>
        <v>#N/A</v>
      </c>
      <c r="AFV26" s="395" t="e">
        <f ca="1">IF(AFS26&gt;SUM(AEN26:AEP26),AEP26,AFS26-SUM(AFT26:AFU26))</f>
        <v>#N/A</v>
      </c>
      <c r="AFW26" s="395" t="e">
        <f ca="1">IF(AFS26&gt;SUM(AEN26:AEQ26),AEQ26,AFS26-SUM(AFT26:AFV26))</f>
        <v>#N/A</v>
      </c>
      <c r="AFX26" s="395" t="e">
        <f ca="1">IF(AFS26&gt;SUM(AEN26:AER26),AER26,AFS26-SUM(AFT26:AFW26))</f>
        <v>#N/A</v>
      </c>
      <c r="AFY26" s="395" t="e">
        <f ca="1">IF(AFS26&gt;SUM(AEN26:AES26),AES26,AFS26-SUM(AFT26:AFX26))</f>
        <v>#N/A</v>
      </c>
      <c r="AFZ26" s="395" t="e">
        <f ca="1">IF(AFS26&gt;SUM(AEN26:AET26),AET26,AFS26-SUM(AFT26:AFY26))</f>
        <v>#N/A</v>
      </c>
      <c r="AGA26" s="395" t="e">
        <f ca="1">IF(AFS26&gt;SUM(AEN26:AEU26),AEU26,AFS26-SUM(AFT26:AFZ26))</f>
        <v>#N/A</v>
      </c>
      <c r="AGB26" s="395" t="e">
        <f ca="1">IF(AFS26&gt;SUM(AEN26:AEV26),AEV26,AFS26-SUM(AFT26:AGA26))</f>
        <v>#N/A</v>
      </c>
      <c r="AGD26" s="392" t="e">
        <f t="array" aca="1" ref="AGD26" ca="1">_xlfn.IFS(AAC26="Handysize",Main!ACF26,AAC26="Supramax",ABY26,AAC26="Panamax",ABR26,AAC26="NeoPanamax",ABK26,AAC26="Suezmax",ABD26,AAC26="Capesize",AAW26,AAC26="VLOC",AAP26)*$JI26</f>
        <v>#NAME?</v>
      </c>
      <c r="AGE26" s="396" t="e">
        <f t="array" aca="1" ref="AGE26" ca="1">_xlfn.IFS(AAC26="Handysize",Main!ACG26,AAC26="Supramax",ABZ26,AAC26="Panamax",ABS26,AAC26="NeoPanamax",ABL26,AAC26="Suezmax",ABE26,AAC26="Capesize",AAX26,AAC26="VLOC",AAQ26)*$JI26</f>
        <v>#NAME?</v>
      </c>
      <c r="AGF26" s="397" t="e">
        <f t="array" aca="1" ref="AGF26" ca="1">_xlfn.IFS(AAC26="Handysize",Main!AAH26,AAC26="Supramax",AAI26,AAC26="Panamax",AAJ26,AAC26="NeoPanamax",AAK26,AAC26="Suezmax",AAL26,AAC26="Capesize",AAM26,AAC26="VLOC",AAN26)</f>
        <v>#NAME?</v>
      </c>
      <c r="AGG26" s="397" t="e">
        <f t="array" aca="1" ref="AGG26" ca="1">_xlfn.IFS(AAC26="Handysize",Main!ACT26,AAC26="Supramax",ACU26,AAC26="Panamax",ACV26,AAC26="NeoPanamax",ACW26,AAC26="Suezmax",ACX26,AAC26="Capesize",ACY26,AAC26="VLOC",ACZ26)</f>
        <v>#NAME?</v>
      </c>
      <c r="AGH26" s="398">
        <f t="array" aca="1" ref="AGH26" ca="1">INDEX('Ship Speeds'!$G$11:$G$1011,MATCH(2,1/(('Ship Speeds'!$E$11:$E$1011&lt;=Main!$C26)*('Ship Speeds'!$F$11:$F$1011=Main!AAB26))))</f>
        <v>11</v>
      </c>
      <c r="AGI26" s="402">
        <f ca="1">(($KH26*AGH26^2+$KI26*AGH26^3+$KG26*AGH26)*((AAA26/$KC26)^$KD26)*$KJ26+(AAA26/$KC26)*$KF26+$KE26)</f>
        <v>20.892884736032425</v>
      </c>
      <c r="AGJ26" s="402">
        <f ca="1">(AAA26/$JY26)*$JZ26+$KA26+$KB26*(AAA26/$JY26)^2</f>
        <v>2.0116800000000001</v>
      </c>
      <c r="AGK26" s="398" t="e">
        <f ca="1">AGD26/AGH26/$JH26</f>
        <v>#NAME?</v>
      </c>
      <c r="AGL26" s="398" t="e">
        <f ca="1">AGE26/AGH26/$JH26</f>
        <v>#NAME?</v>
      </c>
      <c r="AGM26" s="398" t="e">
        <f ca="1">IF($AO26="no",$AN26,$AR26)/(1-$AL26)/AGF26</f>
        <v>#NAME?</v>
      </c>
      <c r="AGN26" s="398" t="e">
        <f ca="1">IF($AO26="no",$AN26,$AR26)/(1-$AL26)/AGG26</f>
        <v>#NAME?</v>
      </c>
      <c r="AGO26" s="399" t="e">
        <f ca="1">AFG26*$JI26</f>
        <v>#N/A</v>
      </c>
      <c r="AGP26" s="398" t="e">
        <f ca="1">MAX(SUM(AGK26:AGO26)*$JV26,$JU26)</f>
        <v>#NAME?</v>
      </c>
      <c r="AGQ26" s="398" t="e">
        <f t="array" aca="1" ref="AGQ26" ca="1">INDEX(ACN26:ACR26,MATCH(_xlfn.IFS(AAC26="Handysize",Main!ACJ26,AAC26="Supramax",ACC26,AAC26="Panamax",ABV26,AAC26="NeoPanamax",ABO26,AAC26="Suezmax",ABH26,AAC26="Capesize",ABA26,AAC26="VLOC",AAT26),$ACN$7:$ACR$7,0))</f>
        <v>#NAME?</v>
      </c>
      <c r="AGR26" s="398" t="e">
        <f t="array" aca="1" ref="AGR26" ca="1">INDEX(ACN26:ACR26,MATCH(_xlfn.IFS(AAC26="Handysize",Main!ACK26,AAC26="Supramax",ACD26,AAC26="Panamax",ABW26,AAC26="NeoPanamax",ABP26,AAC26="Suezmax",ABI26,AAC26="Capesize",ABB26,AAC26="VLOC",AAU26),$ACN$7:$ACR$7,0))</f>
        <v>#NAME?</v>
      </c>
      <c r="AGS26" s="397" t="e">
        <f ca="1">AGK26*AGI26*AGQ26</f>
        <v>#NAME?</v>
      </c>
      <c r="AGT26" s="397" t="e">
        <f ca="1">SUM(AGM26:AGP26)*AGJ26*AGR26+AGL26*AGI26*AGR26</f>
        <v>#NAME?</v>
      </c>
      <c r="AGU26" s="354">
        <f ca="1">INDEX($JA26:$JD26,MATCH(ADA26,$JA$7:$JD$7,0))</f>
        <v>7.0834199999999994</v>
      </c>
      <c r="AGV26" s="397">
        <f ca="1">ADB26/AGU26</f>
        <v>1742.3786814843679</v>
      </c>
      <c r="AGW26" s="397" t="e">
        <f ca="1">ADC26*SUM(AGN26,$JX26)/AGU26</f>
        <v>#NAME?</v>
      </c>
      <c r="AGX26" s="397" t="e">
        <f ca="1">ADD26*(AGP26*(1-$JW26))/AGU26</f>
        <v>#NAME?</v>
      </c>
      <c r="AGY26" s="397">
        <f ca="1">ADE26*(AAA26*$JN26)/AGU26</f>
        <v>27617.167978180034</v>
      </c>
      <c r="AGZ26" s="397" t="e">
        <f ca="1">ADF26*(AAA26*$JN26)*SUM(AGN26,$JX26)/AGU26</f>
        <v>#NAME?</v>
      </c>
      <c r="AHA26" s="397" t="e">
        <f ca="1">ADG26*(AAA26*$JN26)*(AGP26*(1-$JW26))/AGU26</f>
        <v>#NAME?</v>
      </c>
      <c r="AHB26" s="397">
        <f ca="1">ADH26*AAE26/AGU26</f>
        <v>19606.708623800369</v>
      </c>
      <c r="AHC26" s="397" t="e">
        <f ca="1">ADI26*AAE26*SUM(AGN26,$JX26)/AGU26</f>
        <v>#NAME?</v>
      </c>
      <c r="AHD26" s="397" t="e">
        <f ca="1">ADJ26*AAE26*(AGP26*(1-$JW26))/AGU26</f>
        <v>#NAME?</v>
      </c>
      <c r="AHE26" s="397">
        <f ca="1">ADK26*AAF26/AGU26</f>
        <v>0</v>
      </c>
      <c r="AHF26" s="397" t="e">
        <f ca="1">ADL26*AAF26*SUM(AGN26,$JX26)/AGU26</f>
        <v>#NAME?</v>
      </c>
      <c r="AHG26" s="397" t="e">
        <f ca="1">ADM26*AAF26*(AGP26*(1-$JW26))/AGU26</f>
        <v>#NAME?</v>
      </c>
      <c r="AHH26" s="399">
        <f ca="1">ADN26*AAD26/AGU26</f>
        <v>5902.6410970971656</v>
      </c>
      <c r="AHI26" s="399" t="e">
        <f ca="1">ADO26*AAD26*SUM(AGN26,$JX26)/AGU26</f>
        <v>#NAME?</v>
      </c>
      <c r="AHJ26" s="397" t="e">
        <f ca="1">ADP26*AAD26*(AGP26*(1-$JW26))/AGU26</f>
        <v>#NAME?</v>
      </c>
      <c r="AHK26" s="397" t="e">
        <f t="array" aca="1" ref="AHK26" ca="1">INDEX('Ship Time Charter Rates'!$H$22:$H$1021,MATCH(2,1/(('Ship Time Charter Rates'!$G$22:$G$1021=_xlfn.IFS(AAC26="Handysize",Main!ACH26,AAC26="Supramax",ACA26,AAC26="Panamax",ABT26,AAC26="NeoPanamax",ABM26,AAC26="Suezmax",ABF26,AAC26="Capesize",AAY26,AAC26="VLOC",AAR26))*('Ship Time Charter Rates'!$E$22:$E$1021&lt;=Main!$C26)*(NOT(ISBLANK('Ship Time Charter Rates'!$H$22:$H$1021))))))</f>
        <v>#N/A</v>
      </c>
      <c r="AHL26" s="397" t="e">
        <f ca="1">SUM(AGK26:AGP26,$JI26*$JX26)*AHK26</f>
        <v>#NAME?</v>
      </c>
      <c r="AHM26" s="398" t="e">
        <f ca="1">SUMPRODUCT(AED26:AEL26,AFJ26:AFR26)+SUMPRODUCT(AEW26:AFE26,AFT26:AGB26)</f>
        <v>#N/A</v>
      </c>
      <c r="AHN26" s="397" t="e">
        <f ca="1">SUM(AGS26,AGT26)+AHL26+AHM26+SUM(AGV26:AHJ26)</f>
        <v>#NAME?</v>
      </c>
      <c r="AHO26" s="397" t="e">
        <f ca="1">AHN26*(1+$KL26)*(1+$KM26)</f>
        <v>#NAME?</v>
      </c>
      <c r="AHP26" s="399" t="e">
        <f t="shared" ca="1" si="307"/>
        <v>#NAME?</v>
      </c>
      <c r="AHR26" s="391">
        <f ca="1">IF($AO26="yes",$AN26,$AR26)/(1-$AL26)/$JN26</f>
        <v>0</v>
      </c>
      <c r="AHS26" s="335" t="str">
        <f ca="1">VLOOKUP(AHR26,'Ship Time Charter Rates'!$F$10:$G$17,2,TRUE)</f>
        <v>Handysize</v>
      </c>
      <c r="AHT26" s="335" t="str">
        <f ca="1">VLOOKUP(AHR26,Canals!$E$5:$F$12,2,TRUE)</f>
        <v>Handysize</v>
      </c>
      <c r="AHU26" s="391">
        <f ca="1">(AHR26*$JO26 + $JP26)</f>
        <v>145.88999999999999</v>
      </c>
      <c r="AHV26" s="391">
        <f ca="1">(AHR26*$JQ26+$JR26)</f>
        <v>0</v>
      </c>
      <c r="AHW26" s="391">
        <f ca="1">(AHR26*$JS26+$JT26)</f>
        <v>4797</v>
      </c>
      <c r="AHY26" s="392">
        <f t="array" aca="1" ref="AHY26" ca="1">INDEX('Indices Mines Exporting Ports'!$R$20:$R$51,MATCH(2,1/(('Indices Mines Exporting Ports'!$D$20:$D$51&lt;=Main!$C26)*('Indices Mines Exporting Ports'!$Q$20:$Q$51=$AQ26))))</f>
        <v>0</v>
      </c>
      <c r="AHZ26" s="392">
        <f t="array" aca="1" ref="AHZ26" ca="1">INDEX('Indices Mines Exporting Ports'!$S$20:$S$51,MATCH(2,1/(('Indices Mines Exporting Ports'!$D$20:$D$51&lt;=Main!$C26)*('Indices Mines Exporting Ports'!$Q$20:$Q$51=$AQ26))))</f>
        <v>0</v>
      </c>
      <c r="AIA26" s="392">
        <f t="array" aca="1" ref="AIA26" ca="1">INDEX('Indices Mines Exporting Ports'!$T$20:$T$51,MATCH(2,1/(('Indices Mines Exporting Ports'!$D$20:$D$51&lt;=Main!$C26)*('Indices Mines Exporting Ports'!$Q$20:$Q$51=$AQ26))))</f>
        <v>0</v>
      </c>
      <c r="AIB26" s="392">
        <f t="array" aca="1" ref="AIB26" ca="1">INDEX('Indices Mines Exporting Ports'!$U$20:$U$51,MATCH(2,1/(('Indices Mines Exporting Ports'!$D$20:$D$51&lt;=Main!$C26)*('Indices Mines Exporting Ports'!$Q$20:$Q$51=$AQ26))))</f>
        <v>0</v>
      </c>
      <c r="AIC26" s="392">
        <f t="array" aca="1" ref="AIC26" ca="1">INDEX('Indices Mines Exporting Ports'!$V$20:$V$51,MATCH(2,1/(('Indices Mines Exporting Ports'!$D$20:$D$51&lt;=Main!$C26)*('Indices Mines Exporting Ports'!$Q$20:$Q$51=$AQ26))))</f>
        <v>0</v>
      </c>
      <c r="AID26" s="392">
        <f t="array" aca="1" ref="AID26" ca="1">INDEX('Indices Mines Exporting Ports'!$W$20:$W$51,MATCH(2,1/(('Indices Mines Exporting Ports'!$D$20:$D$51&lt;=Main!$C26)*('Indices Mines Exporting Ports'!$Q$20:$Q$51=$AQ26))))</f>
        <v>0</v>
      </c>
      <c r="AIE26" s="392">
        <f t="array" aca="1" ref="AIE26" ca="1">INDEX('Indices Mines Exporting Ports'!$X$20:$X$51,MATCH(2,1/(('Indices Mines Exporting Ports'!$D$20:$D$51&lt;=Main!$C26)*('Indices Mines Exporting Ports'!$Q$20:$Q$51=$AQ26))))</f>
        <v>0</v>
      </c>
      <c r="AIG26" s="392">
        <f t="array" aca="1" ref="AIG26" ca="1">INDEX('Port Linkages'!$E$18:$E$157,MATCH(2,1/(('Port Linkages'!$C$18:$C$157=$AQ26)*('Port Linkages'!$D$18:$D$157=IF($AO26="no",$AQ26,$KK26))*('Port Linkages'!$A$18:$A$157&lt;=$C26))))</f>
        <v>0</v>
      </c>
      <c r="AIH26" s="392">
        <f t="array" aca="1" ref="AIH26" ca="1">INDEX('Port Linkages'!$F$18:$F$157,MATCH(2,1/(('Port Linkages'!$C$18:$C$157=$AQ26)*('Port Linkages'!$D$18:$D$157=IF($AO26="no",$AQ26,$KK26))*('Port Linkages'!$A$18:$A$157&lt;=$C26))))</f>
        <v>0</v>
      </c>
      <c r="AII26" s="392">
        <f t="array" aca="1" ref="AII26" ca="1">INDEX('Port Linkages'!$G$18:$G$157,MATCH(2,1/(('Port Linkages'!$C$18:$C$157=$AQ26)*('Port Linkages'!$D$18:$D$157=IF($AO26="no",$AQ26,$KK26))*('Port Linkages'!$A$18:$A$157&lt;=$C26))))</f>
        <v>0</v>
      </c>
      <c r="AIJ26" s="392">
        <f t="array" aca="1" ref="AIJ26" ca="1">INDEX('Port Linkages'!$H$18:$H$157,MATCH(2,1/(('Port Linkages'!$C$18:$C$157=$AQ26)*('Port Linkages'!$D$18:$D$157=IF($AO26="no",$AQ26,$KK26))*('Port Linkages'!$A$18:$A$157&lt;=$C26))))</f>
        <v>0</v>
      </c>
      <c r="AIK26" s="392">
        <f t="array" aca="1" ref="AIK26" ca="1">INDEX('Port Linkages'!$I$18:$I$157,MATCH(2,1/(('Port Linkages'!$C$18:$C$157=$AQ26)*('Port Linkages'!$D$18:$D$157=IF($AO26="no",$AQ26,$KK26))*('Port Linkages'!$A$18:$A$157&lt;=$C26))))</f>
        <v>0</v>
      </c>
      <c r="AIL26" s="392">
        <f t="array" aca="1" ref="AIL26" ca="1">INDEX('Port Linkages'!$J$18:$J$157,MATCH(2,1/(('Port Linkages'!$C$18:$C$157=$AQ26)*('Port Linkages'!$D$18:$D$157=IF($AO26="no",$AQ26,$KK26))*('Port Linkages'!$A$18:$A$157&lt;=$C26))))</f>
        <v>0</v>
      </c>
      <c r="AIM26" s="392">
        <f t="array" aca="1" ref="AIM26" ca="1">INDEX('Port Linkages'!$K$18:$K$157,MATCH(2,1/(('Port Linkages'!$C$18:$C$157=$AQ26)*('Port Linkages'!$D$18:$D$157=IF($AO26="no",$AQ26,$KK26))*('Port Linkages'!$A$18:$A$157&lt;=$C26))))</f>
        <v>0</v>
      </c>
      <c r="AIN26" s="392">
        <f t="array" aca="1" ref="AIN26" ca="1">INDEX('Port Linkages'!$L$18:$L$157,MATCH(2,1/(('Port Linkages'!$C$18:$C$157=$AQ26)*('Port Linkages'!$D$18:$D$157=IF($AO26="no",$AQ26,$KK26))*('Port Linkages'!$A$18:$A$157&lt;=$C26))))</f>
        <v>0</v>
      </c>
      <c r="AIO26" s="392">
        <f t="array" aca="1" ref="AIO26" ca="1">INDEX('Port Linkages'!$M$18:$M$157,MATCH(2,1/(('Port Linkages'!$C$18:$C$157=$AQ26)*('Port Linkages'!$D$18:$D$157=IF($AO26="no",$AQ26,$KK26))*('Port Linkages'!$A$18:$A$157&lt;=$C26))))</f>
        <v>0</v>
      </c>
      <c r="AIP26" s="392">
        <f t="array" aca="1" ref="AIP26" ca="1">INDEX('Port Linkages'!$N$18:$N$157,MATCH(2,1/(('Port Linkages'!$C$18:$C$157=$AQ26)*('Port Linkages'!$D$18:$D$157=IF($AO26="no",$AQ26,$KK26))*('Port Linkages'!$A$18:$A$157&lt;=$C26))))</f>
        <v>0</v>
      </c>
      <c r="AIQ26" s="392">
        <f t="array" aca="1" ref="AIQ26" ca="1">INDEX('Port Linkages'!$O$18:$O$157,MATCH(2,1/(('Port Linkages'!$C$18:$C$157=$AQ26)*('Port Linkages'!$D$18:$D$157=IF($AO26="no",$AQ26,$KK26))*('Port Linkages'!$A$18:$A$157&lt;=$C26))))</f>
        <v>0</v>
      </c>
      <c r="AIR26" s="392">
        <f t="array" aca="1" ref="AIR26" ca="1">INDEX('Port Linkages'!$P$18:$P$157,MATCH(2,1/(('Port Linkages'!$C$18:$C$157=$AQ26)*('Port Linkages'!$D$18:$D$157=IF($AO26="no",$AQ26,$KK26))*('Port Linkages'!$A$18:$A$157&lt;=$C26))))</f>
        <v>0</v>
      </c>
      <c r="AIS26" s="392">
        <f t="array" aca="1" ref="AIS26" ca="1">INDEX('Port Linkages'!$Q$18:$Q$157,MATCH(2,1/(('Port Linkages'!$C$18:$C$157=$AQ26)*('Port Linkages'!$D$18:$D$157=IF($AO26="no",$AQ26,$KK26))*('Port Linkages'!$A$18:$A$157&lt;=$C26))))</f>
        <v>0</v>
      </c>
      <c r="AIT26" s="392">
        <f t="array" aca="1" ref="AIT26" ca="1">INDEX('Port Linkages'!$R$18:$R$157,MATCH(2,1/(('Port Linkages'!$C$18:$C$157=$AQ26)*('Port Linkages'!$D$18:$D$157=IF($AO26="no",$AQ26,$KK26))*('Port Linkages'!$A$18:$A$157&lt;=$C26))))</f>
        <v>0</v>
      </c>
      <c r="AIU26" s="392">
        <f t="array" aca="1" ref="AIU26" ca="1">INDEX('Port Linkages'!$S$18:$S$157,MATCH(2,1/(('Port Linkages'!$C$18:$C$157=$AQ26)*('Port Linkages'!$D$18:$D$157=IF($AO26="no",$AQ26,$KK26))*('Port Linkages'!$A$18:$A$157&lt;=$C26))))</f>
        <v>0</v>
      </c>
      <c r="AIV26" s="392">
        <f t="array" aca="1" ref="AIV26" ca="1">INDEX('Port Linkages'!$T$18:$T$157,MATCH(2,1/(('Port Linkages'!$C$18:$C$157=$AQ26)*('Port Linkages'!$D$18:$D$157=IF($AO26="no",$AQ26,$KK26))*('Port Linkages'!$A$18:$A$157&lt;=$C26))))</f>
        <v>0</v>
      </c>
      <c r="AIW26" s="392">
        <f t="array" aca="1" ref="AIW26" ca="1">INDEX('Port Linkages'!$U$18:$U$157,MATCH(2,1/(('Port Linkages'!$C$18:$C$157=$AQ26)*('Port Linkages'!$D$18:$D$157=IF($AO26="no",$AQ26,$KK26))*('Port Linkages'!$A$18:$A$157&lt;=$C26))))</f>
        <v>0</v>
      </c>
      <c r="AIX26" s="392">
        <f t="array" aca="1" ref="AIX26" ca="1">INDEX('Port Linkages'!$V$18:$V$157,MATCH(2,1/(('Port Linkages'!$C$18:$C$157=$AQ26)*('Port Linkages'!$D$18:$D$157=IF($AO26="no",$AQ26,$KK26))*('Port Linkages'!$A$18:$A$157&lt;=$C26))))</f>
        <v>0</v>
      </c>
      <c r="AIY26" s="392">
        <f t="array" aca="1" ref="AIY26" ca="1">INDEX('Port Linkages'!$W$18:$W$157,MATCH(2,1/(('Port Linkages'!$C$18:$C$157=$AQ26)*('Port Linkages'!$D$18:$D$157=IF($AO26="no",$AQ26,$KK26))*('Port Linkages'!$A$18:$A$157&lt;=$C26))))</f>
        <v>0</v>
      </c>
      <c r="AIZ26" s="392">
        <f t="array" aca="1" ref="AIZ26" ca="1">INDEX('Port Linkages'!$X$18:$X$157,MATCH(2,1/(('Port Linkages'!$C$18:$C$157=$AQ26)*('Port Linkages'!$D$18:$D$157=IF($AO26="no",$AQ26,$KK26))*('Port Linkages'!$A$18:$A$157&lt;=$C26))))</f>
        <v>0</v>
      </c>
      <c r="AJA26" s="392">
        <f t="array" aca="1" ref="AJA26" ca="1">INDEX('Port Linkages'!$Y$18:$Y$157,MATCH(2,1/(('Port Linkages'!$C$18:$C$157=$AQ26)*('Port Linkages'!$D$18:$D$157=IF($AO26="no",$AQ26,$KK26))*('Port Linkages'!$A$18:$A$157&lt;=$C26))))</f>
        <v>0</v>
      </c>
      <c r="AJB26" s="392">
        <f t="array" aca="1" ref="AJB26" ca="1">INDEX('Port Linkages'!$Z$18:$Z$157,MATCH(2,1/(('Port Linkages'!$C$18:$C$157=$AQ26)*('Port Linkages'!$D$18:$D$157=IF($AO26="no",$AQ26,$KK26))*('Port Linkages'!$A$18:$A$157&lt;=$C26))))</f>
        <v>0</v>
      </c>
      <c r="AJC26" s="392">
        <f t="array" aca="1" ref="AJC26" ca="1">INDEX('Port Linkages'!$AA$18:$AA$157,MATCH(2,1/(('Port Linkages'!$C$18:$C$157=$AQ26)*('Port Linkages'!$D$18:$D$157=IF($AO26="no",$AQ26,$KK26))*('Port Linkages'!$A$18:$A$157&lt;=$C26))))</f>
        <v>0</v>
      </c>
      <c r="AJD26" s="392">
        <f t="array" aca="1" ref="AJD26" ca="1">INDEX('Port Linkages'!$AB$18:$AB$157,MATCH(2,1/(('Port Linkages'!$C$18:$C$157=$AQ26)*('Port Linkages'!$D$18:$D$157=IF($AO26="no",$AQ26,$KK26))*('Port Linkages'!$A$18:$A$157&lt;=$C26))))</f>
        <v>0</v>
      </c>
      <c r="AJE26" s="392">
        <f t="array" aca="1" ref="AJE26" ca="1">INDEX('Port Linkages'!$AC$18:$AC$157,MATCH(2,1/(('Port Linkages'!$C$18:$C$157=$AQ26)*('Port Linkages'!$D$18:$D$157=IF($AO26="no",$AQ26,$KK26))*('Port Linkages'!$A$18:$A$157&lt;=$C26))))</f>
        <v>0</v>
      </c>
      <c r="AJF26" s="392">
        <f t="array" aca="1" ref="AJF26" ca="1">INDEX('Port Linkages'!$AD$18:$AD$157,MATCH(2,1/(('Port Linkages'!$C$18:$C$157=$AQ26)*('Port Linkages'!$D$18:$D$157=IF($AO26="no",$AQ26,$KK26))*('Port Linkages'!$A$18:$A$157&lt;=$C26))))</f>
        <v>0</v>
      </c>
      <c r="AJG26" s="392">
        <f t="array" aca="1" ref="AJG26" ca="1">INDEX('Port Linkages'!$AE$18:$AE$157,MATCH(2,1/(('Port Linkages'!$C$18:$C$157=$AQ26)*('Port Linkages'!$D$18:$D$157=IF($AO26="no",$AQ26,$KK26))*('Port Linkages'!$A$18:$A$157&lt;=$C26))))</f>
        <v>0</v>
      </c>
      <c r="AJH26" s="392">
        <f t="array" aca="1" ref="AJH26" ca="1">INDEX('Port Linkages'!$AF$18:$AF$157,MATCH(2,1/(('Port Linkages'!$C$18:$C$157=$AQ26)*('Port Linkages'!$D$18:$D$157=IF($AO26="no",$AQ26,$KK26))*('Port Linkages'!$A$18:$A$157&lt;=$C26))))</f>
        <v>0</v>
      </c>
      <c r="AJI26" s="392">
        <f t="array" aca="1" ref="AJI26" ca="1">INDEX('Port Linkages'!$AG$18:$AG$157,MATCH(2,1/(('Port Linkages'!$C$18:$C$157=$AQ26)*('Port Linkages'!$D$18:$D$157=IF($AO26="no",$AQ26,$KK26))*('Port Linkages'!$A$18:$A$157&lt;=$C26))))</f>
        <v>0</v>
      </c>
      <c r="AJJ26" s="392">
        <f t="array" aca="1" ref="AJJ26" ca="1">INDEX('Port Linkages'!$AH$18:$AH$157,MATCH(2,1/(('Port Linkages'!$C$18:$C$157=$AQ26)*('Port Linkages'!$D$18:$D$157=IF($AO26="no",$AQ26,$KK26))*('Port Linkages'!$A$18:$A$157&lt;=$C26))))</f>
        <v>0</v>
      </c>
      <c r="AJK26" s="392">
        <f t="array" aca="1" ref="AJK26" ca="1">INDEX('Port Linkages'!$AI$18:$AI$157,MATCH(2,1/(('Port Linkages'!$C$18:$C$157=$AQ26)*('Port Linkages'!$D$18:$D$157=IF($AO26="no",$AQ26,$KK26))*('Port Linkages'!$A$18:$A$157&lt;=$C26))))</f>
        <v>0</v>
      </c>
      <c r="AJL26" s="392">
        <f t="array" aca="1" ref="AJL26" ca="1">INDEX('Port Linkages'!$AJ$18:$AJ$157,MATCH(2,1/(('Port Linkages'!$C$18:$C$157=$AQ26)*('Port Linkages'!$D$18:$D$157=IF($AO26="no",$AQ26,$KK26))*('Port Linkages'!$A$18:$A$157&lt;=$C26))))</f>
        <v>0</v>
      </c>
      <c r="AJM26" s="392">
        <f t="array" aca="1" ref="AJM26" ca="1">INDEX('Port Linkages'!$AK$18:$AK$157,MATCH(2,1/(('Port Linkages'!$C$18:$C$157=$AQ26)*('Port Linkages'!$D$18:$D$157=IF($AO26="no",$AQ26,$KK26))*('Port Linkages'!$A$18:$A$157&lt;=$C26))))</f>
        <v>0</v>
      </c>
      <c r="AJN26" s="392">
        <f t="array" aca="1" ref="AJN26" ca="1">INDEX('Port Linkages'!$AL$18:$AL$157,MATCH(2,1/(('Port Linkages'!$C$18:$C$157=$AQ26)*('Port Linkages'!$D$18:$D$157=IF($AO26="no",$AQ26,$KK26))*('Port Linkages'!$A$18:$A$157&lt;=$C26))))</f>
        <v>0</v>
      </c>
      <c r="AJO26" s="392">
        <f t="array" aca="1" ref="AJO26" ca="1">INDEX('Port Linkages'!$AM$18:$AM$157,MATCH(2,1/(('Port Linkages'!$C$18:$C$157=$AQ26)*('Port Linkages'!$D$18:$D$157=IF($AO26="no",$AQ26,$KK26))*('Port Linkages'!$A$18:$A$157&lt;=$C26))))</f>
        <v>0</v>
      </c>
      <c r="AJP26" s="392">
        <f t="array" aca="1" ref="AJP26" ca="1">INDEX('Port Linkages'!$AN$18:$AN$157,MATCH(2,1/(('Port Linkages'!$C$18:$C$157=$AQ26)*('Port Linkages'!$D$18:$D$157=IF($AO26="no",$AQ26,$KK26))*('Port Linkages'!$A$18:$A$157&lt;=$C26))))</f>
        <v>0</v>
      </c>
      <c r="AJQ26" s="392">
        <f t="array" aca="1" ref="AJQ26" ca="1">INDEX('Port Linkages'!$AO$18:$AO$157,MATCH(2,1/(('Port Linkages'!$C$18:$C$157=$AQ26)*('Port Linkages'!$D$18:$D$157=IF($AO26="no",$AQ26,$KK26))*('Port Linkages'!$A$18:$A$157&lt;=$C26))))</f>
        <v>0</v>
      </c>
      <c r="AJR26" s="392">
        <f t="array" aca="1" ref="AJR26" ca="1">INDEX('Port Linkages'!$AP$18:$AP$157,MATCH(2,1/(('Port Linkages'!$C$18:$C$157=$AQ26)*('Port Linkages'!$D$18:$D$157=IF($AO26="no",$AQ26,$KK26))*('Port Linkages'!$A$18:$A$157&lt;=$C26))))</f>
        <v>0</v>
      </c>
      <c r="AJS26" s="392">
        <f t="array" aca="1" ref="AJS26" ca="1">INDEX('Port Linkages'!$AQ$18:$AQ$157,MATCH(2,1/(('Port Linkages'!$C$18:$C$157=$AQ26)*('Port Linkages'!$D$18:$D$157=IF($AO26="no",$AQ26,$KK26))*('Port Linkages'!$A$18:$A$157&lt;=$C26))))</f>
        <v>0</v>
      </c>
      <c r="AJT26" s="392">
        <f t="array" aca="1" ref="AJT26" ca="1">INDEX('Port Linkages'!$AR$18:$AR$157,MATCH(2,1/(('Port Linkages'!$C$18:$C$157=$AQ26)*('Port Linkages'!$D$18:$D$157=IF($AO26="no",$AQ26,$KK26))*('Port Linkages'!$A$18:$A$157&lt;=$C26))))</f>
        <v>0</v>
      </c>
      <c r="AJU26" s="392">
        <f t="array" aca="1" ref="AJU26" ca="1">INDEX('Port Linkages'!$AS$18:$AS$157,MATCH(2,1/(('Port Linkages'!$C$18:$C$157=$AQ26)*('Port Linkages'!$D$18:$D$157=IF($AO26="no",$AQ26,$KK26))*('Port Linkages'!$A$18:$A$157&lt;=$C26))))</f>
        <v>0</v>
      </c>
      <c r="AJV26" s="392">
        <f t="array" aca="1" ref="AJV26" ca="1">INDEX('Port Linkages'!$AT$18:$AT$157,MATCH(2,1/(('Port Linkages'!$C$18:$C$157=$AQ26)*('Port Linkages'!$D$18:$D$157=IF($AO26="no",$AQ26,$KK26))*('Port Linkages'!$A$18:$A$157&lt;=$C26))))</f>
        <v>0</v>
      </c>
      <c r="AJW26" s="392">
        <f t="array" aca="1" ref="AJW26" ca="1">INDEX('Port Linkages'!$AU$18:$AU$157,MATCH(2,1/(('Port Linkages'!$C$18:$C$157=$AQ26)*('Port Linkages'!$D$18:$D$157=IF($AO26="no",$AQ26,$KK26))*('Port Linkages'!$A$18:$A$157&lt;=$C26))))</f>
        <v>0</v>
      </c>
      <c r="AJX26" s="392">
        <f t="array" aca="1" ref="AJX26" ca="1">INDEX('Port Linkages'!$AV$18:$AV$157,MATCH(2,1/(('Port Linkages'!$C$18:$C$157=$AQ26)*('Port Linkages'!$D$18:$D$157=IF($AO26="no",$AQ26,$KK26))*('Port Linkages'!$A$18:$A$157&lt;=$C26))))</f>
        <v>0</v>
      </c>
      <c r="AJY26" s="392">
        <f t="array" aca="1" ref="AJY26" ca="1">INDEX('Port Linkages'!$AW$18:$AW$157,MATCH(2,1/(('Port Linkages'!$C$18:$C$157=$AQ26)*('Port Linkages'!$D$18:$D$157=IF($AO26="no",$AQ26,$KK26))*('Port Linkages'!$A$18:$A$157&lt;=$C26))))</f>
        <v>0</v>
      </c>
      <c r="AJZ26" s="392">
        <f t="array" aca="1" ref="AJZ26" ca="1">INDEX('Port Linkages'!$AX$18:$AX$157,MATCH(2,1/(('Port Linkages'!$C$18:$C$157=$AQ26)*('Port Linkages'!$D$18:$D$157=IF($AO26="no",$AQ26,$KK26))*('Port Linkages'!$A$18:$A$157&lt;=$C26))))</f>
        <v>0</v>
      </c>
      <c r="AKA26" s="392">
        <f t="array" aca="1" ref="AKA26" ca="1">INDEX('Port Linkages'!$AY$18:$AY$157,MATCH(2,1/(('Port Linkages'!$C$18:$C$157=$AQ26)*('Port Linkages'!$D$18:$D$157=IF($AO26="no",$AQ26,$KK26))*('Port Linkages'!$A$18:$A$157&lt;=$C26))))</f>
        <v>0</v>
      </c>
      <c r="AKB26" s="392">
        <f t="array" aca="1" ref="AKB26" ca="1">INDEX('Port Linkages'!$AZ$18:$AZ$157,MATCH(2,1/(('Port Linkages'!$C$18:$C$157=$AQ26)*('Port Linkages'!$D$18:$D$157=IF($AO26="no",$AQ26,$KK26))*('Port Linkages'!$A$18:$A$157&lt;=$C26))))</f>
        <v>0</v>
      </c>
      <c r="AKC26" s="392">
        <f t="array" aca="1" ref="AKC26" ca="1">INDEX('Port Linkages'!$BA$18:$BA$157,MATCH(2,1/(('Port Linkages'!$C$18:$C$157=$AQ26)*('Port Linkages'!$D$18:$D$157=IF($AO26="no",$AQ26,$KK26))*('Port Linkages'!$A$18:$A$157&lt;=$C26))))</f>
        <v>0</v>
      </c>
      <c r="AKE26" s="391" t="e">
        <f t="array" aca="1" ref="AKE26" ca="1">INDEX('Ship Fuel Prices'!$F$5:$F$1004,MATCH(2,1/(('Ship Fuel Prices'!$E$5:$E$1004=_xlfn.IFS(AHT26="Handysize",Main!AJZ26,AHT26="Supramax",AJS26,AHT26="Panamax",AJL26,AHT26="NeoPanamax",AJE26,AHT26="Suezmax",AIX26,AHT26="Capesize",AIQ26,AHT26="VLOC",AIJ26))*('Ship Fuel Prices'!$D$5:$D$1004&lt;=Main!$C26))))</f>
        <v>#N/A</v>
      </c>
      <c r="AKF26" s="391" t="e">
        <f t="array" aca="1" ref="AKF26" ca="1">INDEX('Ship Fuel Prices'!$G$5:$G$1004,MATCH(2,1/(('Ship Fuel Prices'!$E$5:$E$1004=_xlfn.IFS(AHT26="Handysize",Main!AJZ26,AHT26="Supramax",AJS26,AHT26="Panamax",AJL26,AHT26="NeoPanamax",AJE26,AHT26="Suezmax",AIX26,AHT26="Capesize",AIQ26,AHT26="VLOC",AIJ26))*('Ship Fuel Prices'!$D$5:$D$1004&lt;=Main!$C26))))</f>
        <v>#N/A</v>
      </c>
      <c r="AKG26" s="391" t="e">
        <f t="array" aca="1" ref="AKG26" ca="1">INDEX('Ship Fuel Prices'!$H$5:$H$1004,MATCH(2,1/(('Ship Fuel Prices'!$E$5:$E$1004=_xlfn.IFS(AHT26="Handysize",Main!AJZ26,AHT26="Supramax",AJS26,AHT26="Panamax",AJL26,AHT26="NeoPanamax",AJE26,AHT26="Suezmax",AIX26,AHT26="Capesize",AIQ26,AHT26="VLOC",AIJ26))*('Ship Fuel Prices'!$D$5:$D$1004&lt;=Main!$C26))))</f>
        <v>#N/A</v>
      </c>
      <c r="AKH26" s="391" t="e">
        <f t="array" aca="1" ref="AKH26" ca="1">INDEX('Ship Fuel Prices'!$I$5:$I$1004,MATCH(2,1/(('Ship Fuel Prices'!$E$5:$E$1004=_xlfn.IFS(AHT26="Handysize",Main!AJZ26,AHT26="Supramax",AJS26,AHT26="Panamax",AJL26,AHT26="NeoPanamax",AJE26,AHT26="Suezmax",AIX26,AHT26="Capesize",AIQ26,AHT26="VLOC",AIJ26))*('Ship Fuel Prices'!$D$5:$D$1004&lt;=Main!$C26))))</f>
        <v>#N/A</v>
      </c>
      <c r="AKI26" s="391" t="e">
        <f t="array" aca="1" ref="AKI26" ca="1">INDEX('Ship Fuel Prices'!$J$5:$J$1004,MATCH(2,1/(('Ship Fuel Prices'!$E$5:$E$1004=_xlfn.IFS(AHT26="Handysize",Main!AJZ26,AHT26="Supramax",AJS26,AHT26="Panamax",AJL26,AHT26="NeoPanamax",AJE26,AHT26="Suezmax",AIX26,AHT26="Capesize",AIQ26,AHT26="VLOC",AIJ26))*('Ship Fuel Prices'!$D$5:$D$1004&lt;=Main!$C26))))</f>
        <v>#N/A</v>
      </c>
      <c r="AKK26" s="392">
        <f t="array" aca="1" ref="AKK26" ca="1">INDEX('China n Importing Ports'!$E$20:$E$41,MATCH(2,1/(('China n Importing Ports'!$D$20:$D$41&lt;=$C26)*('China n Importing Ports'!$C$20:$C$41=IF($AO26="No",$AQ26,$KK26)))))</f>
        <v>0</v>
      </c>
      <c r="AKL26" s="392">
        <f t="array" aca="1" ref="AKL26" ca="1">INDEX('China n Importing Ports'!$F$20:$F$41,MATCH(2,1/(('China n Importing Ports'!$D$20:$D$41&lt;=$C26)*('China n Importing Ports'!$C$20:$C$41=IF($AO26="No",$AQ26,$KK26)))))</f>
        <v>0</v>
      </c>
      <c r="AKM26" s="392">
        <f t="array" aca="1" ref="AKM26" ca="1">INDEX('China n Importing Ports'!$G$20:$G$41,MATCH(2,1/(('China n Importing Ports'!$D$20:$D$41&lt;=$C26)*('China n Importing Ports'!$C$20:$C$41=IF($AO26="No",$AQ26,$KK26)))))</f>
        <v>0</v>
      </c>
      <c r="AKN26" s="392">
        <f t="array" aca="1" ref="AKN26" ca="1">INDEX('China n Importing Ports'!$H$20:$H$41,MATCH(2,1/(('China n Importing Ports'!$D$20:$D$41&lt;=$C26)*('China n Importing Ports'!$C$20:$C$41=IF($AO26="No",$AQ26,$KK26)))))</f>
        <v>0</v>
      </c>
      <c r="AKO26" s="392">
        <f t="array" aca="1" ref="AKO26" ca="1">INDEX('China n Importing Ports'!$I$20:$I$41,MATCH(2,1/(('China n Importing Ports'!$D$20:$D$41&lt;=$C26)*('China n Importing Ports'!$C$20:$C$41=IF($AO26="No",$AQ26,$KK26)))))</f>
        <v>0</v>
      </c>
      <c r="AKP26" s="392">
        <f t="array" aca="1" ref="AKP26" ca="1">INDEX('China n Importing Ports'!$J$20:$J$41,MATCH(2,1/(('China n Importing Ports'!$D$20:$D$41&lt;=$C26)*('China n Importing Ports'!$C$20:$C$41=IF($AO26="No",$AQ26,$KK26)))))</f>
        <v>0</v>
      </c>
      <c r="AKQ26" s="392">
        <f t="array" aca="1" ref="AKQ26" ca="1">INDEX('China n Importing Ports'!$K$20:$K$41,MATCH(2,1/(('China n Importing Ports'!$D$20:$D$41&lt;=$C26)*('China n Importing Ports'!$C$20:$C$41=IF($AO26="No",$AQ26,$KK26)))))</f>
        <v>0</v>
      </c>
      <c r="AKR26" s="392">
        <f t="array" aca="1" ref="AKR26" ca="1">INDEX('China n Importing Ports'!$L$20:$L$41,MATCH(2,1/(('China n Importing Ports'!$D$20:$D$41&lt;=$C26)*('China n Importing Ports'!$C$20:$C$41=IF($AO26="No",$AQ26,$KK26)))))</f>
        <v>0</v>
      </c>
      <c r="AKS26" s="392">
        <f t="array" aca="1" ref="AKS26" ca="1">INDEX('China n Importing Ports'!$M$20:$M$41,MATCH(2,1/(('China n Importing Ports'!$D$20:$D$41&lt;=$C26)*('China n Importing Ports'!$C$20:$C$41=IF($AO26="No",$AQ26,$KK26)))))</f>
        <v>0</v>
      </c>
      <c r="AKT26" s="392">
        <f t="array" aca="1" ref="AKT26" ca="1">INDEX('China n Importing Ports'!$N$20:$N$41,MATCH(2,1/(('China n Importing Ports'!$D$20:$D$41&lt;=$C26)*('China n Importing Ports'!$C$20:$C$41=IF($AO26="No",$AQ26,$KK26)))))</f>
        <v>0</v>
      </c>
      <c r="AKU26" s="392">
        <f t="array" aca="1" ref="AKU26" ca="1">INDEX('China n Importing Ports'!$O$20:$O$41,MATCH(2,1/(('China n Importing Ports'!$D$20:$D$41&lt;=$C26)*('China n Importing Ports'!$C$20:$C$41=IF($AO26="No",$AQ26,$KK26)))))</f>
        <v>0</v>
      </c>
      <c r="AKV26" s="393">
        <f t="array" aca="1" ref="AKV26" ca="1">INDEX('China n Importing Ports'!$P$20:$P$41,MATCH(2,1/(('China n Importing Ports'!$D$20:$D$41&lt;=$C26)*('China n Importing Ports'!$C$20:$C$41=IF($AO26="No",$AQ26,$KK26)))))</f>
        <v>0</v>
      </c>
      <c r="AKW26" s="393">
        <f t="array" aca="1" ref="AKW26" ca="1">INDEX('China n Importing Ports'!$Q$20:$Q$41,MATCH(2,1/(('China n Importing Ports'!$D$20:$D$41&lt;=$C26)*('China n Importing Ports'!$C$20:$C$41=IF($AO26="No",$AQ26,$KK26)))))</f>
        <v>0</v>
      </c>
      <c r="AKX26" s="393">
        <f t="array" aca="1" ref="AKX26" ca="1">INDEX('China n Importing Ports'!$R$20:$R$41,MATCH(2,1/(('China n Importing Ports'!$D$20:$D$41&lt;=$C26)*('China n Importing Ports'!$C$20:$C$41=IF($AO26="No",$AQ26,$KK26)))))</f>
        <v>0</v>
      </c>
      <c r="AKY26" s="393">
        <f t="array" aca="1" ref="AKY26" ca="1">INDEX('China n Importing Ports'!$S$20:$S$41,MATCH(2,1/(('China n Importing Ports'!$D$20:$D$41&lt;=$C26)*('China n Importing Ports'!$C$20:$C$41=IF($AO26="No",$AQ26,$KK26)))))</f>
        <v>0</v>
      </c>
      <c r="AKZ26" s="393">
        <f t="array" aca="1" ref="AKZ26" ca="1">INDEX('China n Importing Ports'!$T$20:$T$41,MATCH(2,1/(('China n Importing Ports'!$D$20:$D$41&lt;=$C26)*('China n Importing Ports'!$C$20:$C$41=IF($AO26="No",$AQ26,$KK26)))))</f>
        <v>0</v>
      </c>
      <c r="ALA26" s="393">
        <f t="array" aca="1" ref="ALA26" ca="1">INDEX('China n Importing Ports'!$U$20:$U$41,MATCH(2,1/(('China n Importing Ports'!$D$20:$D$41&lt;=$C26)*('China n Importing Ports'!$C$20:$C$41=IF($AO26="No",$AQ26,$KK26)))))</f>
        <v>0</v>
      </c>
      <c r="ALB26" s="393">
        <f t="array" aca="1" ref="ALB26" ca="1">INDEX('China n Importing Ports'!$V$20:$V$41,MATCH(2,1/(('China n Importing Ports'!$D$20:$D$41&lt;=$C26)*('China n Importing Ports'!$C$20:$C$41=IF($AO26="No",$AQ26,$KK26)))))</f>
        <v>0</v>
      </c>
      <c r="ALC26" s="393">
        <f t="array" aca="1" ref="ALC26" ca="1">INDEX('China n Importing Ports'!$W$20:$W$41,MATCH(2,1/(('China n Importing Ports'!$D$20:$D$41&lt;=$C26)*('China n Importing Ports'!$C$20:$C$41=IF($AO26="No",$AQ26,$KK26)))))</f>
        <v>0</v>
      </c>
      <c r="ALD26" s="393">
        <f t="array" aca="1" ref="ALD26" ca="1">INDEX('China n Importing Ports'!$X$20:$X$41,MATCH(2,1/(('China n Importing Ports'!$D$20:$D$41&lt;=$C26)*('China n Importing Ports'!$C$20:$C$41=IF($AO26="No",$AQ26,$KK26)))))</f>
        <v>0</v>
      </c>
      <c r="ALE26" s="393">
        <f t="array" aca="1" ref="ALE26" ca="1">INDEX('China n Importing Ports'!$Y$20:$Y$41,MATCH(2,1/(('China n Importing Ports'!$D$20:$D$41&lt;=$C26)*('China n Importing Ports'!$C$20:$C$41=IF($AO26="No",$AQ26,$KK26)))))</f>
        <v>0</v>
      </c>
      <c r="ALF26" s="393">
        <f t="array" aca="1" ref="ALF26" ca="1">INDEX('China n Importing Ports'!$Z$20:$Z$41,MATCH(2,1/(('China n Importing Ports'!$D$20:$D$41&lt;=$C26)*('China n Importing Ports'!$C$20:$C$41=IF($AO26="No",$AQ26,$KK26)))))</f>
        <v>0</v>
      </c>
      <c r="ALG26" s="393">
        <f t="array" aca="1" ref="ALG26" ca="1">INDEX('China n Importing Ports'!$AA$20:$AA$41,MATCH(2,1/(('China n Importing Ports'!$D$20:$D$41&lt;=$C26)*('China n Importing Ports'!$C$20:$C$41=IF($AO26="No",$AQ26,$KK26)))))</f>
        <v>0</v>
      </c>
      <c r="ALI26" s="392" t="e">
        <f t="array" aca="1" ref="ALI26" ca="1">INDEX(Canals!$G$24:$G$29,MATCH(2,1/((Canals!$F$24:$F$29&lt;=$C26)*(Canals!$G$24:$G$29=_xlfn.IFS(AHT26="Handysize",AKC26,AHT26="Supramax",AJV26,AHT26="Panamax",AJO26,AHT26="NeoPanamax",AJH26,AHT26="Suezmax",AJA26,AHT26="Capesize",AIT26,AHT26="VLOC",AIM26)))))</f>
        <v>#N/A</v>
      </c>
      <c r="ALJ26" s="392" t="e">
        <f t="array" aca="1" ref="ALJ26" ca="1">INDEX(Canals!$H$24:$H$29,MATCH(2,1/((Canals!$F$24:$F$29&lt;=$C26)*(Canals!$G$24:$G$29=_xlfn.IFS(AHT26="Handysize",AKC26,AHT26="Supramax",AJV26,AHT26="Panamax",AJO26,AHT26="NeoPanamax",AJH26,AHT26="Suezmax",AJA26,AHT26="Capesize",AIT26,AHT26="VLOC",AIM26)))))</f>
        <v>#N/A</v>
      </c>
      <c r="ALK26" s="392" t="e">
        <f t="array" aca="1" ref="ALK26" ca="1">INDEX(Canals!$I$24:$I$29,MATCH(2,1/((Canals!$F$24:$F$29&lt;=$C26)*(Canals!$G$24:$G$29=_xlfn.IFS(AHT26="Handysize",AKC26,AHT26="Supramax",AJV26,AHT26="Panamax",AJO26,AHT26="NeoPanamax",AJH26,AHT26="Suezmax",AJA26,AHT26="Capesize",AIT26,AHT26="VLOC",AIM26)))))</f>
        <v>#N/A</v>
      </c>
      <c r="ALL26" s="392" t="e">
        <f t="array" aca="1" ref="ALL26" ca="1">INDEX(Canals!$J$24:$J$29,MATCH(2,1/((Canals!$F$24:$F$29&lt;=$C26)*(Canals!$G$24:$G$29=_xlfn.IFS(AHT26="Handysize",Main!AKC26,AHT26="Supramax",AJV26,AHT26="Panamax",AJO26,AHT26="NeoPanamax",AJH26,AHT26="Suezmax",AJA26,AHT26="Capesize",AIT26,AHT26="VLOC",AIM26)))))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M26" s="392" t="e">
        <f t="array" aca="1" ref="ALM26" ca="1">INDEX(Canals!$K$24:$K$29,MATCH(2,1/((Canals!$F$24:$F$29&lt;=$C26)*(Canals!$G$24:$G$29=_xlfn.IFS(AHT26="Handysize",Main!AKC26,AHT26="Supramax",AJV26,AHT26="Panamax",AJO26,AHT26="NeoPanamax",AJH26,AHT26="Suezmax",AJA26,AHT26="Capesize",AIT26,AHT26="VLOC",AIM26)))))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N26" s="392" t="e">
        <f t="array" aca="1" ref="ALN26" ca="1">INDEX(Canals!$L$24:$L$29,MATCH(2,1/((Canals!$F$24:$F$29&lt;=$C26)*(Canals!$G$24:$G$29=_xlfn.IFS(AHT26="Handysize",Main!AKC26,AHT26="Supramax",AJV26,AHT26="Panamax",AJO26,AHT26="NeoPanamax",AJH26,AHT26="Suezmax",AJA26,AHT26="Capesize",AIT26,AHT26="VLOC",AIM26)))))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O26" s="392" t="e">
        <f t="array" aca="1" ref="ALO26" ca="1">INDEX(Canals!$M$24:$M$29,MATCH(2,1/((Canals!$F$24:$F$29&lt;=$C26)*(Canals!$G$24:$G$29=_xlfn.IFS(AHT26="Handysize",Main!AKC26,AHT26="Supramax",AJV26,AHT26="Panamax",AJO26,AHT26="NeoPanamax",AJH26,AHT26="Suezmax",AJA26,AHT26="Capesize",AIT26,AHT26="VLOC",AIM26)))))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P26" s="392" t="e">
        <f t="array" aca="1" ref="ALP26" ca="1">INDEX(Canals!$N$24:$N$29,MATCH(2,1/((Canals!$F$24:$F$29&lt;=$C26)*(Canals!$G$24:$G$29=_xlfn.IFS(AHT26="Handysize",Main!AKC26,AHT26="Supramax",AJV26,AHT26="Panamax",AJO26,AHT26="NeoPanamax",AJH26,AHT26="Suezmax",AJA26,AHT26="Capesize",AIT26,AHT26="VLOC",AIM26)))))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Q26" s="392" t="e">
        <f t="array" aca="1" ref="ALQ26" ca="1">INDEX(Canals!$O$24:$O$29,MATCH(2,1/((Canals!$F$24:$F$29&lt;=$C26)*(Canals!$G$24:$G$29=_xlfn.IFS(AHT26="Handysize",Main!AKC26,AHT26="Supramax",AJV26,AHT26="Panamax",AJO26,AHT26="NeoPanamax",AJH26,AHT26="Suezmax",AJA26,AHT26="Capesize",AIT26,AHT26="VLOC",AIM26)))))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R26" s="392" t="e">
        <f t="array" aca="1" ref="ALR26" ca="1">INDEX(Canals!$P$24:$P$29,MATCH(2,1/((Canals!$F$24:$F$29&lt;=$C26)*(Canals!$G$24:$G$29=_xlfn.IFS(AHT26="Handysize",Main!AKC26,AHT26="Supramax",AJV26,AHT26="Panamax",AJO26,AHT26="NeoPanamax",AJH26,AHT26="Suezmax",AJA26,AHT26="Capesize",AIT26,AHT26="VLOC",AIM26)))))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S26" s="392" t="e">
        <f t="array" aca="1" ref="ALS26" ca="1">INDEX(Canals!$Q$24:$Q$29,MATCH(2,1/((Canals!$F$24:$F$29&lt;=$C26)*(Canals!$G$24:$G$29=_xlfn.IFS(AHT26="Handysize",Main!AKC26,AHT26="Supramax",AJV26,AHT26="Panamax",AJO26,AHT26="NeoPanamax",AJH26,AHT26="Suezmax",AJA26,AHT26="Capesize",AIT26,AHT26="VLOC",AIM26)))))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T26" s="392" t="e">
        <f t="array" aca="1" ref="ALT26" ca="1">INDEX(Canals!$R$24:$R$29,MATCH(2,1/((Canals!$F$24:$F$29&lt;=$C26)*(Canals!$G$24:$G$29=_xlfn.IFS(AHT26="Handysize",Main!AKC26,AHT26="Supramax",AJV26,AHT26="Panamax",AJO26,AHT26="NeoPanamax",AJH26,AHT26="Suezmax",AJA26,AHT26="Capesize",AIT26,AHT26="VLOC",AIM26)))))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U26" s="393" t="e">
        <f t="array" aca="1" ref="ALU26" ca="1">INDEX(Canals!$S$24:$S$29,MATCH(2,1/((Canals!$F$24:$F$29&lt;=$C26)*(Canals!$G$24:$G$29=_xlfn.IFS(AHT26="Handysize",Main!AKC26,AHT26="Supramax",AJV26,AHT26="Panamax",AJO26,AHT26="NeoPanamax",AJH26,AHT26="Suezmax",AJA26,AHT26="Capesize",AIT26,AHT26="VLOC",AIM26)))))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V26" s="393" t="e">
        <f t="array" aca="1" ref="ALV26" ca="1">INDEX(Canals!$T$24:$T$29,MATCH(2,1/((Canals!$F$24:$F$29&lt;=$C26)*(Canals!$G$24:$G$29=_xlfn.IFS(AHT26="Handysize",Main!AKC26,AHT26="Supramax",AJV26,AHT26="Panamax",AJO26,AHT26="NeoPanamax",AJH26,AHT26="Suezmax",AJA26,AHT26="Capesize",AIT26,AHT26="VLOC",AIM26)))))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W26" s="393" t="e">
        <f t="array" aca="1" ref="ALW26" ca="1">INDEX(Canals!$U$24:$U$29,MATCH(2,1/((Canals!$F$24:$F$29&lt;=$C26)*(Canals!$G$24:$G$29=_xlfn.IFS(AHT26="Handysize",Main!AKC26,AHT26="Supramax",AJV26,AHT26="Panamax",AJO26,AHT26="NeoPanamax",AJH26,AHT26="Suezmax",AJA26,AHT26="Capesize",AIT26,AHT26="VLOC",AIM26)))))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X26" s="393" t="e">
        <f t="array" aca="1" ref="ALX26" ca="1">INDEX(Canals!$V$24:$V$29,MATCH(2,1/((Canals!$F$24:$F$29&lt;=$C26)*(Canals!$G$24:$G$29=_xlfn.IFS(AHT26="Handysize",Main!AKC26,AHT26="Supramax",AJV26,AHT26="Panamax",AJO26,AHT26="NeoPanamax",AJH26,AHT26="Suezmax",AJA26,AHT26="Capesize",AIT26,AHT26="VLOC",AIM26)))))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Y26" s="393" t="e">
        <f t="array" aca="1" ref="ALY26" ca="1">INDEX(Canals!$W$24:$W$29,MATCH(2,1/((Canals!$F$24:$F$29&lt;=$C26)*(Canals!$G$24:$G$29=_xlfn.IFS(AHT26="Handysize",Main!AKC26,AHT26="Supramax",AJV26,AHT26="Panamax",AJO26,AHT26="NeoPanamax",AJH26,AHT26="Suezmax",AJA26,AHT26="Capesize",AIT26,AHT26="VLOC",AIM26)))))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LZ26" s="393" t="e">
        <f t="array" aca="1" ref="ALZ26" ca="1">INDEX(Canals!$X$24:$X$29,MATCH(2,1/((Canals!$F$24:$F$29&lt;=$C26)*(Canals!$G$24:$G$29=_xlfn.IFS(AHT26="Handysize",Main!AKC26,AHT26="Supramax",AJV26,AHT26="Panamax",AJO26,AHT26="NeoPanamax",AJH26,AHT26="Suezmax",AJA26,AHT26="Capesize",AIT26,AHT26="VLOC",AIM26)))))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A26" s="393" t="e">
        <f t="array" aca="1" ref="AMA26" ca="1">INDEX(Canals!$Y$24:$Y$29,MATCH(2,1/((Canals!$F$24:$F$29&lt;=$C26)*(Canals!$G$24:$G$29=_xlfn.IFS(AHT26="Handysize",Main!AKC26,AHT26="Supramax",AJV26,AHT26="Panamax",AJO26,AHT26="NeoPanamax",AJH26,AHT26="Suezmax",AJA26,AHT26="Capesize",AIT26,AHT26="VLOC",AIM26)))))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B26" s="393" t="e">
        <f t="array" aca="1" ref="AMB26" ca="1">INDEX(Canals!$Z$24:$Z$29,MATCH(2,1/((Canals!$F$24:$F$29&lt;=$C26)*(Canals!$G$24:$G$29=_xlfn.IFS(AHT26="Handysize",Main!AKC26,AHT26="Supramax",AJV26,AHT26="Panamax",AJO26,AHT26="NeoPanamax",AJH26,AHT26="Suezmax",AJA26,AHT26="Capesize",AIT26,AHT26="VLOC",AIM26)))))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C26" s="393" t="e">
        <f t="array" aca="1" ref="AMC26" ca="1">INDEX(Canals!$AA$24:$AA$29,MATCH(2,1/((Canals!$F$24:$F$29&lt;=$C26)*(Canals!$G$24:$G$29=_xlfn.IFS(AHT26="Handysize",Main!AKC26,AHT26="Supramax",AJV26,AHT26="Panamax",AJO26,AHT26="NeoPanamax",AJH26,AHT26="Suezmax",AJA26,AHT26="Capesize",AIT26,AHT26="VLOC",AIM26)))))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D26" s="393" t="e">
        <f t="array" aca="1" ref="AMD26" ca="1">INDEX(Canals!$AB$24:$AB$29,MATCH(2,1/((Canals!$F$24:$F$29&lt;=$C26)*(Canals!$G$24:$G$29=_xlfn.IFS(AHT26="Handysize",Main!AKC26,AHT26="Supramax",AJV26,AHT26="Panamax",AJO26,AHT26="NeoPanamax",AJH26,AHT26="Suezmax",AJA26,AHT26="Capesize",AIT26,AHT26="VLOC",AIM26)))))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E26" s="392" t="e">
        <f t="array" aca="1" ref="AME26" ca="1">INDEX(Canals!$AC$24:$AC$29,MATCH(2,1/((Canals!$F$24:$F$29&lt;=$C26)*(Canals!$G$24:$G$29=_xlfn.IFS(AHT26="Handysize",Main!AKC26,AHT26="Supramax",AJV26,AHT26="Panamax",AJO26,AHT26="NeoPanamax",AJH26,AHT26="Suezmax",AJA26,AHT26="Capesize",AIT26,AHT26="VLOC",AIM26)))))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F26" s="392" t="e">
        <f t="array" aca="1" ref="AMF26" ca="1">INDEX(Canals!$AD$24:$AD$29,MATCH(2,1/((Canals!$F$24:$F$29&lt;=$C26)*(Canals!$G$24:$G$29=_xlfn.IFS(AHT26="Handysize",Main!AKC26,AHT26="Supramax",AJV26,AHT26="Panamax",AJO26,AHT26="NeoPanamax",AJH26,AHT26="Suezmax",AJA26,AHT26="Capesize",AIT26,AHT26="VLOC",AIM26)))))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G26" s="392" t="e">
        <f t="array" aca="1" ref="AMG26" ca="1">INDEX(Canals!$AE$24:$AE$29,MATCH(2,1/((Canals!$F$24:$F$29&lt;=$C26)*(Canals!$G$24:$G$29=_xlfn.IFS(AHT26="Handysize",Main!AKC26,AHT26="Supramax",AJV26,AHT26="Panamax",AJO26,AHT26="NeoPanamax",AJH26,AHT26="Suezmax",AJA26,AHT26="Capesize",AIT26,AHT26="VLOC",AIM26)))))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H26" s="392" t="e">
        <f t="array" aca="1" ref="AMH26" ca="1">INDEX(Canals!$AF$24:$AF$29,MATCH(2,1/((Canals!$F$24:$F$29&lt;=$C26)*(Canals!$G$24:$G$29=_xlfn.IFS(AHT26="Handysize",Main!AKC26,AHT26="Supramax",AJV26,AHT26="Panamax",AJO26,AHT26="NeoPanamax",AJH26,AHT26="Suezmax",AJA26,AHT26="Capesize",AIT26,AHT26="VLOC",AIM26)))))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I26" s="392" t="e">
        <f t="array" aca="1" ref="AMI26" ca="1">INDEX(Canals!$AG$24:$AG$29,MATCH(2,1/((Canals!$F$24:$F$29&lt;=$C26)*(Canals!$G$24:$G$29=_xlfn.IFS(AHT26="Handysize",Main!AKC26,AHT26="Supramax",AJV26,AHT26="Panamax",AJO26,AHT26="NeoPanamax",AJH26,AHT26="Suezmax",AJA26,AHT26="Capesize",AIT26,AHT26="VLOC",AIM26)))))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J26" s="392" t="e">
        <f t="array" aca="1" ref="AMJ26" ca="1">INDEX(Canals!$AH$24:$AH$29,MATCH(2,1/((Canals!$F$24:$F$29&lt;=$C26)*(Canals!$G$24:$G$29=_xlfn.IFS(AHT26="Handysize",Main!AKC26,AHT26="Supramax",AJV26,AHT26="Panamax",AJO26,AHT26="NeoPanamax",AJH26,AHT26="Suezmax",AJA26,AHT26="Capesize",AIT26,AHT26="VLOC",AIM26)))))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K26" s="392" t="e">
        <f t="array" aca="1" ref="AMK26" ca="1">INDEX(Canals!$AI$24:$AI$29,MATCH(2,1/((Canals!$F$24:$F$29&lt;=$C26)*(Canals!$G$24:$G$29=_xlfn.IFS(AHT26="Handysize",Main!AKC26,AHT26="Supramax",AJV26,AHT26="Panamax",AJO26,AHT26="NeoPanamax",AJH26,AHT26="Suezmax",AJA26,AHT26="Capesize",AIT26,AHT26="VLOC",AIM26)))))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L26" s="392" t="e">
        <f t="array" aca="1" ref="AML26" ca="1">INDEX(Canals!$AJ$24:$AJ$29,MATCH(2,1/((Canals!$F$24:$F$29&lt;=$C26)*(Canals!$G$24:$G$29=_xlfn.IFS(AHT26="Handysize",Main!AKC26,AHT26="Supramax",AJV26,AHT26="Panamax",AJO26,AHT26="NeoPanamax",AJH26,AHT26="Suezmax",AJA26,AHT26="Capesize",AIT26,AHT26="VLOC",AIM26)))))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M26" s="392" t="e">
        <f t="array" aca="1" ref="AMM26" ca="1">INDEX(Canals!$AK$24:$AK$29,MATCH(2,1/((Canals!$F$24:$F$29&lt;=$C26)*(Canals!$G$24:$G$29=_xlfn.IFS(AHT26="Handysize",Main!AKC26,AHT26="Supramax",AJV26,AHT26="Panamax",AJO26,AHT26="NeoPanamax",AJH26,AHT26="Suezmax",AJA26,AHT26="Capesize",AIT26,AHT26="VLOC",AIM26)))))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N26" s="393" t="e">
        <f t="array" aca="1" ref="AMN26" ca="1">INDEX(Canals!$AL$24:$AL$29,MATCH(2,1/((Canals!$F$24:$F$29&lt;=$C26)*(Canals!$G$24:$G$29=_xlfn.IFS(AHT26="Handysize",Main!AKC26,AHT26="Supramax",AJV26,AHT26="Panamax",AJO26,AHT26="NeoPanamax",AJH26,AHT26="Suezmax",AJA26,AHT26="Capesize",AIT26,AHT26="VLOC",AIM26)))))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O26" s="393" t="e">
        <f t="array" aca="1" ref="AMO26" ca="1">INDEX(Canals!$AM$24:$AM$29,MATCH(2,1/((Canals!$F$24:$F$29&lt;=$C26)*(Canals!$G$24:$G$29=_xlfn.IFS(AHT26="Handysize",Main!AKC26,AHT26="Supramax",AJV26,AHT26="Panamax",AJO26,AHT26="NeoPanamax",AJH26,AHT26="Suezmax",AJA26,AHT26="Capesize",AIT26,AHT26="VLOC",AIM26)))))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P26" s="393" t="e">
        <f t="array" aca="1" ref="AMP26" ca="1">INDEX(Canals!$AN$24:$AN$29,MATCH(2,1/((Canals!$F$24:$F$29&lt;=$C26)*(Canals!$G$24:$G$29=_xlfn.IFS(AHT26="Handysize",Main!AKC26,AHT26="Supramax",AJV26,AHT26="Panamax",AJO26,AHT26="NeoPanamax",AJH26,AHT26="Suezmax",AJA26,AHT26="Capesize",AIT26,AHT26="VLOC",AIM26)))))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Q26" s="393" t="e">
        <f t="array" aca="1" ref="AMQ26" ca="1">INDEX(Canals!$AO$24:$AO$29,MATCH(2,1/((Canals!$F$24:$F$29&lt;=$C26)*(Canals!$G$24:$G$29=_xlfn.IFS(AHT26="Handysize",Main!AKC26,AHT26="Supramax",AJV26,AHT26="Panamax",AJO26,AHT26="NeoPanamax",AJH26,AHT26="Suezmax",AJA26,AHT26="Capesize",AIT26,AHT26="VLOC",AIM26)))))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R26" s="393" t="e">
        <f t="array" aca="1" ref="AMR26" ca="1">INDEX(Canals!$AP$24:$AP$29,MATCH(2,1/((Canals!$F$24:$F$29&lt;=$C26)*(Canals!$G$24:$G$29=_xlfn.IFS(AHT26="Handysize",Main!AKC26,AHT26="Supramax",AJV26,AHT26="Panamax",AJO26,AHT26="NeoPanamax",AJH26,AHT26="Suezmax",AJA26,AHT26="Capesize",AIT26,AHT26="VLOC",AIM26)))))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S26" s="393" t="e">
        <f t="array" aca="1" ref="AMS26" ca="1">INDEX(Canals!$AQ$24:$AQ$29,MATCH(2,1/((Canals!$F$24:$F$29&lt;=$C26)*(Canals!$G$24:$G$29=_xlfn.IFS(AHT26="Handysize",Main!AKC26,AHT26="Supramax",AJV26,AHT26="Panamax",AJO26,AHT26="NeoPanamax",AJH26,AHT26="Suezmax",AJA26,AHT26="Capesize",AIT26,AHT26="VLOC",AIM26)))))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T26" s="393" t="e">
        <f t="array" aca="1" ref="AMT26" ca="1">INDEX(Canals!$AR$24:$AR$29,MATCH(2,1/((Canals!$F$24:$F$29&lt;=$C26)*(Canals!$G$24:$G$29=_xlfn.IFS(AHT26="Handysize",Main!AKC26,AHT26="Supramax",AJV26,AHT26="Panamax",AJO26,AHT26="NeoPanamax",AJH26,AHT26="Suezmax",AJA26,AHT26="Capesize",AIT26,AHT26="VLOC",AIM26)))))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U26" s="393" t="e">
        <f t="array" aca="1" ref="AMU26" ca="1">INDEX(Canals!$AS$24:$AS$29,MATCH(2,1/((Canals!$F$24:$F$29&lt;=$C26)*(Canals!$G$24:$G$29=_xlfn.IFS(AHT26="Handysize",Main!AKC26,AHT26="Supramax",AJV26,AHT26="Panamax",AJO26,AHT26="NeoPanamax",AJH26,AHT26="Suezmax",AJA26,AHT26="Capesize",AIT26,AHT26="VLOC",AIM26)))))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V26" s="393" t="e">
        <f t="array" aca="1" ref="AMV26" ca="1">INDEX(Canals!$AT$24:$AT$29,MATCH(2,1/((Canals!$F$24:$F$29&lt;=$C26)*(Canals!$G$24:$G$29=_xlfn.IFS(AHT26="Handysize",Main!AKC26,AHT26="Supramax",AJV26,AHT26="Panamax",AJO26,AHT26="NeoPanamax",AJH26,AHT26="Suezmax",AJA26,AHT26="Capesize",AIT26,AHT26="VLOC",AIM26)))))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W26" s="393" t="e">
        <f t="array" aca="1" ref="AMW26" ca="1">INDEX(Canals!$AU$24:$AU$29,MATCH(2,1/((Canals!$F$24:$F$29&lt;=$C26)*(Canals!$G$24:$G$29=_xlfn.IFS(AHT26="Handysize",Main!AKC26,AHT26="Supramax",AJV26,AHT26="Panamax",AJO26,AHT26="NeoPanamax",AJH26,AHT26="Suezmax",AJA26,AHT26="Capesize",AIT26,AHT26="VLOC",AIM26)))))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X26" s="393" t="e">
        <f t="array" aca="1" ref="AMX26" ca="1">INDEX(Canals!$AV$24:$AV$29,MATCH(2,1/((Canals!$F$24:$F$29&lt;=$C26)*(Canals!$G$24:$G$29=_xlfn.IFS(AHT26="Handysize",Main!AKC26,AHT26="Supramax",AJV26,AHT26="Panamax",AJO26,AHT26="NeoPanamax",AJH26,AHT26="Suezmax",AJA26,AHT26="Capesize",AIT26,AHT26="VLOC",AIM26)))))</f>
        <v>#N/A</v>
      </c>
      <c r="AMZ26" s="392" t="e">
        <f t="array" aca="1" ref="AMZ26" ca="1">_xlfn.IFS(ALK26="DWT",AHR26,ALK26="NRT",AHV26,ALK26="GRT",AHW26,ALK26=0,0)</f>
        <v>#NAME?</v>
      </c>
      <c r="ANA26" s="394" t="e">
        <f ca="1">IF(AMZ26&gt;ALL26,ALL26,AMZ26)</f>
        <v>#NAME?</v>
      </c>
      <c r="ANB26" s="395" t="e">
        <f ca="1">IF(AMZ26&gt;SUM(ALL26:ALM26),ALM26,AMZ26-SUM(ANA26:ANA26))</f>
        <v>#NAME?</v>
      </c>
      <c r="ANC26" s="395" t="e">
        <f ca="1">IF(AMZ26&gt;SUM(ALL26:ALN26),ALN26,AMZ26-SUM(ANA26:ANB26))</f>
        <v>#NAME?</v>
      </c>
      <c r="AND26" s="395" t="e">
        <f ca="1">IF(AMZ26&gt;SUM(ALL26:ALO26),ALO26,AMZ26-SUM(ANA26:ANC26))</f>
        <v>#NAME?</v>
      </c>
      <c r="ANE26" s="395" t="e">
        <f ca="1">IF(AMZ26&gt;SUM(ALL26:ALP26),ALP26,AMZ26-SUM(ANA26:AND26))</f>
        <v>#NAME?</v>
      </c>
      <c r="ANF26" s="395" t="e">
        <f ca="1">IF(AMZ26&gt;SUM(ALL26:ALQ26),ALQ26,AMZ26-SUM(ANA26:ANE26))</f>
        <v>#NAME?</v>
      </c>
      <c r="ANG26" s="395" t="e">
        <f ca="1">IF(AMZ26&gt;SUM(ALL26:ALR26),ALR26,AMZ26-SUM(ANA26:ANF26))</f>
        <v>#NAME?</v>
      </c>
      <c r="ANH26" s="395" t="e">
        <f ca="1">IF(AMZ26&gt;SUM(ALL26:ALS26),ALS26,AMZ26-SUM(ANA26:ANG26))</f>
        <v>#NAME?</v>
      </c>
      <c r="ANI26" s="395" t="e">
        <f ca="1">IF(AMZ26&gt;SUM(ALL26:ALT26),ALT26,AMZ26-SUM(ANA26:ANH26))</f>
        <v>#NAME?</v>
      </c>
      <c r="ANJ26" s="392">
        <f ca="1">AHR26*$JN26</f>
        <v>0</v>
      </c>
      <c r="ANK26" s="394" t="e">
        <f ca="1">IF(ANJ26&gt;AME26,AME26,ANJ26)</f>
        <v>#N/A</v>
      </c>
      <c r="ANL26" s="395" t="e">
        <f ca="1">IF(ANJ26&gt;SUM(AME26:AMF26),AMF26,ANJ26-SUM(ANK26:ANK26))</f>
        <v>#N/A</v>
      </c>
      <c r="ANM26" s="395" t="e">
        <f ca="1">IF(ANJ26&gt;SUM(AME26:AMG26),AMG26,ANJ26-SUM(ANK26:ANL26))</f>
        <v>#N/A</v>
      </c>
      <c r="ANN26" s="395" t="e">
        <f ca="1">IF(ANJ26&gt;SUM(AME26:AMH26),AMH26,ANJ26-SUM(ANK26:ANM26))</f>
        <v>#N/A</v>
      </c>
      <c r="ANO26" s="395" t="e">
        <f ca="1">IF(ANJ26&gt;SUM(AME26:AMI26),AMI26,ANJ26-SUM(ANK26:ANN26))</f>
        <v>#N/A</v>
      </c>
      <c r="ANP26" s="395" t="e">
        <f ca="1">IF(ANJ26&gt;SUM(AME26:AMJ26),AMJ26,ANJ26-SUM(ANK26:ANO26))</f>
        <v>#N/A</v>
      </c>
      <c r="ANQ26" s="395" t="e">
        <f ca="1">IF(ANJ26&gt;SUM(AME26:AMK26),AMK26,ANJ26-SUM(ANK26:ANP26))</f>
        <v>#N/A</v>
      </c>
      <c r="ANR26" s="395" t="e">
        <f ca="1">IF(ANJ26&gt;SUM(AME26:AML26),AML26,ANJ26-SUM(ANK26:ANQ26))</f>
        <v>#N/A</v>
      </c>
      <c r="ANS26" s="395" t="e">
        <f ca="1">IF(ANJ26&gt;SUM(AME26:AMM26),AMM26,ANJ26-SUM(ANK26:ANR26))</f>
        <v>#N/A</v>
      </c>
      <c r="ANU26" s="392" t="e">
        <f t="array" aca="1" ref="ANU26" ca="1">_xlfn.IFS(AHT26="Handysize",Main!AJW26,AHT26="Supramax",AJP26,AHT26="Panamax",AJI26,AHT26="NeoPanamax",AJB26,AHT26="Suezmax",AIU26,AHT26="Capesize",AIN26,AHT26="VLOC",AIG26)*$JI26</f>
        <v>#NAME?</v>
      </c>
      <c r="ANV26" s="396" t="e">
        <f t="array" aca="1" ref="ANV26" ca="1">_xlfn.IFS(AHT26="Handysize",Main!AJX26,AHT26="Supramax",AJQ26,AHT26="Panamax",AJJ26,AHT26="NeoPanamax",AJC26,AHT26="Suezmax",AIV26,AHT26="Capesize",AIO26,AHT26="VLOC",AIH26)*$JI26</f>
        <v>#NAME?</v>
      </c>
      <c r="ANW26" s="397" t="e">
        <f t="array" aca="1" ref="ANW26" ca="1">_xlfn.IFS(AHT26="Handysize",Main!AHY26,AHT26="Supramax",AHZ26,AHT26="Panamax",AIA26,AHT26="NeoPanamax",AIB26,AHT26="Suezmax",AIC26,AHT26="Capesize",AID26,AHT26="VLOC",AIE26)</f>
        <v>#NAME?</v>
      </c>
      <c r="ANX26" s="397" t="e">
        <f t="array" aca="1" ref="ANX26" ca="1">_xlfn.IFS(AHT26="Handysize",Main!AKK26,AHT26="Supramax",AKL26,AHT26="Panamax",AKM26,AHT26="NeoPanamax",AKN26,AHT26="Suezmax",AKO26,AHT26="Capesize",AKP26,AHT26="VLOC",AKQ26)</f>
        <v>#NAME?</v>
      </c>
      <c r="ANY26" s="398">
        <f t="array" aca="1" ref="ANY26" ca="1">INDEX('Ship Speeds'!$G$11:$G$1011,MATCH(2,1/(('Ship Speeds'!$E$11:$E$1011&lt;=Main!$C26)*('Ship Speeds'!$F$11:$F$1011=Main!AHS26))))</f>
        <v>11</v>
      </c>
      <c r="ANZ26" s="402">
        <f ca="1">(($KH26*ANY26^2+$KI26*ANY26^3+$KG26*ANY26)*((AHR26/$KC26)^$KD26)*$KJ26+(AHR26/$KC26)*$KF26+$KE26)</f>
        <v>0</v>
      </c>
      <c r="AOA26" s="402">
        <f ca="1">(AHR26/$JY26)*$JZ26+$KA26+$KB26*(AHR26/$JY26)^2</f>
        <v>1.2</v>
      </c>
      <c r="AOB26" s="398" t="e">
        <f ca="1">ANU26/ANY26/$JH26</f>
        <v>#NAME?</v>
      </c>
      <c r="AOC26" s="398" t="e">
        <f ca="1">ANV26/ANY26/$JH26</f>
        <v>#NAME?</v>
      </c>
      <c r="AOD26" s="398" t="e">
        <f ca="1">IF(ANW26=0,0,IF($AO26="yes",$AN26,$AR26)/(1-$AL26)/ANW26)</f>
        <v>#NAME?</v>
      </c>
      <c r="AOE26" s="398" t="e">
        <f ca="1">IF(ANX26=0,0,IF($AO26="yes",$AN26,$AR26)/(1-$AL26)/ANX26)</f>
        <v>#NAME?</v>
      </c>
      <c r="AOF26" s="399" t="e">
        <f ca="1">AMX26*$JI26</f>
        <v>#N/A</v>
      </c>
      <c r="AOG26" s="398" t="e">
        <f ca="1">IF(ANU26=0,0,MAX(SUM(AOB26:AOF26)*$JV26,$JU26))</f>
        <v>#NAME?</v>
      </c>
      <c r="AOH26" s="398" t="e">
        <f t="array" aca="1" ref="AOH26" ca="1">IF(ANU26=0,0,INDEX(AKE26:AKI26,MATCH(_xlfn.IFS(AHT26="Handysize",Main!AKA26,AHT26="Supramax",AJT26,AHT26="Panamax",AJM26,AHT26="NeoPanamax",AJF26,AHT26="Suezmax",AIY26,AHT26="Capesize",AIR26,AHT26="VLOC",AIK26),$AKE$7:$AKI$7,0)))</f>
        <v>#NAME?</v>
      </c>
      <c r="AOI26" s="398" t="e">
        <f t="array" aca="1" ref="AOI26" ca="1">IF(ANU26=0,0,INDEX(AKE26:AKI26,MATCH(_xlfn.IFS(AHT26="Handysize",Main!AKB26,AHT26="Supramax",AJU26,AHT26="Panamax",AJN26,AHT26="NeoPanamax",AJG26,AHT26="Suezmax",AIZ26,AHT26="Capesize",AIS26,AHT26="VLOC",AIL26),$AKE$7:$AKI$7,0)))</f>
        <v>#NAME?</v>
      </c>
      <c r="AOJ26" s="397" t="e">
        <f ca="1">AOB26*ANZ26*AOH26</f>
        <v>#NAME?</v>
      </c>
      <c r="AOK26" s="397" t="e">
        <f ca="1">SUM(AOD26:AOG26)*AOA26*AOI26+AOC26*ANZ26*AOI26</f>
        <v>#NAME?</v>
      </c>
      <c r="AOL26" s="354" t="e">
        <f ca="1">IF(ANU26=0,0,INDEX($JA26:$JD26,MATCH(AKR26,$JA$7:$JD$7,0)))</f>
        <v>#NAME?</v>
      </c>
      <c r="AOM26" s="397" t="e">
        <f ca="1">IF(ANU26=0,0,AKS26/AOL26)</f>
        <v>#NAME?</v>
      </c>
      <c r="AON26" s="397" t="e">
        <f ca="1">IF(ANU26=0,0,AKT26*SUM(AOE26,$JX26)/AOL26)</f>
        <v>#NAME?</v>
      </c>
      <c r="AOO26" s="397" t="e">
        <f ca="1">IF(ANU26=0,0,AKU26*(AOG26*(1-$JW26))/AOL26)</f>
        <v>#NAME?</v>
      </c>
      <c r="AOP26" s="397" t="e">
        <f ca="1">IF(ANU26=0,0,AKV26*(AHR26*$JN26)/AOL26)</f>
        <v>#NAME?</v>
      </c>
      <c r="AOQ26" s="397" t="e">
        <f ca="1">IF(ANU26=0,0,AKW26*(AHR26*$JN26)*SUM(AOE26,$JX26)/AOL26)</f>
        <v>#NAME?</v>
      </c>
      <c r="AOR26" s="397" t="e">
        <f ca="1">IF(ANU26=0,0,AKX26*(AHR26*$JN26)*(AOG26*(1-$JW26))/AOL26)</f>
        <v>#NAME?</v>
      </c>
      <c r="AOS26" s="397" t="e">
        <f ca="1">IF(ANU26=0,0,AKY26*AHV26/AOL26)</f>
        <v>#NAME?</v>
      </c>
      <c r="AOT26" s="397" t="e">
        <f ca="1">IF(ANU26=0,0,AKZ26*AHV26*SUM(AOE26,$JX26)/AOL26)</f>
        <v>#NAME?</v>
      </c>
      <c r="AOU26" s="397" t="e">
        <f ca="1">IF(ANU26=0,0,ALA26*AHV26*(AOG26*(1-$JW26))/AOL26)</f>
        <v>#NAME?</v>
      </c>
      <c r="AOV26" s="397" t="e">
        <f ca="1">IF(ANU26=0,0,ALB26*AHW26/AOL26)</f>
        <v>#NAME?</v>
      </c>
      <c r="AOW26" s="397" t="e">
        <f ca="1">IF(ANU26=0,0,ALC26*AHW26*SUM(AOE26,$JX26)/AOL26)</f>
        <v>#NAME?</v>
      </c>
      <c r="AOX26" s="397" t="e">
        <f ca="1">IF(ANU26=0,0,ALD26*AHW26*(AOG26*(1-$JW26))/AOL26)</f>
        <v>#NAME?</v>
      </c>
      <c r="AOY26" s="399" t="e">
        <f ca="1">IF(ANU26=0,0,ALE26*AHU26/AOL26)</f>
        <v>#NAME?</v>
      </c>
      <c r="AOZ26" s="399" t="e">
        <f ca="1">IF(ANU26=0,0,ALF26*AHU26*SUM(AOE26,$JX26)/AOL26)</f>
        <v>#NAME?</v>
      </c>
      <c r="APA26" s="397" t="e">
        <f ca="1">IF(ANU26=0,0,ALG26*AHU26*(AOG26*(1-$JW26))/AOL26)</f>
        <v>#NAME?</v>
      </c>
      <c r="APB26" s="397" t="e">
        <f t="array" aca="1" ref="APB26" ca="1">IF(ANU26=0,0,INDEX('Ship Time Charter Rates'!$H$22:$H$1021,MATCH(2,1/(('Ship Time Charter Rates'!$G$22:$G$1021=_xlfn.IFS(AHT26="Handysize",Main!AJY26,AHT26="Supramax",AJR26,AHT26="Panamax",AJK26,AHT26="NeoPanamax",AJD26,AHT26="Suezmax",AIW26,AHT26="Capesize",AIP26,AHT26="VLOC",AII26))*('Ship Time Charter Rates'!$E$22:$E$1021&lt;=Main!$C26)*(NOT(ISBLANK('Ship Time Charter Rates'!$H$22:$H$1021)))))))</f>
        <v>#NAME?</v>
      </c>
      <c r="APC26" s="397" t="e">
        <f ca="1">IF(ANU26=0,0,SUM(AOB26:AOG26,$JI26*$JX26)*APB26)</f>
        <v>#NAME?</v>
      </c>
      <c r="APD26" s="398" t="e">
        <f ca="1">IF(ANU26=0,0,SUMPRODUCT(ALU26:AMC26,ANA26:ANI26)+SUMPRODUCT(AMN26:AMV26,ANK26:ANS26))</f>
        <v>#NAME?</v>
      </c>
      <c r="APE26" s="397" t="e">
        <f ca="1">IF(ANU26=0,0,SUM(AOJ26,AOK26)+APC26+APD26+SUM(AOM26:APA26))</f>
        <v>#NAME?</v>
      </c>
      <c r="APF26" s="397" t="e">
        <f ca="1">APE26*(1+$KL26)*(1+$KM26)</f>
        <v>#NAME?</v>
      </c>
      <c r="APG26" s="409" t="e">
        <f t="shared" ca="1" si="309"/>
        <v>#NAME?</v>
      </c>
      <c r="API26" s="287" t="s">
        <v>39</v>
      </c>
      <c r="APK26" s="400" t="e">
        <f ca="1">SUM(APG26,AHP26)</f>
        <v>#NAME?</v>
      </c>
      <c r="APL26" s="400" t="e">
        <f ca="1">SUM(ZW26,SF26)</f>
        <v>#NAME?</v>
      </c>
      <c r="APM26" s="400" t="e">
        <f ca="1">APK26-APL26</f>
        <v>#NAME?</v>
      </c>
      <c r="APO26" s="287" t="s">
        <v>39</v>
      </c>
    </row>
    <row r="27" spans="2:1107">
      <c r="T27" s="287" t="s">
        <v>39</v>
      </c>
      <c r="AF27" s="97"/>
      <c r="AN27"/>
      <c r="AO27" s="264"/>
      <c r="AU27"/>
      <c r="AW27" s="237"/>
      <c r="BH27"/>
      <c r="BI27" s="237"/>
      <c r="BK27" s="287" t="s">
        <v>39</v>
      </c>
      <c r="CT27" s="287" t="s">
        <v>39</v>
      </c>
      <c r="EC27" s="287" t="s">
        <v>39</v>
      </c>
      <c r="FL27" s="287" t="s">
        <v>39</v>
      </c>
      <c r="IB27" s="287" t="s">
        <v>39</v>
      </c>
      <c r="IT27" s="287" t="s">
        <v>39</v>
      </c>
      <c r="KO27" s="287" t="s">
        <v>39</v>
      </c>
      <c r="RJ27"/>
      <c r="RK27" s="282"/>
      <c r="ZY27" s="287" t="s">
        <v>39</v>
      </c>
      <c r="AGU27" s="282"/>
      <c r="API27" s="287" t="s">
        <v>39</v>
      </c>
      <c r="APO27" s="287" t="s">
        <v>39</v>
      </c>
    </row>
    <row r="28" spans="2:1107" ht="16.5" thickBot="1">
      <c r="T28" s="287" t="s">
        <v>39</v>
      </c>
      <c r="AF28" s="97" t="s">
        <v>476</v>
      </c>
      <c r="AG28" t="s">
        <v>477</v>
      </c>
      <c r="AH28" t="s">
        <v>478</v>
      </c>
      <c r="AI28" t="s">
        <v>479</v>
      </c>
      <c r="AJ28" t="s">
        <v>480</v>
      </c>
      <c r="AK28" t="s">
        <v>481</v>
      </c>
      <c r="AL28" t="s">
        <v>482</v>
      </c>
      <c r="AM28" t="s">
        <v>483</v>
      </c>
      <c r="AN28" t="s">
        <v>484</v>
      </c>
      <c r="AO28" s="264" t="s">
        <v>485</v>
      </c>
      <c r="AP28" t="s">
        <v>486</v>
      </c>
      <c r="AQ28" t="s">
        <v>487</v>
      </c>
      <c r="AR28" t="s">
        <v>488</v>
      </c>
      <c r="AS28" t="s">
        <v>489</v>
      </c>
      <c r="AT28" t="s">
        <v>490</v>
      </c>
      <c r="AU28" t="s">
        <v>491</v>
      </c>
      <c r="AV28" s="237" t="e">
        <v>#N/A</v>
      </c>
      <c r="AW28" s="237" t="e">
        <v>#N/A</v>
      </c>
      <c r="AX28" t="s">
        <v>492</v>
      </c>
      <c r="AY28" t="s">
        <v>493</v>
      </c>
      <c r="AZ28" t="s">
        <v>494</v>
      </c>
      <c r="BA28" t="s">
        <v>495</v>
      </c>
      <c r="BB28" t="e">
        <v>#N/A</v>
      </c>
      <c r="BC28" t="e">
        <v>#N/A</v>
      </c>
      <c r="BD28" t="s">
        <v>496</v>
      </c>
      <c r="BE28" t="s">
        <v>497</v>
      </c>
      <c r="BF28" t="s">
        <v>498</v>
      </c>
      <c r="BG28" t="s">
        <v>499</v>
      </c>
      <c r="BH28" t="s">
        <v>500</v>
      </c>
      <c r="BI28" s="237" t="s">
        <v>501</v>
      </c>
      <c r="BJ28" t="e">
        <v>#N/A</v>
      </c>
      <c r="BK28" s="287" t="e">
        <v>#N/A</v>
      </c>
      <c r="BL28" t="e">
        <v>#N/A</v>
      </c>
      <c r="BM28" t="s">
        <v>502</v>
      </c>
      <c r="BN28" t="s">
        <v>503</v>
      </c>
      <c r="BO28" t="s">
        <v>504</v>
      </c>
      <c r="BP28" t="s">
        <v>505</v>
      </c>
      <c r="BQ28" t="s">
        <v>506</v>
      </c>
      <c r="BR28" t="s">
        <v>507</v>
      </c>
      <c r="BS28" t="s">
        <v>508</v>
      </c>
      <c r="BT28" t="s">
        <v>509</v>
      </c>
      <c r="BU28" t="s">
        <v>510</v>
      </c>
      <c r="BV28" t="s">
        <v>511</v>
      </c>
      <c r="BW28" t="e">
        <v>#N/A</v>
      </c>
      <c r="BX28" t="s">
        <v>512</v>
      </c>
      <c r="BY28" t="s">
        <v>513</v>
      </c>
      <c r="BZ28" t="s">
        <v>514</v>
      </c>
      <c r="CA28" t="s">
        <v>515</v>
      </c>
      <c r="CB28" t="s">
        <v>516</v>
      </c>
      <c r="CC28" t="s">
        <v>517</v>
      </c>
      <c r="CD28" t="s">
        <v>518</v>
      </c>
      <c r="CE28" t="s">
        <v>519</v>
      </c>
      <c r="CF28" t="e">
        <v>#N/A</v>
      </c>
      <c r="CG28" t="s">
        <v>520</v>
      </c>
      <c r="CH28" t="s">
        <v>521</v>
      </c>
      <c r="CI28" t="s">
        <v>522</v>
      </c>
      <c r="CJ28" t="s">
        <v>523</v>
      </c>
      <c r="CK28" t="s">
        <v>524</v>
      </c>
      <c r="CL28" t="s">
        <v>525</v>
      </c>
      <c r="CM28" t="s">
        <v>526</v>
      </c>
      <c r="CN28" t="s">
        <v>527</v>
      </c>
      <c r="CO28" t="s">
        <v>528</v>
      </c>
      <c r="CP28" t="s">
        <v>529</v>
      </c>
      <c r="CQ28" t="s">
        <v>530</v>
      </c>
      <c r="CR28" t="s">
        <v>531</v>
      </c>
      <c r="CS28" t="e">
        <v>#N/A</v>
      </c>
      <c r="CT28" s="287" t="e">
        <v>#N/A</v>
      </c>
      <c r="CU28" t="e">
        <v>#N/A</v>
      </c>
      <c r="CV28" t="s">
        <v>532</v>
      </c>
      <c r="CW28" t="s">
        <v>533</v>
      </c>
      <c r="CX28" t="s">
        <v>534</v>
      </c>
      <c r="CY28" t="s">
        <v>535</v>
      </c>
      <c r="CZ28" t="s">
        <v>536</v>
      </c>
      <c r="DA28" t="s">
        <v>537</v>
      </c>
      <c r="DB28" t="s">
        <v>538</v>
      </c>
      <c r="DC28" t="s">
        <v>539</v>
      </c>
      <c r="DD28" t="s">
        <v>540</v>
      </c>
      <c r="DE28" t="s">
        <v>541</v>
      </c>
      <c r="DF28" t="e">
        <v>#N/A</v>
      </c>
      <c r="DG28" t="s">
        <v>542</v>
      </c>
      <c r="DH28" t="s">
        <v>543</v>
      </c>
      <c r="DI28" t="s">
        <v>544</v>
      </c>
      <c r="DJ28" t="s">
        <v>545</v>
      </c>
      <c r="DK28" t="s">
        <v>546</v>
      </c>
      <c r="DL28" t="s">
        <v>547</v>
      </c>
      <c r="DM28" t="s">
        <v>548</v>
      </c>
      <c r="DN28" t="s">
        <v>549</v>
      </c>
      <c r="DO28" t="e">
        <v>#N/A</v>
      </c>
      <c r="DP28" t="s">
        <v>550</v>
      </c>
      <c r="DQ28" t="s">
        <v>551</v>
      </c>
      <c r="DR28" t="s">
        <v>552</v>
      </c>
      <c r="DS28" t="s">
        <v>553</v>
      </c>
      <c r="DT28" t="e">
        <v>#N/A</v>
      </c>
      <c r="DU28" t="s">
        <v>554</v>
      </c>
      <c r="DV28" t="s">
        <v>555</v>
      </c>
      <c r="DW28" t="s">
        <v>556</v>
      </c>
      <c r="DX28" t="s">
        <v>557</v>
      </c>
      <c r="DY28" t="s">
        <v>558</v>
      </c>
      <c r="DZ28" t="s">
        <v>559</v>
      </c>
      <c r="EA28" t="s">
        <v>560</v>
      </c>
      <c r="EB28" t="e">
        <v>#N/A</v>
      </c>
      <c r="EC28" s="287" t="e">
        <v>#N/A</v>
      </c>
      <c r="ED28" t="e">
        <v>#N/A</v>
      </c>
      <c r="EE28" t="s">
        <v>561</v>
      </c>
      <c r="EF28" t="s">
        <v>562</v>
      </c>
      <c r="EG28" t="s">
        <v>563</v>
      </c>
      <c r="EH28" t="s">
        <v>564</v>
      </c>
      <c r="EI28" t="s">
        <v>565</v>
      </c>
      <c r="EJ28" t="s">
        <v>566</v>
      </c>
      <c r="EK28" t="s">
        <v>567</v>
      </c>
      <c r="EL28" t="s">
        <v>568</v>
      </c>
      <c r="EM28" t="s">
        <v>569</v>
      </c>
      <c r="EN28" t="s">
        <v>570</v>
      </c>
      <c r="EO28" t="e">
        <v>#N/A</v>
      </c>
      <c r="EP28" t="s">
        <v>571</v>
      </c>
      <c r="EQ28" t="s">
        <v>572</v>
      </c>
      <c r="ER28" t="s">
        <v>573</v>
      </c>
      <c r="ES28" t="s">
        <v>574</v>
      </c>
      <c r="ET28" t="s">
        <v>575</v>
      </c>
      <c r="EU28" t="s">
        <v>576</v>
      </c>
      <c r="EV28" t="s">
        <v>577</v>
      </c>
      <c r="EW28" t="s">
        <v>578</v>
      </c>
      <c r="EX28" t="e">
        <v>#N/A</v>
      </c>
      <c r="EY28" t="s">
        <v>579</v>
      </c>
      <c r="EZ28" t="s">
        <v>580</v>
      </c>
      <c r="FA28" t="s">
        <v>581</v>
      </c>
      <c r="FB28" t="s">
        <v>582</v>
      </c>
      <c r="FC28" t="e">
        <v>#N/A</v>
      </c>
      <c r="FD28" t="s">
        <v>583</v>
      </c>
      <c r="FE28" t="s">
        <v>584</v>
      </c>
      <c r="FF28" t="s">
        <v>585</v>
      </c>
      <c r="FG28" t="s">
        <v>586</v>
      </c>
      <c r="FH28" t="s">
        <v>587</v>
      </c>
      <c r="FI28" t="s">
        <v>588</v>
      </c>
      <c r="FJ28" t="s">
        <v>589</v>
      </c>
      <c r="FK28" t="e">
        <v>#N/A</v>
      </c>
      <c r="FL28" s="287" t="e">
        <v>#N/A</v>
      </c>
      <c r="FM28" t="e">
        <v>#N/A</v>
      </c>
      <c r="FN28" t="s">
        <v>502</v>
      </c>
      <c r="FO28" t="s">
        <v>503</v>
      </c>
      <c r="FP28" t="s">
        <v>504</v>
      </c>
      <c r="FQ28" t="s">
        <v>505</v>
      </c>
      <c r="FR28" t="s">
        <v>506</v>
      </c>
      <c r="FS28" t="s">
        <v>507</v>
      </c>
      <c r="FT28" t="s">
        <v>508</v>
      </c>
      <c r="FU28" t="s">
        <v>509</v>
      </c>
      <c r="FV28" t="s">
        <v>510</v>
      </c>
      <c r="FW28" t="e">
        <v>#N/A</v>
      </c>
      <c r="FX28" t="e">
        <v>#N/A</v>
      </c>
      <c r="FY28" t="s">
        <v>590</v>
      </c>
      <c r="FZ28" t="s">
        <v>591</v>
      </c>
      <c r="GA28" t="s">
        <v>592</v>
      </c>
      <c r="GB28" t="s">
        <v>593</v>
      </c>
      <c r="GC28" t="s">
        <v>594</v>
      </c>
      <c r="GD28" t="s">
        <v>595</v>
      </c>
      <c r="GE28" t="e">
        <v>#N/A</v>
      </c>
      <c r="GF28" t="s">
        <v>596</v>
      </c>
      <c r="GG28" t="e">
        <v>#N/A</v>
      </c>
      <c r="GH28" t="s">
        <v>597</v>
      </c>
      <c r="GI28" t="s">
        <v>598</v>
      </c>
      <c r="GJ28" t="s">
        <v>599</v>
      </c>
      <c r="GK28" t="s">
        <v>600</v>
      </c>
      <c r="GL28" t="s">
        <v>601</v>
      </c>
      <c r="GM28" t="s">
        <v>602</v>
      </c>
      <c r="GN28" t="s">
        <v>603</v>
      </c>
      <c r="GO28" t="s">
        <v>604</v>
      </c>
      <c r="GP28" t="s">
        <v>605</v>
      </c>
      <c r="GQ28" t="s">
        <v>606</v>
      </c>
      <c r="GR28" t="s">
        <v>607</v>
      </c>
      <c r="GS28" t="s">
        <v>608</v>
      </c>
      <c r="GT28" t="e">
        <v>#N/A</v>
      </c>
      <c r="GU28" t="s">
        <v>609</v>
      </c>
      <c r="GV28" t="s">
        <v>610</v>
      </c>
      <c r="GW28" t="s">
        <v>611</v>
      </c>
      <c r="GX28" t="s">
        <v>612</v>
      </c>
      <c r="GY28" t="s">
        <v>613</v>
      </c>
      <c r="GZ28" t="s">
        <v>614</v>
      </c>
      <c r="HA28" t="s">
        <v>615</v>
      </c>
      <c r="HB28" t="s">
        <v>616</v>
      </c>
      <c r="HC28" t="s">
        <v>617</v>
      </c>
      <c r="HD28" t="s">
        <v>618</v>
      </c>
      <c r="HE28" t="e">
        <v>#N/A</v>
      </c>
      <c r="HF28" t="s">
        <v>619</v>
      </c>
      <c r="HG28" t="s">
        <v>620</v>
      </c>
      <c r="HH28" t="s">
        <v>621</v>
      </c>
      <c r="HI28" t="s">
        <v>622</v>
      </c>
      <c r="HJ28" t="s">
        <v>623</v>
      </c>
      <c r="HK28" t="s">
        <v>624</v>
      </c>
      <c r="HL28" t="e">
        <v>#N/A</v>
      </c>
      <c r="HM28" t="s">
        <v>625</v>
      </c>
      <c r="HN28" t="e">
        <v>#N/A</v>
      </c>
      <c r="HO28" t="s">
        <v>626</v>
      </c>
      <c r="HP28" t="s">
        <v>627</v>
      </c>
      <c r="HQ28" t="s">
        <v>628</v>
      </c>
      <c r="HR28" t="s">
        <v>629</v>
      </c>
      <c r="HS28" t="e">
        <v>#N/A</v>
      </c>
      <c r="HT28" t="s">
        <v>630</v>
      </c>
      <c r="HU28" t="s">
        <v>631</v>
      </c>
      <c r="HV28" t="s">
        <v>632</v>
      </c>
      <c r="HW28" t="s">
        <v>633</v>
      </c>
      <c r="HX28" t="s">
        <v>634</v>
      </c>
      <c r="HY28" t="s">
        <v>635</v>
      </c>
      <c r="HZ28" t="s">
        <v>636</v>
      </c>
      <c r="IA28" t="e">
        <v>#N/A</v>
      </c>
      <c r="IB28" s="287" t="e">
        <v>#N/A</v>
      </c>
      <c r="IC28" t="e">
        <v>#N/A</v>
      </c>
      <c r="ID28" t="s">
        <v>637</v>
      </c>
      <c r="IE28" t="s">
        <v>638</v>
      </c>
      <c r="IF28" t="s">
        <v>639</v>
      </c>
      <c r="IG28" t="s">
        <v>640</v>
      </c>
      <c r="IH28" t="s">
        <v>641</v>
      </c>
      <c r="II28" t="s">
        <v>642</v>
      </c>
      <c r="IJ28" t="s">
        <v>643</v>
      </c>
      <c r="IK28" t="s">
        <v>644</v>
      </c>
      <c r="IL28" t="s">
        <v>645</v>
      </c>
      <c r="IM28" t="s">
        <v>646</v>
      </c>
      <c r="IN28" t="s">
        <v>647</v>
      </c>
      <c r="IO28" t="s">
        <v>648</v>
      </c>
      <c r="IP28" t="s">
        <v>649</v>
      </c>
      <c r="IQ28" t="s">
        <v>650</v>
      </c>
      <c r="IR28" t="s">
        <v>651</v>
      </c>
      <c r="IS28" t="e">
        <v>#N/A</v>
      </c>
      <c r="IT28" s="287" t="e">
        <v>#N/A</v>
      </c>
      <c r="IU28" t="e">
        <v>#N/A</v>
      </c>
      <c r="IV28" t="s">
        <v>652</v>
      </c>
      <c r="IW28" t="s">
        <v>653</v>
      </c>
      <c r="IX28" t="s">
        <v>654</v>
      </c>
      <c r="IY28" t="s">
        <v>655</v>
      </c>
      <c r="IZ28" t="e">
        <v>#N/A</v>
      </c>
      <c r="JA28" t="s">
        <v>656</v>
      </c>
      <c r="JB28" t="s">
        <v>657</v>
      </c>
      <c r="JC28" t="s">
        <v>658</v>
      </c>
      <c r="JD28" t="s">
        <v>659</v>
      </c>
      <c r="JE28" t="e">
        <v>#N/A</v>
      </c>
      <c r="JF28" t="s">
        <v>660</v>
      </c>
      <c r="JG28" t="s">
        <v>661</v>
      </c>
      <c r="JH28" t="s">
        <v>662</v>
      </c>
      <c r="JI28" t="s">
        <v>663</v>
      </c>
      <c r="JJ28" t="s">
        <v>664</v>
      </c>
      <c r="JK28" t="s">
        <v>665</v>
      </c>
      <c r="JL28" t="s">
        <v>666</v>
      </c>
      <c r="JM28" t="s">
        <v>667</v>
      </c>
      <c r="JN28" t="s">
        <v>668</v>
      </c>
      <c r="JO28" t="s">
        <v>669</v>
      </c>
      <c r="JP28" t="s">
        <v>670</v>
      </c>
      <c r="JQ28" t="s">
        <v>671</v>
      </c>
      <c r="JR28" t="s">
        <v>672</v>
      </c>
      <c r="JS28" t="s">
        <v>673</v>
      </c>
      <c r="JT28" t="s">
        <v>674</v>
      </c>
      <c r="JU28" t="s">
        <v>675</v>
      </c>
      <c r="JV28" t="s">
        <v>676</v>
      </c>
      <c r="JW28" t="s">
        <v>677</v>
      </c>
      <c r="JX28" t="s">
        <v>678</v>
      </c>
      <c r="JY28" t="s">
        <v>679</v>
      </c>
      <c r="JZ28" t="s">
        <v>680</v>
      </c>
      <c r="KA28" t="s">
        <v>681</v>
      </c>
      <c r="KB28" t="e">
        <v>#N/A</v>
      </c>
      <c r="KC28" t="s">
        <v>682</v>
      </c>
      <c r="KD28" t="s">
        <v>683</v>
      </c>
      <c r="KE28" t="e">
        <v>#N/A</v>
      </c>
      <c r="KF28" t="e">
        <v>#N/A</v>
      </c>
      <c r="KG28" t="e">
        <v>#N/A</v>
      </c>
      <c r="KH28" t="s">
        <v>684</v>
      </c>
      <c r="KI28" t="s">
        <v>685</v>
      </c>
      <c r="KJ28" t="s">
        <v>686</v>
      </c>
      <c r="KK28" t="s">
        <v>687</v>
      </c>
      <c r="KL28" t="s">
        <v>688</v>
      </c>
      <c r="KM28" t="s">
        <v>689</v>
      </c>
      <c r="KN28" t="e">
        <v>#N/A</v>
      </c>
      <c r="KO28" s="287" t="e">
        <v>#N/A</v>
      </c>
      <c r="KP28" t="e">
        <v>#N/A</v>
      </c>
      <c r="KQ28" t="s">
        <v>690</v>
      </c>
      <c r="KR28" t="s">
        <v>691</v>
      </c>
      <c r="KS28" t="s">
        <v>692</v>
      </c>
      <c r="KT28" t="s">
        <v>693</v>
      </c>
      <c r="KU28" t="s">
        <v>694</v>
      </c>
      <c r="KV28" t="s">
        <v>695</v>
      </c>
      <c r="KW28" t="e">
        <v>#N/A</v>
      </c>
      <c r="KX28" t="s">
        <v>696</v>
      </c>
      <c r="KY28" t="s">
        <v>697</v>
      </c>
      <c r="KZ28" t="s">
        <v>698</v>
      </c>
      <c r="LA28" t="s">
        <v>699</v>
      </c>
      <c r="LB28" t="s">
        <v>700</v>
      </c>
      <c r="LC28" t="s">
        <v>701</v>
      </c>
      <c r="LD28" t="s">
        <v>702</v>
      </c>
      <c r="LE28" t="e">
        <v>#N/A</v>
      </c>
      <c r="LF28" t="s">
        <v>703</v>
      </c>
      <c r="LG28" t="s">
        <v>704</v>
      </c>
      <c r="LH28" t="s">
        <v>705</v>
      </c>
      <c r="LI28" t="s">
        <v>706</v>
      </c>
      <c r="LJ28" t="s">
        <v>707</v>
      </c>
      <c r="LK28" t="s">
        <v>708</v>
      </c>
      <c r="LL28" t="s">
        <v>709</v>
      </c>
      <c r="LM28" t="s">
        <v>710</v>
      </c>
      <c r="LN28" t="s">
        <v>711</v>
      </c>
      <c r="LO28" t="s">
        <v>712</v>
      </c>
      <c r="LP28" t="s">
        <v>713</v>
      </c>
      <c r="LQ28" t="s">
        <v>714</v>
      </c>
      <c r="LR28" t="s">
        <v>715</v>
      </c>
      <c r="LS28" t="s">
        <v>716</v>
      </c>
      <c r="LT28" t="s">
        <v>717</v>
      </c>
      <c r="LU28" t="s">
        <v>718</v>
      </c>
      <c r="LV28" t="s">
        <v>719</v>
      </c>
      <c r="LW28" t="s">
        <v>720</v>
      </c>
      <c r="LX28" t="s">
        <v>721</v>
      </c>
      <c r="LY28" t="s">
        <v>722</v>
      </c>
      <c r="LZ28" t="s">
        <v>723</v>
      </c>
      <c r="MA28" t="s">
        <v>724</v>
      </c>
      <c r="MB28" t="s">
        <v>725</v>
      </c>
      <c r="MC28" t="s">
        <v>726</v>
      </c>
      <c r="MD28" t="s">
        <v>727</v>
      </c>
      <c r="ME28" t="s">
        <v>728</v>
      </c>
      <c r="MF28" t="s">
        <v>729</v>
      </c>
      <c r="MG28" t="s">
        <v>730</v>
      </c>
      <c r="MH28" t="s">
        <v>731</v>
      </c>
      <c r="MI28" t="s">
        <v>732</v>
      </c>
      <c r="MJ28" t="s">
        <v>733</v>
      </c>
      <c r="MK28" t="s">
        <v>734</v>
      </c>
      <c r="ML28" t="s">
        <v>735</v>
      </c>
      <c r="MM28" t="s">
        <v>736</v>
      </c>
      <c r="MN28" t="s">
        <v>737</v>
      </c>
      <c r="MO28" t="s">
        <v>738</v>
      </c>
      <c r="MP28" t="s">
        <v>739</v>
      </c>
      <c r="MQ28" t="s">
        <v>740</v>
      </c>
      <c r="MR28" t="s">
        <v>741</v>
      </c>
      <c r="MS28" t="s">
        <v>742</v>
      </c>
      <c r="MT28" t="s">
        <v>743</v>
      </c>
      <c r="MU28" t="s">
        <v>744</v>
      </c>
      <c r="MV28" t="s">
        <v>745</v>
      </c>
      <c r="MW28" t="s">
        <v>746</v>
      </c>
      <c r="MX28" t="s">
        <v>747</v>
      </c>
      <c r="MY28" t="s">
        <v>748</v>
      </c>
      <c r="MZ28" t="s">
        <v>749</v>
      </c>
      <c r="NA28" t="s">
        <v>750</v>
      </c>
      <c r="NB28" t="s">
        <v>751</v>
      </c>
      <c r="NC28" t="e">
        <v>#N/A</v>
      </c>
      <c r="ND28" t="s">
        <v>752</v>
      </c>
      <c r="NE28" t="s">
        <v>753</v>
      </c>
      <c r="NF28" t="s">
        <v>754</v>
      </c>
      <c r="NG28" t="s">
        <v>755</v>
      </c>
      <c r="NH28" t="s">
        <v>756</v>
      </c>
      <c r="NI28" t="e">
        <v>#N/A</v>
      </c>
      <c r="NJ28" t="s">
        <v>757</v>
      </c>
      <c r="NK28" t="s">
        <v>758</v>
      </c>
      <c r="NL28" t="s">
        <v>759</v>
      </c>
      <c r="NM28" t="s">
        <v>760</v>
      </c>
      <c r="NN28" t="s">
        <v>761</v>
      </c>
      <c r="NO28" t="s">
        <v>762</v>
      </c>
      <c r="NP28" t="s">
        <v>763</v>
      </c>
      <c r="NQ28" t="s">
        <v>764</v>
      </c>
      <c r="NR28" t="s">
        <v>765</v>
      </c>
      <c r="NS28" t="s">
        <v>766</v>
      </c>
      <c r="NT28" t="s">
        <v>767</v>
      </c>
      <c r="NU28" t="s">
        <v>768</v>
      </c>
      <c r="NV28" t="s">
        <v>769</v>
      </c>
      <c r="NW28" t="s">
        <v>770</v>
      </c>
      <c r="NX28" t="s">
        <v>771</v>
      </c>
      <c r="NY28" t="s">
        <v>772</v>
      </c>
      <c r="NZ28" t="s">
        <v>773</v>
      </c>
      <c r="OA28" t="s">
        <v>774</v>
      </c>
      <c r="OB28" t="s">
        <v>775</v>
      </c>
      <c r="OC28" t="s">
        <v>776</v>
      </c>
      <c r="OD28" t="s">
        <v>777</v>
      </c>
      <c r="OE28" t="s">
        <v>778</v>
      </c>
      <c r="OF28" t="s">
        <v>779</v>
      </c>
      <c r="OG28" t="e">
        <v>#N/A</v>
      </c>
      <c r="OH28" t="s">
        <v>780</v>
      </c>
      <c r="OI28" t="s">
        <v>781</v>
      </c>
      <c r="OJ28" t="s">
        <v>782</v>
      </c>
      <c r="OK28" t="s">
        <v>783</v>
      </c>
      <c r="OL28" t="s">
        <v>784</v>
      </c>
      <c r="OM28" t="s">
        <v>785</v>
      </c>
      <c r="ON28" t="s">
        <v>786</v>
      </c>
      <c r="OO28" t="s">
        <v>787</v>
      </c>
      <c r="OP28" t="s">
        <v>788</v>
      </c>
      <c r="OQ28" t="s">
        <v>789</v>
      </c>
      <c r="OR28" t="s">
        <v>790</v>
      </c>
      <c r="OS28" t="s">
        <v>791</v>
      </c>
      <c r="OT28" t="s">
        <v>792</v>
      </c>
      <c r="OU28" t="s">
        <v>793</v>
      </c>
      <c r="OV28" t="s">
        <v>794</v>
      </c>
      <c r="OW28" t="s">
        <v>795</v>
      </c>
      <c r="OX28" t="s">
        <v>796</v>
      </c>
      <c r="OY28" t="s">
        <v>797</v>
      </c>
      <c r="OZ28" t="s">
        <v>798</v>
      </c>
      <c r="PA28" t="s">
        <v>799</v>
      </c>
      <c r="PB28" t="s">
        <v>800</v>
      </c>
      <c r="PC28" t="s">
        <v>801</v>
      </c>
      <c r="PD28" t="s">
        <v>802</v>
      </c>
      <c r="PE28" t="s">
        <v>803</v>
      </c>
      <c r="PF28" t="s">
        <v>804</v>
      </c>
      <c r="PG28" t="s">
        <v>805</v>
      </c>
      <c r="PH28" t="s">
        <v>806</v>
      </c>
      <c r="PI28" t="s">
        <v>807</v>
      </c>
      <c r="PJ28" t="s">
        <v>808</v>
      </c>
      <c r="PK28" t="s">
        <v>809</v>
      </c>
      <c r="PL28" t="s">
        <v>810</v>
      </c>
      <c r="PM28" t="s">
        <v>811</v>
      </c>
      <c r="PN28" t="s">
        <v>812</v>
      </c>
      <c r="PO28" t="s">
        <v>813</v>
      </c>
      <c r="PP28" t="s">
        <v>814</v>
      </c>
      <c r="PQ28" t="s">
        <v>815</v>
      </c>
      <c r="PR28" t="s">
        <v>816</v>
      </c>
      <c r="PS28" t="s">
        <v>817</v>
      </c>
      <c r="PT28" t="s">
        <v>818</v>
      </c>
      <c r="PU28" t="s">
        <v>819</v>
      </c>
      <c r="PV28" t="s">
        <v>820</v>
      </c>
      <c r="PW28" t="s">
        <v>821</v>
      </c>
      <c r="PX28" t="e">
        <v>#N/A</v>
      </c>
      <c r="PY28" t="s">
        <v>822</v>
      </c>
      <c r="PZ28" t="s">
        <v>823</v>
      </c>
      <c r="QA28" t="s">
        <v>824</v>
      </c>
      <c r="QB28" t="s">
        <v>825</v>
      </c>
      <c r="QC28" t="s">
        <v>826</v>
      </c>
      <c r="QD28" t="s">
        <v>827</v>
      </c>
      <c r="QE28" t="s">
        <v>828</v>
      </c>
      <c r="QF28" t="s">
        <v>829</v>
      </c>
      <c r="QG28" t="s">
        <v>830</v>
      </c>
      <c r="QH28" t="s">
        <v>831</v>
      </c>
      <c r="QI28" t="s">
        <v>832</v>
      </c>
      <c r="QJ28" t="s">
        <v>833</v>
      </c>
      <c r="QK28" t="s">
        <v>834</v>
      </c>
      <c r="QL28" t="s">
        <v>835</v>
      </c>
      <c r="QM28" t="s">
        <v>836</v>
      </c>
      <c r="QN28" t="s">
        <v>837</v>
      </c>
      <c r="QO28" t="s">
        <v>838</v>
      </c>
      <c r="QP28" t="s">
        <v>839</v>
      </c>
      <c r="QQ28" t="s">
        <v>840</v>
      </c>
      <c r="QR28" t="s">
        <v>841</v>
      </c>
      <c r="QS28" t="e">
        <v>#N/A</v>
      </c>
      <c r="QT28" t="s">
        <v>842</v>
      </c>
      <c r="QU28" t="s">
        <v>843</v>
      </c>
      <c r="QV28" t="s">
        <v>844</v>
      </c>
      <c r="QW28" t="s">
        <v>845</v>
      </c>
      <c r="QX28" t="s">
        <v>846</v>
      </c>
      <c r="QY28" t="s">
        <v>847</v>
      </c>
      <c r="QZ28" t="s">
        <v>848</v>
      </c>
      <c r="RA28" t="s">
        <v>849</v>
      </c>
      <c r="RB28" t="s">
        <v>850</v>
      </c>
      <c r="RC28" t="s">
        <v>851</v>
      </c>
      <c r="RD28" t="s">
        <v>852</v>
      </c>
      <c r="RE28" t="s">
        <v>853</v>
      </c>
      <c r="RF28" t="s">
        <v>854</v>
      </c>
      <c r="RG28" t="s">
        <v>855</v>
      </c>
      <c r="RH28" t="s">
        <v>856</v>
      </c>
      <c r="RI28" t="s">
        <v>857</v>
      </c>
      <c r="RJ28" t="s">
        <v>858</v>
      </c>
      <c r="RK28" s="282" t="s">
        <v>859</v>
      </c>
      <c r="RL28" t="s">
        <v>860</v>
      </c>
      <c r="RM28" t="s">
        <v>861</v>
      </c>
      <c r="RN28" t="s">
        <v>862</v>
      </c>
      <c r="RO28" t="s">
        <v>863</v>
      </c>
      <c r="RP28" t="s">
        <v>864</v>
      </c>
      <c r="RQ28" t="s">
        <v>865</v>
      </c>
      <c r="RR28" t="s">
        <v>866</v>
      </c>
      <c r="RS28" t="s">
        <v>867</v>
      </c>
      <c r="RT28" t="s">
        <v>868</v>
      </c>
      <c r="RU28" t="s">
        <v>869</v>
      </c>
      <c r="RV28" t="s">
        <v>870</v>
      </c>
      <c r="RW28" t="s">
        <v>871</v>
      </c>
      <c r="RX28" t="s">
        <v>872</v>
      </c>
      <c r="RY28" t="s">
        <v>873</v>
      </c>
      <c r="RZ28" t="s">
        <v>874</v>
      </c>
      <c r="SA28" t="s">
        <v>875</v>
      </c>
      <c r="SB28" t="s">
        <v>876</v>
      </c>
      <c r="SC28" t="s">
        <v>877</v>
      </c>
      <c r="SD28" t="s">
        <v>878</v>
      </c>
      <c r="SE28" t="s">
        <v>879</v>
      </c>
      <c r="SF28" t="s">
        <v>880</v>
      </c>
      <c r="SG28" t="e">
        <v>#N/A</v>
      </c>
      <c r="SH28" t="s">
        <v>881</v>
      </c>
      <c r="SI28" t="s">
        <v>882</v>
      </c>
      <c r="SJ28" t="s">
        <v>883</v>
      </c>
      <c r="SK28" t="s">
        <v>884</v>
      </c>
      <c r="SL28" t="s">
        <v>885</v>
      </c>
      <c r="SM28" t="s">
        <v>886</v>
      </c>
      <c r="SN28" t="e">
        <v>#N/A</v>
      </c>
      <c r="SO28" t="s">
        <v>887</v>
      </c>
      <c r="SP28" t="s">
        <v>888</v>
      </c>
      <c r="SQ28" t="s">
        <v>889</v>
      </c>
      <c r="SR28" t="s">
        <v>890</v>
      </c>
      <c r="SS28" t="s">
        <v>891</v>
      </c>
      <c r="ST28" t="s">
        <v>892</v>
      </c>
      <c r="SU28" t="s">
        <v>893</v>
      </c>
      <c r="SV28" t="e">
        <v>#N/A</v>
      </c>
      <c r="SW28" t="s">
        <v>894</v>
      </c>
      <c r="SX28" t="s">
        <v>895</v>
      </c>
      <c r="SY28" t="s">
        <v>896</v>
      </c>
      <c r="SZ28" t="s">
        <v>897</v>
      </c>
      <c r="TA28" t="s">
        <v>898</v>
      </c>
      <c r="TB28" t="s">
        <v>899</v>
      </c>
      <c r="TC28" t="s">
        <v>900</v>
      </c>
      <c r="TD28" t="s">
        <v>901</v>
      </c>
      <c r="TE28" t="s">
        <v>902</v>
      </c>
      <c r="TF28" t="s">
        <v>903</v>
      </c>
      <c r="TG28" t="s">
        <v>904</v>
      </c>
      <c r="TH28" t="s">
        <v>905</v>
      </c>
      <c r="TI28" t="s">
        <v>906</v>
      </c>
      <c r="TJ28" t="s">
        <v>907</v>
      </c>
      <c r="TK28" t="s">
        <v>908</v>
      </c>
      <c r="TL28" t="s">
        <v>909</v>
      </c>
      <c r="TM28" t="s">
        <v>910</v>
      </c>
      <c r="TN28" t="s">
        <v>911</v>
      </c>
      <c r="TO28" t="s">
        <v>912</v>
      </c>
      <c r="TP28" t="s">
        <v>913</v>
      </c>
      <c r="TQ28" t="s">
        <v>914</v>
      </c>
      <c r="TR28" t="s">
        <v>915</v>
      </c>
      <c r="TS28" t="s">
        <v>916</v>
      </c>
      <c r="TT28" t="s">
        <v>917</v>
      </c>
      <c r="TU28" t="s">
        <v>918</v>
      </c>
      <c r="TV28" t="s">
        <v>919</v>
      </c>
      <c r="TW28" t="s">
        <v>920</v>
      </c>
      <c r="TX28" t="s">
        <v>921</v>
      </c>
      <c r="TY28" t="s">
        <v>922</v>
      </c>
      <c r="TZ28" t="s">
        <v>923</v>
      </c>
      <c r="UA28" t="s">
        <v>924</v>
      </c>
      <c r="UB28" t="s">
        <v>925</v>
      </c>
      <c r="UC28" t="s">
        <v>926</v>
      </c>
      <c r="UD28" t="s">
        <v>927</v>
      </c>
      <c r="UE28" t="s">
        <v>928</v>
      </c>
      <c r="UF28" t="s">
        <v>929</v>
      </c>
      <c r="UG28" t="s">
        <v>930</v>
      </c>
      <c r="UH28" t="s">
        <v>931</v>
      </c>
      <c r="UI28" t="s">
        <v>932</v>
      </c>
      <c r="UJ28" t="s">
        <v>933</v>
      </c>
      <c r="UK28" t="s">
        <v>934</v>
      </c>
      <c r="UL28" t="s">
        <v>935</v>
      </c>
      <c r="UM28" t="s">
        <v>936</v>
      </c>
      <c r="UN28" t="s">
        <v>937</v>
      </c>
      <c r="UO28" t="s">
        <v>938</v>
      </c>
      <c r="UP28" t="s">
        <v>939</v>
      </c>
      <c r="UQ28" t="s">
        <v>940</v>
      </c>
      <c r="UR28" t="s">
        <v>941</v>
      </c>
      <c r="US28" t="s">
        <v>942</v>
      </c>
      <c r="UT28" t="e">
        <v>#N/A</v>
      </c>
      <c r="UU28" t="s">
        <v>943</v>
      </c>
      <c r="UV28" t="s">
        <v>944</v>
      </c>
      <c r="UW28" t="s">
        <v>945</v>
      </c>
      <c r="UX28" t="s">
        <v>946</v>
      </c>
      <c r="UY28" t="s">
        <v>947</v>
      </c>
      <c r="UZ28" t="e">
        <v>#N/A</v>
      </c>
      <c r="VA28" t="s">
        <v>948</v>
      </c>
      <c r="VB28" t="s">
        <v>949</v>
      </c>
      <c r="VC28" t="s">
        <v>950</v>
      </c>
      <c r="VD28" t="s">
        <v>951</v>
      </c>
      <c r="VE28" t="s">
        <v>952</v>
      </c>
      <c r="VF28" t="s">
        <v>953</v>
      </c>
      <c r="VG28" t="s">
        <v>954</v>
      </c>
      <c r="VH28" t="s">
        <v>955</v>
      </c>
      <c r="VI28" t="s">
        <v>956</v>
      </c>
      <c r="VJ28" t="s">
        <v>957</v>
      </c>
      <c r="VK28" t="s">
        <v>958</v>
      </c>
      <c r="VL28" t="s">
        <v>959</v>
      </c>
      <c r="VM28" t="s">
        <v>960</v>
      </c>
      <c r="VN28" t="s">
        <v>961</v>
      </c>
      <c r="VO28" t="s">
        <v>962</v>
      </c>
      <c r="VP28" t="s">
        <v>963</v>
      </c>
      <c r="VQ28" t="s">
        <v>964</v>
      </c>
      <c r="VR28" t="s">
        <v>965</v>
      </c>
      <c r="VS28" t="s">
        <v>966</v>
      </c>
      <c r="VT28" t="s">
        <v>967</v>
      </c>
      <c r="VU28" t="s">
        <v>968</v>
      </c>
      <c r="VV28" t="s">
        <v>969</v>
      </c>
      <c r="VW28" t="s">
        <v>970</v>
      </c>
      <c r="VX28" t="e">
        <v>#N/A</v>
      </c>
      <c r="VY28" t="s">
        <v>971</v>
      </c>
      <c r="VZ28" t="s">
        <v>972</v>
      </c>
      <c r="WA28" t="s">
        <v>973</v>
      </c>
      <c r="WB28" t="s">
        <v>974</v>
      </c>
      <c r="WC28" t="s">
        <v>975</v>
      </c>
      <c r="WD28" t="s">
        <v>976</v>
      </c>
      <c r="WE28" t="s">
        <v>977</v>
      </c>
      <c r="WF28" t="s">
        <v>978</v>
      </c>
      <c r="WG28" t="s">
        <v>979</v>
      </c>
      <c r="WH28" t="s">
        <v>980</v>
      </c>
      <c r="WI28" t="s">
        <v>981</v>
      </c>
      <c r="WJ28" t="s">
        <v>982</v>
      </c>
      <c r="WK28" t="s">
        <v>983</v>
      </c>
      <c r="WL28" t="s">
        <v>984</v>
      </c>
      <c r="WM28" t="s">
        <v>985</v>
      </c>
      <c r="WN28" t="s">
        <v>986</v>
      </c>
      <c r="WO28" t="s">
        <v>987</v>
      </c>
      <c r="WP28" t="s">
        <v>988</v>
      </c>
      <c r="WQ28" t="s">
        <v>989</v>
      </c>
      <c r="WR28" t="s">
        <v>990</v>
      </c>
      <c r="WS28" t="s">
        <v>991</v>
      </c>
      <c r="WT28" t="s">
        <v>992</v>
      </c>
      <c r="WU28" t="s">
        <v>993</v>
      </c>
      <c r="WV28" t="s">
        <v>994</v>
      </c>
      <c r="WW28" t="s">
        <v>995</v>
      </c>
      <c r="WX28" t="s">
        <v>996</v>
      </c>
      <c r="WY28" t="s">
        <v>997</v>
      </c>
      <c r="WZ28" t="s">
        <v>998</v>
      </c>
      <c r="XA28" t="s">
        <v>999</v>
      </c>
      <c r="XB28" t="s">
        <v>1000</v>
      </c>
      <c r="XC28" t="s">
        <v>1001</v>
      </c>
      <c r="XD28" t="s">
        <v>1002</v>
      </c>
      <c r="XE28" t="s">
        <v>1003</v>
      </c>
      <c r="XF28" t="s">
        <v>1004</v>
      </c>
      <c r="XG28" t="s">
        <v>1005</v>
      </c>
      <c r="XH28" t="s">
        <v>1006</v>
      </c>
      <c r="XI28" t="s">
        <v>1007</v>
      </c>
      <c r="XJ28" t="s">
        <v>1008</v>
      </c>
      <c r="XK28" t="s">
        <v>1009</v>
      </c>
      <c r="XL28" t="s">
        <v>1010</v>
      </c>
      <c r="XM28" t="s">
        <v>1011</v>
      </c>
      <c r="XN28" t="s">
        <v>1012</v>
      </c>
      <c r="XO28" t="e">
        <v>#N/A</v>
      </c>
      <c r="XP28" t="s">
        <v>1013</v>
      </c>
      <c r="XQ28" t="s">
        <v>1014</v>
      </c>
      <c r="XR28" t="s">
        <v>1015</v>
      </c>
      <c r="XS28" t="s">
        <v>1016</v>
      </c>
      <c r="XT28" t="s">
        <v>1017</v>
      </c>
      <c r="XU28" t="s">
        <v>1018</v>
      </c>
      <c r="XV28" t="s">
        <v>1019</v>
      </c>
      <c r="XW28" t="s">
        <v>1020</v>
      </c>
      <c r="XX28" t="s">
        <v>1021</v>
      </c>
      <c r="XY28" t="s">
        <v>1022</v>
      </c>
      <c r="XZ28" t="s">
        <v>1023</v>
      </c>
      <c r="YA28" t="s">
        <v>1024</v>
      </c>
      <c r="YB28" t="s">
        <v>1025</v>
      </c>
      <c r="YC28" t="s">
        <v>1026</v>
      </c>
      <c r="YD28" t="s">
        <v>1027</v>
      </c>
      <c r="YE28" t="s">
        <v>1028</v>
      </c>
      <c r="YF28" t="s">
        <v>1029</v>
      </c>
      <c r="YG28" t="s">
        <v>1030</v>
      </c>
      <c r="YH28" t="s">
        <v>1031</v>
      </c>
      <c r="YI28" t="s">
        <v>1032</v>
      </c>
      <c r="YJ28" t="e">
        <v>#N/A</v>
      </c>
      <c r="YK28" t="s">
        <v>1033</v>
      </c>
      <c r="YL28" t="s">
        <v>1034</v>
      </c>
      <c r="YM28" t="s">
        <v>1035</v>
      </c>
      <c r="YN28" t="s">
        <v>1036</v>
      </c>
      <c r="YO28" t="s">
        <v>1037</v>
      </c>
      <c r="YP28" t="s">
        <v>1038</v>
      </c>
      <c r="YQ28" t="s">
        <v>1039</v>
      </c>
      <c r="YR28" t="s">
        <v>1040</v>
      </c>
      <c r="YS28" t="s">
        <v>1041</v>
      </c>
      <c r="YT28" t="s">
        <v>1042</v>
      </c>
      <c r="YU28" t="s">
        <v>1043</v>
      </c>
      <c r="YV28" t="s">
        <v>1044</v>
      </c>
      <c r="YW28" t="s">
        <v>1045</v>
      </c>
      <c r="YX28" t="s">
        <v>1046</v>
      </c>
      <c r="YY28" t="s">
        <v>1047</v>
      </c>
      <c r="YZ28" t="s">
        <v>1048</v>
      </c>
      <c r="ZA28" t="s">
        <v>1049</v>
      </c>
      <c r="ZB28" t="s">
        <v>1050</v>
      </c>
      <c r="ZC28" t="s">
        <v>1051</v>
      </c>
      <c r="ZD28" t="s">
        <v>1052</v>
      </c>
      <c r="ZE28" t="s">
        <v>1053</v>
      </c>
      <c r="ZF28" t="s">
        <v>1054</v>
      </c>
      <c r="ZG28" t="s">
        <v>1055</v>
      </c>
      <c r="ZH28" t="s">
        <v>1056</v>
      </c>
      <c r="ZI28" t="s">
        <v>1057</v>
      </c>
      <c r="ZJ28" t="s">
        <v>1058</v>
      </c>
      <c r="ZK28" t="s">
        <v>1059</v>
      </c>
      <c r="ZL28" t="s">
        <v>1060</v>
      </c>
      <c r="ZM28" t="s">
        <v>1061</v>
      </c>
      <c r="ZN28" t="s">
        <v>1062</v>
      </c>
      <c r="ZO28" t="s">
        <v>1063</v>
      </c>
      <c r="ZP28" t="s">
        <v>1064</v>
      </c>
      <c r="ZQ28" t="s">
        <v>1065</v>
      </c>
      <c r="ZR28" t="s">
        <v>1066</v>
      </c>
      <c r="ZS28" t="s">
        <v>1067</v>
      </c>
      <c r="ZT28" t="s">
        <v>1068</v>
      </c>
      <c r="ZU28" t="s">
        <v>1069</v>
      </c>
      <c r="ZV28" t="s">
        <v>1070</v>
      </c>
      <c r="ZW28" t="s">
        <v>1071</v>
      </c>
      <c r="ZX28" t="e">
        <v>#N/A</v>
      </c>
      <c r="ZY28" s="287" t="e">
        <v>#N/A</v>
      </c>
      <c r="ZZ28" t="e">
        <v>#N/A</v>
      </c>
      <c r="AAA28" t="s">
        <v>690</v>
      </c>
      <c r="AAB28" t="s">
        <v>1072</v>
      </c>
      <c r="AAC28" t="s">
        <v>1073</v>
      </c>
      <c r="AAD28" t="s">
        <v>1074</v>
      </c>
      <c r="AAE28" t="s">
        <v>1075</v>
      </c>
      <c r="AAF28" t="s">
        <v>1076</v>
      </c>
      <c r="AAG28" t="e">
        <v>#N/A</v>
      </c>
      <c r="AAH28" t="s">
        <v>696</v>
      </c>
      <c r="AAI28" t="s">
        <v>697</v>
      </c>
      <c r="AAJ28" t="s">
        <v>698</v>
      </c>
      <c r="AAK28" t="s">
        <v>699</v>
      </c>
      <c r="AAL28" t="s">
        <v>700</v>
      </c>
      <c r="AAM28" t="s">
        <v>701</v>
      </c>
      <c r="AAN28" t="s">
        <v>702</v>
      </c>
      <c r="AAO28" t="e">
        <v>#N/A</v>
      </c>
      <c r="AAP28" t="s">
        <v>1077</v>
      </c>
      <c r="AAQ28" t="s">
        <v>1078</v>
      </c>
      <c r="AAR28" t="s">
        <v>1079</v>
      </c>
      <c r="AAS28" t="s">
        <v>1080</v>
      </c>
      <c r="AAT28" t="s">
        <v>1081</v>
      </c>
      <c r="AAU28" t="s">
        <v>1082</v>
      </c>
      <c r="AAV28" t="s">
        <v>1083</v>
      </c>
      <c r="AAW28" t="s">
        <v>1084</v>
      </c>
      <c r="AAX28" t="s">
        <v>1085</v>
      </c>
      <c r="AAY28" t="s">
        <v>1086</v>
      </c>
      <c r="AAZ28" t="s">
        <v>1087</v>
      </c>
      <c r="ABA28" t="s">
        <v>1088</v>
      </c>
      <c r="ABB28" t="s">
        <v>1089</v>
      </c>
      <c r="ABC28" t="s">
        <v>1090</v>
      </c>
      <c r="ABD28" t="s">
        <v>1091</v>
      </c>
      <c r="ABE28" t="s">
        <v>1092</v>
      </c>
      <c r="ABF28" t="s">
        <v>1093</v>
      </c>
      <c r="ABG28" t="s">
        <v>1094</v>
      </c>
      <c r="ABH28" t="s">
        <v>1095</v>
      </c>
      <c r="ABI28" t="s">
        <v>1096</v>
      </c>
      <c r="ABJ28" t="s">
        <v>1097</v>
      </c>
      <c r="ABK28" t="s">
        <v>1098</v>
      </c>
      <c r="ABL28" t="s">
        <v>1099</v>
      </c>
      <c r="ABM28" t="s">
        <v>1100</v>
      </c>
      <c r="ABN28" t="s">
        <v>1101</v>
      </c>
      <c r="ABO28" t="s">
        <v>1102</v>
      </c>
      <c r="ABP28" t="s">
        <v>1103</v>
      </c>
      <c r="ABQ28" t="s">
        <v>1104</v>
      </c>
      <c r="ABR28" t="s">
        <v>1105</v>
      </c>
      <c r="ABS28" t="s">
        <v>1106</v>
      </c>
      <c r="ABT28" t="s">
        <v>1107</v>
      </c>
      <c r="ABU28" t="s">
        <v>1108</v>
      </c>
      <c r="ABV28" t="s">
        <v>1109</v>
      </c>
      <c r="ABW28" t="s">
        <v>1110</v>
      </c>
      <c r="ABX28" t="s">
        <v>1111</v>
      </c>
      <c r="ABY28" t="s">
        <v>1112</v>
      </c>
      <c r="ABZ28" t="s">
        <v>1113</v>
      </c>
      <c r="ACA28" t="s">
        <v>1114</v>
      </c>
      <c r="ACB28" t="s">
        <v>1115</v>
      </c>
      <c r="ACC28" t="s">
        <v>1116</v>
      </c>
      <c r="ACD28" t="s">
        <v>1117</v>
      </c>
      <c r="ACE28" t="s">
        <v>1118</v>
      </c>
      <c r="ACF28" t="s">
        <v>1119</v>
      </c>
      <c r="ACG28" t="s">
        <v>1120</v>
      </c>
      <c r="ACH28" t="s">
        <v>1121</v>
      </c>
      <c r="ACI28" t="s">
        <v>1122</v>
      </c>
      <c r="ACJ28" t="s">
        <v>1123</v>
      </c>
      <c r="ACK28" t="s">
        <v>1124</v>
      </c>
      <c r="ACL28" t="s">
        <v>1125</v>
      </c>
      <c r="ACM28" t="e">
        <v>#N/A</v>
      </c>
      <c r="ACN28" t="s">
        <v>1126</v>
      </c>
      <c r="ACO28" t="s">
        <v>1127</v>
      </c>
      <c r="ACP28" t="s">
        <v>1128</v>
      </c>
      <c r="ACQ28" t="s">
        <v>1129</v>
      </c>
      <c r="ACR28" t="s">
        <v>1130</v>
      </c>
      <c r="ACS28" t="e">
        <v>#N/A</v>
      </c>
      <c r="ACT28" t="s">
        <v>1131</v>
      </c>
      <c r="ACU28" t="s">
        <v>1132</v>
      </c>
      <c r="ACV28" t="s">
        <v>1133</v>
      </c>
      <c r="ACW28" t="s">
        <v>1134</v>
      </c>
      <c r="ACX28" t="s">
        <v>1135</v>
      </c>
      <c r="ACY28" t="s">
        <v>1136</v>
      </c>
      <c r="ACZ28" t="s">
        <v>1137</v>
      </c>
      <c r="ADA28" t="s">
        <v>1138</v>
      </c>
      <c r="ADB28" t="s">
        <v>1139</v>
      </c>
      <c r="ADC28" t="s">
        <v>1140</v>
      </c>
      <c r="ADD28" t="s">
        <v>1141</v>
      </c>
      <c r="ADE28" t="s">
        <v>1142</v>
      </c>
      <c r="ADF28" t="s">
        <v>1143</v>
      </c>
      <c r="ADG28" t="s">
        <v>1144</v>
      </c>
      <c r="ADH28" t="s">
        <v>1145</v>
      </c>
      <c r="ADI28" t="s">
        <v>1146</v>
      </c>
      <c r="ADJ28" t="s">
        <v>1147</v>
      </c>
      <c r="ADK28" t="s">
        <v>1148</v>
      </c>
      <c r="ADL28" t="s">
        <v>1149</v>
      </c>
      <c r="ADM28" t="s">
        <v>1150</v>
      </c>
      <c r="ADN28" t="s">
        <v>1151</v>
      </c>
      <c r="ADO28" t="s">
        <v>1152</v>
      </c>
      <c r="ADP28" t="s">
        <v>1153</v>
      </c>
      <c r="ADQ28" t="e">
        <v>#N/A</v>
      </c>
      <c r="ADR28" t="s">
        <v>1154</v>
      </c>
      <c r="ADS28" t="s">
        <v>1155</v>
      </c>
      <c r="ADT28" t="s">
        <v>1156</v>
      </c>
      <c r="ADU28" t="s">
        <v>1157</v>
      </c>
      <c r="ADV28" t="s">
        <v>1158</v>
      </c>
      <c r="ADW28" t="s">
        <v>1159</v>
      </c>
      <c r="ADX28" t="s">
        <v>1160</v>
      </c>
      <c r="ADY28" t="s">
        <v>1161</v>
      </c>
      <c r="ADZ28" t="s">
        <v>1162</v>
      </c>
      <c r="AEA28" t="s">
        <v>1163</v>
      </c>
      <c r="AEB28" t="s">
        <v>1164</v>
      </c>
      <c r="AEC28" t="s">
        <v>1165</v>
      </c>
      <c r="AED28" t="s">
        <v>1166</v>
      </c>
      <c r="AEE28" t="s">
        <v>1167</v>
      </c>
      <c r="AEF28" t="s">
        <v>1168</v>
      </c>
      <c r="AEG28" t="s">
        <v>1169</v>
      </c>
      <c r="AEH28" t="s">
        <v>1170</v>
      </c>
      <c r="AEI28" t="s">
        <v>1171</v>
      </c>
      <c r="AEJ28" t="s">
        <v>1172</v>
      </c>
      <c r="AEK28" t="s">
        <v>1173</v>
      </c>
      <c r="AEL28" t="s">
        <v>1174</v>
      </c>
      <c r="AEM28" t="s">
        <v>1175</v>
      </c>
      <c r="AEN28" t="s">
        <v>1176</v>
      </c>
      <c r="AEO28" t="s">
        <v>1177</v>
      </c>
      <c r="AEP28" t="s">
        <v>1178</v>
      </c>
      <c r="AEQ28" t="s">
        <v>1179</v>
      </c>
      <c r="AER28" t="s">
        <v>1180</v>
      </c>
      <c r="AES28" t="s">
        <v>1181</v>
      </c>
      <c r="AET28" t="s">
        <v>1182</v>
      </c>
      <c r="AEU28" t="s">
        <v>1183</v>
      </c>
      <c r="AEV28" t="s">
        <v>1184</v>
      </c>
      <c r="AEW28" t="s">
        <v>1185</v>
      </c>
      <c r="AEX28" t="s">
        <v>1186</v>
      </c>
      <c r="AEY28" t="s">
        <v>1187</v>
      </c>
      <c r="AEZ28" t="s">
        <v>1188</v>
      </c>
      <c r="AFA28" t="s">
        <v>1189</v>
      </c>
      <c r="AFB28" t="s">
        <v>1190</v>
      </c>
      <c r="AFC28" t="s">
        <v>1191</v>
      </c>
      <c r="AFD28" t="s">
        <v>1192</v>
      </c>
      <c r="AFE28" t="s">
        <v>1193</v>
      </c>
      <c r="AFF28" t="s">
        <v>1194</v>
      </c>
      <c r="AFG28" t="s">
        <v>1195</v>
      </c>
      <c r="AFH28" t="e">
        <v>#N/A</v>
      </c>
      <c r="AFI28" t="s">
        <v>1196</v>
      </c>
      <c r="AFJ28" t="s">
        <v>1197</v>
      </c>
      <c r="AFK28" t="s">
        <v>1198</v>
      </c>
      <c r="AFL28" t="s">
        <v>1199</v>
      </c>
      <c r="AFM28" t="s">
        <v>1200</v>
      </c>
      <c r="AFN28" t="s">
        <v>1201</v>
      </c>
      <c r="AFO28" t="s">
        <v>1202</v>
      </c>
      <c r="AFP28" t="s">
        <v>1203</v>
      </c>
      <c r="AFQ28" t="s">
        <v>1204</v>
      </c>
      <c r="AFR28" t="s">
        <v>1205</v>
      </c>
      <c r="AFS28" t="s">
        <v>1206</v>
      </c>
      <c r="AFT28" t="s">
        <v>1207</v>
      </c>
      <c r="AFU28" t="s">
        <v>1208</v>
      </c>
      <c r="AFV28" t="s">
        <v>1209</v>
      </c>
      <c r="AFW28" t="s">
        <v>1210</v>
      </c>
      <c r="AFX28" t="s">
        <v>1211</v>
      </c>
      <c r="AFY28" t="s">
        <v>1212</v>
      </c>
      <c r="AFZ28" t="s">
        <v>1213</v>
      </c>
      <c r="AGA28" t="s">
        <v>1214</v>
      </c>
      <c r="AGB28" t="s">
        <v>1215</v>
      </c>
      <c r="AGC28" t="e">
        <v>#N/A</v>
      </c>
      <c r="AGD28" t="s">
        <v>1216</v>
      </c>
      <c r="AGE28" t="s">
        <v>1217</v>
      </c>
      <c r="AGF28" t="s">
        <v>1218</v>
      </c>
      <c r="AGG28" t="s">
        <v>1219</v>
      </c>
      <c r="AGH28" t="s">
        <v>1220</v>
      </c>
      <c r="AGI28" t="s">
        <v>1221</v>
      </c>
      <c r="AGJ28" t="s">
        <v>1222</v>
      </c>
      <c r="AGK28" t="s">
        <v>1223</v>
      </c>
      <c r="AGL28" t="s">
        <v>1224</v>
      </c>
      <c r="AGM28" t="s">
        <v>1225</v>
      </c>
      <c r="AGN28" t="s">
        <v>1226</v>
      </c>
      <c r="AGO28" t="s">
        <v>1227</v>
      </c>
      <c r="AGP28" t="s">
        <v>1228</v>
      </c>
      <c r="AGQ28" t="s">
        <v>1229</v>
      </c>
      <c r="AGR28" t="s">
        <v>1230</v>
      </c>
      <c r="AGS28" t="s">
        <v>1231</v>
      </c>
      <c r="AGT28" t="s">
        <v>1232</v>
      </c>
      <c r="AGU28" s="282" t="s">
        <v>1233</v>
      </c>
      <c r="AGV28" t="s">
        <v>1234</v>
      </c>
      <c r="AGW28" t="s">
        <v>1235</v>
      </c>
      <c r="AGX28" t="s">
        <v>1236</v>
      </c>
      <c r="AGY28" t="s">
        <v>1237</v>
      </c>
      <c r="AGZ28" t="s">
        <v>1238</v>
      </c>
      <c r="AHA28" t="s">
        <v>1239</v>
      </c>
      <c r="AHB28" t="s">
        <v>1240</v>
      </c>
      <c r="AHC28" t="s">
        <v>1241</v>
      </c>
      <c r="AHD28" t="s">
        <v>1242</v>
      </c>
      <c r="AHE28" t="s">
        <v>1243</v>
      </c>
      <c r="AHF28" t="s">
        <v>1244</v>
      </c>
      <c r="AHG28" t="s">
        <v>1245</v>
      </c>
      <c r="AHH28" t="s">
        <v>1246</v>
      </c>
      <c r="AHI28" t="s">
        <v>1247</v>
      </c>
      <c r="AHJ28" t="s">
        <v>1248</v>
      </c>
      <c r="AHK28" t="s">
        <v>1249</v>
      </c>
      <c r="AHL28" t="s">
        <v>1250</v>
      </c>
      <c r="AHM28" t="s">
        <v>1251</v>
      </c>
      <c r="AHN28" t="s">
        <v>1252</v>
      </c>
      <c r="AHO28" t="s">
        <v>1253</v>
      </c>
      <c r="AHP28" t="s">
        <v>1254</v>
      </c>
      <c r="AHQ28" t="e">
        <v>#N/A</v>
      </c>
      <c r="AHR28" t="s">
        <v>881</v>
      </c>
      <c r="AHS28" t="s">
        <v>1255</v>
      </c>
      <c r="AHT28" t="s">
        <v>1256</v>
      </c>
      <c r="AHU28" t="s">
        <v>1257</v>
      </c>
      <c r="AHV28" t="s">
        <v>1258</v>
      </c>
      <c r="AHW28" t="s">
        <v>1259</v>
      </c>
      <c r="AHX28" t="e">
        <v>#N/A</v>
      </c>
      <c r="AHY28" t="s">
        <v>887</v>
      </c>
      <c r="AHZ28" t="s">
        <v>888</v>
      </c>
      <c r="AIA28" t="s">
        <v>889</v>
      </c>
      <c r="AIB28" t="s">
        <v>890</v>
      </c>
      <c r="AIC28" t="s">
        <v>891</v>
      </c>
      <c r="AID28" t="s">
        <v>892</v>
      </c>
      <c r="AIE28" t="s">
        <v>893</v>
      </c>
      <c r="AIF28" t="e">
        <v>#N/A</v>
      </c>
      <c r="AIG28" t="s">
        <v>1260</v>
      </c>
      <c r="AIH28" t="s">
        <v>1261</v>
      </c>
      <c r="AII28" t="s">
        <v>1262</v>
      </c>
      <c r="AIJ28" t="s">
        <v>1263</v>
      </c>
      <c r="AIK28" t="s">
        <v>1264</v>
      </c>
      <c r="AIL28" t="s">
        <v>1265</v>
      </c>
      <c r="AIM28" t="s">
        <v>1266</v>
      </c>
      <c r="AIN28" t="s">
        <v>1267</v>
      </c>
      <c r="AIO28" t="s">
        <v>1268</v>
      </c>
      <c r="AIP28" t="s">
        <v>1269</v>
      </c>
      <c r="AIQ28" t="s">
        <v>1270</v>
      </c>
      <c r="AIR28" t="s">
        <v>1271</v>
      </c>
      <c r="AIS28" t="s">
        <v>1272</v>
      </c>
      <c r="AIT28" t="s">
        <v>1273</v>
      </c>
      <c r="AIU28" t="s">
        <v>1274</v>
      </c>
      <c r="AIV28" t="s">
        <v>1275</v>
      </c>
      <c r="AIW28" t="s">
        <v>1276</v>
      </c>
      <c r="AIX28" t="s">
        <v>1277</v>
      </c>
      <c r="AIY28" t="s">
        <v>1278</v>
      </c>
      <c r="AIZ28" t="s">
        <v>1279</v>
      </c>
      <c r="AJA28" t="s">
        <v>1280</v>
      </c>
      <c r="AJB28" t="s">
        <v>1281</v>
      </c>
      <c r="AJC28" t="s">
        <v>1282</v>
      </c>
      <c r="AJD28" t="s">
        <v>1283</v>
      </c>
      <c r="AJE28" t="s">
        <v>1284</v>
      </c>
      <c r="AJF28" t="s">
        <v>1285</v>
      </c>
      <c r="AJG28" t="s">
        <v>1286</v>
      </c>
      <c r="AJH28" t="s">
        <v>1287</v>
      </c>
      <c r="AJI28" t="s">
        <v>1288</v>
      </c>
      <c r="AJJ28" t="s">
        <v>1289</v>
      </c>
      <c r="AJK28" t="s">
        <v>1290</v>
      </c>
      <c r="AJL28" t="s">
        <v>1291</v>
      </c>
      <c r="AJM28" t="s">
        <v>1292</v>
      </c>
      <c r="AJN28" t="s">
        <v>1293</v>
      </c>
      <c r="AJO28" t="s">
        <v>1294</v>
      </c>
      <c r="AJP28" t="s">
        <v>1295</v>
      </c>
      <c r="AJQ28" t="s">
        <v>1296</v>
      </c>
      <c r="AJR28" t="s">
        <v>1297</v>
      </c>
      <c r="AJS28" t="s">
        <v>1298</v>
      </c>
      <c r="AJT28" t="s">
        <v>1299</v>
      </c>
      <c r="AJU28" t="s">
        <v>1300</v>
      </c>
      <c r="AJV28" t="s">
        <v>1301</v>
      </c>
      <c r="AJW28" t="s">
        <v>1302</v>
      </c>
      <c r="AJX28" t="s">
        <v>1303</v>
      </c>
      <c r="AJY28" t="s">
        <v>1304</v>
      </c>
      <c r="AJZ28" t="s">
        <v>1305</v>
      </c>
      <c r="AKA28" t="s">
        <v>1306</v>
      </c>
      <c r="AKB28" t="s">
        <v>1307</v>
      </c>
      <c r="AKC28" t="s">
        <v>1308</v>
      </c>
      <c r="AKD28" t="e">
        <v>#N/A</v>
      </c>
      <c r="AKE28" t="s">
        <v>1309</v>
      </c>
      <c r="AKF28" t="s">
        <v>1310</v>
      </c>
      <c r="AKG28" t="s">
        <v>1311</v>
      </c>
      <c r="AKH28" t="s">
        <v>1312</v>
      </c>
      <c r="AKI28" t="s">
        <v>1313</v>
      </c>
      <c r="AKJ28" t="e">
        <v>#N/A</v>
      </c>
      <c r="AKK28" t="s">
        <v>1314</v>
      </c>
      <c r="AKL28" t="s">
        <v>1315</v>
      </c>
      <c r="AKM28" t="s">
        <v>1316</v>
      </c>
      <c r="AKN28" t="s">
        <v>1317</v>
      </c>
      <c r="AKO28" t="s">
        <v>1318</v>
      </c>
      <c r="AKP28" t="s">
        <v>1319</v>
      </c>
      <c r="AKQ28" t="s">
        <v>1320</v>
      </c>
      <c r="AKR28" t="s">
        <v>1321</v>
      </c>
      <c r="AKS28" t="s">
        <v>1322</v>
      </c>
      <c r="AKT28" t="s">
        <v>1323</v>
      </c>
      <c r="AKU28" t="s">
        <v>1324</v>
      </c>
      <c r="AKV28" t="s">
        <v>1325</v>
      </c>
      <c r="AKW28" t="s">
        <v>1326</v>
      </c>
      <c r="AKX28" t="s">
        <v>1327</v>
      </c>
      <c r="AKY28" t="s">
        <v>1328</v>
      </c>
      <c r="AKZ28" t="s">
        <v>1329</v>
      </c>
      <c r="ALA28" t="s">
        <v>1330</v>
      </c>
      <c r="ALB28" t="s">
        <v>1331</v>
      </c>
      <c r="ALC28" t="s">
        <v>1332</v>
      </c>
      <c r="ALD28" t="s">
        <v>1333</v>
      </c>
      <c r="ALE28" t="s">
        <v>1334</v>
      </c>
      <c r="ALF28" t="s">
        <v>1335</v>
      </c>
      <c r="ALG28" t="s">
        <v>1336</v>
      </c>
      <c r="ALH28" t="e">
        <v>#N/A</v>
      </c>
      <c r="ALI28" t="s">
        <v>1337</v>
      </c>
      <c r="ALJ28" t="s">
        <v>1338</v>
      </c>
      <c r="ALK28" t="s">
        <v>1339</v>
      </c>
      <c r="ALL28" t="s">
        <v>1340</v>
      </c>
      <c r="ALM28" t="s">
        <v>1341</v>
      </c>
      <c r="ALN28" t="s">
        <v>1342</v>
      </c>
      <c r="ALO28" t="s">
        <v>1343</v>
      </c>
      <c r="ALP28" t="s">
        <v>1344</v>
      </c>
      <c r="ALQ28" t="s">
        <v>1345</v>
      </c>
      <c r="ALR28" t="s">
        <v>1346</v>
      </c>
      <c r="ALS28" t="s">
        <v>1347</v>
      </c>
      <c r="ALT28" t="s">
        <v>1348</v>
      </c>
      <c r="ALU28" t="s">
        <v>1349</v>
      </c>
      <c r="ALV28" t="s">
        <v>1350</v>
      </c>
      <c r="ALW28" t="s">
        <v>1351</v>
      </c>
      <c r="ALX28" t="s">
        <v>1352</v>
      </c>
      <c r="ALY28" t="s">
        <v>1353</v>
      </c>
      <c r="ALZ28" t="s">
        <v>1354</v>
      </c>
      <c r="AMA28" t="s">
        <v>1355</v>
      </c>
      <c r="AMB28" t="s">
        <v>1356</v>
      </c>
      <c r="AMC28" t="s">
        <v>1357</v>
      </c>
      <c r="AMD28" t="s">
        <v>1358</v>
      </c>
      <c r="AME28" t="s">
        <v>1359</v>
      </c>
      <c r="AMF28" t="s">
        <v>1360</v>
      </c>
      <c r="AMG28" t="s">
        <v>1361</v>
      </c>
      <c r="AMH28" t="s">
        <v>1362</v>
      </c>
      <c r="AMI28" t="s">
        <v>1363</v>
      </c>
      <c r="AMJ28" t="s">
        <v>1364</v>
      </c>
      <c r="AMK28" t="s">
        <v>1365</v>
      </c>
      <c r="AML28" t="s">
        <v>1366</v>
      </c>
      <c r="AMM28" t="s">
        <v>1367</v>
      </c>
      <c r="AMN28" t="s">
        <v>1368</v>
      </c>
      <c r="AMO28" t="s">
        <v>1369</v>
      </c>
      <c r="AMP28" t="s">
        <v>1370</v>
      </c>
      <c r="AMQ28" t="s">
        <v>1371</v>
      </c>
      <c r="AMR28" t="s">
        <v>1372</v>
      </c>
      <c r="AMS28" t="s">
        <v>1373</v>
      </c>
      <c r="AMT28" t="s">
        <v>1374</v>
      </c>
      <c r="AMU28" t="s">
        <v>1375</v>
      </c>
      <c r="AMV28" t="s">
        <v>1376</v>
      </c>
      <c r="AMW28" t="s">
        <v>1377</v>
      </c>
      <c r="AMX28" t="s">
        <v>1378</v>
      </c>
      <c r="AMY28" t="e">
        <v>#N/A</v>
      </c>
      <c r="AMZ28" t="s">
        <v>1379</v>
      </c>
      <c r="ANA28" t="s">
        <v>1380</v>
      </c>
      <c r="ANB28" t="s">
        <v>1381</v>
      </c>
      <c r="ANC28" t="s">
        <v>1382</v>
      </c>
      <c r="AND28" t="s">
        <v>1383</v>
      </c>
      <c r="ANE28" t="s">
        <v>1384</v>
      </c>
      <c r="ANF28" t="s">
        <v>1385</v>
      </c>
      <c r="ANG28" t="s">
        <v>1386</v>
      </c>
      <c r="ANH28" t="s">
        <v>1387</v>
      </c>
      <c r="ANI28" t="s">
        <v>1388</v>
      </c>
      <c r="ANJ28" t="s">
        <v>1389</v>
      </c>
      <c r="ANK28" t="s">
        <v>1390</v>
      </c>
      <c r="ANL28" t="s">
        <v>1391</v>
      </c>
      <c r="ANM28" t="s">
        <v>1392</v>
      </c>
      <c r="ANN28" t="s">
        <v>1393</v>
      </c>
      <c r="ANO28" t="s">
        <v>1394</v>
      </c>
      <c r="ANP28" t="s">
        <v>1395</v>
      </c>
      <c r="ANQ28" t="s">
        <v>1396</v>
      </c>
      <c r="ANR28" t="s">
        <v>1397</v>
      </c>
      <c r="ANS28" t="s">
        <v>1398</v>
      </c>
      <c r="ANT28" t="e">
        <v>#N/A</v>
      </c>
      <c r="ANU28" t="s">
        <v>1399</v>
      </c>
      <c r="ANV28" t="s">
        <v>1400</v>
      </c>
      <c r="ANW28" t="s">
        <v>1401</v>
      </c>
      <c r="ANX28" t="s">
        <v>1402</v>
      </c>
      <c r="ANY28" t="s">
        <v>1403</v>
      </c>
      <c r="ANZ28" t="s">
        <v>1404</v>
      </c>
      <c r="AOA28" t="s">
        <v>1405</v>
      </c>
      <c r="AOB28" t="s">
        <v>1406</v>
      </c>
      <c r="AOC28" t="s">
        <v>1407</v>
      </c>
      <c r="AOD28" t="s">
        <v>1408</v>
      </c>
      <c r="AOE28" t="s">
        <v>1409</v>
      </c>
      <c r="AOF28" t="s">
        <v>1410</v>
      </c>
      <c r="AOG28" t="s">
        <v>1411</v>
      </c>
      <c r="AOH28" t="s">
        <v>1412</v>
      </c>
      <c r="AOI28" t="s">
        <v>1413</v>
      </c>
      <c r="AOJ28" t="s">
        <v>1414</v>
      </c>
      <c r="AOK28" t="s">
        <v>1415</v>
      </c>
      <c r="AOL28" t="s">
        <v>1416</v>
      </c>
      <c r="AOM28" t="s">
        <v>1417</v>
      </c>
      <c r="AON28" t="s">
        <v>1418</v>
      </c>
      <c r="AOO28" t="s">
        <v>1419</v>
      </c>
      <c r="AOP28" t="s">
        <v>1420</v>
      </c>
      <c r="AOQ28" t="s">
        <v>1421</v>
      </c>
      <c r="AOR28" t="s">
        <v>1422</v>
      </c>
      <c r="AOS28" t="s">
        <v>1423</v>
      </c>
      <c r="AOT28" t="s">
        <v>1424</v>
      </c>
      <c r="AOU28" t="s">
        <v>1425</v>
      </c>
      <c r="AOV28" t="s">
        <v>1426</v>
      </c>
      <c r="AOW28" t="s">
        <v>1427</v>
      </c>
      <c r="AOX28" t="s">
        <v>1428</v>
      </c>
      <c r="AOY28" t="s">
        <v>1429</v>
      </c>
      <c r="AOZ28" t="s">
        <v>1430</v>
      </c>
      <c r="APA28" t="s">
        <v>1431</v>
      </c>
      <c r="APB28" t="s">
        <v>1432</v>
      </c>
      <c r="APC28" t="s">
        <v>1433</v>
      </c>
      <c r="APD28" t="s">
        <v>1434</v>
      </c>
      <c r="APE28" t="s">
        <v>1435</v>
      </c>
      <c r="APF28" t="s">
        <v>1436</v>
      </c>
      <c r="APG28" t="s">
        <v>1437</v>
      </c>
      <c r="APH28" t="e">
        <v>#N/A</v>
      </c>
      <c r="API28" s="287" t="e">
        <v>#N/A</v>
      </c>
      <c r="APJ28" t="e">
        <v>#N/A</v>
      </c>
      <c r="APK28" t="s">
        <v>1438</v>
      </c>
      <c r="APL28" t="s">
        <v>1439</v>
      </c>
      <c r="APM28" t="s">
        <v>1440</v>
      </c>
      <c r="APO28" s="287" t="s">
        <v>39</v>
      </c>
    </row>
    <row r="29" spans="2:1107" ht="18.75">
      <c r="D29" s="426" t="s">
        <v>453</v>
      </c>
      <c r="E29" s="425"/>
      <c r="F29" s="425"/>
      <c r="G29" s="425"/>
      <c r="H29" s="425"/>
      <c r="I29" s="410"/>
      <c r="J29" s="410"/>
      <c r="K29" s="410"/>
      <c r="L29" s="410"/>
      <c r="M29" s="411"/>
      <c r="T29" s="287" t="s">
        <v>39</v>
      </c>
      <c r="AF29" s="97"/>
      <c r="AN29"/>
      <c r="AO29" s="264"/>
      <c r="AU29"/>
      <c r="AW29" s="237"/>
      <c r="BH29"/>
      <c r="BI29" s="237"/>
      <c r="BK29" s="287" t="s">
        <v>39</v>
      </c>
      <c r="CT29" s="287" t="s">
        <v>39</v>
      </c>
      <c r="EC29" s="287" t="s">
        <v>39</v>
      </c>
      <c r="FL29" s="287" t="s">
        <v>39</v>
      </c>
      <c r="IB29" s="287" t="s">
        <v>39</v>
      </c>
      <c r="IT29" s="287" t="s">
        <v>39</v>
      </c>
      <c r="KO29" s="287" t="s">
        <v>39</v>
      </c>
      <c r="RJ29"/>
      <c r="RK29" s="282"/>
      <c r="ZY29" s="287" t="s">
        <v>39</v>
      </c>
      <c r="AGU29" s="282"/>
      <c r="API29" s="287" t="s">
        <v>39</v>
      </c>
      <c r="APO29" s="287" t="s">
        <v>39</v>
      </c>
    </row>
    <row r="30" spans="2:1107" ht="78.75">
      <c r="D30" s="412"/>
      <c r="E30" s="413"/>
      <c r="F30" s="413"/>
      <c r="G30" s="414" t="s">
        <v>407</v>
      </c>
      <c r="H30" s="414" t="s">
        <v>408</v>
      </c>
      <c r="I30" s="414" t="s">
        <v>409</v>
      </c>
      <c r="J30" s="414" t="s">
        <v>89</v>
      </c>
      <c r="K30" s="414" t="s">
        <v>90</v>
      </c>
      <c r="L30" s="415" t="s">
        <v>410</v>
      </c>
      <c r="M30" s="416"/>
      <c r="T30" s="287" t="s">
        <v>39</v>
      </c>
      <c r="AF30" s="97"/>
      <c r="AN30"/>
      <c r="AO30" s="264"/>
      <c r="AU30"/>
      <c r="AW30" s="237"/>
      <c r="BH30"/>
      <c r="BI30" s="237"/>
      <c r="BK30" s="287" t="s">
        <v>39</v>
      </c>
      <c r="CT30" s="287" t="s">
        <v>39</v>
      </c>
      <c r="EC30" s="287" t="s">
        <v>39</v>
      </c>
      <c r="FL30" s="287" t="s">
        <v>39</v>
      </c>
      <c r="IB30" s="287" t="s">
        <v>39</v>
      </c>
      <c r="IT30" s="287" t="s">
        <v>39</v>
      </c>
      <c r="KO30" s="287" t="s">
        <v>39</v>
      </c>
      <c r="RJ30"/>
      <c r="RK30" s="282"/>
      <c r="ZY30" s="287" t="s">
        <v>39</v>
      </c>
      <c r="AGU30" s="282"/>
      <c r="API30" s="287" t="s">
        <v>39</v>
      </c>
      <c r="APO30" s="287" t="s">
        <v>39</v>
      </c>
    </row>
    <row r="31" spans="2:1107">
      <c r="D31" s="412"/>
      <c r="E31" s="413"/>
      <c r="F31" s="417" t="s">
        <v>452</v>
      </c>
      <c r="G31" s="431" t="e">
        <f t="array" aca="1" ref="G31" ca="1">SUM(G34:G46)/SUMPRODUCT(($F34:$F46)*(BD10:BD22&gt;0))</f>
        <v>#NAME?</v>
      </c>
      <c r="H31" s="431" t="e">
        <f t="array" aca="1" ref="H31" ca="1">SUM(H34:H46)/SUMPRODUCT(($F34:$F46)*(BE10:BE22&gt;0))</f>
        <v>#NAME?</v>
      </c>
      <c r="I31" s="431" t="e">
        <f t="array" aca="1" ref="I31" ca="1">SUM(I34:I46)/SUMPRODUCT(($F34:$F46)*(BF10:BF22&gt;0))</f>
        <v>#NAME?</v>
      </c>
      <c r="J31" s="431" t="e">
        <f t="array" aca="1" ref="J31" ca="1">SUM(J34:J46)/SUMPRODUCT(($F34:$F46)*(BG10:BG22&gt;0))</f>
        <v>#NAME?</v>
      </c>
      <c r="K31" s="431" t="e">
        <f t="array" aca="1" ref="K31" ca="1">SUM(K34:K46)/SUMPRODUCT(($F34:$F46)*(BH10:BH22&gt;0))</f>
        <v>#NAME?</v>
      </c>
      <c r="L31" s="431" t="e">
        <f t="array" aca="1" ref="L31" ca="1">SUM(L34:L46)/SUMPRODUCT(($F34:$F46)*(BI10:BI22&gt;0))</f>
        <v>#NAME?</v>
      </c>
      <c r="M31" s="416"/>
      <c r="AGT31" s="282"/>
    </row>
    <row r="32" spans="2:1107">
      <c r="D32" s="412"/>
      <c r="E32" s="413"/>
      <c r="F32" s="413"/>
      <c r="G32" s="413"/>
      <c r="H32" s="418"/>
      <c r="I32" s="418"/>
      <c r="J32" s="418"/>
      <c r="K32" s="418"/>
      <c r="L32" s="418"/>
      <c r="M32" s="416"/>
      <c r="AGT32" s="282"/>
    </row>
    <row r="33" spans="4:878">
      <c r="D33" s="412"/>
      <c r="E33" s="419" t="s">
        <v>1</v>
      </c>
      <c r="F33" s="419" t="s">
        <v>442</v>
      </c>
      <c r="G33" s="413"/>
      <c r="H33" s="418"/>
      <c r="I33" s="418"/>
      <c r="J33" s="418"/>
      <c r="K33" s="418"/>
      <c r="L33" s="418"/>
      <c r="M33" s="416"/>
      <c r="AGT33" s="282"/>
    </row>
    <row r="34" spans="4:878">
      <c r="D34" s="412"/>
      <c r="E34" s="420" t="s">
        <v>430</v>
      </c>
      <c r="F34" s="165">
        <v>3966740</v>
      </c>
      <c r="G34" s="421" t="e">
        <f t="shared" ref="G34:G46" ca="1" si="343">$F34*BD10</f>
        <v>#NAME?</v>
      </c>
      <c r="H34" s="422">
        <f t="shared" ref="H34:H46" si="344">$F34*BE10</f>
        <v>0</v>
      </c>
      <c r="I34" s="422">
        <f t="shared" ref="I34:I46" si="345">$F34*BF10</f>
        <v>0</v>
      </c>
      <c r="J34" s="422" t="e">
        <f t="shared" ref="J34:J46" ca="1" si="346">$F34*BG10</f>
        <v>#NAME?</v>
      </c>
      <c r="K34" s="422">
        <f t="shared" ref="K34:K46" si="347">$F34*BH10</f>
        <v>0</v>
      </c>
      <c r="L34" s="422" t="e">
        <f t="shared" ref="L34:L46" ca="1" si="348">$F34*BI10</f>
        <v>#NAME?</v>
      </c>
      <c r="M34" s="416"/>
    </row>
    <row r="35" spans="4:878">
      <c r="D35" s="412"/>
      <c r="E35" s="420" t="s">
        <v>431</v>
      </c>
      <c r="F35" s="165">
        <v>1547351</v>
      </c>
      <c r="G35" s="421">
        <f t="shared" si="343"/>
        <v>0</v>
      </c>
      <c r="H35" s="422">
        <f t="shared" si="344"/>
        <v>81918582.3529412</v>
      </c>
      <c r="I35" s="422">
        <f t="shared" si="345"/>
        <v>0</v>
      </c>
      <c r="J35" s="422">
        <f t="shared" si="346"/>
        <v>79615354.905625731</v>
      </c>
      <c r="K35" s="422">
        <f t="shared" si="347"/>
        <v>0</v>
      </c>
      <c r="L35" s="422">
        <f t="shared" si="348"/>
        <v>79093123.94312571</v>
      </c>
      <c r="M35" s="416"/>
      <c r="AN35"/>
      <c r="AU35"/>
      <c r="AV35"/>
      <c r="BH35"/>
      <c r="RJ35"/>
    </row>
    <row r="36" spans="4:878">
      <c r="D36" s="412"/>
      <c r="E36" s="420" t="s">
        <v>155</v>
      </c>
      <c r="F36" s="165">
        <v>1575142</v>
      </c>
      <c r="G36" s="421">
        <f t="shared" si="343"/>
        <v>0</v>
      </c>
      <c r="H36" s="422">
        <f t="shared" si="344"/>
        <v>0</v>
      </c>
      <c r="I36" s="422" t="e">
        <f t="shared" ca="1" si="345"/>
        <v>#NAME?</v>
      </c>
      <c r="J36" s="422">
        <f t="shared" si="346"/>
        <v>0</v>
      </c>
      <c r="K36" s="422" t="e">
        <f t="shared" ca="1" si="347"/>
        <v>#NAME?</v>
      </c>
      <c r="L36" s="422" t="e">
        <f t="shared" ca="1" si="348"/>
        <v>#NAME?</v>
      </c>
      <c r="M36" s="416"/>
      <c r="AN36"/>
      <c r="AU36"/>
      <c r="AV36"/>
      <c r="BH36"/>
      <c r="RJ36"/>
    </row>
    <row r="37" spans="4:878">
      <c r="D37" s="412"/>
      <c r="E37" s="420" t="s">
        <v>432</v>
      </c>
      <c r="F37" s="165">
        <v>487590</v>
      </c>
      <c r="G37" s="421">
        <f t="shared" si="343"/>
        <v>0</v>
      </c>
      <c r="H37" s="422">
        <f t="shared" si="344"/>
        <v>0</v>
      </c>
      <c r="I37" s="422">
        <f t="shared" si="345"/>
        <v>0</v>
      </c>
      <c r="J37" s="422" t="e">
        <f t="shared" ca="1" si="346"/>
        <v>#NAME?</v>
      </c>
      <c r="K37" s="422">
        <f t="shared" si="347"/>
        <v>0</v>
      </c>
      <c r="L37" s="422" t="e">
        <f t="shared" ca="1" si="348"/>
        <v>#NAME?</v>
      </c>
      <c r="M37" s="416"/>
      <c r="AN37"/>
      <c r="AU37"/>
      <c r="AV37"/>
      <c r="BH37"/>
      <c r="RJ37"/>
    </row>
    <row r="38" spans="4:878">
      <c r="D38" s="412"/>
      <c r="E38" s="420" t="s">
        <v>433</v>
      </c>
      <c r="F38" s="165">
        <v>468701</v>
      </c>
      <c r="G38" s="421" t="e">
        <f t="shared" ca="1" si="343"/>
        <v>#NAME?</v>
      </c>
      <c r="H38" s="422">
        <f t="shared" si="344"/>
        <v>0</v>
      </c>
      <c r="I38" s="422">
        <f t="shared" si="345"/>
        <v>0</v>
      </c>
      <c r="J38" s="422" t="e">
        <f t="shared" ca="1" si="346"/>
        <v>#NAME?</v>
      </c>
      <c r="K38" s="422">
        <f t="shared" si="347"/>
        <v>0</v>
      </c>
      <c r="L38" s="422" t="e">
        <f t="shared" ca="1" si="348"/>
        <v>#NAME?</v>
      </c>
      <c r="M38" s="416"/>
      <c r="AN38"/>
      <c r="AU38"/>
      <c r="AV38"/>
      <c r="BH38"/>
      <c r="RJ38"/>
    </row>
    <row r="39" spans="4:878">
      <c r="D39" s="412"/>
      <c r="E39" s="420" t="s">
        <v>434</v>
      </c>
      <c r="F39" s="165">
        <v>218373</v>
      </c>
      <c r="G39" s="421">
        <f t="shared" si="343"/>
        <v>0</v>
      </c>
      <c r="H39" s="422" t="e">
        <f t="shared" ca="1" si="344"/>
        <v>#NAME?</v>
      </c>
      <c r="I39" s="422">
        <f t="shared" si="345"/>
        <v>0</v>
      </c>
      <c r="J39" s="422" t="e">
        <f t="shared" ca="1" si="346"/>
        <v>#NAME?</v>
      </c>
      <c r="K39" s="422">
        <f t="shared" si="347"/>
        <v>0</v>
      </c>
      <c r="L39" s="422" t="e">
        <f t="shared" ca="1" si="348"/>
        <v>#NAME?</v>
      </c>
      <c r="M39" s="416"/>
      <c r="AN39"/>
      <c r="AU39"/>
      <c r="AV39"/>
      <c r="BH39"/>
      <c r="RJ39"/>
    </row>
    <row r="40" spans="4:878">
      <c r="D40" s="412"/>
      <c r="E40" s="420" t="s">
        <v>435</v>
      </c>
      <c r="F40" s="165">
        <v>0</v>
      </c>
      <c r="G40" s="421" t="e">
        <f t="shared" ca="1" si="343"/>
        <v>#NAME?</v>
      </c>
      <c r="H40" s="422">
        <f t="shared" si="344"/>
        <v>0</v>
      </c>
      <c r="I40" s="422">
        <f t="shared" si="345"/>
        <v>0</v>
      </c>
      <c r="J40" s="422" t="e">
        <f t="shared" ca="1" si="346"/>
        <v>#NAME?</v>
      </c>
      <c r="K40" s="422">
        <f t="shared" si="347"/>
        <v>0</v>
      </c>
      <c r="L40" s="422" t="e">
        <f t="shared" ca="1" si="348"/>
        <v>#NAME?</v>
      </c>
      <c r="M40" s="416"/>
      <c r="AN40"/>
      <c r="AU40"/>
      <c r="AV40"/>
      <c r="BH40"/>
      <c r="RJ40"/>
    </row>
    <row r="41" spans="4:878">
      <c r="D41" s="412"/>
      <c r="E41" s="420" t="s">
        <v>436</v>
      </c>
      <c r="F41" s="165">
        <v>85994</v>
      </c>
      <c r="G41" s="421">
        <f t="shared" si="343"/>
        <v>0</v>
      </c>
      <c r="H41" s="422">
        <f t="shared" si="344"/>
        <v>0</v>
      </c>
      <c r="I41" s="422">
        <f t="shared" si="345"/>
        <v>0</v>
      </c>
      <c r="J41" s="422" t="e">
        <f t="shared" ca="1" si="346"/>
        <v>#NAME?</v>
      </c>
      <c r="K41" s="422">
        <f t="shared" si="347"/>
        <v>0</v>
      </c>
      <c r="L41" s="422" t="e">
        <f t="shared" ca="1" si="348"/>
        <v>#NAME?</v>
      </c>
      <c r="M41" s="416"/>
      <c r="AN41"/>
      <c r="AU41"/>
      <c r="AV41"/>
      <c r="BH41"/>
      <c r="RJ41"/>
    </row>
    <row r="42" spans="4:878">
      <c r="D42" s="412"/>
      <c r="E42" s="420" t="s">
        <v>437</v>
      </c>
      <c r="F42" s="165">
        <v>73331</v>
      </c>
      <c r="G42" s="421">
        <f t="shared" si="343"/>
        <v>0</v>
      </c>
      <c r="H42" s="422">
        <f t="shared" si="344"/>
        <v>0</v>
      </c>
      <c r="I42" s="422">
        <f t="shared" si="345"/>
        <v>0</v>
      </c>
      <c r="J42" s="422">
        <f t="shared" si="346"/>
        <v>0</v>
      </c>
      <c r="K42" s="422" t="e">
        <f t="shared" ca="1" si="347"/>
        <v>#NAME?</v>
      </c>
      <c r="L42" s="422" t="e">
        <f t="shared" ca="1" si="348"/>
        <v>#NAME?</v>
      </c>
      <c r="M42" s="416"/>
      <c r="AN42"/>
      <c r="AU42"/>
      <c r="AV42"/>
      <c r="BH42"/>
      <c r="RJ42"/>
    </row>
    <row r="43" spans="4:878">
      <c r="D43" s="412"/>
      <c r="E43" s="420" t="s">
        <v>438</v>
      </c>
      <c r="F43" s="165">
        <v>68538</v>
      </c>
      <c r="G43" s="421">
        <f t="shared" si="343"/>
        <v>0</v>
      </c>
      <c r="H43" s="422">
        <f t="shared" si="344"/>
        <v>0</v>
      </c>
      <c r="I43" s="422" t="e">
        <f t="shared" ca="1" si="345"/>
        <v>#NAME?</v>
      </c>
      <c r="J43" s="422">
        <f t="shared" si="346"/>
        <v>0</v>
      </c>
      <c r="K43" s="422" t="e">
        <f t="shared" ca="1" si="347"/>
        <v>#NAME?</v>
      </c>
      <c r="L43" s="422" t="e">
        <f t="shared" ca="1" si="348"/>
        <v>#NAME?</v>
      </c>
      <c r="M43" s="416"/>
      <c r="AN43"/>
      <c r="AU43"/>
      <c r="AV43"/>
      <c r="BH43"/>
      <c r="RJ43"/>
    </row>
    <row r="44" spans="4:878">
      <c r="D44" s="412"/>
      <c r="E44" s="420" t="s">
        <v>439</v>
      </c>
      <c r="F44" s="165">
        <v>51931</v>
      </c>
      <c r="G44" s="421" t="e">
        <f t="shared" ca="1" si="343"/>
        <v>#NAME?</v>
      </c>
      <c r="H44" s="422">
        <f t="shared" si="344"/>
        <v>0</v>
      </c>
      <c r="I44" s="422">
        <f t="shared" si="345"/>
        <v>0</v>
      </c>
      <c r="J44" s="422" t="e">
        <f t="shared" ca="1" si="346"/>
        <v>#NAME?</v>
      </c>
      <c r="K44" s="422">
        <f t="shared" si="347"/>
        <v>0</v>
      </c>
      <c r="L44" s="422" t="e">
        <f t="shared" ca="1" si="348"/>
        <v>#NAME?</v>
      </c>
      <c r="M44" s="416"/>
      <c r="AN44"/>
      <c r="AU44"/>
      <c r="AV44"/>
      <c r="BH44"/>
      <c r="RJ44"/>
    </row>
    <row r="45" spans="4:878">
      <c r="D45" s="412"/>
      <c r="E45" s="420" t="s">
        <v>440</v>
      </c>
      <c r="F45" s="165">
        <v>48765</v>
      </c>
      <c r="G45" s="421">
        <f t="shared" si="343"/>
        <v>0</v>
      </c>
      <c r="H45" s="422">
        <f t="shared" si="344"/>
        <v>0</v>
      </c>
      <c r="I45" s="422">
        <f t="shared" si="345"/>
        <v>0</v>
      </c>
      <c r="J45" s="422">
        <f t="shared" si="346"/>
        <v>0</v>
      </c>
      <c r="K45" s="422" t="e">
        <f t="shared" ca="1" si="347"/>
        <v>#NAME?</v>
      </c>
      <c r="L45" s="422" t="e">
        <f t="shared" ca="1" si="348"/>
        <v>#NAME?</v>
      </c>
      <c r="M45" s="416"/>
      <c r="AN45"/>
      <c r="AU45"/>
      <c r="AV45"/>
      <c r="BH45"/>
      <c r="RJ45"/>
    </row>
    <row r="46" spans="4:878">
      <c r="D46" s="412"/>
      <c r="E46" s="420" t="s">
        <v>441</v>
      </c>
      <c r="F46" s="165">
        <v>46901</v>
      </c>
      <c r="G46" s="421">
        <f t="shared" si="343"/>
        <v>0</v>
      </c>
      <c r="H46" s="422">
        <f t="shared" si="344"/>
        <v>0</v>
      </c>
      <c r="I46" s="422">
        <f t="shared" si="345"/>
        <v>0</v>
      </c>
      <c r="J46" s="422">
        <f t="shared" si="346"/>
        <v>0</v>
      </c>
      <c r="K46" s="422" t="e">
        <f t="shared" ca="1" si="347"/>
        <v>#NAME?</v>
      </c>
      <c r="L46" s="422" t="e">
        <f t="shared" ca="1" si="348"/>
        <v>#NAME?</v>
      </c>
      <c r="M46" s="416"/>
      <c r="AN46"/>
      <c r="AU46"/>
      <c r="AV46"/>
      <c r="BH46"/>
      <c r="RJ46"/>
    </row>
    <row r="47" spans="4:878">
      <c r="D47" s="412"/>
      <c r="E47" s="413"/>
      <c r="F47" s="413"/>
      <c r="G47" s="413"/>
      <c r="H47" s="413"/>
      <c r="I47" s="413"/>
      <c r="J47" s="413"/>
      <c r="K47" s="413"/>
      <c r="L47" s="413"/>
      <c r="M47" s="416"/>
    </row>
    <row r="48" spans="4:878" ht="16.5" thickBot="1">
      <c r="D48" s="423"/>
      <c r="E48" s="9"/>
      <c r="F48" s="9"/>
      <c r="G48" s="9"/>
      <c r="H48" s="9"/>
      <c r="I48" s="9"/>
      <c r="J48" s="9"/>
      <c r="K48" s="9"/>
      <c r="L48" s="9"/>
      <c r="M48" s="424"/>
    </row>
    <row r="54" spans="2:1107">
      <c r="B54" s="19" t="s">
        <v>459</v>
      </c>
    </row>
    <row r="55" spans="2:1107">
      <c r="B55" s="434" t="e">
        <f ca="1">AY55*(1-AL55)</f>
        <v>#NAME?</v>
      </c>
      <c r="C55" s="18">
        <f>$A$2</f>
        <v>43934</v>
      </c>
      <c r="D55" s="7" t="s">
        <v>20</v>
      </c>
      <c r="E55" s="86" t="s">
        <v>156</v>
      </c>
      <c r="F55" s="6">
        <v>45</v>
      </c>
      <c r="G55" s="1" t="s">
        <v>4</v>
      </c>
      <c r="H55" s="1" t="s">
        <v>5</v>
      </c>
      <c r="I55" s="15"/>
      <c r="J55" s="15"/>
      <c r="K55" s="15"/>
      <c r="L55" s="15"/>
      <c r="M55" s="15"/>
      <c r="N55" s="15"/>
      <c r="O55" s="15"/>
      <c r="P55" s="433">
        <v>77000</v>
      </c>
      <c r="Q55" s="98"/>
      <c r="R55" s="7" t="s">
        <v>95</v>
      </c>
      <c r="T55" s="287" t="s">
        <v>39</v>
      </c>
      <c r="V55" s="4"/>
      <c r="W55" s="16" t="str">
        <f t="shared" ref="W55:AC63" si="349">IF(ISBLANK($V55),"not used yet",IF($V55&lt;&gt;$E55,"error",0))</f>
        <v>not used yet</v>
      </c>
      <c r="X55" s="16" t="str">
        <f t="shared" si="349"/>
        <v>not used yet</v>
      </c>
      <c r="Y55" s="16" t="str">
        <f t="shared" si="349"/>
        <v>not used yet</v>
      </c>
      <c r="Z55" s="16" t="str">
        <f t="shared" si="349"/>
        <v>not used yet</v>
      </c>
      <c r="AA55" s="16" t="str">
        <f t="shared" si="349"/>
        <v>not used yet</v>
      </c>
      <c r="AB55" s="16" t="str">
        <f t="shared" si="349"/>
        <v>not used yet</v>
      </c>
      <c r="AC55" s="16" t="str">
        <f t="shared" si="349"/>
        <v>not used yet</v>
      </c>
      <c r="AE55" s="88" t="str">
        <f>E55</f>
        <v>West Kalimantan Generic</v>
      </c>
      <c r="AF55" s="16">
        <f t="shared" ref="AF55:AF63" si="350">IF(NOT(ISBLANK(I55)),I55,IF55)</f>
        <v>0.48</v>
      </c>
      <c r="AG55" s="16">
        <f t="shared" ref="AG55:AG63" si="351">IF(NOT(ISBLANK(J55)),J55,IG55)</f>
        <v>0.44</v>
      </c>
      <c r="AH55" s="61">
        <f t="shared" ref="AH55:AH63" si="352">IF(NOT(ISBLANK(K55)),K55,IH55)</f>
        <v>0.08</v>
      </c>
      <c r="AI55" s="61">
        <f t="shared" ref="AI55:AI63" si="353">IF(NOT(ISBLANK(L55)),L55,II55)</f>
        <v>3.5000000000000003E-2</v>
      </c>
      <c r="AJ55" s="61">
        <f t="shared" ref="AJ55:AJ63" si="354">IF(NOT(ISBLANK(M55)),M55,IJ55)</f>
        <v>4.4999999999999998E-2</v>
      </c>
      <c r="AK55" s="16">
        <f t="shared" ref="AK55:AK63" si="355">IF(NOT(ISBLANK(N55)),N55,IK55)</f>
        <v>5.0000000000000001E-3</v>
      </c>
      <c r="AL55" s="16">
        <f t="shared" ref="AL55:AL63" si="356">IF(NOT(ISBLANK(O55)),O55,IL55)</f>
        <v>0.15</v>
      </c>
      <c r="AM55" s="24" t="str">
        <f>IM55</f>
        <v>LT</v>
      </c>
      <c r="AN55" s="427">
        <f t="shared" ref="AN55:AN63" si="357">IF(NOT(ISBLANK(P55)),P55*IF(H55="dmt",1,1-AL55),IO55*JN55*(1-AL55))</f>
        <v>77000</v>
      </c>
      <c r="AO55" s="127" t="str">
        <f t="array" ref="AO55">IFERROR(IF(AND(AN55&gt;'Indices Mines Exporting Ports'!$D$11,MATCH(2,1/(('Indices Mines Exporting Ports'!$B$3:$B$10&lt;=C55)*('Indices Mines Exporting Ports'!$C$3:$C$10=E55)))),"Yes","No"),"No")</f>
        <v>No</v>
      </c>
      <c r="AP55" s="126" t="str">
        <f t="array" ref="AP55">IF(AO55="Yes",INDEX('Indices Mines Exporting Ports'!$D$3:$D$10,MATCH(2,1/(('Indices Mines Exporting Ports'!$B$3:$B$10&lt;=Main!C55)*('Indices Mines Exporting Ports'!$C$3:$C$10=Main!AE55)))),IF(NOT(ISBLANK(Q55)),Q55,IP55))</f>
        <v>West_Kal_Generic_Offshore</v>
      </c>
      <c r="AQ55" s="262">
        <f t="array" ref="AQ55">IF(AO55="no",0,INDEX('Indices Mines Exporting Ports'!$E$3:$E$10,MATCH(2,1/(('Indices Mines Exporting Ports'!$B$3:$B$10&lt;=Main!$C55)*('Indices Mines Exporting Ports'!$D$3:$D$10=Main!$AP55)))))</f>
        <v>0</v>
      </c>
      <c r="AR55" s="267">
        <f t="array" ref="AR55">IF(AO55="No",0,AN55/ROUND(AN55/INDEX('Indices Mines Exporting Ports'!$F$3:$F$10,MATCH(2,1/(('Indices Mines Exporting Ports'!$B$3:$B$10&lt;=Main!C55)*('Indices Mines Exporting Ports'!$C$3:$C$10=Main!AE55)))),0))</f>
        <v>0</v>
      </c>
      <c r="AS55" s="127" t="str">
        <f>IF(NOT(ISBLANK(R55)),R55,"Qingdao")</f>
        <v>Qingdao</v>
      </c>
      <c r="AT55" s="100" t="str">
        <f t="shared" ref="AT55:AT63" si="358">IQ55</f>
        <v>Indonesian LT</v>
      </c>
      <c r="AU55" s="100" t="str">
        <f t="shared" ref="AU55:AU63" si="359">IR55</f>
        <v>CBIX LT</v>
      </c>
      <c r="AV55" s="242" t="s">
        <v>4</v>
      </c>
      <c r="AW55" s="242" t="s">
        <v>5</v>
      </c>
      <c r="AX55" s="292" t="e">
        <f ca="1">IF(AND(G55="FOB",H55="dmt"),F55,IF(AND(G55="FOB",H55="wmt"),F55/(1-AL55),AZ55-AY55))</f>
        <v>#NAME?</v>
      </c>
      <c r="AY55" s="291" t="e">
        <f t="shared" ref="AY55:AY63" ca="1" si="360">APK55</f>
        <v>#NAME?</v>
      </c>
      <c r="AZ55" s="292" t="e">
        <f ca="1">IF(AND(G55&lt;&gt;"FOB",H55="dmt"),F55*IF(G55="CIF",1,(1+KL55))+APM55,IF(AND(G55&lt;&gt;"FOB",H55="wmt"),(F55*IF(G55="CIF",1,(1+KL55)))/(1-AL55),AX55+AY55))</f>
        <v>#NAME?</v>
      </c>
      <c r="BA55" s="102">
        <f>IN55</f>
        <v>0.33</v>
      </c>
      <c r="BB55" s="12"/>
      <c r="BC55" s="306" t="s">
        <v>403</v>
      </c>
      <c r="BD55" s="407">
        <f t="shared" ref="BD55:BF63" si="361">IF($AT55=BD$7,$CV55,0)</f>
        <v>0</v>
      </c>
      <c r="BE55" s="407" t="e">
        <f t="shared" ca="1" si="361"/>
        <v>#NAME?</v>
      </c>
      <c r="BF55" s="407">
        <f t="shared" si="361"/>
        <v>0</v>
      </c>
      <c r="BG55" s="407" t="e">
        <f t="shared" ref="BG55:BG63" ca="1" si="362">IF($AU55=BG$7,$EE55,0)</f>
        <v>#NAME?</v>
      </c>
      <c r="BH55" s="407">
        <f t="shared" ref="BH55:BH63" si="363">IF($AU55=BH$7,$EE55,)</f>
        <v>0</v>
      </c>
      <c r="BI55" s="263" t="e">
        <f t="shared" ref="BI55:BI63" ca="1" si="364">GU55</f>
        <v>#NAME?</v>
      </c>
      <c r="BK55" s="287" t="s">
        <v>39</v>
      </c>
      <c r="BM55" s="291" t="e">
        <f t="shared" ref="BM55:BM63" ca="1" si="365">$AZ55</f>
        <v>#NAME?</v>
      </c>
      <c r="BN55" s="298">
        <f t="shared" ref="BN55:BN63" si="366">$AF55</f>
        <v>0.48</v>
      </c>
      <c r="BO55" s="298">
        <f t="shared" ref="BO55:BO63" si="367">$AG55</f>
        <v>0.44</v>
      </c>
      <c r="BP55" s="298">
        <f t="shared" ref="BP55:BP63" si="368">$AH55</f>
        <v>0.08</v>
      </c>
      <c r="BQ55" s="298">
        <f t="shared" ref="BQ55:BQ63" si="369">$AI55</f>
        <v>3.5000000000000003E-2</v>
      </c>
      <c r="BR55" s="298">
        <f t="shared" ref="BR55:BR63" si="370">$AJ55</f>
        <v>4.4999999999999998E-2</v>
      </c>
      <c r="BS55" s="298">
        <f t="shared" ref="BS55:BS63" si="371">$AK55</f>
        <v>5.0000000000000001E-3</v>
      </c>
      <c r="BT55" s="298">
        <f t="shared" ref="BT55:BT63" si="372">$AL55</f>
        <v>0.15</v>
      </c>
      <c r="BU55" s="307" t="str">
        <f t="shared" ref="BU55:BU63" si="373">$AM55</f>
        <v>LT</v>
      </c>
      <c r="BV55" s="291">
        <f t="shared" ref="BV55:BV63" si="374">$BA55</f>
        <v>0.33</v>
      </c>
      <c r="BX55" s="300">
        <f t="array" ref="BX55">INDEX('Processing Factors'!$D$8:$D$29,MATCH(2,1/(('Processing Factors'!$B$8:$B$29&lt;=Main!$C55)*('Processing Factors'!$C$8:$C$29=Main!BU55))))</f>
        <v>0</v>
      </c>
      <c r="BY55" s="299">
        <f t="array" ref="BY55">INDEX('Processing Factors'!$E$8:$E$29,MATCH(2,1/(('Processing Factors'!$B$8:$B$29&lt;=Main!$C55)*('Processing Factors'!$C$8:$C$29=Main!BU55))))</f>
        <v>1</v>
      </c>
      <c r="BZ55" s="299">
        <f t="array" ref="BZ55">INDEX('Processing Factors'!$F$8:$F$29,MATCH(2,1/(('Processing Factors'!$B$8:$B$29&lt;=Main!$C55)*('Processing Factors'!$C$8:$C$29=Main!BU55))))</f>
        <v>0.9</v>
      </c>
      <c r="CA55" s="299">
        <f t="array" ref="CA55">INDEX('Processing Factors'!$G$8:$G$29,MATCH(2,1/(('Processing Factors'!$B$8:$B$29&lt;=Main!$C55)*('Processing Factors'!$C$8:$C$29=Main!BU55))))</f>
        <v>3.5999999999999997E-2</v>
      </c>
      <c r="CB55" s="299">
        <f t="array" ref="CB55">INDEX('Processing Factors'!$H$8:$H$29,MATCH(2,1/(('Processing Factors'!$B$8:$B$29&lt;=Main!$C55)*('Processing Factors'!$C$8:$C$29=Main!BU55))))</f>
        <v>12.15</v>
      </c>
      <c r="CC55" s="300">
        <f t="array" ref="CC55">INDEX('Processing Factors'!$I$8:$I$29,MATCH(2,1/(('Processing Factors'!$B$8:$B$29&lt;=Main!$C55)*('Processing Factors'!$C$8:$C$29=Main!BU55))))</f>
        <v>0</v>
      </c>
      <c r="CD55" s="300">
        <f t="array" ref="CD55">INDEX('Processing Factors'!$J$8:$J$29,MATCH(2,1/(('Processing Factors'!$B$8:$B$29&lt;=Main!$C55)*('Processing Factors'!$C$8:$C$29=Main!BU55))))</f>
        <v>0.9</v>
      </c>
      <c r="CE55" s="299">
        <f t="array" ref="CE55">INDEX('Processing Factors'!$K$8:$K$29,MATCH(2,1/(('Processing Factors'!$B$8:$B$29&lt;=Main!$C55)*('Processing Factors'!$C$8:$C$29=Main!BU55))))</f>
        <v>3.5000000000000003E-2</v>
      </c>
      <c r="CG55" s="302">
        <f t="shared" ref="CG55:CG63" si="375">(BN55-BO55-BQ55)*BX55+BO55+BQ55</f>
        <v>0.47499999999999998</v>
      </c>
      <c r="CH55" s="302">
        <f t="shared" ref="CH55:CH63" si="376">BQ55+CC55*(BP55-BQ55)</f>
        <v>3.5000000000000003E-2</v>
      </c>
      <c r="CI55" s="302">
        <f t="shared" ref="CI55:CI63" si="377">CG55-BY55*CH55</f>
        <v>0.43999999999999995</v>
      </c>
      <c r="CJ55" s="299">
        <f t="shared" ref="CJ55:CJ63" si="378">1/CI55/CD55</f>
        <v>2.5252525252525255</v>
      </c>
      <c r="CK55" s="281" t="e">
        <f ca="1">(BM55+BV55)*CJ55</f>
        <v>#NAME?</v>
      </c>
      <c r="CL55" s="299">
        <f t="shared" ref="CL55:CL63" si="379">CH55*BZ55*CJ55+CE55</f>
        <v>0.11454545454545458</v>
      </c>
      <c r="CM55" s="281">
        <f>CL55*$IW55</f>
        <v>27.490572735666216</v>
      </c>
      <c r="CN55" s="281">
        <f>CB55*$IV55</f>
        <v>50.321396655852695</v>
      </c>
      <c r="CO55" s="281">
        <f>CA55*$IX55</f>
        <v>1.2197497818850218</v>
      </c>
      <c r="CP55" s="299">
        <f t="shared" ref="CP55:CP63" si="380">(CJ55-1+CL55+$CA55)</f>
        <v>1.6757979797979801</v>
      </c>
      <c r="CQ55" s="281">
        <f>CP55*$IY55</f>
        <v>7.0974104872984247</v>
      </c>
      <c r="CR55" s="281" t="e">
        <f t="shared" ref="CR55:CR63" ca="1" si="381">CK55+CM55+CN55+CO55+CQ55</f>
        <v>#NAME?</v>
      </c>
      <c r="CT55" s="287" t="s">
        <v>39</v>
      </c>
      <c r="CV55" s="305" t="e">
        <f t="shared" ref="CV55:CV63" ca="1" si="382">($CR55-EA55)/DS55-DE55</f>
        <v>#NAME?</v>
      </c>
      <c r="CW55" s="61">
        <f t="array" ref="CW55">INDEX('Indices Mines Exporting Ports'!E$20:E$51, MATCH(2,1/(('Indices Mines Exporting Ports'!$C$20:$C$51=$AT55)*('Indices Mines Exporting Ports'!$D$20:$D$51&lt;=$C55))))</f>
        <v>0.48</v>
      </c>
      <c r="CX55" s="61">
        <f t="array" ref="CX55">INDEX('Indices Mines Exporting Ports'!F$20:F$51, MATCH(2,1/(('Indices Mines Exporting Ports'!$C$20:$C$51=$AT55)*('Indices Mines Exporting Ports'!$D$20:$D$51&lt;=$C55))))</f>
        <v>0.44</v>
      </c>
      <c r="CY55" s="61">
        <f t="array" ref="CY55">INDEX('Indices Mines Exporting Ports'!G$20:G$51, MATCH(2,1/(('Indices Mines Exporting Ports'!$C$20:$C$51=$AT55)*('Indices Mines Exporting Ports'!$D$20:$D$51&lt;=$C55))))</f>
        <v>0.08</v>
      </c>
      <c r="CZ55" s="61">
        <f t="array" ref="CZ55">INDEX('Indices Mines Exporting Ports'!H$20:H$51, MATCH(2,1/(('Indices Mines Exporting Ports'!$C$20:$C$51=$AT55)*('Indices Mines Exporting Ports'!$D$20:$D$51&lt;=$C55))))</f>
        <v>3.5000000000000003E-2</v>
      </c>
      <c r="DA55" s="61">
        <f t="array" ref="DA55">INDEX('Indices Mines Exporting Ports'!I$20:I$51, MATCH(2,1/(('Indices Mines Exporting Ports'!$C$20:$C$51=$AT55)*('Indices Mines Exporting Ports'!$D$20:$D$51&lt;=$C55))))</f>
        <v>4.4999999999999998E-2</v>
      </c>
      <c r="DB55" s="61">
        <f t="array" ref="DB55">INDEX('Indices Mines Exporting Ports'!J$20:J$51, MATCH(2,1/(('Indices Mines Exporting Ports'!$C$20:$C$51=$AT55)*('Indices Mines Exporting Ports'!$D$20:$D$51&lt;=$C55))))</f>
        <v>5.0000000000000001E-3</v>
      </c>
      <c r="DC55" s="61">
        <f t="array" ref="DC55">INDEX('Indices Mines Exporting Ports'!K$20:K$51, MATCH(2,1/(('Indices Mines Exporting Ports'!$C$20:$C$51=$AT55)*('Indices Mines Exporting Ports'!$D$20:$D$51&lt;=$C55))))</f>
        <v>0.15</v>
      </c>
      <c r="DD55" s="103" t="str">
        <f t="array" ref="DD55">INDEX('Indices Mines Exporting Ports'!L$20:L$51, MATCH(2,1/(('Indices Mines Exporting Ports'!$C$20:$C$51=$AT55)*('Indices Mines Exporting Ports'!$D$20:$D$51&lt;=$C55))))</f>
        <v>LT</v>
      </c>
      <c r="DE55" s="243">
        <f t="array" ref="DE55">INDEX('Indices Mines Exporting Ports'!M$20:M$51, MATCH(2,1/(('Indices Mines Exporting Ports'!$C$20:$C$51=$AT55)*('Indices Mines Exporting Ports'!$D$20:$D$51&lt;=$C55))))</f>
        <v>0.33</v>
      </c>
      <c r="DG55" s="300">
        <f t="array" ref="DG55">INDEX('Processing Factors'!$D$8:$D$29,MATCH(2,1/(('Processing Factors'!$B$8:$B$29&lt;=Main!$C55)*('Processing Factors'!$C$8:$C$29=Main!DD55))))</f>
        <v>0</v>
      </c>
      <c r="DH55" s="299">
        <f t="array" ref="DH55">INDEX('Processing Factors'!$E$8:$E$29,MATCH(2,1/(('Processing Factors'!$B$8:$B$29&lt;=Main!$C55)*('Processing Factors'!$C$8:$C$29=Main!DD55))))</f>
        <v>1</v>
      </c>
      <c r="DI55" s="299">
        <f t="array" ref="DI55">INDEX('Processing Factors'!$F$8:$F$29,MATCH(2,1/(('Processing Factors'!$B$8:$B$29&lt;=Main!$C55)*('Processing Factors'!$C$8:$C$29=Main!DD55))))</f>
        <v>0.9</v>
      </c>
      <c r="DJ55" s="299">
        <f t="array" ref="DJ55">INDEX('Processing Factors'!$G$8:$G$29,MATCH(2,1/(('Processing Factors'!$B$8:$B$29&lt;=Main!$C55)*('Processing Factors'!$C$8:$C$29=Main!DD55))))</f>
        <v>3.5999999999999997E-2</v>
      </c>
      <c r="DK55" s="299">
        <f t="array" ref="DK55">INDEX('Processing Factors'!$H$8:$H$29,MATCH(2,1/(('Processing Factors'!$B$8:$B$29&lt;=Main!$C55)*('Processing Factors'!$C$8:$C$29=Main!DD55))))</f>
        <v>12.15</v>
      </c>
      <c r="DL55" s="300">
        <f t="array" ref="DL55">INDEX('Processing Factors'!$I$8:$I$29,MATCH(2,1/(('Processing Factors'!$B$8:$B$29&lt;=Main!$C55)*('Processing Factors'!$C$8:$C$29=Main!DD55))))</f>
        <v>0</v>
      </c>
      <c r="DM55" s="300">
        <f t="array" ref="DM55">INDEX('Processing Factors'!$J$8:$J$29,MATCH(2,1/(('Processing Factors'!$B$8:$B$29&lt;=Main!$C55)*('Processing Factors'!$C$8:$C$29=Main!DD55))))</f>
        <v>0.9</v>
      </c>
      <c r="DN55" s="299">
        <f t="array" ref="DN55">INDEX('Processing Factors'!$K$8:$K$29,MATCH(2,1/(('Processing Factors'!$B$8:$B$29&lt;=Main!$C55)*('Processing Factors'!$C$8:$C$29=Main!DD55))))</f>
        <v>3.5000000000000003E-2</v>
      </c>
      <c r="DP55" s="302">
        <f t="shared" ref="DP55:DP63" si="383">(CW55-CX55-CZ55)*DG55+CX55+CZ55</f>
        <v>0.47499999999999998</v>
      </c>
      <c r="DQ55" s="302">
        <f t="shared" ref="DQ55:DQ63" si="384">CZ55+DL55*(CY55-CZ55)</f>
        <v>3.5000000000000003E-2</v>
      </c>
      <c r="DR55" s="302">
        <f t="shared" ref="DR55:DR63" si="385">DP55-DH55*DQ55</f>
        <v>0.43999999999999995</v>
      </c>
      <c r="DS55" s="299">
        <f t="shared" ref="DS55:DS63" si="386">1/DR55/DM55</f>
        <v>2.5252525252525255</v>
      </c>
      <c r="DT55" s="304">
        <v>0</v>
      </c>
      <c r="DU55" s="299">
        <f t="shared" ref="DU55:DU63" si="387">DQ55*DI55*DS55+DN55</f>
        <v>0.11454545454545458</v>
      </c>
      <c r="DV55" s="281">
        <f>DU55*$IW55</f>
        <v>27.490572735666216</v>
      </c>
      <c r="DW55" s="281">
        <f>DK55*$IV55</f>
        <v>50.321396655852695</v>
      </c>
      <c r="DX55" s="281">
        <f>DJ55*$IX55</f>
        <v>1.2197497818850218</v>
      </c>
      <c r="DY55" s="299">
        <f t="shared" ref="DY55:DY63" si="388">(DS55-1+DU55+$CA55)</f>
        <v>1.6757979797979801</v>
      </c>
      <c r="DZ55" s="281">
        <f>DY55*$IY55</f>
        <v>7.0974104872984247</v>
      </c>
      <c r="EA55" s="281">
        <f t="shared" ref="EA55:EA63" si="389">DT55+DV55+DW55+DX55+DZ55</f>
        <v>86.129129660702361</v>
      </c>
      <c r="EC55" s="287" t="s">
        <v>39</v>
      </c>
      <c r="EE55" s="305" t="e">
        <f t="shared" ref="EE55:EE63" ca="1" si="390">($CR55-FJ55)/FB55-EN55</f>
        <v>#NAME?</v>
      </c>
      <c r="EF55" s="16">
        <f t="array" ref="EF55">INDEX('Indices Mines Exporting Ports'!E$20:E$51, MATCH(2,1/(('Indices Mines Exporting Ports'!$C$20:$C$51=$AU55)*('Indices Mines Exporting Ports'!$D$20:$D$51&lt;=$C55))))</f>
        <v>0.5</v>
      </c>
      <c r="EG55" s="16">
        <f t="array" ref="EG55">INDEX('Indices Mines Exporting Ports'!F$20:F$51, MATCH(2,1/(('Indices Mines Exporting Ports'!$C$20:$C$51=$AU55)*('Indices Mines Exporting Ports'!$D$20:$D$51&lt;=$C55))))</f>
        <v>0.45</v>
      </c>
      <c r="EH55" s="16">
        <f t="array" ref="EH55">INDEX('Indices Mines Exporting Ports'!G$20:G$51, MATCH(2,1/(('Indices Mines Exporting Ports'!$C$20:$C$51=$AU55)*('Indices Mines Exporting Ports'!$D$20:$D$51&lt;=$C55))))</f>
        <v>0.05</v>
      </c>
      <c r="EI55" s="16">
        <f t="array" ref="EI55">INDEX('Indices Mines Exporting Ports'!H$20:H$51, MATCH(2,1/(('Indices Mines Exporting Ports'!$C$20:$C$51=$AU55)*('Indices Mines Exporting Ports'!$D$20:$D$51&lt;=$C55))))</f>
        <v>0.05</v>
      </c>
      <c r="EJ55" s="16">
        <f t="array" ref="EJ55">INDEX('Indices Mines Exporting Ports'!I$20:I$51, MATCH(2,1/(('Indices Mines Exporting Ports'!$C$20:$C$51=$AU55)*('Indices Mines Exporting Ports'!$D$20:$D$51&lt;=$C55))))</f>
        <v>0</v>
      </c>
      <c r="EK55" s="16">
        <f t="array" ref="EK55">INDEX('Indices Mines Exporting Ports'!J$20:J$51, MATCH(2,1/(('Indices Mines Exporting Ports'!$C$20:$C$51=$AU55)*('Indices Mines Exporting Ports'!$D$20:$D$51&lt;=$C55))))</f>
        <v>0</v>
      </c>
      <c r="EL55" s="16">
        <f t="array" ref="EL55">INDEX('Indices Mines Exporting Ports'!K$20:K$51, MATCH(2,1/(('Indices Mines Exporting Ports'!$C$20:$C$51=$AU55)*('Indices Mines Exporting Ports'!$D$20:$D$51&lt;=$C55))))</f>
        <v>0.1</v>
      </c>
      <c r="EM55" s="103" t="str">
        <f t="array" ref="EM55">INDEX('Indices Mines Exporting Ports'!L$20:L$51, MATCH(2,1/(('Indices Mines Exporting Ports'!$C$20:$C$51=$AU55)*('Indices Mines Exporting Ports'!$D$20:$D$51&lt;=$C55))))</f>
        <v>LT</v>
      </c>
      <c r="EN55" s="243">
        <f t="array" ref="EN55">INDEX('Indices Mines Exporting Ports'!M$20:M$51, MATCH(2,1/(('Indices Mines Exporting Ports'!$C$20:$C$51=$AU55)*('Indices Mines Exporting Ports'!$D$20:$D$51&lt;=$C55))))</f>
        <v>0</v>
      </c>
      <c r="EP55" s="300">
        <f t="array" ref="EP55">INDEX('Processing Factors'!$D$8:$D$29,MATCH(2,1/(('Processing Factors'!$B$8:$B$29&lt;=Main!$C55)*('Processing Factors'!$C$8:$C$29=Main!EM55))))</f>
        <v>0</v>
      </c>
      <c r="EQ55" s="299">
        <f t="array" ref="EQ55">INDEX('Processing Factors'!$E$8:$E$29,MATCH(2,1/(('Processing Factors'!$B$8:$B$29&lt;=Main!$C55)*('Processing Factors'!$C$8:$C$29=Main!EM55))))</f>
        <v>1</v>
      </c>
      <c r="ER55" s="299">
        <f t="array" ref="ER55">INDEX('Processing Factors'!$F$8:$F$29,MATCH(2,1/(('Processing Factors'!$B$8:$B$29&lt;=Main!$C55)*('Processing Factors'!$C$8:$C$29=Main!EM55))))</f>
        <v>0.9</v>
      </c>
      <c r="ES55" s="299">
        <f t="array" ref="ES55">INDEX('Processing Factors'!$G$8:$G$29,MATCH(2,1/(('Processing Factors'!$B$8:$B$29&lt;=Main!$C55)*('Processing Factors'!$C$8:$C$29=Main!EM55))))</f>
        <v>3.5999999999999997E-2</v>
      </c>
      <c r="ET55" s="299">
        <f t="array" ref="ET55">INDEX('Processing Factors'!$H$8:$H$29,MATCH(2,1/(('Processing Factors'!$B$8:$B$29&lt;=Main!$C55)*('Processing Factors'!$C$8:$C$29=Main!EM55))))</f>
        <v>12.15</v>
      </c>
      <c r="EU55" s="300">
        <f t="array" ref="EU55">INDEX('Processing Factors'!$I$8:$I$29,MATCH(2,1/(('Processing Factors'!$B$8:$B$29&lt;=Main!$C55)*('Processing Factors'!$C$8:$C$29=Main!EM55))))</f>
        <v>0</v>
      </c>
      <c r="EV55" s="300">
        <f t="array" ref="EV55">INDEX('Processing Factors'!$J$8:$J$29,MATCH(2,1/(('Processing Factors'!$B$8:$B$29&lt;=Main!$C55)*('Processing Factors'!$C$8:$C$29=Main!EM55))))</f>
        <v>0.9</v>
      </c>
      <c r="EW55" s="299">
        <f t="array" ref="EW55">INDEX('Processing Factors'!$K$8:$K$29,MATCH(2,1/(('Processing Factors'!$B$8:$B$29&lt;=Main!$C55)*('Processing Factors'!$C$8:$C$29=Main!EM55))))</f>
        <v>3.5000000000000003E-2</v>
      </c>
      <c r="EY55" s="302">
        <f t="shared" ref="EY55:EY63" si="391">(EF55-EG55-EI55)*EP55+EG55+EI55</f>
        <v>0.5</v>
      </c>
      <c r="EZ55" s="302">
        <f t="shared" ref="EZ55:EZ63" si="392">EI55+EU55*(EH55-EI55)</f>
        <v>0.05</v>
      </c>
      <c r="FA55" s="302">
        <f t="shared" ref="FA55:FA63" si="393">EY55-EQ55*EZ55</f>
        <v>0.45</v>
      </c>
      <c r="FB55" s="299">
        <f t="shared" ref="FB55:FB63" si="394">1/FA55/EV55</f>
        <v>2.4691358024691357</v>
      </c>
      <c r="FC55" s="304">
        <v>0</v>
      </c>
      <c r="FD55" s="299">
        <f t="shared" ref="FD55:FD63" si="395">EZ55*ER55*FB55+EW55</f>
        <v>0.14611111111111114</v>
      </c>
      <c r="FE55" s="281">
        <f>FD55*$IW55</f>
        <v>35.06623762093578</v>
      </c>
      <c r="FF55" s="281">
        <f>ET55*$IV55</f>
        <v>50.321396655852695</v>
      </c>
      <c r="FG55" s="281">
        <f>ES55*$IX55</f>
        <v>1.2197497818850218</v>
      </c>
      <c r="FH55" s="299">
        <f t="shared" ref="FH55:FH63" si="396">(FB55-1+FD55+$CA55)</f>
        <v>1.6512469135802468</v>
      </c>
      <c r="FI55" s="281">
        <f>FH55*$IY55</f>
        <v>6.9934307731868799</v>
      </c>
      <c r="FJ55" s="281">
        <f t="shared" ref="FJ55:FJ63" si="397">FC55+FE55+FF55+FG55+FI55</f>
        <v>93.60081483186039</v>
      </c>
      <c r="FL55" s="287" t="s">
        <v>39</v>
      </c>
      <c r="FN55" s="315" t="e">
        <f t="shared" ref="FN55:FN63" ca="1" si="398">$AZ55</f>
        <v>#NAME?</v>
      </c>
      <c r="FO55" s="316">
        <f t="shared" ref="FO55:FO63" si="399">$AF55</f>
        <v>0.48</v>
      </c>
      <c r="FP55" s="316">
        <f t="shared" ref="FP55:FP63" si="400">$AG55</f>
        <v>0.44</v>
      </c>
      <c r="FQ55" s="316">
        <f t="shared" ref="FQ55:FQ63" si="401">$AH55</f>
        <v>0.08</v>
      </c>
      <c r="FR55" s="316">
        <f t="shared" ref="FR55:FR63" si="402">$AI55</f>
        <v>3.5000000000000003E-2</v>
      </c>
      <c r="FS55" s="316">
        <f t="shared" ref="FS55:FS63" si="403">$AJ55</f>
        <v>4.4999999999999998E-2</v>
      </c>
      <c r="FT55" s="316">
        <f t="shared" ref="FT55:FT63" si="404">$AK55</f>
        <v>5.0000000000000001E-3</v>
      </c>
      <c r="FU55" s="316">
        <f t="shared" ref="FU55:FU63" si="405">$AL55</f>
        <v>0.15</v>
      </c>
      <c r="FV55" s="317" t="str">
        <f t="shared" ref="FV55:FV63" si="406">$AM55</f>
        <v>LT</v>
      </c>
      <c r="FW55" s="318">
        <v>0</v>
      </c>
      <c r="FX55" s="237"/>
      <c r="FY55" s="319">
        <f t="array" ref="FY55">INDEX('Processing Factors'!$D$8:$D$29,MATCH(2,1/(('Processing Factors'!$B$8:$B$29&lt;=Main!$C55)*('Processing Factors'!$C$8:$C$29=Main!FV55))))</f>
        <v>0</v>
      </c>
      <c r="FZ55" s="320">
        <f t="array" ref="FZ55">INDEX('Processing Factors'!$E$8:$E$29,MATCH(2,1/(('Processing Factors'!$B$8:$B$29&lt;=Main!$C55)*('Processing Factors'!$C$8:$C$29=Main!FV55))))</f>
        <v>1</v>
      </c>
      <c r="GA55" s="320">
        <f t="array" ref="GA55">INDEX('Processing Factors'!$F$8:$F$29,MATCH(2,1/(('Processing Factors'!$B$8:$B$29&lt;=Main!$C55)*('Processing Factors'!$C$8:$C$29=Main!FV55))))</f>
        <v>0.9</v>
      </c>
      <c r="GB55" s="320">
        <f t="array" ref="GB55">INDEX('Processing Factors'!$G$8:$G$29,MATCH(2,1/(('Processing Factors'!$B$8:$B$29&lt;=Main!$C55)*('Processing Factors'!$C$8:$C$29=Main!FV55))))</f>
        <v>3.5999999999999997E-2</v>
      </c>
      <c r="GC55" s="320">
        <f t="array" ref="GC55">INDEX('Processing Factors'!$H$8:$H$29,MATCH(2,1/(('Processing Factors'!$B$8:$B$29&lt;=Main!$C55)*('Processing Factors'!$C$8:$C$29=Main!FV55))))</f>
        <v>12.15</v>
      </c>
      <c r="GD55" s="319">
        <f t="array" ref="GD55">INDEX('Processing Factors'!$I$8:$I$29,MATCH(2,1/(('Processing Factors'!$B$8:$B$29&lt;=Main!$C55)*('Processing Factors'!$C$8:$C$29=Main!FV55))))</f>
        <v>0</v>
      </c>
      <c r="GE55" s="321">
        <v>0.92</v>
      </c>
      <c r="GF55" s="320">
        <f t="array" ref="GF55">INDEX('Processing Factors'!$K$8:$K$29,MATCH(2,1/(('Processing Factors'!$B$8:$B$29&lt;=Main!$C55)*('Processing Factors'!$C$8:$C$29=Main!FV55))))</f>
        <v>3.5000000000000003E-2</v>
      </c>
      <c r="GG55" s="237"/>
      <c r="GH55" s="322">
        <f t="shared" ref="GH55:GH63" si="407">(FO55-FP55-FR55)*FY55+FP55+FR55</f>
        <v>0.47499999999999998</v>
      </c>
      <c r="GI55" s="322">
        <f t="shared" ref="GI55:GI63" si="408">FR55+GD55*(FQ55-FR55)</f>
        <v>3.5000000000000003E-2</v>
      </c>
      <c r="GJ55" s="322">
        <f t="shared" ref="GJ55:GJ63" si="409">GH55-FZ55*GI55</f>
        <v>0.43999999999999995</v>
      </c>
      <c r="GK55" s="320">
        <f t="shared" ref="GK55:GK63" si="410">1/GJ55/GE55</f>
        <v>2.4703557312252964</v>
      </c>
      <c r="GL55" s="323" t="e">
        <f ca="1">(FN55+FW55)*GK55</f>
        <v>#NAME?</v>
      </c>
      <c r="GM55" s="320">
        <f t="shared" ref="GM55:GM63" si="411">GI55*GA55*GK55+GF55</f>
        <v>0.11281620553359686</v>
      </c>
      <c r="GN55" s="323">
        <f>GM55*$IW55</f>
        <v>27.0755580506471</v>
      </c>
      <c r="GO55" s="323">
        <f>GC55*$IV55</f>
        <v>50.321396655852695</v>
      </c>
      <c r="GP55" s="323">
        <f>GB55*$IX55</f>
        <v>1.2197497818850218</v>
      </c>
      <c r="GQ55" s="320">
        <f t="shared" ref="GQ55:GQ63" si="412">(GK55-1+GM55+$CA55)</f>
        <v>1.6191719367588933</v>
      </c>
      <c r="GR55" s="323">
        <f>GQ55*$IY55</f>
        <v>6.8575854746389178</v>
      </c>
      <c r="GS55" s="323" t="e">
        <f t="shared" ref="GS55:GS63" ca="1" si="413">GL55+GN55+GO55+GP55+GR55</f>
        <v>#NAME?</v>
      </c>
      <c r="GT55" s="237"/>
      <c r="GU55" s="324" t="e">
        <f t="shared" ref="GU55:GU63" ca="1" si="414">($GS55-HZ55)/HR55-HD55</f>
        <v>#NAME?</v>
      </c>
      <c r="GV55" s="325">
        <f t="array" ref="GV55">INDEX('Indices Mines Exporting Ports'!E$20:E$51, MATCH(2,1/(('Indices Mines Exporting Ports'!$C$20:$C$51=$BC55)*('Indices Mines Exporting Ports'!$D$20:$D$51&lt;=$C55))))</f>
        <v>0.5</v>
      </c>
      <c r="GW55" s="325">
        <f t="array" ref="GW55">INDEX('Indices Mines Exporting Ports'!F$20:F$51, MATCH(2,1/(('Indices Mines Exporting Ports'!$C$20:$C$51=$BC55)*('Indices Mines Exporting Ports'!$D$20:$D$51&lt;=$C55))))</f>
        <v>0.45</v>
      </c>
      <c r="GX55" s="325">
        <f t="array" ref="GX55">INDEX('Indices Mines Exporting Ports'!G$20:G$51, MATCH(2,1/(('Indices Mines Exporting Ports'!$C$20:$C$51=$BC55)*('Indices Mines Exporting Ports'!$D$20:$D$51&lt;=$C55))))</f>
        <v>0.05</v>
      </c>
      <c r="GY55" s="325">
        <f t="array" ref="GY55">INDEX('Indices Mines Exporting Ports'!H$20:H$51, MATCH(2,1/(('Indices Mines Exporting Ports'!$C$20:$C$51=$BC55)*('Indices Mines Exporting Ports'!$D$20:$D$51&lt;=$C55))))</f>
        <v>0.05</v>
      </c>
      <c r="GZ55" s="325">
        <f t="array" ref="GZ55">INDEX('Indices Mines Exporting Ports'!I$20:I$51, MATCH(2,1/(('Indices Mines Exporting Ports'!$C$20:$C$51=$BC55)*('Indices Mines Exporting Ports'!$D$20:$D$51&lt;=$C55))))</f>
        <v>0</v>
      </c>
      <c r="HA55" s="325">
        <f t="array" ref="HA55">INDEX('Indices Mines Exporting Ports'!J$20:J$51, MATCH(2,1/(('Indices Mines Exporting Ports'!$C$20:$C$51=$BC55)*('Indices Mines Exporting Ports'!$D$20:$D$51&lt;=$C55))))</f>
        <v>0</v>
      </c>
      <c r="HB55" s="325">
        <f t="array" ref="HB55">INDEX('Indices Mines Exporting Ports'!K$20:K$51, MATCH(2,1/(('Indices Mines Exporting Ports'!$C$20:$C$51=$BC55)*('Indices Mines Exporting Ports'!$D$20:$D$51&lt;=$C55))))</f>
        <v>0.1</v>
      </c>
      <c r="HC55" s="326" t="str">
        <f t="array" ref="HC55">INDEX('Indices Mines Exporting Ports'!L$20:L$51, MATCH(2,1/(('Indices Mines Exporting Ports'!$C$20:$C$51=$BC55)*('Indices Mines Exporting Ports'!$D$20:$D$51&lt;=$C55))))</f>
        <v>LT</v>
      </c>
      <c r="HD55" s="262">
        <f t="array" ref="HD55">INDEX('Indices Mines Exporting Ports'!M$20:M$51, MATCH(2,1/(('Indices Mines Exporting Ports'!$C$20:$C$51=$BC55)*('Indices Mines Exporting Ports'!$D$20:$D$51&lt;=$C55))))</f>
        <v>0</v>
      </c>
      <c r="HE55" s="237"/>
      <c r="HF55" s="319">
        <f t="array" ref="HF55">INDEX('Processing Factors'!$D$8:$D$29,MATCH(2,1/(('Processing Factors'!$B$8:$B$29&lt;=Main!$C55)*('Processing Factors'!$C$8:$C$29=Main!HC55))))</f>
        <v>0</v>
      </c>
      <c r="HG55" s="320">
        <f t="array" ref="HG55">INDEX('Processing Factors'!$E$8:$E$29,MATCH(2,1/(('Processing Factors'!$B$8:$B$29&lt;=Main!$C55)*('Processing Factors'!$C$8:$C$29=Main!HC55))))</f>
        <v>1</v>
      </c>
      <c r="HH55" s="320">
        <f t="array" ref="HH55">INDEX('Processing Factors'!$F$8:$F$29,MATCH(2,1/(('Processing Factors'!$B$8:$B$29&lt;=Main!$C55)*('Processing Factors'!$C$8:$C$29=Main!HC55))))</f>
        <v>0.9</v>
      </c>
      <c r="HI55" s="320">
        <f t="array" ref="HI55">INDEX('Processing Factors'!$G$8:$G$29,MATCH(2,1/(('Processing Factors'!$B$8:$B$29&lt;=Main!$C55)*('Processing Factors'!$C$8:$C$29=Main!HC55))))</f>
        <v>3.5999999999999997E-2</v>
      </c>
      <c r="HJ55" s="320">
        <f t="array" ref="HJ55">INDEX('Processing Factors'!$H$8:$H$29,MATCH(2,1/(('Processing Factors'!$B$8:$B$29&lt;=Main!$C55)*('Processing Factors'!$C$8:$C$29=Main!HC55))))</f>
        <v>12.15</v>
      </c>
      <c r="HK55" s="319">
        <f t="array" ref="HK55">INDEX('Processing Factors'!$I$8:$I$29,MATCH(2,1/(('Processing Factors'!$B$8:$B$29&lt;=Main!$C55)*('Processing Factors'!$C$8:$C$29=Main!HC55))))</f>
        <v>0</v>
      </c>
      <c r="HL55" s="321">
        <v>0.92</v>
      </c>
      <c r="HM55" s="320">
        <f t="array" ref="HM55">INDEX('Processing Factors'!$K$8:$K$29,MATCH(2,1/(('Processing Factors'!$B$8:$B$29&lt;=Main!$C55)*('Processing Factors'!$C$8:$C$29=Main!HC55))))</f>
        <v>3.5000000000000003E-2</v>
      </c>
      <c r="HN55" s="237"/>
      <c r="HO55" s="322">
        <f t="shared" ref="HO55:HO63" si="415">(GV55-GW55-GY55)*HF55+GW55+GY55</f>
        <v>0.5</v>
      </c>
      <c r="HP55" s="322">
        <f t="shared" ref="HP55:HP63" si="416">GY55+HK55*(GX55-GY55)</f>
        <v>0.05</v>
      </c>
      <c r="HQ55" s="322">
        <f t="shared" ref="HQ55:HQ63" si="417">HO55-HG55*HP55</f>
        <v>0.45</v>
      </c>
      <c r="HR55" s="320">
        <f t="shared" ref="HR55:HR63" si="418">1/HQ55/HL55</f>
        <v>2.4154589371980677</v>
      </c>
      <c r="HS55" s="263">
        <v>0</v>
      </c>
      <c r="HT55" s="320">
        <f t="shared" ref="HT55:HT63" si="419">HP55*HH55*HR55+HM55</f>
        <v>0.14369565217391306</v>
      </c>
      <c r="HU55" s="323">
        <f>HT55*$IW55</f>
        <v>34.486534568845585</v>
      </c>
      <c r="HV55" s="323">
        <f>HJ55*$IV55</f>
        <v>50.321396655852695</v>
      </c>
      <c r="HW55" s="323">
        <f>HI55*$IX55</f>
        <v>1.2197497818850218</v>
      </c>
      <c r="HX55" s="320">
        <f t="shared" ref="HX55:HX63" si="420">(HR55-1+HT55+$CA55)</f>
        <v>1.5951545893719807</v>
      </c>
      <c r="HY55" s="323">
        <f>HX55*$IY55</f>
        <v>6.755866189095018</v>
      </c>
      <c r="HZ55" s="323">
        <f t="shared" ref="HZ55:HZ63" si="421">HS55+HU55+HV55+HW55+HY55</f>
        <v>92.783547195678324</v>
      </c>
      <c r="IB55" s="287" t="s">
        <v>39</v>
      </c>
      <c r="ID55" s="89" t="str">
        <f>AE55</f>
        <v>West Kalimantan Generic</v>
      </c>
      <c r="IE55" s="18">
        <f>$C55</f>
        <v>43934</v>
      </c>
      <c r="IF55" s="94">
        <f t="array" ref="IF55">INDEX('Indices Mines Exporting Ports'!E$20:E$51, MATCH(2,1/(('Indices Mines Exporting Ports'!$C$20:$C$51=$ID55)*('Indices Mines Exporting Ports'!$D$20:$D$51&lt;=$IE55))))</f>
        <v>0.48</v>
      </c>
      <c r="IG55" s="94">
        <f t="array" ref="IG55">INDEX('Indices Mines Exporting Ports'!F$20:F$51, MATCH(2,1/(('Indices Mines Exporting Ports'!$C$20:$C$51=$ID55)*('Indices Mines Exporting Ports'!$D$20:$D$51&lt;=$IE55))))</f>
        <v>0.44</v>
      </c>
      <c r="IH55" s="95">
        <f t="array" ref="IH55">INDEX('Indices Mines Exporting Ports'!G$20:G$51, MATCH(2,1/(('Indices Mines Exporting Ports'!$C$20:$C$51=$ID55)*('Indices Mines Exporting Ports'!$D$20:$D$51&lt;=$IE55))))</f>
        <v>0.08</v>
      </c>
      <c r="II55" s="95">
        <f t="array" ref="II55">INDEX('Indices Mines Exporting Ports'!H$20:H$51, MATCH(2,1/(('Indices Mines Exporting Ports'!$C$20:$C$51=$ID55)*('Indices Mines Exporting Ports'!$D$20:$D$51&lt;=$IE55))))</f>
        <v>3.5000000000000003E-2</v>
      </c>
      <c r="IJ55" s="95">
        <f t="array" ref="IJ55">INDEX('Indices Mines Exporting Ports'!I$20:I$51, MATCH(2,1/(('Indices Mines Exporting Ports'!$C$20:$C$51=$ID55)*('Indices Mines Exporting Ports'!$D$20:$D$51&lt;=$IE55))))</f>
        <v>4.4999999999999998E-2</v>
      </c>
      <c r="IK55" s="94">
        <f t="array" ref="IK55">INDEX('Indices Mines Exporting Ports'!J$20:J$51, MATCH(2,1/(('Indices Mines Exporting Ports'!$C$20:$C$51=$ID55)*('Indices Mines Exporting Ports'!$D$20:$D$51&lt;=$IE55))))</f>
        <v>5.0000000000000001E-3</v>
      </c>
      <c r="IL55" s="94">
        <f t="array" ref="IL55">INDEX('Indices Mines Exporting Ports'!K$20:K$51, MATCH(2,1/(('Indices Mines Exporting Ports'!$C$20:$C$51=$ID55)*('Indices Mines Exporting Ports'!$D$20:$D$51&lt;=$IE55))))</f>
        <v>0.15</v>
      </c>
      <c r="IM55" s="93" t="str">
        <f t="array" ref="IM55">INDEX('Indices Mines Exporting Ports'!L$20:L$51, MATCH(2,1/(('Indices Mines Exporting Ports'!$C$20:$C$51=$ID55)*('Indices Mines Exporting Ports'!$D$20:$D$51&lt;=$IE55))))</f>
        <v>LT</v>
      </c>
      <c r="IN55" s="101">
        <f t="array" ref="IN55">INDEX('Indices Mines Exporting Ports'!M$20:M$51, MATCH(2,1/(('Indices Mines Exporting Ports'!$C$20:$C$51=$ID55)*('Indices Mines Exporting Ports'!$D$20:$D$51&lt;=$IE55))))</f>
        <v>0.33</v>
      </c>
      <c r="IO55" s="96">
        <f t="array" ref="IO55">INDEX('Indices Mines Exporting Ports'!N$20:N$51, MATCH(2,1/(('Indices Mines Exporting Ports'!$C$20:$C$51=$ID55)*('Indices Mines Exporting Ports'!$D$20:$D$51&lt;=$IE55))))</f>
        <v>57000</v>
      </c>
      <c r="IP55" s="95" t="str">
        <f t="array" ref="IP55">INDEX('Indices Mines Exporting Ports'!Q$20:Q$51, MATCH(2,1/(('Indices Mines Exporting Ports'!$C$20:$C$51=$ID55)*('Indices Mines Exporting Ports'!$D$20:$D$51&lt;=$IE55))))</f>
        <v>West_Kal_Generic_Offshore</v>
      </c>
      <c r="IQ55" s="95" t="str">
        <f t="array" ref="IQ55">INDEX('Indices Mines Exporting Ports'!O$20:O$51, MATCH(2,1/(('Indices Mines Exporting Ports'!$C$20:$C$51=$ID55)*('Indices Mines Exporting Ports'!$D$20:$D$51&lt;=$IE55))))</f>
        <v>Indonesian LT</v>
      </c>
      <c r="IR55" s="95" t="str">
        <f t="array" ref="IR55">INDEX('Indices Mines Exporting Ports'!P$20:P$51, MATCH(2,1/(('Indices Mines Exporting Ports'!$C$20:$C$51=$ID55)*('Indices Mines Exporting Ports'!$D$20:$D$51&lt;=$IE55))))</f>
        <v>CBIX LT</v>
      </c>
      <c r="IT55" s="287" t="s">
        <v>39</v>
      </c>
      <c r="IV55" s="292">
        <f>VLOOKUP($C55,'China Price Series'!$C$10:$D$1009,2,TRUE)/$JA55/(VLOOKUP($C55,'China Price Series'!$C$10:$E$1009,3,TRUE)*$JG55/$JF55)</f>
        <v>4.1416787371072177</v>
      </c>
      <c r="IW55" s="292">
        <f>VLOOKUP($C55,'China Price Series'!$G$10:$H$1009,2,TRUE)/$JA55/(VLOOKUP($C55,'China Price Series'!$G$10:$I$1009,3,TRUE))</f>
        <v>239.99706356533991</v>
      </c>
      <c r="IX55" s="292">
        <f>VLOOKUP($C55,'China Price Series'!$K$10:$L$1009,2,TRUE)/$JA55</f>
        <v>33.881938385695051</v>
      </c>
      <c r="IY55" s="292">
        <f>VLOOKUP($C55,'China Price Series'!$N$10:$O$1009,2,TRUE)/$JA55</f>
        <v>4.2352422982118814</v>
      </c>
      <c r="JA55" s="277">
        <f t="array" ref="JA55">INDEX('FX rates'!E$10:E$1009,MATCH(2,1/(('FX rates'!$D$10:$D$1009&lt;=Main!$C55)*(NOT(ISBLANK('FX rates'!E$10:E$1009))))))</f>
        <v>7.0834199999999994</v>
      </c>
      <c r="JB55" s="277">
        <f t="array" ref="JB55">INDEX('FX rates'!F$10:F$1009,MATCH(2,1/(('FX rates'!$D$10:$D$1009&lt;=Main!$C55)*(NOT(ISBLANK('FX rates'!F$10:F$1009))))))</f>
        <v>0.61160022139928016</v>
      </c>
      <c r="JC55" s="277">
        <f t="array" ref="JC55">INDEX('FX rates'!G$10:G$1009,MATCH(2,1/(('FX rates'!$D$10:$D$1009&lt;=Main!$C55)*(NOT(ISBLANK('FX rates'!G$10:G$1009))))))</f>
        <v>1</v>
      </c>
      <c r="JD55" s="277">
        <f t="array" ref="JD55">INDEX('FX rates'!H$10:H$1009,MATCH(2,1/(('FX rates'!$D$10:$D$1009&lt;=Main!$C55)*(NOT(ISBLANK('FX rates'!H$10:H$1009))))))</f>
        <v>1.35</v>
      </c>
      <c r="JF55" s="111">
        <f t="array" ref="JF55">INDEX('Global factors'!C$5:C$23,MATCH(2,1/(('Global factors'!$B$5:$B$23&lt;=Main!$C55)*(NOT(ISBLANK('Global factors'!C$5:C$23))))))</f>
        <v>239000</v>
      </c>
      <c r="JG55" s="112">
        <f t="array" ref="JG55">INDEX('Global factors'!D$5:D$23,MATCH(2,1/(('Global factors'!$B$5:$B$23&lt;=Main!$C55)*(NOT(ISBLANK('Global factors'!D$5:D$23))))))</f>
        <v>1000</v>
      </c>
      <c r="JH55" s="112">
        <f t="array" ref="JH55">INDEX('Global factors'!E$5:E$23,MATCH(2,1/(('Global factors'!$B$5:$B$23&lt;=Main!$C55)*(NOT(ISBLANK('Global factors'!E$5:E$23))))))</f>
        <v>24</v>
      </c>
      <c r="JI55" s="112">
        <f t="array" ref="JI55">INDEX('Global factors'!F$5:F$23,MATCH(2,1/(('Global factors'!$B$5:$B$23&lt;=Main!$C55)*(NOT(ISBLANK('Global factors'!F$5:F$23))))))</f>
        <v>2</v>
      </c>
      <c r="JJ55" s="117">
        <f t="array" ref="JJ55">INDEX('Global factors'!G$5:G$23,MATCH(2,1/(('Global factors'!$B$5:$B$23&lt;=Main!$C55)*(NOT(ISBLANK('Global factors'!G$5:G$23))))))</f>
        <v>0.08</v>
      </c>
      <c r="JK55" s="113">
        <f t="array" ref="JK55">INDEX('Global factors'!H$5:H$23,MATCH(2,1/(('Global factors'!$B$5:$B$23&lt;=Main!$C55)*(NOT(ISBLANK('Global factors'!H$5:H$23))))))</f>
        <v>101.96</v>
      </c>
      <c r="JL55" s="113">
        <f t="array" ref="JL55">INDEX('Global factors'!I$5:I$23,MATCH(2,1/(('Global factors'!$B$5:$B$23&lt;=Main!$C55)*(NOT(ISBLANK('Global factors'!I$5:I$23))))))</f>
        <v>60.08</v>
      </c>
      <c r="JM55" s="114">
        <f t="array" ref="JM55">INDEX('Global factors'!J$5:J$23,MATCH(2,1/(('Global factors'!$B$5:$B$23&lt;=Main!$C55)*(NOT(ISBLANK('Global factors'!J$5:J$23))))))</f>
        <v>0.84853528628495334</v>
      </c>
      <c r="JN55" s="115">
        <f t="array" ref="JN55">INDEX('Global factors'!K$5:K$23,MATCH(2,1/(('Global factors'!$B$5:$B$23&lt;=Main!$C55)*(NOT(ISBLANK('Global factors'!K$5:K$23))))))</f>
        <v>0.97499999999999998</v>
      </c>
      <c r="JO55" s="116">
        <f t="array" ref="JO55">INDEX('Global factors'!L$5:L$23,MATCH(2,1/(('Global factors'!$B$5:$B$23&lt;=Main!$C55)*(NOT(ISBLANK('Global factors'!L$5:L$23))))))</f>
        <v>8.7299999999999997E-4</v>
      </c>
      <c r="JP55" s="116">
        <f t="array" ref="JP55">INDEX('Global factors'!M$5:M$23,MATCH(2,1/(('Global factors'!$B$5:$B$23&lt;=Main!$C55)*(NOT(ISBLANK('Global factors'!M$5:M$23))))))</f>
        <v>145.88999999999999</v>
      </c>
      <c r="JQ55" s="116">
        <f t="array" ref="JQ55">INDEX('Global factors'!N$5:N$23,MATCH(2,1/(('Global factors'!$B$5:$B$23&lt;=Main!$C55)*(NOT(ISBLANK('Global factors'!N$5:N$23))))))</f>
        <v>0.40339999999999998</v>
      </c>
      <c r="JR55" s="116">
        <f t="array" ref="JR55">INDEX('Global factors'!O$5:O$23,MATCH(2,1/(('Global factors'!$B$5:$B$23&lt;=Main!$C55)*(NOT(ISBLANK('Global factors'!O$5:O$23))))))</f>
        <v>0</v>
      </c>
      <c r="JS55" s="116">
        <f t="array" ref="JS55">INDEX('Global factors'!P$5:P$23,MATCH(2,1/(('Global factors'!$B$5:$B$23&lt;=Main!$C55)*(NOT(ISBLANK('Global factors'!P$5:P$23))))))</f>
        <v>0.51890000000000003</v>
      </c>
      <c r="JT55" s="116">
        <f t="array" ref="JT55">INDEX('Global factors'!Q$5:Q$23,MATCH(2,1/(('Global factors'!$B$5:$B$23&lt;=Main!$C55)*(NOT(ISBLANK('Global factors'!Q$5:Q$23))))))</f>
        <v>4797</v>
      </c>
      <c r="JU55" s="116">
        <f t="array" ref="JU55">INDEX('Global factors'!R$5:R$23,MATCH(2,1/(('Global factors'!$B$5:$B$23&lt;=Main!$C55)*(NOT(ISBLANK('Global factors'!R$5:R$23))))))</f>
        <v>7</v>
      </c>
      <c r="JV55" s="115">
        <f t="array" ref="JV55">INDEX('Global factors'!S$5:S$23,MATCH(2,1/(('Global factors'!$B$5:$B$23&lt;=Main!$C55)*(NOT(ISBLANK('Global factors'!S$5:S$23))))))</f>
        <v>0.12</v>
      </c>
      <c r="JW55" s="115">
        <f t="array" ref="JW55">INDEX('Global factors'!T$5:T$23,MATCH(2,1/(('Global factors'!$B$5:$B$23&lt;=Main!$C55)*(NOT(ISBLANK('Global factors'!T$5:T$23))))))</f>
        <v>0.5</v>
      </c>
      <c r="JX55" s="116">
        <f t="array" ref="JX55">INDEX('Global factors'!U$5:U$23,MATCH(2,1/(('Global factors'!$B$5:$B$23&lt;=Main!$C55)*(NOT(ISBLANK('Global factors'!U$5:U$23))))))</f>
        <v>0.5</v>
      </c>
      <c r="JY55" s="116">
        <f t="array" ref="JY55">INDEX('Global factors'!V$5:V$23,MATCH(2,1/(('Global factors'!$B$5:$B$23&lt;=Main!$C55)*(NOT(ISBLANK('Global factors'!V$5:V$23))))))</f>
        <v>10000</v>
      </c>
      <c r="JZ55" s="116">
        <f t="array" ref="JZ55">INDEX('Global factors'!W$5:W$23,MATCH(2,1/(('Global factors'!$B$5:$B$23&lt;=Main!$C55)*(NOT(ISBLANK('Global factors'!W$5:W$23))))))</f>
        <v>0.10680000000000001</v>
      </c>
      <c r="KA55" s="116">
        <f t="array" ref="KA55">INDEX('Global factors'!X$5:X$23,MATCH(2,1/(('Global factors'!$B$5:$B$23&lt;=Main!$C55)*(NOT(ISBLANK('Global factors'!X$5:X$23))))))</f>
        <v>1.2</v>
      </c>
      <c r="KB55" s="116">
        <v>0</v>
      </c>
      <c r="KC55" s="272">
        <f t="array" ref="KC55">INDEX('Global factors'!Y$5:Y$23,MATCH(2,1/(('Global factors'!$B$5:$B$23&lt;=Main!$C55)*(NOT(ISBLANK('Global factors'!Y$5:Y$23))))))</f>
        <v>23643.7088248818</v>
      </c>
      <c r="KD55" s="273">
        <f t="array" ref="KD55">INDEX('Global factors'!Z$5:Z$23,MATCH(2,1/(('Global factors'!$B$5:$B$23&lt;=Main!$C55)*(NOT(ISBLANK('Global factors'!Z$5:Z$23))))))</f>
        <v>0.62802869915581405</v>
      </c>
      <c r="KE55" s="273">
        <v>0</v>
      </c>
      <c r="KF55" s="273">
        <v>0</v>
      </c>
      <c r="KG55" s="116">
        <v>0</v>
      </c>
      <c r="KH55" s="116">
        <f t="array" ref="KH55">INDEX('Global factors'!AB$5:AB$23,MATCH(2,1/(('Global factors'!$B$5:$B$23&lt;=Main!$C55)*(NOT(ISBLANK('Global factors'!AB$5:AB$23))))))</f>
        <v>6.2556361557795204E-2</v>
      </c>
      <c r="KI55" s="116">
        <f t="array" ref="KI55">INDEX('Global factors'!AC$5:AC$23,MATCH(2,1/(('Global factors'!$B$5:$B$23&lt;=Main!$C55)*(NOT(ISBLANK('Global factors'!AC$5:AC$23))))))</f>
        <v>8.6923129044225601E-4</v>
      </c>
      <c r="KJ55" s="116">
        <f t="array" ref="KJ55">INDEX('Global factors'!AD$5:AD$23,MATCH(2,1/(('Global factors'!$B$5:$B$23&lt;=Main!$C55)*(NOT(ISBLANK('Global factors'!AD$5:AD$23))))))</f>
        <v>1.1499999999999999</v>
      </c>
      <c r="KK55" s="116" t="str">
        <f t="array" ref="KK55">INDEX('Global factors'!AE$5:AE$23,MATCH(2,1/(('Global factors'!$B$5:$B$23&lt;=Main!$C55)*(NOT(ISBLANK('Global factors'!AE$5:AE$23))))))</f>
        <v>Qingdao</v>
      </c>
      <c r="KL55" s="290">
        <f t="array" ref="KL55">INDEX('Global factors'!AF$5:AF$23,MATCH(2,1/(('Global factors'!$B$5:$B$23&lt;=Main!$C55)*(NOT(ISBLANK('Global factors'!AF$5:AF$23))))))</f>
        <v>3.0000000000000001E-3</v>
      </c>
      <c r="KM55" s="290"/>
      <c r="KO55" s="287" t="s">
        <v>39</v>
      </c>
      <c r="KQ55" s="25">
        <f>IF($AO55="no",$AN55,$AR55)/(1-$AL55)/$JN55</f>
        <v>92911.010558069393</v>
      </c>
      <c r="KR55" s="4" t="str">
        <f>VLOOKUP(KQ55,'Ship Time Charter Rates'!$F$10:$G$17,2,TRUE)</f>
        <v>Panamax</v>
      </c>
      <c r="KS55" s="4" t="str">
        <f>VLOOKUP(KQ55,Canals!$E$5:$F$12,2,TRUE)</f>
        <v>Panamax</v>
      </c>
      <c r="KT55" s="25">
        <f>(KQ55*$JO55 + $JP55)</f>
        <v>227.00131221719457</v>
      </c>
      <c r="KU55" s="25">
        <f>(KQ55*$JQ55+$JR55)</f>
        <v>37480.301659125194</v>
      </c>
      <c r="KV55" s="25">
        <f>(KQ55*$JS55+$JT55)</f>
        <v>53008.523378582213</v>
      </c>
      <c r="KX55" s="75">
        <f t="array" ref="KX55">INDEX('Indices Mines Exporting Ports'!$R$20:$R$51,MATCH(2,1/(('Indices Mines Exporting Ports'!$D$20:$D$51&lt;=Main!$C55)*('Indices Mines Exporting Ports'!$Q$20:$Q$51=$AP55))))</f>
        <v>15000</v>
      </c>
      <c r="KY55" s="75">
        <f t="array" ref="KY55">INDEX('Indices Mines Exporting Ports'!$S$20:$S$51,MATCH(2,1/(('Indices Mines Exporting Ports'!$D$20:$D$51&lt;=Main!$C55)*('Indices Mines Exporting Ports'!$Q$20:$Q$51=$AP55))))</f>
        <v>15000</v>
      </c>
      <c r="KZ55" s="75">
        <f t="array" ref="KZ55">INDEX('Indices Mines Exporting Ports'!$T$20:$T$51,MATCH(2,1/(('Indices Mines Exporting Ports'!$D$20:$D$51&lt;=Main!$C55)*('Indices Mines Exporting Ports'!$Q$20:$Q$51=$AP55))))</f>
        <v>15000</v>
      </c>
      <c r="LA55" s="75">
        <f t="array" ref="LA55">INDEX('Indices Mines Exporting Ports'!$U$20:$U$51,MATCH(2,1/(('Indices Mines Exporting Ports'!$D$20:$D$51&lt;=Main!$C55)*('Indices Mines Exporting Ports'!$Q$20:$Q$51=$AP55))))</f>
        <v>15000</v>
      </c>
      <c r="LB55" s="75">
        <f t="array" ref="LB55">INDEX('Indices Mines Exporting Ports'!$V$20:$V$51,MATCH(2,1/(('Indices Mines Exporting Ports'!$D$20:$D$51&lt;=Main!$C55)*('Indices Mines Exporting Ports'!$Q$20:$Q$51=$AP55))))</f>
        <v>15000</v>
      </c>
      <c r="LC55" s="75">
        <f t="array" ref="LC55">INDEX('Indices Mines Exporting Ports'!$W$20:$W$51,MATCH(2,1/(('Indices Mines Exporting Ports'!$D$20:$D$51&lt;=Main!$C55)*('Indices Mines Exporting Ports'!$Q$20:$Q$51=$AP55))))</f>
        <v>15000</v>
      </c>
      <c r="LD55" s="75">
        <f t="array" ref="LD55">INDEX('Indices Mines Exporting Ports'!$X$20:$X$51,MATCH(2,1/(('Indices Mines Exporting Ports'!$D$20:$D$51&lt;=Main!$C55)*('Indices Mines Exporting Ports'!$Q$20:$Q$51=$AP55))))</f>
        <v>15000</v>
      </c>
      <c r="LF55" s="75">
        <f t="array" ref="LF55">INDEX('Port Linkages'!$E$18:$E$157,MATCH(2,1/(('Port Linkages'!$C$18:$C$157=$AP55)*('Port Linkages'!$D$18:$D$157=IF($AO55="Yes",$AQ55,$AS55))*('Port Linkages'!$A$18:$A$157&lt;=$C55))))</f>
        <v>2326</v>
      </c>
      <c r="LG55" s="75">
        <f t="array" ref="LG55">INDEX('Port Linkages'!$F$18:$F$157,MATCH(2,1/(('Port Linkages'!$C$18:$C$157=$AP55)*('Port Linkages'!$D$18:$D$157=IF($AO55="Yes",$AQ55,$AS55))*('Port Linkages'!$A$18:$A$157&lt;=$C55))))</f>
        <v>0</v>
      </c>
      <c r="LH55" s="75" t="str">
        <f t="array" ref="LH55">INDEX('Port Linkages'!$G$18:$G$157,MATCH(2,1/(('Port Linkages'!$C$18:$C$157=$AP55)*('Port Linkages'!$D$18:$D$157=IF($AO55="Yes",$AQ55,$AS55))*('Port Linkages'!$A$18:$A$157&lt;=$C55))))</f>
        <v>VLOC_General</v>
      </c>
      <c r="LI55" s="75" t="str">
        <f t="array" ref="LI55">INDEX('Port Linkages'!$H$18:$H$157,MATCH(2,1/(('Port Linkages'!$C$18:$C$157=$AP55)*('Port Linkages'!$D$18:$D$157=IF($AO55="Yes",$AQ55,$AS55))*('Port Linkages'!$A$18:$A$157&lt;=$C55))))</f>
        <v>Singapore</v>
      </c>
      <c r="LJ55" s="75" t="str">
        <f t="array" ref="LJ55">INDEX('Port Linkages'!$I$18:$I$157,MATCH(2,1/(('Port Linkages'!$C$18:$C$157=$AP55)*('Port Linkages'!$D$18:$D$157=IF($AO55="Yes",$AQ55,$AS55))*('Port Linkages'!$A$18:$A$157&lt;=$C55))))</f>
        <v>VLSFO</v>
      </c>
      <c r="LK55" s="75" t="str">
        <f t="array" ref="LK55">INDEX('Port Linkages'!$J$18:$J$157,MATCH(2,1/(('Port Linkages'!$C$18:$C$157=$AP55)*('Port Linkages'!$D$18:$D$157=IF($AO55="Yes",$AQ55,$AS55))*('Port Linkages'!$A$18:$A$157&lt;=$C55))))</f>
        <v>MGO_Regular</v>
      </c>
      <c r="LL55" s="75" t="str">
        <f t="array" ref="LL55">INDEX('Port Linkages'!$K$18:$K$157,MATCH(2,1/(('Port Linkages'!$C$18:$C$157=$AP55)*('Port Linkages'!$D$18:$D$157=IF($AO55="Yes",$AQ55,$AS55))*('Port Linkages'!$A$18:$A$157&lt;=$C55))))</f>
        <v>none</v>
      </c>
      <c r="LM55" s="75">
        <f t="array" ref="LM55">INDEX('Port Linkages'!$L$18:$L$157,MATCH(2,1/(('Port Linkages'!$C$18:$C$157=$AP55)*('Port Linkages'!$D$18:$D$157=IF($AO55="Yes",$AQ55,$AS55))*('Port Linkages'!$A$18:$A$157&lt;=$C55))))</f>
        <v>2326</v>
      </c>
      <c r="LN55" s="75">
        <f t="array" ref="LN55">INDEX('Port Linkages'!$M$18:$M$157,MATCH(2,1/(('Port Linkages'!$C$18:$C$157=$AP55)*('Port Linkages'!$D$18:$D$157=IF($AO55="Yes",$AQ55,$AS55))*('Port Linkages'!$A$18:$A$157&lt;=$C55))))</f>
        <v>0</v>
      </c>
      <c r="LO55" s="75" t="str">
        <f t="array" ref="LO55">INDEX('Port Linkages'!$N$18:$N$157,MATCH(2,1/(('Port Linkages'!$C$18:$C$157=$AP55)*('Port Linkages'!$D$18:$D$157=IF($AO55="Yes",$AQ55,$AS55))*('Port Linkages'!$A$18:$A$157&lt;=$C55))))</f>
        <v>Capesize_General</v>
      </c>
      <c r="LP55" s="75" t="str">
        <f t="array" ref="LP55">INDEX('Port Linkages'!$O$18:$O$157,MATCH(2,1/(('Port Linkages'!$C$18:$C$157=$AP55)*('Port Linkages'!$D$18:$D$157=IF($AO55="Yes",$AQ55,$AS55))*('Port Linkages'!$A$18:$A$157&lt;=$C55))))</f>
        <v>Singapore</v>
      </c>
      <c r="LQ55" s="75" t="str">
        <f t="array" ref="LQ55">INDEX('Port Linkages'!$P$18:$P$157,MATCH(2,1/(('Port Linkages'!$C$18:$C$157=$AP55)*('Port Linkages'!$D$18:$D$157=IF($AO55="Yes",$AQ55,$AS55))*('Port Linkages'!$A$18:$A$157&lt;=$C55))))</f>
        <v>VLSFO</v>
      </c>
      <c r="LR55" s="75" t="str">
        <f t="array" ref="LR55">INDEX('Port Linkages'!$Q$18:$Q$157,MATCH(2,1/(('Port Linkages'!$C$18:$C$157=$AP55)*('Port Linkages'!$D$18:$D$157=IF($AO55="Yes",$AQ55,$AS55))*('Port Linkages'!$A$18:$A$157&lt;=$C55))))</f>
        <v>MGO_Regular</v>
      </c>
      <c r="LS55" s="75" t="str">
        <f t="array" ref="LS55">INDEX('Port Linkages'!$R$18:$R$157,MATCH(2,1/(('Port Linkages'!$C$18:$C$157=$AP55)*('Port Linkages'!$D$18:$D$157=IF($AO55="Yes",$AQ55,$AS55))*('Port Linkages'!$A$18:$A$157&lt;=$C55))))</f>
        <v>none</v>
      </c>
      <c r="LT55" s="75">
        <f t="array" ref="LT55">INDEX('Port Linkages'!$S$18:$S$157,MATCH(2,1/(('Port Linkages'!$C$18:$C$157=$AP55)*('Port Linkages'!$D$18:$D$157=IF($AO55="Yes",$AQ55,$AS55))*('Port Linkages'!$A$18:$A$157&lt;=$C55))))</f>
        <v>2326</v>
      </c>
      <c r="LU55" s="75">
        <f t="array" ref="LU55">INDEX('Port Linkages'!$T$18:$T$157,MATCH(2,1/(('Port Linkages'!$C$18:$C$157=$AP55)*('Port Linkages'!$D$18:$D$157=IF($AO55="Yes",$AQ55,$AS55))*('Port Linkages'!$A$18:$A$157&lt;=$C55))))</f>
        <v>0</v>
      </c>
      <c r="LV55" s="75" t="str">
        <f t="array" ref="LV55">INDEX('Port Linkages'!$U$18:$U$157,MATCH(2,1/(('Port Linkages'!$C$18:$C$157=$AP55)*('Port Linkages'!$D$18:$D$157=IF($AO55="Yes",$AQ55,$AS55))*('Port Linkages'!$A$18:$A$157&lt;=$C55))))</f>
        <v>Capesize_General</v>
      </c>
      <c r="LW55" s="75" t="str">
        <f t="array" ref="LW55">INDEX('Port Linkages'!$V$18:$V$157,MATCH(2,1/(('Port Linkages'!$C$18:$C$157=$AP55)*('Port Linkages'!$D$18:$D$157=IF($AO55="Yes",$AQ55,$AS55))*('Port Linkages'!$A$18:$A$157&lt;=$C55))))</f>
        <v>Singapore</v>
      </c>
      <c r="LX55" s="75" t="str">
        <f t="array" ref="LX55">INDEX('Port Linkages'!$W$18:$W$157,MATCH(2,1/(('Port Linkages'!$C$18:$C$157=$AP55)*('Port Linkages'!$D$18:$D$157=IF($AO55="Yes",$AQ55,$AS55))*('Port Linkages'!$A$18:$A$157&lt;=$C55))))</f>
        <v>VLSFO</v>
      </c>
      <c r="LY55" s="75" t="str">
        <f t="array" ref="LY55">INDEX('Port Linkages'!$X$18:$X$157,MATCH(2,1/(('Port Linkages'!$C$18:$C$157=$AP55)*('Port Linkages'!$D$18:$D$157=IF($AO55="Yes",$AQ55,$AS55))*('Port Linkages'!$A$18:$A$157&lt;=$C55))))</f>
        <v>MGO_Regular</v>
      </c>
      <c r="LZ55" s="75" t="str">
        <f t="array" ref="LZ55">INDEX('Port Linkages'!$Y$18:$Y$157,MATCH(2,1/(('Port Linkages'!$C$18:$C$157=$AP55)*('Port Linkages'!$D$18:$D$157=IF($AO55="Yes",$AQ55,$AS55))*('Port Linkages'!$A$18:$A$157&lt;=$C55))))</f>
        <v>none</v>
      </c>
      <c r="MA55" s="75">
        <f t="array" ref="MA55">INDEX('Port Linkages'!$Z$18:$Z$157,MATCH(2,1/(('Port Linkages'!$C$18:$C$157=$AP55)*('Port Linkages'!$D$18:$D$157=IF($AO55="Yes",$AQ55,$AS55))*('Port Linkages'!$A$18:$A$157&lt;=$C55))))</f>
        <v>2326</v>
      </c>
      <c r="MB55" s="75">
        <f t="array" ref="MB55">INDEX('Port Linkages'!$AA$18:$AA$157,MATCH(2,1/(('Port Linkages'!$C$18:$C$157=$AP55)*('Port Linkages'!$D$18:$D$157=IF($AO55="Yes",$AQ55,$AS55))*('Port Linkages'!$A$18:$A$157&lt;=$C55))))</f>
        <v>0</v>
      </c>
      <c r="MC55" s="75" t="str">
        <f t="array" ref="MC55">INDEX('Port Linkages'!$AB$18:$AB$157,MATCH(2,1/(('Port Linkages'!$C$18:$C$157=$AP55)*('Port Linkages'!$D$18:$D$157=IF($AO55="Yes",$AQ55,$AS55))*('Port Linkages'!$A$18:$A$157&lt;=$C55))))</f>
        <v>Capesize_General</v>
      </c>
      <c r="MD55" s="75" t="str">
        <f t="array" ref="MD55">INDEX('Port Linkages'!$AC$18:$AC$157,MATCH(2,1/(('Port Linkages'!$C$18:$C$157=$AP55)*('Port Linkages'!$D$18:$D$157=IF($AO55="Yes",$AQ55,$AS55))*('Port Linkages'!$A$18:$A$157&lt;=$C55))))</f>
        <v>Singapore</v>
      </c>
      <c r="ME55" s="75" t="str">
        <f t="array" ref="ME55">INDEX('Port Linkages'!$AD$18:$AD$157,MATCH(2,1/(('Port Linkages'!$C$18:$C$157=$AP55)*('Port Linkages'!$D$18:$D$157=IF($AO55="Yes",$AQ55,$AS55))*('Port Linkages'!$A$18:$A$157&lt;=$C55))))</f>
        <v>VLSFO</v>
      </c>
      <c r="MF55" s="75" t="str">
        <f t="array" ref="MF55">INDEX('Port Linkages'!$AE$18:$AE$157,MATCH(2,1/(('Port Linkages'!$C$18:$C$157=$AP55)*('Port Linkages'!$D$18:$D$157=IF($AO55="Yes",$AQ55,$AS55))*('Port Linkages'!$A$18:$A$157&lt;=$C55))))</f>
        <v>MGO_Regular</v>
      </c>
      <c r="MG55" s="75" t="str">
        <f t="array" ref="MG55">INDEX('Port Linkages'!$AF$18:$AF$157,MATCH(2,1/(('Port Linkages'!$C$18:$C$157=$AP55)*('Port Linkages'!$D$18:$D$157=IF($AO55="Yes",$AQ55,$AS55))*('Port Linkages'!$A$18:$A$157&lt;=$C55))))</f>
        <v>none</v>
      </c>
      <c r="MH55" s="75">
        <f t="array" ref="MH55">INDEX('Port Linkages'!$AG$18:$AG$157,MATCH(2,1/(('Port Linkages'!$C$18:$C$157=$AP55)*('Port Linkages'!$D$18:$D$157=IF($AO55="Yes",$AQ55,$AS55))*('Port Linkages'!$A$18:$A$157&lt;=$C55))))</f>
        <v>2326</v>
      </c>
      <c r="MI55" s="75">
        <f t="array" ref="MI55">INDEX('Port Linkages'!$AH$18:$AH$157,MATCH(2,1/(('Port Linkages'!$C$18:$C$157=$AP55)*('Port Linkages'!$D$18:$D$157=IF($AO55="Yes",$AQ55,$AS55))*('Port Linkages'!$A$18:$A$157&lt;=$C55))))</f>
        <v>0</v>
      </c>
      <c r="MJ55" s="75" t="str">
        <f t="array" ref="MJ55">INDEX('Port Linkages'!$AI$18:$AI$157,MATCH(2,1/(('Port Linkages'!$C$18:$C$157=$AP55)*('Port Linkages'!$D$18:$D$157=IF($AO55="Yes",$AQ55,$AS55))*('Port Linkages'!$A$18:$A$157&lt;=$C55))))</f>
        <v>Panamax_General</v>
      </c>
      <c r="MK55" s="75" t="str">
        <f t="array" ref="MK55">INDEX('Port Linkages'!$AJ$18:$AJ$157,MATCH(2,1/(('Port Linkages'!$C$18:$C$157=$AP55)*('Port Linkages'!$D$18:$D$157=IF($AO55="Yes",$AQ55,$AS55))*('Port Linkages'!$A$18:$A$157&lt;=$C55))))</f>
        <v>Singapore</v>
      </c>
      <c r="ML55" s="75" t="str">
        <f t="array" ref="ML55">INDEX('Port Linkages'!$AK$18:$AK$157,MATCH(2,1/(('Port Linkages'!$C$18:$C$157=$AP55)*('Port Linkages'!$D$18:$D$157=IF($AO55="Yes",$AQ55,$AS55))*('Port Linkages'!$A$18:$A$157&lt;=$C55))))</f>
        <v>VLSFO</v>
      </c>
      <c r="MM55" s="75" t="str">
        <f t="array" ref="MM55">INDEX('Port Linkages'!$AL$18:$AL$157,MATCH(2,1/(('Port Linkages'!$C$18:$C$157=$AP55)*('Port Linkages'!$D$18:$D$157=IF($AO55="Yes",$AQ55,$AS55))*('Port Linkages'!$A$18:$A$157&lt;=$C55))))</f>
        <v>MGO_Regular</v>
      </c>
      <c r="MN55" s="75" t="str">
        <f t="array" ref="MN55">INDEX('Port Linkages'!$AM$18:$AM$157,MATCH(2,1/(('Port Linkages'!$C$18:$C$157=$AP55)*('Port Linkages'!$D$18:$D$157=IF($AO55="Yes",$AQ55,$AS55))*('Port Linkages'!$A$18:$A$157&lt;=$C55))))</f>
        <v>none</v>
      </c>
      <c r="MO55" s="75">
        <f t="array" ref="MO55">INDEX('Port Linkages'!$AN$18:$AN$157,MATCH(2,1/(('Port Linkages'!$C$18:$C$157=$AP55)*('Port Linkages'!$D$18:$D$157=IF($AO55="Yes",$AQ55,$AS55))*('Port Linkages'!$A$18:$A$157&lt;=$C55))))</f>
        <v>2326</v>
      </c>
      <c r="MP55" s="75">
        <f t="array" ref="MP55">INDEX('Port Linkages'!$AO$18:$AO$157,MATCH(2,1/(('Port Linkages'!$C$18:$C$157=$AP55)*('Port Linkages'!$D$18:$D$157=IF($AO55="Yes",$AQ55,$AS55))*('Port Linkages'!$A$18:$A$157&lt;=$C55))))</f>
        <v>0</v>
      </c>
      <c r="MQ55" s="75" t="str">
        <f t="array" ref="MQ55">INDEX('Port Linkages'!$AP$18:$AP$157,MATCH(2,1/(('Port Linkages'!$C$18:$C$157=$AP55)*('Port Linkages'!$D$18:$D$157=IF($AO55="Yes",$AQ55,$AS55))*('Port Linkages'!$A$18:$A$157&lt;=$C55))))</f>
        <v>Supramax_General</v>
      </c>
      <c r="MR55" s="75" t="str">
        <f t="array" ref="MR55">INDEX('Port Linkages'!$AQ$18:$AQ$157,MATCH(2,1/(('Port Linkages'!$C$18:$C$157=$AP55)*('Port Linkages'!$D$18:$D$157=IF($AO55="Yes",$AQ55,$AS55))*('Port Linkages'!$A$18:$A$157&lt;=$C55))))</f>
        <v>Singapore</v>
      </c>
      <c r="MS55" s="75" t="str">
        <f t="array" ref="MS55">INDEX('Port Linkages'!$AR$18:$AR$157,MATCH(2,1/(('Port Linkages'!$C$18:$C$157=$AP55)*('Port Linkages'!$D$18:$D$157=IF($AO55="Yes",$AQ55,$AS55))*('Port Linkages'!$A$18:$A$157&lt;=$C55))))</f>
        <v>VLSFO</v>
      </c>
      <c r="MT55" s="75" t="str">
        <f t="array" ref="MT55">INDEX('Port Linkages'!$AS$18:$AS$157,MATCH(2,1/(('Port Linkages'!$C$18:$C$157=$AP55)*('Port Linkages'!$D$18:$D$157=IF($AO55="Yes",$AQ55,$AS55))*('Port Linkages'!$A$18:$A$157&lt;=$C55))))</f>
        <v>MGO_Regular</v>
      </c>
      <c r="MU55" s="75" t="str">
        <f t="array" ref="MU55">INDEX('Port Linkages'!$AT$18:$AT$157,MATCH(2,1/(('Port Linkages'!$C$18:$C$157=$AP55)*('Port Linkages'!$D$18:$D$157=IF($AO55="Yes",$AQ55,$AS55))*('Port Linkages'!$A$18:$A$157&lt;=$C55))))</f>
        <v>none</v>
      </c>
      <c r="MV55" s="75">
        <f t="array" ref="MV55">INDEX('Port Linkages'!$AU$18:$AU$157,MATCH(2,1/(('Port Linkages'!$C$18:$C$157=$AP55)*('Port Linkages'!$D$18:$D$157=IF($AO55="Yes",$AQ55,$AS55))*('Port Linkages'!$A$18:$A$157&lt;=$C55))))</f>
        <v>2326</v>
      </c>
      <c r="MW55" s="75">
        <f t="array" ref="MW55">INDEX('Port Linkages'!$AV$18:$AV$157,MATCH(2,1/(('Port Linkages'!$C$18:$C$157=$AP55)*('Port Linkages'!$D$18:$D$157=IF($AO55="Yes",$AQ55,$AS55))*('Port Linkages'!$A$18:$A$157&lt;=$C55))))</f>
        <v>0</v>
      </c>
      <c r="MX55" s="75" t="str">
        <f t="array" ref="MX55">INDEX('Port Linkages'!$AW$18:$AW$157,MATCH(2,1/(('Port Linkages'!$C$18:$C$157=$AP55)*('Port Linkages'!$D$18:$D$157=IF($AO55="Yes",$AQ55,$AS55))*('Port Linkages'!$A$18:$A$157&lt;=$C55))))</f>
        <v>Handysize_General</v>
      </c>
      <c r="MY55" s="75" t="str">
        <f t="array" ref="MY55">INDEX('Port Linkages'!$AX$18:$AX$157,MATCH(2,1/(('Port Linkages'!$C$18:$C$157=$AP55)*('Port Linkages'!$D$18:$D$157=IF($AO55="Yes",$AQ55,$AS55))*('Port Linkages'!$A$18:$A$157&lt;=$C55))))</f>
        <v>Singapore</v>
      </c>
      <c r="MZ55" s="75" t="str">
        <f t="array" ref="MZ55">INDEX('Port Linkages'!$AY$18:$AY$157,MATCH(2,1/(('Port Linkages'!$C$18:$C$157=$AP55)*('Port Linkages'!$D$18:$D$157=IF($AO55="Yes",$AQ55,$AS55))*('Port Linkages'!$A$18:$A$157&lt;=$C55))))</f>
        <v>VLSFO</v>
      </c>
      <c r="NA55" s="75" t="str">
        <f t="array" ref="NA55">INDEX('Port Linkages'!$AZ$18:$AZ$157,MATCH(2,1/(('Port Linkages'!$C$18:$C$157=$AP55)*('Port Linkages'!$D$18:$D$157=IF($AO55="Yes",$AQ55,$AS55))*('Port Linkages'!$A$18:$A$157&lt;=$C55))))</f>
        <v>MGO_Regular</v>
      </c>
      <c r="NB55" s="75" t="str">
        <f t="array" ref="NB55">INDEX('Port Linkages'!$BA$18:$BA$157,MATCH(2,1/(('Port Linkages'!$C$18:$C$157=$AP55)*('Port Linkages'!$D$18:$D$157=IF($AO55="Yes",$AQ55,$AS55))*('Port Linkages'!$A$18:$A$157&lt;=$C55))))</f>
        <v>none</v>
      </c>
      <c r="ND55" s="25" t="e">
        <f t="array" aca="1" ref="ND55" ca="1">INDEX('Ship Fuel Prices'!$F$5:$F$1004,MATCH(2,1/(('Ship Fuel Prices'!$E$5:$E$1004=_xlfn.IFS(KS55="Handysize",Main!MY55,KS55="Supramax",MR55,KS55="Panamax",MK55,KS55="NeoPanamax",MD55,KS55="Suezmax",LW55,KS55="Capesize",LP55,KS55="VLOC",LI55))*('Ship Fuel Prices'!$D$5:$D$1004&lt;=Main!$C55))))</f>
        <v>#N/A</v>
      </c>
      <c r="NE55" s="25" t="e">
        <f t="array" aca="1" ref="NE55" ca="1">INDEX('Ship Fuel Prices'!$G$5:$G$1004,MATCH(2,1/(('Ship Fuel Prices'!$E$5:$E$1004=_xlfn.IFS(KS55="Handysize",Main!MY55,KS55="Supramax",MR55,KS55="Panamax",MK55,KS55="NeoPanamax",MD55,KS55="Suezmax",LW55,KS55="Capesize",LP55,KS55="VLOC",LI55))*('Ship Fuel Prices'!$D$5:$D$1004&lt;=Main!$C55))))</f>
        <v>#N/A</v>
      </c>
      <c r="NF55" s="25" t="e">
        <f t="array" aca="1" ref="NF55" ca="1">INDEX('Ship Fuel Prices'!$H$5:$H$1004,MATCH(2,1/(('Ship Fuel Prices'!$E$5:$E$1004=_xlfn.IFS(KS55="Handysize",Main!MY55,KS55="Supramax",MR55,KS55="Panamax",MK55,KS55="NeoPanamax",MD55,KS55="Suezmax",LW55,KS55="Capesize",LP55,KS55="VLOC",LI55))*('Ship Fuel Prices'!$D$5:$D$1004&lt;=Main!$C55))))</f>
        <v>#N/A</v>
      </c>
      <c r="NG55" s="25" t="e">
        <f t="array" aca="1" ref="NG55" ca="1">INDEX('Ship Fuel Prices'!$I$5:$I$1004,MATCH(2,1/(('Ship Fuel Prices'!$E$5:$E$1004=_xlfn.IFS(KS55="Handysize",Main!MY55,KS55="Supramax",MR55,KS55="Panamax",MK55,KS55="NeoPanamax",MD55,KS55="Suezmax",LW55,KS55="Capesize",LP55,KS55="VLOC",LI55))*('Ship Fuel Prices'!$D$5:$D$1004&lt;=Main!$C55))))</f>
        <v>#N/A</v>
      </c>
      <c r="NH55" s="25" t="e">
        <f t="array" aca="1" ref="NH55" ca="1">INDEX('Ship Fuel Prices'!$J$5:$J$1004,MATCH(2,1/(('Ship Fuel Prices'!$E$5:$E$1004=_xlfn.IFS(KS55="Handysize",Main!MY55,KS55="Supramax",MR55,KS55="Panamax",MK55,KS55="NeoPanamax",MD55,KS55="Suezmax",LW55,KS55="Capesize",LP55,KS55="VLOC",LI55))*('Ship Fuel Prices'!$D$5:$D$1004&lt;=Main!$C55))))</f>
        <v>#N/A</v>
      </c>
      <c r="NJ55" s="75">
        <f t="array" ref="NJ55">INDEX('China n Importing Ports'!$E$20:$E$41,MATCH(2,1/(('China n Importing Ports'!$D$20:$D$41&lt;=$C55)*('China n Importing Ports'!$C$20:$C$41=IF($AO55="Yes",$AQ55,$AS55)))))</f>
        <v>42500</v>
      </c>
      <c r="NK55" s="75">
        <f t="array" ref="NK55">INDEX('China n Importing Ports'!$F$20:$F$41,MATCH(2,1/(('China n Importing Ports'!$D$20:$D$41&lt;=$C55)*('China n Importing Ports'!$C$20:$C$41=IF($AO55="Yes",$AQ55,$AS55)))))</f>
        <v>42500</v>
      </c>
      <c r="NL55" s="75">
        <f t="array" ref="NL55">INDEX('China n Importing Ports'!$G$20:$G$41,MATCH(2,1/(('China n Importing Ports'!$D$20:$D$41&lt;=$C55)*('China n Importing Ports'!$C$20:$C$41=IF($AO55="Yes",$AQ55,$AS55)))))</f>
        <v>42500</v>
      </c>
      <c r="NM55" s="75">
        <f t="array" ref="NM55">INDEX('China n Importing Ports'!$H$20:$H$41,MATCH(2,1/(('China n Importing Ports'!$D$20:$D$41&lt;=$C55)*('China n Importing Ports'!$C$20:$C$41=IF($AO55="Yes",$AQ55,$AS55)))))</f>
        <v>42500</v>
      </c>
      <c r="NN55" s="75">
        <f t="array" ref="NN55">INDEX('China n Importing Ports'!$I$20:$I$41,MATCH(2,1/(('China n Importing Ports'!$D$20:$D$41&lt;=$C55)*('China n Importing Ports'!$C$20:$C$41=IF($AO55="Yes",$AQ55,$AS55)))))</f>
        <v>42500</v>
      </c>
      <c r="NO55" s="75">
        <f t="array" ref="NO55">INDEX('China n Importing Ports'!$J$20:$J$41,MATCH(2,1/(('China n Importing Ports'!$D$20:$D$41&lt;=$C55)*('China n Importing Ports'!$C$20:$C$41=IF($AO55="Yes",$AQ55,$AS55)))))</f>
        <v>42500</v>
      </c>
      <c r="NP55" s="75">
        <f t="array" ref="NP55">INDEX('China n Importing Ports'!$K$20:$K$41,MATCH(2,1/(('China n Importing Ports'!$D$20:$D$41&lt;=$C55)*('China n Importing Ports'!$C$20:$C$41=IF($AO55="Yes",$AQ55,$AS55)))))</f>
        <v>42500</v>
      </c>
      <c r="NQ55" s="75" t="str">
        <f t="array" ref="NQ55">INDEX('China n Importing Ports'!$L$20:$L$41,MATCH(2,1/(('China n Importing Ports'!$D$20:$D$41&lt;=$C55)*('China n Importing Ports'!$C$20:$C$41=IF($AO55="Yes",$AQ55,$AS55)))))</f>
        <v>RMB</v>
      </c>
      <c r="NR55" s="75">
        <f t="array" ref="NR55">INDEX('China n Importing Ports'!$M$20:$M$41,MATCH(2,1/(('China n Importing Ports'!$D$20:$D$41&lt;=$C55)*('China n Importing Ports'!$C$20:$C$41=IF($AO55="Yes",$AQ55,$AS55)))))</f>
        <v>12342</v>
      </c>
      <c r="NS55" s="75">
        <f t="array" ref="NS55">INDEX('China n Importing Ports'!$N$20:$N$41,MATCH(2,1/(('China n Importing Ports'!$D$20:$D$41&lt;=$C55)*('China n Importing Ports'!$C$20:$C$41=IF($AO55="Yes",$AQ55,$AS55)))))</f>
        <v>0</v>
      </c>
      <c r="NT55" s="75">
        <f t="array" ref="NT55">INDEX('China n Importing Ports'!$O$20:$O$41,MATCH(2,1/(('China n Importing Ports'!$D$20:$D$41&lt;=$C55)*('China n Importing Ports'!$C$20:$C$41=IF($AO55="Yes",$AQ55,$AS55)))))</f>
        <v>0</v>
      </c>
      <c r="NU55" s="136">
        <f t="array" ref="NU55">INDEX('China n Importing Ports'!$P$20:$P$41,MATCH(2,1/(('China n Importing Ports'!$D$20:$D$41&lt;=$C55)*('China n Importing Ports'!$C$20:$C$41=IF($AO55="Yes",$AQ55,$AS55)))))</f>
        <v>2.64</v>
      </c>
      <c r="NV55" s="136">
        <f t="array" ref="NV55">INDEX('China n Importing Ports'!$Q$20:$Q$41,MATCH(2,1/(('China n Importing Ports'!$D$20:$D$41&lt;=$C55)*('China n Importing Ports'!$C$20:$C$41=IF($AO55="Yes",$AQ55,$AS55)))))</f>
        <v>0</v>
      </c>
      <c r="NW55" s="136">
        <f t="array" ref="NW55">INDEX('China n Importing Ports'!$R$20:$R$41,MATCH(2,1/(('China n Importing Ports'!$D$20:$D$41&lt;=$C55)*('China n Importing Ports'!$C$20:$C$41=IF($AO55="Yes",$AQ55,$AS55)))))</f>
        <v>0</v>
      </c>
      <c r="NX55" s="136">
        <f t="array" ref="NX55">INDEX('China n Importing Ports'!$S$20:$S$41,MATCH(2,1/(('China n Importing Ports'!$D$20:$D$41&lt;=$C55)*('China n Importing Ports'!$C$20:$C$41=IF($AO55="Yes",$AQ55,$AS55)))))</f>
        <v>4.53</v>
      </c>
      <c r="NY55" s="136">
        <f t="array" ref="NY55">INDEX('China n Importing Ports'!$T$20:$T$41,MATCH(2,1/(('China n Importing Ports'!$D$20:$D$41&lt;=$C55)*('China n Importing Ports'!$C$20:$C$41=IF($AO55="Yes",$AQ55,$AS55)))))</f>
        <v>0.36699999999999999</v>
      </c>
      <c r="NZ55" s="136">
        <f t="array" ref="NZ55">INDEX('China n Importing Ports'!$U$20:$U$41,MATCH(2,1/(('China n Importing Ports'!$D$20:$D$41&lt;=$C55)*('China n Importing Ports'!$C$20:$C$41=IF($AO55="Yes",$AQ55,$AS55)))))</f>
        <v>0.05</v>
      </c>
      <c r="OA55" s="136">
        <f t="array" ref="OA55">INDEX('China n Importing Ports'!$V$20:$V$41,MATCH(2,1/(('China n Importing Ports'!$D$20:$D$41&lt;=$C55)*('China n Importing Ports'!$C$20:$C$41=IF($AO55="Yes",$AQ55,$AS55)))))</f>
        <v>0</v>
      </c>
      <c r="OB55" s="136">
        <f t="array" ref="OB55">INDEX('China n Importing Ports'!$W$20:$W$41,MATCH(2,1/(('China n Importing Ports'!$D$20:$D$41&lt;=$C55)*('China n Importing Ports'!$C$20:$C$41=IF($AO55="Yes",$AQ55,$AS55)))))</f>
        <v>0</v>
      </c>
      <c r="OC55" s="136">
        <f t="array" ref="OC55">INDEX('China n Importing Ports'!$X$20:$X$41,MATCH(2,1/(('China n Importing Ports'!$D$20:$D$41&lt;=$C55)*('China n Importing Ports'!$C$20:$C$41=IF($AO55="Yes",$AQ55,$AS55)))))</f>
        <v>0</v>
      </c>
      <c r="OD55" s="136">
        <f t="array" ref="OD55">INDEX('China n Importing Ports'!$Y$20:$Y$41,MATCH(2,1/(('China n Importing Ports'!$D$20:$D$41&lt;=$C55)*('China n Importing Ports'!$C$20:$C$41=IF($AO55="Yes",$AQ55,$AS55)))))</f>
        <v>197</v>
      </c>
      <c r="OE55" s="136">
        <f t="array" ref="OE55">INDEX('China n Importing Ports'!$Z$20:$Z$41,MATCH(2,1/(('China n Importing Ports'!$D$20:$D$41&lt;=$C55)*('China n Importing Ports'!$C$20:$C$41=IF($AO55="Yes",$AQ55,$AS55)))))</f>
        <v>0</v>
      </c>
      <c r="OF55" s="136">
        <f t="array" ref="OF55">INDEX('China n Importing Ports'!$AA$20:$AA$41,MATCH(2,1/(('China n Importing Ports'!$D$20:$D$41&lt;=$C55)*('China n Importing Ports'!$C$20:$C$41=IF($AO55="Yes",$AQ55,$AS55)))))</f>
        <v>0</v>
      </c>
      <c r="OH55" s="75" t="e">
        <f t="array" aca="1" ref="OH55" ca="1">INDEX(Canals!$G$24:$G$29,MATCH(2,1/((Canals!$F$24:$F$29&lt;=$C55)*(Canals!$G$24:$G$29=_xlfn.IFS(KS55="Handysize",Main!NB55,KS55="Supramax",MU55,KS55="Panamax",MN55,KS55="NeoPanamax",MG55,KS55="Suezmax",LZ55,KS55="Capesize",LS55,KS55="VLOC",LL55)))))</f>
        <v>#N/A</v>
      </c>
      <c r="OI55" s="75" t="e">
        <f t="array" aca="1" ref="OI55" ca="1">INDEX(Canals!$H$24:$H$29,MATCH(2,1/((Canals!$F$24:$F$29&lt;=$C55)*(Canals!$G$24:$G$29=_xlfn.IFS(KS55="Handysize",Main!NB55,KS55="Supramax",MU55,KS55="Panamax",MN55,KS55="NeoPanamax",MG55,KS55="Suezmax",LZ55,KS55="Capesize",LS55,KS55="VLOC",LL55)))))</f>
        <v>#N/A</v>
      </c>
      <c r="OJ55" s="75" t="e">
        <f t="array" aca="1" ref="OJ55" ca="1">INDEX(Canals!$I$24:$I$29,MATCH(2,1/((Canals!$F$24:$F$29&lt;=$C55)*(Canals!$G$24:$G$29=_xlfn.IFS(KS55="Handysize",Main!NB55,KS55="Supramax",MU55,KS55="Panamax",MN55,KS55="NeoPanamax",MG55,KS55="Suezmax",LZ55,KS55="Capesize",LS55,KS55="VLOC",LL55)))))</f>
        <v>#N/A</v>
      </c>
      <c r="OK55" s="75" t="e">
        <f t="array" aca="1" ref="OK55" ca="1">INDEX(Canals!$J$24:$J$29,MATCH(2,1/((Canals!$F$24:$F$29&lt;=$C55)*(Canals!$G$24:$G$29=_xlfn.IFS(KS55="Handysize",Main!NB55,KS55="Supramax",MU55,KS55="Panamax",MN55,KS55="NeoPanamax",MG55,KS55="Suezmax",LZ55,KS55="Capesize",LS55,KS55="VLOC",LL55)))))</f>
        <v>#N/A</v>
      </c>
      <c r="OL55" s="75" t="e">
        <f t="array" aca="1" ref="OL55" ca="1">INDEX(Canals!$K$24:$K$29,MATCH(2,1/((Canals!$F$24:$F$29&lt;=$C55)*(Canals!$G$24:$G$29=_xlfn.IFS(KS55="Handysize",Main!NB55,KS55="Supramax",MU55,KS55="Panamax",MN55,KS55="NeoPanamax",MG55,KS55="Suezmax",LZ55,KS55="Capesize",LS55,KS55="VLOC",LL55)))))</f>
        <v>#N/A</v>
      </c>
      <c r="OM55" s="75" t="e">
        <f t="array" aca="1" ref="OM55" ca="1">INDEX(Canals!$L$24:$L$29,MATCH(2,1/((Canals!$F$24:$F$29&lt;=$C55)*(Canals!$G$24:$G$29=_xlfn.IFS(KS55="Handysize",Main!NB55,KS55="Supramax",MU55,KS55="Panamax",MN55,KS55="NeoPanamax",MG55,KS55="Suezmax",LZ55,KS55="Capesize",LS55,KS55="VLOC",LL55)))))</f>
        <v>#N/A</v>
      </c>
      <c r="ON55" s="75" t="e">
        <f t="array" aca="1" ref="ON55" ca="1">INDEX(Canals!$M$24:$M$29,MATCH(2,1/((Canals!$F$24:$F$29&lt;=$C55)*(Canals!$G$24:$G$29=_xlfn.IFS(KS55="Handysize",Main!NB55,KS55="Supramax",MU55,KS55="Panamax",MN55,KS55="NeoPanamax",MG55,KS55="Suezmax",LZ55,KS55="Capesize",LS55,KS55="VLOC",LL55)))))</f>
        <v>#N/A</v>
      </c>
      <c r="OO55" s="75" t="e">
        <f t="array" aca="1" ref="OO55" ca="1">INDEX(Canals!$N$24:$N$29,MATCH(2,1/((Canals!$F$24:$F$29&lt;=$C55)*(Canals!$G$24:$G$29=_xlfn.IFS(KS55="Handysize",Main!NB55,KS55="Supramax",MU55,KS55="Panamax",MN55,KS55="NeoPanamax",MG55,KS55="Suezmax",LZ55,KS55="Capesize",LS55,KS55="VLOC",LL55)))))</f>
        <v>#N/A</v>
      </c>
      <c r="OP55" s="75" t="e">
        <f t="array" aca="1" ref="OP55" ca="1">INDEX(Canals!$O$24:$O$29,MATCH(2,1/((Canals!$F$24:$F$29&lt;=$C55)*(Canals!$G$24:$G$29=_xlfn.IFS(KS55="Handysize",Main!NB55,KS55="Supramax",MU55,KS55="Panamax",MN55,KS55="NeoPanamax",MG55,KS55="Suezmax",LZ55,KS55="Capesize",LS55,KS55="VLOC",LL55)))))</f>
        <v>#N/A</v>
      </c>
      <c r="OQ55" s="75" t="e">
        <f t="array" aca="1" ref="OQ55" ca="1">INDEX(Canals!$P$24:$P$29,MATCH(2,1/((Canals!$F$24:$F$29&lt;=$C55)*(Canals!$G$24:$G$29=_xlfn.IFS(KS55="Handysize",Main!NB55,KS55="Supramax",MU55,KS55="Panamax",MN55,KS55="NeoPanamax",MG55,KS55="Suezmax",LZ55,KS55="Capesize",LS55,KS55="VLOC",LL55)))))</f>
        <v>#N/A</v>
      </c>
      <c r="OR55" s="75" t="e">
        <f t="array" aca="1" ref="OR55" ca="1">INDEX(Canals!$Q$24:$Q$29,MATCH(2,1/((Canals!$F$24:$F$29&lt;=$C55)*(Canals!$G$24:$G$29=_xlfn.IFS(KS55="Handysize",Main!NB55,KS55="Supramax",MU55,KS55="Panamax",MN55,KS55="NeoPanamax",MG55,KS55="Suezmax",LZ55,KS55="Capesize",LS55,KS55="VLOC",LL55)))))</f>
        <v>#N/A</v>
      </c>
      <c r="OS55" s="75" t="e">
        <f t="array" aca="1" ref="OS55" ca="1">INDEX(Canals!$R$24:$R$29,MATCH(2,1/((Canals!$F$24:$F$29&lt;=$C55)*(Canals!$G$24:$G$29=_xlfn.IFS(KS55="Handysize",Main!NB55,KS55="Supramax",MU55,KS55="Panamax",MN55,KS55="NeoPanamax",MG55,KS55="Suezmax",LZ55,KS55="Capesize",LS55,KS55="VLOC",LL55)))))</f>
        <v>#N/A</v>
      </c>
      <c r="OT55" s="136" t="e">
        <f t="array" aca="1" ref="OT55" ca="1">INDEX(Canals!$S$24:$S$29,MATCH(2,1/((Canals!$F$24:$F$29&lt;=$C55)*(Canals!$G$24:$G$29=_xlfn.IFS(KS55="Handysize",Main!NB55,KS55="Supramax",MU55,KS55="Panamax",MN55,KS55="NeoPanamax",MG55,KS55="Suezmax",LZ55,KS55="Capesize",LS55,KS55="VLOC",LL55)))))</f>
        <v>#N/A</v>
      </c>
      <c r="OU55" s="136" t="e">
        <f t="array" aca="1" ref="OU55" ca="1">INDEX(Canals!$T$24:$T$29,MATCH(2,1/((Canals!$F$24:$F$29&lt;=$C55)*(Canals!$G$24:$G$29=_xlfn.IFS(KS55="Handysize",Main!NB55,KS55="Supramax",MU55,KS55="Panamax",MN55,KS55="NeoPanamax",MG55,KS55="Suezmax",LZ55,KS55="Capesize",LS55,KS55="VLOC",LL55)))))</f>
        <v>#N/A</v>
      </c>
      <c r="OV55" s="136" t="e">
        <f t="array" aca="1" ref="OV55" ca="1">INDEX(Canals!$U$24:$U$29,MATCH(2,1/((Canals!$F$24:$F$29&lt;=$C55)*(Canals!$G$24:$G$29=_xlfn.IFS(KS55="Handysize",Main!NB55,KS55="Supramax",MU55,KS55="Panamax",MN55,KS55="NeoPanamax",MG55,KS55="Suezmax",LZ55,KS55="Capesize",LS55,KS55="VLOC",LL55)))))</f>
        <v>#N/A</v>
      </c>
      <c r="OW55" s="136" t="e">
        <f t="array" aca="1" ref="OW55" ca="1">INDEX(Canals!$V$24:$V$29,MATCH(2,1/((Canals!$F$24:$F$29&lt;=$C55)*(Canals!$G$24:$G$29=_xlfn.IFS(KS55="Handysize",Main!NB55,KS55="Supramax",MU55,KS55="Panamax",MN55,KS55="NeoPanamax",MG55,KS55="Suezmax",LZ55,KS55="Capesize",LS55,KS55="VLOC",LL55)))))</f>
        <v>#N/A</v>
      </c>
      <c r="OX55" s="136" t="e">
        <f t="array" aca="1" ref="OX55" ca="1">INDEX(Canals!$W$24:$W$29,MATCH(2,1/((Canals!$F$24:$F$29&lt;=$C55)*(Canals!$G$24:$G$29=_xlfn.IFS(KS55="Handysize",Main!NB55,KS55="Supramax",MU55,KS55="Panamax",MN55,KS55="NeoPanamax",MG55,KS55="Suezmax",LZ55,KS55="Capesize",LS55,KS55="VLOC",LL55)))))</f>
        <v>#N/A</v>
      </c>
      <c r="OY55" s="136" t="e">
        <f t="array" aca="1" ref="OY55" ca="1">INDEX(Canals!$X$24:$X$29,MATCH(2,1/((Canals!$F$24:$F$29&lt;=$C55)*(Canals!$G$24:$G$29=_xlfn.IFS(KS55="Handysize",Main!NB55,KS55="Supramax",MU55,KS55="Panamax",MN55,KS55="NeoPanamax",MG55,KS55="Suezmax",LZ55,KS55="Capesize",LS55,KS55="VLOC",LL55)))))</f>
        <v>#N/A</v>
      </c>
      <c r="OZ55" s="136" t="e">
        <f t="array" aca="1" ref="OZ55" ca="1">INDEX(Canals!$Y$24:$Y$29,MATCH(2,1/((Canals!$F$24:$F$29&lt;=$C55)*(Canals!$G$24:$G$29=_xlfn.IFS(KS55="Handysize",Main!NB55,KS55="Supramax",MU55,KS55="Panamax",MN55,KS55="NeoPanamax",MG55,KS55="Suezmax",LZ55,KS55="Capesize",LS55,KS55="VLOC",LL55)))))</f>
        <v>#N/A</v>
      </c>
      <c r="PA55" s="136" t="e">
        <f t="array" aca="1" ref="PA55" ca="1">INDEX(Canals!$Z$24:$Z$29,MATCH(2,1/((Canals!$F$24:$F$29&lt;=$C55)*(Canals!$G$24:$G$29=_xlfn.IFS(KS55="Handysize",Main!NB55,KS55="Supramax",MU55,KS55="Panamax",MN55,KS55="NeoPanamax",MG55,KS55="Suezmax",LZ55,KS55="Capesize",LS55,KS55="VLOC",LL55)))))</f>
        <v>#N/A</v>
      </c>
      <c r="PB55" s="136" t="e">
        <f t="array" aca="1" ref="PB55" ca="1">INDEX(Canals!$AA$24:$AA$29,MATCH(2,1/((Canals!$F$24:$F$29&lt;=$C55)*(Canals!$G$24:$G$29=_xlfn.IFS(KS55="Handysize",Main!NB55,KS55="Supramax",MU55,KS55="Panamax",MN55,KS55="NeoPanamax",MG55,KS55="Suezmax",LZ55,KS55="Capesize",LS55,KS55="VLOC",LL55)))))</f>
        <v>#N/A</v>
      </c>
      <c r="PC55" s="136" t="e">
        <f t="array" aca="1" ref="PC55" ca="1">INDEX(Canals!$AB$24:$AB$29,MATCH(2,1/((Canals!$F$24:$F$29&lt;=$C55)*(Canals!$G$24:$G$29=_xlfn.IFS(KS55="Handysize",Main!NB55,KS55="Supramax",MU55,KS55="Panamax",MN55,KS55="NeoPanamax",MG55,KS55="Suezmax",LZ55,KS55="Capesize",LS55,KS55="VLOC",LL55)))))</f>
        <v>#N/A</v>
      </c>
      <c r="PD55" s="75" t="e">
        <f t="array" aca="1" ref="PD55" ca="1">INDEX(Canals!$AC$24:$AC$29,MATCH(2,1/((Canals!$F$24:$F$29&lt;=$C55)*(Canals!$G$24:$G$29=_xlfn.IFS(KS55="Handysize",Main!NB55,KS55="Supramax",MU55,KS55="Panamax",MN55,KS55="NeoPanamax",MG55,KS55="Suezmax",LZ55,KS55="Capesize",LS55,KS55="VLOC",LL55)))))</f>
        <v>#N/A</v>
      </c>
      <c r="PE55" s="75" t="e">
        <f t="array" aca="1" ref="PE55" ca="1">INDEX(Canals!$AD$24:$AD$29,MATCH(2,1/((Canals!$F$24:$F$29&lt;=$C55)*(Canals!$G$24:$G$29=_xlfn.IFS(KS55="Handysize",Main!NB55,KS55="Supramax",MU55,KS55="Panamax",MN55,KS55="NeoPanamax",MG55,KS55="Suezmax",LZ55,KS55="Capesize",LS55,KS55="VLOC",LL55)))))</f>
        <v>#N/A</v>
      </c>
      <c r="PF55" s="75" t="e">
        <f t="array" aca="1" ref="PF55" ca="1">INDEX(Canals!$AE$24:$AE$29,MATCH(2,1/((Canals!$F$24:$F$29&lt;=$C55)*(Canals!$G$24:$G$29=_xlfn.IFS(KS55="Handysize",Main!NB55,KS55="Supramax",MU55,KS55="Panamax",MN55,KS55="NeoPanamax",MG55,KS55="Suezmax",LZ55,KS55="Capesize",LS55,KS55="VLOC",LL55)))))</f>
        <v>#N/A</v>
      </c>
      <c r="PG55" s="75" t="e">
        <f t="array" aca="1" ref="PG55" ca="1">INDEX(Canals!$AF$24:$AF$29,MATCH(2,1/((Canals!$F$24:$F$29&lt;=$C55)*(Canals!$G$24:$G$29=_xlfn.IFS(KS55="Handysize",Main!NB55,KS55="Supramax",MU55,KS55="Panamax",MN55,KS55="NeoPanamax",MG55,KS55="Suezmax",LZ55,KS55="Capesize",LS55,KS55="VLOC",LL55)))))</f>
        <v>#N/A</v>
      </c>
      <c r="PH55" s="75" t="e">
        <f t="array" aca="1" ref="PH55" ca="1">INDEX(Canals!$AG$24:$AG$29,MATCH(2,1/((Canals!$F$24:$F$29&lt;=$C55)*(Canals!$G$24:$G$29=_xlfn.IFS(KS55="Handysize",Main!NB55,KS55="Supramax",MU55,KS55="Panamax",MN55,KS55="NeoPanamax",MG55,KS55="Suezmax",LZ55,KS55="Capesize",LS55,KS55="VLOC",LL55)))))</f>
        <v>#N/A</v>
      </c>
      <c r="PI55" s="75" t="e">
        <f t="array" aca="1" ref="PI55" ca="1">INDEX(Canals!$AH$24:$AH$29,MATCH(2,1/((Canals!$F$24:$F$29&lt;=$C55)*(Canals!$G$24:$G$29=_xlfn.IFS(KS55="Handysize",Main!NB55,KS55="Supramax",MU55,KS55="Panamax",MN55,KS55="NeoPanamax",MG55,KS55="Suezmax",LZ55,KS55="Capesize",LS55,KS55="VLOC",LL55)))))</f>
        <v>#N/A</v>
      </c>
      <c r="PJ55" s="75" t="e">
        <f t="array" aca="1" ref="PJ55" ca="1">INDEX(Canals!$AI$24:$AI$29,MATCH(2,1/((Canals!$F$24:$F$29&lt;=$C55)*(Canals!$G$24:$G$29=_xlfn.IFS(KS55="Handysize",Main!NB55,KS55="Supramax",MU55,KS55="Panamax",MN55,KS55="NeoPanamax",MG55,KS55="Suezmax",LZ55,KS55="Capesize",LS55,KS55="VLOC",LL55)))))</f>
        <v>#N/A</v>
      </c>
      <c r="PK55" s="75" t="e">
        <f t="array" aca="1" ref="PK55" ca="1">INDEX(Canals!$AJ$24:$AJ$29,MATCH(2,1/((Canals!$F$24:$F$29&lt;=$C55)*(Canals!$G$24:$G$29=_xlfn.IFS(KS55="Handysize",Main!NB55,KS55="Supramax",MU55,KS55="Panamax",MN55,KS55="NeoPanamax",MG55,KS55="Suezmax",LZ55,KS55="Capesize",LS55,KS55="VLOC",LL55)))))</f>
        <v>#N/A</v>
      </c>
      <c r="PL55" s="75" t="e">
        <f t="array" aca="1" ref="PL55" ca="1">INDEX(Canals!$AK$24:$AK$29,MATCH(2,1/((Canals!$F$24:$F$29&lt;=$C55)*(Canals!$G$24:$G$29=_xlfn.IFS(KS55="Handysize",Main!NB55,KS55="Supramax",MU55,KS55="Panamax",MN55,KS55="NeoPanamax",MG55,KS55="Suezmax",LZ55,KS55="Capesize",LS55,KS55="VLOC",LL55)))))</f>
        <v>#N/A</v>
      </c>
      <c r="PM55" s="136" t="e">
        <f t="array" aca="1" ref="PM55" ca="1">INDEX(Canals!$AL$24:$AL$29,MATCH(2,1/((Canals!$F$24:$F$29&lt;=$C55)*(Canals!$G$24:$G$29=_xlfn.IFS(KS55="Handysize",Main!NB55,KS55="Supramax",MU55,KS55="Panamax",MN55,KS55="NeoPanamax",MG55,KS55="Suezmax",LZ55,KS55="Capesize",LS55,KS55="VLOC",LL55)))))</f>
        <v>#N/A</v>
      </c>
      <c r="PN55" s="136" t="e">
        <f t="array" aca="1" ref="PN55" ca="1">INDEX(Canals!$AM$24:$AM$29,MATCH(2,1/((Canals!$F$24:$F$29&lt;=$C55)*(Canals!$G$24:$G$29=_xlfn.IFS(KS55="Handysize",Main!NB55,KS55="Supramax",MU55,KS55="Panamax",MN55,KS55="NeoPanamax",MG55,KS55="Suezmax",LZ55,KS55="Capesize",LS55,KS55="VLOC",LL55)))))</f>
        <v>#N/A</v>
      </c>
      <c r="PO55" s="136" t="e">
        <f t="array" aca="1" ref="PO55" ca="1">INDEX(Canals!$AN$24:$AN$29,MATCH(2,1/((Canals!$F$24:$F$29&lt;=$C55)*(Canals!$G$24:$G$29=_xlfn.IFS(KS55="Handysize",Main!NB55,KS55="Supramax",MU55,KS55="Panamax",MN55,KS55="NeoPanamax",MG55,KS55="Suezmax",LZ55,KS55="Capesize",LS55,KS55="VLOC",LL55)))))</f>
        <v>#N/A</v>
      </c>
      <c r="PP55" s="136" t="e">
        <f t="array" aca="1" ref="PP55" ca="1">INDEX(Canals!$AO$24:$AO$29,MATCH(2,1/((Canals!$F$24:$F$29&lt;=$C55)*(Canals!$G$24:$G$29=_xlfn.IFS(KS55="Handysize",Main!NB55,KS55="Supramax",MU55,KS55="Panamax",MN55,KS55="NeoPanamax",MG55,KS55="Suezmax",LZ55,KS55="Capesize",LS55,KS55="VLOC",LL55)))))</f>
        <v>#N/A</v>
      </c>
      <c r="PQ55" s="136" t="e">
        <f t="array" aca="1" ref="PQ55" ca="1">INDEX(Canals!$AP$24:$AP$29,MATCH(2,1/((Canals!$F$24:$F$29&lt;=$C55)*(Canals!$G$24:$G$29=_xlfn.IFS(KS55="Handysize",Main!NB55,KS55="Supramax",MU55,KS55="Panamax",MN55,KS55="NeoPanamax",MG55,KS55="Suezmax",LZ55,KS55="Capesize",LS55,KS55="VLOC",LL55)))))</f>
        <v>#N/A</v>
      </c>
      <c r="PR55" s="136" t="e">
        <f t="array" aca="1" ref="PR55" ca="1">INDEX(Canals!$AQ$24:$AQ$29,MATCH(2,1/((Canals!$F$24:$F$29&lt;=$C55)*(Canals!$G$24:$G$29=_xlfn.IFS(KS55="Handysize",Main!NB55,KS55="Supramax",MU55,KS55="Panamax",MN55,KS55="NeoPanamax",MG55,KS55="Suezmax",LZ55,KS55="Capesize",LS55,KS55="VLOC",LL55)))))</f>
        <v>#N/A</v>
      </c>
      <c r="PS55" s="136" t="e">
        <f t="array" aca="1" ref="PS55" ca="1">INDEX(Canals!$AR$24:$AR$29,MATCH(2,1/((Canals!$F$24:$F$29&lt;=$C55)*(Canals!$G$24:$G$29=_xlfn.IFS(KS55="Handysize",Main!NB55,KS55="Supramax",MU55,KS55="Panamax",MN55,KS55="NeoPanamax",MG55,KS55="Suezmax",LZ55,KS55="Capesize",LS55,KS55="VLOC",LL55)))))</f>
        <v>#N/A</v>
      </c>
      <c r="PT55" s="136" t="e">
        <f t="array" aca="1" ref="PT55" ca="1">INDEX(Canals!$AS$24:$AS$29,MATCH(2,1/((Canals!$F$24:$F$29&lt;=$C55)*(Canals!$G$24:$G$29=_xlfn.IFS(KS55="Handysize",Main!NB55,KS55="Supramax",MU55,KS55="Panamax",MN55,KS55="NeoPanamax",MG55,KS55="Suezmax",LZ55,KS55="Capesize",LS55,KS55="VLOC",LL55)))))</f>
        <v>#N/A</v>
      </c>
      <c r="PU55" s="136" t="e">
        <f t="array" aca="1" ref="PU55" ca="1">INDEX(Canals!$AT$24:$AT$29,MATCH(2,1/((Canals!$F$24:$F$29&lt;=$C55)*(Canals!$G$24:$G$29=_xlfn.IFS(KS55="Handysize",Main!NB55,KS55="Supramax",MU55,KS55="Panamax",MN55,KS55="NeoPanamax",MG55,KS55="Suezmax",LZ55,KS55="Capesize",LS55,KS55="VLOC",LL55)))))</f>
        <v>#N/A</v>
      </c>
      <c r="PV55" s="136" t="e">
        <f t="array" aca="1" ref="PV55" ca="1">INDEX(Canals!$AU$24:$AU$29,MATCH(2,1/((Canals!$F$24:$F$29&lt;=$C55)*(Canals!$G$24:$G$29=_xlfn.IFS(KS55="Handysize",Main!NB55,KS55="Supramax",MU55,KS55="Panamax",MN55,KS55="NeoPanamax",MG55,KS55="Suezmax",LZ55,KS55="Capesize",LS55,KS55="VLOC",LL55)))))</f>
        <v>#N/A</v>
      </c>
      <c r="PW55" s="136" t="e">
        <f t="array" aca="1" ref="PW55" ca="1">INDEX(Canals!$AV$24:$AV$29,MATCH(2,1/((Canals!$F$24:$F$29&lt;=$C55)*(Canals!$G$24:$G$29=_xlfn.IFS(KS55="Handysize",Main!NB55,KS55="Supramax",MU55,KS55="Panamax",MN55,KS55="NeoPanamax",MG55,KS55="Suezmax",LZ55,KS55="Capesize",LS55,KS55="VLOC",LL55)))))</f>
        <v>#N/A</v>
      </c>
      <c r="PY55" s="75" t="e">
        <f t="array" aca="1" ref="PY55" ca="1">_xlfn.IFS(OJ55="DWT",KQ55,OJ55="NRT",KU55,OJ55="GRT",KV55)</f>
        <v>#NAME?</v>
      </c>
      <c r="PZ55" s="279" t="e">
        <f t="shared" ref="PZ55:PZ63" ca="1" si="422">IF(PY55&gt;OK55,OK55,PY55)</f>
        <v>#NAME?</v>
      </c>
      <c r="QA55" s="280" t="e">
        <f t="shared" ref="QA55:QA63" ca="1" si="423">IF(PY55&gt;SUM(OK55:OL55),OL55,PY55-SUM(PZ55:PZ55))</f>
        <v>#NAME?</v>
      </c>
      <c r="QB55" s="280" t="e">
        <f t="shared" ref="QB55:QB63" ca="1" si="424">IF(PY55&gt;SUM(OK55:OM55),OM55,PY55-SUM(PZ55:QA55))</f>
        <v>#NAME?</v>
      </c>
      <c r="QC55" s="280" t="e">
        <f t="shared" ref="QC55:QC63" ca="1" si="425">IF(PY55&gt;SUM(OK55:ON55),ON55,PY55-SUM(PZ55:QB55))</f>
        <v>#NAME?</v>
      </c>
      <c r="QD55" s="280" t="e">
        <f t="shared" ref="QD55:QD63" ca="1" si="426">IF(PY55&gt;SUM(OK55:OO55),OO55,PY55-SUM(PZ55:QC55))</f>
        <v>#NAME?</v>
      </c>
      <c r="QE55" s="280" t="e">
        <f t="shared" ref="QE55:QE63" ca="1" si="427">IF(PY55&gt;SUM(OK55:OP55),OP55,PY55-SUM(PZ55:QD55))</f>
        <v>#NAME?</v>
      </c>
      <c r="QF55" s="280" t="e">
        <f t="shared" ref="QF55:QF63" ca="1" si="428">IF(PY55&gt;SUM(OK55:OQ55),OQ55,PY55-SUM(PZ55:QE55))</f>
        <v>#NAME?</v>
      </c>
      <c r="QG55" s="280" t="e">
        <f t="shared" ref="QG55:QG63" ca="1" si="429">IF(PY55&gt;SUM(OK55:OR55),OR55,PY55-SUM(PZ55:QF55))</f>
        <v>#NAME?</v>
      </c>
      <c r="QH55" s="280" t="e">
        <f t="shared" ref="QH55:QH63" ca="1" si="430">IF(PY55&gt;SUM(OK55:OS55),OS55,PY55-SUM(PZ55:QG55))</f>
        <v>#NAME?</v>
      </c>
      <c r="QI55" s="75">
        <f t="shared" ref="QI55:QI63" si="431">KQ55*$JN55</f>
        <v>90588.23529411765</v>
      </c>
      <c r="QJ55" s="279" t="e">
        <f t="shared" ref="QJ55:QJ63" ca="1" si="432">IF(QI55&gt;PD55,PD55,QI55)</f>
        <v>#N/A</v>
      </c>
      <c r="QK55" s="280" t="e">
        <f t="shared" ref="QK55:QK63" ca="1" si="433">IF(QI55&gt;SUM(PD55:PE55),PE55,QI55-SUM(QJ55:QJ55))</f>
        <v>#N/A</v>
      </c>
      <c r="QL55" s="280" t="e">
        <f t="shared" ref="QL55:QL63" ca="1" si="434">IF(QI55&gt;SUM(PD55:PF55),PF55,QI55-SUM(QJ55:QK55))</f>
        <v>#N/A</v>
      </c>
      <c r="QM55" s="280" t="e">
        <f t="shared" ref="QM55:QM63" ca="1" si="435">IF(QI55&gt;SUM(PD55:PG55),PG55,QI55-SUM(QJ55:QL55))</f>
        <v>#N/A</v>
      </c>
      <c r="QN55" s="280" t="e">
        <f t="shared" ref="QN55:QN63" ca="1" si="436">IF(QI55&gt;SUM(PD55:PH55),PH55,QI55-SUM(QJ55:QM55))</f>
        <v>#N/A</v>
      </c>
      <c r="QO55" s="280" t="e">
        <f t="shared" ref="QO55:QO63" ca="1" si="437">IF(QI55&gt;SUM(PD55:PI55),PI55,QI55-SUM(QJ55:QN55))</f>
        <v>#N/A</v>
      </c>
      <c r="QP55" s="280" t="e">
        <f t="shared" ref="QP55:QP63" ca="1" si="438">IF(QI55&gt;SUM(PD55:PJ55),PJ55,QI55-SUM(QJ55:QO55))</f>
        <v>#N/A</v>
      </c>
      <c r="QQ55" s="280" t="e">
        <f t="shared" ref="QQ55:QQ63" ca="1" si="439">IF(QI55&gt;SUM(PD55:PK55),PK55,QI55-SUM(QJ55:QP55))</f>
        <v>#N/A</v>
      </c>
      <c r="QR55" s="280" t="e">
        <f t="shared" ref="QR55:QR63" ca="1" si="440">IF(QI55&gt;SUM(PD55:PL55),PL55,QI55-SUM(QJ55:QQ55))</f>
        <v>#N/A</v>
      </c>
      <c r="QT55" s="75" t="e">
        <f t="array" aca="1" ref="QT55" ca="1">_xlfn.IFS(KS55="Handysize",Main!MV55,KS55="Supramax",MO55,KS55="Panamax",MH55,KS55="NeoPanamax",MA55,KS55="Suezmax",LT55,KS55="Capesize",LM55,KS55="VLOC",LF55)*$JI55</f>
        <v>#NAME?</v>
      </c>
      <c r="QU55" s="274" t="e">
        <f t="array" aca="1" ref="QU55" ca="1">_xlfn.IFS(KS55="Handysize",Main!MW55,KS55="Supramax",MP55,KS55="Panamax",MI55,KS55="NeoPanamax",MB55,KS55="Suezmax",LU55,KS55="Capesize",LN55,KS55="VLOC",LG55)*$JI55</f>
        <v>#NAME?</v>
      </c>
      <c r="QV55" s="71" t="e">
        <f t="array" aca="1" ref="QV55" ca="1">_xlfn.IFS(KS55="Handysize",Main!KX55,KS55="Supramax",KY55,KS55="Panamax",KZ55,KS55="NeoPanamax",LA55,KS55="Suezmax",LB55,KS55="Capesize",LC55,KS55="VLOC",LD55)</f>
        <v>#NAME?</v>
      </c>
      <c r="QW55" s="71" t="e">
        <f t="array" aca="1" ref="QW55" ca="1">_xlfn.IFS(KS55="Handysize",Main!NJ55,KS55="Supramax",NK55,KS55="Panamax",NL55,KS55="NeoPanamax",NM55,KS55="Suezmax",NN55,KS55="Capesize",NO55,KS55="VLOC",NP55)</f>
        <v>#NAME?</v>
      </c>
      <c r="QX55" s="70">
        <f t="array" ref="QX55">INDEX('Ship Speeds'!$G$11:$G$1011,MATCH(2,1/(('Ship Speeds'!$E$11:$E$1011&lt;=Main!$C55)*('Ship Speeds'!$F$11:$F$1011=Main!KR55))))</f>
        <v>11</v>
      </c>
      <c r="QY55" s="403">
        <f t="shared" ref="QY55:QY63" si="441">(($KH55*QX55^2+$KI55*QX55^3+$KG55*QX55)*((KQ55/$KC55)^$KD55)*$KJ55+(KQ55/$KC55)*$KF55+$KE55)</f>
        <v>23.70260984288554</v>
      </c>
      <c r="QZ55" s="401">
        <f t="shared" ref="QZ55:QZ63" si="442">(KQ55/$JY55)*$JZ55+$KA55+$KB55*(KQ55/$JY55)^2</f>
        <v>2.1922895927601811</v>
      </c>
      <c r="RA55" s="70" t="e">
        <f ca="1">QT55/QX55/$JH55</f>
        <v>#NAME?</v>
      </c>
      <c r="RB55" s="70" t="e">
        <f t="shared" ref="RB55:RB63" ca="1" si="443">QU55/QX55/$JH55</f>
        <v>#NAME?</v>
      </c>
      <c r="RC55" s="70" t="e">
        <f t="shared" ref="RC55:RC63" ca="1" si="444">IF($AO55="no",$AN55,$AR55)/(1-$AL55)/QV55</f>
        <v>#NAME?</v>
      </c>
      <c r="RD55" s="70" t="e">
        <f t="shared" ref="RD55:RD63" ca="1" si="445">IF($AO55="no",$AN55,$AR55)/(1-$AL55)/QW55</f>
        <v>#NAME?</v>
      </c>
      <c r="RE55" s="72" t="e">
        <f ca="1">PW55*$JI55</f>
        <v>#N/A</v>
      </c>
      <c r="RF55" s="70" t="e">
        <f t="shared" ref="RF55:RF63" ca="1" si="446">MAX(SUM(RA55:RE55)*$JV55,$JU55)</f>
        <v>#NAME?</v>
      </c>
      <c r="RG55" s="70" t="e">
        <f t="array" aca="1" ref="RG55" ca="1">INDEX(ND55:NH55,MATCH(_xlfn.IFS(KS55="Handysize",Main!MZ55,KS55="Supramax",MS55,KS55="Panamax",ML55,KS55="NeoPanamax",ME55,KS55="Suezmax",LX55,KS55="Capesize",LQ55,KS55="VLOC",LJ55),$ND$7:$NH$7,0))</f>
        <v>#NAME?</v>
      </c>
      <c r="RH55" s="70" t="e">
        <f t="array" aca="1" ref="RH55" ca="1">INDEX(ND55:NH55,MATCH(_xlfn.IFS(KS55="Handysize",Main!NA55,KS55="Supramax",MT55,KS55="Panamax",MM55,KS55="NeoPanamax",MF55,KS55="Suezmax",LY55,KS55="Capesize",LR55,KS55="VLOC",LK55),$ND$7:$NH$7,0))</f>
        <v>#NAME?</v>
      </c>
      <c r="RI55" s="71" t="e">
        <f t="shared" ref="RI55:RI63" ca="1" si="447">RA55*QY55*RG55</f>
        <v>#NAME?</v>
      </c>
      <c r="RJ55" s="71" t="e">
        <f t="shared" ref="RJ55:RJ63" ca="1" si="448">SUM(RC55:RF55)*QZ55*RH55+RB55*QY55*RH55</f>
        <v>#NAME?</v>
      </c>
      <c r="RK55" s="281">
        <f>INDEX($JA55:$JD55,MATCH(NQ55,$JA$7:$JD$7,0))</f>
        <v>7.0834199999999994</v>
      </c>
      <c r="RL55" s="71">
        <f>NR55/RK55</f>
        <v>1742.3786814843679</v>
      </c>
      <c r="RM55" s="71" t="e">
        <f ca="1">NS55*SUM(RD55,$JX55)/RK55</f>
        <v>#NAME?</v>
      </c>
      <c r="RN55" s="71" t="e">
        <f ca="1">NT55*(RF55*(1-$JW55))/RK55</f>
        <v>#NAME?</v>
      </c>
      <c r="RO55" s="71">
        <f>NU55*(KQ55*$JN55)/RK55</f>
        <v>33762.355073745537</v>
      </c>
      <c r="RP55" s="71" t="e">
        <f ca="1">NV55*(KQ55*$JN55)*SUM(RD55,$JX55)/RK55</f>
        <v>#NAME?</v>
      </c>
      <c r="RQ55" s="71" t="e">
        <f ca="1">NW55*(KQ55*$JN55)*(RF55*(1-$JW55))/RK55</f>
        <v>#NAME?</v>
      </c>
      <c r="RR55" s="71">
        <f>NX55*KU55/RK55</f>
        <v>23969.461999406663</v>
      </c>
      <c r="RS55" s="71" t="e">
        <f ca="1">NY55*KU55*SUM(RD55,$JX55)/RK55</f>
        <v>#NAME?</v>
      </c>
      <c r="RT55" s="71" t="e">
        <f ca="1">NZ55*KU55*(RF55*(1-$JW55))/RK55</f>
        <v>#NAME?</v>
      </c>
      <c r="RU55" s="71">
        <f>OA55*KV55/RK55</f>
        <v>0</v>
      </c>
      <c r="RV55" s="71" t="e">
        <f ca="1">OB55*KV55*SUM(RD55,$JX55)/RK55</f>
        <v>#NAME?</v>
      </c>
      <c r="RW55" s="71" t="e">
        <f ca="1">OC55*KV55*(RF55*(1-$JW55))/RK55</f>
        <v>#NAME?</v>
      </c>
      <c r="RX55" s="72">
        <f>OD55*KT55/RK55</f>
        <v>6313.2298390872393</v>
      </c>
      <c r="RY55" s="72" t="e">
        <f ca="1">OE55*KT55*SUM(RD55,$JX55)/RK55</f>
        <v>#NAME?</v>
      </c>
      <c r="RZ55" s="71" t="e">
        <f ca="1">OF55*KT55*(RF55*(1-$JW55))/RK55</f>
        <v>#NAME?</v>
      </c>
      <c r="SA55" s="71" t="e">
        <f t="array" aca="1" ref="SA55" ca="1">INDEX('Ship Time Charter Rates'!$H$22:$H$1021,MATCH(2,1/(('Ship Time Charter Rates'!$G$22:$G$1021=_xlfn.IFS(KS55="Handysize",Main!MX55,KS55="Supramax",MQ55,KS55="Panamax",MJ55,KS55="NeoPanamax",MC55,KS55="Suezmax",LV55,KS55="Capesize",LO55,KS55="VLOC",LH55))*('Ship Time Charter Rates'!$E$22:$E$1021&lt;=Main!$C55)*(NOT(ISBLANK('Ship Time Charter Rates'!$H$22:$H$1021))))))</f>
        <v>#N/A</v>
      </c>
      <c r="SB55" s="71" t="e">
        <f t="shared" ref="SB55:SB63" ca="1" si="449">SUM(RA55:RF55,$JI55*$JX55)*SA55</f>
        <v>#NAME?</v>
      </c>
      <c r="SC55" s="70" t="e">
        <f ca="1">SUMPRODUCT(OT55:PB55,PZ55:QH55)+SUMPRODUCT(PM55:PU55,QJ55:QR55)</f>
        <v>#N/A</v>
      </c>
      <c r="SD55" s="71" t="e">
        <f ca="1">SUM(RI55,RJ55)+SB55+SC55+SUM(RL55:RZ55)</f>
        <v>#NAME?</v>
      </c>
      <c r="SE55" s="71" t="e">
        <f t="shared" ref="SE55:SE63" ca="1" si="450">SD55*(1+$KL55)</f>
        <v>#NAME?</v>
      </c>
      <c r="SF55" s="72" t="e">
        <f t="shared" ref="SF55:SF63" ca="1" si="451">IF(SE55=0,0,SE55/(KQ55*(1-$AL55)*$JN55))</f>
        <v>#NAME?</v>
      </c>
      <c r="SH55" s="25">
        <f>IF($AO55="yes",$AN55,$AR55)/(1-$AL55)/$JN55</f>
        <v>0</v>
      </c>
      <c r="SI55" s="4" t="str">
        <f>VLOOKUP(SH55,'Ship Time Charter Rates'!$F$10:$G$17,2,TRUE)</f>
        <v>Handysize</v>
      </c>
      <c r="SJ55" s="4" t="str">
        <f>VLOOKUP(SH55,Canals!$E$5:$F$12,2,TRUE)</f>
        <v>Handysize</v>
      </c>
      <c r="SK55" s="25">
        <f t="shared" ref="SK55:SK63" si="452">(SH55*$JO55 + $JP55)</f>
        <v>145.88999999999999</v>
      </c>
      <c r="SL55" s="25">
        <f t="shared" ref="SL55:SL63" si="453">(SH55*$JQ55+$JR55)</f>
        <v>0</v>
      </c>
      <c r="SM55" s="25">
        <f t="shared" ref="SM55:SM63" si="454">(SH55*$JS55+$JT55)</f>
        <v>4797</v>
      </c>
      <c r="SO55" s="75">
        <f t="array" ref="SO55">INDEX('Indices Mines Exporting Ports'!$R$20:$R$51,MATCH(2,1/(('Indices Mines Exporting Ports'!$D$20:$D$51&lt;=Main!$C55)*('Indices Mines Exporting Ports'!$Q$20:$Q$51=$AQ55))))</f>
        <v>0</v>
      </c>
      <c r="SP55" s="75">
        <f t="array" ref="SP55">INDEX('Indices Mines Exporting Ports'!$S$20:$S$51,MATCH(2,1/(('Indices Mines Exporting Ports'!$D$20:$D$51&lt;=Main!$C55)*('Indices Mines Exporting Ports'!$Q$20:$Q$51=$AQ55))))</f>
        <v>0</v>
      </c>
      <c r="SQ55" s="75">
        <f t="array" ref="SQ55">INDEX('Indices Mines Exporting Ports'!$T$20:$T$51,MATCH(2,1/(('Indices Mines Exporting Ports'!$D$20:$D$51&lt;=Main!$C55)*('Indices Mines Exporting Ports'!$Q$20:$Q$51=$AQ55))))</f>
        <v>0</v>
      </c>
      <c r="SR55" s="75">
        <f t="array" ref="SR55">INDEX('Indices Mines Exporting Ports'!$U$20:$U$51,MATCH(2,1/(('Indices Mines Exporting Ports'!$D$20:$D$51&lt;=Main!$C55)*('Indices Mines Exporting Ports'!$Q$20:$Q$51=$AQ55))))</f>
        <v>0</v>
      </c>
      <c r="SS55" s="75">
        <f t="array" ref="SS55">INDEX('Indices Mines Exporting Ports'!$V$20:$V$51,MATCH(2,1/(('Indices Mines Exporting Ports'!$D$20:$D$51&lt;=Main!$C55)*('Indices Mines Exporting Ports'!$Q$20:$Q$51=$AQ55))))</f>
        <v>0</v>
      </c>
      <c r="ST55" s="75">
        <f t="array" ref="ST55">INDEX('Indices Mines Exporting Ports'!$W$20:$W$51,MATCH(2,1/(('Indices Mines Exporting Ports'!$D$20:$D$51&lt;=Main!$C55)*('Indices Mines Exporting Ports'!$Q$20:$Q$51=$AQ55))))</f>
        <v>0</v>
      </c>
      <c r="SU55" s="75">
        <f t="array" ref="SU55">INDEX('Indices Mines Exporting Ports'!$X$20:$X$51,MATCH(2,1/(('Indices Mines Exporting Ports'!$D$20:$D$51&lt;=Main!$C55)*('Indices Mines Exporting Ports'!$Q$20:$Q$51=$AQ55))))</f>
        <v>0</v>
      </c>
      <c r="SW55" s="75">
        <f t="array" ref="SW55">INDEX('Port Linkages'!$E$18:$E$157,MATCH(2,1/(('Port Linkages'!$C$18:$C$157=$AQ55)*('Port Linkages'!$D$18:$D$157=IF($AO55="no",$AQ55,$AS55))*('Port Linkages'!$A$18:$A$157&lt;=$C55))))</f>
        <v>0</v>
      </c>
      <c r="SX55" s="75">
        <f t="array" ref="SX55">INDEX('Port Linkages'!$F$18:$F$157,MATCH(2,1/(('Port Linkages'!$C$18:$C$157=$AQ55)*('Port Linkages'!$D$18:$D$157=IF($AO55="no",$AQ55,$AS55))*('Port Linkages'!$A$18:$A$157&lt;=$C55))))</f>
        <v>0</v>
      </c>
      <c r="SY55" s="75">
        <f t="array" ref="SY55">INDEX('Port Linkages'!$G$18:$G$157,MATCH(2,1/(('Port Linkages'!$C$18:$C$157=$AQ55)*('Port Linkages'!$D$18:$D$157=IF($AO55="no",$AQ55,$AS55))*('Port Linkages'!$A$18:$A$157&lt;=$C55))))</f>
        <v>0</v>
      </c>
      <c r="SZ55" s="75">
        <f t="array" ref="SZ55">INDEX('Port Linkages'!$H$18:$H$157,MATCH(2,1/(('Port Linkages'!$C$18:$C$157=$AQ55)*('Port Linkages'!$D$18:$D$157=IF($AO55="no",$AQ55,$AS55))*('Port Linkages'!$A$18:$A$157&lt;=$C55))))</f>
        <v>0</v>
      </c>
      <c r="TA55" s="75">
        <f t="array" ref="TA55">INDEX('Port Linkages'!$I$18:$I$157,MATCH(2,1/(('Port Linkages'!$C$18:$C$157=$AQ55)*('Port Linkages'!$D$18:$D$157=IF($AO55="no",$AQ55,$AS55))*('Port Linkages'!$A$18:$A$157&lt;=$C55))))</f>
        <v>0</v>
      </c>
      <c r="TB55" s="75">
        <f t="array" ref="TB55">INDEX('Port Linkages'!$J$18:$J$157,MATCH(2,1/(('Port Linkages'!$C$18:$C$157=$AQ55)*('Port Linkages'!$D$18:$D$157=IF($AO55="no",$AQ55,$AS55))*('Port Linkages'!$A$18:$A$157&lt;=$C55))))</f>
        <v>0</v>
      </c>
      <c r="TC55" s="75">
        <f t="array" ref="TC55">INDEX('Port Linkages'!$K$18:$K$157,MATCH(2,1/(('Port Linkages'!$C$18:$C$157=$AQ55)*('Port Linkages'!$D$18:$D$157=IF($AO55="no",$AQ55,$AS55))*('Port Linkages'!$A$18:$A$157&lt;=$C55))))</f>
        <v>0</v>
      </c>
      <c r="TD55" s="75">
        <f t="array" ref="TD55">INDEX('Port Linkages'!$L$18:$L$157,MATCH(2,1/(('Port Linkages'!$C$18:$C$157=$AQ55)*('Port Linkages'!$D$18:$D$157=IF($AO55="no",$AQ55,$AS55))*('Port Linkages'!$A$18:$A$157&lt;=$C55))))</f>
        <v>0</v>
      </c>
      <c r="TE55" s="75">
        <f t="array" ref="TE55">INDEX('Port Linkages'!$M$18:$M$157,MATCH(2,1/(('Port Linkages'!$C$18:$C$157=$AQ55)*('Port Linkages'!$D$18:$D$157=IF($AO55="no",$AQ55,$AS55))*('Port Linkages'!$A$18:$A$157&lt;=$C55))))</f>
        <v>0</v>
      </c>
      <c r="TF55" s="75">
        <f t="array" ref="TF55">INDEX('Port Linkages'!$N$18:$N$157,MATCH(2,1/(('Port Linkages'!$C$18:$C$157=$AQ55)*('Port Linkages'!$D$18:$D$157=IF($AO55="no",$AQ55,$AS55))*('Port Linkages'!$A$18:$A$157&lt;=$C55))))</f>
        <v>0</v>
      </c>
      <c r="TG55" s="75">
        <f t="array" ref="TG55">INDEX('Port Linkages'!$O$18:$O$157,MATCH(2,1/(('Port Linkages'!$C$18:$C$157=$AQ55)*('Port Linkages'!$D$18:$D$157=IF($AO55="no",$AQ55,$AS55))*('Port Linkages'!$A$18:$A$157&lt;=$C55))))</f>
        <v>0</v>
      </c>
      <c r="TH55" s="75">
        <f t="array" ref="TH55">INDEX('Port Linkages'!$P$18:$P$157,MATCH(2,1/(('Port Linkages'!$C$18:$C$157=$AQ55)*('Port Linkages'!$D$18:$D$157=IF($AO55="no",$AQ55,$AS55))*('Port Linkages'!$A$18:$A$157&lt;=$C55))))</f>
        <v>0</v>
      </c>
      <c r="TI55" s="75">
        <f t="array" ref="TI55">INDEX('Port Linkages'!$Q$18:$Q$157,MATCH(2,1/(('Port Linkages'!$C$18:$C$157=$AQ55)*('Port Linkages'!$D$18:$D$157=IF($AO55="no",$AQ55,$AS55))*('Port Linkages'!$A$18:$A$157&lt;=$C55))))</f>
        <v>0</v>
      </c>
      <c r="TJ55" s="75">
        <f t="array" ref="TJ55">INDEX('Port Linkages'!$R$18:$R$157,MATCH(2,1/(('Port Linkages'!$C$18:$C$157=$AQ55)*('Port Linkages'!$D$18:$D$157=IF($AO55="no",$AQ55,$AS55))*('Port Linkages'!$A$18:$A$157&lt;=$C55))))</f>
        <v>0</v>
      </c>
      <c r="TK55" s="75">
        <f t="array" ref="TK55">INDEX('Port Linkages'!$S$18:$S$157,MATCH(2,1/(('Port Linkages'!$C$18:$C$157=$AQ55)*('Port Linkages'!$D$18:$D$157=IF($AO55="no",$AQ55,$AS55))*('Port Linkages'!$A$18:$A$157&lt;=$C55))))</f>
        <v>0</v>
      </c>
      <c r="TL55" s="75">
        <f t="array" ref="TL55">INDEX('Port Linkages'!$T$18:$T$157,MATCH(2,1/(('Port Linkages'!$C$18:$C$157=$AQ55)*('Port Linkages'!$D$18:$D$157=IF($AO55="no",$AQ55,$AS55))*('Port Linkages'!$A$18:$A$157&lt;=$C55))))</f>
        <v>0</v>
      </c>
      <c r="TM55" s="75">
        <f t="array" ref="TM55">INDEX('Port Linkages'!$U$18:$U$157,MATCH(2,1/(('Port Linkages'!$C$18:$C$157=$AQ55)*('Port Linkages'!$D$18:$D$157=IF($AO55="no",$AQ55,$AS55))*('Port Linkages'!$A$18:$A$157&lt;=$C55))))</f>
        <v>0</v>
      </c>
      <c r="TN55" s="75">
        <f t="array" ref="TN55">INDEX('Port Linkages'!$V$18:$V$157,MATCH(2,1/(('Port Linkages'!$C$18:$C$157=$AQ55)*('Port Linkages'!$D$18:$D$157=IF($AO55="no",$AQ55,$AS55))*('Port Linkages'!$A$18:$A$157&lt;=$C55))))</f>
        <v>0</v>
      </c>
      <c r="TO55" s="75">
        <f t="array" ref="TO55">INDEX('Port Linkages'!$W$18:$W$157,MATCH(2,1/(('Port Linkages'!$C$18:$C$157=$AQ55)*('Port Linkages'!$D$18:$D$157=IF($AO55="no",$AQ55,$AS55))*('Port Linkages'!$A$18:$A$157&lt;=$C55))))</f>
        <v>0</v>
      </c>
      <c r="TP55" s="75">
        <f t="array" ref="TP55">INDEX('Port Linkages'!$X$18:$X$157,MATCH(2,1/(('Port Linkages'!$C$18:$C$157=$AQ55)*('Port Linkages'!$D$18:$D$157=IF($AO55="no",$AQ55,$AS55))*('Port Linkages'!$A$18:$A$157&lt;=$C55))))</f>
        <v>0</v>
      </c>
      <c r="TQ55" s="75">
        <f t="array" ref="TQ55">INDEX('Port Linkages'!$Y$18:$Y$157,MATCH(2,1/(('Port Linkages'!$C$18:$C$157=$AQ55)*('Port Linkages'!$D$18:$D$157=IF($AO55="no",$AQ55,$AS55))*('Port Linkages'!$A$18:$A$157&lt;=$C55))))</f>
        <v>0</v>
      </c>
      <c r="TR55" s="75">
        <f t="array" ref="TR55">INDEX('Port Linkages'!$Z$18:$Z$157,MATCH(2,1/(('Port Linkages'!$C$18:$C$157=$AQ55)*('Port Linkages'!$D$18:$D$157=IF($AO55="no",$AQ55,$AS55))*('Port Linkages'!$A$18:$A$157&lt;=$C55))))</f>
        <v>0</v>
      </c>
      <c r="TS55" s="75">
        <f t="array" ref="TS55">INDEX('Port Linkages'!$AA$18:$AA$157,MATCH(2,1/(('Port Linkages'!$C$18:$C$157=$AQ55)*('Port Linkages'!$D$18:$D$157=IF($AO55="no",$AQ55,$AS55))*('Port Linkages'!$A$18:$A$157&lt;=$C55))))</f>
        <v>0</v>
      </c>
      <c r="TT55" s="75">
        <f t="array" ref="TT55">INDEX('Port Linkages'!$AB$18:$AB$157,MATCH(2,1/(('Port Linkages'!$C$18:$C$157=$AQ55)*('Port Linkages'!$D$18:$D$157=IF($AO55="no",$AQ55,$AS55))*('Port Linkages'!$A$18:$A$157&lt;=$C55))))</f>
        <v>0</v>
      </c>
      <c r="TU55" s="75">
        <f t="array" ref="TU55">INDEX('Port Linkages'!$AC$18:$AC$157,MATCH(2,1/(('Port Linkages'!$C$18:$C$157=$AQ55)*('Port Linkages'!$D$18:$D$157=IF($AO55="no",$AQ55,$AS55))*('Port Linkages'!$A$18:$A$157&lt;=$C55))))</f>
        <v>0</v>
      </c>
      <c r="TV55" s="75">
        <f t="array" ref="TV55">INDEX('Port Linkages'!$AD$18:$AD$157,MATCH(2,1/(('Port Linkages'!$C$18:$C$157=$AQ55)*('Port Linkages'!$D$18:$D$157=IF($AO55="no",$AQ55,$AS55))*('Port Linkages'!$A$18:$A$157&lt;=$C55))))</f>
        <v>0</v>
      </c>
      <c r="TW55" s="75">
        <f t="array" ref="TW55">INDEX('Port Linkages'!$AE$18:$AE$157,MATCH(2,1/(('Port Linkages'!$C$18:$C$157=$AQ55)*('Port Linkages'!$D$18:$D$157=IF($AO55="no",$AQ55,$AS55))*('Port Linkages'!$A$18:$A$157&lt;=$C55))))</f>
        <v>0</v>
      </c>
      <c r="TX55" s="75">
        <f t="array" ref="TX55">INDEX('Port Linkages'!$AF$18:$AF$157,MATCH(2,1/(('Port Linkages'!$C$18:$C$157=$AQ55)*('Port Linkages'!$D$18:$D$157=IF($AO55="no",$AQ55,$AS55))*('Port Linkages'!$A$18:$A$157&lt;=$C55))))</f>
        <v>0</v>
      </c>
      <c r="TY55" s="75">
        <f t="array" ref="TY55">INDEX('Port Linkages'!$AG$18:$AG$157,MATCH(2,1/(('Port Linkages'!$C$18:$C$157=$AQ55)*('Port Linkages'!$D$18:$D$157=IF($AO55="no",$AQ55,$AS55))*('Port Linkages'!$A$18:$A$157&lt;=$C55))))</f>
        <v>0</v>
      </c>
      <c r="TZ55" s="75">
        <f t="array" ref="TZ55">INDEX('Port Linkages'!$AH$18:$AH$157,MATCH(2,1/(('Port Linkages'!$C$18:$C$157=$AQ55)*('Port Linkages'!$D$18:$D$157=IF($AO55="no",$AQ55,$AS55))*('Port Linkages'!$A$18:$A$157&lt;=$C55))))</f>
        <v>0</v>
      </c>
      <c r="UA55" s="75">
        <f t="array" ref="UA55">INDEX('Port Linkages'!$AI$18:$AI$157,MATCH(2,1/(('Port Linkages'!$C$18:$C$157=$AQ55)*('Port Linkages'!$D$18:$D$157=IF($AO55="no",$AQ55,$AS55))*('Port Linkages'!$A$18:$A$157&lt;=$C55))))</f>
        <v>0</v>
      </c>
      <c r="UB55" s="75">
        <f t="array" ref="UB55">INDEX('Port Linkages'!$AJ$18:$AJ$157,MATCH(2,1/(('Port Linkages'!$C$18:$C$157=$AQ55)*('Port Linkages'!$D$18:$D$157=IF($AO55="no",$AQ55,$AS55))*('Port Linkages'!$A$18:$A$157&lt;=$C55))))</f>
        <v>0</v>
      </c>
      <c r="UC55" s="75">
        <f t="array" ref="UC55">INDEX('Port Linkages'!$AK$18:$AK$157,MATCH(2,1/(('Port Linkages'!$C$18:$C$157=$AQ55)*('Port Linkages'!$D$18:$D$157=IF($AO55="no",$AQ55,$AS55))*('Port Linkages'!$A$18:$A$157&lt;=$C55))))</f>
        <v>0</v>
      </c>
      <c r="UD55" s="75">
        <f t="array" ref="UD55">INDEX('Port Linkages'!$AL$18:$AL$157,MATCH(2,1/(('Port Linkages'!$C$18:$C$157=$AQ55)*('Port Linkages'!$D$18:$D$157=IF($AO55="no",$AQ55,$AS55))*('Port Linkages'!$A$18:$A$157&lt;=$C55))))</f>
        <v>0</v>
      </c>
      <c r="UE55" s="75">
        <f t="array" ref="UE55">INDEX('Port Linkages'!$AM$18:$AM$157,MATCH(2,1/(('Port Linkages'!$C$18:$C$157=$AQ55)*('Port Linkages'!$D$18:$D$157=IF($AO55="no",$AQ55,$AS55))*('Port Linkages'!$A$18:$A$157&lt;=$C55))))</f>
        <v>0</v>
      </c>
      <c r="UF55" s="75">
        <f t="array" ref="UF55">INDEX('Port Linkages'!$AN$18:$AN$157,MATCH(2,1/(('Port Linkages'!$C$18:$C$157=$AQ55)*('Port Linkages'!$D$18:$D$157=IF($AO55="no",$AQ55,$AS55))*('Port Linkages'!$A$18:$A$157&lt;=$C55))))</f>
        <v>0</v>
      </c>
      <c r="UG55" s="75">
        <f t="array" ref="UG55">INDEX('Port Linkages'!$AO$18:$AO$157,MATCH(2,1/(('Port Linkages'!$C$18:$C$157=$AQ55)*('Port Linkages'!$D$18:$D$157=IF($AO55="no",$AQ55,$AS55))*('Port Linkages'!$A$18:$A$157&lt;=$C55))))</f>
        <v>0</v>
      </c>
      <c r="UH55" s="75">
        <f t="array" ref="UH55">INDEX('Port Linkages'!$AP$18:$AP$157,MATCH(2,1/(('Port Linkages'!$C$18:$C$157=$AQ55)*('Port Linkages'!$D$18:$D$157=IF($AO55="no",$AQ55,$AS55))*('Port Linkages'!$A$18:$A$157&lt;=$C55))))</f>
        <v>0</v>
      </c>
      <c r="UI55" s="75">
        <f t="array" ref="UI55">INDEX('Port Linkages'!$AQ$18:$AQ$157,MATCH(2,1/(('Port Linkages'!$C$18:$C$157=$AQ55)*('Port Linkages'!$D$18:$D$157=IF($AO55="no",$AQ55,$AS55))*('Port Linkages'!$A$18:$A$157&lt;=$C55))))</f>
        <v>0</v>
      </c>
      <c r="UJ55" s="75">
        <f t="array" ref="UJ55">INDEX('Port Linkages'!$AR$18:$AR$157,MATCH(2,1/(('Port Linkages'!$C$18:$C$157=$AQ55)*('Port Linkages'!$D$18:$D$157=IF($AO55="no",$AQ55,$AS55))*('Port Linkages'!$A$18:$A$157&lt;=$C55))))</f>
        <v>0</v>
      </c>
      <c r="UK55" s="75">
        <f t="array" ref="UK55">INDEX('Port Linkages'!$AS$18:$AS$157,MATCH(2,1/(('Port Linkages'!$C$18:$C$157=$AQ55)*('Port Linkages'!$D$18:$D$157=IF($AO55="no",$AQ55,$AS55))*('Port Linkages'!$A$18:$A$157&lt;=$C55))))</f>
        <v>0</v>
      </c>
      <c r="UL55" s="75">
        <f t="array" ref="UL55">INDEX('Port Linkages'!$AT$18:$AT$157,MATCH(2,1/(('Port Linkages'!$C$18:$C$157=$AQ55)*('Port Linkages'!$D$18:$D$157=IF($AO55="no",$AQ55,$AS55))*('Port Linkages'!$A$18:$A$157&lt;=$C55))))</f>
        <v>0</v>
      </c>
      <c r="UM55" s="75">
        <f t="array" ref="UM55">INDEX('Port Linkages'!$AU$18:$AU$157,MATCH(2,1/(('Port Linkages'!$C$18:$C$157=$AQ55)*('Port Linkages'!$D$18:$D$157=IF($AO55="no",$AQ55,$AS55))*('Port Linkages'!$A$18:$A$157&lt;=$C55))))</f>
        <v>0</v>
      </c>
      <c r="UN55" s="75">
        <f t="array" ref="UN55">INDEX('Port Linkages'!$AV$18:$AV$157,MATCH(2,1/(('Port Linkages'!$C$18:$C$157=$AQ55)*('Port Linkages'!$D$18:$D$157=IF($AO55="no",$AQ55,$AS55))*('Port Linkages'!$A$18:$A$157&lt;=$C55))))</f>
        <v>0</v>
      </c>
      <c r="UO55" s="75">
        <f t="array" ref="UO55">INDEX('Port Linkages'!$AW$18:$AW$157,MATCH(2,1/(('Port Linkages'!$C$18:$C$157=$AQ55)*('Port Linkages'!$D$18:$D$157=IF($AO55="no",$AQ55,$AS55))*('Port Linkages'!$A$18:$A$157&lt;=$C55))))</f>
        <v>0</v>
      </c>
      <c r="UP55" s="75">
        <f t="array" ref="UP55">INDEX('Port Linkages'!$AX$18:$AX$157,MATCH(2,1/(('Port Linkages'!$C$18:$C$157=$AQ55)*('Port Linkages'!$D$18:$D$157=IF($AO55="no",$AQ55,$AS55))*('Port Linkages'!$A$18:$A$157&lt;=$C55))))</f>
        <v>0</v>
      </c>
      <c r="UQ55" s="75">
        <f t="array" ref="UQ55">INDEX('Port Linkages'!$AY$18:$AY$157,MATCH(2,1/(('Port Linkages'!$C$18:$C$157=$AQ55)*('Port Linkages'!$D$18:$D$157=IF($AO55="no",$AQ55,$AS55))*('Port Linkages'!$A$18:$A$157&lt;=$C55))))</f>
        <v>0</v>
      </c>
      <c r="UR55" s="75">
        <f t="array" ref="UR55">INDEX('Port Linkages'!$AZ$18:$AZ$157,MATCH(2,1/(('Port Linkages'!$C$18:$C$157=$AQ55)*('Port Linkages'!$D$18:$D$157=IF($AO55="no",$AQ55,$AS55))*('Port Linkages'!$A$18:$A$157&lt;=$C55))))</f>
        <v>0</v>
      </c>
      <c r="US55" s="75">
        <f t="array" ref="US55">INDEX('Port Linkages'!$BA$18:$BA$157,MATCH(2,1/(('Port Linkages'!$C$18:$C$157=$AQ55)*('Port Linkages'!$D$18:$D$157=IF($AO55="no",$AQ55,$AS55))*('Port Linkages'!$A$18:$A$157&lt;=$C55))))</f>
        <v>0</v>
      </c>
      <c r="UU55" s="25" t="e">
        <f t="array" aca="1" ref="UU55" ca="1">INDEX('Ship Fuel Prices'!$F$5:$F$1004,MATCH(2,1/(('Ship Fuel Prices'!$E$5:$E$1004=_xlfn.IFS(SJ55="Handysize",Main!UP55,SJ55="Supramax",UI55,SJ55="Panamax",UB55,SJ55="NeoPanamax",TU55,SJ55="Suezmax",TN55,SJ55="Capesize",TG55,SJ55="VLOC",SZ55))*('Ship Fuel Prices'!$D$5:$D$1004&lt;=Main!$C55))))</f>
        <v>#N/A</v>
      </c>
      <c r="UV55" s="25" t="e">
        <f t="array" aca="1" ref="UV55" ca="1">INDEX('Ship Fuel Prices'!$G$5:$G$1004,MATCH(2,1/(('Ship Fuel Prices'!$E$5:$E$1004=_xlfn.IFS(SJ55="Handysize",Main!UP55,SJ55="Supramax",UI55,SJ55="Panamax",UB55,SJ55="NeoPanamax",TU55,SJ55="Suezmax",TN55,SJ55="Capesize",TG55,SJ55="VLOC",SZ55))*('Ship Fuel Prices'!$D$5:$D$1004&lt;=Main!$C55))))</f>
        <v>#N/A</v>
      </c>
      <c r="UW55" s="25" t="e">
        <f t="array" aca="1" ref="UW55" ca="1">INDEX('Ship Fuel Prices'!$H$5:$H$1004,MATCH(2,1/(('Ship Fuel Prices'!$E$5:$E$1004=_xlfn.IFS(SJ55="Handysize",Main!UP55,SJ55="Supramax",UI55,SJ55="Panamax",UB55,SJ55="NeoPanamax",TU55,SJ55="Suezmax",TN55,SJ55="Capesize",TG55,SJ55="VLOC",SZ55))*('Ship Fuel Prices'!$D$5:$D$1004&lt;=Main!$C55))))</f>
        <v>#N/A</v>
      </c>
      <c r="UX55" s="25" t="e">
        <f t="array" aca="1" ref="UX55" ca="1">INDEX('Ship Fuel Prices'!$I$5:$I$1004,MATCH(2,1/(('Ship Fuel Prices'!$E$5:$E$1004=_xlfn.IFS(SJ55="Handysize",Main!UP55,SJ55="Supramax",UI55,SJ55="Panamax",UB55,SJ55="NeoPanamax",TU55,SJ55="Suezmax",TN55,SJ55="Capesize",TG55,SJ55="VLOC",SZ55))*('Ship Fuel Prices'!$D$5:$D$1004&lt;=Main!$C55))))</f>
        <v>#N/A</v>
      </c>
      <c r="UY55" s="25" t="e">
        <f t="array" aca="1" ref="UY55" ca="1">INDEX('Ship Fuel Prices'!$J$5:$J$1004,MATCH(2,1/(('Ship Fuel Prices'!$E$5:$E$1004=_xlfn.IFS(SJ55="Handysize",Main!UP55,SJ55="Supramax",UI55,SJ55="Panamax",UB55,SJ55="NeoPanamax",TU55,SJ55="Suezmax",TN55,SJ55="Capesize",TG55,SJ55="VLOC",SZ55))*('Ship Fuel Prices'!$D$5:$D$1004&lt;=Main!$C55))))</f>
        <v>#N/A</v>
      </c>
      <c r="VA55" s="75">
        <f t="array" ref="VA55">INDEX('China n Importing Ports'!$E$20:$E$41,MATCH(2,1/(('China n Importing Ports'!$D$20:$D$41&lt;=$C55)*('China n Importing Ports'!$C$20:$C$41=IF($AO55="No",$AQ55,$AS55)))))</f>
        <v>0</v>
      </c>
      <c r="VB55" s="75">
        <f t="array" ref="VB55">INDEX('China n Importing Ports'!$F$20:$F$41,MATCH(2,1/(('China n Importing Ports'!$D$20:$D$41&lt;=$C55)*('China n Importing Ports'!$C$20:$C$41=IF($AO55="No",$AQ55,$AS55)))))</f>
        <v>0</v>
      </c>
      <c r="VC55" s="75">
        <f t="array" ref="VC55">INDEX('China n Importing Ports'!$G$20:$G$41,MATCH(2,1/(('China n Importing Ports'!$D$20:$D$41&lt;=$C55)*('China n Importing Ports'!$C$20:$C$41=IF($AO55="No",$AQ55,$AS55)))))</f>
        <v>0</v>
      </c>
      <c r="VD55" s="75">
        <f t="array" ref="VD55">INDEX('China n Importing Ports'!$H$20:$H$41,MATCH(2,1/(('China n Importing Ports'!$D$20:$D$41&lt;=$C55)*('China n Importing Ports'!$C$20:$C$41=IF($AO55="No",$AQ55,$AS55)))))</f>
        <v>0</v>
      </c>
      <c r="VE55" s="75">
        <f t="array" ref="VE55">INDEX('China n Importing Ports'!$I$20:$I$41,MATCH(2,1/(('China n Importing Ports'!$D$20:$D$41&lt;=$C55)*('China n Importing Ports'!$C$20:$C$41=IF($AO55="No",$AQ55,$AS55)))))</f>
        <v>0</v>
      </c>
      <c r="VF55" s="75">
        <f t="array" ref="VF55">INDEX('China n Importing Ports'!$J$20:$J$41,MATCH(2,1/(('China n Importing Ports'!$D$20:$D$41&lt;=$C55)*('China n Importing Ports'!$C$20:$C$41=IF($AO55="No",$AQ55,$AS55)))))</f>
        <v>0</v>
      </c>
      <c r="VG55" s="75">
        <f t="array" ref="VG55">INDEX('China n Importing Ports'!$K$20:$K$41,MATCH(2,1/(('China n Importing Ports'!$D$20:$D$41&lt;=$C55)*('China n Importing Ports'!$C$20:$C$41=IF($AO55="No",$AQ55,$AS55)))))</f>
        <v>0</v>
      </c>
      <c r="VH55" s="75">
        <f t="array" ref="VH55">INDEX('China n Importing Ports'!$L$20:$L$41,MATCH(2,1/(('China n Importing Ports'!$D$20:$D$41&lt;=$C55)*('China n Importing Ports'!$C$20:$C$41=IF($AO55="No",$AQ55,$AS55)))))</f>
        <v>0</v>
      </c>
      <c r="VI55" s="75">
        <f t="array" ref="VI55">INDEX('China n Importing Ports'!$M$20:$M$41,MATCH(2,1/(('China n Importing Ports'!$D$20:$D$41&lt;=$C55)*('China n Importing Ports'!$C$20:$C$41=IF($AO55="No",$AQ55,$AS55)))))</f>
        <v>0</v>
      </c>
      <c r="VJ55" s="75">
        <f t="array" ref="VJ55">INDEX('China n Importing Ports'!$N$20:$N$41,MATCH(2,1/(('China n Importing Ports'!$D$20:$D$41&lt;=$C55)*('China n Importing Ports'!$C$20:$C$41=IF($AO55="No",$AQ55,$AS55)))))</f>
        <v>0</v>
      </c>
      <c r="VK55" s="75">
        <f t="array" ref="VK55">INDEX('China n Importing Ports'!$O$20:$O$41,MATCH(2,1/(('China n Importing Ports'!$D$20:$D$41&lt;=$C55)*('China n Importing Ports'!$C$20:$C$41=IF($AO55="No",$AQ55,$AS55)))))</f>
        <v>0</v>
      </c>
      <c r="VL55" s="136">
        <f t="array" ref="VL55">INDEX('China n Importing Ports'!$P$20:$P$41,MATCH(2,1/(('China n Importing Ports'!$D$20:$D$41&lt;=$C55)*('China n Importing Ports'!$C$20:$C$41=IF($AO55="No",$AQ55,$AS55)))))</f>
        <v>0</v>
      </c>
      <c r="VM55" s="136">
        <f t="array" ref="VM55">INDEX('China n Importing Ports'!$Q$20:$Q$41,MATCH(2,1/(('China n Importing Ports'!$D$20:$D$41&lt;=$C55)*('China n Importing Ports'!$C$20:$C$41=IF($AO55="No",$AQ55,$AS55)))))</f>
        <v>0</v>
      </c>
      <c r="VN55" s="136">
        <f t="array" ref="VN55">INDEX('China n Importing Ports'!$R$20:$R$41,MATCH(2,1/(('China n Importing Ports'!$D$20:$D$41&lt;=$C55)*('China n Importing Ports'!$C$20:$C$41=IF($AO55="No",$AQ55,$AS55)))))</f>
        <v>0</v>
      </c>
      <c r="VO55" s="136">
        <f t="array" ref="VO55">INDEX('China n Importing Ports'!$S$20:$S$41,MATCH(2,1/(('China n Importing Ports'!$D$20:$D$41&lt;=$C55)*('China n Importing Ports'!$C$20:$C$41=IF($AO55="No",$AQ55,$AS55)))))</f>
        <v>0</v>
      </c>
      <c r="VP55" s="136">
        <f t="array" ref="VP55">INDEX('China n Importing Ports'!$T$20:$T$41,MATCH(2,1/(('China n Importing Ports'!$D$20:$D$41&lt;=$C55)*('China n Importing Ports'!$C$20:$C$41=IF($AO55="No",$AQ55,$AS55)))))</f>
        <v>0</v>
      </c>
      <c r="VQ55" s="136">
        <f t="array" ref="VQ55">INDEX('China n Importing Ports'!$U$20:$U$41,MATCH(2,1/(('China n Importing Ports'!$D$20:$D$41&lt;=$C55)*('China n Importing Ports'!$C$20:$C$41=IF($AO55="No",$AQ55,$AS55)))))</f>
        <v>0</v>
      </c>
      <c r="VR55" s="136">
        <f t="array" ref="VR55">INDEX('China n Importing Ports'!$V$20:$V$41,MATCH(2,1/(('China n Importing Ports'!$D$20:$D$41&lt;=$C55)*('China n Importing Ports'!$C$20:$C$41=IF($AO55="No",$AQ55,$AS55)))))</f>
        <v>0</v>
      </c>
      <c r="VS55" s="136">
        <f t="array" ref="VS55">INDEX('China n Importing Ports'!$W$20:$W$41,MATCH(2,1/(('China n Importing Ports'!$D$20:$D$41&lt;=$C55)*('China n Importing Ports'!$C$20:$C$41=IF($AO55="No",$AQ55,$AS55)))))</f>
        <v>0</v>
      </c>
      <c r="VT55" s="136">
        <f t="array" ref="VT55">INDEX('China n Importing Ports'!$X$20:$X$41,MATCH(2,1/(('China n Importing Ports'!$D$20:$D$41&lt;=$C55)*('China n Importing Ports'!$C$20:$C$41=IF($AO55="No",$AQ55,$AS55)))))</f>
        <v>0</v>
      </c>
      <c r="VU55" s="136">
        <f t="array" ref="VU55">INDEX('China n Importing Ports'!$Y$20:$Y$41,MATCH(2,1/(('China n Importing Ports'!$D$20:$D$41&lt;=$C55)*('China n Importing Ports'!$C$20:$C$41=IF($AO55="No",$AQ55,$AS55)))))</f>
        <v>0</v>
      </c>
      <c r="VV55" s="136">
        <f t="array" ref="VV55">INDEX('China n Importing Ports'!$Z$20:$Z$41,MATCH(2,1/(('China n Importing Ports'!$D$20:$D$41&lt;=$C55)*('China n Importing Ports'!$C$20:$C$41=IF($AO55="No",$AQ55,$AS55)))))</f>
        <v>0</v>
      </c>
      <c r="VW55" s="136">
        <f t="array" ref="VW55">INDEX('China n Importing Ports'!$AA$20:$AA$41,MATCH(2,1/(('China n Importing Ports'!$D$20:$D$41&lt;=$C55)*('China n Importing Ports'!$C$20:$C$41=IF($AO55="No",$AQ55,$AS55)))))</f>
        <v>0</v>
      </c>
      <c r="VY55" s="75" t="e">
        <f t="array" aca="1" ref="VY55" ca="1">INDEX(Canals!$G$24:$G$29,MATCH(2,1/((Canals!$F$24:$F$29&lt;=$C55)*(Canals!$G$24:$G$29=_xlfn.IFS(SJ55="Handysize",US55,SJ55="Supramax",UL55,SJ55="Panamax",UE55,SJ55="NeoPanamax",TX55,SJ55="Suezmax",TQ55,SJ55="Capesize",TJ55,SJ55="VLOC",TC55)))))</f>
        <v>#N/A</v>
      </c>
      <c r="VZ55" s="75" t="e">
        <f t="array" aca="1" ref="VZ55" ca="1">INDEX(Canals!$H$24:$H$29,MATCH(2,1/((Canals!$F$24:$F$29&lt;=$C55)*(Canals!$G$24:$G$29=_xlfn.IFS(SJ55="Handysize",US55,SJ55="Supramax",UL55,SJ55="Panamax",UE55,SJ55="NeoPanamax",TX55,SJ55="Suezmax",TQ55,SJ55="Capesize",TJ55,SJ55="VLOC",TC55)))))</f>
        <v>#N/A</v>
      </c>
      <c r="WA55" s="75" t="e">
        <f t="array" aca="1" ref="WA55" ca="1">INDEX(Canals!$I$24:$I$29,MATCH(2,1/((Canals!$F$24:$F$29&lt;=$C55)*(Canals!$G$24:$G$29=_xlfn.IFS(SJ55="Handysize",US55,SJ55="Supramax",UL55,SJ55="Panamax",UE55,SJ55="NeoPanamax",TX55,SJ55="Suezmax",TQ55,SJ55="Capesize",TJ55,SJ55="VLOC",TC55)))))</f>
        <v>#N/A</v>
      </c>
      <c r="WB55" s="75" t="e">
        <f t="array" aca="1" ref="WB55" ca="1">INDEX(Canals!$J$24:$J$29,MATCH(2,1/((Canals!$F$24:$F$29&lt;=$C55)*(Canals!$G$24:$G$29=_xlfn.IFS(SJ55="Handysize",Main!US55,SJ55="Supramax",UL55,SJ55="Panamax",UE55,SJ55="NeoPanamax",TX55,SJ55="Suezmax",TQ55,SJ55="Capesize",TJ55,SJ55="VLOC",TC55)))))</f>
        <v>#N/A</v>
      </c>
      <c r="WC55" s="75" t="e">
        <f t="array" aca="1" ref="WC55" ca="1">INDEX(Canals!$K$24:$K$29,MATCH(2,1/((Canals!$F$24:$F$29&lt;=$C55)*(Canals!$G$24:$G$29=_xlfn.IFS(SJ55="Handysize",Main!US55,SJ55="Supramax",UL55,SJ55="Panamax",UE55,SJ55="NeoPanamax",TX55,SJ55="Suezmax",TQ55,SJ55="Capesize",TJ55,SJ55="VLOC",TC55)))))</f>
        <v>#N/A</v>
      </c>
      <c r="WD55" s="75" t="e">
        <f t="array" aca="1" ref="WD55" ca="1">INDEX(Canals!$L$24:$L$29,MATCH(2,1/((Canals!$F$24:$F$29&lt;=$C55)*(Canals!$G$24:$G$29=_xlfn.IFS(SJ55="Handysize",Main!US55,SJ55="Supramax",UL55,SJ55="Panamax",UE55,SJ55="NeoPanamax",TX55,SJ55="Suezmax",TQ55,SJ55="Capesize",TJ55,SJ55="VLOC",TC55)))))</f>
        <v>#N/A</v>
      </c>
      <c r="WE55" s="75" t="e">
        <f t="array" aca="1" ref="WE55" ca="1">INDEX(Canals!$M$24:$M$29,MATCH(2,1/((Canals!$F$24:$F$29&lt;=$C55)*(Canals!$G$24:$G$29=_xlfn.IFS(SJ55="Handysize",Main!US55,SJ55="Supramax",UL55,SJ55="Panamax",UE55,SJ55="NeoPanamax",TX55,SJ55="Suezmax",TQ55,SJ55="Capesize",TJ55,SJ55="VLOC",TC55)))))</f>
        <v>#N/A</v>
      </c>
      <c r="WF55" s="75" t="e">
        <f t="array" aca="1" ref="WF55" ca="1">INDEX(Canals!$N$24:$N$29,MATCH(2,1/((Canals!$F$24:$F$29&lt;=$C55)*(Canals!$G$24:$G$29=_xlfn.IFS(SJ55="Handysize",Main!US55,SJ55="Supramax",UL55,SJ55="Panamax",UE55,SJ55="NeoPanamax",TX55,SJ55="Suezmax",TQ55,SJ55="Capesize",TJ55,SJ55="VLOC",TC55)))))</f>
        <v>#N/A</v>
      </c>
      <c r="WG55" s="75" t="e">
        <f t="array" aca="1" ref="WG55" ca="1">INDEX(Canals!$O$24:$O$29,MATCH(2,1/((Canals!$F$24:$F$29&lt;=$C55)*(Canals!$G$24:$G$29=_xlfn.IFS(SJ55="Handysize",Main!US55,SJ55="Supramax",UL55,SJ55="Panamax",UE55,SJ55="NeoPanamax",TX55,SJ55="Suezmax",TQ55,SJ55="Capesize",TJ55,SJ55="VLOC",TC55)))))</f>
        <v>#N/A</v>
      </c>
      <c r="WH55" s="75" t="e">
        <f t="array" aca="1" ref="WH55" ca="1">INDEX(Canals!$P$24:$P$29,MATCH(2,1/((Canals!$F$24:$F$29&lt;=$C55)*(Canals!$G$24:$G$29=_xlfn.IFS(SJ55="Handysize",Main!US55,SJ55="Supramax",UL55,SJ55="Panamax",UE55,SJ55="NeoPanamax",TX55,SJ55="Suezmax",TQ55,SJ55="Capesize",TJ55,SJ55="VLOC",TC55)))))</f>
        <v>#N/A</v>
      </c>
      <c r="WI55" s="75" t="e">
        <f t="array" aca="1" ref="WI55" ca="1">INDEX(Canals!$Q$24:$Q$29,MATCH(2,1/((Canals!$F$24:$F$29&lt;=$C55)*(Canals!$G$24:$G$29=_xlfn.IFS(SJ55="Handysize",Main!US55,SJ55="Supramax",UL55,SJ55="Panamax",UE55,SJ55="NeoPanamax",TX55,SJ55="Suezmax",TQ55,SJ55="Capesize",TJ55,SJ55="VLOC",TC55)))))</f>
        <v>#N/A</v>
      </c>
      <c r="WJ55" s="75" t="e">
        <f t="array" aca="1" ref="WJ55" ca="1">INDEX(Canals!$R$24:$R$29,MATCH(2,1/((Canals!$F$24:$F$29&lt;=$C55)*(Canals!$G$24:$G$29=_xlfn.IFS(SJ55="Handysize",Main!US55,SJ55="Supramax",UL55,SJ55="Panamax",UE55,SJ55="NeoPanamax",TX55,SJ55="Suezmax",TQ55,SJ55="Capesize",TJ55,SJ55="VLOC",TC55)))))</f>
        <v>#N/A</v>
      </c>
      <c r="WK55" s="136" t="e">
        <f t="array" aca="1" ref="WK55" ca="1">INDEX(Canals!$S$24:$S$29,MATCH(2,1/((Canals!$F$24:$F$29&lt;=$C55)*(Canals!$G$24:$G$29=_xlfn.IFS(SJ55="Handysize",Main!US55,SJ55="Supramax",UL55,SJ55="Panamax",UE55,SJ55="NeoPanamax",TX55,SJ55="Suezmax",TQ55,SJ55="Capesize",TJ55,SJ55="VLOC",TC55)))))</f>
        <v>#N/A</v>
      </c>
      <c r="WL55" s="136" t="e">
        <f t="array" aca="1" ref="WL55" ca="1">INDEX(Canals!$T$24:$T$29,MATCH(2,1/((Canals!$F$24:$F$29&lt;=$C55)*(Canals!$G$24:$G$29=_xlfn.IFS(SJ55="Handysize",Main!US55,SJ55="Supramax",UL55,SJ55="Panamax",UE55,SJ55="NeoPanamax",TX55,SJ55="Suezmax",TQ55,SJ55="Capesize",TJ55,SJ55="VLOC",TC55)))))</f>
        <v>#N/A</v>
      </c>
      <c r="WM55" s="136" t="e">
        <f t="array" aca="1" ref="WM55" ca="1">INDEX(Canals!$U$24:$U$29,MATCH(2,1/((Canals!$F$24:$F$29&lt;=$C55)*(Canals!$G$24:$G$29=_xlfn.IFS(SJ55="Handysize",Main!US55,SJ55="Supramax",UL55,SJ55="Panamax",UE55,SJ55="NeoPanamax",TX55,SJ55="Suezmax",TQ55,SJ55="Capesize",TJ55,SJ55="VLOC",TC55)))))</f>
        <v>#N/A</v>
      </c>
      <c r="WN55" s="136" t="e">
        <f t="array" aca="1" ref="WN55" ca="1">INDEX(Canals!$V$24:$V$29,MATCH(2,1/((Canals!$F$24:$F$29&lt;=$C55)*(Canals!$G$24:$G$29=_xlfn.IFS(SJ55="Handysize",Main!US55,SJ55="Supramax",UL55,SJ55="Panamax",UE55,SJ55="NeoPanamax",TX55,SJ55="Suezmax",TQ55,SJ55="Capesize",TJ55,SJ55="VLOC",TC55)))))</f>
        <v>#N/A</v>
      </c>
      <c r="WO55" s="136" t="e">
        <f t="array" aca="1" ref="WO55" ca="1">INDEX(Canals!$W$24:$W$29,MATCH(2,1/((Canals!$F$24:$F$29&lt;=$C55)*(Canals!$G$24:$G$29=_xlfn.IFS(SJ55="Handysize",Main!US55,SJ55="Supramax",UL55,SJ55="Panamax",UE55,SJ55="NeoPanamax",TX55,SJ55="Suezmax",TQ55,SJ55="Capesize",TJ55,SJ55="VLOC",TC55)))))</f>
        <v>#N/A</v>
      </c>
      <c r="WP55" s="136" t="e">
        <f t="array" aca="1" ref="WP55" ca="1">INDEX(Canals!$X$24:$X$29,MATCH(2,1/((Canals!$F$24:$F$29&lt;=$C55)*(Canals!$G$24:$G$29=_xlfn.IFS(SJ55="Handysize",Main!US55,SJ55="Supramax",UL55,SJ55="Panamax",UE55,SJ55="NeoPanamax",TX55,SJ55="Suezmax",TQ55,SJ55="Capesize",TJ55,SJ55="VLOC",TC55)))))</f>
        <v>#N/A</v>
      </c>
      <c r="WQ55" s="136" t="e">
        <f t="array" aca="1" ref="WQ55" ca="1">INDEX(Canals!$Y$24:$Y$29,MATCH(2,1/((Canals!$F$24:$F$29&lt;=$C55)*(Canals!$G$24:$G$29=_xlfn.IFS(SJ55="Handysize",Main!US55,SJ55="Supramax",UL55,SJ55="Panamax",UE55,SJ55="NeoPanamax",TX55,SJ55="Suezmax",TQ55,SJ55="Capesize",TJ55,SJ55="VLOC",TC55)))))</f>
        <v>#N/A</v>
      </c>
      <c r="WR55" s="136" t="e">
        <f t="array" aca="1" ref="WR55" ca="1">INDEX(Canals!$Z$24:$Z$29,MATCH(2,1/((Canals!$F$24:$F$29&lt;=$C55)*(Canals!$G$24:$G$29=_xlfn.IFS(SJ55="Handysize",Main!US55,SJ55="Supramax",UL55,SJ55="Panamax",UE55,SJ55="NeoPanamax",TX55,SJ55="Suezmax",TQ55,SJ55="Capesize",TJ55,SJ55="VLOC",TC55)))))</f>
        <v>#N/A</v>
      </c>
      <c r="WS55" s="136" t="e">
        <f t="array" aca="1" ref="WS55" ca="1">INDEX(Canals!$AA$24:$AA$29,MATCH(2,1/((Canals!$F$24:$F$29&lt;=$C55)*(Canals!$G$24:$G$29=_xlfn.IFS(SJ55="Handysize",Main!US55,SJ55="Supramax",UL55,SJ55="Panamax",UE55,SJ55="NeoPanamax",TX55,SJ55="Suezmax",TQ55,SJ55="Capesize",TJ55,SJ55="VLOC",TC55)))))</f>
        <v>#N/A</v>
      </c>
      <c r="WT55" s="136" t="e">
        <f t="array" aca="1" ref="WT55" ca="1">INDEX(Canals!$AB$24:$AB$29,MATCH(2,1/((Canals!$F$24:$F$29&lt;=$C55)*(Canals!$G$24:$G$29=_xlfn.IFS(SJ55="Handysize",Main!US55,SJ55="Supramax",UL55,SJ55="Panamax",UE55,SJ55="NeoPanamax",TX55,SJ55="Suezmax",TQ55,SJ55="Capesize",TJ55,SJ55="VLOC",TC55)))))</f>
        <v>#N/A</v>
      </c>
      <c r="WU55" s="75" t="e">
        <f t="array" aca="1" ref="WU55" ca="1">INDEX(Canals!$AC$24:$AC$29,MATCH(2,1/((Canals!$F$24:$F$29&lt;=$C55)*(Canals!$G$24:$G$29=_xlfn.IFS(SJ55="Handysize",Main!US55,SJ55="Supramax",UL55,SJ55="Panamax",UE55,SJ55="NeoPanamax",TX55,SJ55="Suezmax",TQ55,SJ55="Capesize",TJ55,SJ55="VLOC",TC55)))))</f>
        <v>#N/A</v>
      </c>
      <c r="WV55" s="75" t="e">
        <f t="array" aca="1" ref="WV55" ca="1">INDEX(Canals!$AD$24:$AD$29,MATCH(2,1/((Canals!$F$24:$F$29&lt;=$C55)*(Canals!$G$24:$G$29=_xlfn.IFS(SJ55="Handysize",Main!US55,SJ55="Supramax",UL55,SJ55="Panamax",UE55,SJ55="NeoPanamax",TX55,SJ55="Suezmax",TQ55,SJ55="Capesize",TJ55,SJ55="VLOC",TC55)))))</f>
        <v>#N/A</v>
      </c>
      <c r="WW55" s="75" t="e">
        <f t="array" aca="1" ref="WW55" ca="1">INDEX(Canals!$AE$24:$AE$29,MATCH(2,1/((Canals!$F$24:$F$29&lt;=$C55)*(Canals!$G$24:$G$29=_xlfn.IFS(SJ55="Handysize",Main!US55,SJ55="Supramax",UL55,SJ55="Panamax",UE55,SJ55="NeoPanamax",TX55,SJ55="Suezmax",TQ55,SJ55="Capesize",TJ55,SJ55="VLOC",TC55)))))</f>
        <v>#N/A</v>
      </c>
      <c r="WX55" s="75" t="e">
        <f t="array" aca="1" ref="WX55" ca="1">INDEX(Canals!$AF$24:$AF$29,MATCH(2,1/((Canals!$F$24:$F$29&lt;=$C55)*(Canals!$G$24:$G$29=_xlfn.IFS(SJ55="Handysize",Main!US55,SJ55="Supramax",UL55,SJ55="Panamax",UE55,SJ55="NeoPanamax",TX55,SJ55="Suezmax",TQ55,SJ55="Capesize",TJ55,SJ55="VLOC",TC55)))))</f>
        <v>#N/A</v>
      </c>
      <c r="WY55" s="75" t="e">
        <f t="array" aca="1" ref="WY55" ca="1">INDEX(Canals!$AG$24:$AG$29,MATCH(2,1/((Canals!$F$24:$F$29&lt;=$C55)*(Canals!$G$24:$G$29=_xlfn.IFS(SJ55="Handysize",Main!US55,SJ55="Supramax",UL55,SJ55="Panamax",UE55,SJ55="NeoPanamax",TX55,SJ55="Suezmax",TQ55,SJ55="Capesize",TJ55,SJ55="VLOC",TC55)))))</f>
        <v>#N/A</v>
      </c>
      <c r="WZ55" s="75" t="e">
        <f t="array" aca="1" ref="WZ55" ca="1">INDEX(Canals!$AH$24:$AH$29,MATCH(2,1/((Canals!$F$24:$F$29&lt;=$C55)*(Canals!$G$24:$G$29=_xlfn.IFS(SJ55="Handysize",Main!US55,SJ55="Supramax",UL55,SJ55="Panamax",UE55,SJ55="NeoPanamax",TX55,SJ55="Suezmax",TQ55,SJ55="Capesize",TJ55,SJ55="VLOC",TC55)))))</f>
        <v>#N/A</v>
      </c>
      <c r="XA55" s="75" t="e">
        <f t="array" aca="1" ref="XA55" ca="1">INDEX(Canals!$AI$24:$AI$29,MATCH(2,1/((Canals!$F$24:$F$29&lt;=$C55)*(Canals!$G$24:$G$29=_xlfn.IFS(SJ55="Handysize",Main!US55,SJ55="Supramax",UL55,SJ55="Panamax",UE55,SJ55="NeoPanamax",TX55,SJ55="Suezmax",TQ55,SJ55="Capesize",TJ55,SJ55="VLOC",TC55)))))</f>
        <v>#N/A</v>
      </c>
      <c r="XB55" s="75" t="e">
        <f t="array" aca="1" ref="XB55" ca="1">INDEX(Canals!$AJ$24:$AJ$29,MATCH(2,1/((Canals!$F$24:$F$29&lt;=$C55)*(Canals!$G$24:$G$29=_xlfn.IFS(SJ55="Handysize",Main!US55,SJ55="Supramax",UL55,SJ55="Panamax",UE55,SJ55="NeoPanamax",TX55,SJ55="Suezmax",TQ55,SJ55="Capesize",TJ55,SJ55="VLOC",TC55)))))</f>
        <v>#N/A</v>
      </c>
      <c r="XC55" s="75" t="e">
        <f t="array" aca="1" ref="XC55" ca="1">INDEX(Canals!$AK$24:$AK$29,MATCH(2,1/((Canals!$F$24:$F$29&lt;=$C55)*(Canals!$G$24:$G$29=_xlfn.IFS(SJ55="Handysize",Main!US55,SJ55="Supramax",UL55,SJ55="Panamax",UE55,SJ55="NeoPanamax",TX55,SJ55="Suezmax",TQ55,SJ55="Capesize",TJ55,SJ55="VLOC",TC55)))))</f>
        <v>#N/A</v>
      </c>
      <c r="XD55" s="136" t="e">
        <f t="array" aca="1" ref="XD55" ca="1">INDEX(Canals!$AL$24:$AL$29,MATCH(2,1/((Canals!$F$24:$F$29&lt;=$C55)*(Canals!$G$24:$G$29=_xlfn.IFS(SJ55="Handysize",Main!US55,SJ55="Supramax",UL55,SJ55="Panamax",UE55,SJ55="NeoPanamax",TX55,SJ55="Suezmax",TQ55,SJ55="Capesize",TJ55,SJ55="VLOC",TC55)))))</f>
        <v>#N/A</v>
      </c>
      <c r="XE55" s="136" t="e">
        <f t="array" aca="1" ref="XE55" ca="1">INDEX(Canals!$AM$24:$AM$29,MATCH(2,1/((Canals!$F$24:$F$29&lt;=$C55)*(Canals!$G$24:$G$29=_xlfn.IFS(SJ55="Handysize",Main!US55,SJ55="Supramax",UL55,SJ55="Panamax",UE55,SJ55="NeoPanamax",TX55,SJ55="Suezmax",TQ55,SJ55="Capesize",TJ55,SJ55="VLOC",TC55)))))</f>
        <v>#N/A</v>
      </c>
      <c r="XF55" s="136" t="e">
        <f t="array" aca="1" ref="XF55" ca="1">INDEX(Canals!$AN$24:$AN$29,MATCH(2,1/((Canals!$F$24:$F$29&lt;=$C55)*(Canals!$G$24:$G$29=_xlfn.IFS(SJ55="Handysize",Main!US55,SJ55="Supramax",UL55,SJ55="Panamax",UE55,SJ55="NeoPanamax",TX55,SJ55="Suezmax",TQ55,SJ55="Capesize",TJ55,SJ55="VLOC",TC55)))))</f>
        <v>#N/A</v>
      </c>
      <c r="XG55" s="136" t="e">
        <f t="array" aca="1" ref="XG55" ca="1">INDEX(Canals!$AO$24:$AO$29,MATCH(2,1/((Canals!$F$24:$F$29&lt;=$C55)*(Canals!$G$24:$G$29=_xlfn.IFS(SJ55="Handysize",Main!US55,SJ55="Supramax",UL55,SJ55="Panamax",UE55,SJ55="NeoPanamax",TX55,SJ55="Suezmax",TQ55,SJ55="Capesize",TJ55,SJ55="VLOC",TC55)))))</f>
        <v>#N/A</v>
      </c>
      <c r="XH55" s="136" t="e">
        <f t="array" aca="1" ref="XH55" ca="1">INDEX(Canals!$AP$24:$AP$29,MATCH(2,1/((Canals!$F$24:$F$29&lt;=$C55)*(Canals!$G$24:$G$29=_xlfn.IFS(SJ55="Handysize",Main!US55,SJ55="Supramax",UL55,SJ55="Panamax",UE55,SJ55="NeoPanamax",TX55,SJ55="Suezmax",TQ55,SJ55="Capesize",TJ55,SJ55="VLOC",TC55)))))</f>
        <v>#N/A</v>
      </c>
      <c r="XI55" s="136" t="e">
        <f t="array" aca="1" ref="XI55" ca="1">INDEX(Canals!$AQ$24:$AQ$29,MATCH(2,1/((Canals!$F$24:$F$29&lt;=$C55)*(Canals!$G$24:$G$29=_xlfn.IFS(SJ55="Handysize",Main!US55,SJ55="Supramax",UL55,SJ55="Panamax",UE55,SJ55="NeoPanamax",TX55,SJ55="Suezmax",TQ55,SJ55="Capesize",TJ55,SJ55="VLOC",TC55)))))</f>
        <v>#N/A</v>
      </c>
      <c r="XJ55" s="136" t="e">
        <f t="array" aca="1" ref="XJ55" ca="1">INDEX(Canals!$AR$24:$AR$29,MATCH(2,1/((Canals!$F$24:$F$29&lt;=$C55)*(Canals!$G$24:$G$29=_xlfn.IFS(SJ55="Handysize",Main!US55,SJ55="Supramax",UL55,SJ55="Panamax",UE55,SJ55="NeoPanamax",TX55,SJ55="Suezmax",TQ55,SJ55="Capesize",TJ55,SJ55="VLOC",TC55)))))</f>
        <v>#N/A</v>
      </c>
      <c r="XK55" s="136" t="e">
        <f t="array" aca="1" ref="XK55" ca="1">INDEX(Canals!$AS$24:$AS$29,MATCH(2,1/((Canals!$F$24:$F$29&lt;=$C55)*(Canals!$G$24:$G$29=_xlfn.IFS(SJ55="Handysize",Main!US55,SJ55="Supramax",UL55,SJ55="Panamax",UE55,SJ55="NeoPanamax",TX55,SJ55="Suezmax",TQ55,SJ55="Capesize",TJ55,SJ55="VLOC",TC55)))))</f>
        <v>#N/A</v>
      </c>
      <c r="XL55" s="136" t="e">
        <f t="array" aca="1" ref="XL55" ca="1">INDEX(Canals!$AT$24:$AT$29,MATCH(2,1/((Canals!$F$24:$F$29&lt;=$C55)*(Canals!$G$24:$G$29=_xlfn.IFS(SJ55="Handysize",Main!US55,SJ55="Supramax",UL55,SJ55="Panamax",UE55,SJ55="NeoPanamax",TX55,SJ55="Suezmax",TQ55,SJ55="Capesize",TJ55,SJ55="VLOC",TC55)))))</f>
        <v>#N/A</v>
      </c>
      <c r="XM55" s="136" t="e">
        <f t="array" aca="1" ref="XM55" ca="1">INDEX(Canals!$AU$24:$AU$29,MATCH(2,1/((Canals!$F$24:$F$29&lt;=$C55)*(Canals!$G$24:$G$29=_xlfn.IFS(SJ55="Handysize",Main!US55,SJ55="Supramax",UL55,SJ55="Panamax",UE55,SJ55="NeoPanamax",TX55,SJ55="Suezmax",TQ55,SJ55="Capesize",TJ55,SJ55="VLOC",TC55)))))</f>
        <v>#N/A</v>
      </c>
      <c r="XN55" s="136" t="e">
        <f t="array" aca="1" ref="XN55" ca="1">INDEX(Canals!$AV$24:$AV$29,MATCH(2,1/((Canals!$F$24:$F$29&lt;=$C55)*(Canals!$G$24:$G$29=_xlfn.IFS(SJ55="Handysize",Main!US55,SJ55="Supramax",UL55,SJ55="Panamax",UE55,SJ55="NeoPanamax",TX55,SJ55="Suezmax",TQ55,SJ55="Capesize",TJ55,SJ55="VLOC",TC55)))))</f>
        <v>#N/A</v>
      </c>
      <c r="XP55" s="75" t="e">
        <f t="array" aca="1" ref="XP55" ca="1">_xlfn.IFS(WA55="DWT",SH55,WA55="NRT",SL55,WA55="GRT",SM55,WA55=0,0)</f>
        <v>#NAME?</v>
      </c>
      <c r="XQ55" s="279" t="e">
        <f t="shared" ref="XQ55:XQ63" ca="1" si="455">IF(XP55&gt;WB55,WB55,XP55)</f>
        <v>#NAME?</v>
      </c>
      <c r="XR55" s="280" t="e">
        <f t="shared" ref="XR55:XR63" ca="1" si="456">IF(XP55&gt;SUM(WB55:WC55),WC55,XP55-SUM(XQ55:XQ55))</f>
        <v>#NAME?</v>
      </c>
      <c r="XS55" s="280" t="e">
        <f t="shared" ref="XS55:XS63" ca="1" si="457">IF(XP55&gt;SUM(WB55:WD55),WD55,XP55-SUM(XQ55:XR55))</f>
        <v>#NAME?</v>
      </c>
      <c r="XT55" s="280" t="e">
        <f t="shared" ref="XT55:XT63" ca="1" si="458">IF(XP55&gt;SUM(WB55:WE55),WE55,XP55-SUM(XQ55:XS55))</f>
        <v>#NAME?</v>
      </c>
      <c r="XU55" s="280" t="e">
        <f t="shared" ref="XU55:XU63" ca="1" si="459">IF(XP55&gt;SUM(WB55:WF55),WF55,XP55-SUM(XQ55:XT55))</f>
        <v>#NAME?</v>
      </c>
      <c r="XV55" s="280" t="e">
        <f t="shared" ref="XV55:XV63" ca="1" si="460">IF(XP55&gt;SUM(WB55:WG55),WG55,XP55-SUM(XQ55:XU55))</f>
        <v>#NAME?</v>
      </c>
      <c r="XW55" s="280" t="e">
        <f t="shared" ref="XW55:XW63" ca="1" si="461">IF(XP55&gt;SUM(WB55:WH55),WH55,XP55-SUM(XQ55:XV55))</f>
        <v>#NAME?</v>
      </c>
      <c r="XX55" s="280" t="e">
        <f t="shared" ref="XX55:XX63" ca="1" si="462">IF(XP55&gt;SUM(WB55:WI55),WI55,XP55-SUM(XQ55:XW55))</f>
        <v>#NAME?</v>
      </c>
      <c r="XY55" s="280" t="e">
        <f t="shared" ref="XY55:XY63" ca="1" si="463">IF(XP55&gt;SUM(WB55:WJ55),WJ55,XP55-SUM(XQ55:XX55))</f>
        <v>#NAME?</v>
      </c>
      <c r="XZ55" s="75">
        <f t="shared" ref="XZ55:XZ63" si="464">SH55*$JN55</f>
        <v>0</v>
      </c>
      <c r="YA55" s="279" t="e">
        <f t="shared" ref="YA55:YA63" ca="1" si="465">IF(XZ55&gt;WU55,WU55,XZ55)</f>
        <v>#N/A</v>
      </c>
      <c r="YB55" s="280" t="e">
        <f t="shared" ref="YB55:YB63" ca="1" si="466">IF(XZ55&gt;SUM(WU55:WV55),WV55,XZ55-SUM(YA55:YA55))</f>
        <v>#N/A</v>
      </c>
      <c r="YC55" s="280" t="e">
        <f t="shared" ref="YC55:YC63" ca="1" si="467">IF(XZ55&gt;SUM(WU55:WW55),WW55,XZ55-SUM(YA55:YB55))</f>
        <v>#N/A</v>
      </c>
      <c r="YD55" s="280" t="e">
        <f t="shared" ref="YD55:YD63" ca="1" si="468">IF(XZ55&gt;SUM(WU55:WX55),WX55,XZ55-SUM(YA55:YC55))</f>
        <v>#N/A</v>
      </c>
      <c r="YE55" s="280" t="e">
        <f t="shared" ref="YE55:YE63" ca="1" si="469">IF(XZ55&gt;SUM(WU55:WY55),WY55,XZ55-SUM(YA55:YD55))</f>
        <v>#N/A</v>
      </c>
      <c r="YF55" s="280" t="e">
        <f t="shared" ref="YF55:YF63" ca="1" si="470">IF(XZ55&gt;SUM(WU55:WZ55),WZ55,XZ55-SUM(YA55:YE55))</f>
        <v>#N/A</v>
      </c>
      <c r="YG55" s="280" t="e">
        <f t="shared" ref="YG55:YG63" ca="1" si="471">IF(XZ55&gt;SUM(WU55:XA55),XA55,XZ55-SUM(YA55:YF55))</f>
        <v>#N/A</v>
      </c>
      <c r="YH55" s="280" t="e">
        <f t="shared" ref="YH55:YH63" ca="1" si="472">IF(XZ55&gt;SUM(WU55:XB55),XB55,XZ55-SUM(YA55:YG55))</f>
        <v>#N/A</v>
      </c>
      <c r="YI55" s="280" t="e">
        <f t="shared" ref="YI55:YI63" ca="1" si="473">IF(XZ55&gt;SUM(WU55:XC55),XC55,XZ55-SUM(YA55:YH55))</f>
        <v>#N/A</v>
      </c>
      <c r="YK55" s="75" t="e">
        <f t="array" aca="1" ref="YK55" ca="1">_xlfn.IFS(SJ55="Handysize",Main!UM55,SJ55="Supramax",UF55,SJ55="Panamax",TY55,SJ55="NeoPanamax",TR55,SJ55="Suezmax",TK55,SJ55="Capesize",TD55,SJ55="VLOC",SW55)*$JI55</f>
        <v>#NAME?</v>
      </c>
      <c r="YL55" s="274" t="e">
        <f t="array" aca="1" ref="YL55" ca="1">_xlfn.IFS(SJ55="Handysize",Main!UN55,SJ55="Supramax",UG55,SJ55="Panamax",TZ55,SJ55="NeoPanamax",TS55,SJ55="Suezmax",TL55,SJ55="Capesize",TE55,SJ55="VLOC",SX55)*$JI55</f>
        <v>#NAME?</v>
      </c>
      <c r="YM55" s="71" t="e">
        <f t="array" aca="1" ref="YM55" ca="1">_xlfn.IFS(SJ55="Handysize",Main!SO55,SJ55="Supramax",SP55,SJ55="Panamax",SQ55,SJ55="NeoPanamax",SR55,SJ55="Suezmax",SS55,SJ55="Capesize",ST55,SJ55="VLOC",SU55)</f>
        <v>#NAME?</v>
      </c>
      <c r="YN55" s="71" t="e">
        <f t="array" aca="1" ref="YN55" ca="1">_xlfn.IFS(SJ55="Handysize",Main!VA55,SJ55="Supramax",VB55,SJ55="Panamax",VC55,SJ55="NeoPanamax",VD55,SJ55="Suezmax",VE55,SJ55="Capesize",VF55,SJ55="VLOC",VG55)</f>
        <v>#NAME?</v>
      </c>
      <c r="YO55" s="70">
        <f t="array" ref="YO55">INDEX('Ship Speeds'!$G$11:$G$1011,MATCH(2,1/(('Ship Speeds'!$E$11:$E$1011&lt;=Main!$C55)*('Ship Speeds'!$F$11:$F$1011=Main!SI55))))</f>
        <v>11</v>
      </c>
      <c r="YP55" s="403">
        <f t="shared" ref="YP55:YP63" si="474">(($KH55*YO55^2+$KI55*YO55^3+$KG55*YO55)*((SH55/$KC55)^$KD55)*$KJ55+(SH55/$KC55)*$KF55+$KE55)</f>
        <v>0</v>
      </c>
      <c r="YQ55" s="401">
        <f t="shared" ref="YQ55:YQ63" si="475">(SH55/$JY55)*$JZ55+$KA55+$KB55*(SH55/$JY55)^2</f>
        <v>1.2</v>
      </c>
      <c r="YR55" s="70" t="e">
        <f t="shared" ref="YR55:YR63" ca="1" si="476">YK55/YO55/$JH55</f>
        <v>#NAME?</v>
      </c>
      <c r="YS55" s="70" t="e">
        <f t="shared" ref="YS55:YS63" ca="1" si="477">YL55/YO55/$JH55</f>
        <v>#NAME?</v>
      </c>
      <c r="YT55" s="70" t="e">
        <f t="shared" ref="YT55:YT63" ca="1" si="478">IF(YM55=0,0,IF($AO55="yes",$AN55,$AR55)/(1-$AL55)/YM55)</f>
        <v>#NAME?</v>
      </c>
      <c r="YU55" s="70" t="e">
        <f t="shared" ref="YU55:YU63" ca="1" si="479">IF(YN55=0,0,IF($AO55="yes",$AN55,$AR55)/(1-$AL55)/YN55)</f>
        <v>#NAME?</v>
      </c>
      <c r="YV55" s="72" t="e">
        <f t="shared" ref="YV55:YV63" ca="1" si="480">XN55*$JI55</f>
        <v>#N/A</v>
      </c>
      <c r="YW55" s="70" t="e">
        <f t="shared" ref="YW55:YW63" ca="1" si="481">IF(YK55=0,0,MAX(SUM(YR55:YV55)*$JV55,$JU55))</f>
        <v>#NAME?</v>
      </c>
      <c r="YX55" s="70" t="e">
        <f t="array" aca="1" ref="YX55" ca="1">IF(YK55=0,0,INDEX(UU55:UY55,MATCH(_xlfn.IFS(SJ55="Handysize",Main!UQ55,SJ55="Supramax",UJ55,SJ55="Panamax",UC55,SJ55="NeoPanamax",TV55,SJ55="Suezmax",TO55,SJ55="Capesize",TH55,SJ55="VLOC",TA55),$UU$7:$UY$7,0)))</f>
        <v>#NAME?</v>
      </c>
      <c r="YY55" s="70" t="e">
        <f t="array" aca="1" ref="YY55" ca="1">IF(YK55=0,0,INDEX(UU55:UY55,MATCH(_xlfn.IFS(SJ55="Handysize",Main!UR55,SJ55="Supramax",UK55,SJ55="Panamax",UD55,SJ55="NeoPanamax",TW55,SJ55="Suezmax",TP55,SJ55="Capesize",TI55,SJ55="VLOC",TB55),$UU$7:$UY$7,0)))</f>
        <v>#NAME?</v>
      </c>
      <c r="YZ55" s="71" t="e">
        <f t="shared" ref="YZ55:YZ63" ca="1" si="482">YR55*YP55*YX55</f>
        <v>#NAME?</v>
      </c>
      <c r="ZA55" s="71" t="e">
        <f t="shared" ref="ZA55:ZA63" ca="1" si="483">SUM(YT55:YW55)*YQ55*YY55+YS55*YP55*YY55</f>
        <v>#NAME?</v>
      </c>
      <c r="ZB55" s="281" t="e">
        <f t="shared" ref="ZB55:ZB63" ca="1" si="484">IF(YK55=0,0,INDEX($JA55:$JD55,MATCH(VH55,$JA$7:$JD$7,0)))</f>
        <v>#NAME?</v>
      </c>
      <c r="ZC55" s="71" t="e">
        <f t="shared" ref="ZC55:ZC63" ca="1" si="485">IF(YK55=0,0,VI55/ZB55)</f>
        <v>#NAME?</v>
      </c>
      <c r="ZD55" s="71" t="e">
        <f t="shared" ref="ZD55:ZD63" ca="1" si="486">IF(YK55=0,0,VJ55*SUM(YU55,$JX55)/ZB55)</f>
        <v>#NAME?</v>
      </c>
      <c r="ZE55" s="71" t="e">
        <f t="shared" ref="ZE55:ZE63" ca="1" si="487">IF(YK55=0,0,VK55*(YW55*(1-$JW55))/ZB55)</f>
        <v>#NAME?</v>
      </c>
      <c r="ZF55" s="71" t="e">
        <f t="shared" ref="ZF55:ZF63" ca="1" si="488">IF(YK55=0,0,VL55*(SH55*$JN55)/ZB55)</f>
        <v>#NAME?</v>
      </c>
      <c r="ZG55" s="71" t="e">
        <f t="shared" ref="ZG55:ZG63" ca="1" si="489">IF(YK55=0,0,VM55*(SH55*$JN55)*SUM(YU55,$JX55)/ZB55)</f>
        <v>#NAME?</v>
      </c>
      <c r="ZH55" s="71" t="e">
        <f t="shared" ref="ZH55:ZH63" ca="1" si="490">IF(YK55=0,0,VN55*(SH55*$JN55)*(YW55*(1-$JW55))/ZB55)</f>
        <v>#NAME?</v>
      </c>
      <c r="ZI55" s="71" t="e">
        <f t="shared" ref="ZI55:ZI63" ca="1" si="491">IF(YK55=0,0,VO55*SL55/ZB55)</f>
        <v>#NAME?</v>
      </c>
      <c r="ZJ55" s="71" t="e">
        <f t="shared" ref="ZJ55:ZJ63" ca="1" si="492">IF(YK55=0,0,VP55*SL55*SUM(YU55,$JX55)/ZB55)</f>
        <v>#NAME?</v>
      </c>
      <c r="ZK55" s="71" t="e">
        <f t="shared" ref="ZK55:ZK63" ca="1" si="493">IF(YK55=0,0,VQ55*SL55*(YW55*(1-$JW55))/ZB55)</f>
        <v>#NAME?</v>
      </c>
      <c r="ZL55" s="71" t="e">
        <f t="shared" ref="ZL55:ZL63" ca="1" si="494">IF(YK55=0,0,VR55*SM55/ZB55)</f>
        <v>#NAME?</v>
      </c>
      <c r="ZM55" s="71" t="e">
        <f t="shared" ref="ZM55:ZM63" ca="1" si="495">IF(YK55=0,0,VS55*SM55*SUM(YU55,$JX55)/ZB55)</f>
        <v>#NAME?</v>
      </c>
      <c r="ZN55" s="71" t="e">
        <f t="shared" ref="ZN55:ZN63" ca="1" si="496">IF(YK55=0,0,VT55*SM55*(YW55*(1-$JW55))/ZB55)</f>
        <v>#NAME?</v>
      </c>
      <c r="ZO55" s="72" t="e">
        <f t="shared" ref="ZO55:ZO63" ca="1" si="497">IF(YK55=0,0,VU55*SK55/ZB55)</f>
        <v>#NAME?</v>
      </c>
      <c r="ZP55" s="72" t="e">
        <f t="shared" ref="ZP55:ZP63" ca="1" si="498">IF(YK55=0,0,VV55*SK55*SUM(YU55,$JX55)/ZB55)</f>
        <v>#NAME?</v>
      </c>
      <c r="ZQ55" s="71" t="e">
        <f t="shared" ref="ZQ55:ZQ63" ca="1" si="499">IF(YK55=0,0,VW55*SK55*(YW55*(1-$JW55))/ZB55)</f>
        <v>#NAME?</v>
      </c>
      <c r="ZR55" s="71" t="e">
        <f t="array" aca="1" ref="ZR55" ca="1">IF(YK55=0,0,INDEX('Ship Time Charter Rates'!$H$22:$H$1021,MATCH(2,1/(('Ship Time Charter Rates'!$G$22:$G$1021=_xlfn.IFS(SJ55="Handysize",Main!UO55,SJ55="Supramax",UH55,SJ55="Panamax",UA55,SJ55="NeoPanamax",TT55,SJ55="Suezmax",TM55,SJ55="Capesize",TF55,SJ55="VLOC",SY55))*('Ship Time Charter Rates'!$E$22:$E$1021&lt;=Main!$C55)*(NOT(ISBLANK('Ship Time Charter Rates'!$H$22:$H$1021)))))))</f>
        <v>#NAME?</v>
      </c>
      <c r="ZS55" s="71" t="e">
        <f t="shared" ref="ZS55:ZS63" ca="1" si="500">IF(YK55=0,0,SUM(YR55:YW55,$JI55*$JX55)*ZR55)</f>
        <v>#NAME?</v>
      </c>
      <c r="ZT55" s="70" t="e">
        <f t="shared" ref="ZT55:ZT63" ca="1" si="501">IF(YK55=0,0,SUMPRODUCT(WK55:WS55,XQ55:XY55)+SUMPRODUCT(XD55:XL55,YA55:YI55))</f>
        <v>#NAME?</v>
      </c>
      <c r="ZU55" s="71" t="e">
        <f t="shared" ref="ZU55:ZU63" ca="1" si="502">IF(YK55=0,0,SUM(YZ55,ZA55)+ZS55+ZT55+SUM(ZC55:ZQ55))</f>
        <v>#NAME?</v>
      </c>
      <c r="ZV55" s="71" t="e">
        <f t="shared" ref="ZV55:ZV63" ca="1" si="503">ZU55*(1+$KL55)</f>
        <v>#NAME?</v>
      </c>
      <c r="ZW55" s="72" t="e">
        <f t="shared" ref="ZW55:ZW63" ca="1" si="504">IF(ZV55=0,0,ZV55/(SH55*(1-$AL55)*$JN55))</f>
        <v>#NAME?</v>
      </c>
      <c r="ZY55" s="287" t="s">
        <v>39</v>
      </c>
      <c r="AAA55" s="25">
        <f>IF($AO55="no",$AN55,$AR55)/(1-$AL55)/$JN55</f>
        <v>92911.010558069393</v>
      </c>
      <c r="AAB55" s="4" t="str">
        <f>VLOOKUP(AAA55,'Ship Time Charter Rates'!$F$10:$G$17,2,TRUE)</f>
        <v>Panamax</v>
      </c>
      <c r="AAC55" s="4" t="str">
        <f>VLOOKUP(AAA55,Canals!$E$5:$F$12,2,TRUE)</f>
        <v>Panamax</v>
      </c>
      <c r="AAD55" s="25">
        <f t="shared" ref="AAD55:AAD63" si="505">(AAA55*$JO55 + $JP55)</f>
        <v>227.00131221719457</v>
      </c>
      <c r="AAE55" s="25">
        <f t="shared" ref="AAE55:AAE63" si="506">(AAA55*$JQ55+$JR55)</f>
        <v>37480.301659125194</v>
      </c>
      <c r="AAF55" s="25">
        <f t="shared" ref="AAF55:AAF63" si="507">(AAA55*$JS55+$JT55)</f>
        <v>53008.523378582213</v>
      </c>
      <c r="AAH55" s="75">
        <f t="array" ref="AAH55">INDEX('Indices Mines Exporting Ports'!$R$20:$R$51,MATCH(2,1/(('Indices Mines Exporting Ports'!$D$20:$D$51&lt;=Main!$C55)*('Indices Mines Exporting Ports'!$Q$20:$Q$51=$AP55))))</f>
        <v>15000</v>
      </c>
      <c r="AAI55" s="75">
        <f t="array" ref="AAI55">INDEX('Indices Mines Exporting Ports'!$S$20:$S$51,MATCH(2,1/(('Indices Mines Exporting Ports'!$D$20:$D$51&lt;=Main!$C55)*('Indices Mines Exporting Ports'!$Q$20:$Q$51=$AP55))))</f>
        <v>15000</v>
      </c>
      <c r="AAJ55" s="75">
        <f t="array" ref="AAJ55">INDEX('Indices Mines Exporting Ports'!$T$20:$T$51,MATCH(2,1/(('Indices Mines Exporting Ports'!$D$20:$D$51&lt;=Main!$C55)*('Indices Mines Exporting Ports'!$Q$20:$Q$51=$AP55))))</f>
        <v>15000</v>
      </c>
      <c r="AAK55" s="75">
        <f t="array" ref="AAK55">INDEX('Indices Mines Exporting Ports'!$U$20:$U$51,MATCH(2,1/(('Indices Mines Exporting Ports'!$D$20:$D$51&lt;=Main!$C55)*('Indices Mines Exporting Ports'!$Q$20:$Q$51=$AP55))))</f>
        <v>15000</v>
      </c>
      <c r="AAL55" s="75">
        <f t="array" ref="AAL55">INDEX('Indices Mines Exporting Ports'!$V$20:$V$51,MATCH(2,1/(('Indices Mines Exporting Ports'!$D$20:$D$51&lt;=Main!$C55)*('Indices Mines Exporting Ports'!$Q$20:$Q$51=$AP55))))</f>
        <v>15000</v>
      </c>
      <c r="AAM55" s="75">
        <f t="array" ref="AAM55">INDEX('Indices Mines Exporting Ports'!$W$20:$W$51,MATCH(2,1/(('Indices Mines Exporting Ports'!$D$20:$D$51&lt;=Main!$C55)*('Indices Mines Exporting Ports'!$Q$20:$Q$51=$AP55))))</f>
        <v>15000</v>
      </c>
      <c r="AAN55" s="75">
        <f t="array" ref="AAN55">INDEX('Indices Mines Exporting Ports'!$X$20:$X$51,MATCH(2,1/(('Indices Mines Exporting Ports'!$D$20:$D$51&lt;=Main!$C55)*('Indices Mines Exporting Ports'!$Q$20:$Q$51=$AP55))))</f>
        <v>15000</v>
      </c>
      <c r="AAP55" s="75">
        <f t="array" ref="AAP55">INDEX('Port Linkages'!$E$18:$E$157,MATCH(2,1/(('Port Linkages'!$C$18:$C$157=$AP55)*('Port Linkages'!$D$18:$D$157=IF($AO55="Yes",$AQ55,$KK55))*('Port Linkages'!$A$18:$A$157&lt;=$C55))))</f>
        <v>2326</v>
      </c>
      <c r="AAQ55" s="75">
        <f t="array" ref="AAQ55">INDEX('Port Linkages'!$F$18:$F$157,MATCH(2,1/(('Port Linkages'!$C$18:$C$157=$AP55)*('Port Linkages'!$D$18:$D$157=IF($AO55="Yes",$AQ55,$KK55))*('Port Linkages'!$A$18:$A$157&lt;=$C55))))</f>
        <v>0</v>
      </c>
      <c r="AAR55" s="75" t="str">
        <f t="array" ref="AAR55">INDEX('Port Linkages'!$G$18:$G$157,MATCH(2,1/(('Port Linkages'!$C$18:$C$157=$AP55)*('Port Linkages'!$D$18:$D$157=IF($AO55="Yes",$AQ55,$KK55))*('Port Linkages'!$A$18:$A$157&lt;=$C55))))</f>
        <v>VLOC_General</v>
      </c>
      <c r="AAS55" s="75" t="str">
        <f t="array" ref="AAS55">INDEX('Port Linkages'!$H$18:$H$157,MATCH(2,1/(('Port Linkages'!$C$18:$C$157=$AP55)*('Port Linkages'!$D$18:$D$157=IF($AO55="Yes",$AQ55,$KK55))*('Port Linkages'!$A$18:$A$157&lt;=$C55))))</f>
        <v>Singapore</v>
      </c>
      <c r="AAT55" s="75" t="str">
        <f t="array" ref="AAT55">INDEX('Port Linkages'!$I$18:$I$157,MATCH(2,1/(('Port Linkages'!$C$18:$C$157=$AP55)*('Port Linkages'!$D$18:$D$157=IF($AO55="Yes",$AQ55,$KK55))*('Port Linkages'!$A$18:$A$157&lt;=$C55))))</f>
        <v>VLSFO</v>
      </c>
      <c r="AAU55" s="75" t="str">
        <f t="array" ref="AAU55">INDEX('Port Linkages'!$J$18:$J$157,MATCH(2,1/(('Port Linkages'!$C$18:$C$157=$AP55)*('Port Linkages'!$D$18:$D$157=IF($AO55="Yes",$AQ55,$KK55))*('Port Linkages'!$A$18:$A$157&lt;=$C55))))</f>
        <v>MGO_Regular</v>
      </c>
      <c r="AAV55" s="75" t="str">
        <f t="array" ref="AAV55">INDEX('Port Linkages'!$K$18:$K$157,MATCH(2,1/(('Port Linkages'!$C$18:$C$157=$AP55)*('Port Linkages'!$D$18:$D$157=IF($AO55="Yes",$AQ55,$KK55))*('Port Linkages'!$A$18:$A$157&lt;=$C55))))</f>
        <v>none</v>
      </c>
      <c r="AAW55" s="75">
        <f t="array" ref="AAW55">INDEX('Port Linkages'!$L$18:$L$157,MATCH(2,1/(('Port Linkages'!$C$18:$C$157=$AP55)*('Port Linkages'!$D$18:$D$157=IF($AO55="Yes",$AQ55,$KK55))*('Port Linkages'!$A$18:$A$157&lt;=$C55))))</f>
        <v>2326</v>
      </c>
      <c r="AAX55" s="75">
        <f t="array" ref="AAX55">INDEX('Port Linkages'!$M$18:$M$157,MATCH(2,1/(('Port Linkages'!$C$18:$C$157=$AP55)*('Port Linkages'!$D$18:$D$157=IF($AO55="Yes",$AQ55,$KK55))*('Port Linkages'!$A$18:$A$157&lt;=$C55))))</f>
        <v>0</v>
      </c>
      <c r="AAY55" s="75" t="str">
        <f t="array" ref="AAY55">INDEX('Port Linkages'!$N$18:$N$157,MATCH(2,1/(('Port Linkages'!$C$18:$C$157=$AP55)*('Port Linkages'!$D$18:$D$157=IF($AO55="Yes",$AQ55,$KK55))*('Port Linkages'!$A$18:$A$157&lt;=$C55))))</f>
        <v>Capesize_General</v>
      </c>
      <c r="AAZ55" s="75" t="str">
        <f t="array" ref="AAZ55">INDEX('Port Linkages'!$O$18:$O$157,MATCH(2,1/(('Port Linkages'!$C$18:$C$157=$AP55)*('Port Linkages'!$D$18:$D$157=IF($AO55="Yes",$AQ55,$KK55))*('Port Linkages'!$A$18:$A$157&lt;=$C55))))</f>
        <v>Singapore</v>
      </c>
      <c r="ABA55" s="75" t="str">
        <f t="array" ref="ABA55">INDEX('Port Linkages'!$P$18:$P$157,MATCH(2,1/(('Port Linkages'!$C$18:$C$157=$AP55)*('Port Linkages'!$D$18:$D$157=IF($AO55="Yes",$AQ55,$KK55))*('Port Linkages'!$A$18:$A$157&lt;=$C55))))</f>
        <v>VLSFO</v>
      </c>
      <c r="ABB55" s="75" t="str">
        <f t="array" ref="ABB55">INDEX('Port Linkages'!$Q$18:$Q$157,MATCH(2,1/(('Port Linkages'!$C$18:$C$157=$AP55)*('Port Linkages'!$D$18:$D$157=IF($AO55="Yes",$AQ55,$KK55))*('Port Linkages'!$A$18:$A$157&lt;=$C55))))</f>
        <v>MGO_Regular</v>
      </c>
      <c r="ABC55" s="75" t="str">
        <f t="array" ref="ABC55">INDEX('Port Linkages'!$R$18:$R$157,MATCH(2,1/(('Port Linkages'!$C$18:$C$157=$AP55)*('Port Linkages'!$D$18:$D$157=IF($AO55="Yes",$AQ55,$KK55))*('Port Linkages'!$A$18:$A$157&lt;=$C55))))</f>
        <v>none</v>
      </c>
      <c r="ABD55" s="75">
        <f t="array" ref="ABD55">INDEX('Port Linkages'!$S$18:$S$157,MATCH(2,1/(('Port Linkages'!$C$18:$C$157=$AP55)*('Port Linkages'!$D$18:$D$157=IF($AO55="Yes",$AQ55,$KK55))*('Port Linkages'!$A$18:$A$157&lt;=$C55))))</f>
        <v>2326</v>
      </c>
      <c r="ABE55" s="75">
        <f t="array" ref="ABE55">INDEX('Port Linkages'!$T$18:$T$157,MATCH(2,1/(('Port Linkages'!$C$18:$C$157=$AP55)*('Port Linkages'!$D$18:$D$157=IF($AO55="Yes",$AQ55,$KK55))*('Port Linkages'!$A$18:$A$157&lt;=$C55))))</f>
        <v>0</v>
      </c>
      <c r="ABF55" s="75" t="str">
        <f t="array" ref="ABF55">INDEX('Port Linkages'!$U$18:$U$157,MATCH(2,1/(('Port Linkages'!$C$18:$C$157=$AP55)*('Port Linkages'!$D$18:$D$157=IF($AO55="Yes",$AQ55,$KK55))*('Port Linkages'!$A$18:$A$157&lt;=$C55))))</f>
        <v>Capesize_General</v>
      </c>
      <c r="ABG55" s="75" t="str">
        <f t="array" ref="ABG55">INDEX('Port Linkages'!$V$18:$V$157,MATCH(2,1/(('Port Linkages'!$C$18:$C$157=$AP55)*('Port Linkages'!$D$18:$D$157=IF($AO55="Yes",$AQ55,$KK55))*('Port Linkages'!$A$18:$A$157&lt;=$C55))))</f>
        <v>Singapore</v>
      </c>
      <c r="ABH55" s="75" t="str">
        <f t="array" ref="ABH55">INDEX('Port Linkages'!$W$18:$W$157,MATCH(2,1/(('Port Linkages'!$C$18:$C$157=$AP55)*('Port Linkages'!$D$18:$D$157=IF($AO55="Yes",$AQ55,$KK55))*('Port Linkages'!$A$18:$A$157&lt;=$C55))))</f>
        <v>VLSFO</v>
      </c>
      <c r="ABI55" s="75" t="str">
        <f t="array" ref="ABI55">INDEX('Port Linkages'!$X$18:$X$157,MATCH(2,1/(('Port Linkages'!$C$18:$C$157=$AP55)*('Port Linkages'!$D$18:$D$157=IF($AO55="Yes",$AQ55,$KK55))*('Port Linkages'!$A$18:$A$157&lt;=$C55))))</f>
        <v>MGO_Regular</v>
      </c>
      <c r="ABJ55" s="75" t="str">
        <f t="array" ref="ABJ55">INDEX('Port Linkages'!$Y$18:$Y$157,MATCH(2,1/(('Port Linkages'!$C$18:$C$157=$AP55)*('Port Linkages'!$D$18:$D$157=IF($AO55="Yes",$AQ55,$KK55))*('Port Linkages'!$A$18:$A$157&lt;=$C55))))</f>
        <v>none</v>
      </c>
      <c r="ABK55" s="75">
        <f t="array" ref="ABK55">INDEX('Port Linkages'!$Z$18:$Z$157,MATCH(2,1/(('Port Linkages'!$C$18:$C$157=$AP55)*('Port Linkages'!$D$18:$D$157=IF($AO55="Yes",$AQ55,$KK55))*('Port Linkages'!$A$18:$A$157&lt;=$C55))))</f>
        <v>2326</v>
      </c>
      <c r="ABL55" s="75">
        <f t="array" ref="ABL55">INDEX('Port Linkages'!$AA$18:$AA$157,MATCH(2,1/(('Port Linkages'!$C$18:$C$157=$AP55)*('Port Linkages'!$D$18:$D$157=IF($AO55="Yes",$AQ55,$KK55))*('Port Linkages'!$A$18:$A$157&lt;=$C55))))</f>
        <v>0</v>
      </c>
      <c r="ABM55" s="75" t="str">
        <f t="array" ref="ABM55">INDEX('Port Linkages'!$AB$18:$AB$157,MATCH(2,1/(('Port Linkages'!$C$18:$C$157=$AP55)*('Port Linkages'!$D$18:$D$157=IF($AO55="Yes",$AQ55,$KK55))*('Port Linkages'!$A$18:$A$157&lt;=$C55))))</f>
        <v>Capesize_General</v>
      </c>
      <c r="ABN55" s="75" t="str">
        <f t="array" ref="ABN55">INDEX('Port Linkages'!$AC$18:$AC$157,MATCH(2,1/(('Port Linkages'!$C$18:$C$157=$AP55)*('Port Linkages'!$D$18:$D$157=IF($AO55="Yes",$AQ55,$KK55))*('Port Linkages'!$A$18:$A$157&lt;=$C55))))</f>
        <v>Singapore</v>
      </c>
      <c r="ABO55" s="75" t="str">
        <f t="array" ref="ABO55">INDEX('Port Linkages'!$AD$18:$AD$157,MATCH(2,1/(('Port Linkages'!$C$18:$C$157=$AP55)*('Port Linkages'!$D$18:$D$157=IF($AO55="Yes",$AQ55,$KK55))*('Port Linkages'!$A$18:$A$157&lt;=$C55))))</f>
        <v>VLSFO</v>
      </c>
      <c r="ABP55" s="75" t="str">
        <f t="array" ref="ABP55">INDEX('Port Linkages'!$AE$18:$AE$157,MATCH(2,1/(('Port Linkages'!$C$18:$C$157=$AP55)*('Port Linkages'!$D$18:$D$157=IF($AO55="Yes",$AQ55,$KK55))*('Port Linkages'!$A$18:$A$157&lt;=$C55))))</f>
        <v>MGO_Regular</v>
      </c>
      <c r="ABQ55" s="75" t="str">
        <f t="array" ref="ABQ55">INDEX('Port Linkages'!$AF$18:$AF$157,MATCH(2,1/(('Port Linkages'!$C$18:$C$157=$AP55)*('Port Linkages'!$D$18:$D$157=IF($AO55="Yes",$AQ55,$KK55))*('Port Linkages'!$A$18:$A$157&lt;=$C55))))</f>
        <v>none</v>
      </c>
      <c r="ABR55" s="75">
        <f t="array" ref="ABR55">INDEX('Port Linkages'!$AG$18:$AG$157,MATCH(2,1/(('Port Linkages'!$C$18:$C$157=$AP55)*('Port Linkages'!$D$18:$D$157=IF($AO55="Yes",$AQ55,$KK55))*('Port Linkages'!$A$18:$A$157&lt;=$C55))))</f>
        <v>2326</v>
      </c>
      <c r="ABS55" s="75">
        <f t="array" ref="ABS55">INDEX('Port Linkages'!$AH$18:$AH$157,MATCH(2,1/(('Port Linkages'!$C$18:$C$157=$AP55)*('Port Linkages'!$D$18:$D$157=IF($AO55="Yes",$AQ55,$KK55))*('Port Linkages'!$A$18:$A$157&lt;=$C55))))</f>
        <v>0</v>
      </c>
      <c r="ABT55" s="75" t="str">
        <f t="array" ref="ABT55">INDEX('Port Linkages'!$AI$18:$AI$157,MATCH(2,1/(('Port Linkages'!$C$18:$C$157=$AP55)*('Port Linkages'!$D$18:$D$157=IF($AO55="Yes",$AQ55,$KK55))*('Port Linkages'!$A$18:$A$157&lt;=$C55))))</f>
        <v>Panamax_General</v>
      </c>
      <c r="ABU55" s="75" t="str">
        <f t="array" ref="ABU55">INDEX('Port Linkages'!$AJ$18:$AJ$157,MATCH(2,1/(('Port Linkages'!$C$18:$C$157=$AP55)*('Port Linkages'!$D$18:$D$157=IF($AO55="Yes",$AQ55,$KK55))*('Port Linkages'!$A$18:$A$157&lt;=$C55))))</f>
        <v>Singapore</v>
      </c>
      <c r="ABV55" s="75" t="str">
        <f t="array" ref="ABV55">INDEX('Port Linkages'!$AK$18:$AK$157,MATCH(2,1/(('Port Linkages'!$C$18:$C$157=$AP55)*('Port Linkages'!$D$18:$D$157=IF($AO55="Yes",$AQ55,$KK55))*('Port Linkages'!$A$18:$A$157&lt;=$C55))))</f>
        <v>VLSFO</v>
      </c>
      <c r="ABW55" s="75" t="str">
        <f t="array" ref="ABW55">INDEX('Port Linkages'!$AL$18:$AL$157,MATCH(2,1/(('Port Linkages'!$C$18:$C$157=$AP55)*('Port Linkages'!$D$18:$D$157=IF($AO55="Yes",$AQ55,$KK55))*('Port Linkages'!$A$18:$A$157&lt;=$C55))))</f>
        <v>MGO_Regular</v>
      </c>
      <c r="ABX55" s="75" t="str">
        <f t="array" ref="ABX55">INDEX('Port Linkages'!$AM$18:$AM$157,MATCH(2,1/(('Port Linkages'!$C$18:$C$157=$AP55)*('Port Linkages'!$D$18:$D$157=IF($AO55="Yes",$AQ55,$KK55))*('Port Linkages'!$A$18:$A$157&lt;=$C55))))</f>
        <v>none</v>
      </c>
      <c r="ABY55" s="75">
        <f t="array" ref="ABY55">INDEX('Port Linkages'!$AN$18:$AN$157,MATCH(2,1/(('Port Linkages'!$C$18:$C$157=$AP55)*('Port Linkages'!$D$18:$D$157=IF($AO55="Yes",$AQ55,$KK55))*('Port Linkages'!$A$18:$A$157&lt;=$C55))))</f>
        <v>2326</v>
      </c>
      <c r="ABZ55" s="75">
        <f t="array" ref="ABZ55">INDEX('Port Linkages'!$AO$18:$AO$157,MATCH(2,1/(('Port Linkages'!$C$18:$C$157=$AP55)*('Port Linkages'!$D$18:$D$157=IF($AO55="Yes",$AQ55,$KK55))*('Port Linkages'!$A$18:$A$157&lt;=$C55))))</f>
        <v>0</v>
      </c>
      <c r="ACA55" s="75" t="str">
        <f t="array" ref="ACA55">INDEX('Port Linkages'!$AP$18:$AP$157,MATCH(2,1/(('Port Linkages'!$C$18:$C$157=$AP55)*('Port Linkages'!$D$18:$D$157=IF($AO55="Yes",$AQ55,$KK55))*('Port Linkages'!$A$18:$A$157&lt;=$C55))))</f>
        <v>Supramax_General</v>
      </c>
      <c r="ACB55" s="75" t="str">
        <f t="array" ref="ACB55">INDEX('Port Linkages'!$AQ$18:$AQ$157,MATCH(2,1/(('Port Linkages'!$C$18:$C$157=$AP55)*('Port Linkages'!$D$18:$D$157=IF($AO55="Yes",$AQ55,$KK55))*('Port Linkages'!$A$18:$A$157&lt;=$C55))))</f>
        <v>Singapore</v>
      </c>
      <c r="ACC55" s="75" t="str">
        <f t="array" ref="ACC55">INDEX('Port Linkages'!$AR$18:$AR$157,MATCH(2,1/(('Port Linkages'!$C$18:$C$157=$AP55)*('Port Linkages'!$D$18:$D$157=IF($AO55="Yes",$AQ55,$KK55))*('Port Linkages'!$A$18:$A$157&lt;=$C55))))</f>
        <v>VLSFO</v>
      </c>
      <c r="ACD55" s="75" t="str">
        <f t="array" ref="ACD55">INDEX('Port Linkages'!$AS$18:$AS$157,MATCH(2,1/(('Port Linkages'!$C$18:$C$157=$AP55)*('Port Linkages'!$D$18:$D$157=IF($AO55="Yes",$AQ55,$KK55))*('Port Linkages'!$A$18:$A$157&lt;=$C55))))</f>
        <v>MGO_Regular</v>
      </c>
      <c r="ACE55" s="75" t="str">
        <f t="array" ref="ACE55">INDEX('Port Linkages'!$AT$18:$AT$157,MATCH(2,1/(('Port Linkages'!$C$18:$C$157=$AP55)*('Port Linkages'!$D$18:$D$157=IF($AO55="Yes",$AQ55,$KK55))*('Port Linkages'!$A$18:$A$157&lt;=$C55))))</f>
        <v>none</v>
      </c>
      <c r="ACF55" s="75">
        <f t="array" ref="ACF55">INDEX('Port Linkages'!$AU$18:$AU$157,MATCH(2,1/(('Port Linkages'!$C$18:$C$157=$AP55)*('Port Linkages'!$D$18:$D$157=IF($AO55="Yes",$AQ55,$KK55))*('Port Linkages'!$A$18:$A$157&lt;=$C55))))</f>
        <v>2326</v>
      </c>
      <c r="ACG55" s="75">
        <f t="array" ref="ACG55">INDEX('Port Linkages'!$AV$18:$AV$157,MATCH(2,1/(('Port Linkages'!$C$18:$C$157=$AP55)*('Port Linkages'!$D$18:$D$157=IF($AO55="Yes",$AQ55,$KK55))*('Port Linkages'!$A$18:$A$157&lt;=$C55))))</f>
        <v>0</v>
      </c>
      <c r="ACH55" s="75" t="str">
        <f t="array" ref="ACH55">INDEX('Port Linkages'!$AW$18:$AW$157,MATCH(2,1/(('Port Linkages'!$C$18:$C$157=$AP55)*('Port Linkages'!$D$18:$D$157=IF($AO55="Yes",$AQ55,$KK55))*('Port Linkages'!$A$18:$A$157&lt;=$C55))))</f>
        <v>Handysize_General</v>
      </c>
      <c r="ACI55" s="75" t="str">
        <f t="array" ref="ACI55">INDEX('Port Linkages'!$AX$18:$AX$157,MATCH(2,1/(('Port Linkages'!$C$18:$C$157=$AP55)*('Port Linkages'!$D$18:$D$157=IF($AO55="Yes",$AQ55,$KK55))*('Port Linkages'!$A$18:$A$157&lt;=$C55))))</f>
        <v>Singapore</v>
      </c>
      <c r="ACJ55" s="75" t="str">
        <f t="array" ref="ACJ55">INDEX('Port Linkages'!$AY$18:$AY$157,MATCH(2,1/(('Port Linkages'!$C$18:$C$157=$AP55)*('Port Linkages'!$D$18:$D$157=IF($AO55="Yes",$AQ55,$KK55))*('Port Linkages'!$A$18:$A$157&lt;=$C55))))</f>
        <v>VLSFO</v>
      </c>
      <c r="ACK55" s="75" t="str">
        <f t="array" ref="ACK55">INDEX('Port Linkages'!$AZ$18:$AZ$157,MATCH(2,1/(('Port Linkages'!$C$18:$C$157=$AP55)*('Port Linkages'!$D$18:$D$157=IF($AO55="Yes",$AQ55,$KK55))*('Port Linkages'!$A$18:$A$157&lt;=$C55))))</f>
        <v>MGO_Regular</v>
      </c>
      <c r="ACL55" s="75" t="str">
        <f t="array" ref="ACL55">INDEX('Port Linkages'!$BA$18:$BA$157,MATCH(2,1/(('Port Linkages'!$C$18:$C$157=$AP55)*('Port Linkages'!$D$18:$D$157=IF($AO55="Yes",$AQ55,$KK55))*('Port Linkages'!$A$18:$A$157&lt;=$C55))))</f>
        <v>none</v>
      </c>
      <c r="ACN55" s="25" t="e">
        <f t="array" aca="1" ref="ACN55" ca="1">INDEX('Ship Fuel Prices'!$F$5:$F$1004,MATCH(2,1/(('Ship Fuel Prices'!$E$5:$E$1004=_xlfn.IFS(AAC55="Handysize",Main!ACI55,AAC55="Supramax",ACB55,AAC55="Panamax",ABU55,AAC55="NeoPanamax",ABN55,AAC55="Suezmax",ABG55,AAC55="Capesize",AAZ55,AAC55="VLOC",AAS55))*('Ship Fuel Prices'!$D$5:$D$1004&lt;=Main!$C55))))</f>
        <v>#N/A</v>
      </c>
      <c r="ACO55" s="25" t="e">
        <f t="array" aca="1" ref="ACO55" ca="1">INDEX('Ship Fuel Prices'!$G$5:$G$1004,MATCH(2,1/(('Ship Fuel Prices'!$E$5:$E$1004=_xlfn.IFS(AAC55="Handysize",Main!ACI55,AAC55="Supramax",ACB55,AAC55="Panamax",ABU55,AAC55="NeoPanamax",ABN55,AAC55="Suezmax",ABG55,AAC55="Capesize",AAZ55,AAC55="VLOC",AAS55))*('Ship Fuel Prices'!$D$5:$D$1004&lt;=Main!$C55))))</f>
        <v>#N/A</v>
      </c>
      <c r="ACP55" s="25" t="e">
        <f t="array" aca="1" ref="ACP55" ca="1">INDEX('Ship Fuel Prices'!$H$5:$H$1004,MATCH(2,1/(('Ship Fuel Prices'!$E$5:$E$1004=_xlfn.IFS(AAC55="Handysize",Main!ACI55,AAC55="Supramax",ACB55,AAC55="Panamax",ABU55,AAC55="NeoPanamax",ABN55,AAC55="Suezmax",ABG55,AAC55="Capesize",AAZ55,AAC55="VLOC",AAS55))*('Ship Fuel Prices'!$D$5:$D$1004&lt;=Main!$C55))))</f>
        <v>#N/A</v>
      </c>
      <c r="ACQ55" s="25" t="e">
        <f t="array" aca="1" ref="ACQ55" ca="1">INDEX('Ship Fuel Prices'!$I$5:$I$1004,MATCH(2,1/(('Ship Fuel Prices'!$E$5:$E$1004=_xlfn.IFS(AAC55="Handysize",Main!ACI55,AAC55="Supramax",ACB55,AAC55="Panamax",ABU55,AAC55="NeoPanamax",ABN55,AAC55="Suezmax",ABG55,AAC55="Capesize",AAZ55,AAC55="VLOC",AAS55))*('Ship Fuel Prices'!$D$5:$D$1004&lt;=Main!$C55))))</f>
        <v>#N/A</v>
      </c>
      <c r="ACR55" s="25" t="e">
        <f t="array" aca="1" ref="ACR55" ca="1">INDEX('Ship Fuel Prices'!$J$5:$J$1004,MATCH(2,1/(('Ship Fuel Prices'!$E$5:$E$1004=_xlfn.IFS(AAC55="Handysize",Main!ACI55,AAC55="Supramax",ACB55,AAC55="Panamax",ABU55,AAC55="NeoPanamax",ABN55,AAC55="Suezmax",ABG55,AAC55="Capesize",AAZ55,AAC55="VLOC",AAS55))*('Ship Fuel Prices'!$D$5:$D$1004&lt;=Main!$C55))))</f>
        <v>#N/A</v>
      </c>
      <c r="ACT55" s="75">
        <f t="array" ref="ACT55">INDEX('China n Importing Ports'!$E$20:$E$41,MATCH(2,1/(('China n Importing Ports'!$D$20:$D$41&lt;=$C55)*('China n Importing Ports'!$C$20:$C$41=IF($AO55="Yes",$AQ55,$KK55)))))</f>
        <v>42500</v>
      </c>
      <c r="ACU55" s="75">
        <f t="array" ref="ACU55">INDEX('China n Importing Ports'!$F$20:$F$41,MATCH(2,1/(('China n Importing Ports'!$D$20:$D$41&lt;=$C55)*('China n Importing Ports'!$C$20:$C$41=IF($AO55="Yes",$AQ55,$KK55)))))</f>
        <v>42500</v>
      </c>
      <c r="ACV55" s="75">
        <f t="array" ref="ACV55">INDEX('China n Importing Ports'!$G$20:$G$41,MATCH(2,1/(('China n Importing Ports'!$D$20:$D$41&lt;=$C55)*('China n Importing Ports'!$C$20:$C$41=IF($AO55="Yes",$AQ55,$KK55)))))</f>
        <v>42500</v>
      </c>
      <c r="ACW55" s="75">
        <f t="array" ref="ACW55">INDEX('China n Importing Ports'!$H$20:$H$41,MATCH(2,1/(('China n Importing Ports'!$D$20:$D$41&lt;=$C55)*('China n Importing Ports'!$C$20:$C$41=IF($AO55="Yes",$AQ55,$KK55)))))</f>
        <v>42500</v>
      </c>
      <c r="ACX55" s="75">
        <f t="array" ref="ACX55">INDEX('China n Importing Ports'!$I$20:$I$41,MATCH(2,1/(('China n Importing Ports'!$D$20:$D$41&lt;=$C55)*('China n Importing Ports'!$C$20:$C$41=IF($AO55="Yes",$AQ55,$KK55)))))</f>
        <v>42500</v>
      </c>
      <c r="ACY55" s="75">
        <f t="array" ref="ACY55">INDEX('China n Importing Ports'!$J$20:$J$41,MATCH(2,1/(('China n Importing Ports'!$D$20:$D$41&lt;=$C55)*('China n Importing Ports'!$C$20:$C$41=IF($AO55="Yes",$AQ55,$KK55)))))</f>
        <v>42500</v>
      </c>
      <c r="ACZ55" s="75">
        <f t="array" ref="ACZ55">INDEX('China n Importing Ports'!$K$20:$K$41,MATCH(2,1/(('China n Importing Ports'!$D$20:$D$41&lt;=$C55)*('China n Importing Ports'!$C$20:$C$41=IF($AO55="Yes",$AQ55,$KK55)))))</f>
        <v>42500</v>
      </c>
      <c r="ADA55" s="75" t="str">
        <f t="array" ref="ADA55">INDEX('China n Importing Ports'!$L$20:$L$41,MATCH(2,1/(('China n Importing Ports'!$D$20:$D$41&lt;=$C55)*('China n Importing Ports'!$C$20:$C$41=IF($AO55="Yes",$AQ55,$KK55)))))</f>
        <v>RMB</v>
      </c>
      <c r="ADB55" s="75">
        <f t="array" ref="ADB55">INDEX('China n Importing Ports'!$M$20:$M$41,MATCH(2,1/(('China n Importing Ports'!$D$20:$D$41&lt;=$C55)*('China n Importing Ports'!$C$20:$C$41=IF($AO55="Yes",$AQ55,$KK55)))))</f>
        <v>12342</v>
      </c>
      <c r="ADC55" s="75">
        <f t="array" ref="ADC55">INDEX('China n Importing Ports'!$N$20:$N$41,MATCH(2,1/(('China n Importing Ports'!$D$20:$D$41&lt;=$C55)*('China n Importing Ports'!$C$20:$C$41=IF($AO55="Yes",$AQ55,$KK55)))))</f>
        <v>0</v>
      </c>
      <c r="ADD55" s="75">
        <f t="array" ref="ADD55">INDEX('China n Importing Ports'!$O$20:$O$41,MATCH(2,1/(('China n Importing Ports'!$D$20:$D$41&lt;=$C55)*('China n Importing Ports'!$C$20:$C$41=IF($AO55="Yes",$AQ55,$KK55)))))</f>
        <v>0</v>
      </c>
      <c r="ADE55" s="136">
        <f t="array" ref="ADE55">INDEX('China n Importing Ports'!$P$20:$P$41,MATCH(2,1/(('China n Importing Ports'!$D$20:$D$41&lt;=$C55)*('China n Importing Ports'!$C$20:$C$41=IF($AO55="Yes",$AQ55,$KK55)))))</f>
        <v>2.64</v>
      </c>
      <c r="ADF55" s="136">
        <f t="array" ref="ADF55">INDEX('China n Importing Ports'!$Q$20:$Q$41,MATCH(2,1/(('China n Importing Ports'!$D$20:$D$41&lt;=$C55)*('China n Importing Ports'!$C$20:$C$41=IF($AO55="Yes",$AQ55,$KK55)))))</f>
        <v>0</v>
      </c>
      <c r="ADG55" s="136">
        <f t="array" ref="ADG55">INDEX('China n Importing Ports'!$R$20:$R$41,MATCH(2,1/(('China n Importing Ports'!$D$20:$D$41&lt;=$C55)*('China n Importing Ports'!$C$20:$C$41=IF($AO55="Yes",$AQ55,$KK55)))))</f>
        <v>0</v>
      </c>
      <c r="ADH55" s="136">
        <f t="array" ref="ADH55">INDEX('China n Importing Ports'!$S$20:$S$41,MATCH(2,1/(('China n Importing Ports'!$D$20:$D$41&lt;=$C55)*('China n Importing Ports'!$C$20:$C$41=IF($AO55="Yes",$AQ55,$KK55)))))</f>
        <v>4.53</v>
      </c>
      <c r="ADI55" s="136">
        <f t="array" ref="ADI55">INDEX('China n Importing Ports'!$T$20:$T$41,MATCH(2,1/(('China n Importing Ports'!$D$20:$D$41&lt;=$C55)*('China n Importing Ports'!$C$20:$C$41=IF($AO55="Yes",$AQ55,$KK55)))))</f>
        <v>0.36699999999999999</v>
      </c>
      <c r="ADJ55" s="136">
        <f t="array" ref="ADJ55">INDEX('China n Importing Ports'!$U$20:$U$41,MATCH(2,1/(('China n Importing Ports'!$D$20:$D$41&lt;=$C55)*('China n Importing Ports'!$C$20:$C$41=IF($AO55="Yes",$AQ55,$KK55)))))</f>
        <v>0.05</v>
      </c>
      <c r="ADK55" s="136">
        <f t="array" ref="ADK55">INDEX('China n Importing Ports'!$V$20:$V$41,MATCH(2,1/(('China n Importing Ports'!$D$20:$D$41&lt;=$C55)*('China n Importing Ports'!$C$20:$C$41=IF($AO55="Yes",$AQ55,$KK55)))))</f>
        <v>0</v>
      </c>
      <c r="ADL55" s="136">
        <f t="array" ref="ADL55">INDEX('China n Importing Ports'!$W$20:$W$41,MATCH(2,1/(('China n Importing Ports'!$D$20:$D$41&lt;=$C55)*('China n Importing Ports'!$C$20:$C$41=IF($AO55="Yes",$AQ55,$KK55)))))</f>
        <v>0</v>
      </c>
      <c r="ADM55" s="136">
        <f t="array" ref="ADM55">INDEX('China n Importing Ports'!$X$20:$X$41,MATCH(2,1/(('China n Importing Ports'!$D$20:$D$41&lt;=$C55)*('China n Importing Ports'!$C$20:$C$41=IF($AO55="Yes",$AQ55,$KK55)))))</f>
        <v>0</v>
      </c>
      <c r="ADN55" s="136">
        <f t="array" ref="ADN55">INDEX('China n Importing Ports'!$Y$20:$Y$41,MATCH(2,1/(('China n Importing Ports'!$D$20:$D$41&lt;=$C55)*('China n Importing Ports'!$C$20:$C$41=IF($AO55="Yes",$AQ55,$KK55)))))</f>
        <v>197</v>
      </c>
      <c r="ADO55" s="136">
        <f t="array" ref="ADO55">INDEX('China n Importing Ports'!$Z$20:$Z$41,MATCH(2,1/(('China n Importing Ports'!$D$20:$D$41&lt;=$C55)*('China n Importing Ports'!$C$20:$C$41=IF($AO55="Yes",$AQ55,$KK55)))))</f>
        <v>0</v>
      </c>
      <c r="ADP55" s="136">
        <f t="array" ref="ADP55">INDEX('China n Importing Ports'!$AA$20:$AA$41,MATCH(2,1/(('China n Importing Ports'!$D$20:$D$41&lt;=$C55)*('China n Importing Ports'!$C$20:$C$41=IF($AO55="Yes",$AQ55,$KK55)))))</f>
        <v>0</v>
      </c>
      <c r="ADR55" s="75" t="e">
        <f t="array" aca="1" ref="ADR55" ca="1">INDEX(Canals!$G$24:$G$29,MATCH(2,1/((Canals!$F$24:$F$29&lt;=$C55)*(Canals!$G$24:$G$29=_xlfn.IFS(AAC55="Handysize",Main!ACL55,AAC55="Supramax",ACE55,AAC55="Panamax",ABX55,AAC55="NeoPanamax",ABQ55,AAC55="Suezmax",ABJ55,AAC55="Capesize",ABC55,AAC55="VLOC",AAV55)))))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S55" s="75" t="e">
        <f t="array" aca="1" ref="ADS55" ca="1">INDEX(Canals!$H$24:$H$29,MATCH(2,1/((Canals!$F$24:$F$29&lt;=$C55)*(Canals!$G$24:$G$29=_xlfn.IFS(AAC55="Handysize",Main!ACL55,AAC55="Supramax",ACE55,AAC55="Panamax",ABX55,AAC55="NeoPanamax",ABQ55,AAC55="Suezmax",ABJ55,AAC55="Capesize",ABC55,AAC55="VLOC",AAV55)))))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T55" s="75" t="e">
        <f t="array" aca="1" ref="ADT55" ca="1">INDEX(Canals!$I$24:$I$29,MATCH(2,1/((Canals!$F$24:$F$29&lt;=$C55)*(Canals!$G$24:$G$29=_xlfn.IFS(AAC55="Handysize",Main!ACL55,AAC55="Supramax",ACE55,AAC55="Panamax",ABX55,AAC55="NeoPanamax",ABQ55,AAC55="Suezmax",ABJ55,AAC55="Capesize",ABC55,AAC55="VLOC",AAV55)))))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U55" s="75" t="e">
        <f t="array" aca="1" ref="ADU55" ca="1">INDEX(Canals!$J$24:$J$29,MATCH(2,1/((Canals!$F$24:$F$29&lt;=$C55)*(Canals!$G$24:$G$29=_xlfn.IFS(AAC55="Handysize",Main!ACL55,AAC55="Supramax",ACE55,AAC55="Panamax",ABX55,AAC55="NeoPanamax",ABQ55,AAC55="Suezmax",ABJ55,AAC55="Capesize",ABC55,AAC55="VLOC",AAV55)))))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V55" s="75" t="e">
        <f t="array" aca="1" ref="ADV55" ca="1">INDEX(Canals!$K$24:$K$29,MATCH(2,1/((Canals!$F$24:$F$29&lt;=$C55)*(Canals!$G$24:$G$29=_xlfn.IFS(AAC55="Handysize",Main!ACL55,AAC55="Supramax",ACE55,AAC55="Panamax",ABX55,AAC55="NeoPanamax",ABQ55,AAC55="Suezmax",ABJ55,AAC55="Capesize",ABC55,AAC55="VLOC",AAV55)))))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W55" s="75" t="e">
        <f t="array" aca="1" ref="ADW55" ca="1">INDEX(Canals!$L$24:$L$29,MATCH(2,1/((Canals!$F$24:$F$29&lt;=$C55)*(Canals!$G$24:$G$29=_xlfn.IFS(AAC55="Handysize",Main!ACL55,AAC55="Supramax",ACE55,AAC55="Panamax",ABX55,AAC55="NeoPanamax",ABQ55,AAC55="Suezmax",ABJ55,AAC55="Capesize",ABC55,AAC55="VLOC",AAV55)))))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X55" s="75" t="e">
        <f t="array" aca="1" ref="ADX55" ca="1">INDEX(Canals!$M$24:$M$29,MATCH(2,1/((Canals!$F$24:$F$29&lt;=$C55)*(Canals!$G$24:$G$29=_xlfn.IFS(AAC55="Handysize",Main!ACL55,AAC55="Supramax",ACE55,AAC55="Panamax",ABX55,AAC55="NeoPanamax",ABQ55,AAC55="Suezmax",ABJ55,AAC55="Capesize",ABC55,AAC55="VLOC",AAV55)))))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Y55" s="75" t="e">
        <f t="array" aca="1" ref="ADY55" ca="1">INDEX(Canals!$N$24:$N$29,MATCH(2,1/((Canals!$F$24:$F$29&lt;=$C55)*(Canals!$G$24:$G$29=_xlfn.IFS(AAC55="Handysize",Main!ACL55,AAC55="Supramax",ACE55,AAC55="Panamax",ABX55,AAC55="NeoPanamax",ABQ55,AAC55="Suezmax",ABJ55,AAC55="Capesize",ABC55,AAC55="VLOC",AAV55)))))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DZ55" s="75" t="e">
        <f t="array" aca="1" ref="ADZ55" ca="1">INDEX(Canals!$O$24:$O$29,MATCH(2,1/((Canals!$F$24:$F$29&lt;=$C55)*(Canals!$G$24:$G$29=_xlfn.IFS(AAC55="Handysize",Main!ACL55,AAC55="Supramax",ACE55,AAC55="Panamax",ABX55,AAC55="NeoPanamax",ABQ55,AAC55="Suezmax",ABJ55,AAC55="Capesize",ABC55,AAC55="VLOC",AAV55)))))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A55" s="75" t="e">
        <f t="array" aca="1" ref="AEA55" ca="1">INDEX(Canals!$P$24:$P$29,MATCH(2,1/((Canals!$F$24:$F$29&lt;=$C55)*(Canals!$G$24:$G$29=_xlfn.IFS(AAC55="Handysize",Main!ACL55,AAC55="Supramax",ACE55,AAC55="Panamax",ABX55,AAC55="NeoPanamax",ABQ55,AAC55="Suezmax",ABJ55,AAC55="Capesize",ABC55,AAC55="VLOC",AAV55)))))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B55" s="75" t="e">
        <f t="array" aca="1" ref="AEB55" ca="1">INDEX(Canals!$Q$24:$Q$29,MATCH(2,1/((Canals!$F$24:$F$29&lt;=$C55)*(Canals!$G$24:$G$29=_xlfn.IFS(AAC55="Handysize",Main!ACL55,AAC55="Supramax",ACE55,AAC55="Panamax",ABX55,AAC55="NeoPanamax",ABQ55,AAC55="Suezmax",ABJ55,AAC55="Capesize",ABC55,AAC55="VLOC",AAV55)))))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C55" s="75" t="e">
        <f t="array" aca="1" ref="AEC55" ca="1">INDEX(Canals!$R$24:$R$29,MATCH(2,1/((Canals!$F$24:$F$29&lt;=$C55)*(Canals!$G$24:$G$29=_xlfn.IFS(AAC55="Handysize",Main!ACL55,AAC55="Supramax",ACE55,AAC55="Panamax",ABX55,AAC55="NeoPanamax",ABQ55,AAC55="Suezmax",ABJ55,AAC55="Capesize",ABC55,AAC55="VLOC",AAV55)))))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D55" s="136" t="e">
        <f t="array" aca="1" ref="AED55" ca="1">INDEX(Canals!$S$24:$S$29,MATCH(2,1/((Canals!$F$24:$F$29&lt;=$C55)*(Canals!$G$24:$G$29=_xlfn.IFS(AAC55="Handysize",Main!ACL55,AAC55="Supramax",ACE55,AAC55="Panamax",ABX55,AAC55="NeoPanamax",ABQ55,AAC55="Suezmax",ABJ55,AAC55="Capesize",ABC55,AAC55="VLOC",AAV55)))))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E55" s="136" t="e">
        <f t="array" aca="1" ref="AEE55" ca="1">INDEX(Canals!$T$24:$T$29,MATCH(2,1/((Canals!$F$24:$F$29&lt;=$C55)*(Canals!$G$24:$G$29=_xlfn.IFS(AAC55="Handysize",Main!ACL55,AAC55="Supramax",ACE55,AAC55="Panamax",ABX55,AAC55="NeoPanamax",ABQ55,AAC55="Suezmax",ABJ55,AAC55="Capesize",ABC55,AAC55="VLOC",AAV55)))))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F55" s="136" t="e">
        <f t="array" aca="1" ref="AEF55" ca="1">INDEX(Canals!$U$24:$U$29,MATCH(2,1/((Canals!$F$24:$F$29&lt;=$C55)*(Canals!$G$24:$G$29=_xlfn.IFS(AAC55="Handysize",Main!ACL55,AAC55="Supramax",ACE55,AAC55="Panamax",ABX55,AAC55="NeoPanamax",ABQ55,AAC55="Suezmax",ABJ55,AAC55="Capesize",ABC55,AAC55="VLOC",AAV55)))))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G55" s="136" t="e">
        <f t="array" aca="1" ref="AEG55" ca="1">INDEX(Canals!$V$24:$V$29,MATCH(2,1/((Canals!$F$24:$F$29&lt;=$C55)*(Canals!$G$24:$G$29=_xlfn.IFS(AAC55="Handysize",Main!ACL55,AAC55="Supramax",ACE55,AAC55="Panamax",ABX55,AAC55="NeoPanamax",ABQ55,AAC55="Suezmax",ABJ55,AAC55="Capesize",ABC55,AAC55="VLOC",AAV55)))))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H55" s="136" t="e">
        <f t="array" aca="1" ref="AEH55" ca="1">INDEX(Canals!$W$24:$W$29,MATCH(2,1/((Canals!$F$24:$F$29&lt;=$C55)*(Canals!$G$24:$G$29=_xlfn.IFS(AAC55="Handysize",Main!ACL55,AAC55="Supramax",ACE55,AAC55="Panamax",ABX55,AAC55="NeoPanamax",ABQ55,AAC55="Suezmax",ABJ55,AAC55="Capesize",ABC55,AAC55="VLOC",AAV55)))))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I55" s="136" t="e">
        <f t="array" aca="1" ref="AEI55" ca="1">INDEX(Canals!$X$24:$X$29,MATCH(2,1/((Canals!$F$24:$F$29&lt;=$C55)*(Canals!$G$24:$G$29=_xlfn.IFS(AAC55="Handysize",Main!ACL55,AAC55="Supramax",ACE55,AAC55="Panamax",ABX55,AAC55="NeoPanamax",ABQ55,AAC55="Suezmax",ABJ55,AAC55="Capesize",ABC55,AAC55="VLOC",AAV55)))))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J55" s="136" t="e">
        <f t="array" aca="1" ref="AEJ55" ca="1">INDEX(Canals!$Y$24:$Y$29,MATCH(2,1/((Canals!$F$24:$F$29&lt;=$C55)*(Canals!$G$24:$G$29=_xlfn.IFS(AAC55="Handysize",Main!ACL55,AAC55="Supramax",ACE55,AAC55="Panamax",ABX55,AAC55="NeoPanamax",ABQ55,AAC55="Suezmax",ABJ55,AAC55="Capesize",ABC55,AAC55="VLOC",AAV55)))))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K55" s="136" t="e">
        <f t="array" aca="1" ref="AEK55" ca="1">INDEX(Canals!$Z$24:$Z$29,MATCH(2,1/((Canals!$F$24:$F$29&lt;=$C55)*(Canals!$G$24:$G$29=_xlfn.IFS(AAC55="Handysize",Main!ACL55,AAC55="Supramax",ACE55,AAC55="Panamax",ABX55,AAC55="NeoPanamax",ABQ55,AAC55="Suezmax",ABJ55,AAC55="Capesize",ABC55,AAC55="VLOC",AAV55)))))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L55" s="136" t="e">
        <f t="array" aca="1" ref="AEL55" ca="1">INDEX(Canals!$AA$24:$AA$29,MATCH(2,1/((Canals!$F$24:$F$29&lt;=$C55)*(Canals!$G$24:$G$29=_xlfn.IFS(AAC55="Handysize",Main!ACL55,AAC55="Supramax",ACE55,AAC55="Panamax",ABX55,AAC55="NeoPanamax",ABQ55,AAC55="Suezmax",ABJ55,AAC55="Capesize",ABC55,AAC55="VLOC",AAV55)))))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M55" s="136" t="e">
        <f t="array" aca="1" ref="AEM55" ca="1">INDEX(Canals!$AB$24:$AB$29,MATCH(2,1/((Canals!$F$24:$F$29&lt;=$C55)*(Canals!$G$24:$G$29=_xlfn.IFS(AAC55="Handysize",Main!ACL55,AAC55="Supramax",ACE55,AAC55="Panamax",ABX55,AAC55="NeoPanamax",ABQ55,AAC55="Suezmax",ABJ55,AAC55="Capesize",ABC55,AAC55="VLOC",AAV55)))))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N55" s="75" t="e">
        <f t="array" aca="1" ref="AEN55" ca="1">INDEX(Canals!$AC$24:$AC$29,MATCH(2,1/((Canals!$F$24:$F$29&lt;=$C55)*(Canals!$G$24:$G$29=_xlfn.IFS(AAC55="Handysize",Main!ACL55,AAC55="Supramax",ACE55,AAC55="Panamax",ABX55,AAC55="NeoPanamax",ABQ55,AAC55="Suezmax",ABJ55,AAC55="Capesize",ABC55,AAC55="VLOC",AAV55)))))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O55" s="75" t="e">
        <f t="array" aca="1" ref="AEO55" ca="1">INDEX(Canals!$AD$24:$AD$29,MATCH(2,1/((Canals!$F$24:$F$29&lt;=$C55)*(Canals!$G$24:$G$29=_xlfn.IFS(AAC55="Handysize",Main!ACL55,AAC55="Supramax",ACE55,AAC55="Panamax",ABX55,AAC55="NeoPanamax",ABQ55,AAC55="Suezmax",ABJ55,AAC55="Capesize",ABC55,AAC55="VLOC",AAV55)))))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P55" s="75" t="e">
        <f t="array" aca="1" ref="AEP55" ca="1">INDEX(Canals!$AE$24:$AE$29,MATCH(2,1/((Canals!$F$24:$F$29&lt;=$C55)*(Canals!$G$24:$G$29=_xlfn.IFS(AAC55="Handysize",Main!ACL55,AAC55="Supramax",ACE55,AAC55="Panamax",ABX55,AAC55="NeoPanamax",ABQ55,AAC55="Suezmax",ABJ55,AAC55="Capesize",ABC55,AAC55="VLOC",AAV55)))))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Q55" s="75" t="e">
        <f t="array" aca="1" ref="AEQ55" ca="1">INDEX(Canals!$AF$24:$AF$29,MATCH(2,1/((Canals!$F$24:$F$29&lt;=$C55)*(Canals!$G$24:$G$29=_xlfn.IFS(AAC55="Handysize",Main!ACL55,AAC55="Supramax",ACE55,AAC55="Panamax",ABX55,AAC55="NeoPanamax",ABQ55,AAC55="Suezmax",ABJ55,AAC55="Capesize",ABC55,AAC55="VLOC",AAV55)))))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R55" s="75" t="e">
        <f t="array" aca="1" ref="AER55" ca="1">INDEX(Canals!$AG$24:$AG$29,MATCH(2,1/((Canals!$F$24:$F$29&lt;=$C55)*(Canals!$G$24:$G$29=_xlfn.IFS(AAC55="Handysize",Main!ACL55,AAC55="Supramax",ACE55,AAC55="Panamax",ABX55,AAC55="NeoPanamax",ABQ55,AAC55="Suezmax",ABJ55,AAC55="Capesize",ABC55,AAC55="VLOC",AAV55)))))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S55" s="75" t="e">
        <f t="array" aca="1" ref="AES55" ca="1">INDEX(Canals!$AH$24:$AH$29,MATCH(2,1/((Canals!$F$24:$F$29&lt;=$C55)*(Canals!$G$24:$G$29=_xlfn.IFS(AAC55="Handysize",Main!ACL55,AAC55="Supramax",ACE55,AAC55="Panamax",ABX55,AAC55="NeoPanamax",ABQ55,AAC55="Suezmax",ABJ55,AAC55="Capesize",ABC55,AAC55="VLOC",AAV55)))))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T55" s="75" t="e">
        <f t="array" aca="1" ref="AET55" ca="1">INDEX(Canals!$AI$24:$AI$29,MATCH(2,1/((Canals!$F$24:$F$29&lt;=$C55)*(Canals!$G$24:$G$29=_xlfn.IFS(AAC55="Handysize",Main!ACL55,AAC55="Supramax",ACE55,AAC55="Panamax",ABX55,AAC55="NeoPanamax",ABQ55,AAC55="Suezmax",ABJ55,AAC55="Capesize",ABC55,AAC55="VLOC",AAV55)))))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U55" s="75" t="e">
        <f t="array" aca="1" ref="AEU55" ca="1">INDEX(Canals!$AJ$24:$AJ$29,MATCH(2,1/((Canals!$F$24:$F$29&lt;=$C55)*(Canals!$G$24:$G$29=_xlfn.IFS(AAC55="Handysize",Main!ACL55,AAC55="Supramax",ACE55,AAC55="Panamax",ABX55,AAC55="NeoPanamax",ABQ55,AAC55="Suezmax",ABJ55,AAC55="Capesize",ABC55,AAC55="VLOC",AAV55)))))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V55" s="75" t="e">
        <f t="array" aca="1" ref="AEV55" ca="1">INDEX(Canals!$AK$24:$AK$29,MATCH(2,1/((Canals!$F$24:$F$29&lt;=$C55)*(Canals!$G$24:$G$29=_xlfn.IFS(AAC55="Handysize",Main!ACL55,AAC55="Supramax",ACE55,AAC55="Panamax",ABX55,AAC55="NeoPanamax",ABQ55,AAC55="Suezmax",ABJ55,AAC55="Capesize",ABC55,AAC55="VLOC",AAV55)))))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W55" s="136" t="e">
        <f t="array" aca="1" ref="AEW55" ca="1">INDEX(Canals!$AL$24:$AL$29,MATCH(2,1/((Canals!$F$24:$F$29&lt;=$C55)*(Canals!$G$24:$G$29=_xlfn.IFS(AAC55="Handysize",Main!ACL55,AAC55="Supramax",ACE55,AAC55="Panamax",ABX55,AAC55="NeoPanamax",ABQ55,AAC55="Suezmax",ABJ55,AAC55="Capesize",ABC55,AAC55="VLOC",AAV55)))))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X55" s="136" t="e">
        <f t="array" aca="1" ref="AEX55" ca="1">INDEX(Canals!$AM$24:$AM$29,MATCH(2,1/((Canals!$F$24:$F$29&lt;=$C55)*(Canals!$G$24:$G$29=_xlfn.IFS(AAC55="Handysize",Main!ACL55,AAC55="Supramax",ACE55,AAC55="Panamax",ABX55,AAC55="NeoPanamax",ABQ55,AAC55="Suezmax",ABJ55,AAC55="Capesize",ABC55,AAC55="VLOC",AAV55)))))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Y55" s="136" t="e">
        <f t="array" aca="1" ref="AEY55" ca="1">INDEX(Canals!$AN$24:$AN$29,MATCH(2,1/((Canals!$F$24:$F$29&lt;=$C55)*(Canals!$G$24:$G$29=_xlfn.IFS(AAC55="Handysize",Main!ACL55,AAC55="Supramax",ACE55,AAC55="Panamax",ABX55,AAC55="NeoPanamax",ABQ55,AAC55="Suezmax",ABJ55,AAC55="Capesize",ABC55,AAC55="VLOC",AAV55)))))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EZ55" s="136" t="e">
        <f t="array" aca="1" ref="AEZ55" ca="1">INDEX(Canals!$AO$24:$AO$29,MATCH(2,1/((Canals!$F$24:$F$29&lt;=$C55)*(Canals!$G$24:$G$29=_xlfn.IFS(AAC55="Handysize",Main!ACL55,AAC55="Supramax",ACE55,AAC55="Panamax",ABX55,AAC55="NeoPanamax",ABQ55,AAC55="Suezmax",ABJ55,AAC55="Capesize",ABC55,AAC55="VLOC",AAV55)))))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A55" s="136" t="e">
        <f t="array" aca="1" ref="AFA55" ca="1">INDEX(Canals!$AP$24:$AP$29,MATCH(2,1/((Canals!$F$24:$F$29&lt;=$C55)*(Canals!$G$24:$G$29=_xlfn.IFS(AAC55="Handysize",Main!ACL55,AAC55="Supramax",ACE55,AAC55="Panamax",ABX55,AAC55="NeoPanamax",ABQ55,AAC55="Suezmax",ABJ55,AAC55="Capesize",ABC55,AAC55="VLOC",AAV55)))))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B55" s="136" t="e">
        <f t="array" aca="1" ref="AFB55" ca="1">INDEX(Canals!$AQ$24:$AQ$29,MATCH(2,1/((Canals!$F$24:$F$29&lt;=$C55)*(Canals!$G$24:$G$29=_xlfn.IFS(AAC55="Handysize",Main!ACL55,AAC55="Supramax",ACE55,AAC55="Panamax",ABX55,AAC55="NeoPanamax",ABQ55,AAC55="Suezmax",ABJ55,AAC55="Capesize",ABC55,AAC55="VLOC",AAV55)))))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C55" s="136" t="e">
        <f t="array" aca="1" ref="AFC55" ca="1">INDEX(Canals!$AR$24:$AR$29,MATCH(2,1/((Canals!$F$24:$F$29&lt;=$C55)*(Canals!$G$24:$G$29=_xlfn.IFS(AAC55="Handysize",Main!ACL55,AAC55="Supramax",ACE55,AAC55="Panamax",ABX55,AAC55="NeoPanamax",ABQ55,AAC55="Suezmax",ABJ55,AAC55="Capesize",ABC55,AAC55="VLOC",AAV55)))))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D55" s="136" t="e">
        <f t="array" aca="1" ref="AFD55" ca="1">INDEX(Canals!$AS$24:$AS$29,MATCH(2,1/((Canals!$F$24:$F$29&lt;=$C55)*(Canals!$G$24:$G$29=_xlfn.IFS(AAC55="Handysize",Main!ACL55,AAC55="Supramax",ACE55,AAC55="Panamax",ABX55,AAC55="NeoPanamax",ABQ55,AAC55="Suezmax",ABJ55,AAC55="Capesize",ABC55,AAC55="VLOC",AAV55)))))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E55" s="136" t="e">
        <f t="array" aca="1" ref="AFE55" ca="1">INDEX(Canals!$AT$24:$AT$29,MATCH(2,1/((Canals!$F$24:$F$29&lt;=$C55)*(Canals!$G$24:$G$29=_xlfn.IFS(AAC55="Handysize",Main!ACL55,AAC55="Supramax",ACE55,AAC55="Panamax",ABX55,AAC55="NeoPanamax",ABQ55,AAC55="Suezmax",ABJ55,AAC55="Capesize",ABC55,AAC55="VLOC",AAV55)))))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F55" s="136" t="e">
        <f t="array" aca="1" ref="AFF55" ca="1">INDEX(Canals!$AU$24:$AU$29,MATCH(2,1/((Canals!$F$24:$F$29&lt;=$C55)*(Canals!$G$24:$G$29=_xlfn.IFS(AAC55="Handysize",Main!ACL55,AAC55="Supramax",ACE55,AAC55="Panamax",ABX55,AAC55="NeoPanamax",ABQ55,AAC55="Suezmax",ABJ55,AAC55="Capesize",ABC55,AAC55="VLOC",AAV55)))))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G55" s="136" t="e">
        <f t="array" aca="1" ref="AFG55" ca="1">INDEX(Canals!$AV$24:$AV$29,MATCH(2,1/((Canals!$F$24:$F$29&lt;=$C55)*(Canals!$G$24:$G$29=_xlfn.IFS(AAC55="Handysize",Main!ACL55,AAC55="Supramax",ACE55,AAC55="Panamax",ABX55,AAC55="NeoPanamax",ABQ55,AAC55="Suezmax",ABJ55,AAC55="Capesize",ABC55,AAC55="VLOC",AAV55)))))</f>
        <v>#N/A</v>
      </c>
      <c r="AFI55" s="75" t="e">
        <f t="array" aca="1" ref="AFI55" ca="1">_xlfn.IFS(ADT55="DWT",AAA55,ADT55="NRT",AAE55,ADT55="GRT",AAF55)</f>
        <v>#NAME?</v>
      </c>
      <c r="AFJ55" s="279" t="e">
        <f t="shared" ref="AFJ55:AFJ63" ca="1" si="508">IF(AFI55&gt;ADU55,ADU55,AFI55)</f>
        <v>#NAME?</v>
      </c>
      <c r="AFK55" s="280" t="e">
        <f t="shared" ref="AFK55:AFK63" ca="1" si="509">IF(AFI55&gt;SUM(ADU55:ADV55),ADV55,AFI55-SUM(AFJ55:AFJ55))</f>
        <v>#NAME?</v>
      </c>
      <c r="AFL55" s="280" t="e">
        <f t="shared" ref="AFL55:AFL63" ca="1" si="510">IF(AFI55&gt;SUM(ADU55:ADW55),ADW55,AFI55-SUM(AFJ55:AFK55))</f>
        <v>#NAME?</v>
      </c>
      <c r="AFM55" s="280" t="e">
        <f t="shared" ref="AFM55:AFM63" ca="1" si="511">IF(AFI55&gt;SUM(ADU55:ADX55),ADX55,AFI55-SUM(AFJ55:AFL55))</f>
        <v>#NAME?</v>
      </c>
      <c r="AFN55" s="280" t="e">
        <f t="shared" ref="AFN55:AFN63" ca="1" si="512">IF(AFI55&gt;SUM(ADU55:ADY55),ADY55,AFI55-SUM(AFJ55:AFM55))</f>
        <v>#NAME?</v>
      </c>
      <c r="AFO55" s="280" t="e">
        <f t="shared" ref="AFO55:AFO63" ca="1" si="513">IF(AFI55&gt;SUM(ADU55:ADZ55),ADZ55,AFI55-SUM(AFJ55:AFN55))</f>
        <v>#NAME?</v>
      </c>
      <c r="AFP55" s="280" t="e">
        <f t="shared" ref="AFP55:AFP63" ca="1" si="514">IF(AFI55&gt;SUM(ADU55:AEA55),AEA55,AFI55-SUM(AFJ55:AFO55))</f>
        <v>#NAME?</v>
      </c>
      <c r="AFQ55" s="280" t="e">
        <f t="shared" ref="AFQ55:AFQ63" ca="1" si="515">IF(AFI55&gt;SUM(ADU55:AEB55),AEB55,AFI55-SUM(AFJ55:AFP55))</f>
        <v>#NAME?</v>
      </c>
      <c r="AFR55" s="280" t="e">
        <f t="shared" ref="AFR55:AFR63" ca="1" si="516">IF(AFI55&gt;SUM(ADU55:AEC55),AEC55,AFI55-SUM(AFJ55:AFQ55))</f>
        <v>#NAME?</v>
      </c>
      <c r="AFS55" s="75">
        <f t="shared" ref="AFS55:AFS63" si="517">AAA55*$JN55</f>
        <v>90588.23529411765</v>
      </c>
      <c r="AFT55" s="279" t="e">
        <f t="shared" ref="AFT55:AFT63" ca="1" si="518">IF(AFS55&gt;AEN55,AEN55,AFS55)</f>
        <v>#N/A</v>
      </c>
      <c r="AFU55" s="280" t="e">
        <f t="shared" ref="AFU55:AFU63" ca="1" si="519">IF(AFS55&gt;SUM(AEN55:AEO55),AEO55,AFS55-SUM(AFT55:AFT55))</f>
        <v>#N/A</v>
      </c>
      <c r="AFV55" s="280" t="e">
        <f t="shared" ref="AFV55:AFV63" ca="1" si="520">IF(AFS55&gt;SUM(AEN55:AEP55),AEP55,AFS55-SUM(AFT55:AFU55))</f>
        <v>#N/A</v>
      </c>
      <c r="AFW55" s="280" t="e">
        <f t="shared" ref="AFW55:AFW63" ca="1" si="521">IF(AFS55&gt;SUM(AEN55:AEQ55),AEQ55,AFS55-SUM(AFT55:AFV55))</f>
        <v>#N/A</v>
      </c>
      <c r="AFX55" s="280" t="e">
        <f t="shared" ref="AFX55:AFX63" ca="1" si="522">IF(AFS55&gt;SUM(AEN55:AER55),AER55,AFS55-SUM(AFT55:AFW55))</f>
        <v>#N/A</v>
      </c>
      <c r="AFY55" s="280" t="e">
        <f t="shared" ref="AFY55:AFY63" ca="1" si="523">IF(AFS55&gt;SUM(AEN55:AES55),AES55,AFS55-SUM(AFT55:AFX55))</f>
        <v>#N/A</v>
      </c>
      <c r="AFZ55" s="280" t="e">
        <f t="shared" ref="AFZ55:AFZ63" ca="1" si="524">IF(AFS55&gt;SUM(AEN55:AET55),AET55,AFS55-SUM(AFT55:AFY55))</f>
        <v>#N/A</v>
      </c>
      <c r="AGA55" s="280" t="e">
        <f t="shared" ref="AGA55:AGA63" ca="1" si="525">IF(AFS55&gt;SUM(AEN55:AEU55),AEU55,AFS55-SUM(AFT55:AFZ55))</f>
        <v>#N/A</v>
      </c>
      <c r="AGB55" s="280" t="e">
        <f t="shared" ref="AGB55:AGB63" ca="1" si="526">IF(AFS55&gt;SUM(AEN55:AEV55),AEV55,AFS55-SUM(AFT55:AGA55))</f>
        <v>#N/A</v>
      </c>
      <c r="AGD55" s="75" t="e">
        <f t="array" aca="1" ref="AGD55" ca="1">_xlfn.IFS(AAC55="Handysize",Main!ACF55,AAC55="Supramax",ABY55,AAC55="Panamax",ABR55,AAC55="NeoPanamax",ABK55,AAC55="Suezmax",ABD55,AAC55="Capesize",AAW55,AAC55="VLOC",AAP55)*$JI55</f>
        <v>#NAME?</v>
      </c>
      <c r="AGE55" s="274" t="e">
        <f t="array" aca="1" ref="AGE55" ca="1">_xlfn.IFS(AAC55="Handysize",Main!ACG55,AAC55="Supramax",ABZ55,AAC55="Panamax",ABS55,AAC55="NeoPanamax",ABL55,AAC55="Suezmax",ABE55,AAC55="Capesize",AAX55,AAC55="VLOC",AAQ55)*$JI55</f>
        <v>#NAME?</v>
      </c>
      <c r="AGF55" s="71" t="e">
        <f t="array" aca="1" ref="AGF55" ca="1">_xlfn.IFS(AAC55="Handysize",Main!AAH55,AAC55="Supramax",AAI55,AAC55="Panamax",AAJ55,AAC55="NeoPanamax",AAK55,AAC55="Suezmax",AAL55,AAC55="Capesize",AAM55,AAC55="VLOC",AAN55)</f>
        <v>#NAME?</v>
      </c>
      <c r="AGG55" s="71" t="e">
        <f t="array" aca="1" ref="AGG55" ca="1">_xlfn.IFS(AAC55="Handysize",Main!ACT55,AAC55="Supramax",ACU55,AAC55="Panamax",ACV55,AAC55="NeoPanamax",ACW55,AAC55="Suezmax",ACX55,AAC55="Capesize",ACY55,AAC55="VLOC",ACZ55)</f>
        <v>#NAME?</v>
      </c>
      <c r="AGH55" s="70">
        <f t="array" ref="AGH55">INDEX('Ship Speeds'!$G$11:$G$1011,MATCH(2,1/(('Ship Speeds'!$E$11:$E$1011&lt;=Main!$C55)*('Ship Speeds'!$F$11:$F$1011=Main!AAB55))))</f>
        <v>11</v>
      </c>
      <c r="AGI55" s="403">
        <f t="shared" ref="AGI55:AGI63" si="527">(($KH55*AGH55^2+$KI55*AGH55^3+$KG55*AGH55)*((AAA55/$KC55)^$KD55)*$KJ55+(AAA55/$KC55)*$KF55+$KE55)</f>
        <v>23.70260984288554</v>
      </c>
      <c r="AGJ55" s="401">
        <f t="shared" ref="AGJ55:AGJ63" si="528">(AAA55/$JY55)*$JZ55+$KA55+$KB55*(AAA55/$JY55)^2</f>
        <v>2.1922895927601811</v>
      </c>
      <c r="AGK55" s="70" t="e">
        <f t="shared" ref="AGK55:AGK63" ca="1" si="529">AGD55/AGH55/$JH55</f>
        <v>#NAME?</v>
      </c>
      <c r="AGL55" s="70" t="e">
        <f t="shared" ref="AGL55:AGL63" ca="1" si="530">AGE55/AGH55/$JH55</f>
        <v>#NAME?</v>
      </c>
      <c r="AGM55" s="70" t="e">
        <f t="shared" ref="AGM55:AGM63" ca="1" si="531">IF($AO55="no",$AN55,$AR55)/(1-$AL55)/AGF55</f>
        <v>#NAME?</v>
      </c>
      <c r="AGN55" s="70" t="e">
        <f t="shared" ref="AGN55:AGN63" ca="1" si="532">IF($AO55="no",$AN55,$AR55)/(1-$AL55)/AGG55</f>
        <v>#NAME?</v>
      </c>
      <c r="AGO55" s="72" t="e">
        <f t="shared" ref="AGO55:AGO63" ca="1" si="533">AFG55*$JI55</f>
        <v>#N/A</v>
      </c>
      <c r="AGP55" s="70" t="e">
        <f t="shared" ref="AGP55:AGP63" ca="1" si="534">MAX(SUM(AGK55:AGO55)*$JV55,$JU55)</f>
        <v>#NAME?</v>
      </c>
      <c r="AGQ55" s="70" t="e">
        <f t="array" aca="1" ref="AGQ55" ca="1">INDEX(ACN55:ACR55,MATCH(_xlfn.IFS(AAC55="Handysize",Main!ACJ55,AAC55="Supramax",ACC55,AAC55="Panamax",ABV55,AAC55="NeoPanamax",ABO55,AAC55="Suezmax",ABH55,AAC55="Capesize",ABA55,AAC55="VLOC",AAT55),$ACN$7:$ACR$7,0))</f>
        <v>#NAME?</v>
      </c>
      <c r="AGR55" s="70" t="e">
        <f t="array" aca="1" ref="AGR55" ca="1">INDEX(ACN55:ACR55,MATCH(_xlfn.IFS(AAC55="Handysize",Main!ACK55,AAC55="Supramax",ACD55,AAC55="Panamax",ABW55,AAC55="NeoPanamax",ABP55,AAC55="Suezmax",ABI55,AAC55="Capesize",ABB55,AAC55="VLOC",AAU55),$ACN$7:$ACR$7,0))</f>
        <v>#NAME?</v>
      </c>
      <c r="AGS55" s="71" t="e">
        <f t="shared" ref="AGS55:AGS63" ca="1" si="535">AGK55*AGI55*AGQ55</f>
        <v>#NAME?</v>
      </c>
      <c r="AGT55" s="71" t="e">
        <f t="shared" ref="AGT55:AGT63" ca="1" si="536">SUM(AGM55:AGP55)*AGJ55*AGR55+AGL55*AGI55*AGR55</f>
        <v>#NAME?</v>
      </c>
      <c r="AGU55" s="281">
        <f t="shared" ref="AGU55:AGU63" si="537">INDEX($JA55:$JD55,MATCH(ADA55,$JA$7:$JD$7,0))</f>
        <v>7.0834199999999994</v>
      </c>
      <c r="AGV55" s="71">
        <f t="shared" ref="AGV55:AGV63" si="538">ADB55/AGU55</f>
        <v>1742.3786814843679</v>
      </c>
      <c r="AGW55" s="71" t="e">
        <f t="shared" ref="AGW55:AGW63" ca="1" si="539">ADC55*SUM(AGN55,$JX55)/AGU55</f>
        <v>#NAME?</v>
      </c>
      <c r="AGX55" s="71" t="e">
        <f t="shared" ref="AGX55:AGX63" ca="1" si="540">ADD55*(AGP55*(1-$JW55))/AGU55</f>
        <v>#NAME?</v>
      </c>
      <c r="AGY55" s="71">
        <f t="shared" ref="AGY55:AGY63" si="541">ADE55*(AAA55*$JN55)/AGU55</f>
        <v>33762.355073745537</v>
      </c>
      <c r="AGZ55" s="71" t="e">
        <f t="shared" ref="AGZ55:AGZ63" ca="1" si="542">ADF55*(AAA55*$JN55)*SUM(AGN55,$JX55)/AGU55</f>
        <v>#NAME?</v>
      </c>
      <c r="AHA55" s="71" t="e">
        <f t="shared" ref="AHA55:AHA63" ca="1" si="543">ADG55*(AAA55*$JN55)*(AGP55*(1-$JW55))/AGU55</f>
        <v>#NAME?</v>
      </c>
      <c r="AHB55" s="71">
        <f t="shared" ref="AHB55:AHB63" si="544">ADH55*AAE55/AGU55</f>
        <v>23969.461999406663</v>
      </c>
      <c r="AHC55" s="71" t="e">
        <f t="shared" ref="AHC55:AHC63" ca="1" si="545">ADI55*AAE55*SUM(AGN55,$JX55)/AGU55</f>
        <v>#NAME?</v>
      </c>
      <c r="AHD55" s="71" t="e">
        <f t="shared" ref="AHD55:AHD63" ca="1" si="546">ADJ55*AAE55*(AGP55*(1-$JW55))/AGU55</f>
        <v>#NAME?</v>
      </c>
      <c r="AHE55" s="71">
        <f t="shared" ref="AHE55:AHE63" si="547">ADK55*AAF55/AGU55</f>
        <v>0</v>
      </c>
      <c r="AHF55" s="71" t="e">
        <f t="shared" ref="AHF55:AHF63" ca="1" si="548">ADL55*AAF55*SUM(AGN55,$JX55)/AGU55</f>
        <v>#NAME?</v>
      </c>
      <c r="AHG55" s="71" t="e">
        <f t="shared" ref="AHG55:AHG63" ca="1" si="549">ADM55*AAF55*(AGP55*(1-$JW55))/AGU55</f>
        <v>#NAME?</v>
      </c>
      <c r="AHH55" s="72">
        <f t="shared" ref="AHH55:AHH63" si="550">ADN55*AAD55/AGU55</f>
        <v>6313.2298390872393</v>
      </c>
      <c r="AHI55" s="72" t="e">
        <f t="shared" ref="AHI55:AHI63" ca="1" si="551">ADO55*AAD55*SUM(AGN55,$JX55)/AGU55</f>
        <v>#NAME?</v>
      </c>
      <c r="AHJ55" s="71" t="e">
        <f t="shared" ref="AHJ55:AHJ63" ca="1" si="552">ADP55*AAD55*(AGP55*(1-$JW55))/AGU55</f>
        <v>#NAME?</v>
      </c>
      <c r="AHK55" s="71" t="e">
        <f t="array" aca="1" ref="AHK55" ca="1">INDEX('Ship Time Charter Rates'!$H$22:$H$1021,MATCH(2,1/(('Ship Time Charter Rates'!$G$22:$G$1021=_xlfn.IFS(AAC55="Handysize",Main!ACH55,AAC55="Supramax",ACA55,AAC55="Panamax",ABT55,AAC55="NeoPanamax",ABM55,AAC55="Suezmax",ABF55,AAC55="Capesize",AAY55,AAC55="VLOC",AAR55))*('Ship Time Charter Rates'!$E$22:$E$1021&lt;=Main!$C55)*(NOT(ISBLANK('Ship Time Charter Rates'!$H$22:$H$1021))))))</f>
        <v>#N/A</v>
      </c>
      <c r="AHL55" s="71" t="e">
        <f t="shared" ref="AHL55:AHL63" ca="1" si="553">SUM(AGK55:AGP55,$JI55*$JX55)*AHK55</f>
        <v>#NAME?</v>
      </c>
      <c r="AHM55" s="70" t="e">
        <f t="shared" ref="AHM55:AHM63" ca="1" si="554">SUMPRODUCT(AED55:AEL55,AFJ55:AFR55)+SUMPRODUCT(AEW55:AFE55,AFT55:AGB55)</f>
        <v>#N/A</v>
      </c>
      <c r="AHN55" s="71" t="e">
        <f t="shared" ref="AHN55:AHN63" ca="1" si="555">SUM(AGS55,AGT55)+AHL55+AHM55+SUM(AGV55:AHJ55)</f>
        <v>#NAME?</v>
      </c>
      <c r="AHO55" s="71" t="e">
        <f t="shared" ref="AHO55:AHO63" ca="1" si="556">AHN55*(1+$KL55)</f>
        <v>#NAME?</v>
      </c>
      <c r="AHP55" s="72" t="e">
        <f t="shared" ref="AHP55:AHP63" ca="1" si="557">IF(AHO55=0,0,AHO55/(AAA55*(1-$AL55)*$JN55))</f>
        <v>#NAME?</v>
      </c>
      <c r="AHR55" s="25">
        <f>IF($AO55="yes",$AN55,$AR55)/(1-$AL55)/$JN55</f>
        <v>0</v>
      </c>
      <c r="AHS55" s="4" t="str">
        <f>VLOOKUP(AHR55,'Ship Time Charter Rates'!$F$10:$G$17,2,TRUE)</f>
        <v>Handysize</v>
      </c>
      <c r="AHT55" s="4" t="str">
        <f>VLOOKUP(AHR55,Canals!$E$5:$F$12,2,TRUE)</f>
        <v>Handysize</v>
      </c>
      <c r="AHU55" s="25">
        <f t="shared" ref="AHU55:AHU63" si="558">(AHR55*$JO55 + $JP55)</f>
        <v>145.88999999999999</v>
      </c>
      <c r="AHV55" s="25">
        <f t="shared" ref="AHV55:AHV63" si="559">(AHR55*$JQ55+$JR55)</f>
        <v>0</v>
      </c>
      <c r="AHW55" s="25">
        <f t="shared" ref="AHW55:AHW63" si="560">(AHR55*$JS55+$JT55)</f>
        <v>4797</v>
      </c>
      <c r="AHY55" s="75">
        <f t="array" ref="AHY55">INDEX('Indices Mines Exporting Ports'!$R$20:$R$51,MATCH(2,1/(('Indices Mines Exporting Ports'!$D$20:$D$51&lt;=Main!$C55)*('Indices Mines Exporting Ports'!$Q$20:$Q$51=$AQ55))))</f>
        <v>0</v>
      </c>
      <c r="AHZ55" s="75">
        <f t="array" ref="AHZ55">INDEX('Indices Mines Exporting Ports'!$S$20:$S$51,MATCH(2,1/(('Indices Mines Exporting Ports'!$D$20:$D$51&lt;=Main!$C55)*('Indices Mines Exporting Ports'!$Q$20:$Q$51=$AQ55))))</f>
        <v>0</v>
      </c>
      <c r="AIA55" s="75">
        <f t="array" ref="AIA55">INDEX('Indices Mines Exporting Ports'!$T$20:$T$51,MATCH(2,1/(('Indices Mines Exporting Ports'!$D$20:$D$51&lt;=Main!$C55)*('Indices Mines Exporting Ports'!$Q$20:$Q$51=$AQ55))))</f>
        <v>0</v>
      </c>
      <c r="AIB55" s="75">
        <f t="array" ref="AIB55">INDEX('Indices Mines Exporting Ports'!$U$20:$U$51,MATCH(2,1/(('Indices Mines Exporting Ports'!$D$20:$D$51&lt;=Main!$C55)*('Indices Mines Exporting Ports'!$Q$20:$Q$51=$AQ55))))</f>
        <v>0</v>
      </c>
      <c r="AIC55" s="75">
        <f t="array" ref="AIC55">INDEX('Indices Mines Exporting Ports'!$V$20:$V$51,MATCH(2,1/(('Indices Mines Exporting Ports'!$D$20:$D$51&lt;=Main!$C55)*('Indices Mines Exporting Ports'!$Q$20:$Q$51=$AQ55))))</f>
        <v>0</v>
      </c>
      <c r="AID55" s="75">
        <f t="array" ref="AID55">INDEX('Indices Mines Exporting Ports'!$W$20:$W$51,MATCH(2,1/(('Indices Mines Exporting Ports'!$D$20:$D$51&lt;=Main!$C55)*('Indices Mines Exporting Ports'!$Q$20:$Q$51=$AQ55))))</f>
        <v>0</v>
      </c>
      <c r="AIE55" s="75">
        <f t="array" ref="AIE55">INDEX('Indices Mines Exporting Ports'!$X$20:$X$51,MATCH(2,1/(('Indices Mines Exporting Ports'!$D$20:$D$51&lt;=Main!$C55)*('Indices Mines Exporting Ports'!$Q$20:$Q$51=$AQ55))))</f>
        <v>0</v>
      </c>
      <c r="AIG55" s="75">
        <f t="array" ref="AIG55">INDEX('Port Linkages'!$E$18:$E$157,MATCH(2,1/(('Port Linkages'!$C$18:$C$157=$AQ55)*('Port Linkages'!$D$18:$D$157=IF($AO55="no",$AQ55,$KK55))*('Port Linkages'!$A$18:$A$157&lt;=$C55))))</f>
        <v>0</v>
      </c>
      <c r="AIH55" s="75">
        <f t="array" ref="AIH55">INDEX('Port Linkages'!$F$18:$F$157,MATCH(2,1/(('Port Linkages'!$C$18:$C$157=$AQ55)*('Port Linkages'!$D$18:$D$157=IF($AO55="no",$AQ55,$KK55))*('Port Linkages'!$A$18:$A$157&lt;=$C55))))</f>
        <v>0</v>
      </c>
      <c r="AII55" s="75">
        <f t="array" ref="AII55">INDEX('Port Linkages'!$G$18:$G$157,MATCH(2,1/(('Port Linkages'!$C$18:$C$157=$AQ55)*('Port Linkages'!$D$18:$D$157=IF($AO55="no",$AQ55,$KK55))*('Port Linkages'!$A$18:$A$157&lt;=$C55))))</f>
        <v>0</v>
      </c>
      <c r="AIJ55" s="75">
        <f t="array" ref="AIJ55">INDEX('Port Linkages'!$H$18:$H$157,MATCH(2,1/(('Port Linkages'!$C$18:$C$157=$AQ55)*('Port Linkages'!$D$18:$D$157=IF($AO55="no",$AQ55,$KK55))*('Port Linkages'!$A$18:$A$157&lt;=$C55))))</f>
        <v>0</v>
      </c>
      <c r="AIK55" s="75">
        <f t="array" ref="AIK55">INDEX('Port Linkages'!$I$18:$I$157,MATCH(2,1/(('Port Linkages'!$C$18:$C$157=$AQ55)*('Port Linkages'!$D$18:$D$157=IF($AO55="no",$AQ55,$KK55))*('Port Linkages'!$A$18:$A$157&lt;=$C55))))</f>
        <v>0</v>
      </c>
      <c r="AIL55" s="75">
        <f t="array" ref="AIL55">INDEX('Port Linkages'!$J$18:$J$157,MATCH(2,1/(('Port Linkages'!$C$18:$C$157=$AQ55)*('Port Linkages'!$D$18:$D$157=IF($AO55="no",$AQ55,$KK55))*('Port Linkages'!$A$18:$A$157&lt;=$C55))))</f>
        <v>0</v>
      </c>
      <c r="AIM55" s="75">
        <f t="array" ref="AIM55">INDEX('Port Linkages'!$K$18:$K$157,MATCH(2,1/(('Port Linkages'!$C$18:$C$157=$AQ55)*('Port Linkages'!$D$18:$D$157=IF($AO55="no",$AQ55,$KK55))*('Port Linkages'!$A$18:$A$157&lt;=$C55))))</f>
        <v>0</v>
      </c>
      <c r="AIN55" s="75">
        <f t="array" ref="AIN55">INDEX('Port Linkages'!$L$18:$L$157,MATCH(2,1/(('Port Linkages'!$C$18:$C$157=$AQ55)*('Port Linkages'!$D$18:$D$157=IF($AO55="no",$AQ55,$KK55))*('Port Linkages'!$A$18:$A$157&lt;=$C55))))</f>
        <v>0</v>
      </c>
      <c r="AIO55" s="75">
        <f t="array" ref="AIO55">INDEX('Port Linkages'!$M$18:$M$157,MATCH(2,1/(('Port Linkages'!$C$18:$C$157=$AQ55)*('Port Linkages'!$D$18:$D$157=IF($AO55="no",$AQ55,$KK55))*('Port Linkages'!$A$18:$A$157&lt;=$C55))))</f>
        <v>0</v>
      </c>
      <c r="AIP55" s="75">
        <f t="array" ref="AIP55">INDEX('Port Linkages'!$N$18:$N$157,MATCH(2,1/(('Port Linkages'!$C$18:$C$157=$AQ55)*('Port Linkages'!$D$18:$D$157=IF($AO55="no",$AQ55,$KK55))*('Port Linkages'!$A$18:$A$157&lt;=$C55))))</f>
        <v>0</v>
      </c>
      <c r="AIQ55" s="75">
        <f t="array" ref="AIQ55">INDEX('Port Linkages'!$O$18:$O$157,MATCH(2,1/(('Port Linkages'!$C$18:$C$157=$AQ55)*('Port Linkages'!$D$18:$D$157=IF($AO55="no",$AQ55,$KK55))*('Port Linkages'!$A$18:$A$157&lt;=$C55))))</f>
        <v>0</v>
      </c>
      <c r="AIR55" s="75">
        <f t="array" ref="AIR55">INDEX('Port Linkages'!$P$18:$P$157,MATCH(2,1/(('Port Linkages'!$C$18:$C$157=$AQ55)*('Port Linkages'!$D$18:$D$157=IF($AO55="no",$AQ55,$KK55))*('Port Linkages'!$A$18:$A$157&lt;=$C55))))</f>
        <v>0</v>
      </c>
      <c r="AIS55" s="75">
        <f t="array" ref="AIS55">INDEX('Port Linkages'!$Q$18:$Q$157,MATCH(2,1/(('Port Linkages'!$C$18:$C$157=$AQ55)*('Port Linkages'!$D$18:$D$157=IF($AO55="no",$AQ55,$KK55))*('Port Linkages'!$A$18:$A$157&lt;=$C55))))</f>
        <v>0</v>
      </c>
      <c r="AIT55" s="75">
        <f t="array" ref="AIT55">INDEX('Port Linkages'!$R$18:$R$157,MATCH(2,1/(('Port Linkages'!$C$18:$C$157=$AQ55)*('Port Linkages'!$D$18:$D$157=IF($AO55="no",$AQ55,$KK55))*('Port Linkages'!$A$18:$A$157&lt;=$C55))))</f>
        <v>0</v>
      </c>
      <c r="AIU55" s="75">
        <f t="array" ref="AIU55">INDEX('Port Linkages'!$S$18:$S$157,MATCH(2,1/(('Port Linkages'!$C$18:$C$157=$AQ55)*('Port Linkages'!$D$18:$D$157=IF($AO55="no",$AQ55,$KK55))*('Port Linkages'!$A$18:$A$157&lt;=$C55))))</f>
        <v>0</v>
      </c>
      <c r="AIV55" s="75">
        <f t="array" ref="AIV55">INDEX('Port Linkages'!$T$18:$T$157,MATCH(2,1/(('Port Linkages'!$C$18:$C$157=$AQ55)*('Port Linkages'!$D$18:$D$157=IF($AO55="no",$AQ55,$KK55))*('Port Linkages'!$A$18:$A$157&lt;=$C55))))</f>
        <v>0</v>
      </c>
      <c r="AIW55" s="75">
        <f t="array" ref="AIW55">INDEX('Port Linkages'!$U$18:$U$157,MATCH(2,1/(('Port Linkages'!$C$18:$C$157=$AQ55)*('Port Linkages'!$D$18:$D$157=IF($AO55="no",$AQ55,$KK55))*('Port Linkages'!$A$18:$A$157&lt;=$C55))))</f>
        <v>0</v>
      </c>
      <c r="AIX55" s="75">
        <f t="array" ref="AIX55">INDEX('Port Linkages'!$V$18:$V$157,MATCH(2,1/(('Port Linkages'!$C$18:$C$157=$AQ55)*('Port Linkages'!$D$18:$D$157=IF($AO55="no",$AQ55,$KK55))*('Port Linkages'!$A$18:$A$157&lt;=$C55))))</f>
        <v>0</v>
      </c>
      <c r="AIY55" s="75">
        <f t="array" ref="AIY55">INDEX('Port Linkages'!$W$18:$W$157,MATCH(2,1/(('Port Linkages'!$C$18:$C$157=$AQ55)*('Port Linkages'!$D$18:$D$157=IF($AO55="no",$AQ55,$KK55))*('Port Linkages'!$A$18:$A$157&lt;=$C55))))</f>
        <v>0</v>
      </c>
      <c r="AIZ55" s="75">
        <f t="array" ref="AIZ55">INDEX('Port Linkages'!$X$18:$X$157,MATCH(2,1/(('Port Linkages'!$C$18:$C$157=$AQ55)*('Port Linkages'!$D$18:$D$157=IF($AO55="no",$AQ55,$KK55))*('Port Linkages'!$A$18:$A$157&lt;=$C55))))</f>
        <v>0</v>
      </c>
      <c r="AJA55" s="75">
        <f t="array" ref="AJA55">INDEX('Port Linkages'!$Y$18:$Y$157,MATCH(2,1/(('Port Linkages'!$C$18:$C$157=$AQ55)*('Port Linkages'!$D$18:$D$157=IF($AO55="no",$AQ55,$KK55))*('Port Linkages'!$A$18:$A$157&lt;=$C55))))</f>
        <v>0</v>
      </c>
      <c r="AJB55" s="75">
        <f t="array" ref="AJB55">INDEX('Port Linkages'!$Z$18:$Z$157,MATCH(2,1/(('Port Linkages'!$C$18:$C$157=$AQ55)*('Port Linkages'!$D$18:$D$157=IF($AO55="no",$AQ55,$KK55))*('Port Linkages'!$A$18:$A$157&lt;=$C55))))</f>
        <v>0</v>
      </c>
      <c r="AJC55" s="75">
        <f t="array" ref="AJC55">INDEX('Port Linkages'!$AA$18:$AA$157,MATCH(2,1/(('Port Linkages'!$C$18:$C$157=$AQ55)*('Port Linkages'!$D$18:$D$157=IF($AO55="no",$AQ55,$KK55))*('Port Linkages'!$A$18:$A$157&lt;=$C55))))</f>
        <v>0</v>
      </c>
      <c r="AJD55" s="75">
        <f t="array" ref="AJD55">INDEX('Port Linkages'!$AB$18:$AB$157,MATCH(2,1/(('Port Linkages'!$C$18:$C$157=$AQ55)*('Port Linkages'!$D$18:$D$157=IF($AO55="no",$AQ55,$KK55))*('Port Linkages'!$A$18:$A$157&lt;=$C55))))</f>
        <v>0</v>
      </c>
      <c r="AJE55" s="75">
        <f t="array" ref="AJE55">INDEX('Port Linkages'!$AC$18:$AC$157,MATCH(2,1/(('Port Linkages'!$C$18:$C$157=$AQ55)*('Port Linkages'!$D$18:$D$157=IF($AO55="no",$AQ55,$KK55))*('Port Linkages'!$A$18:$A$157&lt;=$C55))))</f>
        <v>0</v>
      </c>
      <c r="AJF55" s="75">
        <f t="array" ref="AJF55">INDEX('Port Linkages'!$AD$18:$AD$157,MATCH(2,1/(('Port Linkages'!$C$18:$C$157=$AQ55)*('Port Linkages'!$D$18:$D$157=IF($AO55="no",$AQ55,$KK55))*('Port Linkages'!$A$18:$A$157&lt;=$C55))))</f>
        <v>0</v>
      </c>
      <c r="AJG55" s="75">
        <f t="array" ref="AJG55">INDEX('Port Linkages'!$AE$18:$AE$157,MATCH(2,1/(('Port Linkages'!$C$18:$C$157=$AQ55)*('Port Linkages'!$D$18:$D$157=IF($AO55="no",$AQ55,$KK55))*('Port Linkages'!$A$18:$A$157&lt;=$C55))))</f>
        <v>0</v>
      </c>
      <c r="AJH55" s="75">
        <f t="array" ref="AJH55">INDEX('Port Linkages'!$AF$18:$AF$157,MATCH(2,1/(('Port Linkages'!$C$18:$C$157=$AQ55)*('Port Linkages'!$D$18:$D$157=IF($AO55="no",$AQ55,$KK55))*('Port Linkages'!$A$18:$A$157&lt;=$C55))))</f>
        <v>0</v>
      </c>
      <c r="AJI55" s="75">
        <f t="array" ref="AJI55">INDEX('Port Linkages'!$AG$18:$AG$157,MATCH(2,1/(('Port Linkages'!$C$18:$C$157=$AQ55)*('Port Linkages'!$D$18:$D$157=IF($AO55="no",$AQ55,$KK55))*('Port Linkages'!$A$18:$A$157&lt;=$C55))))</f>
        <v>0</v>
      </c>
      <c r="AJJ55" s="75">
        <f t="array" ref="AJJ55">INDEX('Port Linkages'!$AH$18:$AH$157,MATCH(2,1/(('Port Linkages'!$C$18:$C$157=$AQ55)*('Port Linkages'!$D$18:$D$157=IF($AO55="no",$AQ55,$KK55))*('Port Linkages'!$A$18:$A$157&lt;=$C55))))</f>
        <v>0</v>
      </c>
      <c r="AJK55" s="75">
        <f t="array" ref="AJK55">INDEX('Port Linkages'!$AI$18:$AI$157,MATCH(2,1/(('Port Linkages'!$C$18:$C$157=$AQ55)*('Port Linkages'!$D$18:$D$157=IF($AO55="no",$AQ55,$KK55))*('Port Linkages'!$A$18:$A$157&lt;=$C55))))</f>
        <v>0</v>
      </c>
      <c r="AJL55" s="75">
        <f t="array" ref="AJL55">INDEX('Port Linkages'!$AJ$18:$AJ$157,MATCH(2,1/(('Port Linkages'!$C$18:$C$157=$AQ55)*('Port Linkages'!$D$18:$D$157=IF($AO55="no",$AQ55,$KK55))*('Port Linkages'!$A$18:$A$157&lt;=$C55))))</f>
        <v>0</v>
      </c>
      <c r="AJM55" s="75">
        <f t="array" ref="AJM55">INDEX('Port Linkages'!$AK$18:$AK$157,MATCH(2,1/(('Port Linkages'!$C$18:$C$157=$AQ55)*('Port Linkages'!$D$18:$D$157=IF($AO55="no",$AQ55,$KK55))*('Port Linkages'!$A$18:$A$157&lt;=$C55))))</f>
        <v>0</v>
      </c>
      <c r="AJN55" s="75">
        <f t="array" ref="AJN55">INDEX('Port Linkages'!$AL$18:$AL$157,MATCH(2,1/(('Port Linkages'!$C$18:$C$157=$AQ55)*('Port Linkages'!$D$18:$D$157=IF($AO55="no",$AQ55,$KK55))*('Port Linkages'!$A$18:$A$157&lt;=$C55))))</f>
        <v>0</v>
      </c>
      <c r="AJO55" s="75">
        <f t="array" ref="AJO55">INDEX('Port Linkages'!$AM$18:$AM$157,MATCH(2,1/(('Port Linkages'!$C$18:$C$157=$AQ55)*('Port Linkages'!$D$18:$D$157=IF($AO55="no",$AQ55,$KK55))*('Port Linkages'!$A$18:$A$157&lt;=$C55))))</f>
        <v>0</v>
      </c>
      <c r="AJP55" s="75">
        <f t="array" ref="AJP55">INDEX('Port Linkages'!$AN$18:$AN$157,MATCH(2,1/(('Port Linkages'!$C$18:$C$157=$AQ55)*('Port Linkages'!$D$18:$D$157=IF($AO55="no",$AQ55,$KK55))*('Port Linkages'!$A$18:$A$157&lt;=$C55))))</f>
        <v>0</v>
      </c>
      <c r="AJQ55" s="75">
        <f t="array" ref="AJQ55">INDEX('Port Linkages'!$AO$18:$AO$157,MATCH(2,1/(('Port Linkages'!$C$18:$C$157=$AQ55)*('Port Linkages'!$D$18:$D$157=IF($AO55="no",$AQ55,$KK55))*('Port Linkages'!$A$18:$A$157&lt;=$C55))))</f>
        <v>0</v>
      </c>
      <c r="AJR55" s="75">
        <f t="array" ref="AJR55">INDEX('Port Linkages'!$AP$18:$AP$157,MATCH(2,1/(('Port Linkages'!$C$18:$C$157=$AQ55)*('Port Linkages'!$D$18:$D$157=IF($AO55="no",$AQ55,$KK55))*('Port Linkages'!$A$18:$A$157&lt;=$C55))))</f>
        <v>0</v>
      </c>
      <c r="AJS55" s="75">
        <f t="array" ref="AJS55">INDEX('Port Linkages'!$AQ$18:$AQ$157,MATCH(2,1/(('Port Linkages'!$C$18:$C$157=$AQ55)*('Port Linkages'!$D$18:$D$157=IF($AO55="no",$AQ55,$KK55))*('Port Linkages'!$A$18:$A$157&lt;=$C55))))</f>
        <v>0</v>
      </c>
      <c r="AJT55" s="75">
        <f t="array" ref="AJT55">INDEX('Port Linkages'!$AR$18:$AR$157,MATCH(2,1/(('Port Linkages'!$C$18:$C$157=$AQ55)*('Port Linkages'!$D$18:$D$157=IF($AO55="no",$AQ55,$KK55))*('Port Linkages'!$A$18:$A$157&lt;=$C55))))</f>
        <v>0</v>
      </c>
      <c r="AJU55" s="75">
        <f t="array" ref="AJU55">INDEX('Port Linkages'!$AS$18:$AS$157,MATCH(2,1/(('Port Linkages'!$C$18:$C$157=$AQ55)*('Port Linkages'!$D$18:$D$157=IF($AO55="no",$AQ55,$KK55))*('Port Linkages'!$A$18:$A$157&lt;=$C55))))</f>
        <v>0</v>
      </c>
      <c r="AJV55" s="75">
        <f t="array" ref="AJV55">INDEX('Port Linkages'!$AT$18:$AT$157,MATCH(2,1/(('Port Linkages'!$C$18:$C$157=$AQ55)*('Port Linkages'!$D$18:$D$157=IF($AO55="no",$AQ55,$KK55))*('Port Linkages'!$A$18:$A$157&lt;=$C55))))</f>
        <v>0</v>
      </c>
      <c r="AJW55" s="75">
        <f t="array" ref="AJW55">INDEX('Port Linkages'!$AU$18:$AU$157,MATCH(2,1/(('Port Linkages'!$C$18:$C$157=$AQ55)*('Port Linkages'!$D$18:$D$157=IF($AO55="no",$AQ55,$KK55))*('Port Linkages'!$A$18:$A$157&lt;=$C55))))</f>
        <v>0</v>
      </c>
      <c r="AJX55" s="75">
        <f t="array" ref="AJX55">INDEX('Port Linkages'!$AV$18:$AV$157,MATCH(2,1/(('Port Linkages'!$C$18:$C$157=$AQ55)*('Port Linkages'!$D$18:$D$157=IF($AO55="no",$AQ55,$KK55))*('Port Linkages'!$A$18:$A$157&lt;=$C55))))</f>
        <v>0</v>
      </c>
      <c r="AJY55" s="75">
        <f t="array" ref="AJY55">INDEX('Port Linkages'!$AW$18:$AW$157,MATCH(2,1/(('Port Linkages'!$C$18:$C$157=$AQ55)*('Port Linkages'!$D$18:$D$157=IF($AO55="no",$AQ55,$KK55))*('Port Linkages'!$A$18:$A$157&lt;=$C55))))</f>
        <v>0</v>
      </c>
      <c r="AJZ55" s="75">
        <f t="array" ref="AJZ55">INDEX('Port Linkages'!$AX$18:$AX$157,MATCH(2,1/(('Port Linkages'!$C$18:$C$157=$AQ55)*('Port Linkages'!$D$18:$D$157=IF($AO55="no",$AQ55,$KK55))*('Port Linkages'!$A$18:$A$157&lt;=$C55))))</f>
        <v>0</v>
      </c>
      <c r="AKA55" s="75">
        <f t="array" ref="AKA55">INDEX('Port Linkages'!$AY$18:$AY$157,MATCH(2,1/(('Port Linkages'!$C$18:$C$157=$AQ55)*('Port Linkages'!$D$18:$D$157=IF($AO55="no",$AQ55,$KK55))*('Port Linkages'!$A$18:$A$157&lt;=$C55))))</f>
        <v>0</v>
      </c>
      <c r="AKB55" s="75">
        <f t="array" ref="AKB55">INDEX('Port Linkages'!$AZ$18:$AZ$157,MATCH(2,1/(('Port Linkages'!$C$18:$C$157=$AQ55)*('Port Linkages'!$D$18:$D$157=IF($AO55="no",$AQ55,$KK55))*('Port Linkages'!$A$18:$A$157&lt;=$C55))))</f>
        <v>0</v>
      </c>
      <c r="AKC55" s="75">
        <f t="array" ref="AKC55">INDEX('Port Linkages'!$BA$18:$BA$157,MATCH(2,1/(('Port Linkages'!$C$18:$C$157=$AQ55)*('Port Linkages'!$D$18:$D$157=IF($AO55="no",$AQ55,$KK55))*('Port Linkages'!$A$18:$A$157&lt;=$C55))))</f>
        <v>0</v>
      </c>
      <c r="AKE55" s="25" t="e">
        <f t="array" aca="1" ref="AKE55" ca="1">INDEX('Ship Fuel Prices'!$F$5:$F$1004,MATCH(2,1/(('Ship Fuel Prices'!$E$5:$E$1004=_xlfn.IFS(AHT55="Handysize",Main!AJZ55,AHT55="Supramax",AJS55,AHT55="Panamax",AJL55,AHT55="NeoPanamax",AJE55,AHT55="Suezmax",AIX55,AHT55="Capesize",AIQ55,AHT55="VLOC",AIJ55))*('Ship Fuel Prices'!$D$5:$D$1004&lt;=Main!$C55))))</f>
        <v>#N/A</v>
      </c>
      <c r="AKF55" s="25" t="e">
        <f t="array" aca="1" ref="AKF55" ca="1">INDEX('Ship Fuel Prices'!$G$5:$G$1004,MATCH(2,1/(('Ship Fuel Prices'!$E$5:$E$1004=_xlfn.IFS(AHT55="Handysize",Main!AJZ55,AHT55="Supramax",AJS55,AHT55="Panamax",AJL55,AHT55="NeoPanamax",AJE55,AHT55="Suezmax",AIX55,AHT55="Capesize",AIQ55,AHT55="VLOC",AIJ55))*('Ship Fuel Prices'!$D$5:$D$1004&lt;=Main!$C55))))</f>
        <v>#N/A</v>
      </c>
      <c r="AKG55" s="25" t="e">
        <f t="array" aca="1" ref="AKG55" ca="1">INDEX('Ship Fuel Prices'!$H$5:$H$1004,MATCH(2,1/(('Ship Fuel Prices'!$E$5:$E$1004=_xlfn.IFS(AHT55="Handysize",Main!AJZ55,AHT55="Supramax",AJS55,AHT55="Panamax",AJL55,AHT55="NeoPanamax",AJE55,AHT55="Suezmax",AIX55,AHT55="Capesize",AIQ55,AHT55="VLOC",AIJ55))*('Ship Fuel Prices'!$D$5:$D$1004&lt;=Main!$C55))))</f>
        <v>#N/A</v>
      </c>
      <c r="AKH55" s="25" t="e">
        <f t="array" aca="1" ref="AKH55" ca="1">INDEX('Ship Fuel Prices'!$I$5:$I$1004,MATCH(2,1/(('Ship Fuel Prices'!$E$5:$E$1004=_xlfn.IFS(AHT55="Handysize",Main!AJZ55,AHT55="Supramax",AJS55,AHT55="Panamax",AJL55,AHT55="NeoPanamax",AJE55,AHT55="Suezmax",AIX55,AHT55="Capesize",AIQ55,AHT55="VLOC",AIJ55))*('Ship Fuel Prices'!$D$5:$D$1004&lt;=Main!$C55))))</f>
        <v>#N/A</v>
      </c>
      <c r="AKI55" s="25" t="e">
        <f t="array" aca="1" ref="AKI55" ca="1">INDEX('Ship Fuel Prices'!$J$5:$J$1004,MATCH(2,1/(('Ship Fuel Prices'!$E$5:$E$1004=_xlfn.IFS(AHT55="Handysize",Main!AJZ55,AHT55="Supramax",AJS55,AHT55="Panamax",AJL55,AHT55="NeoPanamax",AJE55,AHT55="Suezmax",AIX55,AHT55="Capesize",AIQ55,AHT55="VLOC",AIJ55))*('Ship Fuel Prices'!$D$5:$D$1004&lt;=Main!$C55))))</f>
        <v>#N/A</v>
      </c>
      <c r="AKK55" s="75">
        <f t="array" ref="AKK55">INDEX('China n Importing Ports'!$E$20:$E$41,MATCH(2,1/(('China n Importing Ports'!$D$20:$D$41&lt;=$C55)*('China n Importing Ports'!$C$20:$C$41=IF($AO55="No",$AQ55,$KK55)))))</f>
        <v>0</v>
      </c>
      <c r="AKL55" s="75">
        <f t="array" ref="AKL55">INDEX('China n Importing Ports'!$F$20:$F$41,MATCH(2,1/(('China n Importing Ports'!$D$20:$D$41&lt;=$C55)*('China n Importing Ports'!$C$20:$C$41=IF($AO55="No",$AQ55,$KK55)))))</f>
        <v>0</v>
      </c>
      <c r="AKM55" s="75">
        <f t="array" ref="AKM55">INDEX('China n Importing Ports'!$G$20:$G$41,MATCH(2,1/(('China n Importing Ports'!$D$20:$D$41&lt;=$C55)*('China n Importing Ports'!$C$20:$C$41=IF($AO55="No",$AQ55,$KK55)))))</f>
        <v>0</v>
      </c>
      <c r="AKN55" s="75">
        <f t="array" ref="AKN55">INDEX('China n Importing Ports'!$H$20:$H$41,MATCH(2,1/(('China n Importing Ports'!$D$20:$D$41&lt;=$C55)*('China n Importing Ports'!$C$20:$C$41=IF($AO55="No",$AQ55,$KK55)))))</f>
        <v>0</v>
      </c>
      <c r="AKO55" s="75">
        <f t="array" ref="AKO55">INDEX('China n Importing Ports'!$I$20:$I$41,MATCH(2,1/(('China n Importing Ports'!$D$20:$D$41&lt;=$C55)*('China n Importing Ports'!$C$20:$C$41=IF($AO55="No",$AQ55,$KK55)))))</f>
        <v>0</v>
      </c>
      <c r="AKP55" s="75">
        <f t="array" ref="AKP55">INDEX('China n Importing Ports'!$J$20:$J$41,MATCH(2,1/(('China n Importing Ports'!$D$20:$D$41&lt;=$C55)*('China n Importing Ports'!$C$20:$C$41=IF($AO55="No",$AQ55,$KK55)))))</f>
        <v>0</v>
      </c>
      <c r="AKQ55" s="75">
        <f t="array" ref="AKQ55">INDEX('China n Importing Ports'!$K$20:$K$41,MATCH(2,1/(('China n Importing Ports'!$D$20:$D$41&lt;=$C55)*('China n Importing Ports'!$C$20:$C$41=IF($AO55="No",$AQ55,$KK55)))))</f>
        <v>0</v>
      </c>
      <c r="AKR55" s="75">
        <f t="array" ref="AKR55">INDEX('China n Importing Ports'!$L$20:$L$41,MATCH(2,1/(('China n Importing Ports'!$D$20:$D$41&lt;=$C55)*('China n Importing Ports'!$C$20:$C$41=IF($AO55="No",$AQ55,$KK55)))))</f>
        <v>0</v>
      </c>
      <c r="AKS55" s="75">
        <f t="array" ref="AKS55">INDEX('China n Importing Ports'!$M$20:$M$41,MATCH(2,1/(('China n Importing Ports'!$D$20:$D$41&lt;=$C55)*('China n Importing Ports'!$C$20:$C$41=IF($AO55="No",$AQ55,$KK55)))))</f>
        <v>0</v>
      </c>
      <c r="AKT55" s="75">
        <f t="array" ref="AKT55">INDEX('China n Importing Ports'!$N$20:$N$41,MATCH(2,1/(('China n Importing Ports'!$D$20:$D$41&lt;=$C55)*('China n Importing Ports'!$C$20:$C$41=IF($AO55="No",$AQ55,$KK55)))))</f>
        <v>0</v>
      </c>
      <c r="AKU55" s="75">
        <f t="array" ref="AKU55">INDEX('China n Importing Ports'!$O$20:$O$41,MATCH(2,1/(('China n Importing Ports'!$D$20:$D$41&lt;=$C55)*('China n Importing Ports'!$C$20:$C$41=IF($AO55="No",$AQ55,$KK55)))))</f>
        <v>0</v>
      </c>
      <c r="AKV55" s="136">
        <f t="array" ref="AKV55">INDEX('China n Importing Ports'!$P$20:$P$41,MATCH(2,1/(('China n Importing Ports'!$D$20:$D$41&lt;=$C55)*('China n Importing Ports'!$C$20:$C$41=IF($AO55="No",$AQ55,$KK55)))))</f>
        <v>0</v>
      </c>
      <c r="AKW55" s="136">
        <f t="array" ref="AKW55">INDEX('China n Importing Ports'!$Q$20:$Q$41,MATCH(2,1/(('China n Importing Ports'!$D$20:$D$41&lt;=$C55)*('China n Importing Ports'!$C$20:$C$41=IF($AO55="No",$AQ55,$KK55)))))</f>
        <v>0</v>
      </c>
      <c r="AKX55" s="136">
        <f t="array" ref="AKX55">INDEX('China n Importing Ports'!$R$20:$R$41,MATCH(2,1/(('China n Importing Ports'!$D$20:$D$41&lt;=$C55)*('China n Importing Ports'!$C$20:$C$41=IF($AO55="No",$AQ55,$KK55)))))</f>
        <v>0</v>
      </c>
      <c r="AKY55" s="136">
        <f t="array" ref="AKY55">INDEX('China n Importing Ports'!$S$20:$S$41,MATCH(2,1/(('China n Importing Ports'!$D$20:$D$41&lt;=$C55)*('China n Importing Ports'!$C$20:$C$41=IF($AO55="No",$AQ55,$KK55)))))</f>
        <v>0</v>
      </c>
      <c r="AKZ55" s="136">
        <f t="array" ref="AKZ55">INDEX('China n Importing Ports'!$T$20:$T$41,MATCH(2,1/(('China n Importing Ports'!$D$20:$D$41&lt;=$C55)*('China n Importing Ports'!$C$20:$C$41=IF($AO55="No",$AQ55,$KK55)))))</f>
        <v>0</v>
      </c>
      <c r="ALA55" s="136">
        <f t="array" ref="ALA55">INDEX('China n Importing Ports'!$U$20:$U$41,MATCH(2,1/(('China n Importing Ports'!$D$20:$D$41&lt;=$C55)*('China n Importing Ports'!$C$20:$C$41=IF($AO55="No",$AQ55,$KK55)))))</f>
        <v>0</v>
      </c>
      <c r="ALB55" s="136">
        <f t="array" ref="ALB55">INDEX('China n Importing Ports'!$V$20:$V$41,MATCH(2,1/(('China n Importing Ports'!$D$20:$D$41&lt;=$C55)*('China n Importing Ports'!$C$20:$C$41=IF($AO55="No",$AQ55,$KK55)))))</f>
        <v>0</v>
      </c>
      <c r="ALC55" s="136">
        <f t="array" ref="ALC55">INDEX('China n Importing Ports'!$W$20:$W$41,MATCH(2,1/(('China n Importing Ports'!$D$20:$D$41&lt;=$C55)*('China n Importing Ports'!$C$20:$C$41=IF($AO55="No",$AQ55,$KK55)))))</f>
        <v>0</v>
      </c>
      <c r="ALD55" s="136">
        <f t="array" ref="ALD55">INDEX('China n Importing Ports'!$X$20:$X$41,MATCH(2,1/(('China n Importing Ports'!$D$20:$D$41&lt;=$C55)*('China n Importing Ports'!$C$20:$C$41=IF($AO55="No",$AQ55,$KK55)))))</f>
        <v>0</v>
      </c>
      <c r="ALE55" s="136">
        <f t="array" ref="ALE55">INDEX('China n Importing Ports'!$Y$20:$Y$41,MATCH(2,1/(('China n Importing Ports'!$D$20:$D$41&lt;=$C55)*('China n Importing Ports'!$C$20:$C$41=IF($AO55="No",$AQ55,$KK55)))))</f>
        <v>0</v>
      </c>
      <c r="ALF55" s="136">
        <f t="array" ref="ALF55">INDEX('China n Importing Ports'!$Z$20:$Z$41,MATCH(2,1/(('China n Importing Ports'!$D$20:$D$41&lt;=$C55)*('China n Importing Ports'!$C$20:$C$41=IF($AO55="No",$AQ55,$KK55)))))</f>
        <v>0</v>
      </c>
      <c r="ALG55" s="136">
        <f t="array" ref="ALG55">INDEX('China n Importing Ports'!$AA$20:$AA$41,MATCH(2,1/(('China n Importing Ports'!$D$20:$D$41&lt;=$C55)*('China n Importing Ports'!$C$20:$C$41=IF($AO55="No",$AQ55,$KK55)))))</f>
        <v>0</v>
      </c>
      <c r="ALI55" s="75" t="e">
        <f t="array" aca="1" ref="ALI55" ca="1">INDEX(Canals!$G$24:$G$29,MATCH(2,1/((Canals!$F$24:$F$29&lt;=$C55)*(Canals!$G$24:$G$29=_xlfn.IFS(AHT55="Handysize",AKC55,AHT55="Supramax",AJV55,AHT55="Panamax",AJO55,AHT55="NeoPanamax",AJH55,AHT55="Suezmax",AJA55,AHT55="Capesize",AIT55,AHT55="VLOC",AIM55)))))</f>
        <v>#N/A</v>
      </c>
      <c r="ALJ55" s="75" t="e">
        <f t="array" aca="1" ref="ALJ55" ca="1">INDEX(Canals!$H$24:$H$29,MATCH(2,1/((Canals!$F$24:$F$29&lt;=$C55)*(Canals!$G$24:$G$29=_xlfn.IFS(AHT55="Handysize",AKC55,AHT55="Supramax",AJV55,AHT55="Panamax",AJO55,AHT55="NeoPanamax",AJH55,AHT55="Suezmax",AJA55,AHT55="Capesize",AIT55,AHT55="VLOC",AIM55)))))</f>
        <v>#N/A</v>
      </c>
      <c r="ALK55" s="75" t="e">
        <f t="array" aca="1" ref="ALK55" ca="1">INDEX(Canals!$I$24:$I$29,MATCH(2,1/((Canals!$F$24:$F$29&lt;=$C55)*(Canals!$G$24:$G$29=_xlfn.IFS(AHT55="Handysize",AKC55,AHT55="Supramax",AJV55,AHT55="Panamax",AJO55,AHT55="NeoPanamax",AJH55,AHT55="Suezmax",AJA55,AHT55="Capesize",AIT55,AHT55="VLOC",AIM55)))))</f>
        <v>#N/A</v>
      </c>
      <c r="ALL55" s="75" t="e">
        <f t="array" aca="1" ref="ALL55" ca="1">INDEX(Canals!$J$24:$J$29,MATCH(2,1/((Canals!$F$24:$F$29&lt;=$C55)*(Canals!$G$24:$G$29=_xlfn.IFS(AHT55="Handysize",Main!AKC55,AHT55="Supramax",AJV55,AHT55="Panamax",AJO55,AHT55="NeoPanamax",AJH55,AHT55="Suezmax",AJA55,AHT55="Capesize",AIT55,AHT55="VLOC",AIM55)))))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M55" s="75" t="e">
        <f t="array" aca="1" ref="ALM55" ca="1">INDEX(Canals!$K$24:$K$29,MATCH(2,1/((Canals!$F$24:$F$29&lt;=$C55)*(Canals!$G$24:$G$29=_xlfn.IFS(AHT55="Handysize",Main!AKC55,AHT55="Supramax",AJV55,AHT55="Panamax",AJO55,AHT55="NeoPanamax",AJH55,AHT55="Suezmax",AJA55,AHT55="Capesize",AIT55,AHT55="VLOC",AIM55)))))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N55" s="75" t="e">
        <f t="array" aca="1" ref="ALN55" ca="1">INDEX(Canals!$L$24:$L$29,MATCH(2,1/((Canals!$F$24:$F$29&lt;=$C55)*(Canals!$G$24:$G$29=_xlfn.IFS(AHT55="Handysize",Main!AKC55,AHT55="Supramax",AJV55,AHT55="Panamax",AJO55,AHT55="NeoPanamax",AJH55,AHT55="Suezmax",AJA55,AHT55="Capesize",AIT55,AHT55="VLOC",AIM55)))))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O55" s="75" t="e">
        <f t="array" aca="1" ref="ALO55" ca="1">INDEX(Canals!$M$24:$M$29,MATCH(2,1/((Canals!$F$24:$F$29&lt;=$C55)*(Canals!$G$24:$G$29=_xlfn.IFS(AHT55="Handysize",Main!AKC55,AHT55="Supramax",AJV55,AHT55="Panamax",AJO55,AHT55="NeoPanamax",AJH55,AHT55="Suezmax",AJA55,AHT55="Capesize",AIT55,AHT55="VLOC",AIM55)))))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P55" s="75" t="e">
        <f t="array" aca="1" ref="ALP55" ca="1">INDEX(Canals!$N$24:$N$29,MATCH(2,1/((Canals!$F$24:$F$29&lt;=$C55)*(Canals!$G$24:$G$29=_xlfn.IFS(AHT55="Handysize",Main!AKC55,AHT55="Supramax",AJV55,AHT55="Panamax",AJO55,AHT55="NeoPanamax",AJH55,AHT55="Suezmax",AJA55,AHT55="Capesize",AIT55,AHT55="VLOC",AIM55)))))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Q55" s="75" t="e">
        <f t="array" aca="1" ref="ALQ55" ca="1">INDEX(Canals!$O$24:$O$29,MATCH(2,1/((Canals!$F$24:$F$29&lt;=$C55)*(Canals!$G$24:$G$29=_xlfn.IFS(AHT55="Handysize",Main!AKC55,AHT55="Supramax",AJV55,AHT55="Panamax",AJO55,AHT55="NeoPanamax",AJH55,AHT55="Suezmax",AJA55,AHT55="Capesize",AIT55,AHT55="VLOC",AIM55)))))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R55" s="75" t="e">
        <f t="array" aca="1" ref="ALR55" ca="1">INDEX(Canals!$P$24:$P$29,MATCH(2,1/((Canals!$F$24:$F$29&lt;=$C55)*(Canals!$G$24:$G$29=_xlfn.IFS(AHT55="Handysize",Main!AKC55,AHT55="Supramax",AJV55,AHT55="Panamax",AJO55,AHT55="NeoPanamax",AJH55,AHT55="Suezmax",AJA55,AHT55="Capesize",AIT55,AHT55="VLOC",AIM55)))))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S55" s="75" t="e">
        <f t="array" aca="1" ref="ALS55" ca="1">INDEX(Canals!$Q$24:$Q$29,MATCH(2,1/((Canals!$F$24:$F$29&lt;=$C55)*(Canals!$G$24:$G$29=_xlfn.IFS(AHT55="Handysize",Main!AKC55,AHT55="Supramax",AJV55,AHT55="Panamax",AJO55,AHT55="NeoPanamax",AJH55,AHT55="Suezmax",AJA55,AHT55="Capesize",AIT55,AHT55="VLOC",AIM55)))))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T55" s="75" t="e">
        <f t="array" aca="1" ref="ALT55" ca="1">INDEX(Canals!$R$24:$R$29,MATCH(2,1/((Canals!$F$24:$F$29&lt;=$C55)*(Canals!$G$24:$G$29=_xlfn.IFS(AHT55="Handysize",Main!AKC55,AHT55="Supramax",AJV55,AHT55="Panamax",AJO55,AHT55="NeoPanamax",AJH55,AHT55="Suezmax",AJA55,AHT55="Capesize",AIT55,AHT55="VLOC",AIM55)))))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U55" s="136" t="e">
        <f t="array" aca="1" ref="ALU55" ca="1">INDEX(Canals!$S$24:$S$29,MATCH(2,1/((Canals!$F$24:$F$29&lt;=$C55)*(Canals!$G$24:$G$29=_xlfn.IFS(AHT55="Handysize",Main!AKC55,AHT55="Supramax",AJV55,AHT55="Panamax",AJO55,AHT55="NeoPanamax",AJH55,AHT55="Suezmax",AJA55,AHT55="Capesize",AIT55,AHT55="VLOC",AIM55)))))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V55" s="136" t="e">
        <f t="array" aca="1" ref="ALV55" ca="1">INDEX(Canals!$T$24:$T$29,MATCH(2,1/((Canals!$F$24:$F$29&lt;=$C55)*(Canals!$G$24:$G$29=_xlfn.IFS(AHT55="Handysize",Main!AKC55,AHT55="Supramax",AJV55,AHT55="Panamax",AJO55,AHT55="NeoPanamax",AJH55,AHT55="Suezmax",AJA55,AHT55="Capesize",AIT55,AHT55="VLOC",AIM55)))))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W55" s="136" t="e">
        <f t="array" aca="1" ref="ALW55" ca="1">INDEX(Canals!$U$24:$U$29,MATCH(2,1/((Canals!$F$24:$F$29&lt;=$C55)*(Canals!$G$24:$G$29=_xlfn.IFS(AHT55="Handysize",Main!AKC55,AHT55="Supramax",AJV55,AHT55="Panamax",AJO55,AHT55="NeoPanamax",AJH55,AHT55="Suezmax",AJA55,AHT55="Capesize",AIT55,AHT55="VLOC",AIM55)))))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X55" s="136" t="e">
        <f t="array" aca="1" ref="ALX55" ca="1">INDEX(Canals!$V$24:$V$29,MATCH(2,1/((Canals!$F$24:$F$29&lt;=$C55)*(Canals!$G$24:$G$29=_xlfn.IFS(AHT55="Handysize",Main!AKC55,AHT55="Supramax",AJV55,AHT55="Panamax",AJO55,AHT55="NeoPanamax",AJH55,AHT55="Suezmax",AJA55,AHT55="Capesize",AIT55,AHT55="VLOC",AIM55)))))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Y55" s="136" t="e">
        <f t="array" aca="1" ref="ALY55" ca="1">INDEX(Canals!$W$24:$W$29,MATCH(2,1/((Canals!$F$24:$F$29&lt;=$C55)*(Canals!$G$24:$G$29=_xlfn.IFS(AHT55="Handysize",Main!AKC55,AHT55="Supramax",AJV55,AHT55="Panamax",AJO55,AHT55="NeoPanamax",AJH55,AHT55="Suezmax",AJA55,AHT55="Capesize",AIT55,AHT55="VLOC",AIM55)))))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LZ55" s="136" t="e">
        <f t="array" aca="1" ref="ALZ55" ca="1">INDEX(Canals!$X$24:$X$29,MATCH(2,1/((Canals!$F$24:$F$29&lt;=$C55)*(Canals!$G$24:$G$29=_xlfn.IFS(AHT55="Handysize",Main!AKC55,AHT55="Supramax",AJV55,AHT55="Panamax",AJO55,AHT55="NeoPanamax",AJH55,AHT55="Suezmax",AJA55,AHT55="Capesize",AIT55,AHT55="VLOC",AIM55)))))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A55" s="136" t="e">
        <f t="array" aca="1" ref="AMA55" ca="1">INDEX(Canals!$Y$24:$Y$29,MATCH(2,1/((Canals!$F$24:$F$29&lt;=$C55)*(Canals!$G$24:$G$29=_xlfn.IFS(AHT55="Handysize",Main!AKC55,AHT55="Supramax",AJV55,AHT55="Panamax",AJO55,AHT55="NeoPanamax",AJH55,AHT55="Suezmax",AJA55,AHT55="Capesize",AIT55,AHT55="VLOC",AIM55)))))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B55" s="136" t="e">
        <f t="array" aca="1" ref="AMB55" ca="1">INDEX(Canals!$Z$24:$Z$29,MATCH(2,1/((Canals!$F$24:$F$29&lt;=$C55)*(Canals!$G$24:$G$29=_xlfn.IFS(AHT55="Handysize",Main!AKC55,AHT55="Supramax",AJV55,AHT55="Panamax",AJO55,AHT55="NeoPanamax",AJH55,AHT55="Suezmax",AJA55,AHT55="Capesize",AIT55,AHT55="VLOC",AIM55)))))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C55" s="136" t="e">
        <f t="array" aca="1" ref="AMC55" ca="1">INDEX(Canals!$AA$24:$AA$29,MATCH(2,1/((Canals!$F$24:$F$29&lt;=$C55)*(Canals!$G$24:$G$29=_xlfn.IFS(AHT55="Handysize",Main!AKC55,AHT55="Supramax",AJV55,AHT55="Panamax",AJO55,AHT55="NeoPanamax",AJH55,AHT55="Suezmax",AJA55,AHT55="Capesize",AIT55,AHT55="VLOC",AIM55)))))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D55" s="136" t="e">
        <f t="array" aca="1" ref="AMD55" ca="1">INDEX(Canals!$AB$24:$AB$29,MATCH(2,1/((Canals!$F$24:$F$29&lt;=$C55)*(Canals!$G$24:$G$29=_xlfn.IFS(AHT55="Handysize",Main!AKC55,AHT55="Supramax",AJV55,AHT55="Panamax",AJO55,AHT55="NeoPanamax",AJH55,AHT55="Suezmax",AJA55,AHT55="Capesize",AIT55,AHT55="VLOC",AIM55)))))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E55" s="75" t="e">
        <f t="array" aca="1" ref="AME55" ca="1">INDEX(Canals!$AC$24:$AC$29,MATCH(2,1/((Canals!$F$24:$F$29&lt;=$C55)*(Canals!$G$24:$G$29=_xlfn.IFS(AHT55="Handysize",Main!AKC55,AHT55="Supramax",AJV55,AHT55="Panamax",AJO55,AHT55="NeoPanamax",AJH55,AHT55="Suezmax",AJA55,AHT55="Capesize",AIT55,AHT55="VLOC",AIM55)))))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F55" s="75" t="e">
        <f t="array" aca="1" ref="AMF55" ca="1">INDEX(Canals!$AD$24:$AD$29,MATCH(2,1/((Canals!$F$24:$F$29&lt;=$C55)*(Canals!$G$24:$G$29=_xlfn.IFS(AHT55="Handysize",Main!AKC55,AHT55="Supramax",AJV55,AHT55="Panamax",AJO55,AHT55="NeoPanamax",AJH55,AHT55="Suezmax",AJA55,AHT55="Capesize",AIT55,AHT55="VLOC",AIM55)))))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G55" s="75" t="e">
        <f t="array" aca="1" ref="AMG55" ca="1">INDEX(Canals!$AE$24:$AE$29,MATCH(2,1/((Canals!$F$24:$F$29&lt;=$C55)*(Canals!$G$24:$G$29=_xlfn.IFS(AHT55="Handysize",Main!AKC55,AHT55="Supramax",AJV55,AHT55="Panamax",AJO55,AHT55="NeoPanamax",AJH55,AHT55="Suezmax",AJA55,AHT55="Capesize",AIT55,AHT55="VLOC",AIM55)))))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H55" s="75" t="e">
        <f t="array" aca="1" ref="AMH55" ca="1">INDEX(Canals!$AF$24:$AF$29,MATCH(2,1/((Canals!$F$24:$F$29&lt;=$C55)*(Canals!$G$24:$G$29=_xlfn.IFS(AHT55="Handysize",Main!AKC55,AHT55="Supramax",AJV55,AHT55="Panamax",AJO55,AHT55="NeoPanamax",AJH55,AHT55="Suezmax",AJA55,AHT55="Capesize",AIT55,AHT55="VLOC",AIM55)))))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I55" s="75" t="e">
        <f t="array" aca="1" ref="AMI55" ca="1">INDEX(Canals!$AG$24:$AG$29,MATCH(2,1/((Canals!$F$24:$F$29&lt;=$C55)*(Canals!$G$24:$G$29=_xlfn.IFS(AHT55="Handysize",Main!AKC55,AHT55="Supramax",AJV55,AHT55="Panamax",AJO55,AHT55="NeoPanamax",AJH55,AHT55="Suezmax",AJA55,AHT55="Capesize",AIT55,AHT55="VLOC",AIM55)))))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J55" s="75" t="e">
        <f t="array" aca="1" ref="AMJ55" ca="1">INDEX(Canals!$AH$24:$AH$29,MATCH(2,1/((Canals!$F$24:$F$29&lt;=$C55)*(Canals!$G$24:$G$29=_xlfn.IFS(AHT55="Handysize",Main!AKC55,AHT55="Supramax",AJV55,AHT55="Panamax",AJO55,AHT55="NeoPanamax",AJH55,AHT55="Suezmax",AJA55,AHT55="Capesize",AIT55,AHT55="VLOC",AIM55)))))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K55" s="75" t="e">
        <f t="array" aca="1" ref="AMK55" ca="1">INDEX(Canals!$AI$24:$AI$29,MATCH(2,1/((Canals!$F$24:$F$29&lt;=$C55)*(Canals!$G$24:$G$29=_xlfn.IFS(AHT55="Handysize",Main!AKC55,AHT55="Supramax",AJV55,AHT55="Panamax",AJO55,AHT55="NeoPanamax",AJH55,AHT55="Suezmax",AJA55,AHT55="Capesize",AIT55,AHT55="VLOC",AIM55)))))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L55" s="75" t="e">
        <f t="array" aca="1" ref="AML55" ca="1">INDEX(Canals!$AJ$24:$AJ$29,MATCH(2,1/((Canals!$F$24:$F$29&lt;=$C55)*(Canals!$G$24:$G$29=_xlfn.IFS(AHT55="Handysize",Main!AKC55,AHT55="Supramax",AJV55,AHT55="Panamax",AJO55,AHT55="NeoPanamax",AJH55,AHT55="Suezmax",AJA55,AHT55="Capesize",AIT55,AHT55="VLOC",AIM55)))))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M55" s="75" t="e">
        <f t="array" aca="1" ref="AMM55" ca="1">INDEX(Canals!$AK$24:$AK$29,MATCH(2,1/((Canals!$F$24:$F$29&lt;=$C55)*(Canals!$G$24:$G$29=_xlfn.IFS(AHT55="Handysize",Main!AKC55,AHT55="Supramax",AJV55,AHT55="Panamax",AJO55,AHT55="NeoPanamax",AJH55,AHT55="Suezmax",AJA55,AHT55="Capesize",AIT55,AHT55="VLOC",AIM55)))))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N55" s="136" t="e">
        <f t="array" aca="1" ref="AMN55" ca="1">INDEX(Canals!$AL$24:$AL$29,MATCH(2,1/((Canals!$F$24:$F$29&lt;=$C55)*(Canals!$G$24:$G$29=_xlfn.IFS(AHT55="Handysize",Main!AKC55,AHT55="Supramax",AJV55,AHT55="Panamax",AJO55,AHT55="NeoPanamax",AJH55,AHT55="Suezmax",AJA55,AHT55="Capesize",AIT55,AHT55="VLOC",AIM55)))))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O55" s="136" t="e">
        <f t="array" aca="1" ref="AMO55" ca="1">INDEX(Canals!$AM$24:$AM$29,MATCH(2,1/((Canals!$F$24:$F$29&lt;=$C55)*(Canals!$G$24:$G$29=_xlfn.IFS(AHT55="Handysize",Main!AKC55,AHT55="Supramax",AJV55,AHT55="Panamax",AJO55,AHT55="NeoPanamax",AJH55,AHT55="Suezmax",AJA55,AHT55="Capesize",AIT55,AHT55="VLOC",AIM55)))))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P55" s="136" t="e">
        <f t="array" aca="1" ref="AMP55" ca="1">INDEX(Canals!$AN$24:$AN$29,MATCH(2,1/((Canals!$F$24:$F$29&lt;=$C55)*(Canals!$G$24:$G$29=_xlfn.IFS(AHT55="Handysize",Main!AKC55,AHT55="Supramax",AJV55,AHT55="Panamax",AJO55,AHT55="NeoPanamax",AJH55,AHT55="Suezmax",AJA55,AHT55="Capesize",AIT55,AHT55="VLOC",AIM55)))))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Q55" s="136" t="e">
        <f t="array" aca="1" ref="AMQ55" ca="1">INDEX(Canals!$AO$24:$AO$29,MATCH(2,1/((Canals!$F$24:$F$29&lt;=$C55)*(Canals!$G$24:$G$29=_xlfn.IFS(AHT55="Handysize",Main!AKC55,AHT55="Supramax",AJV55,AHT55="Panamax",AJO55,AHT55="NeoPanamax",AJH55,AHT55="Suezmax",AJA55,AHT55="Capesize",AIT55,AHT55="VLOC",AIM55)))))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R55" s="136" t="e">
        <f t="array" aca="1" ref="AMR55" ca="1">INDEX(Canals!$AP$24:$AP$29,MATCH(2,1/((Canals!$F$24:$F$29&lt;=$C55)*(Canals!$G$24:$G$29=_xlfn.IFS(AHT55="Handysize",Main!AKC55,AHT55="Supramax",AJV55,AHT55="Panamax",AJO55,AHT55="NeoPanamax",AJH55,AHT55="Suezmax",AJA55,AHT55="Capesize",AIT55,AHT55="VLOC",AIM55)))))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S55" s="136" t="e">
        <f t="array" aca="1" ref="AMS55" ca="1">INDEX(Canals!$AQ$24:$AQ$29,MATCH(2,1/((Canals!$F$24:$F$29&lt;=$C55)*(Canals!$G$24:$G$29=_xlfn.IFS(AHT55="Handysize",Main!AKC55,AHT55="Supramax",AJV55,AHT55="Panamax",AJO55,AHT55="NeoPanamax",AJH55,AHT55="Suezmax",AJA55,AHT55="Capesize",AIT55,AHT55="VLOC",AIM55)))))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T55" s="136" t="e">
        <f t="array" aca="1" ref="AMT55" ca="1">INDEX(Canals!$AR$24:$AR$29,MATCH(2,1/((Canals!$F$24:$F$29&lt;=$C55)*(Canals!$G$24:$G$29=_xlfn.IFS(AHT55="Handysize",Main!AKC55,AHT55="Supramax",AJV55,AHT55="Panamax",AJO55,AHT55="NeoPanamax",AJH55,AHT55="Suezmax",AJA55,AHT55="Capesize",AIT55,AHT55="VLOC",AIM55)))))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U55" s="136" t="e">
        <f t="array" aca="1" ref="AMU55" ca="1">INDEX(Canals!$AS$24:$AS$29,MATCH(2,1/((Canals!$F$24:$F$29&lt;=$C55)*(Canals!$G$24:$G$29=_xlfn.IFS(AHT55="Handysize",Main!AKC55,AHT55="Supramax",AJV55,AHT55="Panamax",AJO55,AHT55="NeoPanamax",AJH55,AHT55="Suezmax",AJA55,AHT55="Capesize",AIT55,AHT55="VLOC",AIM55)))))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V55" s="136" t="e">
        <f t="array" aca="1" ref="AMV55" ca="1">INDEX(Canals!$AT$24:$AT$29,MATCH(2,1/((Canals!$F$24:$F$29&lt;=$C55)*(Canals!$G$24:$G$29=_xlfn.IFS(AHT55="Handysize",Main!AKC55,AHT55="Supramax",AJV55,AHT55="Panamax",AJO55,AHT55="NeoPanamax",AJH55,AHT55="Suezmax",AJA55,AHT55="Capesize",AIT55,AHT55="VLOC",AIM55)))))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W55" s="136" t="e">
        <f t="array" aca="1" ref="AMW55" ca="1">INDEX(Canals!$AU$24:$AU$29,MATCH(2,1/((Canals!$F$24:$F$29&lt;=$C55)*(Canals!$G$24:$G$29=_xlfn.IFS(AHT55="Handysize",Main!AKC55,AHT55="Supramax",AJV55,AHT55="Panamax",AJO55,AHT55="NeoPanamax",AJH55,AHT55="Suezmax",AJA55,AHT55="Capesize",AIT55,AHT55="VLOC",AIM55)))))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X55" s="136" t="e">
        <f t="array" aca="1" ref="AMX55" ca="1">INDEX(Canals!$AV$24:$AV$29,MATCH(2,1/((Canals!$F$24:$F$29&lt;=$C55)*(Canals!$G$24:$G$29=_xlfn.IFS(AHT55="Handysize",Main!AKC55,AHT55="Supramax",AJV55,AHT55="Panamax",AJO55,AHT55="NeoPanamax",AJH55,AHT55="Suezmax",AJA55,AHT55="Capesize",AIT55,AHT55="VLOC",AIM55)))))</f>
        <v>#N/A</v>
      </c>
      <c r="AMZ55" s="75" t="e">
        <f t="array" aca="1" ref="AMZ55" ca="1">_xlfn.IFS(ALK55="DWT",AHR55,ALK55="NRT",AHV55,ALK55="GRT",AHW55,ALK55=0,0)</f>
        <v>#NAME?</v>
      </c>
      <c r="ANA55" s="279" t="e">
        <f t="shared" ref="ANA55:ANA63" ca="1" si="561">IF(AMZ55&gt;ALL55,ALL55,AMZ55)</f>
        <v>#NAME?</v>
      </c>
      <c r="ANB55" s="280" t="e">
        <f t="shared" ref="ANB55:ANB63" ca="1" si="562">IF(AMZ55&gt;SUM(ALL55:ALM55),ALM55,AMZ55-SUM(ANA55:ANA55))</f>
        <v>#NAME?</v>
      </c>
      <c r="ANC55" s="280" t="e">
        <f t="shared" ref="ANC55:ANC63" ca="1" si="563">IF(AMZ55&gt;SUM(ALL55:ALN55),ALN55,AMZ55-SUM(ANA55:ANB55))</f>
        <v>#NAME?</v>
      </c>
      <c r="AND55" s="280" t="e">
        <f t="shared" ref="AND55:AND63" ca="1" si="564">IF(AMZ55&gt;SUM(ALL55:ALO55),ALO55,AMZ55-SUM(ANA55:ANC55))</f>
        <v>#NAME?</v>
      </c>
      <c r="ANE55" s="280" t="e">
        <f t="shared" ref="ANE55:ANE63" ca="1" si="565">IF(AMZ55&gt;SUM(ALL55:ALP55),ALP55,AMZ55-SUM(ANA55:AND55))</f>
        <v>#NAME?</v>
      </c>
      <c r="ANF55" s="280" t="e">
        <f t="shared" ref="ANF55:ANF63" ca="1" si="566">IF(AMZ55&gt;SUM(ALL55:ALQ55),ALQ55,AMZ55-SUM(ANA55:ANE55))</f>
        <v>#NAME?</v>
      </c>
      <c r="ANG55" s="280" t="e">
        <f t="shared" ref="ANG55:ANG63" ca="1" si="567">IF(AMZ55&gt;SUM(ALL55:ALR55),ALR55,AMZ55-SUM(ANA55:ANF55))</f>
        <v>#NAME?</v>
      </c>
      <c r="ANH55" s="280" t="e">
        <f t="shared" ref="ANH55:ANH63" ca="1" si="568">IF(AMZ55&gt;SUM(ALL55:ALS55),ALS55,AMZ55-SUM(ANA55:ANG55))</f>
        <v>#NAME?</v>
      </c>
      <c r="ANI55" s="280" t="e">
        <f t="shared" ref="ANI55:ANI63" ca="1" si="569">IF(AMZ55&gt;SUM(ALL55:ALT55),ALT55,AMZ55-SUM(ANA55:ANH55))</f>
        <v>#NAME?</v>
      </c>
      <c r="ANJ55" s="75">
        <f t="shared" ref="ANJ55:ANJ63" si="570">AHR55*$JN55</f>
        <v>0</v>
      </c>
      <c r="ANK55" s="279" t="e">
        <f t="shared" ref="ANK55:ANK63" ca="1" si="571">IF(ANJ55&gt;AME55,AME55,ANJ55)</f>
        <v>#N/A</v>
      </c>
      <c r="ANL55" s="280" t="e">
        <f t="shared" ref="ANL55:ANL63" ca="1" si="572">IF(ANJ55&gt;SUM(AME55:AMF55),AMF55,ANJ55-SUM(ANK55:ANK55))</f>
        <v>#N/A</v>
      </c>
      <c r="ANM55" s="280" t="e">
        <f t="shared" ref="ANM55:ANM63" ca="1" si="573">IF(ANJ55&gt;SUM(AME55:AMG55),AMG55,ANJ55-SUM(ANK55:ANL55))</f>
        <v>#N/A</v>
      </c>
      <c r="ANN55" s="280" t="e">
        <f t="shared" ref="ANN55:ANN63" ca="1" si="574">IF(ANJ55&gt;SUM(AME55:AMH55),AMH55,ANJ55-SUM(ANK55:ANM55))</f>
        <v>#N/A</v>
      </c>
      <c r="ANO55" s="280" t="e">
        <f t="shared" ref="ANO55:ANO63" ca="1" si="575">IF(ANJ55&gt;SUM(AME55:AMI55),AMI55,ANJ55-SUM(ANK55:ANN55))</f>
        <v>#N/A</v>
      </c>
      <c r="ANP55" s="280" t="e">
        <f t="shared" ref="ANP55:ANP63" ca="1" si="576">IF(ANJ55&gt;SUM(AME55:AMJ55),AMJ55,ANJ55-SUM(ANK55:ANO55))</f>
        <v>#N/A</v>
      </c>
      <c r="ANQ55" s="280" t="e">
        <f t="shared" ref="ANQ55:ANQ63" ca="1" si="577">IF(ANJ55&gt;SUM(AME55:AMK55),AMK55,ANJ55-SUM(ANK55:ANP55))</f>
        <v>#N/A</v>
      </c>
      <c r="ANR55" s="280" t="e">
        <f t="shared" ref="ANR55:ANR63" ca="1" si="578">IF(ANJ55&gt;SUM(AME55:AML55),AML55,ANJ55-SUM(ANK55:ANQ55))</f>
        <v>#N/A</v>
      </c>
      <c r="ANS55" s="280" t="e">
        <f t="shared" ref="ANS55:ANS63" ca="1" si="579">IF(ANJ55&gt;SUM(AME55:AMM55),AMM55,ANJ55-SUM(ANK55:ANR55))</f>
        <v>#N/A</v>
      </c>
      <c r="ANU55" s="75" t="e">
        <f t="array" aca="1" ref="ANU55" ca="1">_xlfn.IFS(AHT55="Handysize",Main!AJW55,AHT55="Supramax",AJP55,AHT55="Panamax",AJI55,AHT55="NeoPanamax",AJB55,AHT55="Suezmax",AIU55,AHT55="Capesize",AIN55,AHT55="VLOC",AIG55)*$JI55</f>
        <v>#NAME?</v>
      </c>
      <c r="ANV55" s="274" t="e">
        <f t="array" aca="1" ref="ANV55" ca="1">_xlfn.IFS(AHT55="Handysize",Main!AJX55,AHT55="Supramax",AJQ55,AHT55="Panamax",AJJ55,AHT55="NeoPanamax",AJC55,AHT55="Suezmax",AIV55,AHT55="Capesize",AIO55,AHT55="VLOC",AIH55)*$JI55</f>
        <v>#NAME?</v>
      </c>
      <c r="ANW55" s="71" t="e">
        <f t="array" aca="1" ref="ANW55" ca="1">_xlfn.IFS(AHT55="Handysize",Main!AHY55,AHT55="Supramax",AHZ55,AHT55="Panamax",AIA55,AHT55="NeoPanamax",AIB55,AHT55="Suezmax",AIC55,AHT55="Capesize",AID55,AHT55="VLOC",AIE55)</f>
        <v>#NAME?</v>
      </c>
      <c r="ANX55" s="71" t="e">
        <f t="array" aca="1" ref="ANX55" ca="1">_xlfn.IFS(AHT55="Handysize",Main!AKK55,AHT55="Supramax",AKL55,AHT55="Panamax",AKM55,AHT55="NeoPanamax",AKN55,AHT55="Suezmax",AKO55,AHT55="Capesize",AKP55,AHT55="VLOC",AKQ55)</f>
        <v>#NAME?</v>
      </c>
      <c r="ANY55" s="70">
        <f t="array" ref="ANY55">INDEX('Ship Speeds'!$G$11:$G$1011,MATCH(2,1/(('Ship Speeds'!$E$11:$E$1011&lt;=Main!$C55)*('Ship Speeds'!$F$11:$F$1011=Main!AHS55))))</f>
        <v>11</v>
      </c>
      <c r="ANZ55" s="403">
        <f t="shared" ref="ANZ55:ANZ63" si="580">(($KH55*ANY55^2+$KI55*ANY55^3+$KG55*ANY55)*((AHR55/$KC55)^$KD55)*$KJ55+(AHR55/$KC55)*$KF55+$KE55)</f>
        <v>0</v>
      </c>
      <c r="AOA55" s="401">
        <f t="shared" ref="AOA55:AOA63" si="581">(AHR55/$JY55)*$JZ55+$KA55+$KB55*(AHR55/$JY55)^2</f>
        <v>1.2</v>
      </c>
      <c r="AOB55" s="70" t="e">
        <f t="shared" ref="AOB55:AOB63" ca="1" si="582">ANU55/ANY55/$JH55</f>
        <v>#NAME?</v>
      </c>
      <c r="AOC55" s="70" t="e">
        <f t="shared" ref="AOC55:AOC63" ca="1" si="583">ANV55/ANY55/$JH55</f>
        <v>#NAME?</v>
      </c>
      <c r="AOD55" s="70" t="e">
        <f t="shared" ref="AOD55:AOD63" ca="1" si="584">IF(ANW55=0,0,IF($AO55="yes",$AN55,$AR55)/(1-$AL55)/ANW55)</f>
        <v>#NAME?</v>
      </c>
      <c r="AOE55" s="70" t="e">
        <f t="shared" ref="AOE55:AOE63" ca="1" si="585">IF(ANX55=0,0,IF($AO55="yes",$AN55,$AR55)/(1-$AL55)/ANX55)</f>
        <v>#NAME?</v>
      </c>
      <c r="AOF55" s="72" t="e">
        <f t="shared" ref="AOF55:AOF63" ca="1" si="586">AMX55*$JI55</f>
        <v>#N/A</v>
      </c>
      <c r="AOG55" s="70" t="e">
        <f t="shared" ref="AOG55:AOG63" ca="1" si="587">IF(ANU55=0,0,MAX(SUM(AOB55:AOF55)*$JV55,$JU55))</f>
        <v>#NAME?</v>
      </c>
      <c r="AOH55" s="70" t="e">
        <f t="array" aca="1" ref="AOH55" ca="1">IF(ANU55=0,0,INDEX(AKE55:AKI55,MATCH(_xlfn.IFS(AHT55="Handysize",Main!AKA55,AHT55="Supramax",AJT55,AHT55="Panamax",AJM55,AHT55="NeoPanamax",AJF55,AHT55="Suezmax",AIY55,AHT55="Capesize",AIR55,AHT55="VLOC",AIK55),$AKE$7:$AKI$7,0)))</f>
        <v>#NAME?</v>
      </c>
      <c r="AOI55" s="70" t="e">
        <f t="array" aca="1" ref="AOI55" ca="1">IF(ANU55=0,0,INDEX(AKE55:AKI55,MATCH(_xlfn.IFS(AHT55="Handysize",Main!AKB55,AHT55="Supramax",AJU55,AHT55="Panamax",AJN55,AHT55="NeoPanamax",AJG55,AHT55="Suezmax",AIZ55,AHT55="Capesize",AIS55,AHT55="VLOC",AIL55),$AKE$7:$AKI$7,0)))</f>
        <v>#NAME?</v>
      </c>
      <c r="AOJ55" s="71" t="e">
        <f t="shared" ref="AOJ55:AOJ63" ca="1" si="588">AOB55*ANZ55*AOH55</f>
        <v>#NAME?</v>
      </c>
      <c r="AOK55" s="71" t="e">
        <f t="shared" ref="AOK55:AOK63" ca="1" si="589">SUM(AOD55:AOG55)*AOA55*AOI55+AOC55*ANZ55*AOI55</f>
        <v>#NAME?</v>
      </c>
      <c r="AOL55" s="281" t="e">
        <f t="shared" ref="AOL55:AOL63" ca="1" si="590">IF(ANU55=0,0,INDEX($JA55:$JD55,MATCH(AKR55,$JA$7:$JD$7,0)))</f>
        <v>#NAME?</v>
      </c>
      <c r="AOM55" s="71" t="e">
        <f t="shared" ref="AOM55:AOM63" ca="1" si="591">IF(ANU55=0,0,AKS55/AOL55)</f>
        <v>#NAME?</v>
      </c>
      <c r="AON55" s="71" t="e">
        <f t="shared" ref="AON55:AON63" ca="1" si="592">IF(ANU55=0,0,AKT55*SUM(AOE55,$JX55)/AOL55)</f>
        <v>#NAME?</v>
      </c>
      <c r="AOO55" s="71" t="e">
        <f t="shared" ref="AOO55:AOO63" ca="1" si="593">IF(ANU55=0,0,AKU55*(AOG55*(1-$JW55))/AOL55)</f>
        <v>#NAME?</v>
      </c>
      <c r="AOP55" s="71" t="e">
        <f t="shared" ref="AOP55:AOP63" ca="1" si="594">IF(ANU55=0,0,AKV55*(AHR55*$JN55)/AOL55)</f>
        <v>#NAME?</v>
      </c>
      <c r="AOQ55" s="71" t="e">
        <f t="shared" ref="AOQ55:AOQ63" ca="1" si="595">IF(ANU55=0,0,AKW55*(AHR55*$JN55)*SUM(AOE55,$JX55)/AOL55)</f>
        <v>#NAME?</v>
      </c>
      <c r="AOR55" s="71" t="e">
        <f t="shared" ref="AOR55:AOR63" ca="1" si="596">IF(ANU55=0,0,AKX55*(AHR55*$JN55)*(AOG55*(1-$JW55))/AOL55)</f>
        <v>#NAME?</v>
      </c>
      <c r="AOS55" s="71" t="e">
        <f t="shared" ref="AOS55:AOS63" ca="1" si="597">IF(ANU55=0,0,AKY55*AHV55/AOL55)</f>
        <v>#NAME?</v>
      </c>
      <c r="AOT55" s="71" t="e">
        <f t="shared" ref="AOT55:AOT63" ca="1" si="598">IF(ANU55=0,0,AKZ55*AHV55*SUM(AOE55,$JX55)/AOL55)</f>
        <v>#NAME?</v>
      </c>
      <c r="AOU55" s="71" t="e">
        <f t="shared" ref="AOU55:AOU63" ca="1" si="599">IF(ANU55=0,0,ALA55*AHV55*(AOG55*(1-$JW55))/AOL55)</f>
        <v>#NAME?</v>
      </c>
      <c r="AOV55" s="71" t="e">
        <f t="shared" ref="AOV55:AOV63" ca="1" si="600">IF(ANU55=0,0,ALB55*AHW55/AOL55)</f>
        <v>#NAME?</v>
      </c>
      <c r="AOW55" s="71" t="e">
        <f t="shared" ref="AOW55:AOW63" ca="1" si="601">IF(ANU55=0,0,ALC55*AHW55*SUM(AOE55,$JX55)/AOL55)</f>
        <v>#NAME?</v>
      </c>
      <c r="AOX55" s="71" t="e">
        <f t="shared" ref="AOX55:AOX63" ca="1" si="602">IF(ANU55=0,0,ALD55*AHW55*(AOG55*(1-$JW55))/AOL55)</f>
        <v>#NAME?</v>
      </c>
      <c r="AOY55" s="72" t="e">
        <f t="shared" ref="AOY55:AOY63" ca="1" si="603">IF(ANU55=0,0,ALE55*AHU55/AOL55)</f>
        <v>#NAME?</v>
      </c>
      <c r="AOZ55" s="72" t="e">
        <f t="shared" ref="AOZ55:AOZ63" ca="1" si="604">IF(ANU55=0,0,ALF55*AHU55*SUM(AOE55,$JX55)/AOL55)</f>
        <v>#NAME?</v>
      </c>
      <c r="APA55" s="71" t="e">
        <f t="shared" ref="APA55:APA63" ca="1" si="605">IF(ANU55=0,0,ALG55*AHU55*(AOG55*(1-$JW55))/AOL55)</f>
        <v>#NAME?</v>
      </c>
      <c r="APB55" s="71" t="e">
        <f t="array" aca="1" ref="APB55" ca="1">IF(ANU55=0,0,INDEX('Ship Time Charter Rates'!$H$22:$H$1021,MATCH(2,1/(('Ship Time Charter Rates'!$G$22:$G$1021=_xlfn.IFS(AHT55="Handysize",Main!AJY55,AHT55="Supramax",AJR55,AHT55="Panamax",AJK55,AHT55="NeoPanamax",AJD55,AHT55="Suezmax",AIW55,AHT55="Capesize",AIP55,AHT55="VLOC",AII55))*('Ship Time Charter Rates'!$E$22:$E$1021&lt;=Main!$C55)*(NOT(ISBLANK('Ship Time Charter Rates'!$H$22:$H$1021)))))))</f>
        <v>#NAME?</v>
      </c>
      <c r="APC55" s="71" t="e">
        <f t="shared" ref="APC55:APC63" ca="1" si="606">IF(ANU55=0,0,SUM(AOB55:AOG55,$JI55*$JX55)*APB55)</f>
        <v>#NAME?</v>
      </c>
      <c r="APD55" s="70" t="e">
        <f t="shared" ref="APD55:APD63" ca="1" si="607">IF(ANU55=0,0,SUMPRODUCT(ALU55:AMC55,ANA55:ANI55)+SUMPRODUCT(AMN55:AMV55,ANK55:ANS55))</f>
        <v>#NAME?</v>
      </c>
      <c r="APE55" s="71" t="e">
        <f t="shared" ref="APE55:APE63" ca="1" si="608">IF(ANU55=0,0,SUM(AOJ55,AOK55)+APC55+APD55+SUM(AOM55:APA55))</f>
        <v>#NAME?</v>
      </c>
      <c r="APF55" s="71" t="e">
        <f t="shared" ref="APF55:APF63" ca="1" si="609">APE55*(1+$KL55)</f>
        <v>#NAME?</v>
      </c>
      <c r="APG55" s="72" t="e">
        <f t="shared" ref="APG55:APG63" ca="1" si="610">IF(APF55=0,0,APF55/(AHR55*(1-$AL55)*$JN55))</f>
        <v>#NAME?</v>
      </c>
      <c r="API55" s="287" t="s">
        <v>39</v>
      </c>
      <c r="APK55" s="289" t="e">
        <f t="shared" ref="APK55:APK63" ca="1" si="611">SUM(APG55,AHP55)</f>
        <v>#NAME?</v>
      </c>
      <c r="APL55" s="289" t="e">
        <f t="shared" ref="APL55:APL63" ca="1" si="612">SUM(ZW55,SF55)</f>
        <v>#NAME?</v>
      </c>
      <c r="APM55" s="289" t="e">
        <f t="shared" ref="APM55:APM63" ca="1" si="613">APK55-APL55</f>
        <v>#NAME?</v>
      </c>
      <c r="APO55" s="287" t="s">
        <v>39</v>
      </c>
    </row>
    <row r="56" spans="2:1107">
      <c r="B56" s="434" t="e">
        <f t="shared" ref="B56:B63" ca="1" si="614">AY56*(1-AL56)</f>
        <v>#NAME?</v>
      </c>
      <c r="C56" s="18">
        <f t="shared" ref="C56:C63" si="615">$A$2</f>
        <v>43934</v>
      </c>
      <c r="D56" s="7" t="s">
        <v>20</v>
      </c>
      <c r="E56" s="86" t="s">
        <v>156</v>
      </c>
      <c r="F56" s="6">
        <v>45</v>
      </c>
      <c r="G56" s="1" t="s">
        <v>4</v>
      </c>
      <c r="H56" s="1" t="s">
        <v>5</v>
      </c>
      <c r="I56" s="15"/>
      <c r="J56" s="15"/>
      <c r="K56" s="15"/>
      <c r="L56" s="15"/>
      <c r="M56" s="15"/>
      <c r="N56" s="15"/>
      <c r="O56" s="15"/>
      <c r="P56" s="433">
        <v>153000</v>
      </c>
      <c r="Q56" s="98"/>
      <c r="R56" s="7" t="s">
        <v>95</v>
      </c>
      <c r="T56" s="287" t="s">
        <v>39</v>
      </c>
      <c r="V56" s="4"/>
      <c r="W56" s="16" t="str">
        <f t="shared" si="349"/>
        <v>not used yet</v>
      </c>
      <c r="X56" s="16" t="str">
        <f t="shared" si="349"/>
        <v>not used yet</v>
      </c>
      <c r="Y56" s="16" t="str">
        <f t="shared" si="349"/>
        <v>not used yet</v>
      </c>
      <c r="Z56" s="16" t="str">
        <f t="shared" si="349"/>
        <v>not used yet</v>
      </c>
      <c r="AA56" s="16" t="str">
        <f t="shared" si="349"/>
        <v>not used yet</v>
      </c>
      <c r="AB56" s="16" t="str">
        <f t="shared" si="349"/>
        <v>not used yet</v>
      </c>
      <c r="AC56" s="16" t="str">
        <f t="shared" si="349"/>
        <v>not used yet</v>
      </c>
      <c r="AE56" s="88" t="str">
        <f>E56</f>
        <v>West Kalimantan Generic</v>
      </c>
      <c r="AF56" s="16">
        <f t="shared" ref="AF56:AL56" si="616">IF(NOT(ISBLANK(I56)),I56,IF56)</f>
        <v>0.48</v>
      </c>
      <c r="AG56" s="16">
        <f t="shared" si="616"/>
        <v>0.44</v>
      </c>
      <c r="AH56" s="61">
        <f t="shared" si="616"/>
        <v>0.08</v>
      </c>
      <c r="AI56" s="61">
        <f t="shared" si="616"/>
        <v>3.5000000000000003E-2</v>
      </c>
      <c r="AJ56" s="61">
        <f t="shared" si="616"/>
        <v>4.4999999999999998E-2</v>
      </c>
      <c r="AK56" s="16">
        <f t="shared" si="616"/>
        <v>5.0000000000000001E-3</v>
      </c>
      <c r="AL56" s="16">
        <f t="shared" si="616"/>
        <v>0.15</v>
      </c>
      <c r="AM56" s="24" t="str">
        <f>IM56</f>
        <v>LT</v>
      </c>
      <c r="AN56" s="427">
        <f>IF(NOT(ISBLANK(P56)),P56*IF(H56="dmt",1,1-AL56),IO56*JN56*(1-AL56))</f>
        <v>153000</v>
      </c>
      <c r="AO56" s="127" t="str">
        <f t="array" ref="AO56">IFERROR(IF(AND(AN56&gt;'Indices Mines Exporting Ports'!$D$11,MATCH(2,1/(('Indices Mines Exporting Ports'!$B$3:$B$10&lt;=C56)*('Indices Mines Exporting Ports'!$C$3:$C$10=E56)))),"Yes","No"),"No")</f>
        <v>No</v>
      </c>
      <c r="AP56" s="126" t="str">
        <f t="array" ref="AP56">IF(AO56="Yes",INDEX('Indices Mines Exporting Ports'!$D$3:$D$10,MATCH(2,1/(('Indices Mines Exporting Ports'!$B$3:$B$10&lt;=Main!C56)*('Indices Mines Exporting Ports'!$C$3:$C$10=Main!AE56)))),IF(NOT(ISBLANK(Q56)),Q56,IP56))</f>
        <v>West_Kal_Generic_Offshore</v>
      </c>
      <c r="AQ56" s="262">
        <f t="array" ref="AQ56">IF(AO56="no",0,INDEX('Indices Mines Exporting Ports'!$E$3:$E$10,MATCH(2,1/(('Indices Mines Exporting Ports'!$B$3:$B$10&lt;=Main!$C56)*('Indices Mines Exporting Ports'!$D$3:$D$10=Main!$AP56)))))</f>
        <v>0</v>
      </c>
      <c r="AR56" s="267">
        <f t="array" ref="AR56">IF(AO56="No",0,AN56/ROUND(AN56/INDEX('Indices Mines Exporting Ports'!$F$3:$F$10,MATCH(2,1/(('Indices Mines Exporting Ports'!$B$3:$B$10&lt;=Main!C56)*('Indices Mines Exporting Ports'!$C$3:$C$10=Main!AE56)))),0))</f>
        <v>0</v>
      </c>
      <c r="AS56" s="127" t="str">
        <f>IF(NOT(ISBLANK(R56)),R56,"Qingdao")</f>
        <v>Qingdao</v>
      </c>
      <c r="AT56" s="100" t="str">
        <f>IQ56</f>
        <v>Indonesian LT</v>
      </c>
      <c r="AU56" s="100" t="str">
        <f>IR56</f>
        <v>CBIX LT</v>
      </c>
      <c r="AV56" s="242" t="s">
        <v>4</v>
      </c>
      <c r="AW56" s="242" t="s">
        <v>5</v>
      </c>
      <c r="AX56" s="292" t="e">
        <f ca="1">IF(AND(G56="FOB",H56="dmt"),F56,IF(AND(G56="FOB",H56="wmt"),F56/(1-AL56),AZ56-AY56))</f>
        <v>#NAME?</v>
      </c>
      <c r="AY56" s="291" t="e">
        <f ca="1">APK56</f>
        <v>#NAME?</v>
      </c>
      <c r="AZ56" s="292" t="e">
        <f ca="1">IF(AND(G56&lt;&gt;"FOB",H56="dmt"),F56*IF(G56="CIF",1,(1+KL56))+APM56,IF(AND(G56&lt;&gt;"FOB",H56="wmt"),(F56*IF(G56="CIF",1,(1+KL56)))/(1-AL56),AX56+AY56))</f>
        <v>#NAME?</v>
      </c>
      <c r="BA56" s="102">
        <f>IN56</f>
        <v>0.33</v>
      </c>
      <c r="BB56" s="12"/>
      <c r="BC56" s="306" t="s">
        <v>403</v>
      </c>
      <c r="BD56" s="407">
        <f t="shared" si="361"/>
        <v>0</v>
      </c>
      <c r="BE56" s="407" t="e">
        <f t="shared" ca="1" si="361"/>
        <v>#NAME?</v>
      </c>
      <c r="BF56" s="407">
        <f t="shared" si="361"/>
        <v>0</v>
      </c>
      <c r="BG56" s="407" t="e">
        <f t="shared" ca="1" si="362"/>
        <v>#NAME?</v>
      </c>
      <c r="BH56" s="407">
        <f t="shared" si="363"/>
        <v>0</v>
      </c>
      <c r="BI56" s="263" t="e">
        <f ca="1">GU56</f>
        <v>#NAME?</v>
      </c>
      <c r="BK56" s="287" t="s">
        <v>39</v>
      </c>
      <c r="BM56" s="291" t="e">
        <f t="shared" ca="1" si="365"/>
        <v>#NAME?</v>
      </c>
      <c r="BN56" s="298">
        <f t="shared" si="366"/>
        <v>0.48</v>
      </c>
      <c r="BO56" s="298">
        <f t="shared" si="367"/>
        <v>0.44</v>
      </c>
      <c r="BP56" s="298">
        <f t="shared" si="368"/>
        <v>0.08</v>
      </c>
      <c r="BQ56" s="298">
        <f t="shared" si="369"/>
        <v>3.5000000000000003E-2</v>
      </c>
      <c r="BR56" s="298">
        <f t="shared" si="370"/>
        <v>4.4999999999999998E-2</v>
      </c>
      <c r="BS56" s="298">
        <f t="shared" si="371"/>
        <v>5.0000000000000001E-3</v>
      </c>
      <c r="BT56" s="298">
        <f t="shared" si="372"/>
        <v>0.15</v>
      </c>
      <c r="BU56" s="307" t="str">
        <f t="shared" si="373"/>
        <v>LT</v>
      </c>
      <c r="BV56" s="291">
        <f t="shared" si="374"/>
        <v>0.33</v>
      </c>
      <c r="BX56" s="300">
        <f t="array" ref="BX56">INDEX('Processing Factors'!$D$8:$D$29,MATCH(2,1/(('Processing Factors'!$B$8:$B$29&lt;=Main!$C56)*('Processing Factors'!$C$8:$C$29=Main!BU56))))</f>
        <v>0</v>
      </c>
      <c r="BY56" s="299">
        <f t="array" ref="BY56">INDEX('Processing Factors'!$E$8:$E$29,MATCH(2,1/(('Processing Factors'!$B$8:$B$29&lt;=Main!$C56)*('Processing Factors'!$C$8:$C$29=Main!BU56))))</f>
        <v>1</v>
      </c>
      <c r="BZ56" s="299">
        <f t="array" ref="BZ56">INDEX('Processing Factors'!$F$8:$F$29,MATCH(2,1/(('Processing Factors'!$B$8:$B$29&lt;=Main!$C56)*('Processing Factors'!$C$8:$C$29=Main!BU56))))</f>
        <v>0.9</v>
      </c>
      <c r="CA56" s="299">
        <f t="array" ref="CA56">INDEX('Processing Factors'!$G$8:$G$29,MATCH(2,1/(('Processing Factors'!$B$8:$B$29&lt;=Main!$C56)*('Processing Factors'!$C$8:$C$29=Main!BU56))))</f>
        <v>3.5999999999999997E-2</v>
      </c>
      <c r="CB56" s="299">
        <f t="array" ref="CB56">INDEX('Processing Factors'!$H$8:$H$29,MATCH(2,1/(('Processing Factors'!$B$8:$B$29&lt;=Main!$C56)*('Processing Factors'!$C$8:$C$29=Main!BU56))))</f>
        <v>12.15</v>
      </c>
      <c r="CC56" s="300">
        <f t="array" ref="CC56">INDEX('Processing Factors'!$I$8:$I$29,MATCH(2,1/(('Processing Factors'!$B$8:$B$29&lt;=Main!$C56)*('Processing Factors'!$C$8:$C$29=Main!BU56))))</f>
        <v>0</v>
      </c>
      <c r="CD56" s="300">
        <f t="array" ref="CD56">INDEX('Processing Factors'!$J$8:$J$29,MATCH(2,1/(('Processing Factors'!$B$8:$B$29&lt;=Main!$C56)*('Processing Factors'!$C$8:$C$29=Main!BU56))))</f>
        <v>0.9</v>
      </c>
      <c r="CE56" s="299">
        <f t="array" ref="CE56">INDEX('Processing Factors'!$K$8:$K$29,MATCH(2,1/(('Processing Factors'!$B$8:$B$29&lt;=Main!$C56)*('Processing Factors'!$C$8:$C$29=Main!BU56))))</f>
        <v>3.5000000000000003E-2</v>
      </c>
      <c r="CG56" s="302">
        <f>(BN56-BO56-BQ56)*BX56+BO56+BQ56</f>
        <v>0.47499999999999998</v>
      </c>
      <c r="CH56" s="302">
        <f>BQ56+CC56*(BP56-BQ56)</f>
        <v>3.5000000000000003E-2</v>
      </c>
      <c r="CI56" s="302">
        <f>CG56-BY56*CH56</f>
        <v>0.43999999999999995</v>
      </c>
      <c r="CJ56" s="299">
        <f>1/CI56/CD56</f>
        <v>2.5252525252525255</v>
      </c>
      <c r="CK56" s="281" t="e">
        <f ca="1">(BM56+BV56)*CJ56</f>
        <v>#NAME?</v>
      </c>
      <c r="CL56" s="299">
        <f>CH56*BZ56*CJ56+CE56</f>
        <v>0.11454545454545458</v>
      </c>
      <c r="CM56" s="281">
        <f>CL56*$IW56</f>
        <v>27.490572735666216</v>
      </c>
      <c r="CN56" s="281">
        <f>CB56*$IV56</f>
        <v>50.321396655852695</v>
      </c>
      <c r="CO56" s="281">
        <f>CA56*$IX56</f>
        <v>1.2197497818850218</v>
      </c>
      <c r="CP56" s="299">
        <f>(CJ56-1+CL56+$CA56)</f>
        <v>1.6757979797979801</v>
      </c>
      <c r="CQ56" s="281">
        <f>CP56*$IY56</f>
        <v>7.0974104872984247</v>
      </c>
      <c r="CR56" s="281" t="e">
        <f ca="1">CK56+CM56+CN56+CO56+CQ56</f>
        <v>#NAME?</v>
      </c>
      <c r="CT56" s="287" t="s">
        <v>39</v>
      </c>
      <c r="CV56" s="305" t="e">
        <f ca="1">($CR56-EA56)/DS56-DE56</f>
        <v>#NAME?</v>
      </c>
      <c r="CW56" s="61">
        <f t="array" ref="CW56">INDEX('Indices Mines Exporting Ports'!E$20:E$51, MATCH(2,1/(('Indices Mines Exporting Ports'!$C$20:$C$51=$AT56)*('Indices Mines Exporting Ports'!$D$20:$D$51&lt;=$C56))))</f>
        <v>0.48</v>
      </c>
      <c r="CX56" s="61">
        <f t="array" ref="CX56">INDEX('Indices Mines Exporting Ports'!F$20:F$51, MATCH(2,1/(('Indices Mines Exporting Ports'!$C$20:$C$51=$AT56)*('Indices Mines Exporting Ports'!$D$20:$D$51&lt;=$C56))))</f>
        <v>0.44</v>
      </c>
      <c r="CY56" s="61">
        <f t="array" ref="CY56">INDEX('Indices Mines Exporting Ports'!G$20:G$51, MATCH(2,1/(('Indices Mines Exporting Ports'!$C$20:$C$51=$AT56)*('Indices Mines Exporting Ports'!$D$20:$D$51&lt;=$C56))))</f>
        <v>0.08</v>
      </c>
      <c r="CZ56" s="61">
        <f t="array" ref="CZ56">INDEX('Indices Mines Exporting Ports'!H$20:H$51, MATCH(2,1/(('Indices Mines Exporting Ports'!$C$20:$C$51=$AT56)*('Indices Mines Exporting Ports'!$D$20:$D$51&lt;=$C56))))</f>
        <v>3.5000000000000003E-2</v>
      </c>
      <c r="DA56" s="61">
        <f t="array" ref="DA56">INDEX('Indices Mines Exporting Ports'!I$20:I$51, MATCH(2,1/(('Indices Mines Exporting Ports'!$C$20:$C$51=$AT56)*('Indices Mines Exporting Ports'!$D$20:$D$51&lt;=$C56))))</f>
        <v>4.4999999999999998E-2</v>
      </c>
      <c r="DB56" s="61">
        <f t="array" ref="DB56">INDEX('Indices Mines Exporting Ports'!J$20:J$51, MATCH(2,1/(('Indices Mines Exporting Ports'!$C$20:$C$51=$AT56)*('Indices Mines Exporting Ports'!$D$20:$D$51&lt;=$C56))))</f>
        <v>5.0000000000000001E-3</v>
      </c>
      <c r="DC56" s="61">
        <f t="array" ref="DC56">INDEX('Indices Mines Exporting Ports'!K$20:K$51, MATCH(2,1/(('Indices Mines Exporting Ports'!$C$20:$C$51=$AT56)*('Indices Mines Exporting Ports'!$D$20:$D$51&lt;=$C56))))</f>
        <v>0.15</v>
      </c>
      <c r="DD56" s="103" t="str">
        <f t="array" ref="DD56">INDEX('Indices Mines Exporting Ports'!L$20:L$51, MATCH(2,1/(('Indices Mines Exporting Ports'!$C$20:$C$51=$AT56)*('Indices Mines Exporting Ports'!$D$20:$D$51&lt;=$C56))))</f>
        <v>LT</v>
      </c>
      <c r="DE56" s="243">
        <f t="array" ref="DE56">INDEX('Indices Mines Exporting Ports'!M$20:M$51, MATCH(2,1/(('Indices Mines Exporting Ports'!$C$20:$C$51=$AT56)*('Indices Mines Exporting Ports'!$D$20:$D$51&lt;=$C56))))</f>
        <v>0.33</v>
      </c>
      <c r="DG56" s="300">
        <f t="array" ref="DG56">INDEX('Processing Factors'!$D$8:$D$29,MATCH(2,1/(('Processing Factors'!$B$8:$B$29&lt;=Main!$C56)*('Processing Factors'!$C$8:$C$29=Main!DD56))))</f>
        <v>0</v>
      </c>
      <c r="DH56" s="299">
        <f t="array" ref="DH56">INDEX('Processing Factors'!$E$8:$E$29,MATCH(2,1/(('Processing Factors'!$B$8:$B$29&lt;=Main!$C56)*('Processing Factors'!$C$8:$C$29=Main!DD56))))</f>
        <v>1</v>
      </c>
      <c r="DI56" s="299">
        <f t="array" ref="DI56">INDEX('Processing Factors'!$F$8:$F$29,MATCH(2,1/(('Processing Factors'!$B$8:$B$29&lt;=Main!$C56)*('Processing Factors'!$C$8:$C$29=Main!DD56))))</f>
        <v>0.9</v>
      </c>
      <c r="DJ56" s="299">
        <f t="array" ref="DJ56">INDEX('Processing Factors'!$G$8:$G$29,MATCH(2,1/(('Processing Factors'!$B$8:$B$29&lt;=Main!$C56)*('Processing Factors'!$C$8:$C$29=Main!DD56))))</f>
        <v>3.5999999999999997E-2</v>
      </c>
      <c r="DK56" s="299">
        <f t="array" ref="DK56">INDEX('Processing Factors'!$H$8:$H$29,MATCH(2,1/(('Processing Factors'!$B$8:$B$29&lt;=Main!$C56)*('Processing Factors'!$C$8:$C$29=Main!DD56))))</f>
        <v>12.15</v>
      </c>
      <c r="DL56" s="300">
        <f t="array" ref="DL56">INDEX('Processing Factors'!$I$8:$I$29,MATCH(2,1/(('Processing Factors'!$B$8:$B$29&lt;=Main!$C56)*('Processing Factors'!$C$8:$C$29=Main!DD56))))</f>
        <v>0</v>
      </c>
      <c r="DM56" s="300">
        <f t="array" ref="DM56">INDEX('Processing Factors'!$J$8:$J$29,MATCH(2,1/(('Processing Factors'!$B$8:$B$29&lt;=Main!$C56)*('Processing Factors'!$C$8:$C$29=Main!DD56))))</f>
        <v>0.9</v>
      </c>
      <c r="DN56" s="299">
        <f t="array" ref="DN56">INDEX('Processing Factors'!$K$8:$K$29,MATCH(2,1/(('Processing Factors'!$B$8:$B$29&lt;=Main!$C56)*('Processing Factors'!$C$8:$C$29=Main!DD56))))</f>
        <v>3.5000000000000003E-2</v>
      </c>
      <c r="DP56" s="302">
        <f>(CW56-CX56-CZ56)*DG56+CX56+CZ56</f>
        <v>0.47499999999999998</v>
      </c>
      <c r="DQ56" s="302">
        <f>CZ56+DL56*(CY56-CZ56)</f>
        <v>3.5000000000000003E-2</v>
      </c>
      <c r="DR56" s="302">
        <f>DP56-DH56*DQ56</f>
        <v>0.43999999999999995</v>
      </c>
      <c r="DS56" s="299">
        <f>1/DR56/DM56</f>
        <v>2.5252525252525255</v>
      </c>
      <c r="DT56" s="304">
        <v>0</v>
      </c>
      <c r="DU56" s="299">
        <f>DQ56*DI56*DS56+DN56</f>
        <v>0.11454545454545458</v>
      </c>
      <c r="DV56" s="281">
        <f>DU56*$IW56</f>
        <v>27.490572735666216</v>
      </c>
      <c r="DW56" s="281">
        <f>DK56*$IV56</f>
        <v>50.321396655852695</v>
      </c>
      <c r="DX56" s="281">
        <f>DJ56*$IX56</f>
        <v>1.2197497818850218</v>
      </c>
      <c r="DY56" s="299">
        <f>(DS56-1+DU56+$CA56)</f>
        <v>1.6757979797979801</v>
      </c>
      <c r="DZ56" s="281">
        <f>DY56*$IY56</f>
        <v>7.0974104872984247</v>
      </c>
      <c r="EA56" s="281">
        <f>DT56+DV56+DW56+DX56+DZ56</f>
        <v>86.129129660702361</v>
      </c>
      <c r="EC56" s="287" t="s">
        <v>39</v>
      </c>
      <c r="EE56" s="305" t="e">
        <f ca="1">($CR56-FJ56)/FB56-EN56</f>
        <v>#NAME?</v>
      </c>
      <c r="EF56" s="16">
        <f t="array" ref="EF56">INDEX('Indices Mines Exporting Ports'!E$20:E$51, MATCH(2,1/(('Indices Mines Exporting Ports'!$C$20:$C$51=$AU56)*('Indices Mines Exporting Ports'!$D$20:$D$51&lt;=$C56))))</f>
        <v>0.5</v>
      </c>
      <c r="EG56" s="16">
        <f t="array" ref="EG56">INDEX('Indices Mines Exporting Ports'!F$20:F$51, MATCH(2,1/(('Indices Mines Exporting Ports'!$C$20:$C$51=$AU56)*('Indices Mines Exporting Ports'!$D$20:$D$51&lt;=$C56))))</f>
        <v>0.45</v>
      </c>
      <c r="EH56" s="16">
        <f t="array" ref="EH56">INDEX('Indices Mines Exporting Ports'!G$20:G$51, MATCH(2,1/(('Indices Mines Exporting Ports'!$C$20:$C$51=$AU56)*('Indices Mines Exporting Ports'!$D$20:$D$51&lt;=$C56))))</f>
        <v>0.05</v>
      </c>
      <c r="EI56" s="16">
        <f t="array" ref="EI56">INDEX('Indices Mines Exporting Ports'!H$20:H$51, MATCH(2,1/(('Indices Mines Exporting Ports'!$C$20:$C$51=$AU56)*('Indices Mines Exporting Ports'!$D$20:$D$51&lt;=$C56))))</f>
        <v>0.05</v>
      </c>
      <c r="EJ56" s="16">
        <f t="array" ref="EJ56">INDEX('Indices Mines Exporting Ports'!I$20:I$51, MATCH(2,1/(('Indices Mines Exporting Ports'!$C$20:$C$51=$AU56)*('Indices Mines Exporting Ports'!$D$20:$D$51&lt;=$C56))))</f>
        <v>0</v>
      </c>
      <c r="EK56" s="16">
        <f t="array" ref="EK56">INDEX('Indices Mines Exporting Ports'!J$20:J$51, MATCH(2,1/(('Indices Mines Exporting Ports'!$C$20:$C$51=$AU56)*('Indices Mines Exporting Ports'!$D$20:$D$51&lt;=$C56))))</f>
        <v>0</v>
      </c>
      <c r="EL56" s="16">
        <f t="array" ref="EL56">INDEX('Indices Mines Exporting Ports'!K$20:K$51, MATCH(2,1/(('Indices Mines Exporting Ports'!$C$20:$C$51=$AU56)*('Indices Mines Exporting Ports'!$D$20:$D$51&lt;=$C56))))</f>
        <v>0.1</v>
      </c>
      <c r="EM56" s="103" t="str">
        <f t="array" ref="EM56">INDEX('Indices Mines Exporting Ports'!L$20:L$51, MATCH(2,1/(('Indices Mines Exporting Ports'!$C$20:$C$51=$AU56)*('Indices Mines Exporting Ports'!$D$20:$D$51&lt;=$C56))))</f>
        <v>LT</v>
      </c>
      <c r="EN56" s="243">
        <f t="array" ref="EN56">INDEX('Indices Mines Exporting Ports'!M$20:M$51, MATCH(2,1/(('Indices Mines Exporting Ports'!$C$20:$C$51=$AU56)*('Indices Mines Exporting Ports'!$D$20:$D$51&lt;=$C56))))</f>
        <v>0</v>
      </c>
      <c r="EP56" s="300">
        <f t="array" ref="EP56">INDEX('Processing Factors'!$D$8:$D$29,MATCH(2,1/(('Processing Factors'!$B$8:$B$29&lt;=Main!$C56)*('Processing Factors'!$C$8:$C$29=Main!EM56))))</f>
        <v>0</v>
      </c>
      <c r="EQ56" s="299">
        <f t="array" ref="EQ56">INDEX('Processing Factors'!$E$8:$E$29,MATCH(2,1/(('Processing Factors'!$B$8:$B$29&lt;=Main!$C56)*('Processing Factors'!$C$8:$C$29=Main!EM56))))</f>
        <v>1</v>
      </c>
      <c r="ER56" s="299">
        <f t="array" ref="ER56">INDEX('Processing Factors'!$F$8:$F$29,MATCH(2,1/(('Processing Factors'!$B$8:$B$29&lt;=Main!$C56)*('Processing Factors'!$C$8:$C$29=Main!EM56))))</f>
        <v>0.9</v>
      </c>
      <c r="ES56" s="299">
        <f t="array" ref="ES56">INDEX('Processing Factors'!$G$8:$G$29,MATCH(2,1/(('Processing Factors'!$B$8:$B$29&lt;=Main!$C56)*('Processing Factors'!$C$8:$C$29=Main!EM56))))</f>
        <v>3.5999999999999997E-2</v>
      </c>
      <c r="ET56" s="299">
        <f t="array" ref="ET56">INDEX('Processing Factors'!$H$8:$H$29,MATCH(2,1/(('Processing Factors'!$B$8:$B$29&lt;=Main!$C56)*('Processing Factors'!$C$8:$C$29=Main!EM56))))</f>
        <v>12.15</v>
      </c>
      <c r="EU56" s="300">
        <f t="array" ref="EU56">INDEX('Processing Factors'!$I$8:$I$29,MATCH(2,1/(('Processing Factors'!$B$8:$B$29&lt;=Main!$C56)*('Processing Factors'!$C$8:$C$29=Main!EM56))))</f>
        <v>0</v>
      </c>
      <c r="EV56" s="300">
        <f t="array" ref="EV56">INDEX('Processing Factors'!$J$8:$J$29,MATCH(2,1/(('Processing Factors'!$B$8:$B$29&lt;=Main!$C56)*('Processing Factors'!$C$8:$C$29=Main!EM56))))</f>
        <v>0.9</v>
      </c>
      <c r="EW56" s="299">
        <f t="array" ref="EW56">INDEX('Processing Factors'!$K$8:$K$29,MATCH(2,1/(('Processing Factors'!$B$8:$B$29&lt;=Main!$C56)*('Processing Factors'!$C$8:$C$29=Main!EM56))))</f>
        <v>3.5000000000000003E-2</v>
      </c>
      <c r="EY56" s="302">
        <f>(EF56-EG56-EI56)*EP56+EG56+EI56</f>
        <v>0.5</v>
      </c>
      <c r="EZ56" s="302">
        <f>EI56+EU56*(EH56-EI56)</f>
        <v>0.05</v>
      </c>
      <c r="FA56" s="302">
        <f>EY56-EQ56*EZ56</f>
        <v>0.45</v>
      </c>
      <c r="FB56" s="299">
        <f>1/FA56/EV56</f>
        <v>2.4691358024691357</v>
      </c>
      <c r="FC56" s="304">
        <v>0</v>
      </c>
      <c r="FD56" s="299">
        <f>EZ56*ER56*FB56+EW56</f>
        <v>0.14611111111111114</v>
      </c>
      <c r="FE56" s="281">
        <f>FD56*$IW56</f>
        <v>35.06623762093578</v>
      </c>
      <c r="FF56" s="281">
        <f>ET56*$IV56</f>
        <v>50.321396655852695</v>
      </c>
      <c r="FG56" s="281">
        <f>ES56*$IX56</f>
        <v>1.2197497818850218</v>
      </c>
      <c r="FH56" s="299">
        <f>(FB56-1+FD56+$CA56)</f>
        <v>1.6512469135802468</v>
      </c>
      <c r="FI56" s="281">
        <f>FH56*$IY56</f>
        <v>6.9934307731868799</v>
      </c>
      <c r="FJ56" s="281">
        <f>FC56+FE56+FF56+FG56+FI56</f>
        <v>93.60081483186039</v>
      </c>
      <c r="FL56" s="287" t="s">
        <v>39</v>
      </c>
      <c r="FN56" s="315" t="e">
        <f t="shared" ca="1" si="398"/>
        <v>#NAME?</v>
      </c>
      <c r="FO56" s="316">
        <f t="shared" si="399"/>
        <v>0.48</v>
      </c>
      <c r="FP56" s="316">
        <f t="shared" si="400"/>
        <v>0.44</v>
      </c>
      <c r="FQ56" s="316">
        <f t="shared" si="401"/>
        <v>0.08</v>
      </c>
      <c r="FR56" s="316">
        <f t="shared" si="402"/>
        <v>3.5000000000000003E-2</v>
      </c>
      <c r="FS56" s="316">
        <f t="shared" si="403"/>
        <v>4.4999999999999998E-2</v>
      </c>
      <c r="FT56" s="316">
        <f t="shared" si="404"/>
        <v>5.0000000000000001E-3</v>
      </c>
      <c r="FU56" s="316">
        <f t="shared" si="405"/>
        <v>0.15</v>
      </c>
      <c r="FV56" s="317" t="str">
        <f t="shared" si="406"/>
        <v>LT</v>
      </c>
      <c r="FW56" s="318">
        <v>0</v>
      </c>
      <c r="FX56" s="237"/>
      <c r="FY56" s="319">
        <f t="array" ref="FY56">INDEX('Processing Factors'!$D$8:$D$29,MATCH(2,1/(('Processing Factors'!$B$8:$B$29&lt;=Main!$C56)*('Processing Factors'!$C$8:$C$29=Main!FV56))))</f>
        <v>0</v>
      </c>
      <c r="FZ56" s="320">
        <f t="array" ref="FZ56">INDEX('Processing Factors'!$E$8:$E$29,MATCH(2,1/(('Processing Factors'!$B$8:$B$29&lt;=Main!$C56)*('Processing Factors'!$C$8:$C$29=Main!FV56))))</f>
        <v>1</v>
      </c>
      <c r="GA56" s="320">
        <f t="array" ref="GA56">INDEX('Processing Factors'!$F$8:$F$29,MATCH(2,1/(('Processing Factors'!$B$8:$B$29&lt;=Main!$C56)*('Processing Factors'!$C$8:$C$29=Main!FV56))))</f>
        <v>0.9</v>
      </c>
      <c r="GB56" s="320">
        <f t="array" ref="GB56">INDEX('Processing Factors'!$G$8:$G$29,MATCH(2,1/(('Processing Factors'!$B$8:$B$29&lt;=Main!$C56)*('Processing Factors'!$C$8:$C$29=Main!FV56))))</f>
        <v>3.5999999999999997E-2</v>
      </c>
      <c r="GC56" s="320">
        <f t="array" ref="GC56">INDEX('Processing Factors'!$H$8:$H$29,MATCH(2,1/(('Processing Factors'!$B$8:$B$29&lt;=Main!$C56)*('Processing Factors'!$C$8:$C$29=Main!FV56))))</f>
        <v>12.15</v>
      </c>
      <c r="GD56" s="319">
        <f t="array" ref="GD56">INDEX('Processing Factors'!$I$8:$I$29,MATCH(2,1/(('Processing Factors'!$B$8:$B$29&lt;=Main!$C56)*('Processing Factors'!$C$8:$C$29=Main!FV56))))</f>
        <v>0</v>
      </c>
      <c r="GE56" s="321">
        <v>0.92</v>
      </c>
      <c r="GF56" s="320">
        <f t="array" ref="GF56">INDEX('Processing Factors'!$K$8:$K$29,MATCH(2,1/(('Processing Factors'!$B$8:$B$29&lt;=Main!$C56)*('Processing Factors'!$C$8:$C$29=Main!FV56))))</f>
        <v>3.5000000000000003E-2</v>
      </c>
      <c r="GG56" s="237"/>
      <c r="GH56" s="322">
        <f>(FO56-FP56-FR56)*FY56+FP56+FR56</f>
        <v>0.47499999999999998</v>
      </c>
      <c r="GI56" s="322">
        <f>FR56+GD56*(FQ56-FR56)</f>
        <v>3.5000000000000003E-2</v>
      </c>
      <c r="GJ56" s="322">
        <f>GH56-FZ56*GI56</f>
        <v>0.43999999999999995</v>
      </c>
      <c r="GK56" s="320">
        <f>1/GJ56/GE56</f>
        <v>2.4703557312252964</v>
      </c>
      <c r="GL56" s="323" t="e">
        <f ca="1">(FN56+FW56)*GK56</f>
        <v>#NAME?</v>
      </c>
      <c r="GM56" s="320">
        <f>GI56*GA56*GK56+GF56</f>
        <v>0.11281620553359686</v>
      </c>
      <c r="GN56" s="323">
        <f>GM56*$IW56</f>
        <v>27.0755580506471</v>
      </c>
      <c r="GO56" s="323">
        <f>GC56*$IV56</f>
        <v>50.321396655852695</v>
      </c>
      <c r="GP56" s="323">
        <f>GB56*$IX56</f>
        <v>1.2197497818850218</v>
      </c>
      <c r="GQ56" s="320">
        <f>(GK56-1+GM56+$CA56)</f>
        <v>1.6191719367588933</v>
      </c>
      <c r="GR56" s="323">
        <f>GQ56*$IY56</f>
        <v>6.8575854746389178</v>
      </c>
      <c r="GS56" s="323" t="e">
        <f ca="1">GL56+GN56+GO56+GP56+GR56</f>
        <v>#NAME?</v>
      </c>
      <c r="GT56" s="237"/>
      <c r="GU56" s="324" t="e">
        <f ca="1">($GS56-HZ56)/HR56-HD56</f>
        <v>#NAME?</v>
      </c>
      <c r="GV56" s="325">
        <f t="array" ref="GV56">INDEX('Indices Mines Exporting Ports'!E$20:E$51, MATCH(2,1/(('Indices Mines Exporting Ports'!$C$20:$C$51=$BC56)*('Indices Mines Exporting Ports'!$D$20:$D$51&lt;=$C56))))</f>
        <v>0.5</v>
      </c>
      <c r="GW56" s="325">
        <f t="array" ref="GW56">INDEX('Indices Mines Exporting Ports'!F$20:F$51, MATCH(2,1/(('Indices Mines Exporting Ports'!$C$20:$C$51=$BC56)*('Indices Mines Exporting Ports'!$D$20:$D$51&lt;=$C56))))</f>
        <v>0.45</v>
      </c>
      <c r="GX56" s="325">
        <f t="array" ref="GX56">INDEX('Indices Mines Exporting Ports'!G$20:G$51, MATCH(2,1/(('Indices Mines Exporting Ports'!$C$20:$C$51=$BC56)*('Indices Mines Exporting Ports'!$D$20:$D$51&lt;=$C56))))</f>
        <v>0.05</v>
      </c>
      <c r="GY56" s="325">
        <f t="array" ref="GY56">INDEX('Indices Mines Exporting Ports'!H$20:H$51, MATCH(2,1/(('Indices Mines Exporting Ports'!$C$20:$C$51=$BC56)*('Indices Mines Exporting Ports'!$D$20:$D$51&lt;=$C56))))</f>
        <v>0.05</v>
      </c>
      <c r="GZ56" s="325">
        <f t="array" ref="GZ56">INDEX('Indices Mines Exporting Ports'!I$20:I$51, MATCH(2,1/(('Indices Mines Exporting Ports'!$C$20:$C$51=$BC56)*('Indices Mines Exporting Ports'!$D$20:$D$51&lt;=$C56))))</f>
        <v>0</v>
      </c>
      <c r="HA56" s="325">
        <f t="array" ref="HA56">INDEX('Indices Mines Exporting Ports'!J$20:J$51, MATCH(2,1/(('Indices Mines Exporting Ports'!$C$20:$C$51=$BC56)*('Indices Mines Exporting Ports'!$D$20:$D$51&lt;=$C56))))</f>
        <v>0</v>
      </c>
      <c r="HB56" s="325">
        <f t="array" ref="HB56">INDEX('Indices Mines Exporting Ports'!K$20:K$51, MATCH(2,1/(('Indices Mines Exporting Ports'!$C$20:$C$51=$BC56)*('Indices Mines Exporting Ports'!$D$20:$D$51&lt;=$C56))))</f>
        <v>0.1</v>
      </c>
      <c r="HC56" s="326" t="str">
        <f t="array" ref="HC56">INDEX('Indices Mines Exporting Ports'!L$20:L$51, MATCH(2,1/(('Indices Mines Exporting Ports'!$C$20:$C$51=$BC56)*('Indices Mines Exporting Ports'!$D$20:$D$51&lt;=$C56))))</f>
        <v>LT</v>
      </c>
      <c r="HD56" s="262">
        <f t="array" ref="HD56">INDEX('Indices Mines Exporting Ports'!M$20:M$51, MATCH(2,1/(('Indices Mines Exporting Ports'!$C$20:$C$51=$BC56)*('Indices Mines Exporting Ports'!$D$20:$D$51&lt;=$C56))))</f>
        <v>0</v>
      </c>
      <c r="HE56" s="237"/>
      <c r="HF56" s="319">
        <f t="array" ref="HF56">INDEX('Processing Factors'!$D$8:$D$29,MATCH(2,1/(('Processing Factors'!$B$8:$B$29&lt;=Main!$C56)*('Processing Factors'!$C$8:$C$29=Main!HC56))))</f>
        <v>0</v>
      </c>
      <c r="HG56" s="320">
        <f t="array" ref="HG56">INDEX('Processing Factors'!$E$8:$E$29,MATCH(2,1/(('Processing Factors'!$B$8:$B$29&lt;=Main!$C56)*('Processing Factors'!$C$8:$C$29=Main!HC56))))</f>
        <v>1</v>
      </c>
      <c r="HH56" s="320">
        <f t="array" ref="HH56">INDEX('Processing Factors'!$F$8:$F$29,MATCH(2,1/(('Processing Factors'!$B$8:$B$29&lt;=Main!$C56)*('Processing Factors'!$C$8:$C$29=Main!HC56))))</f>
        <v>0.9</v>
      </c>
      <c r="HI56" s="320">
        <f t="array" ref="HI56">INDEX('Processing Factors'!$G$8:$G$29,MATCH(2,1/(('Processing Factors'!$B$8:$B$29&lt;=Main!$C56)*('Processing Factors'!$C$8:$C$29=Main!HC56))))</f>
        <v>3.5999999999999997E-2</v>
      </c>
      <c r="HJ56" s="320">
        <f t="array" ref="HJ56">INDEX('Processing Factors'!$H$8:$H$29,MATCH(2,1/(('Processing Factors'!$B$8:$B$29&lt;=Main!$C56)*('Processing Factors'!$C$8:$C$29=Main!HC56))))</f>
        <v>12.15</v>
      </c>
      <c r="HK56" s="319">
        <f t="array" ref="HK56">INDEX('Processing Factors'!$I$8:$I$29,MATCH(2,1/(('Processing Factors'!$B$8:$B$29&lt;=Main!$C56)*('Processing Factors'!$C$8:$C$29=Main!HC56))))</f>
        <v>0</v>
      </c>
      <c r="HL56" s="321">
        <v>0.92</v>
      </c>
      <c r="HM56" s="320">
        <f t="array" ref="HM56">INDEX('Processing Factors'!$K$8:$K$29,MATCH(2,1/(('Processing Factors'!$B$8:$B$29&lt;=Main!$C56)*('Processing Factors'!$C$8:$C$29=Main!HC56))))</f>
        <v>3.5000000000000003E-2</v>
      </c>
      <c r="HN56" s="237"/>
      <c r="HO56" s="322">
        <f>(GV56-GW56-GY56)*HF56+GW56+GY56</f>
        <v>0.5</v>
      </c>
      <c r="HP56" s="322">
        <f>GY56+HK56*(GX56-GY56)</f>
        <v>0.05</v>
      </c>
      <c r="HQ56" s="322">
        <f>HO56-HG56*HP56</f>
        <v>0.45</v>
      </c>
      <c r="HR56" s="320">
        <f>1/HQ56/HL56</f>
        <v>2.4154589371980677</v>
      </c>
      <c r="HS56" s="263">
        <v>0</v>
      </c>
      <c r="HT56" s="320">
        <f>HP56*HH56*HR56+HM56</f>
        <v>0.14369565217391306</v>
      </c>
      <c r="HU56" s="323">
        <f>HT56*$IW56</f>
        <v>34.486534568845585</v>
      </c>
      <c r="HV56" s="323">
        <f>HJ56*$IV56</f>
        <v>50.321396655852695</v>
      </c>
      <c r="HW56" s="323">
        <f>HI56*$IX56</f>
        <v>1.2197497818850218</v>
      </c>
      <c r="HX56" s="320">
        <f>(HR56-1+HT56+$CA56)</f>
        <v>1.5951545893719807</v>
      </c>
      <c r="HY56" s="323">
        <f>HX56*$IY56</f>
        <v>6.755866189095018</v>
      </c>
      <c r="HZ56" s="323">
        <f>HS56+HU56+HV56+HW56+HY56</f>
        <v>92.783547195678324</v>
      </c>
      <c r="IB56" s="287" t="s">
        <v>39</v>
      </c>
      <c r="ID56" s="89" t="str">
        <f>AE56</f>
        <v>West Kalimantan Generic</v>
      </c>
      <c r="IE56" s="18">
        <f>$C56</f>
        <v>43934</v>
      </c>
      <c r="IF56" s="94">
        <f t="array" ref="IF56">INDEX('Indices Mines Exporting Ports'!E$20:E$51, MATCH(2,1/(('Indices Mines Exporting Ports'!$C$20:$C$51=$ID56)*('Indices Mines Exporting Ports'!$D$20:$D$51&lt;=$IE56))))</f>
        <v>0.48</v>
      </c>
      <c r="IG56" s="94">
        <f t="array" ref="IG56">INDEX('Indices Mines Exporting Ports'!F$20:F$51, MATCH(2,1/(('Indices Mines Exporting Ports'!$C$20:$C$51=$ID56)*('Indices Mines Exporting Ports'!$D$20:$D$51&lt;=$IE56))))</f>
        <v>0.44</v>
      </c>
      <c r="IH56" s="95">
        <f t="array" ref="IH56">INDEX('Indices Mines Exporting Ports'!G$20:G$51, MATCH(2,1/(('Indices Mines Exporting Ports'!$C$20:$C$51=$ID56)*('Indices Mines Exporting Ports'!$D$20:$D$51&lt;=$IE56))))</f>
        <v>0.08</v>
      </c>
      <c r="II56" s="95">
        <f t="array" ref="II56">INDEX('Indices Mines Exporting Ports'!H$20:H$51, MATCH(2,1/(('Indices Mines Exporting Ports'!$C$20:$C$51=$ID56)*('Indices Mines Exporting Ports'!$D$20:$D$51&lt;=$IE56))))</f>
        <v>3.5000000000000003E-2</v>
      </c>
      <c r="IJ56" s="95">
        <f t="array" ref="IJ56">INDEX('Indices Mines Exporting Ports'!I$20:I$51, MATCH(2,1/(('Indices Mines Exporting Ports'!$C$20:$C$51=$ID56)*('Indices Mines Exporting Ports'!$D$20:$D$51&lt;=$IE56))))</f>
        <v>4.4999999999999998E-2</v>
      </c>
      <c r="IK56" s="94">
        <f t="array" ref="IK56">INDEX('Indices Mines Exporting Ports'!J$20:J$51, MATCH(2,1/(('Indices Mines Exporting Ports'!$C$20:$C$51=$ID56)*('Indices Mines Exporting Ports'!$D$20:$D$51&lt;=$IE56))))</f>
        <v>5.0000000000000001E-3</v>
      </c>
      <c r="IL56" s="94">
        <f t="array" ref="IL56">INDEX('Indices Mines Exporting Ports'!K$20:K$51, MATCH(2,1/(('Indices Mines Exporting Ports'!$C$20:$C$51=$ID56)*('Indices Mines Exporting Ports'!$D$20:$D$51&lt;=$IE56))))</f>
        <v>0.15</v>
      </c>
      <c r="IM56" s="93" t="str">
        <f t="array" ref="IM56">INDEX('Indices Mines Exporting Ports'!L$20:L$51, MATCH(2,1/(('Indices Mines Exporting Ports'!$C$20:$C$51=$ID56)*('Indices Mines Exporting Ports'!$D$20:$D$51&lt;=$IE56))))</f>
        <v>LT</v>
      </c>
      <c r="IN56" s="101">
        <f t="array" ref="IN56">INDEX('Indices Mines Exporting Ports'!M$20:M$51, MATCH(2,1/(('Indices Mines Exporting Ports'!$C$20:$C$51=$ID56)*('Indices Mines Exporting Ports'!$D$20:$D$51&lt;=$IE56))))</f>
        <v>0.33</v>
      </c>
      <c r="IO56" s="96">
        <f t="array" ref="IO56">INDEX('Indices Mines Exporting Ports'!N$20:N$51, MATCH(2,1/(('Indices Mines Exporting Ports'!$C$20:$C$51=$ID56)*('Indices Mines Exporting Ports'!$D$20:$D$51&lt;=$IE56))))</f>
        <v>57000</v>
      </c>
      <c r="IP56" s="95" t="str">
        <f t="array" ref="IP56">INDEX('Indices Mines Exporting Ports'!Q$20:Q$51, MATCH(2,1/(('Indices Mines Exporting Ports'!$C$20:$C$51=$ID56)*('Indices Mines Exporting Ports'!$D$20:$D$51&lt;=$IE56))))</f>
        <v>West_Kal_Generic_Offshore</v>
      </c>
      <c r="IQ56" s="95" t="str">
        <f t="array" ref="IQ56">INDEX('Indices Mines Exporting Ports'!O$20:O$51, MATCH(2,1/(('Indices Mines Exporting Ports'!$C$20:$C$51=$ID56)*('Indices Mines Exporting Ports'!$D$20:$D$51&lt;=$IE56))))</f>
        <v>Indonesian LT</v>
      </c>
      <c r="IR56" s="95" t="str">
        <f t="array" ref="IR56">INDEX('Indices Mines Exporting Ports'!P$20:P$51, MATCH(2,1/(('Indices Mines Exporting Ports'!$C$20:$C$51=$ID56)*('Indices Mines Exporting Ports'!$D$20:$D$51&lt;=$IE56))))</f>
        <v>CBIX LT</v>
      </c>
      <c r="IT56" s="287" t="s">
        <v>39</v>
      </c>
      <c r="IV56" s="292">
        <f>VLOOKUP($C56,'China Price Series'!$C$10:$D$1009,2,TRUE)/$JA56/(VLOOKUP($C56,'China Price Series'!$C$10:$E$1009,3,TRUE)*$JG56/$JF56)</f>
        <v>4.1416787371072177</v>
      </c>
      <c r="IW56" s="292">
        <f>VLOOKUP($C56,'China Price Series'!$G$10:$H$1009,2,TRUE)/$JA56/(VLOOKUP($C56,'China Price Series'!$G$10:$I$1009,3,TRUE))</f>
        <v>239.99706356533991</v>
      </c>
      <c r="IX56" s="292">
        <f>VLOOKUP($C56,'China Price Series'!$K$10:$L$1009,2,TRUE)/$JA56</f>
        <v>33.881938385695051</v>
      </c>
      <c r="IY56" s="292">
        <f>VLOOKUP($C56,'China Price Series'!$N$10:$O$1009,2,TRUE)/$JA56</f>
        <v>4.2352422982118814</v>
      </c>
      <c r="JA56" s="277">
        <f t="array" ref="JA56">INDEX('FX rates'!E$10:E$1009,MATCH(2,1/(('FX rates'!$D$10:$D$1009&lt;=Main!$C56)*(NOT(ISBLANK('FX rates'!E$10:E$1009))))))</f>
        <v>7.0834199999999994</v>
      </c>
      <c r="JB56" s="277">
        <f t="array" ref="JB56">INDEX('FX rates'!F$10:F$1009,MATCH(2,1/(('FX rates'!$D$10:$D$1009&lt;=Main!$C56)*(NOT(ISBLANK('FX rates'!F$10:F$1009))))))</f>
        <v>0.61160022139928016</v>
      </c>
      <c r="JC56" s="277">
        <f t="array" ref="JC56">INDEX('FX rates'!G$10:G$1009,MATCH(2,1/(('FX rates'!$D$10:$D$1009&lt;=Main!$C56)*(NOT(ISBLANK('FX rates'!G$10:G$1009))))))</f>
        <v>1</v>
      </c>
      <c r="JD56" s="277">
        <f t="array" ref="JD56">INDEX('FX rates'!H$10:H$1009,MATCH(2,1/(('FX rates'!$D$10:$D$1009&lt;=Main!$C56)*(NOT(ISBLANK('FX rates'!H$10:H$1009))))))</f>
        <v>1.35</v>
      </c>
      <c r="JF56" s="111">
        <f t="array" ref="JF56">INDEX('Global factors'!C$5:C$23,MATCH(2,1/(('Global factors'!$B$5:$B$23&lt;=Main!$C56)*(NOT(ISBLANK('Global factors'!C$5:C$23))))))</f>
        <v>239000</v>
      </c>
      <c r="JG56" s="112">
        <f t="array" ref="JG56">INDEX('Global factors'!D$5:D$23,MATCH(2,1/(('Global factors'!$B$5:$B$23&lt;=Main!$C56)*(NOT(ISBLANK('Global factors'!D$5:D$23))))))</f>
        <v>1000</v>
      </c>
      <c r="JH56" s="112">
        <f t="array" ref="JH56">INDEX('Global factors'!E$5:E$23,MATCH(2,1/(('Global factors'!$B$5:$B$23&lt;=Main!$C56)*(NOT(ISBLANK('Global factors'!E$5:E$23))))))</f>
        <v>24</v>
      </c>
      <c r="JI56" s="112">
        <f t="array" ref="JI56">INDEX('Global factors'!F$5:F$23,MATCH(2,1/(('Global factors'!$B$5:$B$23&lt;=Main!$C56)*(NOT(ISBLANK('Global factors'!F$5:F$23))))))</f>
        <v>2</v>
      </c>
      <c r="JJ56" s="117">
        <f t="array" ref="JJ56">INDEX('Global factors'!G$5:G$23,MATCH(2,1/(('Global factors'!$B$5:$B$23&lt;=Main!$C56)*(NOT(ISBLANK('Global factors'!G$5:G$23))))))</f>
        <v>0.08</v>
      </c>
      <c r="JK56" s="113">
        <f t="array" ref="JK56">INDEX('Global factors'!H$5:H$23,MATCH(2,1/(('Global factors'!$B$5:$B$23&lt;=Main!$C56)*(NOT(ISBLANK('Global factors'!H$5:H$23))))))</f>
        <v>101.96</v>
      </c>
      <c r="JL56" s="113">
        <f t="array" ref="JL56">INDEX('Global factors'!I$5:I$23,MATCH(2,1/(('Global factors'!$B$5:$B$23&lt;=Main!$C56)*(NOT(ISBLANK('Global factors'!I$5:I$23))))))</f>
        <v>60.08</v>
      </c>
      <c r="JM56" s="114">
        <f t="array" ref="JM56">INDEX('Global factors'!J$5:J$23,MATCH(2,1/(('Global factors'!$B$5:$B$23&lt;=Main!$C56)*(NOT(ISBLANK('Global factors'!J$5:J$23))))))</f>
        <v>0.84853528628495334</v>
      </c>
      <c r="JN56" s="115">
        <f t="array" ref="JN56">INDEX('Global factors'!K$5:K$23,MATCH(2,1/(('Global factors'!$B$5:$B$23&lt;=Main!$C56)*(NOT(ISBLANK('Global factors'!K$5:K$23))))))</f>
        <v>0.97499999999999998</v>
      </c>
      <c r="JO56" s="116">
        <f t="array" ref="JO56">INDEX('Global factors'!L$5:L$23,MATCH(2,1/(('Global factors'!$B$5:$B$23&lt;=Main!$C56)*(NOT(ISBLANK('Global factors'!L$5:L$23))))))</f>
        <v>8.7299999999999997E-4</v>
      </c>
      <c r="JP56" s="116">
        <f t="array" ref="JP56">INDEX('Global factors'!M$5:M$23,MATCH(2,1/(('Global factors'!$B$5:$B$23&lt;=Main!$C56)*(NOT(ISBLANK('Global factors'!M$5:M$23))))))</f>
        <v>145.88999999999999</v>
      </c>
      <c r="JQ56" s="116">
        <f t="array" ref="JQ56">INDEX('Global factors'!N$5:N$23,MATCH(2,1/(('Global factors'!$B$5:$B$23&lt;=Main!$C56)*(NOT(ISBLANK('Global factors'!N$5:N$23))))))</f>
        <v>0.40339999999999998</v>
      </c>
      <c r="JR56" s="116">
        <f t="array" ref="JR56">INDEX('Global factors'!O$5:O$23,MATCH(2,1/(('Global factors'!$B$5:$B$23&lt;=Main!$C56)*(NOT(ISBLANK('Global factors'!O$5:O$23))))))</f>
        <v>0</v>
      </c>
      <c r="JS56" s="116">
        <f t="array" ref="JS56">INDEX('Global factors'!P$5:P$23,MATCH(2,1/(('Global factors'!$B$5:$B$23&lt;=Main!$C56)*(NOT(ISBLANK('Global factors'!P$5:P$23))))))</f>
        <v>0.51890000000000003</v>
      </c>
      <c r="JT56" s="116">
        <f t="array" ref="JT56">INDEX('Global factors'!Q$5:Q$23,MATCH(2,1/(('Global factors'!$B$5:$B$23&lt;=Main!$C56)*(NOT(ISBLANK('Global factors'!Q$5:Q$23))))))</f>
        <v>4797</v>
      </c>
      <c r="JU56" s="116">
        <f t="array" ref="JU56">INDEX('Global factors'!R$5:R$23,MATCH(2,1/(('Global factors'!$B$5:$B$23&lt;=Main!$C56)*(NOT(ISBLANK('Global factors'!R$5:R$23))))))</f>
        <v>7</v>
      </c>
      <c r="JV56" s="115">
        <f t="array" ref="JV56">INDEX('Global factors'!S$5:S$23,MATCH(2,1/(('Global factors'!$B$5:$B$23&lt;=Main!$C56)*(NOT(ISBLANK('Global factors'!S$5:S$23))))))</f>
        <v>0.12</v>
      </c>
      <c r="JW56" s="115">
        <f t="array" ref="JW56">INDEX('Global factors'!T$5:T$23,MATCH(2,1/(('Global factors'!$B$5:$B$23&lt;=Main!$C56)*(NOT(ISBLANK('Global factors'!T$5:T$23))))))</f>
        <v>0.5</v>
      </c>
      <c r="JX56" s="116">
        <f t="array" ref="JX56">INDEX('Global factors'!U$5:U$23,MATCH(2,1/(('Global factors'!$B$5:$B$23&lt;=Main!$C56)*(NOT(ISBLANK('Global factors'!U$5:U$23))))))</f>
        <v>0.5</v>
      </c>
      <c r="JY56" s="116">
        <f t="array" ref="JY56">INDEX('Global factors'!V$5:V$23,MATCH(2,1/(('Global factors'!$B$5:$B$23&lt;=Main!$C56)*(NOT(ISBLANK('Global factors'!V$5:V$23))))))</f>
        <v>10000</v>
      </c>
      <c r="JZ56" s="116">
        <f t="array" ref="JZ56">INDEX('Global factors'!W$5:W$23,MATCH(2,1/(('Global factors'!$B$5:$B$23&lt;=Main!$C56)*(NOT(ISBLANK('Global factors'!W$5:W$23))))))</f>
        <v>0.10680000000000001</v>
      </c>
      <c r="KA56" s="116">
        <f t="array" ref="KA56">INDEX('Global factors'!X$5:X$23,MATCH(2,1/(('Global factors'!$B$5:$B$23&lt;=Main!$C56)*(NOT(ISBLANK('Global factors'!X$5:X$23))))))</f>
        <v>1.2</v>
      </c>
      <c r="KB56" s="116">
        <v>0</v>
      </c>
      <c r="KC56" s="272">
        <f t="array" ref="KC56">INDEX('Global factors'!Y$5:Y$23,MATCH(2,1/(('Global factors'!$B$5:$B$23&lt;=Main!$C56)*(NOT(ISBLANK('Global factors'!Y$5:Y$23))))))</f>
        <v>23643.7088248818</v>
      </c>
      <c r="KD56" s="273">
        <f t="array" ref="KD56">INDEX('Global factors'!Z$5:Z$23,MATCH(2,1/(('Global factors'!$B$5:$B$23&lt;=Main!$C56)*(NOT(ISBLANK('Global factors'!Z$5:Z$23))))))</f>
        <v>0.62802869915581405</v>
      </c>
      <c r="KE56" s="273">
        <v>0</v>
      </c>
      <c r="KF56" s="273">
        <v>0</v>
      </c>
      <c r="KG56" s="116">
        <v>0</v>
      </c>
      <c r="KH56" s="116">
        <f t="array" ref="KH56">INDEX('Global factors'!AB$5:AB$23,MATCH(2,1/(('Global factors'!$B$5:$B$23&lt;=Main!$C56)*(NOT(ISBLANK('Global factors'!AB$5:AB$23))))))</f>
        <v>6.2556361557795204E-2</v>
      </c>
      <c r="KI56" s="116">
        <f t="array" ref="KI56">INDEX('Global factors'!AC$5:AC$23,MATCH(2,1/(('Global factors'!$B$5:$B$23&lt;=Main!$C56)*(NOT(ISBLANK('Global factors'!AC$5:AC$23))))))</f>
        <v>8.6923129044225601E-4</v>
      </c>
      <c r="KJ56" s="116">
        <f t="array" ref="KJ56">INDEX('Global factors'!AD$5:AD$23,MATCH(2,1/(('Global factors'!$B$5:$B$23&lt;=Main!$C56)*(NOT(ISBLANK('Global factors'!AD$5:AD$23))))))</f>
        <v>1.1499999999999999</v>
      </c>
      <c r="KK56" s="116" t="str">
        <f t="array" ref="KK56">INDEX('Global factors'!AE$5:AE$23,MATCH(2,1/(('Global factors'!$B$5:$B$23&lt;=Main!$C56)*(NOT(ISBLANK('Global factors'!AE$5:AE$23))))))</f>
        <v>Qingdao</v>
      </c>
      <c r="KL56" s="290">
        <f t="array" ref="KL56">INDEX('Global factors'!AF$5:AF$23,MATCH(2,1/(('Global factors'!$B$5:$B$23&lt;=Main!$C56)*(NOT(ISBLANK('Global factors'!AF$5:AF$23))))))</f>
        <v>3.0000000000000001E-3</v>
      </c>
      <c r="KM56" s="290"/>
      <c r="KO56" s="287" t="s">
        <v>39</v>
      </c>
      <c r="KQ56" s="25">
        <f>IF($AO56="no",$AN56,$AR56)/(1-$AL56)/$JN56</f>
        <v>184615.38461538462</v>
      </c>
      <c r="KR56" s="4" t="str">
        <f>VLOOKUP(KQ56,'Ship Time Charter Rates'!$F$10:$G$17,2,TRUE)</f>
        <v>Capesize</v>
      </c>
      <c r="KS56" s="4" t="str">
        <f>VLOOKUP(KQ56,Canals!$E$5:$F$12,2,TRUE)</f>
        <v>Capesize</v>
      </c>
      <c r="KT56" s="25">
        <f>(KQ56*$JO56 + $JP56)</f>
        <v>307.05923076923079</v>
      </c>
      <c r="KU56" s="25">
        <f>(KQ56*$JQ56+$JR56)</f>
        <v>74473.846153846156</v>
      </c>
      <c r="KV56" s="25">
        <f>(KQ56*$JS56+$JT56)</f>
        <v>100593.92307692309</v>
      </c>
      <c r="KX56" s="75">
        <f t="array" ref="KX56">INDEX('Indices Mines Exporting Ports'!$R$20:$R$51,MATCH(2,1/(('Indices Mines Exporting Ports'!$D$20:$D$51&lt;=Main!$C56)*('Indices Mines Exporting Ports'!$Q$20:$Q$51=$AP56))))</f>
        <v>15000</v>
      </c>
      <c r="KY56" s="75">
        <f t="array" ref="KY56">INDEX('Indices Mines Exporting Ports'!$S$20:$S$51,MATCH(2,1/(('Indices Mines Exporting Ports'!$D$20:$D$51&lt;=Main!$C56)*('Indices Mines Exporting Ports'!$Q$20:$Q$51=$AP56))))</f>
        <v>15000</v>
      </c>
      <c r="KZ56" s="75">
        <f t="array" ref="KZ56">INDEX('Indices Mines Exporting Ports'!$T$20:$T$51,MATCH(2,1/(('Indices Mines Exporting Ports'!$D$20:$D$51&lt;=Main!$C56)*('Indices Mines Exporting Ports'!$Q$20:$Q$51=$AP56))))</f>
        <v>15000</v>
      </c>
      <c r="LA56" s="75">
        <f t="array" ref="LA56">INDEX('Indices Mines Exporting Ports'!$U$20:$U$51,MATCH(2,1/(('Indices Mines Exporting Ports'!$D$20:$D$51&lt;=Main!$C56)*('Indices Mines Exporting Ports'!$Q$20:$Q$51=$AP56))))</f>
        <v>15000</v>
      </c>
      <c r="LB56" s="75">
        <f t="array" ref="LB56">INDEX('Indices Mines Exporting Ports'!$V$20:$V$51,MATCH(2,1/(('Indices Mines Exporting Ports'!$D$20:$D$51&lt;=Main!$C56)*('Indices Mines Exporting Ports'!$Q$20:$Q$51=$AP56))))</f>
        <v>15000</v>
      </c>
      <c r="LC56" s="75">
        <f t="array" ref="LC56">INDEX('Indices Mines Exporting Ports'!$W$20:$W$51,MATCH(2,1/(('Indices Mines Exporting Ports'!$D$20:$D$51&lt;=Main!$C56)*('Indices Mines Exporting Ports'!$Q$20:$Q$51=$AP56))))</f>
        <v>15000</v>
      </c>
      <c r="LD56" s="75">
        <f t="array" ref="LD56">INDEX('Indices Mines Exporting Ports'!$X$20:$X$51,MATCH(2,1/(('Indices Mines Exporting Ports'!$D$20:$D$51&lt;=Main!$C56)*('Indices Mines Exporting Ports'!$Q$20:$Q$51=$AP56))))</f>
        <v>15000</v>
      </c>
      <c r="LF56" s="75">
        <f t="array" ref="LF56">INDEX('Port Linkages'!$E$18:$E$157,MATCH(2,1/(('Port Linkages'!$C$18:$C$157=$AP56)*('Port Linkages'!$D$18:$D$157=IF($AO56="Yes",$AQ56,$AS56))*('Port Linkages'!$A$18:$A$157&lt;=$C56))))</f>
        <v>2326</v>
      </c>
      <c r="LG56" s="75">
        <f t="array" ref="LG56">INDEX('Port Linkages'!$F$18:$F$157,MATCH(2,1/(('Port Linkages'!$C$18:$C$157=$AP56)*('Port Linkages'!$D$18:$D$157=IF($AO56="Yes",$AQ56,$AS56))*('Port Linkages'!$A$18:$A$157&lt;=$C56))))</f>
        <v>0</v>
      </c>
      <c r="LH56" s="75" t="str">
        <f t="array" ref="LH56">INDEX('Port Linkages'!$G$18:$G$157,MATCH(2,1/(('Port Linkages'!$C$18:$C$157=$AP56)*('Port Linkages'!$D$18:$D$157=IF($AO56="Yes",$AQ56,$AS56))*('Port Linkages'!$A$18:$A$157&lt;=$C56))))</f>
        <v>VLOC_General</v>
      </c>
      <c r="LI56" s="75" t="str">
        <f t="array" ref="LI56">INDEX('Port Linkages'!$H$18:$H$157,MATCH(2,1/(('Port Linkages'!$C$18:$C$157=$AP56)*('Port Linkages'!$D$18:$D$157=IF($AO56="Yes",$AQ56,$AS56))*('Port Linkages'!$A$18:$A$157&lt;=$C56))))</f>
        <v>Singapore</v>
      </c>
      <c r="LJ56" s="75" t="str">
        <f t="array" ref="LJ56">INDEX('Port Linkages'!$I$18:$I$157,MATCH(2,1/(('Port Linkages'!$C$18:$C$157=$AP56)*('Port Linkages'!$D$18:$D$157=IF($AO56="Yes",$AQ56,$AS56))*('Port Linkages'!$A$18:$A$157&lt;=$C56))))</f>
        <v>VLSFO</v>
      </c>
      <c r="LK56" s="75" t="str">
        <f t="array" ref="LK56">INDEX('Port Linkages'!$J$18:$J$157,MATCH(2,1/(('Port Linkages'!$C$18:$C$157=$AP56)*('Port Linkages'!$D$18:$D$157=IF($AO56="Yes",$AQ56,$AS56))*('Port Linkages'!$A$18:$A$157&lt;=$C56))))</f>
        <v>MGO_Regular</v>
      </c>
      <c r="LL56" s="75" t="str">
        <f t="array" ref="LL56">INDEX('Port Linkages'!$K$18:$K$157,MATCH(2,1/(('Port Linkages'!$C$18:$C$157=$AP56)*('Port Linkages'!$D$18:$D$157=IF($AO56="Yes",$AQ56,$AS56))*('Port Linkages'!$A$18:$A$157&lt;=$C56))))</f>
        <v>none</v>
      </c>
      <c r="LM56" s="75">
        <f t="array" ref="LM56">INDEX('Port Linkages'!$L$18:$L$157,MATCH(2,1/(('Port Linkages'!$C$18:$C$157=$AP56)*('Port Linkages'!$D$18:$D$157=IF($AO56="Yes",$AQ56,$AS56))*('Port Linkages'!$A$18:$A$157&lt;=$C56))))</f>
        <v>2326</v>
      </c>
      <c r="LN56" s="75">
        <f t="array" ref="LN56">INDEX('Port Linkages'!$M$18:$M$157,MATCH(2,1/(('Port Linkages'!$C$18:$C$157=$AP56)*('Port Linkages'!$D$18:$D$157=IF($AO56="Yes",$AQ56,$AS56))*('Port Linkages'!$A$18:$A$157&lt;=$C56))))</f>
        <v>0</v>
      </c>
      <c r="LO56" s="75" t="str">
        <f t="array" ref="LO56">INDEX('Port Linkages'!$N$18:$N$157,MATCH(2,1/(('Port Linkages'!$C$18:$C$157=$AP56)*('Port Linkages'!$D$18:$D$157=IF($AO56="Yes",$AQ56,$AS56))*('Port Linkages'!$A$18:$A$157&lt;=$C56))))</f>
        <v>Capesize_General</v>
      </c>
      <c r="LP56" s="75" t="str">
        <f t="array" ref="LP56">INDEX('Port Linkages'!$O$18:$O$157,MATCH(2,1/(('Port Linkages'!$C$18:$C$157=$AP56)*('Port Linkages'!$D$18:$D$157=IF($AO56="Yes",$AQ56,$AS56))*('Port Linkages'!$A$18:$A$157&lt;=$C56))))</f>
        <v>Singapore</v>
      </c>
      <c r="LQ56" s="75" t="str">
        <f t="array" ref="LQ56">INDEX('Port Linkages'!$P$18:$P$157,MATCH(2,1/(('Port Linkages'!$C$18:$C$157=$AP56)*('Port Linkages'!$D$18:$D$157=IF($AO56="Yes",$AQ56,$AS56))*('Port Linkages'!$A$18:$A$157&lt;=$C56))))</f>
        <v>VLSFO</v>
      </c>
      <c r="LR56" s="75" t="str">
        <f t="array" ref="LR56">INDEX('Port Linkages'!$Q$18:$Q$157,MATCH(2,1/(('Port Linkages'!$C$18:$C$157=$AP56)*('Port Linkages'!$D$18:$D$157=IF($AO56="Yes",$AQ56,$AS56))*('Port Linkages'!$A$18:$A$157&lt;=$C56))))</f>
        <v>MGO_Regular</v>
      </c>
      <c r="LS56" s="75" t="str">
        <f t="array" ref="LS56">INDEX('Port Linkages'!$R$18:$R$157,MATCH(2,1/(('Port Linkages'!$C$18:$C$157=$AP56)*('Port Linkages'!$D$18:$D$157=IF($AO56="Yes",$AQ56,$AS56))*('Port Linkages'!$A$18:$A$157&lt;=$C56))))</f>
        <v>none</v>
      </c>
      <c r="LT56" s="75">
        <f t="array" ref="LT56">INDEX('Port Linkages'!$S$18:$S$157,MATCH(2,1/(('Port Linkages'!$C$18:$C$157=$AP56)*('Port Linkages'!$D$18:$D$157=IF($AO56="Yes",$AQ56,$AS56))*('Port Linkages'!$A$18:$A$157&lt;=$C56))))</f>
        <v>2326</v>
      </c>
      <c r="LU56" s="75">
        <f t="array" ref="LU56">INDEX('Port Linkages'!$T$18:$T$157,MATCH(2,1/(('Port Linkages'!$C$18:$C$157=$AP56)*('Port Linkages'!$D$18:$D$157=IF($AO56="Yes",$AQ56,$AS56))*('Port Linkages'!$A$18:$A$157&lt;=$C56))))</f>
        <v>0</v>
      </c>
      <c r="LV56" s="75" t="str">
        <f t="array" ref="LV56">INDEX('Port Linkages'!$U$18:$U$157,MATCH(2,1/(('Port Linkages'!$C$18:$C$157=$AP56)*('Port Linkages'!$D$18:$D$157=IF($AO56="Yes",$AQ56,$AS56))*('Port Linkages'!$A$18:$A$157&lt;=$C56))))</f>
        <v>Capesize_General</v>
      </c>
      <c r="LW56" s="75" t="str">
        <f t="array" ref="LW56">INDEX('Port Linkages'!$V$18:$V$157,MATCH(2,1/(('Port Linkages'!$C$18:$C$157=$AP56)*('Port Linkages'!$D$18:$D$157=IF($AO56="Yes",$AQ56,$AS56))*('Port Linkages'!$A$18:$A$157&lt;=$C56))))</f>
        <v>Singapore</v>
      </c>
      <c r="LX56" s="75" t="str">
        <f t="array" ref="LX56">INDEX('Port Linkages'!$W$18:$W$157,MATCH(2,1/(('Port Linkages'!$C$18:$C$157=$AP56)*('Port Linkages'!$D$18:$D$157=IF($AO56="Yes",$AQ56,$AS56))*('Port Linkages'!$A$18:$A$157&lt;=$C56))))</f>
        <v>VLSFO</v>
      </c>
      <c r="LY56" s="75" t="str">
        <f t="array" ref="LY56">INDEX('Port Linkages'!$X$18:$X$157,MATCH(2,1/(('Port Linkages'!$C$18:$C$157=$AP56)*('Port Linkages'!$D$18:$D$157=IF($AO56="Yes",$AQ56,$AS56))*('Port Linkages'!$A$18:$A$157&lt;=$C56))))</f>
        <v>MGO_Regular</v>
      </c>
      <c r="LZ56" s="75" t="str">
        <f t="array" ref="LZ56">INDEX('Port Linkages'!$Y$18:$Y$157,MATCH(2,1/(('Port Linkages'!$C$18:$C$157=$AP56)*('Port Linkages'!$D$18:$D$157=IF($AO56="Yes",$AQ56,$AS56))*('Port Linkages'!$A$18:$A$157&lt;=$C56))))</f>
        <v>none</v>
      </c>
      <c r="MA56" s="75">
        <f t="array" ref="MA56">INDEX('Port Linkages'!$Z$18:$Z$157,MATCH(2,1/(('Port Linkages'!$C$18:$C$157=$AP56)*('Port Linkages'!$D$18:$D$157=IF($AO56="Yes",$AQ56,$AS56))*('Port Linkages'!$A$18:$A$157&lt;=$C56))))</f>
        <v>2326</v>
      </c>
      <c r="MB56" s="75">
        <f t="array" ref="MB56">INDEX('Port Linkages'!$AA$18:$AA$157,MATCH(2,1/(('Port Linkages'!$C$18:$C$157=$AP56)*('Port Linkages'!$D$18:$D$157=IF($AO56="Yes",$AQ56,$AS56))*('Port Linkages'!$A$18:$A$157&lt;=$C56))))</f>
        <v>0</v>
      </c>
      <c r="MC56" s="75" t="str">
        <f t="array" ref="MC56">INDEX('Port Linkages'!$AB$18:$AB$157,MATCH(2,1/(('Port Linkages'!$C$18:$C$157=$AP56)*('Port Linkages'!$D$18:$D$157=IF($AO56="Yes",$AQ56,$AS56))*('Port Linkages'!$A$18:$A$157&lt;=$C56))))</f>
        <v>Capesize_General</v>
      </c>
      <c r="MD56" s="75" t="str">
        <f t="array" ref="MD56">INDEX('Port Linkages'!$AC$18:$AC$157,MATCH(2,1/(('Port Linkages'!$C$18:$C$157=$AP56)*('Port Linkages'!$D$18:$D$157=IF($AO56="Yes",$AQ56,$AS56))*('Port Linkages'!$A$18:$A$157&lt;=$C56))))</f>
        <v>Singapore</v>
      </c>
      <c r="ME56" s="75" t="str">
        <f t="array" ref="ME56">INDEX('Port Linkages'!$AD$18:$AD$157,MATCH(2,1/(('Port Linkages'!$C$18:$C$157=$AP56)*('Port Linkages'!$D$18:$D$157=IF($AO56="Yes",$AQ56,$AS56))*('Port Linkages'!$A$18:$A$157&lt;=$C56))))</f>
        <v>VLSFO</v>
      </c>
      <c r="MF56" s="75" t="str">
        <f t="array" ref="MF56">INDEX('Port Linkages'!$AE$18:$AE$157,MATCH(2,1/(('Port Linkages'!$C$18:$C$157=$AP56)*('Port Linkages'!$D$18:$D$157=IF($AO56="Yes",$AQ56,$AS56))*('Port Linkages'!$A$18:$A$157&lt;=$C56))))</f>
        <v>MGO_Regular</v>
      </c>
      <c r="MG56" s="75" t="str">
        <f t="array" ref="MG56">INDEX('Port Linkages'!$AF$18:$AF$157,MATCH(2,1/(('Port Linkages'!$C$18:$C$157=$AP56)*('Port Linkages'!$D$18:$D$157=IF($AO56="Yes",$AQ56,$AS56))*('Port Linkages'!$A$18:$A$157&lt;=$C56))))</f>
        <v>none</v>
      </c>
      <c r="MH56" s="75">
        <f t="array" ref="MH56">INDEX('Port Linkages'!$AG$18:$AG$157,MATCH(2,1/(('Port Linkages'!$C$18:$C$157=$AP56)*('Port Linkages'!$D$18:$D$157=IF($AO56="Yes",$AQ56,$AS56))*('Port Linkages'!$A$18:$A$157&lt;=$C56))))</f>
        <v>2326</v>
      </c>
      <c r="MI56" s="75">
        <f t="array" ref="MI56">INDEX('Port Linkages'!$AH$18:$AH$157,MATCH(2,1/(('Port Linkages'!$C$18:$C$157=$AP56)*('Port Linkages'!$D$18:$D$157=IF($AO56="Yes",$AQ56,$AS56))*('Port Linkages'!$A$18:$A$157&lt;=$C56))))</f>
        <v>0</v>
      </c>
      <c r="MJ56" s="75" t="str">
        <f t="array" ref="MJ56">INDEX('Port Linkages'!$AI$18:$AI$157,MATCH(2,1/(('Port Linkages'!$C$18:$C$157=$AP56)*('Port Linkages'!$D$18:$D$157=IF($AO56="Yes",$AQ56,$AS56))*('Port Linkages'!$A$18:$A$157&lt;=$C56))))</f>
        <v>Panamax_General</v>
      </c>
      <c r="MK56" s="75" t="str">
        <f t="array" ref="MK56">INDEX('Port Linkages'!$AJ$18:$AJ$157,MATCH(2,1/(('Port Linkages'!$C$18:$C$157=$AP56)*('Port Linkages'!$D$18:$D$157=IF($AO56="Yes",$AQ56,$AS56))*('Port Linkages'!$A$18:$A$157&lt;=$C56))))</f>
        <v>Singapore</v>
      </c>
      <c r="ML56" s="75" t="str">
        <f t="array" ref="ML56">INDEX('Port Linkages'!$AK$18:$AK$157,MATCH(2,1/(('Port Linkages'!$C$18:$C$157=$AP56)*('Port Linkages'!$D$18:$D$157=IF($AO56="Yes",$AQ56,$AS56))*('Port Linkages'!$A$18:$A$157&lt;=$C56))))</f>
        <v>VLSFO</v>
      </c>
      <c r="MM56" s="75" t="str">
        <f t="array" ref="MM56">INDEX('Port Linkages'!$AL$18:$AL$157,MATCH(2,1/(('Port Linkages'!$C$18:$C$157=$AP56)*('Port Linkages'!$D$18:$D$157=IF($AO56="Yes",$AQ56,$AS56))*('Port Linkages'!$A$18:$A$157&lt;=$C56))))</f>
        <v>MGO_Regular</v>
      </c>
      <c r="MN56" s="75" t="str">
        <f t="array" ref="MN56">INDEX('Port Linkages'!$AM$18:$AM$157,MATCH(2,1/(('Port Linkages'!$C$18:$C$157=$AP56)*('Port Linkages'!$D$18:$D$157=IF($AO56="Yes",$AQ56,$AS56))*('Port Linkages'!$A$18:$A$157&lt;=$C56))))</f>
        <v>none</v>
      </c>
      <c r="MO56" s="75">
        <f t="array" ref="MO56">INDEX('Port Linkages'!$AN$18:$AN$157,MATCH(2,1/(('Port Linkages'!$C$18:$C$157=$AP56)*('Port Linkages'!$D$18:$D$157=IF($AO56="Yes",$AQ56,$AS56))*('Port Linkages'!$A$18:$A$157&lt;=$C56))))</f>
        <v>2326</v>
      </c>
      <c r="MP56" s="75">
        <f t="array" ref="MP56">INDEX('Port Linkages'!$AO$18:$AO$157,MATCH(2,1/(('Port Linkages'!$C$18:$C$157=$AP56)*('Port Linkages'!$D$18:$D$157=IF($AO56="Yes",$AQ56,$AS56))*('Port Linkages'!$A$18:$A$157&lt;=$C56))))</f>
        <v>0</v>
      </c>
      <c r="MQ56" s="75" t="str">
        <f t="array" ref="MQ56">INDEX('Port Linkages'!$AP$18:$AP$157,MATCH(2,1/(('Port Linkages'!$C$18:$C$157=$AP56)*('Port Linkages'!$D$18:$D$157=IF($AO56="Yes",$AQ56,$AS56))*('Port Linkages'!$A$18:$A$157&lt;=$C56))))</f>
        <v>Supramax_General</v>
      </c>
      <c r="MR56" s="75" t="str">
        <f t="array" ref="MR56">INDEX('Port Linkages'!$AQ$18:$AQ$157,MATCH(2,1/(('Port Linkages'!$C$18:$C$157=$AP56)*('Port Linkages'!$D$18:$D$157=IF($AO56="Yes",$AQ56,$AS56))*('Port Linkages'!$A$18:$A$157&lt;=$C56))))</f>
        <v>Singapore</v>
      </c>
      <c r="MS56" s="75" t="str">
        <f t="array" ref="MS56">INDEX('Port Linkages'!$AR$18:$AR$157,MATCH(2,1/(('Port Linkages'!$C$18:$C$157=$AP56)*('Port Linkages'!$D$18:$D$157=IF($AO56="Yes",$AQ56,$AS56))*('Port Linkages'!$A$18:$A$157&lt;=$C56))))</f>
        <v>VLSFO</v>
      </c>
      <c r="MT56" s="75" t="str">
        <f t="array" ref="MT56">INDEX('Port Linkages'!$AS$18:$AS$157,MATCH(2,1/(('Port Linkages'!$C$18:$C$157=$AP56)*('Port Linkages'!$D$18:$D$157=IF($AO56="Yes",$AQ56,$AS56))*('Port Linkages'!$A$18:$A$157&lt;=$C56))))</f>
        <v>MGO_Regular</v>
      </c>
      <c r="MU56" s="75" t="str">
        <f t="array" ref="MU56">INDEX('Port Linkages'!$AT$18:$AT$157,MATCH(2,1/(('Port Linkages'!$C$18:$C$157=$AP56)*('Port Linkages'!$D$18:$D$157=IF($AO56="Yes",$AQ56,$AS56))*('Port Linkages'!$A$18:$A$157&lt;=$C56))))</f>
        <v>none</v>
      </c>
      <c r="MV56" s="75">
        <f t="array" ref="MV56">INDEX('Port Linkages'!$AU$18:$AU$157,MATCH(2,1/(('Port Linkages'!$C$18:$C$157=$AP56)*('Port Linkages'!$D$18:$D$157=IF($AO56="Yes",$AQ56,$AS56))*('Port Linkages'!$A$18:$A$157&lt;=$C56))))</f>
        <v>2326</v>
      </c>
      <c r="MW56" s="75">
        <f t="array" ref="MW56">INDEX('Port Linkages'!$AV$18:$AV$157,MATCH(2,1/(('Port Linkages'!$C$18:$C$157=$AP56)*('Port Linkages'!$D$18:$D$157=IF($AO56="Yes",$AQ56,$AS56))*('Port Linkages'!$A$18:$A$157&lt;=$C56))))</f>
        <v>0</v>
      </c>
      <c r="MX56" s="75" t="str">
        <f t="array" ref="MX56">INDEX('Port Linkages'!$AW$18:$AW$157,MATCH(2,1/(('Port Linkages'!$C$18:$C$157=$AP56)*('Port Linkages'!$D$18:$D$157=IF($AO56="Yes",$AQ56,$AS56))*('Port Linkages'!$A$18:$A$157&lt;=$C56))))</f>
        <v>Handysize_General</v>
      </c>
      <c r="MY56" s="75" t="str">
        <f t="array" ref="MY56">INDEX('Port Linkages'!$AX$18:$AX$157,MATCH(2,1/(('Port Linkages'!$C$18:$C$157=$AP56)*('Port Linkages'!$D$18:$D$157=IF($AO56="Yes",$AQ56,$AS56))*('Port Linkages'!$A$18:$A$157&lt;=$C56))))</f>
        <v>Singapore</v>
      </c>
      <c r="MZ56" s="75" t="str">
        <f t="array" ref="MZ56">INDEX('Port Linkages'!$AY$18:$AY$157,MATCH(2,1/(('Port Linkages'!$C$18:$C$157=$AP56)*('Port Linkages'!$D$18:$D$157=IF($AO56="Yes",$AQ56,$AS56))*('Port Linkages'!$A$18:$A$157&lt;=$C56))))</f>
        <v>VLSFO</v>
      </c>
      <c r="NA56" s="75" t="str">
        <f t="array" ref="NA56">INDEX('Port Linkages'!$AZ$18:$AZ$157,MATCH(2,1/(('Port Linkages'!$C$18:$C$157=$AP56)*('Port Linkages'!$D$18:$D$157=IF($AO56="Yes",$AQ56,$AS56))*('Port Linkages'!$A$18:$A$157&lt;=$C56))))</f>
        <v>MGO_Regular</v>
      </c>
      <c r="NB56" s="75" t="str">
        <f t="array" ref="NB56">INDEX('Port Linkages'!$BA$18:$BA$157,MATCH(2,1/(('Port Linkages'!$C$18:$C$157=$AP56)*('Port Linkages'!$D$18:$D$157=IF($AO56="Yes",$AQ56,$AS56))*('Port Linkages'!$A$18:$A$157&lt;=$C56))))</f>
        <v>none</v>
      </c>
      <c r="ND56" s="25" t="e">
        <f t="array" aca="1" ref="ND56" ca="1">INDEX('Ship Fuel Prices'!$F$5:$F$1004,MATCH(2,1/(('Ship Fuel Prices'!$E$5:$E$1004=_xlfn.IFS(KS56="Handysize",Main!MY56,KS56="Supramax",MR56,KS56="Panamax",MK56,KS56="NeoPanamax",MD56,KS56="Suezmax",LW56,KS56="Capesize",LP56,KS56="VLOC",LI56))*('Ship Fuel Prices'!$D$5:$D$1004&lt;=Main!$C56))))</f>
        <v>#N/A</v>
      </c>
      <c r="NE56" s="25" t="e">
        <f t="array" aca="1" ref="NE56" ca="1">INDEX('Ship Fuel Prices'!$G$5:$G$1004,MATCH(2,1/(('Ship Fuel Prices'!$E$5:$E$1004=_xlfn.IFS(KS56="Handysize",Main!MY56,KS56="Supramax",MR56,KS56="Panamax",MK56,KS56="NeoPanamax",MD56,KS56="Suezmax",LW56,KS56="Capesize",LP56,KS56="VLOC",LI56))*('Ship Fuel Prices'!$D$5:$D$1004&lt;=Main!$C56))))</f>
        <v>#N/A</v>
      </c>
      <c r="NF56" s="25" t="e">
        <f t="array" aca="1" ref="NF56" ca="1">INDEX('Ship Fuel Prices'!$H$5:$H$1004,MATCH(2,1/(('Ship Fuel Prices'!$E$5:$E$1004=_xlfn.IFS(KS56="Handysize",Main!MY56,KS56="Supramax",MR56,KS56="Panamax",MK56,KS56="NeoPanamax",MD56,KS56="Suezmax",LW56,KS56="Capesize",LP56,KS56="VLOC",LI56))*('Ship Fuel Prices'!$D$5:$D$1004&lt;=Main!$C56))))</f>
        <v>#N/A</v>
      </c>
      <c r="NG56" s="25" t="e">
        <f t="array" aca="1" ref="NG56" ca="1">INDEX('Ship Fuel Prices'!$I$5:$I$1004,MATCH(2,1/(('Ship Fuel Prices'!$E$5:$E$1004=_xlfn.IFS(KS56="Handysize",Main!MY56,KS56="Supramax",MR56,KS56="Panamax",MK56,KS56="NeoPanamax",MD56,KS56="Suezmax",LW56,KS56="Capesize",LP56,KS56="VLOC",LI56))*('Ship Fuel Prices'!$D$5:$D$1004&lt;=Main!$C56))))</f>
        <v>#N/A</v>
      </c>
      <c r="NH56" s="25" t="e">
        <f t="array" aca="1" ref="NH56" ca="1">INDEX('Ship Fuel Prices'!$J$5:$J$1004,MATCH(2,1/(('Ship Fuel Prices'!$E$5:$E$1004=_xlfn.IFS(KS56="Handysize",Main!MY56,KS56="Supramax",MR56,KS56="Panamax",MK56,KS56="NeoPanamax",MD56,KS56="Suezmax",LW56,KS56="Capesize",LP56,KS56="VLOC",LI56))*('Ship Fuel Prices'!$D$5:$D$1004&lt;=Main!$C56))))</f>
        <v>#N/A</v>
      </c>
      <c r="NJ56" s="75">
        <f t="array" ref="NJ56">INDEX('China n Importing Ports'!$E$20:$E$41,MATCH(2,1/(('China n Importing Ports'!$D$20:$D$41&lt;=$C56)*('China n Importing Ports'!$C$20:$C$41=IF($AO56="Yes",$AQ56,$AS56)))))</f>
        <v>42500</v>
      </c>
      <c r="NK56" s="75">
        <f t="array" ref="NK56">INDEX('China n Importing Ports'!$F$20:$F$41,MATCH(2,1/(('China n Importing Ports'!$D$20:$D$41&lt;=$C56)*('China n Importing Ports'!$C$20:$C$41=IF($AO56="Yes",$AQ56,$AS56)))))</f>
        <v>42500</v>
      </c>
      <c r="NL56" s="75">
        <f t="array" ref="NL56">INDEX('China n Importing Ports'!$G$20:$G$41,MATCH(2,1/(('China n Importing Ports'!$D$20:$D$41&lt;=$C56)*('China n Importing Ports'!$C$20:$C$41=IF($AO56="Yes",$AQ56,$AS56)))))</f>
        <v>42500</v>
      </c>
      <c r="NM56" s="75">
        <f t="array" ref="NM56">INDEX('China n Importing Ports'!$H$20:$H$41,MATCH(2,1/(('China n Importing Ports'!$D$20:$D$41&lt;=$C56)*('China n Importing Ports'!$C$20:$C$41=IF($AO56="Yes",$AQ56,$AS56)))))</f>
        <v>42500</v>
      </c>
      <c r="NN56" s="75">
        <f t="array" ref="NN56">INDEX('China n Importing Ports'!$I$20:$I$41,MATCH(2,1/(('China n Importing Ports'!$D$20:$D$41&lt;=$C56)*('China n Importing Ports'!$C$20:$C$41=IF($AO56="Yes",$AQ56,$AS56)))))</f>
        <v>42500</v>
      </c>
      <c r="NO56" s="75">
        <f t="array" ref="NO56">INDEX('China n Importing Ports'!$J$20:$J$41,MATCH(2,1/(('China n Importing Ports'!$D$20:$D$41&lt;=$C56)*('China n Importing Ports'!$C$20:$C$41=IF($AO56="Yes",$AQ56,$AS56)))))</f>
        <v>42500</v>
      </c>
      <c r="NP56" s="75">
        <f t="array" ref="NP56">INDEX('China n Importing Ports'!$K$20:$K$41,MATCH(2,1/(('China n Importing Ports'!$D$20:$D$41&lt;=$C56)*('China n Importing Ports'!$C$20:$C$41=IF($AO56="Yes",$AQ56,$AS56)))))</f>
        <v>42500</v>
      </c>
      <c r="NQ56" s="75" t="str">
        <f t="array" ref="NQ56">INDEX('China n Importing Ports'!$L$20:$L$41,MATCH(2,1/(('China n Importing Ports'!$D$20:$D$41&lt;=$C56)*('China n Importing Ports'!$C$20:$C$41=IF($AO56="Yes",$AQ56,$AS56)))))</f>
        <v>RMB</v>
      </c>
      <c r="NR56" s="75">
        <f t="array" ref="NR56">INDEX('China n Importing Ports'!$M$20:$M$41,MATCH(2,1/(('China n Importing Ports'!$D$20:$D$41&lt;=$C56)*('China n Importing Ports'!$C$20:$C$41=IF($AO56="Yes",$AQ56,$AS56)))))</f>
        <v>12342</v>
      </c>
      <c r="NS56" s="75">
        <f t="array" ref="NS56">INDEX('China n Importing Ports'!$N$20:$N$41,MATCH(2,1/(('China n Importing Ports'!$D$20:$D$41&lt;=$C56)*('China n Importing Ports'!$C$20:$C$41=IF($AO56="Yes",$AQ56,$AS56)))))</f>
        <v>0</v>
      </c>
      <c r="NT56" s="75">
        <f t="array" ref="NT56">INDEX('China n Importing Ports'!$O$20:$O$41,MATCH(2,1/(('China n Importing Ports'!$D$20:$D$41&lt;=$C56)*('China n Importing Ports'!$C$20:$C$41=IF($AO56="Yes",$AQ56,$AS56)))))</f>
        <v>0</v>
      </c>
      <c r="NU56" s="136">
        <f t="array" ref="NU56">INDEX('China n Importing Ports'!$P$20:$P$41,MATCH(2,1/(('China n Importing Ports'!$D$20:$D$41&lt;=$C56)*('China n Importing Ports'!$C$20:$C$41=IF($AO56="Yes",$AQ56,$AS56)))))</f>
        <v>2.64</v>
      </c>
      <c r="NV56" s="136">
        <f t="array" ref="NV56">INDEX('China n Importing Ports'!$Q$20:$Q$41,MATCH(2,1/(('China n Importing Ports'!$D$20:$D$41&lt;=$C56)*('China n Importing Ports'!$C$20:$C$41=IF($AO56="Yes",$AQ56,$AS56)))))</f>
        <v>0</v>
      </c>
      <c r="NW56" s="136">
        <f t="array" ref="NW56">INDEX('China n Importing Ports'!$R$20:$R$41,MATCH(2,1/(('China n Importing Ports'!$D$20:$D$41&lt;=$C56)*('China n Importing Ports'!$C$20:$C$41=IF($AO56="Yes",$AQ56,$AS56)))))</f>
        <v>0</v>
      </c>
      <c r="NX56" s="136">
        <f t="array" ref="NX56">INDEX('China n Importing Ports'!$S$20:$S$41,MATCH(2,1/(('China n Importing Ports'!$D$20:$D$41&lt;=$C56)*('China n Importing Ports'!$C$20:$C$41=IF($AO56="Yes",$AQ56,$AS56)))))</f>
        <v>4.53</v>
      </c>
      <c r="NY56" s="136">
        <f t="array" ref="NY56">INDEX('China n Importing Ports'!$T$20:$T$41,MATCH(2,1/(('China n Importing Ports'!$D$20:$D$41&lt;=$C56)*('China n Importing Ports'!$C$20:$C$41=IF($AO56="Yes",$AQ56,$AS56)))))</f>
        <v>0.36699999999999999</v>
      </c>
      <c r="NZ56" s="136">
        <f t="array" ref="NZ56">INDEX('China n Importing Ports'!$U$20:$U$41,MATCH(2,1/(('China n Importing Ports'!$D$20:$D$41&lt;=$C56)*('China n Importing Ports'!$C$20:$C$41=IF($AO56="Yes",$AQ56,$AS56)))))</f>
        <v>0.05</v>
      </c>
      <c r="OA56" s="136">
        <f t="array" ref="OA56">INDEX('China n Importing Ports'!$V$20:$V$41,MATCH(2,1/(('China n Importing Ports'!$D$20:$D$41&lt;=$C56)*('China n Importing Ports'!$C$20:$C$41=IF($AO56="Yes",$AQ56,$AS56)))))</f>
        <v>0</v>
      </c>
      <c r="OB56" s="136">
        <f t="array" ref="OB56">INDEX('China n Importing Ports'!$W$20:$W$41,MATCH(2,1/(('China n Importing Ports'!$D$20:$D$41&lt;=$C56)*('China n Importing Ports'!$C$20:$C$41=IF($AO56="Yes",$AQ56,$AS56)))))</f>
        <v>0</v>
      </c>
      <c r="OC56" s="136">
        <f t="array" ref="OC56">INDEX('China n Importing Ports'!$X$20:$X$41,MATCH(2,1/(('China n Importing Ports'!$D$20:$D$41&lt;=$C56)*('China n Importing Ports'!$C$20:$C$41=IF($AO56="Yes",$AQ56,$AS56)))))</f>
        <v>0</v>
      </c>
      <c r="OD56" s="136">
        <f t="array" ref="OD56">INDEX('China n Importing Ports'!$Y$20:$Y$41,MATCH(2,1/(('China n Importing Ports'!$D$20:$D$41&lt;=$C56)*('China n Importing Ports'!$C$20:$C$41=IF($AO56="Yes",$AQ56,$AS56)))))</f>
        <v>197</v>
      </c>
      <c r="OE56" s="136">
        <f t="array" ref="OE56">INDEX('China n Importing Ports'!$Z$20:$Z$41,MATCH(2,1/(('China n Importing Ports'!$D$20:$D$41&lt;=$C56)*('China n Importing Ports'!$C$20:$C$41=IF($AO56="Yes",$AQ56,$AS56)))))</f>
        <v>0</v>
      </c>
      <c r="OF56" s="136">
        <f t="array" ref="OF56">INDEX('China n Importing Ports'!$AA$20:$AA$41,MATCH(2,1/(('China n Importing Ports'!$D$20:$D$41&lt;=$C56)*('China n Importing Ports'!$C$20:$C$41=IF($AO56="Yes",$AQ56,$AS56)))))</f>
        <v>0</v>
      </c>
      <c r="OH56" s="75" t="e">
        <f t="array" aca="1" ref="OH56" ca="1">INDEX(Canals!$G$24:$G$29,MATCH(2,1/((Canals!$F$24:$F$29&lt;=$C56)*(Canals!$G$24:$G$29=_xlfn.IFS(KS56="Handysize",Main!NB56,KS56="Supramax",MU56,KS56="Panamax",MN56,KS56="NeoPanamax",MG56,KS56="Suezmax",LZ56,KS56="Capesize",LS56,KS56="VLOC",LL56)))))</f>
        <v>#N/A</v>
      </c>
      <c r="OI56" s="75" t="e">
        <f t="array" aca="1" ref="OI56" ca="1">INDEX(Canals!$H$24:$H$29,MATCH(2,1/((Canals!$F$24:$F$29&lt;=$C56)*(Canals!$G$24:$G$29=_xlfn.IFS(KS56="Handysize",Main!NB56,KS56="Supramax",MU56,KS56="Panamax",MN56,KS56="NeoPanamax",MG56,KS56="Suezmax",LZ56,KS56="Capesize",LS56,KS56="VLOC",LL56)))))</f>
        <v>#N/A</v>
      </c>
      <c r="OJ56" s="75" t="e">
        <f t="array" aca="1" ref="OJ56" ca="1">INDEX(Canals!$I$24:$I$29,MATCH(2,1/((Canals!$F$24:$F$29&lt;=$C56)*(Canals!$G$24:$G$29=_xlfn.IFS(KS56="Handysize",Main!NB56,KS56="Supramax",MU56,KS56="Panamax",MN56,KS56="NeoPanamax",MG56,KS56="Suezmax",LZ56,KS56="Capesize",LS56,KS56="VLOC",LL56)))))</f>
        <v>#N/A</v>
      </c>
      <c r="OK56" s="75" t="e">
        <f t="array" aca="1" ref="OK56" ca="1">INDEX(Canals!$J$24:$J$29,MATCH(2,1/((Canals!$F$24:$F$29&lt;=$C56)*(Canals!$G$24:$G$29=_xlfn.IFS(KS56="Handysize",Main!NB56,KS56="Supramax",MU56,KS56="Panamax",MN56,KS56="NeoPanamax",MG56,KS56="Suezmax",LZ56,KS56="Capesize",LS56,KS56="VLOC",LL56)))))</f>
        <v>#N/A</v>
      </c>
      <c r="OL56" s="75" t="e">
        <f t="array" aca="1" ref="OL56" ca="1">INDEX(Canals!$K$24:$K$29,MATCH(2,1/((Canals!$F$24:$F$29&lt;=$C56)*(Canals!$G$24:$G$29=_xlfn.IFS(KS56="Handysize",Main!NB56,KS56="Supramax",MU56,KS56="Panamax",MN56,KS56="NeoPanamax",MG56,KS56="Suezmax",LZ56,KS56="Capesize",LS56,KS56="VLOC",LL56)))))</f>
        <v>#N/A</v>
      </c>
      <c r="OM56" s="75" t="e">
        <f t="array" aca="1" ref="OM56" ca="1">INDEX(Canals!$L$24:$L$29,MATCH(2,1/((Canals!$F$24:$F$29&lt;=$C56)*(Canals!$G$24:$G$29=_xlfn.IFS(KS56="Handysize",Main!NB56,KS56="Supramax",MU56,KS56="Panamax",MN56,KS56="NeoPanamax",MG56,KS56="Suezmax",LZ56,KS56="Capesize",LS56,KS56="VLOC",LL56)))))</f>
        <v>#N/A</v>
      </c>
      <c r="ON56" s="75" t="e">
        <f t="array" aca="1" ref="ON56" ca="1">INDEX(Canals!$M$24:$M$29,MATCH(2,1/((Canals!$F$24:$F$29&lt;=$C56)*(Canals!$G$24:$G$29=_xlfn.IFS(KS56="Handysize",Main!NB56,KS56="Supramax",MU56,KS56="Panamax",MN56,KS56="NeoPanamax",MG56,KS56="Suezmax",LZ56,KS56="Capesize",LS56,KS56="VLOC",LL56)))))</f>
        <v>#N/A</v>
      </c>
      <c r="OO56" s="75" t="e">
        <f t="array" aca="1" ref="OO56" ca="1">INDEX(Canals!$N$24:$N$29,MATCH(2,1/((Canals!$F$24:$F$29&lt;=$C56)*(Canals!$G$24:$G$29=_xlfn.IFS(KS56="Handysize",Main!NB56,KS56="Supramax",MU56,KS56="Panamax",MN56,KS56="NeoPanamax",MG56,KS56="Suezmax",LZ56,KS56="Capesize",LS56,KS56="VLOC",LL56)))))</f>
        <v>#N/A</v>
      </c>
      <c r="OP56" s="75" t="e">
        <f t="array" aca="1" ref="OP56" ca="1">INDEX(Canals!$O$24:$O$29,MATCH(2,1/((Canals!$F$24:$F$29&lt;=$C56)*(Canals!$G$24:$G$29=_xlfn.IFS(KS56="Handysize",Main!NB56,KS56="Supramax",MU56,KS56="Panamax",MN56,KS56="NeoPanamax",MG56,KS56="Suezmax",LZ56,KS56="Capesize",LS56,KS56="VLOC",LL56)))))</f>
        <v>#N/A</v>
      </c>
      <c r="OQ56" s="75" t="e">
        <f t="array" aca="1" ref="OQ56" ca="1">INDEX(Canals!$P$24:$P$29,MATCH(2,1/((Canals!$F$24:$F$29&lt;=$C56)*(Canals!$G$24:$G$29=_xlfn.IFS(KS56="Handysize",Main!NB56,KS56="Supramax",MU56,KS56="Panamax",MN56,KS56="NeoPanamax",MG56,KS56="Suezmax",LZ56,KS56="Capesize",LS56,KS56="VLOC",LL56)))))</f>
        <v>#N/A</v>
      </c>
      <c r="OR56" s="75" t="e">
        <f t="array" aca="1" ref="OR56" ca="1">INDEX(Canals!$Q$24:$Q$29,MATCH(2,1/((Canals!$F$24:$F$29&lt;=$C56)*(Canals!$G$24:$G$29=_xlfn.IFS(KS56="Handysize",Main!NB56,KS56="Supramax",MU56,KS56="Panamax",MN56,KS56="NeoPanamax",MG56,KS56="Suezmax",LZ56,KS56="Capesize",LS56,KS56="VLOC",LL56)))))</f>
        <v>#N/A</v>
      </c>
      <c r="OS56" s="75" t="e">
        <f t="array" aca="1" ref="OS56" ca="1">INDEX(Canals!$R$24:$R$29,MATCH(2,1/((Canals!$F$24:$F$29&lt;=$C56)*(Canals!$G$24:$G$29=_xlfn.IFS(KS56="Handysize",Main!NB56,KS56="Supramax",MU56,KS56="Panamax",MN56,KS56="NeoPanamax",MG56,KS56="Suezmax",LZ56,KS56="Capesize",LS56,KS56="VLOC",LL56)))))</f>
        <v>#N/A</v>
      </c>
      <c r="OT56" s="136" t="e">
        <f t="array" aca="1" ref="OT56" ca="1">INDEX(Canals!$S$24:$S$29,MATCH(2,1/((Canals!$F$24:$F$29&lt;=$C56)*(Canals!$G$24:$G$29=_xlfn.IFS(KS56="Handysize",Main!NB56,KS56="Supramax",MU56,KS56="Panamax",MN56,KS56="NeoPanamax",MG56,KS56="Suezmax",LZ56,KS56="Capesize",LS56,KS56="VLOC",LL56)))))</f>
        <v>#N/A</v>
      </c>
      <c r="OU56" s="136" t="e">
        <f t="array" aca="1" ref="OU56" ca="1">INDEX(Canals!$T$24:$T$29,MATCH(2,1/((Canals!$F$24:$F$29&lt;=$C56)*(Canals!$G$24:$G$29=_xlfn.IFS(KS56="Handysize",Main!NB56,KS56="Supramax",MU56,KS56="Panamax",MN56,KS56="NeoPanamax",MG56,KS56="Suezmax",LZ56,KS56="Capesize",LS56,KS56="VLOC",LL56)))))</f>
        <v>#N/A</v>
      </c>
      <c r="OV56" s="136" t="e">
        <f t="array" aca="1" ref="OV56" ca="1">INDEX(Canals!$U$24:$U$29,MATCH(2,1/((Canals!$F$24:$F$29&lt;=$C56)*(Canals!$G$24:$G$29=_xlfn.IFS(KS56="Handysize",Main!NB56,KS56="Supramax",MU56,KS56="Panamax",MN56,KS56="NeoPanamax",MG56,KS56="Suezmax",LZ56,KS56="Capesize",LS56,KS56="VLOC",LL56)))))</f>
        <v>#N/A</v>
      </c>
      <c r="OW56" s="136" t="e">
        <f t="array" aca="1" ref="OW56" ca="1">INDEX(Canals!$V$24:$V$29,MATCH(2,1/((Canals!$F$24:$F$29&lt;=$C56)*(Canals!$G$24:$G$29=_xlfn.IFS(KS56="Handysize",Main!NB56,KS56="Supramax",MU56,KS56="Panamax",MN56,KS56="NeoPanamax",MG56,KS56="Suezmax",LZ56,KS56="Capesize",LS56,KS56="VLOC",LL56)))))</f>
        <v>#N/A</v>
      </c>
      <c r="OX56" s="136" t="e">
        <f t="array" aca="1" ref="OX56" ca="1">INDEX(Canals!$W$24:$W$29,MATCH(2,1/((Canals!$F$24:$F$29&lt;=$C56)*(Canals!$G$24:$G$29=_xlfn.IFS(KS56="Handysize",Main!NB56,KS56="Supramax",MU56,KS56="Panamax",MN56,KS56="NeoPanamax",MG56,KS56="Suezmax",LZ56,KS56="Capesize",LS56,KS56="VLOC",LL56)))))</f>
        <v>#N/A</v>
      </c>
      <c r="OY56" s="136" t="e">
        <f t="array" aca="1" ref="OY56" ca="1">INDEX(Canals!$X$24:$X$29,MATCH(2,1/((Canals!$F$24:$F$29&lt;=$C56)*(Canals!$G$24:$G$29=_xlfn.IFS(KS56="Handysize",Main!NB56,KS56="Supramax",MU56,KS56="Panamax",MN56,KS56="NeoPanamax",MG56,KS56="Suezmax",LZ56,KS56="Capesize",LS56,KS56="VLOC",LL56)))))</f>
        <v>#N/A</v>
      </c>
      <c r="OZ56" s="136" t="e">
        <f t="array" aca="1" ref="OZ56" ca="1">INDEX(Canals!$Y$24:$Y$29,MATCH(2,1/((Canals!$F$24:$F$29&lt;=$C56)*(Canals!$G$24:$G$29=_xlfn.IFS(KS56="Handysize",Main!NB56,KS56="Supramax",MU56,KS56="Panamax",MN56,KS56="NeoPanamax",MG56,KS56="Suezmax",LZ56,KS56="Capesize",LS56,KS56="VLOC",LL56)))))</f>
        <v>#N/A</v>
      </c>
      <c r="PA56" s="136" t="e">
        <f t="array" aca="1" ref="PA56" ca="1">INDEX(Canals!$Z$24:$Z$29,MATCH(2,1/((Canals!$F$24:$F$29&lt;=$C56)*(Canals!$G$24:$G$29=_xlfn.IFS(KS56="Handysize",Main!NB56,KS56="Supramax",MU56,KS56="Panamax",MN56,KS56="NeoPanamax",MG56,KS56="Suezmax",LZ56,KS56="Capesize",LS56,KS56="VLOC",LL56)))))</f>
        <v>#N/A</v>
      </c>
      <c r="PB56" s="136" t="e">
        <f t="array" aca="1" ref="PB56" ca="1">INDEX(Canals!$AA$24:$AA$29,MATCH(2,1/((Canals!$F$24:$F$29&lt;=$C56)*(Canals!$G$24:$G$29=_xlfn.IFS(KS56="Handysize",Main!NB56,KS56="Supramax",MU56,KS56="Panamax",MN56,KS56="NeoPanamax",MG56,KS56="Suezmax",LZ56,KS56="Capesize",LS56,KS56="VLOC",LL56)))))</f>
        <v>#N/A</v>
      </c>
      <c r="PC56" s="136" t="e">
        <f t="array" aca="1" ref="PC56" ca="1">INDEX(Canals!$AB$24:$AB$29,MATCH(2,1/((Canals!$F$24:$F$29&lt;=$C56)*(Canals!$G$24:$G$29=_xlfn.IFS(KS56="Handysize",Main!NB56,KS56="Supramax",MU56,KS56="Panamax",MN56,KS56="NeoPanamax",MG56,KS56="Suezmax",LZ56,KS56="Capesize",LS56,KS56="VLOC",LL56)))))</f>
        <v>#N/A</v>
      </c>
      <c r="PD56" s="75" t="e">
        <f t="array" aca="1" ref="PD56" ca="1">INDEX(Canals!$AC$24:$AC$29,MATCH(2,1/((Canals!$F$24:$F$29&lt;=$C56)*(Canals!$G$24:$G$29=_xlfn.IFS(KS56="Handysize",Main!NB56,KS56="Supramax",MU56,KS56="Panamax",MN56,KS56="NeoPanamax",MG56,KS56="Suezmax",LZ56,KS56="Capesize",LS56,KS56="VLOC",LL56)))))</f>
        <v>#N/A</v>
      </c>
      <c r="PE56" s="75" t="e">
        <f t="array" aca="1" ref="PE56" ca="1">INDEX(Canals!$AD$24:$AD$29,MATCH(2,1/((Canals!$F$24:$F$29&lt;=$C56)*(Canals!$G$24:$G$29=_xlfn.IFS(KS56="Handysize",Main!NB56,KS56="Supramax",MU56,KS56="Panamax",MN56,KS56="NeoPanamax",MG56,KS56="Suezmax",LZ56,KS56="Capesize",LS56,KS56="VLOC",LL56)))))</f>
        <v>#N/A</v>
      </c>
      <c r="PF56" s="75" t="e">
        <f t="array" aca="1" ref="PF56" ca="1">INDEX(Canals!$AE$24:$AE$29,MATCH(2,1/((Canals!$F$24:$F$29&lt;=$C56)*(Canals!$G$24:$G$29=_xlfn.IFS(KS56="Handysize",Main!NB56,KS56="Supramax",MU56,KS56="Panamax",MN56,KS56="NeoPanamax",MG56,KS56="Suezmax",LZ56,KS56="Capesize",LS56,KS56="VLOC",LL56)))))</f>
        <v>#N/A</v>
      </c>
      <c r="PG56" s="75" t="e">
        <f t="array" aca="1" ref="PG56" ca="1">INDEX(Canals!$AF$24:$AF$29,MATCH(2,1/((Canals!$F$24:$F$29&lt;=$C56)*(Canals!$G$24:$G$29=_xlfn.IFS(KS56="Handysize",Main!NB56,KS56="Supramax",MU56,KS56="Panamax",MN56,KS56="NeoPanamax",MG56,KS56="Suezmax",LZ56,KS56="Capesize",LS56,KS56="VLOC",LL56)))))</f>
        <v>#N/A</v>
      </c>
      <c r="PH56" s="75" t="e">
        <f t="array" aca="1" ref="PH56" ca="1">INDEX(Canals!$AG$24:$AG$29,MATCH(2,1/((Canals!$F$24:$F$29&lt;=$C56)*(Canals!$G$24:$G$29=_xlfn.IFS(KS56="Handysize",Main!NB56,KS56="Supramax",MU56,KS56="Panamax",MN56,KS56="NeoPanamax",MG56,KS56="Suezmax",LZ56,KS56="Capesize",LS56,KS56="VLOC",LL56)))))</f>
        <v>#N/A</v>
      </c>
      <c r="PI56" s="75" t="e">
        <f t="array" aca="1" ref="PI56" ca="1">INDEX(Canals!$AH$24:$AH$29,MATCH(2,1/((Canals!$F$24:$F$29&lt;=$C56)*(Canals!$G$24:$G$29=_xlfn.IFS(KS56="Handysize",Main!NB56,KS56="Supramax",MU56,KS56="Panamax",MN56,KS56="NeoPanamax",MG56,KS56="Suezmax",LZ56,KS56="Capesize",LS56,KS56="VLOC",LL56)))))</f>
        <v>#N/A</v>
      </c>
      <c r="PJ56" s="75" t="e">
        <f t="array" aca="1" ref="PJ56" ca="1">INDEX(Canals!$AI$24:$AI$29,MATCH(2,1/((Canals!$F$24:$F$29&lt;=$C56)*(Canals!$G$24:$G$29=_xlfn.IFS(KS56="Handysize",Main!NB56,KS56="Supramax",MU56,KS56="Panamax",MN56,KS56="NeoPanamax",MG56,KS56="Suezmax",LZ56,KS56="Capesize",LS56,KS56="VLOC",LL56)))))</f>
        <v>#N/A</v>
      </c>
      <c r="PK56" s="75" t="e">
        <f t="array" aca="1" ref="PK56" ca="1">INDEX(Canals!$AJ$24:$AJ$29,MATCH(2,1/((Canals!$F$24:$F$29&lt;=$C56)*(Canals!$G$24:$G$29=_xlfn.IFS(KS56="Handysize",Main!NB56,KS56="Supramax",MU56,KS56="Panamax",MN56,KS56="NeoPanamax",MG56,KS56="Suezmax",LZ56,KS56="Capesize",LS56,KS56="VLOC",LL56)))))</f>
        <v>#N/A</v>
      </c>
      <c r="PL56" s="75" t="e">
        <f t="array" aca="1" ref="PL56" ca="1">INDEX(Canals!$AK$24:$AK$29,MATCH(2,1/((Canals!$F$24:$F$29&lt;=$C56)*(Canals!$G$24:$G$29=_xlfn.IFS(KS56="Handysize",Main!NB56,KS56="Supramax",MU56,KS56="Panamax",MN56,KS56="NeoPanamax",MG56,KS56="Suezmax",LZ56,KS56="Capesize",LS56,KS56="VLOC",LL56)))))</f>
        <v>#N/A</v>
      </c>
      <c r="PM56" s="136" t="e">
        <f t="array" aca="1" ref="PM56" ca="1">INDEX(Canals!$AL$24:$AL$29,MATCH(2,1/((Canals!$F$24:$F$29&lt;=$C56)*(Canals!$G$24:$G$29=_xlfn.IFS(KS56="Handysize",Main!NB56,KS56="Supramax",MU56,KS56="Panamax",MN56,KS56="NeoPanamax",MG56,KS56="Suezmax",LZ56,KS56="Capesize",LS56,KS56="VLOC",LL56)))))</f>
        <v>#N/A</v>
      </c>
      <c r="PN56" s="136" t="e">
        <f t="array" aca="1" ref="PN56" ca="1">INDEX(Canals!$AM$24:$AM$29,MATCH(2,1/((Canals!$F$24:$F$29&lt;=$C56)*(Canals!$G$24:$G$29=_xlfn.IFS(KS56="Handysize",Main!NB56,KS56="Supramax",MU56,KS56="Panamax",MN56,KS56="NeoPanamax",MG56,KS56="Suezmax",LZ56,KS56="Capesize",LS56,KS56="VLOC",LL56)))))</f>
        <v>#N/A</v>
      </c>
      <c r="PO56" s="136" t="e">
        <f t="array" aca="1" ref="PO56" ca="1">INDEX(Canals!$AN$24:$AN$29,MATCH(2,1/((Canals!$F$24:$F$29&lt;=$C56)*(Canals!$G$24:$G$29=_xlfn.IFS(KS56="Handysize",Main!NB56,KS56="Supramax",MU56,KS56="Panamax",MN56,KS56="NeoPanamax",MG56,KS56="Suezmax",LZ56,KS56="Capesize",LS56,KS56="VLOC",LL56)))))</f>
        <v>#N/A</v>
      </c>
      <c r="PP56" s="136" t="e">
        <f t="array" aca="1" ref="PP56" ca="1">INDEX(Canals!$AO$24:$AO$29,MATCH(2,1/((Canals!$F$24:$F$29&lt;=$C56)*(Canals!$G$24:$G$29=_xlfn.IFS(KS56="Handysize",Main!NB56,KS56="Supramax",MU56,KS56="Panamax",MN56,KS56="NeoPanamax",MG56,KS56="Suezmax",LZ56,KS56="Capesize",LS56,KS56="VLOC",LL56)))))</f>
        <v>#N/A</v>
      </c>
      <c r="PQ56" s="136" t="e">
        <f t="array" aca="1" ref="PQ56" ca="1">INDEX(Canals!$AP$24:$AP$29,MATCH(2,1/((Canals!$F$24:$F$29&lt;=$C56)*(Canals!$G$24:$G$29=_xlfn.IFS(KS56="Handysize",Main!NB56,KS56="Supramax",MU56,KS56="Panamax",MN56,KS56="NeoPanamax",MG56,KS56="Suezmax",LZ56,KS56="Capesize",LS56,KS56="VLOC",LL56)))))</f>
        <v>#N/A</v>
      </c>
      <c r="PR56" s="136" t="e">
        <f t="array" aca="1" ref="PR56" ca="1">INDEX(Canals!$AQ$24:$AQ$29,MATCH(2,1/((Canals!$F$24:$F$29&lt;=$C56)*(Canals!$G$24:$G$29=_xlfn.IFS(KS56="Handysize",Main!NB56,KS56="Supramax",MU56,KS56="Panamax",MN56,KS56="NeoPanamax",MG56,KS56="Suezmax",LZ56,KS56="Capesize",LS56,KS56="VLOC",LL56)))))</f>
        <v>#N/A</v>
      </c>
      <c r="PS56" s="136" t="e">
        <f t="array" aca="1" ref="PS56" ca="1">INDEX(Canals!$AR$24:$AR$29,MATCH(2,1/((Canals!$F$24:$F$29&lt;=$C56)*(Canals!$G$24:$G$29=_xlfn.IFS(KS56="Handysize",Main!NB56,KS56="Supramax",MU56,KS56="Panamax",MN56,KS56="NeoPanamax",MG56,KS56="Suezmax",LZ56,KS56="Capesize",LS56,KS56="VLOC",LL56)))))</f>
        <v>#N/A</v>
      </c>
      <c r="PT56" s="136" t="e">
        <f t="array" aca="1" ref="PT56" ca="1">INDEX(Canals!$AS$24:$AS$29,MATCH(2,1/((Canals!$F$24:$F$29&lt;=$C56)*(Canals!$G$24:$G$29=_xlfn.IFS(KS56="Handysize",Main!NB56,KS56="Supramax",MU56,KS56="Panamax",MN56,KS56="NeoPanamax",MG56,KS56="Suezmax",LZ56,KS56="Capesize",LS56,KS56="VLOC",LL56)))))</f>
        <v>#N/A</v>
      </c>
      <c r="PU56" s="136" t="e">
        <f t="array" aca="1" ref="PU56" ca="1">INDEX(Canals!$AT$24:$AT$29,MATCH(2,1/((Canals!$F$24:$F$29&lt;=$C56)*(Canals!$G$24:$G$29=_xlfn.IFS(KS56="Handysize",Main!NB56,KS56="Supramax",MU56,KS56="Panamax",MN56,KS56="NeoPanamax",MG56,KS56="Suezmax",LZ56,KS56="Capesize",LS56,KS56="VLOC",LL56)))))</f>
        <v>#N/A</v>
      </c>
      <c r="PV56" s="136" t="e">
        <f t="array" aca="1" ref="PV56" ca="1">INDEX(Canals!$AU$24:$AU$29,MATCH(2,1/((Canals!$F$24:$F$29&lt;=$C56)*(Canals!$G$24:$G$29=_xlfn.IFS(KS56="Handysize",Main!NB56,KS56="Supramax",MU56,KS56="Panamax",MN56,KS56="NeoPanamax",MG56,KS56="Suezmax",LZ56,KS56="Capesize",LS56,KS56="VLOC",LL56)))))</f>
        <v>#N/A</v>
      </c>
      <c r="PW56" s="136" t="e">
        <f t="array" aca="1" ref="PW56" ca="1">INDEX(Canals!$AV$24:$AV$29,MATCH(2,1/((Canals!$F$24:$F$29&lt;=$C56)*(Canals!$G$24:$G$29=_xlfn.IFS(KS56="Handysize",Main!NB56,KS56="Supramax",MU56,KS56="Panamax",MN56,KS56="NeoPanamax",MG56,KS56="Suezmax",LZ56,KS56="Capesize",LS56,KS56="VLOC",LL56)))))</f>
        <v>#N/A</v>
      </c>
      <c r="PY56" s="75" t="e">
        <f t="array" aca="1" ref="PY56" ca="1">_xlfn.IFS(OJ56="DWT",KQ56,OJ56="NRT",KU56,OJ56="GRT",KV56)</f>
        <v>#NAME?</v>
      </c>
      <c r="PZ56" s="279" t="e">
        <f ca="1">IF(PY56&gt;OK56,OK56,PY56)</f>
        <v>#NAME?</v>
      </c>
      <c r="QA56" s="280" t="e">
        <f t="shared" ca="1" si="423"/>
        <v>#NAME?</v>
      </c>
      <c r="QB56" s="280" t="e">
        <f ca="1">IF(PY56&gt;SUM(OK56:OM56),OM56,PY56-SUM(PZ56:QA56))</f>
        <v>#NAME?</v>
      </c>
      <c r="QC56" s="280" t="e">
        <f ca="1">IF(PY56&gt;SUM(OK56:ON56),ON56,PY56-SUM(PZ56:QB56))</f>
        <v>#NAME?</v>
      </c>
      <c r="QD56" s="280" t="e">
        <f ca="1">IF(PY56&gt;SUM(OK56:OO56),OO56,PY56-SUM(PZ56:QC56))</f>
        <v>#NAME?</v>
      </c>
      <c r="QE56" s="280" t="e">
        <f ca="1">IF(PY56&gt;SUM(OK56:OP56),OP56,PY56-SUM(PZ56:QD56))</f>
        <v>#NAME?</v>
      </c>
      <c r="QF56" s="280" t="e">
        <f ca="1">IF(PY56&gt;SUM(OK56:OQ56),OQ56,PY56-SUM(PZ56:QE56))</f>
        <v>#NAME?</v>
      </c>
      <c r="QG56" s="280" t="e">
        <f ca="1">IF(PY56&gt;SUM(OK56:OR56),OR56,PY56-SUM(PZ56:QF56))</f>
        <v>#NAME?</v>
      </c>
      <c r="QH56" s="280" t="e">
        <f ca="1">IF(PY56&gt;SUM(OK56:OS56),OS56,PY56-SUM(PZ56:QG56))</f>
        <v>#NAME?</v>
      </c>
      <c r="QI56" s="75">
        <f>KQ56*$JN56</f>
        <v>180000</v>
      </c>
      <c r="QJ56" s="279" t="e">
        <f ca="1">IF(QI56&gt;PD56,PD56,QI56)</f>
        <v>#N/A</v>
      </c>
      <c r="QK56" s="280" t="e">
        <f ca="1">IF(QI56&gt;SUM(PD56:PE56),PE56,QI56-SUM(QJ56:QJ56))</f>
        <v>#N/A</v>
      </c>
      <c r="QL56" s="280" t="e">
        <f ca="1">IF(QI56&gt;SUM(PD56:PF56),PF56,QI56-SUM(QJ56:QK56))</f>
        <v>#N/A</v>
      </c>
      <c r="QM56" s="280" t="e">
        <f ca="1">IF(QI56&gt;SUM(PD56:PG56),PG56,QI56-SUM(QJ56:QL56))</f>
        <v>#N/A</v>
      </c>
      <c r="QN56" s="280" t="e">
        <f ca="1">IF(QI56&gt;SUM(PD56:PH56),PH56,QI56-SUM(QJ56:QM56))</f>
        <v>#N/A</v>
      </c>
      <c r="QO56" s="280" t="e">
        <f ca="1">IF(QI56&gt;SUM(PD56:PI56),PI56,QI56-SUM(QJ56:QN56))</f>
        <v>#N/A</v>
      </c>
      <c r="QP56" s="280" t="e">
        <f ca="1">IF(QI56&gt;SUM(PD56:PJ56),PJ56,QI56-SUM(QJ56:QO56))</f>
        <v>#N/A</v>
      </c>
      <c r="QQ56" s="280" t="e">
        <f ca="1">IF(QI56&gt;SUM(PD56:PK56),PK56,QI56-SUM(QJ56:QP56))</f>
        <v>#N/A</v>
      </c>
      <c r="QR56" s="280" t="e">
        <f ca="1">IF(QI56&gt;SUM(PD56:PL56),PL56,QI56-SUM(QJ56:QQ56))</f>
        <v>#N/A</v>
      </c>
      <c r="QT56" s="75" t="e">
        <f t="array" aca="1" ref="QT56" ca="1">_xlfn.IFS(KS56="Handysize",Main!MV56,KS56="Supramax",MO56,KS56="Panamax",MH56,KS56="NeoPanamax",MA56,KS56="Suezmax",LT56,KS56="Capesize",LM56,KS56="VLOC",LF56)*$JI56</f>
        <v>#NAME?</v>
      </c>
      <c r="QU56" s="274" t="e">
        <f t="array" aca="1" ref="QU56" ca="1">_xlfn.IFS(KS56="Handysize",Main!MW56,KS56="Supramax",MP56,KS56="Panamax",MI56,KS56="NeoPanamax",MB56,KS56="Suezmax",LU56,KS56="Capesize",LN56,KS56="VLOC",LG56)*$JI56</f>
        <v>#NAME?</v>
      </c>
      <c r="QV56" s="71" t="e">
        <f t="array" aca="1" ref="QV56" ca="1">_xlfn.IFS(KS56="Handysize",Main!KX56,KS56="Supramax",KY56,KS56="Panamax",KZ56,KS56="NeoPanamax",LA56,KS56="Suezmax",LB56,KS56="Capesize",LC56,KS56="VLOC",LD56)</f>
        <v>#NAME?</v>
      </c>
      <c r="QW56" s="71" t="e">
        <f t="array" aca="1" ref="QW56" ca="1">_xlfn.IFS(KS56="Handysize",Main!NJ56,KS56="Supramax",NK56,KS56="Panamax",NL56,KS56="NeoPanamax",NM56,KS56="Suezmax",NN56,KS56="Capesize",NO56,KS56="VLOC",NP56)</f>
        <v>#NAME?</v>
      </c>
      <c r="QX56" s="70">
        <f t="array" ref="QX56">INDEX('Ship Speeds'!$G$11:$G$1011,MATCH(2,1/(('Ship Speeds'!$E$11:$E$1011&lt;=Main!$C56)*('Ship Speeds'!$F$11:$F$1011=Main!KR56))))</f>
        <v>11</v>
      </c>
      <c r="QY56" s="403">
        <f>(($KH56*QX56^2+$KI56*QX56^3+$KG56*QX56)*((KQ56/$KC56)^$KD56)*$KJ56+(KQ56/$KC56)*$KF56+$KE56)</f>
        <v>36.481674919467196</v>
      </c>
      <c r="QZ56" s="401">
        <f>(KQ56/$JY56)*$JZ56+$KA56+$KB56*(KQ56/$JY56)^2</f>
        <v>3.1716923076923083</v>
      </c>
      <c r="RA56" s="70" t="e">
        <f ca="1">QT56/QX56/$JH56</f>
        <v>#NAME?</v>
      </c>
      <c r="RB56" s="70" t="e">
        <f ca="1">QU56/QX56/$JH56</f>
        <v>#NAME?</v>
      </c>
      <c r="RC56" s="70" t="e">
        <f ca="1">IF($AO56="no",$AN56,$AR56)/(1-$AL56)/QV56</f>
        <v>#NAME?</v>
      </c>
      <c r="RD56" s="70" t="e">
        <f ca="1">IF($AO56="no",$AN56,$AR56)/(1-$AL56)/QW56</f>
        <v>#NAME?</v>
      </c>
      <c r="RE56" s="72" t="e">
        <f ca="1">PW56*$JI56</f>
        <v>#N/A</v>
      </c>
      <c r="RF56" s="70" t="e">
        <f ca="1">MAX(SUM(RA56:RE56)*$JV56,$JU56)</f>
        <v>#NAME?</v>
      </c>
      <c r="RG56" s="70" t="e">
        <f t="array" aca="1" ref="RG56" ca="1">INDEX(ND56:NH56,MATCH(_xlfn.IFS(KS56="Handysize",Main!MZ56,KS56="Supramax",MS56,KS56="Panamax",ML56,KS56="NeoPanamax",ME56,KS56="Suezmax",LX56,KS56="Capesize",LQ56,KS56="VLOC",LJ56),$ND$7:$NH$7,0))</f>
        <v>#NAME?</v>
      </c>
      <c r="RH56" s="70" t="e">
        <f t="array" aca="1" ref="RH56" ca="1">INDEX(ND56:NH56,MATCH(_xlfn.IFS(KS56="Handysize",Main!NA56,KS56="Supramax",MT56,KS56="Panamax",MM56,KS56="NeoPanamax",MF56,KS56="Suezmax",LY56,KS56="Capesize",LR56,KS56="VLOC",LK56),$ND$7:$NH$7,0))</f>
        <v>#NAME?</v>
      </c>
      <c r="RI56" s="71" t="e">
        <f ca="1">RA56*QY56*RG56</f>
        <v>#NAME?</v>
      </c>
      <c r="RJ56" s="71" t="e">
        <f ca="1">SUM(RC56:RF56)*QZ56*RH56+RB56*QY56*RH56</f>
        <v>#NAME?</v>
      </c>
      <c r="RK56" s="281">
        <f>INDEX($JA56:$JD56,MATCH(NQ56,$JA$7:$JD$7,0))</f>
        <v>7.0834199999999994</v>
      </c>
      <c r="RL56" s="71">
        <f>NR56/RK56</f>
        <v>1742.3786814843679</v>
      </c>
      <c r="RM56" s="71" t="e">
        <f ca="1">NS56*SUM(RD56,$JX56)/RK56</f>
        <v>#NAME?</v>
      </c>
      <c r="RN56" s="71" t="e">
        <f ca="1">NT56*(RF56*(1-$JW56))/RK56</f>
        <v>#NAME?</v>
      </c>
      <c r="RO56" s="71">
        <f>NU56*(KQ56*$JN56)/RK56</f>
        <v>67086.23800367619</v>
      </c>
      <c r="RP56" s="71" t="e">
        <f ca="1">NV56*(KQ56*$JN56)*SUM(RD56,$JX56)/RK56</f>
        <v>#NAME?</v>
      </c>
      <c r="RQ56" s="71" t="e">
        <f ca="1">NW56*(KQ56*$JN56)*(RF56*(1-$JW56))/RK56</f>
        <v>#NAME?</v>
      </c>
      <c r="RR56" s="71">
        <f>NX56*KU56/RK56</f>
        <v>47627.632284535313</v>
      </c>
      <c r="RS56" s="71" t="e">
        <f ca="1">NY56*KU56*SUM(RD56,$JX56)/RK56</f>
        <v>#NAME?</v>
      </c>
      <c r="RT56" s="71" t="e">
        <f ca="1">NZ56*KU56*(RF56*(1-$JW56))/RK56</f>
        <v>#NAME?</v>
      </c>
      <c r="RU56" s="71">
        <f>OA56*KV56/RK56</f>
        <v>0</v>
      </c>
      <c r="RV56" s="71" t="e">
        <f ca="1">OB56*KV56*SUM(RD56,$JX56)/RK56</f>
        <v>#NAME?</v>
      </c>
      <c r="RW56" s="71" t="e">
        <f ca="1">OC56*KV56*(RF56*(1-$JW56))/RK56</f>
        <v>#NAME?</v>
      </c>
      <c r="RX56" s="72">
        <f>OD56*KT56/RK56</f>
        <v>8539.7545905139705</v>
      </c>
      <c r="RY56" s="72" t="e">
        <f ca="1">OE56*KT56*SUM(RD56,$JX56)/RK56</f>
        <v>#NAME?</v>
      </c>
      <c r="RZ56" s="71" t="e">
        <f ca="1">OF56*KT56*(RF56*(1-$JW56))/RK56</f>
        <v>#NAME?</v>
      </c>
      <c r="SA56" s="71" t="e">
        <f t="array" aca="1" ref="SA56" ca="1">INDEX('Ship Time Charter Rates'!$H$22:$H$1021,MATCH(2,1/(('Ship Time Charter Rates'!$G$22:$G$1021=_xlfn.IFS(KS56="Handysize",Main!MX56,KS56="Supramax",MQ56,KS56="Panamax",MJ56,KS56="NeoPanamax",MC56,KS56="Suezmax",LV56,KS56="Capesize",LO56,KS56="VLOC",LH56))*('Ship Time Charter Rates'!$E$22:$E$1021&lt;=Main!$C56)*(NOT(ISBLANK('Ship Time Charter Rates'!$H$22:$H$1021))))))</f>
        <v>#N/A</v>
      </c>
      <c r="SB56" s="71" t="e">
        <f ca="1">SUM(RA56:RF56,$JI56*$JX56)*SA56</f>
        <v>#NAME?</v>
      </c>
      <c r="SC56" s="70" t="e">
        <f ca="1">SUMPRODUCT(OT56:PB56,PZ56:QH56)+SUMPRODUCT(PM56:PU56,QJ56:QR56)</f>
        <v>#N/A</v>
      </c>
      <c r="SD56" s="71" t="e">
        <f ca="1">SUM(RI56,RJ56)+SB56+SC56+SUM(RL56:RZ56)</f>
        <v>#NAME?</v>
      </c>
      <c r="SE56" s="71" t="e">
        <f ca="1">SD56*(1+$KL56)</f>
        <v>#NAME?</v>
      </c>
      <c r="SF56" s="72" t="e">
        <f ca="1">IF(SE56=0,0,SE56/(KQ56*(1-$AL56)*$JN56))</f>
        <v>#NAME?</v>
      </c>
      <c r="SH56" s="25">
        <f>IF($AO56="yes",$AN56,$AR56)/(1-$AL56)/$JN56</f>
        <v>0</v>
      </c>
      <c r="SI56" s="4" t="str">
        <f>VLOOKUP(SH56,'Ship Time Charter Rates'!$F$10:$G$17,2,TRUE)</f>
        <v>Handysize</v>
      </c>
      <c r="SJ56" s="4" t="str">
        <f>VLOOKUP(SH56,Canals!$E$5:$F$12,2,TRUE)</f>
        <v>Handysize</v>
      </c>
      <c r="SK56" s="25">
        <f>(SH56*$JO56 + $JP56)</f>
        <v>145.88999999999999</v>
      </c>
      <c r="SL56" s="25">
        <f>(SH56*$JQ56+$JR56)</f>
        <v>0</v>
      </c>
      <c r="SM56" s="25">
        <f>(SH56*$JS56+$JT56)</f>
        <v>4797</v>
      </c>
      <c r="SO56" s="75">
        <f t="array" ref="SO56">INDEX('Indices Mines Exporting Ports'!$R$20:$R$51,MATCH(2,1/(('Indices Mines Exporting Ports'!$D$20:$D$51&lt;=Main!$C56)*('Indices Mines Exporting Ports'!$Q$20:$Q$51=$AQ56))))</f>
        <v>0</v>
      </c>
      <c r="SP56" s="75">
        <f t="array" ref="SP56">INDEX('Indices Mines Exporting Ports'!$S$20:$S$51,MATCH(2,1/(('Indices Mines Exporting Ports'!$D$20:$D$51&lt;=Main!$C56)*('Indices Mines Exporting Ports'!$Q$20:$Q$51=$AQ56))))</f>
        <v>0</v>
      </c>
      <c r="SQ56" s="75">
        <f t="array" ref="SQ56">INDEX('Indices Mines Exporting Ports'!$T$20:$T$51,MATCH(2,1/(('Indices Mines Exporting Ports'!$D$20:$D$51&lt;=Main!$C56)*('Indices Mines Exporting Ports'!$Q$20:$Q$51=$AQ56))))</f>
        <v>0</v>
      </c>
      <c r="SR56" s="75">
        <f t="array" ref="SR56">INDEX('Indices Mines Exporting Ports'!$U$20:$U$51,MATCH(2,1/(('Indices Mines Exporting Ports'!$D$20:$D$51&lt;=Main!$C56)*('Indices Mines Exporting Ports'!$Q$20:$Q$51=$AQ56))))</f>
        <v>0</v>
      </c>
      <c r="SS56" s="75">
        <f t="array" ref="SS56">INDEX('Indices Mines Exporting Ports'!$V$20:$V$51,MATCH(2,1/(('Indices Mines Exporting Ports'!$D$20:$D$51&lt;=Main!$C56)*('Indices Mines Exporting Ports'!$Q$20:$Q$51=$AQ56))))</f>
        <v>0</v>
      </c>
      <c r="ST56" s="75">
        <f t="array" ref="ST56">INDEX('Indices Mines Exporting Ports'!$W$20:$W$51,MATCH(2,1/(('Indices Mines Exporting Ports'!$D$20:$D$51&lt;=Main!$C56)*('Indices Mines Exporting Ports'!$Q$20:$Q$51=$AQ56))))</f>
        <v>0</v>
      </c>
      <c r="SU56" s="75">
        <f t="array" ref="SU56">INDEX('Indices Mines Exporting Ports'!$X$20:$X$51,MATCH(2,1/(('Indices Mines Exporting Ports'!$D$20:$D$51&lt;=Main!$C56)*('Indices Mines Exporting Ports'!$Q$20:$Q$51=$AQ56))))</f>
        <v>0</v>
      </c>
      <c r="SW56" s="75">
        <f t="array" ref="SW56">INDEX('Port Linkages'!$E$18:$E$157,MATCH(2,1/(('Port Linkages'!$C$18:$C$157=$AQ56)*('Port Linkages'!$D$18:$D$157=IF($AO56="no",$AQ56,$AS56))*('Port Linkages'!$A$18:$A$157&lt;=$C56))))</f>
        <v>0</v>
      </c>
      <c r="SX56" s="75">
        <f t="array" ref="SX56">INDEX('Port Linkages'!$F$18:$F$157,MATCH(2,1/(('Port Linkages'!$C$18:$C$157=$AQ56)*('Port Linkages'!$D$18:$D$157=IF($AO56="no",$AQ56,$AS56))*('Port Linkages'!$A$18:$A$157&lt;=$C56))))</f>
        <v>0</v>
      </c>
      <c r="SY56" s="75">
        <f t="array" ref="SY56">INDEX('Port Linkages'!$G$18:$G$157,MATCH(2,1/(('Port Linkages'!$C$18:$C$157=$AQ56)*('Port Linkages'!$D$18:$D$157=IF($AO56="no",$AQ56,$AS56))*('Port Linkages'!$A$18:$A$157&lt;=$C56))))</f>
        <v>0</v>
      </c>
      <c r="SZ56" s="75">
        <f t="array" ref="SZ56">INDEX('Port Linkages'!$H$18:$H$157,MATCH(2,1/(('Port Linkages'!$C$18:$C$157=$AQ56)*('Port Linkages'!$D$18:$D$157=IF($AO56="no",$AQ56,$AS56))*('Port Linkages'!$A$18:$A$157&lt;=$C56))))</f>
        <v>0</v>
      </c>
      <c r="TA56" s="75">
        <f t="array" ref="TA56">INDEX('Port Linkages'!$I$18:$I$157,MATCH(2,1/(('Port Linkages'!$C$18:$C$157=$AQ56)*('Port Linkages'!$D$18:$D$157=IF($AO56="no",$AQ56,$AS56))*('Port Linkages'!$A$18:$A$157&lt;=$C56))))</f>
        <v>0</v>
      </c>
      <c r="TB56" s="75">
        <f t="array" ref="TB56">INDEX('Port Linkages'!$J$18:$J$157,MATCH(2,1/(('Port Linkages'!$C$18:$C$157=$AQ56)*('Port Linkages'!$D$18:$D$157=IF($AO56="no",$AQ56,$AS56))*('Port Linkages'!$A$18:$A$157&lt;=$C56))))</f>
        <v>0</v>
      </c>
      <c r="TC56" s="75">
        <f t="array" ref="TC56">INDEX('Port Linkages'!$K$18:$K$157,MATCH(2,1/(('Port Linkages'!$C$18:$C$157=$AQ56)*('Port Linkages'!$D$18:$D$157=IF($AO56="no",$AQ56,$AS56))*('Port Linkages'!$A$18:$A$157&lt;=$C56))))</f>
        <v>0</v>
      </c>
      <c r="TD56" s="75">
        <f t="array" ref="TD56">INDEX('Port Linkages'!$L$18:$L$157,MATCH(2,1/(('Port Linkages'!$C$18:$C$157=$AQ56)*('Port Linkages'!$D$18:$D$157=IF($AO56="no",$AQ56,$AS56))*('Port Linkages'!$A$18:$A$157&lt;=$C56))))</f>
        <v>0</v>
      </c>
      <c r="TE56" s="75">
        <f t="array" ref="TE56">INDEX('Port Linkages'!$M$18:$M$157,MATCH(2,1/(('Port Linkages'!$C$18:$C$157=$AQ56)*('Port Linkages'!$D$18:$D$157=IF($AO56="no",$AQ56,$AS56))*('Port Linkages'!$A$18:$A$157&lt;=$C56))))</f>
        <v>0</v>
      </c>
      <c r="TF56" s="75">
        <f t="array" ref="TF56">INDEX('Port Linkages'!$N$18:$N$157,MATCH(2,1/(('Port Linkages'!$C$18:$C$157=$AQ56)*('Port Linkages'!$D$18:$D$157=IF($AO56="no",$AQ56,$AS56))*('Port Linkages'!$A$18:$A$157&lt;=$C56))))</f>
        <v>0</v>
      </c>
      <c r="TG56" s="75">
        <f t="array" ref="TG56">INDEX('Port Linkages'!$O$18:$O$157,MATCH(2,1/(('Port Linkages'!$C$18:$C$157=$AQ56)*('Port Linkages'!$D$18:$D$157=IF($AO56="no",$AQ56,$AS56))*('Port Linkages'!$A$18:$A$157&lt;=$C56))))</f>
        <v>0</v>
      </c>
      <c r="TH56" s="75">
        <f t="array" ref="TH56">INDEX('Port Linkages'!$P$18:$P$157,MATCH(2,1/(('Port Linkages'!$C$18:$C$157=$AQ56)*('Port Linkages'!$D$18:$D$157=IF($AO56="no",$AQ56,$AS56))*('Port Linkages'!$A$18:$A$157&lt;=$C56))))</f>
        <v>0</v>
      </c>
      <c r="TI56" s="75">
        <f t="array" ref="TI56">INDEX('Port Linkages'!$Q$18:$Q$157,MATCH(2,1/(('Port Linkages'!$C$18:$C$157=$AQ56)*('Port Linkages'!$D$18:$D$157=IF($AO56="no",$AQ56,$AS56))*('Port Linkages'!$A$18:$A$157&lt;=$C56))))</f>
        <v>0</v>
      </c>
      <c r="TJ56" s="75">
        <f t="array" ref="TJ56">INDEX('Port Linkages'!$R$18:$R$157,MATCH(2,1/(('Port Linkages'!$C$18:$C$157=$AQ56)*('Port Linkages'!$D$18:$D$157=IF($AO56="no",$AQ56,$AS56))*('Port Linkages'!$A$18:$A$157&lt;=$C56))))</f>
        <v>0</v>
      </c>
      <c r="TK56" s="75">
        <f t="array" ref="TK56">INDEX('Port Linkages'!$S$18:$S$157,MATCH(2,1/(('Port Linkages'!$C$18:$C$157=$AQ56)*('Port Linkages'!$D$18:$D$157=IF($AO56="no",$AQ56,$AS56))*('Port Linkages'!$A$18:$A$157&lt;=$C56))))</f>
        <v>0</v>
      </c>
      <c r="TL56" s="75">
        <f t="array" ref="TL56">INDEX('Port Linkages'!$T$18:$T$157,MATCH(2,1/(('Port Linkages'!$C$18:$C$157=$AQ56)*('Port Linkages'!$D$18:$D$157=IF($AO56="no",$AQ56,$AS56))*('Port Linkages'!$A$18:$A$157&lt;=$C56))))</f>
        <v>0</v>
      </c>
      <c r="TM56" s="75">
        <f t="array" ref="TM56">INDEX('Port Linkages'!$U$18:$U$157,MATCH(2,1/(('Port Linkages'!$C$18:$C$157=$AQ56)*('Port Linkages'!$D$18:$D$157=IF($AO56="no",$AQ56,$AS56))*('Port Linkages'!$A$18:$A$157&lt;=$C56))))</f>
        <v>0</v>
      </c>
      <c r="TN56" s="75">
        <f t="array" ref="TN56">INDEX('Port Linkages'!$V$18:$V$157,MATCH(2,1/(('Port Linkages'!$C$18:$C$157=$AQ56)*('Port Linkages'!$D$18:$D$157=IF($AO56="no",$AQ56,$AS56))*('Port Linkages'!$A$18:$A$157&lt;=$C56))))</f>
        <v>0</v>
      </c>
      <c r="TO56" s="75">
        <f t="array" ref="TO56">INDEX('Port Linkages'!$W$18:$W$157,MATCH(2,1/(('Port Linkages'!$C$18:$C$157=$AQ56)*('Port Linkages'!$D$18:$D$157=IF($AO56="no",$AQ56,$AS56))*('Port Linkages'!$A$18:$A$157&lt;=$C56))))</f>
        <v>0</v>
      </c>
      <c r="TP56" s="75">
        <f t="array" ref="TP56">INDEX('Port Linkages'!$X$18:$X$157,MATCH(2,1/(('Port Linkages'!$C$18:$C$157=$AQ56)*('Port Linkages'!$D$18:$D$157=IF($AO56="no",$AQ56,$AS56))*('Port Linkages'!$A$18:$A$157&lt;=$C56))))</f>
        <v>0</v>
      </c>
      <c r="TQ56" s="75">
        <f t="array" ref="TQ56">INDEX('Port Linkages'!$Y$18:$Y$157,MATCH(2,1/(('Port Linkages'!$C$18:$C$157=$AQ56)*('Port Linkages'!$D$18:$D$157=IF($AO56="no",$AQ56,$AS56))*('Port Linkages'!$A$18:$A$157&lt;=$C56))))</f>
        <v>0</v>
      </c>
      <c r="TR56" s="75">
        <f t="array" ref="TR56">INDEX('Port Linkages'!$Z$18:$Z$157,MATCH(2,1/(('Port Linkages'!$C$18:$C$157=$AQ56)*('Port Linkages'!$D$18:$D$157=IF($AO56="no",$AQ56,$AS56))*('Port Linkages'!$A$18:$A$157&lt;=$C56))))</f>
        <v>0</v>
      </c>
      <c r="TS56" s="75">
        <f t="array" ref="TS56">INDEX('Port Linkages'!$AA$18:$AA$157,MATCH(2,1/(('Port Linkages'!$C$18:$C$157=$AQ56)*('Port Linkages'!$D$18:$D$157=IF($AO56="no",$AQ56,$AS56))*('Port Linkages'!$A$18:$A$157&lt;=$C56))))</f>
        <v>0</v>
      </c>
      <c r="TT56" s="75">
        <f t="array" ref="TT56">INDEX('Port Linkages'!$AB$18:$AB$157,MATCH(2,1/(('Port Linkages'!$C$18:$C$157=$AQ56)*('Port Linkages'!$D$18:$D$157=IF($AO56="no",$AQ56,$AS56))*('Port Linkages'!$A$18:$A$157&lt;=$C56))))</f>
        <v>0</v>
      </c>
      <c r="TU56" s="75">
        <f t="array" ref="TU56">INDEX('Port Linkages'!$AC$18:$AC$157,MATCH(2,1/(('Port Linkages'!$C$18:$C$157=$AQ56)*('Port Linkages'!$D$18:$D$157=IF($AO56="no",$AQ56,$AS56))*('Port Linkages'!$A$18:$A$157&lt;=$C56))))</f>
        <v>0</v>
      </c>
      <c r="TV56" s="75">
        <f t="array" ref="TV56">INDEX('Port Linkages'!$AD$18:$AD$157,MATCH(2,1/(('Port Linkages'!$C$18:$C$157=$AQ56)*('Port Linkages'!$D$18:$D$157=IF($AO56="no",$AQ56,$AS56))*('Port Linkages'!$A$18:$A$157&lt;=$C56))))</f>
        <v>0</v>
      </c>
      <c r="TW56" s="75">
        <f t="array" ref="TW56">INDEX('Port Linkages'!$AE$18:$AE$157,MATCH(2,1/(('Port Linkages'!$C$18:$C$157=$AQ56)*('Port Linkages'!$D$18:$D$157=IF($AO56="no",$AQ56,$AS56))*('Port Linkages'!$A$18:$A$157&lt;=$C56))))</f>
        <v>0</v>
      </c>
      <c r="TX56" s="75">
        <f t="array" ref="TX56">INDEX('Port Linkages'!$AF$18:$AF$157,MATCH(2,1/(('Port Linkages'!$C$18:$C$157=$AQ56)*('Port Linkages'!$D$18:$D$157=IF($AO56="no",$AQ56,$AS56))*('Port Linkages'!$A$18:$A$157&lt;=$C56))))</f>
        <v>0</v>
      </c>
      <c r="TY56" s="75">
        <f t="array" ref="TY56">INDEX('Port Linkages'!$AG$18:$AG$157,MATCH(2,1/(('Port Linkages'!$C$18:$C$157=$AQ56)*('Port Linkages'!$D$18:$D$157=IF($AO56="no",$AQ56,$AS56))*('Port Linkages'!$A$18:$A$157&lt;=$C56))))</f>
        <v>0</v>
      </c>
      <c r="TZ56" s="75">
        <f t="array" ref="TZ56">INDEX('Port Linkages'!$AH$18:$AH$157,MATCH(2,1/(('Port Linkages'!$C$18:$C$157=$AQ56)*('Port Linkages'!$D$18:$D$157=IF($AO56="no",$AQ56,$AS56))*('Port Linkages'!$A$18:$A$157&lt;=$C56))))</f>
        <v>0</v>
      </c>
      <c r="UA56" s="75">
        <f t="array" ref="UA56">INDEX('Port Linkages'!$AI$18:$AI$157,MATCH(2,1/(('Port Linkages'!$C$18:$C$157=$AQ56)*('Port Linkages'!$D$18:$D$157=IF($AO56="no",$AQ56,$AS56))*('Port Linkages'!$A$18:$A$157&lt;=$C56))))</f>
        <v>0</v>
      </c>
      <c r="UB56" s="75">
        <f t="array" ref="UB56">INDEX('Port Linkages'!$AJ$18:$AJ$157,MATCH(2,1/(('Port Linkages'!$C$18:$C$157=$AQ56)*('Port Linkages'!$D$18:$D$157=IF($AO56="no",$AQ56,$AS56))*('Port Linkages'!$A$18:$A$157&lt;=$C56))))</f>
        <v>0</v>
      </c>
      <c r="UC56" s="75">
        <f t="array" ref="UC56">INDEX('Port Linkages'!$AK$18:$AK$157,MATCH(2,1/(('Port Linkages'!$C$18:$C$157=$AQ56)*('Port Linkages'!$D$18:$D$157=IF($AO56="no",$AQ56,$AS56))*('Port Linkages'!$A$18:$A$157&lt;=$C56))))</f>
        <v>0</v>
      </c>
      <c r="UD56" s="75">
        <f t="array" ref="UD56">INDEX('Port Linkages'!$AL$18:$AL$157,MATCH(2,1/(('Port Linkages'!$C$18:$C$157=$AQ56)*('Port Linkages'!$D$18:$D$157=IF($AO56="no",$AQ56,$AS56))*('Port Linkages'!$A$18:$A$157&lt;=$C56))))</f>
        <v>0</v>
      </c>
      <c r="UE56" s="75">
        <f t="array" ref="UE56">INDEX('Port Linkages'!$AM$18:$AM$157,MATCH(2,1/(('Port Linkages'!$C$18:$C$157=$AQ56)*('Port Linkages'!$D$18:$D$157=IF($AO56="no",$AQ56,$AS56))*('Port Linkages'!$A$18:$A$157&lt;=$C56))))</f>
        <v>0</v>
      </c>
      <c r="UF56" s="75">
        <f t="array" ref="UF56">INDEX('Port Linkages'!$AN$18:$AN$157,MATCH(2,1/(('Port Linkages'!$C$18:$C$157=$AQ56)*('Port Linkages'!$D$18:$D$157=IF($AO56="no",$AQ56,$AS56))*('Port Linkages'!$A$18:$A$157&lt;=$C56))))</f>
        <v>0</v>
      </c>
      <c r="UG56" s="75">
        <f t="array" ref="UG56">INDEX('Port Linkages'!$AO$18:$AO$157,MATCH(2,1/(('Port Linkages'!$C$18:$C$157=$AQ56)*('Port Linkages'!$D$18:$D$157=IF($AO56="no",$AQ56,$AS56))*('Port Linkages'!$A$18:$A$157&lt;=$C56))))</f>
        <v>0</v>
      </c>
      <c r="UH56" s="75">
        <f t="array" ref="UH56">INDEX('Port Linkages'!$AP$18:$AP$157,MATCH(2,1/(('Port Linkages'!$C$18:$C$157=$AQ56)*('Port Linkages'!$D$18:$D$157=IF($AO56="no",$AQ56,$AS56))*('Port Linkages'!$A$18:$A$157&lt;=$C56))))</f>
        <v>0</v>
      </c>
      <c r="UI56" s="75">
        <f t="array" ref="UI56">INDEX('Port Linkages'!$AQ$18:$AQ$157,MATCH(2,1/(('Port Linkages'!$C$18:$C$157=$AQ56)*('Port Linkages'!$D$18:$D$157=IF($AO56="no",$AQ56,$AS56))*('Port Linkages'!$A$18:$A$157&lt;=$C56))))</f>
        <v>0</v>
      </c>
      <c r="UJ56" s="75">
        <f t="array" ref="UJ56">INDEX('Port Linkages'!$AR$18:$AR$157,MATCH(2,1/(('Port Linkages'!$C$18:$C$157=$AQ56)*('Port Linkages'!$D$18:$D$157=IF($AO56="no",$AQ56,$AS56))*('Port Linkages'!$A$18:$A$157&lt;=$C56))))</f>
        <v>0</v>
      </c>
      <c r="UK56" s="75">
        <f t="array" ref="UK56">INDEX('Port Linkages'!$AS$18:$AS$157,MATCH(2,1/(('Port Linkages'!$C$18:$C$157=$AQ56)*('Port Linkages'!$D$18:$D$157=IF($AO56="no",$AQ56,$AS56))*('Port Linkages'!$A$18:$A$157&lt;=$C56))))</f>
        <v>0</v>
      </c>
      <c r="UL56" s="75">
        <f t="array" ref="UL56">INDEX('Port Linkages'!$AT$18:$AT$157,MATCH(2,1/(('Port Linkages'!$C$18:$C$157=$AQ56)*('Port Linkages'!$D$18:$D$157=IF($AO56="no",$AQ56,$AS56))*('Port Linkages'!$A$18:$A$157&lt;=$C56))))</f>
        <v>0</v>
      </c>
      <c r="UM56" s="75">
        <f t="array" ref="UM56">INDEX('Port Linkages'!$AU$18:$AU$157,MATCH(2,1/(('Port Linkages'!$C$18:$C$157=$AQ56)*('Port Linkages'!$D$18:$D$157=IF($AO56="no",$AQ56,$AS56))*('Port Linkages'!$A$18:$A$157&lt;=$C56))))</f>
        <v>0</v>
      </c>
      <c r="UN56" s="75">
        <f t="array" ref="UN56">INDEX('Port Linkages'!$AV$18:$AV$157,MATCH(2,1/(('Port Linkages'!$C$18:$C$157=$AQ56)*('Port Linkages'!$D$18:$D$157=IF($AO56="no",$AQ56,$AS56))*('Port Linkages'!$A$18:$A$157&lt;=$C56))))</f>
        <v>0</v>
      </c>
      <c r="UO56" s="75">
        <f t="array" ref="UO56">INDEX('Port Linkages'!$AW$18:$AW$157,MATCH(2,1/(('Port Linkages'!$C$18:$C$157=$AQ56)*('Port Linkages'!$D$18:$D$157=IF($AO56="no",$AQ56,$AS56))*('Port Linkages'!$A$18:$A$157&lt;=$C56))))</f>
        <v>0</v>
      </c>
      <c r="UP56" s="75">
        <f t="array" ref="UP56">INDEX('Port Linkages'!$AX$18:$AX$157,MATCH(2,1/(('Port Linkages'!$C$18:$C$157=$AQ56)*('Port Linkages'!$D$18:$D$157=IF($AO56="no",$AQ56,$AS56))*('Port Linkages'!$A$18:$A$157&lt;=$C56))))</f>
        <v>0</v>
      </c>
      <c r="UQ56" s="75">
        <f t="array" ref="UQ56">INDEX('Port Linkages'!$AY$18:$AY$157,MATCH(2,1/(('Port Linkages'!$C$18:$C$157=$AQ56)*('Port Linkages'!$D$18:$D$157=IF($AO56="no",$AQ56,$AS56))*('Port Linkages'!$A$18:$A$157&lt;=$C56))))</f>
        <v>0</v>
      </c>
      <c r="UR56" s="75">
        <f t="array" ref="UR56">INDEX('Port Linkages'!$AZ$18:$AZ$157,MATCH(2,1/(('Port Linkages'!$C$18:$C$157=$AQ56)*('Port Linkages'!$D$18:$D$157=IF($AO56="no",$AQ56,$AS56))*('Port Linkages'!$A$18:$A$157&lt;=$C56))))</f>
        <v>0</v>
      </c>
      <c r="US56" s="75">
        <f t="array" ref="US56">INDEX('Port Linkages'!$BA$18:$BA$157,MATCH(2,1/(('Port Linkages'!$C$18:$C$157=$AQ56)*('Port Linkages'!$D$18:$D$157=IF($AO56="no",$AQ56,$AS56))*('Port Linkages'!$A$18:$A$157&lt;=$C56))))</f>
        <v>0</v>
      </c>
      <c r="UU56" s="25" t="e">
        <f t="array" aca="1" ref="UU56" ca="1">INDEX('Ship Fuel Prices'!$F$5:$F$1004,MATCH(2,1/(('Ship Fuel Prices'!$E$5:$E$1004=_xlfn.IFS(SJ56="Handysize",Main!UP56,SJ56="Supramax",UI56,SJ56="Panamax",UB56,SJ56="NeoPanamax",TU56,SJ56="Suezmax",TN56,SJ56="Capesize",TG56,SJ56="VLOC",SZ56))*('Ship Fuel Prices'!$D$5:$D$1004&lt;=Main!$C56))))</f>
        <v>#N/A</v>
      </c>
      <c r="UV56" s="25" t="e">
        <f t="array" aca="1" ref="UV56" ca="1">INDEX('Ship Fuel Prices'!$G$5:$G$1004,MATCH(2,1/(('Ship Fuel Prices'!$E$5:$E$1004=_xlfn.IFS(SJ56="Handysize",Main!UP56,SJ56="Supramax",UI56,SJ56="Panamax",UB56,SJ56="NeoPanamax",TU56,SJ56="Suezmax",TN56,SJ56="Capesize",TG56,SJ56="VLOC",SZ56))*('Ship Fuel Prices'!$D$5:$D$1004&lt;=Main!$C56))))</f>
        <v>#N/A</v>
      </c>
      <c r="UW56" s="25" t="e">
        <f t="array" aca="1" ref="UW56" ca="1">INDEX('Ship Fuel Prices'!$H$5:$H$1004,MATCH(2,1/(('Ship Fuel Prices'!$E$5:$E$1004=_xlfn.IFS(SJ56="Handysize",Main!UP56,SJ56="Supramax",UI56,SJ56="Panamax",UB56,SJ56="NeoPanamax",TU56,SJ56="Suezmax",TN56,SJ56="Capesize",TG56,SJ56="VLOC",SZ56))*('Ship Fuel Prices'!$D$5:$D$1004&lt;=Main!$C56))))</f>
        <v>#N/A</v>
      </c>
      <c r="UX56" s="25" t="e">
        <f t="array" aca="1" ref="UX56" ca="1">INDEX('Ship Fuel Prices'!$I$5:$I$1004,MATCH(2,1/(('Ship Fuel Prices'!$E$5:$E$1004=_xlfn.IFS(SJ56="Handysize",Main!UP56,SJ56="Supramax",UI56,SJ56="Panamax",UB56,SJ56="NeoPanamax",TU56,SJ56="Suezmax",TN56,SJ56="Capesize",TG56,SJ56="VLOC",SZ56))*('Ship Fuel Prices'!$D$5:$D$1004&lt;=Main!$C56))))</f>
        <v>#N/A</v>
      </c>
      <c r="UY56" s="25" t="e">
        <f t="array" aca="1" ref="UY56" ca="1">INDEX('Ship Fuel Prices'!$J$5:$J$1004,MATCH(2,1/(('Ship Fuel Prices'!$E$5:$E$1004=_xlfn.IFS(SJ56="Handysize",Main!UP56,SJ56="Supramax",UI56,SJ56="Panamax",UB56,SJ56="NeoPanamax",TU56,SJ56="Suezmax",TN56,SJ56="Capesize",TG56,SJ56="VLOC",SZ56))*('Ship Fuel Prices'!$D$5:$D$1004&lt;=Main!$C56))))</f>
        <v>#N/A</v>
      </c>
      <c r="VA56" s="75">
        <f t="array" ref="VA56">INDEX('China n Importing Ports'!$E$20:$E$41,MATCH(2,1/(('China n Importing Ports'!$D$20:$D$41&lt;=$C56)*('China n Importing Ports'!$C$20:$C$41=IF($AO56="No",$AQ56,$AS56)))))</f>
        <v>0</v>
      </c>
      <c r="VB56" s="75">
        <f t="array" ref="VB56">INDEX('China n Importing Ports'!$F$20:$F$41,MATCH(2,1/(('China n Importing Ports'!$D$20:$D$41&lt;=$C56)*('China n Importing Ports'!$C$20:$C$41=IF($AO56="No",$AQ56,$AS56)))))</f>
        <v>0</v>
      </c>
      <c r="VC56" s="75">
        <f t="array" ref="VC56">INDEX('China n Importing Ports'!$G$20:$G$41,MATCH(2,1/(('China n Importing Ports'!$D$20:$D$41&lt;=$C56)*('China n Importing Ports'!$C$20:$C$41=IF($AO56="No",$AQ56,$AS56)))))</f>
        <v>0</v>
      </c>
      <c r="VD56" s="75">
        <f t="array" ref="VD56">INDEX('China n Importing Ports'!$H$20:$H$41,MATCH(2,1/(('China n Importing Ports'!$D$20:$D$41&lt;=$C56)*('China n Importing Ports'!$C$20:$C$41=IF($AO56="No",$AQ56,$AS56)))))</f>
        <v>0</v>
      </c>
      <c r="VE56" s="75">
        <f t="array" ref="VE56">INDEX('China n Importing Ports'!$I$20:$I$41,MATCH(2,1/(('China n Importing Ports'!$D$20:$D$41&lt;=$C56)*('China n Importing Ports'!$C$20:$C$41=IF($AO56="No",$AQ56,$AS56)))))</f>
        <v>0</v>
      </c>
      <c r="VF56" s="75">
        <f t="array" ref="VF56">INDEX('China n Importing Ports'!$J$20:$J$41,MATCH(2,1/(('China n Importing Ports'!$D$20:$D$41&lt;=$C56)*('China n Importing Ports'!$C$20:$C$41=IF($AO56="No",$AQ56,$AS56)))))</f>
        <v>0</v>
      </c>
      <c r="VG56" s="75">
        <f t="array" ref="VG56">INDEX('China n Importing Ports'!$K$20:$K$41,MATCH(2,1/(('China n Importing Ports'!$D$20:$D$41&lt;=$C56)*('China n Importing Ports'!$C$20:$C$41=IF($AO56="No",$AQ56,$AS56)))))</f>
        <v>0</v>
      </c>
      <c r="VH56" s="75">
        <f t="array" ref="VH56">INDEX('China n Importing Ports'!$L$20:$L$41,MATCH(2,1/(('China n Importing Ports'!$D$20:$D$41&lt;=$C56)*('China n Importing Ports'!$C$20:$C$41=IF($AO56="No",$AQ56,$AS56)))))</f>
        <v>0</v>
      </c>
      <c r="VI56" s="75">
        <f t="array" ref="VI56">INDEX('China n Importing Ports'!$M$20:$M$41,MATCH(2,1/(('China n Importing Ports'!$D$20:$D$41&lt;=$C56)*('China n Importing Ports'!$C$20:$C$41=IF($AO56="No",$AQ56,$AS56)))))</f>
        <v>0</v>
      </c>
      <c r="VJ56" s="75">
        <f t="array" ref="VJ56">INDEX('China n Importing Ports'!$N$20:$N$41,MATCH(2,1/(('China n Importing Ports'!$D$20:$D$41&lt;=$C56)*('China n Importing Ports'!$C$20:$C$41=IF($AO56="No",$AQ56,$AS56)))))</f>
        <v>0</v>
      </c>
      <c r="VK56" s="75">
        <f t="array" ref="VK56">INDEX('China n Importing Ports'!$O$20:$O$41,MATCH(2,1/(('China n Importing Ports'!$D$20:$D$41&lt;=$C56)*('China n Importing Ports'!$C$20:$C$41=IF($AO56="No",$AQ56,$AS56)))))</f>
        <v>0</v>
      </c>
      <c r="VL56" s="136">
        <f t="array" ref="VL56">INDEX('China n Importing Ports'!$P$20:$P$41,MATCH(2,1/(('China n Importing Ports'!$D$20:$D$41&lt;=$C56)*('China n Importing Ports'!$C$20:$C$41=IF($AO56="No",$AQ56,$AS56)))))</f>
        <v>0</v>
      </c>
      <c r="VM56" s="136">
        <f t="array" ref="VM56">INDEX('China n Importing Ports'!$Q$20:$Q$41,MATCH(2,1/(('China n Importing Ports'!$D$20:$D$41&lt;=$C56)*('China n Importing Ports'!$C$20:$C$41=IF($AO56="No",$AQ56,$AS56)))))</f>
        <v>0</v>
      </c>
      <c r="VN56" s="136">
        <f t="array" ref="VN56">INDEX('China n Importing Ports'!$R$20:$R$41,MATCH(2,1/(('China n Importing Ports'!$D$20:$D$41&lt;=$C56)*('China n Importing Ports'!$C$20:$C$41=IF($AO56="No",$AQ56,$AS56)))))</f>
        <v>0</v>
      </c>
      <c r="VO56" s="136">
        <f t="array" ref="VO56">INDEX('China n Importing Ports'!$S$20:$S$41,MATCH(2,1/(('China n Importing Ports'!$D$20:$D$41&lt;=$C56)*('China n Importing Ports'!$C$20:$C$41=IF($AO56="No",$AQ56,$AS56)))))</f>
        <v>0</v>
      </c>
      <c r="VP56" s="136">
        <f t="array" ref="VP56">INDEX('China n Importing Ports'!$T$20:$T$41,MATCH(2,1/(('China n Importing Ports'!$D$20:$D$41&lt;=$C56)*('China n Importing Ports'!$C$20:$C$41=IF($AO56="No",$AQ56,$AS56)))))</f>
        <v>0</v>
      </c>
      <c r="VQ56" s="136">
        <f t="array" ref="VQ56">INDEX('China n Importing Ports'!$U$20:$U$41,MATCH(2,1/(('China n Importing Ports'!$D$20:$D$41&lt;=$C56)*('China n Importing Ports'!$C$20:$C$41=IF($AO56="No",$AQ56,$AS56)))))</f>
        <v>0</v>
      </c>
      <c r="VR56" s="136">
        <f t="array" ref="VR56">INDEX('China n Importing Ports'!$V$20:$V$41,MATCH(2,1/(('China n Importing Ports'!$D$20:$D$41&lt;=$C56)*('China n Importing Ports'!$C$20:$C$41=IF($AO56="No",$AQ56,$AS56)))))</f>
        <v>0</v>
      </c>
      <c r="VS56" s="136">
        <f t="array" ref="VS56">INDEX('China n Importing Ports'!$W$20:$W$41,MATCH(2,1/(('China n Importing Ports'!$D$20:$D$41&lt;=$C56)*('China n Importing Ports'!$C$20:$C$41=IF($AO56="No",$AQ56,$AS56)))))</f>
        <v>0</v>
      </c>
      <c r="VT56" s="136">
        <f t="array" ref="VT56">INDEX('China n Importing Ports'!$X$20:$X$41,MATCH(2,1/(('China n Importing Ports'!$D$20:$D$41&lt;=$C56)*('China n Importing Ports'!$C$20:$C$41=IF($AO56="No",$AQ56,$AS56)))))</f>
        <v>0</v>
      </c>
      <c r="VU56" s="136">
        <f t="array" ref="VU56">INDEX('China n Importing Ports'!$Y$20:$Y$41,MATCH(2,1/(('China n Importing Ports'!$D$20:$D$41&lt;=$C56)*('China n Importing Ports'!$C$20:$C$41=IF($AO56="No",$AQ56,$AS56)))))</f>
        <v>0</v>
      </c>
      <c r="VV56" s="136">
        <f t="array" ref="VV56">INDEX('China n Importing Ports'!$Z$20:$Z$41,MATCH(2,1/(('China n Importing Ports'!$D$20:$D$41&lt;=$C56)*('China n Importing Ports'!$C$20:$C$41=IF($AO56="No",$AQ56,$AS56)))))</f>
        <v>0</v>
      </c>
      <c r="VW56" s="136">
        <f t="array" ref="VW56">INDEX('China n Importing Ports'!$AA$20:$AA$41,MATCH(2,1/(('China n Importing Ports'!$D$20:$D$41&lt;=$C56)*('China n Importing Ports'!$C$20:$C$41=IF($AO56="No",$AQ56,$AS56)))))</f>
        <v>0</v>
      </c>
      <c r="VY56" s="75" t="e">
        <f t="array" aca="1" ref="VY56" ca="1">INDEX(Canals!$G$24:$G$29,MATCH(2,1/((Canals!$F$24:$F$29&lt;=$C56)*(Canals!$G$24:$G$29=_xlfn.IFS(SJ56="Handysize",US56,SJ56="Supramax",UL56,SJ56="Panamax",UE56,SJ56="NeoPanamax",TX56,SJ56="Suezmax",TQ56,SJ56="Capesize",TJ56,SJ56="VLOC",TC56)))))</f>
        <v>#N/A</v>
      </c>
      <c r="VZ56" s="75" t="e">
        <f t="array" aca="1" ref="VZ56" ca="1">INDEX(Canals!$H$24:$H$29,MATCH(2,1/((Canals!$F$24:$F$29&lt;=$C56)*(Canals!$G$24:$G$29=_xlfn.IFS(SJ56="Handysize",US56,SJ56="Supramax",UL56,SJ56="Panamax",UE56,SJ56="NeoPanamax",TX56,SJ56="Suezmax",TQ56,SJ56="Capesize",TJ56,SJ56="VLOC",TC56)))))</f>
        <v>#N/A</v>
      </c>
      <c r="WA56" s="75" t="e">
        <f t="array" aca="1" ref="WA56" ca="1">INDEX(Canals!$I$24:$I$29,MATCH(2,1/((Canals!$F$24:$F$29&lt;=$C56)*(Canals!$G$24:$G$29=_xlfn.IFS(SJ56="Handysize",US56,SJ56="Supramax",UL56,SJ56="Panamax",UE56,SJ56="NeoPanamax",TX56,SJ56="Suezmax",TQ56,SJ56="Capesize",TJ56,SJ56="VLOC",TC56)))))</f>
        <v>#N/A</v>
      </c>
      <c r="WB56" s="75" t="e">
        <f t="array" aca="1" ref="WB56" ca="1">INDEX(Canals!$J$24:$J$29,MATCH(2,1/((Canals!$F$24:$F$29&lt;=$C56)*(Canals!$G$24:$G$29=_xlfn.IFS(SJ56="Handysize",Main!US56,SJ56="Supramax",UL56,SJ56="Panamax",UE56,SJ56="NeoPanamax",TX56,SJ56="Suezmax",TQ56,SJ56="Capesize",TJ56,SJ56="VLOC",TC56)))))</f>
        <v>#N/A</v>
      </c>
      <c r="WC56" s="75" t="e">
        <f t="array" aca="1" ref="WC56" ca="1">INDEX(Canals!$K$24:$K$29,MATCH(2,1/((Canals!$F$24:$F$29&lt;=$C56)*(Canals!$G$24:$G$29=_xlfn.IFS(SJ56="Handysize",Main!US56,SJ56="Supramax",UL56,SJ56="Panamax",UE56,SJ56="NeoPanamax",TX56,SJ56="Suezmax",TQ56,SJ56="Capesize",TJ56,SJ56="VLOC",TC56)))))</f>
        <v>#N/A</v>
      </c>
      <c r="WD56" s="75" t="e">
        <f t="array" aca="1" ref="WD56" ca="1">INDEX(Canals!$L$24:$L$29,MATCH(2,1/((Canals!$F$24:$F$29&lt;=$C56)*(Canals!$G$24:$G$29=_xlfn.IFS(SJ56="Handysize",Main!US56,SJ56="Supramax",UL56,SJ56="Panamax",UE56,SJ56="NeoPanamax",TX56,SJ56="Suezmax",TQ56,SJ56="Capesize",TJ56,SJ56="VLOC",TC56)))))</f>
        <v>#N/A</v>
      </c>
      <c r="WE56" s="75" t="e">
        <f t="array" aca="1" ref="WE56" ca="1">INDEX(Canals!$M$24:$M$29,MATCH(2,1/((Canals!$F$24:$F$29&lt;=$C56)*(Canals!$G$24:$G$29=_xlfn.IFS(SJ56="Handysize",Main!US56,SJ56="Supramax",UL56,SJ56="Panamax",UE56,SJ56="NeoPanamax",TX56,SJ56="Suezmax",TQ56,SJ56="Capesize",TJ56,SJ56="VLOC",TC56)))))</f>
        <v>#N/A</v>
      </c>
      <c r="WF56" s="75" t="e">
        <f t="array" aca="1" ref="WF56" ca="1">INDEX(Canals!$N$24:$N$29,MATCH(2,1/((Canals!$F$24:$F$29&lt;=$C56)*(Canals!$G$24:$G$29=_xlfn.IFS(SJ56="Handysize",Main!US56,SJ56="Supramax",UL56,SJ56="Panamax",UE56,SJ56="NeoPanamax",TX56,SJ56="Suezmax",TQ56,SJ56="Capesize",TJ56,SJ56="VLOC",TC56)))))</f>
        <v>#N/A</v>
      </c>
      <c r="WG56" s="75" t="e">
        <f t="array" aca="1" ref="WG56" ca="1">INDEX(Canals!$O$24:$O$29,MATCH(2,1/((Canals!$F$24:$F$29&lt;=$C56)*(Canals!$G$24:$G$29=_xlfn.IFS(SJ56="Handysize",Main!US56,SJ56="Supramax",UL56,SJ56="Panamax",UE56,SJ56="NeoPanamax",TX56,SJ56="Suezmax",TQ56,SJ56="Capesize",TJ56,SJ56="VLOC",TC56)))))</f>
        <v>#N/A</v>
      </c>
      <c r="WH56" s="75" t="e">
        <f t="array" aca="1" ref="WH56" ca="1">INDEX(Canals!$P$24:$P$29,MATCH(2,1/((Canals!$F$24:$F$29&lt;=$C56)*(Canals!$G$24:$G$29=_xlfn.IFS(SJ56="Handysize",Main!US56,SJ56="Supramax",UL56,SJ56="Panamax",UE56,SJ56="NeoPanamax",TX56,SJ56="Suezmax",TQ56,SJ56="Capesize",TJ56,SJ56="VLOC",TC56)))))</f>
        <v>#N/A</v>
      </c>
      <c r="WI56" s="75" t="e">
        <f t="array" aca="1" ref="WI56" ca="1">INDEX(Canals!$Q$24:$Q$29,MATCH(2,1/((Canals!$F$24:$F$29&lt;=$C56)*(Canals!$G$24:$G$29=_xlfn.IFS(SJ56="Handysize",Main!US56,SJ56="Supramax",UL56,SJ56="Panamax",UE56,SJ56="NeoPanamax",TX56,SJ56="Suezmax",TQ56,SJ56="Capesize",TJ56,SJ56="VLOC",TC56)))))</f>
        <v>#N/A</v>
      </c>
      <c r="WJ56" s="75" t="e">
        <f t="array" aca="1" ref="WJ56" ca="1">INDEX(Canals!$R$24:$R$29,MATCH(2,1/((Canals!$F$24:$F$29&lt;=$C56)*(Canals!$G$24:$G$29=_xlfn.IFS(SJ56="Handysize",Main!US56,SJ56="Supramax",UL56,SJ56="Panamax",UE56,SJ56="NeoPanamax",TX56,SJ56="Suezmax",TQ56,SJ56="Capesize",TJ56,SJ56="VLOC",TC56)))))</f>
        <v>#N/A</v>
      </c>
      <c r="WK56" s="136" t="e">
        <f t="array" aca="1" ref="WK56" ca="1">INDEX(Canals!$S$24:$S$29,MATCH(2,1/((Canals!$F$24:$F$29&lt;=$C56)*(Canals!$G$24:$G$29=_xlfn.IFS(SJ56="Handysize",Main!US56,SJ56="Supramax",UL56,SJ56="Panamax",UE56,SJ56="NeoPanamax",TX56,SJ56="Suezmax",TQ56,SJ56="Capesize",TJ56,SJ56="VLOC",TC56)))))</f>
        <v>#N/A</v>
      </c>
      <c r="WL56" s="136" t="e">
        <f t="array" aca="1" ref="WL56" ca="1">INDEX(Canals!$T$24:$T$29,MATCH(2,1/((Canals!$F$24:$F$29&lt;=$C56)*(Canals!$G$24:$G$29=_xlfn.IFS(SJ56="Handysize",Main!US56,SJ56="Supramax",UL56,SJ56="Panamax",UE56,SJ56="NeoPanamax",TX56,SJ56="Suezmax",TQ56,SJ56="Capesize",TJ56,SJ56="VLOC",TC56)))))</f>
        <v>#N/A</v>
      </c>
      <c r="WM56" s="136" t="e">
        <f t="array" aca="1" ref="WM56" ca="1">INDEX(Canals!$U$24:$U$29,MATCH(2,1/((Canals!$F$24:$F$29&lt;=$C56)*(Canals!$G$24:$G$29=_xlfn.IFS(SJ56="Handysize",Main!US56,SJ56="Supramax",UL56,SJ56="Panamax",UE56,SJ56="NeoPanamax",TX56,SJ56="Suezmax",TQ56,SJ56="Capesize",TJ56,SJ56="VLOC",TC56)))))</f>
        <v>#N/A</v>
      </c>
      <c r="WN56" s="136" t="e">
        <f t="array" aca="1" ref="WN56" ca="1">INDEX(Canals!$V$24:$V$29,MATCH(2,1/((Canals!$F$24:$F$29&lt;=$C56)*(Canals!$G$24:$G$29=_xlfn.IFS(SJ56="Handysize",Main!US56,SJ56="Supramax",UL56,SJ56="Panamax",UE56,SJ56="NeoPanamax",TX56,SJ56="Suezmax",TQ56,SJ56="Capesize",TJ56,SJ56="VLOC",TC56)))))</f>
        <v>#N/A</v>
      </c>
      <c r="WO56" s="136" t="e">
        <f t="array" aca="1" ref="WO56" ca="1">INDEX(Canals!$W$24:$W$29,MATCH(2,1/((Canals!$F$24:$F$29&lt;=$C56)*(Canals!$G$24:$G$29=_xlfn.IFS(SJ56="Handysize",Main!US56,SJ56="Supramax",UL56,SJ56="Panamax",UE56,SJ56="NeoPanamax",TX56,SJ56="Suezmax",TQ56,SJ56="Capesize",TJ56,SJ56="VLOC",TC56)))))</f>
        <v>#N/A</v>
      </c>
      <c r="WP56" s="136" t="e">
        <f t="array" aca="1" ref="WP56" ca="1">INDEX(Canals!$X$24:$X$29,MATCH(2,1/((Canals!$F$24:$F$29&lt;=$C56)*(Canals!$G$24:$G$29=_xlfn.IFS(SJ56="Handysize",Main!US56,SJ56="Supramax",UL56,SJ56="Panamax",UE56,SJ56="NeoPanamax",TX56,SJ56="Suezmax",TQ56,SJ56="Capesize",TJ56,SJ56="VLOC",TC56)))))</f>
        <v>#N/A</v>
      </c>
      <c r="WQ56" s="136" t="e">
        <f t="array" aca="1" ref="WQ56" ca="1">INDEX(Canals!$Y$24:$Y$29,MATCH(2,1/((Canals!$F$24:$F$29&lt;=$C56)*(Canals!$G$24:$G$29=_xlfn.IFS(SJ56="Handysize",Main!US56,SJ56="Supramax",UL56,SJ56="Panamax",UE56,SJ56="NeoPanamax",TX56,SJ56="Suezmax",TQ56,SJ56="Capesize",TJ56,SJ56="VLOC",TC56)))))</f>
        <v>#N/A</v>
      </c>
      <c r="WR56" s="136" t="e">
        <f t="array" aca="1" ref="WR56" ca="1">INDEX(Canals!$Z$24:$Z$29,MATCH(2,1/((Canals!$F$24:$F$29&lt;=$C56)*(Canals!$G$24:$G$29=_xlfn.IFS(SJ56="Handysize",Main!US56,SJ56="Supramax",UL56,SJ56="Panamax",UE56,SJ56="NeoPanamax",TX56,SJ56="Suezmax",TQ56,SJ56="Capesize",TJ56,SJ56="VLOC",TC56)))))</f>
        <v>#N/A</v>
      </c>
      <c r="WS56" s="136" t="e">
        <f t="array" aca="1" ref="WS56" ca="1">INDEX(Canals!$AA$24:$AA$29,MATCH(2,1/((Canals!$F$24:$F$29&lt;=$C56)*(Canals!$G$24:$G$29=_xlfn.IFS(SJ56="Handysize",Main!US56,SJ56="Supramax",UL56,SJ56="Panamax",UE56,SJ56="NeoPanamax",TX56,SJ56="Suezmax",TQ56,SJ56="Capesize",TJ56,SJ56="VLOC",TC56)))))</f>
        <v>#N/A</v>
      </c>
      <c r="WT56" s="136" t="e">
        <f t="array" aca="1" ref="WT56" ca="1">INDEX(Canals!$AB$24:$AB$29,MATCH(2,1/((Canals!$F$24:$F$29&lt;=$C56)*(Canals!$G$24:$G$29=_xlfn.IFS(SJ56="Handysize",Main!US56,SJ56="Supramax",UL56,SJ56="Panamax",UE56,SJ56="NeoPanamax",TX56,SJ56="Suezmax",TQ56,SJ56="Capesize",TJ56,SJ56="VLOC",TC56)))))</f>
        <v>#N/A</v>
      </c>
      <c r="WU56" s="75" t="e">
        <f t="array" aca="1" ref="WU56" ca="1">INDEX(Canals!$AC$24:$AC$29,MATCH(2,1/((Canals!$F$24:$F$29&lt;=$C56)*(Canals!$G$24:$G$29=_xlfn.IFS(SJ56="Handysize",Main!US56,SJ56="Supramax",UL56,SJ56="Panamax",UE56,SJ56="NeoPanamax",TX56,SJ56="Suezmax",TQ56,SJ56="Capesize",TJ56,SJ56="VLOC",TC56)))))</f>
        <v>#N/A</v>
      </c>
      <c r="WV56" s="75" t="e">
        <f t="array" aca="1" ref="WV56" ca="1">INDEX(Canals!$AD$24:$AD$29,MATCH(2,1/((Canals!$F$24:$F$29&lt;=$C56)*(Canals!$G$24:$G$29=_xlfn.IFS(SJ56="Handysize",Main!US56,SJ56="Supramax",UL56,SJ56="Panamax",UE56,SJ56="NeoPanamax",TX56,SJ56="Suezmax",TQ56,SJ56="Capesize",TJ56,SJ56="VLOC",TC56)))))</f>
        <v>#N/A</v>
      </c>
      <c r="WW56" s="75" t="e">
        <f t="array" aca="1" ref="WW56" ca="1">INDEX(Canals!$AE$24:$AE$29,MATCH(2,1/((Canals!$F$24:$F$29&lt;=$C56)*(Canals!$G$24:$G$29=_xlfn.IFS(SJ56="Handysize",Main!US56,SJ56="Supramax",UL56,SJ56="Panamax",UE56,SJ56="NeoPanamax",TX56,SJ56="Suezmax",TQ56,SJ56="Capesize",TJ56,SJ56="VLOC",TC56)))))</f>
        <v>#N/A</v>
      </c>
      <c r="WX56" s="75" t="e">
        <f t="array" aca="1" ref="WX56" ca="1">INDEX(Canals!$AF$24:$AF$29,MATCH(2,1/((Canals!$F$24:$F$29&lt;=$C56)*(Canals!$G$24:$G$29=_xlfn.IFS(SJ56="Handysize",Main!US56,SJ56="Supramax",UL56,SJ56="Panamax",UE56,SJ56="NeoPanamax",TX56,SJ56="Suezmax",TQ56,SJ56="Capesize",TJ56,SJ56="VLOC",TC56)))))</f>
        <v>#N/A</v>
      </c>
      <c r="WY56" s="75" t="e">
        <f t="array" aca="1" ref="WY56" ca="1">INDEX(Canals!$AG$24:$AG$29,MATCH(2,1/((Canals!$F$24:$F$29&lt;=$C56)*(Canals!$G$24:$G$29=_xlfn.IFS(SJ56="Handysize",Main!US56,SJ56="Supramax",UL56,SJ56="Panamax",UE56,SJ56="NeoPanamax",TX56,SJ56="Suezmax",TQ56,SJ56="Capesize",TJ56,SJ56="VLOC",TC56)))))</f>
        <v>#N/A</v>
      </c>
      <c r="WZ56" s="75" t="e">
        <f t="array" aca="1" ref="WZ56" ca="1">INDEX(Canals!$AH$24:$AH$29,MATCH(2,1/((Canals!$F$24:$F$29&lt;=$C56)*(Canals!$G$24:$G$29=_xlfn.IFS(SJ56="Handysize",Main!US56,SJ56="Supramax",UL56,SJ56="Panamax",UE56,SJ56="NeoPanamax",TX56,SJ56="Suezmax",TQ56,SJ56="Capesize",TJ56,SJ56="VLOC",TC56)))))</f>
        <v>#N/A</v>
      </c>
      <c r="XA56" s="75" t="e">
        <f t="array" aca="1" ref="XA56" ca="1">INDEX(Canals!$AI$24:$AI$29,MATCH(2,1/((Canals!$F$24:$F$29&lt;=$C56)*(Canals!$G$24:$G$29=_xlfn.IFS(SJ56="Handysize",Main!US56,SJ56="Supramax",UL56,SJ56="Panamax",UE56,SJ56="NeoPanamax",TX56,SJ56="Suezmax",TQ56,SJ56="Capesize",TJ56,SJ56="VLOC",TC56)))))</f>
        <v>#N/A</v>
      </c>
      <c r="XB56" s="75" t="e">
        <f t="array" aca="1" ref="XB56" ca="1">INDEX(Canals!$AJ$24:$AJ$29,MATCH(2,1/((Canals!$F$24:$F$29&lt;=$C56)*(Canals!$G$24:$G$29=_xlfn.IFS(SJ56="Handysize",Main!US56,SJ56="Supramax",UL56,SJ56="Panamax",UE56,SJ56="NeoPanamax",TX56,SJ56="Suezmax",TQ56,SJ56="Capesize",TJ56,SJ56="VLOC",TC56)))))</f>
        <v>#N/A</v>
      </c>
      <c r="XC56" s="75" t="e">
        <f t="array" aca="1" ref="XC56" ca="1">INDEX(Canals!$AK$24:$AK$29,MATCH(2,1/((Canals!$F$24:$F$29&lt;=$C56)*(Canals!$G$24:$G$29=_xlfn.IFS(SJ56="Handysize",Main!US56,SJ56="Supramax",UL56,SJ56="Panamax",UE56,SJ56="NeoPanamax",TX56,SJ56="Suezmax",TQ56,SJ56="Capesize",TJ56,SJ56="VLOC",TC56)))))</f>
        <v>#N/A</v>
      </c>
      <c r="XD56" s="136" t="e">
        <f t="array" aca="1" ref="XD56" ca="1">INDEX(Canals!$AL$24:$AL$29,MATCH(2,1/((Canals!$F$24:$F$29&lt;=$C56)*(Canals!$G$24:$G$29=_xlfn.IFS(SJ56="Handysize",Main!US56,SJ56="Supramax",UL56,SJ56="Panamax",UE56,SJ56="NeoPanamax",TX56,SJ56="Suezmax",TQ56,SJ56="Capesize",TJ56,SJ56="VLOC",TC56)))))</f>
        <v>#N/A</v>
      </c>
      <c r="XE56" s="136" t="e">
        <f t="array" aca="1" ref="XE56" ca="1">INDEX(Canals!$AM$24:$AM$29,MATCH(2,1/((Canals!$F$24:$F$29&lt;=$C56)*(Canals!$G$24:$G$29=_xlfn.IFS(SJ56="Handysize",Main!US56,SJ56="Supramax",UL56,SJ56="Panamax",UE56,SJ56="NeoPanamax",TX56,SJ56="Suezmax",TQ56,SJ56="Capesize",TJ56,SJ56="VLOC",TC56)))))</f>
        <v>#N/A</v>
      </c>
      <c r="XF56" s="136" t="e">
        <f t="array" aca="1" ref="XF56" ca="1">INDEX(Canals!$AN$24:$AN$29,MATCH(2,1/((Canals!$F$24:$F$29&lt;=$C56)*(Canals!$G$24:$G$29=_xlfn.IFS(SJ56="Handysize",Main!US56,SJ56="Supramax",UL56,SJ56="Panamax",UE56,SJ56="NeoPanamax",TX56,SJ56="Suezmax",TQ56,SJ56="Capesize",TJ56,SJ56="VLOC",TC56)))))</f>
        <v>#N/A</v>
      </c>
      <c r="XG56" s="136" t="e">
        <f t="array" aca="1" ref="XG56" ca="1">INDEX(Canals!$AO$24:$AO$29,MATCH(2,1/((Canals!$F$24:$F$29&lt;=$C56)*(Canals!$G$24:$G$29=_xlfn.IFS(SJ56="Handysize",Main!US56,SJ56="Supramax",UL56,SJ56="Panamax",UE56,SJ56="NeoPanamax",TX56,SJ56="Suezmax",TQ56,SJ56="Capesize",TJ56,SJ56="VLOC",TC56)))))</f>
        <v>#N/A</v>
      </c>
      <c r="XH56" s="136" t="e">
        <f t="array" aca="1" ref="XH56" ca="1">INDEX(Canals!$AP$24:$AP$29,MATCH(2,1/((Canals!$F$24:$F$29&lt;=$C56)*(Canals!$G$24:$G$29=_xlfn.IFS(SJ56="Handysize",Main!US56,SJ56="Supramax",UL56,SJ56="Panamax",UE56,SJ56="NeoPanamax",TX56,SJ56="Suezmax",TQ56,SJ56="Capesize",TJ56,SJ56="VLOC",TC56)))))</f>
        <v>#N/A</v>
      </c>
      <c r="XI56" s="136" t="e">
        <f t="array" aca="1" ref="XI56" ca="1">INDEX(Canals!$AQ$24:$AQ$29,MATCH(2,1/((Canals!$F$24:$F$29&lt;=$C56)*(Canals!$G$24:$G$29=_xlfn.IFS(SJ56="Handysize",Main!US56,SJ56="Supramax",UL56,SJ56="Panamax",UE56,SJ56="NeoPanamax",TX56,SJ56="Suezmax",TQ56,SJ56="Capesize",TJ56,SJ56="VLOC",TC56)))))</f>
        <v>#N/A</v>
      </c>
      <c r="XJ56" s="136" t="e">
        <f t="array" aca="1" ref="XJ56" ca="1">INDEX(Canals!$AR$24:$AR$29,MATCH(2,1/((Canals!$F$24:$F$29&lt;=$C56)*(Canals!$G$24:$G$29=_xlfn.IFS(SJ56="Handysize",Main!US56,SJ56="Supramax",UL56,SJ56="Panamax",UE56,SJ56="NeoPanamax",TX56,SJ56="Suezmax",TQ56,SJ56="Capesize",TJ56,SJ56="VLOC",TC56)))))</f>
        <v>#N/A</v>
      </c>
      <c r="XK56" s="136" t="e">
        <f t="array" aca="1" ref="XK56" ca="1">INDEX(Canals!$AS$24:$AS$29,MATCH(2,1/((Canals!$F$24:$F$29&lt;=$C56)*(Canals!$G$24:$G$29=_xlfn.IFS(SJ56="Handysize",Main!US56,SJ56="Supramax",UL56,SJ56="Panamax",UE56,SJ56="NeoPanamax",TX56,SJ56="Suezmax",TQ56,SJ56="Capesize",TJ56,SJ56="VLOC",TC56)))))</f>
        <v>#N/A</v>
      </c>
      <c r="XL56" s="136" t="e">
        <f t="array" aca="1" ref="XL56" ca="1">INDEX(Canals!$AT$24:$AT$29,MATCH(2,1/((Canals!$F$24:$F$29&lt;=$C56)*(Canals!$G$24:$G$29=_xlfn.IFS(SJ56="Handysize",Main!US56,SJ56="Supramax",UL56,SJ56="Panamax",UE56,SJ56="NeoPanamax",TX56,SJ56="Suezmax",TQ56,SJ56="Capesize",TJ56,SJ56="VLOC",TC56)))))</f>
        <v>#N/A</v>
      </c>
      <c r="XM56" s="136" t="e">
        <f t="array" aca="1" ref="XM56" ca="1">INDEX(Canals!$AU$24:$AU$29,MATCH(2,1/((Canals!$F$24:$F$29&lt;=$C56)*(Canals!$G$24:$G$29=_xlfn.IFS(SJ56="Handysize",Main!US56,SJ56="Supramax",UL56,SJ56="Panamax",UE56,SJ56="NeoPanamax",TX56,SJ56="Suezmax",TQ56,SJ56="Capesize",TJ56,SJ56="VLOC",TC56)))))</f>
        <v>#N/A</v>
      </c>
      <c r="XN56" s="136" t="e">
        <f t="array" aca="1" ref="XN56" ca="1">INDEX(Canals!$AV$24:$AV$29,MATCH(2,1/((Canals!$F$24:$F$29&lt;=$C56)*(Canals!$G$24:$G$29=_xlfn.IFS(SJ56="Handysize",Main!US56,SJ56="Supramax",UL56,SJ56="Panamax",UE56,SJ56="NeoPanamax",TX56,SJ56="Suezmax",TQ56,SJ56="Capesize",TJ56,SJ56="VLOC",TC56)))))</f>
        <v>#N/A</v>
      </c>
      <c r="XP56" s="75" t="e">
        <f t="array" aca="1" ref="XP56" ca="1">_xlfn.IFS(WA56="DWT",SH56,WA56="NRT",SL56,WA56="GRT",SM56,WA56=0,0)</f>
        <v>#NAME?</v>
      </c>
      <c r="XQ56" s="279" t="e">
        <f ca="1">IF(XP56&gt;WB56,WB56,XP56)</f>
        <v>#NAME?</v>
      </c>
      <c r="XR56" s="280" t="e">
        <f t="shared" ca="1" si="456"/>
        <v>#NAME?</v>
      </c>
      <c r="XS56" s="280" t="e">
        <f ca="1">IF(XP56&gt;SUM(WB56:WD56),WD56,XP56-SUM(XQ56:XR56))</f>
        <v>#NAME?</v>
      </c>
      <c r="XT56" s="280" t="e">
        <f ca="1">IF(XP56&gt;SUM(WB56:WE56),WE56,XP56-SUM(XQ56:XS56))</f>
        <v>#NAME?</v>
      </c>
      <c r="XU56" s="280" t="e">
        <f ca="1">IF(XP56&gt;SUM(WB56:WF56),WF56,XP56-SUM(XQ56:XT56))</f>
        <v>#NAME?</v>
      </c>
      <c r="XV56" s="280" t="e">
        <f ca="1">IF(XP56&gt;SUM(WB56:WG56),WG56,XP56-SUM(XQ56:XU56))</f>
        <v>#NAME?</v>
      </c>
      <c r="XW56" s="280" t="e">
        <f ca="1">IF(XP56&gt;SUM(WB56:WH56),WH56,XP56-SUM(XQ56:XV56))</f>
        <v>#NAME?</v>
      </c>
      <c r="XX56" s="280" t="e">
        <f ca="1">IF(XP56&gt;SUM(WB56:WI56),WI56,XP56-SUM(XQ56:XW56))</f>
        <v>#NAME?</v>
      </c>
      <c r="XY56" s="280" t="e">
        <f ca="1">IF(XP56&gt;SUM(WB56:WJ56),WJ56,XP56-SUM(XQ56:XX56))</f>
        <v>#NAME?</v>
      </c>
      <c r="XZ56" s="75">
        <f>SH56*$JN56</f>
        <v>0</v>
      </c>
      <c r="YA56" s="279" t="e">
        <f ca="1">IF(XZ56&gt;WU56,WU56,XZ56)</f>
        <v>#N/A</v>
      </c>
      <c r="YB56" s="280" t="e">
        <f ca="1">IF(XZ56&gt;SUM(WU56:WV56),WV56,XZ56-SUM(YA56:YA56))</f>
        <v>#N/A</v>
      </c>
      <c r="YC56" s="280" t="e">
        <f ca="1">IF(XZ56&gt;SUM(WU56:WW56),WW56,XZ56-SUM(YA56:YB56))</f>
        <v>#N/A</v>
      </c>
      <c r="YD56" s="280" t="e">
        <f ca="1">IF(XZ56&gt;SUM(WU56:WX56),WX56,XZ56-SUM(YA56:YC56))</f>
        <v>#N/A</v>
      </c>
      <c r="YE56" s="280" t="e">
        <f ca="1">IF(XZ56&gt;SUM(WU56:WY56),WY56,XZ56-SUM(YA56:YD56))</f>
        <v>#N/A</v>
      </c>
      <c r="YF56" s="280" t="e">
        <f ca="1">IF(XZ56&gt;SUM(WU56:WZ56),WZ56,XZ56-SUM(YA56:YE56))</f>
        <v>#N/A</v>
      </c>
      <c r="YG56" s="280" t="e">
        <f ca="1">IF(XZ56&gt;SUM(WU56:XA56),XA56,XZ56-SUM(YA56:YF56))</f>
        <v>#N/A</v>
      </c>
      <c r="YH56" s="280" t="e">
        <f ca="1">IF(XZ56&gt;SUM(WU56:XB56),XB56,XZ56-SUM(YA56:YG56))</f>
        <v>#N/A</v>
      </c>
      <c r="YI56" s="280" t="e">
        <f ca="1">IF(XZ56&gt;SUM(WU56:XC56),XC56,XZ56-SUM(YA56:YH56))</f>
        <v>#N/A</v>
      </c>
      <c r="YK56" s="75" t="e">
        <f t="array" aca="1" ref="YK56" ca="1">_xlfn.IFS(SJ56="Handysize",Main!UM56,SJ56="Supramax",UF56,SJ56="Panamax",TY56,SJ56="NeoPanamax",TR56,SJ56="Suezmax",TK56,SJ56="Capesize",TD56,SJ56="VLOC",SW56)*$JI56</f>
        <v>#NAME?</v>
      </c>
      <c r="YL56" s="274" t="e">
        <f t="array" aca="1" ref="YL56" ca="1">_xlfn.IFS(SJ56="Handysize",Main!UN56,SJ56="Supramax",UG56,SJ56="Panamax",TZ56,SJ56="NeoPanamax",TS56,SJ56="Suezmax",TL56,SJ56="Capesize",TE56,SJ56="VLOC",SX56)*$JI56</f>
        <v>#NAME?</v>
      </c>
      <c r="YM56" s="71" t="e">
        <f t="array" aca="1" ref="YM56" ca="1">_xlfn.IFS(SJ56="Handysize",Main!SO56,SJ56="Supramax",SP56,SJ56="Panamax",SQ56,SJ56="NeoPanamax",SR56,SJ56="Suezmax",SS56,SJ56="Capesize",ST56,SJ56="VLOC",SU56)</f>
        <v>#NAME?</v>
      </c>
      <c r="YN56" s="71" t="e">
        <f t="array" aca="1" ref="YN56" ca="1">_xlfn.IFS(SJ56="Handysize",Main!VA56,SJ56="Supramax",VB56,SJ56="Panamax",VC56,SJ56="NeoPanamax",VD56,SJ56="Suezmax",VE56,SJ56="Capesize",VF56,SJ56="VLOC",VG56)</f>
        <v>#NAME?</v>
      </c>
      <c r="YO56" s="70">
        <f t="array" ref="YO56">INDEX('Ship Speeds'!$G$11:$G$1011,MATCH(2,1/(('Ship Speeds'!$E$11:$E$1011&lt;=Main!$C56)*('Ship Speeds'!$F$11:$F$1011=Main!SI56))))</f>
        <v>11</v>
      </c>
      <c r="YP56" s="403">
        <f>(($KH56*YO56^2+$KI56*YO56^3+$KG56*YO56)*((SH56/$KC56)^$KD56)*$KJ56+(SH56/$KC56)*$KF56+$KE56)</f>
        <v>0</v>
      </c>
      <c r="YQ56" s="401">
        <f>(SH56/$JY56)*$JZ56+$KA56+$KB56*(SH56/$JY56)^2</f>
        <v>1.2</v>
      </c>
      <c r="YR56" s="70" t="e">
        <f ca="1">YK56/YO56/$JH56</f>
        <v>#NAME?</v>
      </c>
      <c r="YS56" s="70" t="e">
        <f ca="1">YL56/YO56/$JH56</f>
        <v>#NAME?</v>
      </c>
      <c r="YT56" s="70" t="e">
        <f ca="1">IF(YM56=0,0,IF($AO56="yes",$AN56,$AR56)/(1-$AL56)/YM56)</f>
        <v>#NAME?</v>
      </c>
      <c r="YU56" s="70" t="e">
        <f ca="1">IF(YN56=0,0,IF($AO56="yes",$AN56,$AR56)/(1-$AL56)/YN56)</f>
        <v>#NAME?</v>
      </c>
      <c r="YV56" s="72" t="e">
        <f ca="1">XN56*$JI56</f>
        <v>#N/A</v>
      </c>
      <c r="YW56" s="70" t="e">
        <f ca="1">IF(YK56=0,0,MAX(SUM(YR56:YV56)*$JV56,$JU56))</f>
        <v>#NAME?</v>
      </c>
      <c r="YX56" s="70" t="e">
        <f t="array" aca="1" ref="YX56" ca="1">IF(YK56=0,0,INDEX(UU56:UY56,MATCH(_xlfn.IFS(SJ56="Handysize",Main!UQ56,SJ56="Supramax",UJ56,SJ56="Panamax",UC56,SJ56="NeoPanamax",TV56,SJ56="Suezmax",TO56,SJ56="Capesize",TH56,SJ56="VLOC",TA56),$UU$7:$UY$7,0)))</f>
        <v>#NAME?</v>
      </c>
      <c r="YY56" s="70" t="e">
        <f t="array" aca="1" ref="YY56" ca="1">IF(YK56=0,0,INDEX(UU56:UY56,MATCH(_xlfn.IFS(SJ56="Handysize",Main!UR56,SJ56="Supramax",UK56,SJ56="Panamax",UD56,SJ56="NeoPanamax",TW56,SJ56="Suezmax",TP56,SJ56="Capesize",TI56,SJ56="VLOC",TB56),$UU$7:$UY$7,0)))</f>
        <v>#NAME?</v>
      </c>
      <c r="YZ56" s="71" t="e">
        <f ca="1">YR56*YP56*YX56</f>
        <v>#NAME?</v>
      </c>
      <c r="ZA56" s="71" t="e">
        <f ca="1">SUM(YT56:YW56)*YQ56*YY56+YS56*YP56*YY56</f>
        <v>#NAME?</v>
      </c>
      <c r="ZB56" s="281" t="e">
        <f ca="1">IF(YK56=0,0,INDEX($JA56:$JD56,MATCH(VH56,$JA$7:$JD$7,0)))</f>
        <v>#NAME?</v>
      </c>
      <c r="ZC56" s="71" t="e">
        <f ca="1">IF(YK56=0,0,VI56/ZB56)</f>
        <v>#NAME?</v>
      </c>
      <c r="ZD56" s="71" t="e">
        <f ca="1">IF(YK56=0,0,VJ56*SUM(YU56,$JX56)/ZB56)</f>
        <v>#NAME?</v>
      </c>
      <c r="ZE56" s="71" t="e">
        <f ca="1">IF(YK56=0,0,VK56*(YW56*(1-$JW56))/ZB56)</f>
        <v>#NAME?</v>
      </c>
      <c r="ZF56" s="71" t="e">
        <f ca="1">IF(YK56=0,0,VL56*(SH56*$JN56)/ZB56)</f>
        <v>#NAME?</v>
      </c>
      <c r="ZG56" s="71" t="e">
        <f ca="1">IF(YK56=0,0,VM56*(SH56*$JN56)*SUM(YU56,$JX56)/ZB56)</f>
        <v>#NAME?</v>
      </c>
      <c r="ZH56" s="71" t="e">
        <f ca="1">IF(YK56=0,0,VN56*(SH56*$JN56)*(YW56*(1-$JW56))/ZB56)</f>
        <v>#NAME?</v>
      </c>
      <c r="ZI56" s="71" t="e">
        <f ca="1">IF(YK56=0,0,VO56*SL56/ZB56)</f>
        <v>#NAME?</v>
      </c>
      <c r="ZJ56" s="71" t="e">
        <f ca="1">IF(YK56=0,0,VP56*SL56*SUM(YU56,$JX56)/ZB56)</f>
        <v>#NAME?</v>
      </c>
      <c r="ZK56" s="71" t="e">
        <f ca="1">IF(YK56=0,0,VQ56*SL56*(YW56*(1-$JW56))/ZB56)</f>
        <v>#NAME?</v>
      </c>
      <c r="ZL56" s="71" t="e">
        <f ca="1">IF(YK56=0,0,VR56*SM56/ZB56)</f>
        <v>#NAME?</v>
      </c>
      <c r="ZM56" s="71" t="e">
        <f ca="1">IF(YK56=0,0,VS56*SM56*SUM(YU56,$JX56)/ZB56)</f>
        <v>#NAME?</v>
      </c>
      <c r="ZN56" s="71" t="e">
        <f ca="1">IF(YK56=0,0,VT56*SM56*(YW56*(1-$JW56))/ZB56)</f>
        <v>#NAME?</v>
      </c>
      <c r="ZO56" s="72" t="e">
        <f ca="1">IF(YK56=0,0,VU56*SK56/ZB56)</f>
        <v>#NAME?</v>
      </c>
      <c r="ZP56" s="72" t="e">
        <f ca="1">IF(YK56=0,0,VV56*SK56*SUM(YU56,$JX56)/ZB56)</f>
        <v>#NAME?</v>
      </c>
      <c r="ZQ56" s="71" t="e">
        <f ca="1">IF(YK56=0,0,VW56*SK56*(YW56*(1-$JW56))/ZB56)</f>
        <v>#NAME?</v>
      </c>
      <c r="ZR56" s="71" t="e">
        <f t="array" aca="1" ref="ZR56" ca="1">IF(YK56=0,0,INDEX('Ship Time Charter Rates'!$H$22:$H$1021,MATCH(2,1/(('Ship Time Charter Rates'!$G$22:$G$1021=_xlfn.IFS(SJ56="Handysize",Main!UO56,SJ56="Supramax",UH56,SJ56="Panamax",UA56,SJ56="NeoPanamax",TT56,SJ56="Suezmax",TM56,SJ56="Capesize",TF56,SJ56="VLOC",SY56))*('Ship Time Charter Rates'!$E$22:$E$1021&lt;=Main!$C56)*(NOT(ISBLANK('Ship Time Charter Rates'!$H$22:$H$1021)))))))</f>
        <v>#NAME?</v>
      </c>
      <c r="ZS56" s="71" t="e">
        <f ca="1">IF(YK56=0,0,SUM(YR56:YW56,$JI56*$JX56)*ZR56)</f>
        <v>#NAME?</v>
      </c>
      <c r="ZT56" s="70" t="e">
        <f ca="1">IF(YK56=0,0,SUMPRODUCT(WK56:WS56,XQ56:XY56)+SUMPRODUCT(XD56:XL56,YA56:YI56))</f>
        <v>#NAME?</v>
      </c>
      <c r="ZU56" s="71" t="e">
        <f ca="1">IF(YK56=0,0,SUM(YZ56,ZA56)+ZS56+ZT56+SUM(ZC56:ZQ56))</f>
        <v>#NAME?</v>
      </c>
      <c r="ZV56" s="71" t="e">
        <f ca="1">ZU56*(1+$KL56)</f>
        <v>#NAME?</v>
      </c>
      <c r="ZW56" s="72" t="e">
        <f ca="1">IF(ZV56=0,0,ZV56/(SH56*(1-$AL56)*$JN56))</f>
        <v>#NAME?</v>
      </c>
      <c r="ZY56" s="287" t="s">
        <v>39</v>
      </c>
      <c r="AAA56" s="25">
        <f>IF($AO56="no",$AN56,$AR56)/(1-$AL56)/$JN56</f>
        <v>184615.38461538462</v>
      </c>
      <c r="AAB56" s="4" t="str">
        <f>VLOOKUP(AAA56,'Ship Time Charter Rates'!$F$10:$G$17,2,TRUE)</f>
        <v>Capesize</v>
      </c>
      <c r="AAC56" s="4" t="str">
        <f>VLOOKUP(AAA56,Canals!$E$5:$F$12,2,TRUE)</f>
        <v>Capesize</v>
      </c>
      <c r="AAD56" s="25">
        <f>(AAA56*$JO56 + $JP56)</f>
        <v>307.05923076923079</v>
      </c>
      <c r="AAE56" s="25">
        <f>(AAA56*$JQ56+$JR56)</f>
        <v>74473.846153846156</v>
      </c>
      <c r="AAF56" s="25">
        <f>(AAA56*$JS56+$JT56)</f>
        <v>100593.92307692309</v>
      </c>
      <c r="AAH56" s="75">
        <f t="array" ref="AAH56">INDEX('Indices Mines Exporting Ports'!$R$20:$R$51,MATCH(2,1/(('Indices Mines Exporting Ports'!$D$20:$D$51&lt;=Main!$C56)*('Indices Mines Exporting Ports'!$Q$20:$Q$51=$AP56))))</f>
        <v>15000</v>
      </c>
      <c r="AAI56" s="75">
        <f t="array" ref="AAI56">INDEX('Indices Mines Exporting Ports'!$S$20:$S$51,MATCH(2,1/(('Indices Mines Exporting Ports'!$D$20:$D$51&lt;=Main!$C56)*('Indices Mines Exporting Ports'!$Q$20:$Q$51=$AP56))))</f>
        <v>15000</v>
      </c>
      <c r="AAJ56" s="75">
        <f t="array" ref="AAJ56">INDEX('Indices Mines Exporting Ports'!$T$20:$T$51,MATCH(2,1/(('Indices Mines Exporting Ports'!$D$20:$D$51&lt;=Main!$C56)*('Indices Mines Exporting Ports'!$Q$20:$Q$51=$AP56))))</f>
        <v>15000</v>
      </c>
      <c r="AAK56" s="75">
        <f t="array" ref="AAK56">INDEX('Indices Mines Exporting Ports'!$U$20:$U$51,MATCH(2,1/(('Indices Mines Exporting Ports'!$D$20:$D$51&lt;=Main!$C56)*('Indices Mines Exporting Ports'!$Q$20:$Q$51=$AP56))))</f>
        <v>15000</v>
      </c>
      <c r="AAL56" s="75">
        <f t="array" ref="AAL56">INDEX('Indices Mines Exporting Ports'!$V$20:$V$51,MATCH(2,1/(('Indices Mines Exporting Ports'!$D$20:$D$51&lt;=Main!$C56)*('Indices Mines Exporting Ports'!$Q$20:$Q$51=$AP56))))</f>
        <v>15000</v>
      </c>
      <c r="AAM56" s="75">
        <f t="array" ref="AAM56">INDEX('Indices Mines Exporting Ports'!$W$20:$W$51,MATCH(2,1/(('Indices Mines Exporting Ports'!$D$20:$D$51&lt;=Main!$C56)*('Indices Mines Exporting Ports'!$Q$20:$Q$51=$AP56))))</f>
        <v>15000</v>
      </c>
      <c r="AAN56" s="75">
        <f t="array" ref="AAN56">INDEX('Indices Mines Exporting Ports'!$X$20:$X$51,MATCH(2,1/(('Indices Mines Exporting Ports'!$D$20:$D$51&lt;=Main!$C56)*('Indices Mines Exporting Ports'!$Q$20:$Q$51=$AP56))))</f>
        <v>15000</v>
      </c>
      <c r="AAP56" s="75">
        <f t="array" ref="AAP56">INDEX('Port Linkages'!$E$18:$E$157,MATCH(2,1/(('Port Linkages'!$C$18:$C$157=$AP56)*('Port Linkages'!$D$18:$D$157=IF($AO56="Yes",$AQ56,$KK56))*('Port Linkages'!$A$18:$A$157&lt;=$C56))))</f>
        <v>2326</v>
      </c>
      <c r="AAQ56" s="75">
        <f t="array" ref="AAQ56">INDEX('Port Linkages'!$F$18:$F$157,MATCH(2,1/(('Port Linkages'!$C$18:$C$157=$AP56)*('Port Linkages'!$D$18:$D$157=IF($AO56="Yes",$AQ56,$KK56))*('Port Linkages'!$A$18:$A$157&lt;=$C56))))</f>
        <v>0</v>
      </c>
      <c r="AAR56" s="75" t="str">
        <f t="array" ref="AAR56">INDEX('Port Linkages'!$G$18:$G$157,MATCH(2,1/(('Port Linkages'!$C$18:$C$157=$AP56)*('Port Linkages'!$D$18:$D$157=IF($AO56="Yes",$AQ56,$KK56))*('Port Linkages'!$A$18:$A$157&lt;=$C56))))</f>
        <v>VLOC_General</v>
      </c>
      <c r="AAS56" s="75" t="str">
        <f t="array" ref="AAS56">INDEX('Port Linkages'!$H$18:$H$157,MATCH(2,1/(('Port Linkages'!$C$18:$C$157=$AP56)*('Port Linkages'!$D$18:$D$157=IF($AO56="Yes",$AQ56,$KK56))*('Port Linkages'!$A$18:$A$157&lt;=$C56))))</f>
        <v>Singapore</v>
      </c>
      <c r="AAT56" s="75" t="str">
        <f t="array" ref="AAT56">INDEX('Port Linkages'!$I$18:$I$157,MATCH(2,1/(('Port Linkages'!$C$18:$C$157=$AP56)*('Port Linkages'!$D$18:$D$157=IF($AO56="Yes",$AQ56,$KK56))*('Port Linkages'!$A$18:$A$157&lt;=$C56))))</f>
        <v>VLSFO</v>
      </c>
      <c r="AAU56" s="75" t="str">
        <f t="array" ref="AAU56">INDEX('Port Linkages'!$J$18:$J$157,MATCH(2,1/(('Port Linkages'!$C$18:$C$157=$AP56)*('Port Linkages'!$D$18:$D$157=IF($AO56="Yes",$AQ56,$KK56))*('Port Linkages'!$A$18:$A$157&lt;=$C56))))</f>
        <v>MGO_Regular</v>
      </c>
      <c r="AAV56" s="75" t="str">
        <f t="array" ref="AAV56">INDEX('Port Linkages'!$K$18:$K$157,MATCH(2,1/(('Port Linkages'!$C$18:$C$157=$AP56)*('Port Linkages'!$D$18:$D$157=IF($AO56="Yes",$AQ56,$KK56))*('Port Linkages'!$A$18:$A$157&lt;=$C56))))</f>
        <v>none</v>
      </c>
      <c r="AAW56" s="75">
        <f t="array" ref="AAW56">INDEX('Port Linkages'!$L$18:$L$157,MATCH(2,1/(('Port Linkages'!$C$18:$C$157=$AP56)*('Port Linkages'!$D$18:$D$157=IF($AO56="Yes",$AQ56,$KK56))*('Port Linkages'!$A$18:$A$157&lt;=$C56))))</f>
        <v>2326</v>
      </c>
      <c r="AAX56" s="75">
        <f t="array" ref="AAX56">INDEX('Port Linkages'!$M$18:$M$157,MATCH(2,1/(('Port Linkages'!$C$18:$C$157=$AP56)*('Port Linkages'!$D$18:$D$157=IF($AO56="Yes",$AQ56,$KK56))*('Port Linkages'!$A$18:$A$157&lt;=$C56))))</f>
        <v>0</v>
      </c>
      <c r="AAY56" s="75" t="str">
        <f t="array" ref="AAY56">INDEX('Port Linkages'!$N$18:$N$157,MATCH(2,1/(('Port Linkages'!$C$18:$C$157=$AP56)*('Port Linkages'!$D$18:$D$157=IF($AO56="Yes",$AQ56,$KK56))*('Port Linkages'!$A$18:$A$157&lt;=$C56))))</f>
        <v>Capesize_General</v>
      </c>
      <c r="AAZ56" s="75" t="str">
        <f t="array" ref="AAZ56">INDEX('Port Linkages'!$O$18:$O$157,MATCH(2,1/(('Port Linkages'!$C$18:$C$157=$AP56)*('Port Linkages'!$D$18:$D$157=IF($AO56="Yes",$AQ56,$KK56))*('Port Linkages'!$A$18:$A$157&lt;=$C56))))</f>
        <v>Singapore</v>
      </c>
      <c r="ABA56" s="75" t="str">
        <f t="array" ref="ABA56">INDEX('Port Linkages'!$P$18:$P$157,MATCH(2,1/(('Port Linkages'!$C$18:$C$157=$AP56)*('Port Linkages'!$D$18:$D$157=IF($AO56="Yes",$AQ56,$KK56))*('Port Linkages'!$A$18:$A$157&lt;=$C56))))</f>
        <v>VLSFO</v>
      </c>
      <c r="ABB56" s="75" t="str">
        <f t="array" ref="ABB56">INDEX('Port Linkages'!$Q$18:$Q$157,MATCH(2,1/(('Port Linkages'!$C$18:$C$157=$AP56)*('Port Linkages'!$D$18:$D$157=IF($AO56="Yes",$AQ56,$KK56))*('Port Linkages'!$A$18:$A$157&lt;=$C56))))</f>
        <v>MGO_Regular</v>
      </c>
      <c r="ABC56" s="75" t="str">
        <f t="array" ref="ABC56">INDEX('Port Linkages'!$R$18:$R$157,MATCH(2,1/(('Port Linkages'!$C$18:$C$157=$AP56)*('Port Linkages'!$D$18:$D$157=IF($AO56="Yes",$AQ56,$KK56))*('Port Linkages'!$A$18:$A$157&lt;=$C56))))</f>
        <v>none</v>
      </c>
      <c r="ABD56" s="75">
        <f t="array" ref="ABD56">INDEX('Port Linkages'!$S$18:$S$157,MATCH(2,1/(('Port Linkages'!$C$18:$C$157=$AP56)*('Port Linkages'!$D$18:$D$157=IF($AO56="Yes",$AQ56,$KK56))*('Port Linkages'!$A$18:$A$157&lt;=$C56))))</f>
        <v>2326</v>
      </c>
      <c r="ABE56" s="75">
        <f t="array" ref="ABE56">INDEX('Port Linkages'!$T$18:$T$157,MATCH(2,1/(('Port Linkages'!$C$18:$C$157=$AP56)*('Port Linkages'!$D$18:$D$157=IF($AO56="Yes",$AQ56,$KK56))*('Port Linkages'!$A$18:$A$157&lt;=$C56))))</f>
        <v>0</v>
      </c>
      <c r="ABF56" s="75" t="str">
        <f t="array" ref="ABF56">INDEX('Port Linkages'!$U$18:$U$157,MATCH(2,1/(('Port Linkages'!$C$18:$C$157=$AP56)*('Port Linkages'!$D$18:$D$157=IF($AO56="Yes",$AQ56,$KK56))*('Port Linkages'!$A$18:$A$157&lt;=$C56))))</f>
        <v>Capesize_General</v>
      </c>
      <c r="ABG56" s="75" t="str">
        <f t="array" ref="ABG56">INDEX('Port Linkages'!$V$18:$V$157,MATCH(2,1/(('Port Linkages'!$C$18:$C$157=$AP56)*('Port Linkages'!$D$18:$D$157=IF($AO56="Yes",$AQ56,$KK56))*('Port Linkages'!$A$18:$A$157&lt;=$C56))))</f>
        <v>Singapore</v>
      </c>
      <c r="ABH56" s="75" t="str">
        <f t="array" ref="ABH56">INDEX('Port Linkages'!$W$18:$W$157,MATCH(2,1/(('Port Linkages'!$C$18:$C$157=$AP56)*('Port Linkages'!$D$18:$D$157=IF($AO56="Yes",$AQ56,$KK56))*('Port Linkages'!$A$18:$A$157&lt;=$C56))))</f>
        <v>VLSFO</v>
      </c>
      <c r="ABI56" s="75" t="str">
        <f t="array" ref="ABI56">INDEX('Port Linkages'!$X$18:$X$157,MATCH(2,1/(('Port Linkages'!$C$18:$C$157=$AP56)*('Port Linkages'!$D$18:$D$157=IF($AO56="Yes",$AQ56,$KK56))*('Port Linkages'!$A$18:$A$157&lt;=$C56))))</f>
        <v>MGO_Regular</v>
      </c>
      <c r="ABJ56" s="75" t="str">
        <f t="array" ref="ABJ56">INDEX('Port Linkages'!$Y$18:$Y$157,MATCH(2,1/(('Port Linkages'!$C$18:$C$157=$AP56)*('Port Linkages'!$D$18:$D$157=IF($AO56="Yes",$AQ56,$KK56))*('Port Linkages'!$A$18:$A$157&lt;=$C56))))</f>
        <v>none</v>
      </c>
      <c r="ABK56" s="75">
        <f t="array" ref="ABK56">INDEX('Port Linkages'!$Z$18:$Z$157,MATCH(2,1/(('Port Linkages'!$C$18:$C$157=$AP56)*('Port Linkages'!$D$18:$D$157=IF($AO56="Yes",$AQ56,$KK56))*('Port Linkages'!$A$18:$A$157&lt;=$C56))))</f>
        <v>2326</v>
      </c>
      <c r="ABL56" s="75">
        <f t="array" ref="ABL56">INDEX('Port Linkages'!$AA$18:$AA$157,MATCH(2,1/(('Port Linkages'!$C$18:$C$157=$AP56)*('Port Linkages'!$D$18:$D$157=IF($AO56="Yes",$AQ56,$KK56))*('Port Linkages'!$A$18:$A$157&lt;=$C56))))</f>
        <v>0</v>
      </c>
      <c r="ABM56" s="75" t="str">
        <f t="array" ref="ABM56">INDEX('Port Linkages'!$AB$18:$AB$157,MATCH(2,1/(('Port Linkages'!$C$18:$C$157=$AP56)*('Port Linkages'!$D$18:$D$157=IF($AO56="Yes",$AQ56,$KK56))*('Port Linkages'!$A$18:$A$157&lt;=$C56))))</f>
        <v>Capesize_General</v>
      </c>
      <c r="ABN56" s="75" t="str">
        <f t="array" ref="ABN56">INDEX('Port Linkages'!$AC$18:$AC$157,MATCH(2,1/(('Port Linkages'!$C$18:$C$157=$AP56)*('Port Linkages'!$D$18:$D$157=IF($AO56="Yes",$AQ56,$KK56))*('Port Linkages'!$A$18:$A$157&lt;=$C56))))</f>
        <v>Singapore</v>
      </c>
      <c r="ABO56" s="75" t="str">
        <f t="array" ref="ABO56">INDEX('Port Linkages'!$AD$18:$AD$157,MATCH(2,1/(('Port Linkages'!$C$18:$C$157=$AP56)*('Port Linkages'!$D$18:$D$157=IF($AO56="Yes",$AQ56,$KK56))*('Port Linkages'!$A$18:$A$157&lt;=$C56))))</f>
        <v>VLSFO</v>
      </c>
      <c r="ABP56" s="75" t="str">
        <f t="array" ref="ABP56">INDEX('Port Linkages'!$AE$18:$AE$157,MATCH(2,1/(('Port Linkages'!$C$18:$C$157=$AP56)*('Port Linkages'!$D$18:$D$157=IF($AO56="Yes",$AQ56,$KK56))*('Port Linkages'!$A$18:$A$157&lt;=$C56))))</f>
        <v>MGO_Regular</v>
      </c>
      <c r="ABQ56" s="75" t="str">
        <f t="array" ref="ABQ56">INDEX('Port Linkages'!$AF$18:$AF$157,MATCH(2,1/(('Port Linkages'!$C$18:$C$157=$AP56)*('Port Linkages'!$D$18:$D$157=IF($AO56="Yes",$AQ56,$KK56))*('Port Linkages'!$A$18:$A$157&lt;=$C56))))</f>
        <v>none</v>
      </c>
      <c r="ABR56" s="75">
        <f t="array" ref="ABR56">INDEX('Port Linkages'!$AG$18:$AG$157,MATCH(2,1/(('Port Linkages'!$C$18:$C$157=$AP56)*('Port Linkages'!$D$18:$D$157=IF($AO56="Yes",$AQ56,$KK56))*('Port Linkages'!$A$18:$A$157&lt;=$C56))))</f>
        <v>2326</v>
      </c>
      <c r="ABS56" s="75">
        <f t="array" ref="ABS56">INDEX('Port Linkages'!$AH$18:$AH$157,MATCH(2,1/(('Port Linkages'!$C$18:$C$157=$AP56)*('Port Linkages'!$D$18:$D$157=IF($AO56="Yes",$AQ56,$KK56))*('Port Linkages'!$A$18:$A$157&lt;=$C56))))</f>
        <v>0</v>
      </c>
      <c r="ABT56" s="75" t="str">
        <f t="array" ref="ABT56">INDEX('Port Linkages'!$AI$18:$AI$157,MATCH(2,1/(('Port Linkages'!$C$18:$C$157=$AP56)*('Port Linkages'!$D$18:$D$157=IF($AO56="Yes",$AQ56,$KK56))*('Port Linkages'!$A$18:$A$157&lt;=$C56))))</f>
        <v>Panamax_General</v>
      </c>
      <c r="ABU56" s="75" t="str">
        <f t="array" ref="ABU56">INDEX('Port Linkages'!$AJ$18:$AJ$157,MATCH(2,1/(('Port Linkages'!$C$18:$C$157=$AP56)*('Port Linkages'!$D$18:$D$157=IF($AO56="Yes",$AQ56,$KK56))*('Port Linkages'!$A$18:$A$157&lt;=$C56))))</f>
        <v>Singapore</v>
      </c>
      <c r="ABV56" s="75" t="str">
        <f t="array" ref="ABV56">INDEX('Port Linkages'!$AK$18:$AK$157,MATCH(2,1/(('Port Linkages'!$C$18:$C$157=$AP56)*('Port Linkages'!$D$18:$D$157=IF($AO56="Yes",$AQ56,$KK56))*('Port Linkages'!$A$18:$A$157&lt;=$C56))))</f>
        <v>VLSFO</v>
      </c>
      <c r="ABW56" s="75" t="str">
        <f t="array" ref="ABW56">INDEX('Port Linkages'!$AL$18:$AL$157,MATCH(2,1/(('Port Linkages'!$C$18:$C$157=$AP56)*('Port Linkages'!$D$18:$D$157=IF($AO56="Yes",$AQ56,$KK56))*('Port Linkages'!$A$18:$A$157&lt;=$C56))))</f>
        <v>MGO_Regular</v>
      </c>
      <c r="ABX56" s="75" t="str">
        <f t="array" ref="ABX56">INDEX('Port Linkages'!$AM$18:$AM$157,MATCH(2,1/(('Port Linkages'!$C$18:$C$157=$AP56)*('Port Linkages'!$D$18:$D$157=IF($AO56="Yes",$AQ56,$KK56))*('Port Linkages'!$A$18:$A$157&lt;=$C56))))</f>
        <v>none</v>
      </c>
      <c r="ABY56" s="75">
        <f t="array" ref="ABY56">INDEX('Port Linkages'!$AN$18:$AN$157,MATCH(2,1/(('Port Linkages'!$C$18:$C$157=$AP56)*('Port Linkages'!$D$18:$D$157=IF($AO56="Yes",$AQ56,$KK56))*('Port Linkages'!$A$18:$A$157&lt;=$C56))))</f>
        <v>2326</v>
      </c>
      <c r="ABZ56" s="75">
        <f t="array" ref="ABZ56">INDEX('Port Linkages'!$AO$18:$AO$157,MATCH(2,1/(('Port Linkages'!$C$18:$C$157=$AP56)*('Port Linkages'!$D$18:$D$157=IF($AO56="Yes",$AQ56,$KK56))*('Port Linkages'!$A$18:$A$157&lt;=$C56))))</f>
        <v>0</v>
      </c>
      <c r="ACA56" s="75" t="str">
        <f t="array" ref="ACA56">INDEX('Port Linkages'!$AP$18:$AP$157,MATCH(2,1/(('Port Linkages'!$C$18:$C$157=$AP56)*('Port Linkages'!$D$18:$D$157=IF($AO56="Yes",$AQ56,$KK56))*('Port Linkages'!$A$18:$A$157&lt;=$C56))))</f>
        <v>Supramax_General</v>
      </c>
      <c r="ACB56" s="75" t="str">
        <f t="array" ref="ACB56">INDEX('Port Linkages'!$AQ$18:$AQ$157,MATCH(2,1/(('Port Linkages'!$C$18:$C$157=$AP56)*('Port Linkages'!$D$18:$D$157=IF($AO56="Yes",$AQ56,$KK56))*('Port Linkages'!$A$18:$A$157&lt;=$C56))))</f>
        <v>Singapore</v>
      </c>
      <c r="ACC56" s="75" t="str">
        <f t="array" ref="ACC56">INDEX('Port Linkages'!$AR$18:$AR$157,MATCH(2,1/(('Port Linkages'!$C$18:$C$157=$AP56)*('Port Linkages'!$D$18:$D$157=IF($AO56="Yes",$AQ56,$KK56))*('Port Linkages'!$A$18:$A$157&lt;=$C56))))</f>
        <v>VLSFO</v>
      </c>
      <c r="ACD56" s="75" t="str">
        <f t="array" ref="ACD56">INDEX('Port Linkages'!$AS$18:$AS$157,MATCH(2,1/(('Port Linkages'!$C$18:$C$157=$AP56)*('Port Linkages'!$D$18:$D$157=IF($AO56="Yes",$AQ56,$KK56))*('Port Linkages'!$A$18:$A$157&lt;=$C56))))</f>
        <v>MGO_Regular</v>
      </c>
      <c r="ACE56" s="75" t="str">
        <f t="array" ref="ACE56">INDEX('Port Linkages'!$AT$18:$AT$157,MATCH(2,1/(('Port Linkages'!$C$18:$C$157=$AP56)*('Port Linkages'!$D$18:$D$157=IF($AO56="Yes",$AQ56,$KK56))*('Port Linkages'!$A$18:$A$157&lt;=$C56))))</f>
        <v>none</v>
      </c>
      <c r="ACF56" s="75">
        <f t="array" ref="ACF56">INDEX('Port Linkages'!$AU$18:$AU$157,MATCH(2,1/(('Port Linkages'!$C$18:$C$157=$AP56)*('Port Linkages'!$D$18:$D$157=IF($AO56="Yes",$AQ56,$KK56))*('Port Linkages'!$A$18:$A$157&lt;=$C56))))</f>
        <v>2326</v>
      </c>
      <c r="ACG56" s="75">
        <f t="array" ref="ACG56">INDEX('Port Linkages'!$AV$18:$AV$157,MATCH(2,1/(('Port Linkages'!$C$18:$C$157=$AP56)*('Port Linkages'!$D$18:$D$157=IF($AO56="Yes",$AQ56,$KK56))*('Port Linkages'!$A$18:$A$157&lt;=$C56))))</f>
        <v>0</v>
      </c>
      <c r="ACH56" s="75" t="str">
        <f t="array" ref="ACH56">INDEX('Port Linkages'!$AW$18:$AW$157,MATCH(2,1/(('Port Linkages'!$C$18:$C$157=$AP56)*('Port Linkages'!$D$18:$D$157=IF($AO56="Yes",$AQ56,$KK56))*('Port Linkages'!$A$18:$A$157&lt;=$C56))))</f>
        <v>Handysize_General</v>
      </c>
      <c r="ACI56" s="75" t="str">
        <f t="array" ref="ACI56">INDEX('Port Linkages'!$AX$18:$AX$157,MATCH(2,1/(('Port Linkages'!$C$18:$C$157=$AP56)*('Port Linkages'!$D$18:$D$157=IF($AO56="Yes",$AQ56,$KK56))*('Port Linkages'!$A$18:$A$157&lt;=$C56))))</f>
        <v>Singapore</v>
      </c>
      <c r="ACJ56" s="75" t="str">
        <f t="array" ref="ACJ56">INDEX('Port Linkages'!$AY$18:$AY$157,MATCH(2,1/(('Port Linkages'!$C$18:$C$157=$AP56)*('Port Linkages'!$D$18:$D$157=IF($AO56="Yes",$AQ56,$KK56))*('Port Linkages'!$A$18:$A$157&lt;=$C56))))</f>
        <v>VLSFO</v>
      </c>
      <c r="ACK56" s="75" t="str">
        <f t="array" ref="ACK56">INDEX('Port Linkages'!$AZ$18:$AZ$157,MATCH(2,1/(('Port Linkages'!$C$18:$C$157=$AP56)*('Port Linkages'!$D$18:$D$157=IF($AO56="Yes",$AQ56,$KK56))*('Port Linkages'!$A$18:$A$157&lt;=$C56))))</f>
        <v>MGO_Regular</v>
      </c>
      <c r="ACL56" s="75" t="str">
        <f t="array" ref="ACL56">INDEX('Port Linkages'!$BA$18:$BA$157,MATCH(2,1/(('Port Linkages'!$C$18:$C$157=$AP56)*('Port Linkages'!$D$18:$D$157=IF($AO56="Yes",$AQ56,$KK56))*('Port Linkages'!$A$18:$A$157&lt;=$C56))))</f>
        <v>none</v>
      </c>
      <c r="ACN56" s="25" t="e">
        <f t="array" aca="1" ref="ACN56" ca="1">INDEX('Ship Fuel Prices'!$F$5:$F$1004,MATCH(2,1/(('Ship Fuel Prices'!$E$5:$E$1004=_xlfn.IFS(AAC56="Handysize",Main!ACI56,AAC56="Supramax",ACB56,AAC56="Panamax",ABU56,AAC56="NeoPanamax",ABN56,AAC56="Suezmax",ABG56,AAC56="Capesize",AAZ56,AAC56="VLOC",AAS56))*('Ship Fuel Prices'!$D$5:$D$1004&lt;=Main!$C56))))</f>
        <v>#N/A</v>
      </c>
      <c r="ACO56" s="25" t="e">
        <f t="array" aca="1" ref="ACO56" ca="1">INDEX('Ship Fuel Prices'!$G$5:$G$1004,MATCH(2,1/(('Ship Fuel Prices'!$E$5:$E$1004=_xlfn.IFS(AAC56="Handysize",Main!ACI56,AAC56="Supramax",ACB56,AAC56="Panamax",ABU56,AAC56="NeoPanamax",ABN56,AAC56="Suezmax",ABG56,AAC56="Capesize",AAZ56,AAC56="VLOC",AAS56))*('Ship Fuel Prices'!$D$5:$D$1004&lt;=Main!$C56))))</f>
        <v>#N/A</v>
      </c>
      <c r="ACP56" s="25" t="e">
        <f t="array" aca="1" ref="ACP56" ca="1">INDEX('Ship Fuel Prices'!$H$5:$H$1004,MATCH(2,1/(('Ship Fuel Prices'!$E$5:$E$1004=_xlfn.IFS(AAC56="Handysize",Main!ACI56,AAC56="Supramax",ACB56,AAC56="Panamax",ABU56,AAC56="NeoPanamax",ABN56,AAC56="Suezmax",ABG56,AAC56="Capesize",AAZ56,AAC56="VLOC",AAS56))*('Ship Fuel Prices'!$D$5:$D$1004&lt;=Main!$C56))))</f>
        <v>#N/A</v>
      </c>
      <c r="ACQ56" s="25" t="e">
        <f t="array" aca="1" ref="ACQ56" ca="1">INDEX('Ship Fuel Prices'!$I$5:$I$1004,MATCH(2,1/(('Ship Fuel Prices'!$E$5:$E$1004=_xlfn.IFS(AAC56="Handysize",Main!ACI56,AAC56="Supramax",ACB56,AAC56="Panamax",ABU56,AAC56="NeoPanamax",ABN56,AAC56="Suezmax",ABG56,AAC56="Capesize",AAZ56,AAC56="VLOC",AAS56))*('Ship Fuel Prices'!$D$5:$D$1004&lt;=Main!$C56))))</f>
        <v>#N/A</v>
      </c>
      <c r="ACR56" s="25" t="e">
        <f t="array" aca="1" ref="ACR56" ca="1">INDEX('Ship Fuel Prices'!$J$5:$J$1004,MATCH(2,1/(('Ship Fuel Prices'!$E$5:$E$1004=_xlfn.IFS(AAC56="Handysize",Main!ACI56,AAC56="Supramax",ACB56,AAC56="Panamax",ABU56,AAC56="NeoPanamax",ABN56,AAC56="Suezmax",ABG56,AAC56="Capesize",AAZ56,AAC56="VLOC",AAS56))*('Ship Fuel Prices'!$D$5:$D$1004&lt;=Main!$C56))))</f>
        <v>#N/A</v>
      </c>
      <c r="ACT56" s="75">
        <f t="array" ref="ACT56">INDEX('China n Importing Ports'!$E$20:$E$41,MATCH(2,1/(('China n Importing Ports'!$D$20:$D$41&lt;=$C56)*('China n Importing Ports'!$C$20:$C$41=IF($AO56="Yes",$AQ56,$KK56)))))</f>
        <v>42500</v>
      </c>
      <c r="ACU56" s="75">
        <f t="array" ref="ACU56">INDEX('China n Importing Ports'!$F$20:$F$41,MATCH(2,1/(('China n Importing Ports'!$D$20:$D$41&lt;=$C56)*('China n Importing Ports'!$C$20:$C$41=IF($AO56="Yes",$AQ56,$KK56)))))</f>
        <v>42500</v>
      </c>
      <c r="ACV56" s="75">
        <f t="array" ref="ACV56">INDEX('China n Importing Ports'!$G$20:$G$41,MATCH(2,1/(('China n Importing Ports'!$D$20:$D$41&lt;=$C56)*('China n Importing Ports'!$C$20:$C$41=IF($AO56="Yes",$AQ56,$KK56)))))</f>
        <v>42500</v>
      </c>
      <c r="ACW56" s="75">
        <f t="array" ref="ACW56">INDEX('China n Importing Ports'!$H$20:$H$41,MATCH(2,1/(('China n Importing Ports'!$D$20:$D$41&lt;=$C56)*('China n Importing Ports'!$C$20:$C$41=IF($AO56="Yes",$AQ56,$KK56)))))</f>
        <v>42500</v>
      </c>
      <c r="ACX56" s="75">
        <f t="array" ref="ACX56">INDEX('China n Importing Ports'!$I$20:$I$41,MATCH(2,1/(('China n Importing Ports'!$D$20:$D$41&lt;=$C56)*('China n Importing Ports'!$C$20:$C$41=IF($AO56="Yes",$AQ56,$KK56)))))</f>
        <v>42500</v>
      </c>
      <c r="ACY56" s="75">
        <f t="array" ref="ACY56">INDEX('China n Importing Ports'!$J$20:$J$41,MATCH(2,1/(('China n Importing Ports'!$D$20:$D$41&lt;=$C56)*('China n Importing Ports'!$C$20:$C$41=IF($AO56="Yes",$AQ56,$KK56)))))</f>
        <v>42500</v>
      </c>
      <c r="ACZ56" s="75">
        <f t="array" ref="ACZ56">INDEX('China n Importing Ports'!$K$20:$K$41,MATCH(2,1/(('China n Importing Ports'!$D$20:$D$41&lt;=$C56)*('China n Importing Ports'!$C$20:$C$41=IF($AO56="Yes",$AQ56,$KK56)))))</f>
        <v>42500</v>
      </c>
      <c r="ADA56" s="75" t="str">
        <f t="array" ref="ADA56">INDEX('China n Importing Ports'!$L$20:$L$41,MATCH(2,1/(('China n Importing Ports'!$D$20:$D$41&lt;=$C56)*('China n Importing Ports'!$C$20:$C$41=IF($AO56="Yes",$AQ56,$KK56)))))</f>
        <v>RMB</v>
      </c>
      <c r="ADB56" s="75">
        <f t="array" ref="ADB56">INDEX('China n Importing Ports'!$M$20:$M$41,MATCH(2,1/(('China n Importing Ports'!$D$20:$D$41&lt;=$C56)*('China n Importing Ports'!$C$20:$C$41=IF($AO56="Yes",$AQ56,$KK56)))))</f>
        <v>12342</v>
      </c>
      <c r="ADC56" s="75">
        <f t="array" ref="ADC56">INDEX('China n Importing Ports'!$N$20:$N$41,MATCH(2,1/(('China n Importing Ports'!$D$20:$D$41&lt;=$C56)*('China n Importing Ports'!$C$20:$C$41=IF($AO56="Yes",$AQ56,$KK56)))))</f>
        <v>0</v>
      </c>
      <c r="ADD56" s="75">
        <f t="array" ref="ADD56">INDEX('China n Importing Ports'!$O$20:$O$41,MATCH(2,1/(('China n Importing Ports'!$D$20:$D$41&lt;=$C56)*('China n Importing Ports'!$C$20:$C$41=IF($AO56="Yes",$AQ56,$KK56)))))</f>
        <v>0</v>
      </c>
      <c r="ADE56" s="136">
        <f t="array" ref="ADE56">INDEX('China n Importing Ports'!$P$20:$P$41,MATCH(2,1/(('China n Importing Ports'!$D$20:$D$41&lt;=$C56)*('China n Importing Ports'!$C$20:$C$41=IF($AO56="Yes",$AQ56,$KK56)))))</f>
        <v>2.64</v>
      </c>
      <c r="ADF56" s="136">
        <f t="array" ref="ADF56">INDEX('China n Importing Ports'!$Q$20:$Q$41,MATCH(2,1/(('China n Importing Ports'!$D$20:$D$41&lt;=$C56)*('China n Importing Ports'!$C$20:$C$41=IF($AO56="Yes",$AQ56,$KK56)))))</f>
        <v>0</v>
      </c>
      <c r="ADG56" s="136">
        <f t="array" ref="ADG56">INDEX('China n Importing Ports'!$R$20:$R$41,MATCH(2,1/(('China n Importing Ports'!$D$20:$D$41&lt;=$C56)*('China n Importing Ports'!$C$20:$C$41=IF($AO56="Yes",$AQ56,$KK56)))))</f>
        <v>0</v>
      </c>
      <c r="ADH56" s="136">
        <f t="array" ref="ADH56">INDEX('China n Importing Ports'!$S$20:$S$41,MATCH(2,1/(('China n Importing Ports'!$D$20:$D$41&lt;=$C56)*('China n Importing Ports'!$C$20:$C$41=IF($AO56="Yes",$AQ56,$KK56)))))</f>
        <v>4.53</v>
      </c>
      <c r="ADI56" s="136">
        <f t="array" ref="ADI56">INDEX('China n Importing Ports'!$T$20:$T$41,MATCH(2,1/(('China n Importing Ports'!$D$20:$D$41&lt;=$C56)*('China n Importing Ports'!$C$20:$C$41=IF($AO56="Yes",$AQ56,$KK56)))))</f>
        <v>0.36699999999999999</v>
      </c>
      <c r="ADJ56" s="136">
        <f t="array" ref="ADJ56">INDEX('China n Importing Ports'!$U$20:$U$41,MATCH(2,1/(('China n Importing Ports'!$D$20:$D$41&lt;=$C56)*('China n Importing Ports'!$C$20:$C$41=IF($AO56="Yes",$AQ56,$KK56)))))</f>
        <v>0.05</v>
      </c>
      <c r="ADK56" s="136">
        <f t="array" ref="ADK56">INDEX('China n Importing Ports'!$V$20:$V$41,MATCH(2,1/(('China n Importing Ports'!$D$20:$D$41&lt;=$C56)*('China n Importing Ports'!$C$20:$C$41=IF($AO56="Yes",$AQ56,$KK56)))))</f>
        <v>0</v>
      </c>
      <c r="ADL56" s="136">
        <f t="array" ref="ADL56">INDEX('China n Importing Ports'!$W$20:$W$41,MATCH(2,1/(('China n Importing Ports'!$D$20:$D$41&lt;=$C56)*('China n Importing Ports'!$C$20:$C$41=IF($AO56="Yes",$AQ56,$KK56)))))</f>
        <v>0</v>
      </c>
      <c r="ADM56" s="136">
        <f t="array" ref="ADM56">INDEX('China n Importing Ports'!$X$20:$X$41,MATCH(2,1/(('China n Importing Ports'!$D$20:$D$41&lt;=$C56)*('China n Importing Ports'!$C$20:$C$41=IF($AO56="Yes",$AQ56,$KK56)))))</f>
        <v>0</v>
      </c>
      <c r="ADN56" s="136">
        <f t="array" ref="ADN56">INDEX('China n Importing Ports'!$Y$20:$Y$41,MATCH(2,1/(('China n Importing Ports'!$D$20:$D$41&lt;=$C56)*('China n Importing Ports'!$C$20:$C$41=IF($AO56="Yes",$AQ56,$KK56)))))</f>
        <v>197</v>
      </c>
      <c r="ADO56" s="136">
        <f t="array" ref="ADO56">INDEX('China n Importing Ports'!$Z$20:$Z$41,MATCH(2,1/(('China n Importing Ports'!$D$20:$D$41&lt;=$C56)*('China n Importing Ports'!$C$20:$C$41=IF($AO56="Yes",$AQ56,$KK56)))))</f>
        <v>0</v>
      </c>
      <c r="ADP56" s="136">
        <f t="array" ref="ADP56">INDEX('China n Importing Ports'!$AA$20:$AA$41,MATCH(2,1/(('China n Importing Ports'!$D$20:$D$41&lt;=$C56)*('China n Importing Ports'!$C$20:$C$41=IF($AO56="Yes",$AQ56,$KK56)))))</f>
        <v>0</v>
      </c>
      <c r="ADR56" s="75" t="e">
        <f t="array" aca="1" ref="ADR56" ca="1">INDEX(Canals!$G$24:$G$29,MATCH(2,1/((Canals!$F$24:$F$29&lt;=$C56)*(Canals!$G$24:$G$29=_xlfn.IFS(AAC56="Handysize",Main!ACL56,AAC56="Supramax",ACE56,AAC56="Panamax",ABX56,AAC56="NeoPanamax",ABQ56,AAC56="Suezmax",ABJ56,AAC56="Capesize",ABC56,AAC56="VLOC",AAV56)))))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S56" s="75" t="e">
        <f t="array" aca="1" ref="ADS56" ca="1">INDEX(Canals!$H$24:$H$29,MATCH(2,1/((Canals!$F$24:$F$29&lt;=$C56)*(Canals!$G$24:$G$29=_xlfn.IFS(AAC56="Handysize",Main!ACL56,AAC56="Supramax",ACE56,AAC56="Panamax",ABX56,AAC56="NeoPanamax",ABQ56,AAC56="Suezmax",ABJ56,AAC56="Capesize",ABC56,AAC56="VLOC",AAV56)))))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T56" s="75" t="e">
        <f t="array" aca="1" ref="ADT56" ca="1">INDEX(Canals!$I$24:$I$29,MATCH(2,1/((Canals!$F$24:$F$29&lt;=$C56)*(Canals!$G$24:$G$29=_xlfn.IFS(AAC56="Handysize",Main!ACL56,AAC56="Supramax",ACE56,AAC56="Panamax",ABX56,AAC56="NeoPanamax",ABQ56,AAC56="Suezmax",ABJ56,AAC56="Capesize",ABC56,AAC56="VLOC",AAV56)))))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U56" s="75" t="e">
        <f t="array" aca="1" ref="ADU56" ca="1">INDEX(Canals!$J$24:$J$29,MATCH(2,1/((Canals!$F$24:$F$29&lt;=$C56)*(Canals!$G$24:$G$29=_xlfn.IFS(AAC56="Handysize",Main!ACL56,AAC56="Supramax",ACE56,AAC56="Panamax",ABX56,AAC56="NeoPanamax",ABQ56,AAC56="Suezmax",ABJ56,AAC56="Capesize",ABC56,AAC56="VLOC",AAV56)))))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V56" s="75" t="e">
        <f t="array" aca="1" ref="ADV56" ca="1">INDEX(Canals!$K$24:$K$29,MATCH(2,1/((Canals!$F$24:$F$29&lt;=$C56)*(Canals!$G$24:$G$29=_xlfn.IFS(AAC56="Handysize",Main!ACL56,AAC56="Supramax",ACE56,AAC56="Panamax",ABX56,AAC56="NeoPanamax",ABQ56,AAC56="Suezmax",ABJ56,AAC56="Capesize",ABC56,AAC56="VLOC",AAV56)))))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W56" s="75" t="e">
        <f t="array" aca="1" ref="ADW56" ca="1">INDEX(Canals!$L$24:$L$29,MATCH(2,1/((Canals!$F$24:$F$29&lt;=$C56)*(Canals!$G$24:$G$29=_xlfn.IFS(AAC56="Handysize",Main!ACL56,AAC56="Supramax",ACE56,AAC56="Panamax",ABX56,AAC56="NeoPanamax",ABQ56,AAC56="Suezmax",ABJ56,AAC56="Capesize",ABC56,AAC56="VLOC",AAV56)))))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X56" s="75" t="e">
        <f t="array" aca="1" ref="ADX56" ca="1">INDEX(Canals!$M$24:$M$29,MATCH(2,1/((Canals!$F$24:$F$29&lt;=$C56)*(Canals!$G$24:$G$29=_xlfn.IFS(AAC56="Handysize",Main!ACL56,AAC56="Supramax",ACE56,AAC56="Panamax",ABX56,AAC56="NeoPanamax",ABQ56,AAC56="Suezmax",ABJ56,AAC56="Capesize",ABC56,AAC56="VLOC",AAV56)))))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Y56" s="75" t="e">
        <f t="array" aca="1" ref="ADY56" ca="1">INDEX(Canals!$N$24:$N$29,MATCH(2,1/((Canals!$F$24:$F$29&lt;=$C56)*(Canals!$G$24:$G$29=_xlfn.IFS(AAC56="Handysize",Main!ACL56,AAC56="Supramax",ACE56,AAC56="Panamax",ABX56,AAC56="NeoPanamax",ABQ56,AAC56="Suezmax",ABJ56,AAC56="Capesize",ABC56,AAC56="VLOC",AAV56)))))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DZ56" s="75" t="e">
        <f t="array" aca="1" ref="ADZ56" ca="1">INDEX(Canals!$O$24:$O$29,MATCH(2,1/((Canals!$F$24:$F$29&lt;=$C56)*(Canals!$G$24:$G$29=_xlfn.IFS(AAC56="Handysize",Main!ACL56,AAC56="Supramax",ACE56,AAC56="Panamax",ABX56,AAC56="NeoPanamax",ABQ56,AAC56="Suezmax",ABJ56,AAC56="Capesize",ABC56,AAC56="VLOC",AAV56)))))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A56" s="75" t="e">
        <f t="array" aca="1" ref="AEA56" ca="1">INDEX(Canals!$P$24:$P$29,MATCH(2,1/((Canals!$F$24:$F$29&lt;=$C56)*(Canals!$G$24:$G$29=_xlfn.IFS(AAC56="Handysize",Main!ACL56,AAC56="Supramax",ACE56,AAC56="Panamax",ABX56,AAC56="NeoPanamax",ABQ56,AAC56="Suezmax",ABJ56,AAC56="Capesize",ABC56,AAC56="VLOC",AAV56)))))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B56" s="75" t="e">
        <f t="array" aca="1" ref="AEB56" ca="1">INDEX(Canals!$Q$24:$Q$29,MATCH(2,1/((Canals!$F$24:$F$29&lt;=$C56)*(Canals!$G$24:$G$29=_xlfn.IFS(AAC56="Handysize",Main!ACL56,AAC56="Supramax",ACE56,AAC56="Panamax",ABX56,AAC56="NeoPanamax",ABQ56,AAC56="Suezmax",ABJ56,AAC56="Capesize",ABC56,AAC56="VLOC",AAV56)))))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C56" s="75" t="e">
        <f t="array" aca="1" ref="AEC56" ca="1">INDEX(Canals!$R$24:$R$29,MATCH(2,1/((Canals!$F$24:$F$29&lt;=$C56)*(Canals!$G$24:$G$29=_xlfn.IFS(AAC56="Handysize",Main!ACL56,AAC56="Supramax",ACE56,AAC56="Panamax",ABX56,AAC56="NeoPanamax",ABQ56,AAC56="Suezmax",ABJ56,AAC56="Capesize",ABC56,AAC56="VLOC",AAV56)))))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D56" s="136" t="e">
        <f t="array" aca="1" ref="AED56" ca="1">INDEX(Canals!$S$24:$S$29,MATCH(2,1/((Canals!$F$24:$F$29&lt;=$C56)*(Canals!$G$24:$G$29=_xlfn.IFS(AAC56="Handysize",Main!ACL56,AAC56="Supramax",ACE56,AAC56="Panamax",ABX56,AAC56="NeoPanamax",ABQ56,AAC56="Suezmax",ABJ56,AAC56="Capesize",ABC56,AAC56="VLOC",AAV56)))))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E56" s="136" t="e">
        <f t="array" aca="1" ref="AEE56" ca="1">INDEX(Canals!$T$24:$T$29,MATCH(2,1/((Canals!$F$24:$F$29&lt;=$C56)*(Canals!$G$24:$G$29=_xlfn.IFS(AAC56="Handysize",Main!ACL56,AAC56="Supramax",ACE56,AAC56="Panamax",ABX56,AAC56="NeoPanamax",ABQ56,AAC56="Suezmax",ABJ56,AAC56="Capesize",ABC56,AAC56="VLOC",AAV56)))))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F56" s="136" t="e">
        <f t="array" aca="1" ref="AEF56" ca="1">INDEX(Canals!$U$24:$U$29,MATCH(2,1/((Canals!$F$24:$F$29&lt;=$C56)*(Canals!$G$24:$G$29=_xlfn.IFS(AAC56="Handysize",Main!ACL56,AAC56="Supramax",ACE56,AAC56="Panamax",ABX56,AAC56="NeoPanamax",ABQ56,AAC56="Suezmax",ABJ56,AAC56="Capesize",ABC56,AAC56="VLOC",AAV56)))))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G56" s="136" t="e">
        <f t="array" aca="1" ref="AEG56" ca="1">INDEX(Canals!$V$24:$V$29,MATCH(2,1/((Canals!$F$24:$F$29&lt;=$C56)*(Canals!$G$24:$G$29=_xlfn.IFS(AAC56="Handysize",Main!ACL56,AAC56="Supramax",ACE56,AAC56="Panamax",ABX56,AAC56="NeoPanamax",ABQ56,AAC56="Suezmax",ABJ56,AAC56="Capesize",ABC56,AAC56="VLOC",AAV56)))))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H56" s="136" t="e">
        <f t="array" aca="1" ref="AEH56" ca="1">INDEX(Canals!$W$24:$W$29,MATCH(2,1/((Canals!$F$24:$F$29&lt;=$C56)*(Canals!$G$24:$G$29=_xlfn.IFS(AAC56="Handysize",Main!ACL56,AAC56="Supramax",ACE56,AAC56="Panamax",ABX56,AAC56="NeoPanamax",ABQ56,AAC56="Suezmax",ABJ56,AAC56="Capesize",ABC56,AAC56="VLOC",AAV56)))))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I56" s="136" t="e">
        <f t="array" aca="1" ref="AEI56" ca="1">INDEX(Canals!$X$24:$X$29,MATCH(2,1/((Canals!$F$24:$F$29&lt;=$C56)*(Canals!$G$24:$G$29=_xlfn.IFS(AAC56="Handysize",Main!ACL56,AAC56="Supramax",ACE56,AAC56="Panamax",ABX56,AAC56="NeoPanamax",ABQ56,AAC56="Suezmax",ABJ56,AAC56="Capesize",ABC56,AAC56="VLOC",AAV56)))))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J56" s="136" t="e">
        <f t="array" aca="1" ref="AEJ56" ca="1">INDEX(Canals!$Y$24:$Y$29,MATCH(2,1/((Canals!$F$24:$F$29&lt;=$C56)*(Canals!$G$24:$G$29=_xlfn.IFS(AAC56="Handysize",Main!ACL56,AAC56="Supramax",ACE56,AAC56="Panamax",ABX56,AAC56="NeoPanamax",ABQ56,AAC56="Suezmax",ABJ56,AAC56="Capesize",ABC56,AAC56="VLOC",AAV56)))))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K56" s="136" t="e">
        <f t="array" aca="1" ref="AEK56" ca="1">INDEX(Canals!$Z$24:$Z$29,MATCH(2,1/((Canals!$F$24:$F$29&lt;=$C56)*(Canals!$G$24:$G$29=_xlfn.IFS(AAC56="Handysize",Main!ACL56,AAC56="Supramax",ACE56,AAC56="Panamax",ABX56,AAC56="NeoPanamax",ABQ56,AAC56="Suezmax",ABJ56,AAC56="Capesize",ABC56,AAC56="VLOC",AAV56)))))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L56" s="136" t="e">
        <f t="array" aca="1" ref="AEL56" ca="1">INDEX(Canals!$AA$24:$AA$29,MATCH(2,1/((Canals!$F$24:$F$29&lt;=$C56)*(Canals!$G$24:$G$29=_xlfn.IFS(AAC56="Handysize",Main!ACL56,AAC56="Supramax",ACE56,AAC56="Panamax",ABX56,AAC56="NeoPanamax",ABQ56,AAC56="Suezmax",ABJ56,AAC56="Capesize",ABC56,AAC56="VLOC",AAV56)))))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M56" s="136" t="e">
        <f t="array" aca="1" ref="AEM56" ca="1">INDEX(Canals!$AB$24:$AB$29,MATCH(2,1/((Canals!$F$24:$F$29&lt;=$C56)*(Canals!$G$24:$G$29=_xlfn.IFS(AAC56="Handysize",Main!ACL56,AAC56="Supramax",ACE56,AAC56="Panamax",ABX56,AAC56="NeoPanamax",ABQ56,AAC56="Suezmax",ABJ56,AAC56="Capesize",ABC56,AAC56="VLOC",AAV56)))))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N56" s="75" t="e">
        <f t="array" aca="1" ref="AEN56" ca="1">INDEX(Canals!$AC$24:$AC$29,MATCH(2,1/((Canals!$F$24:$F$29&lt;=$C56)*(Canals!$G$24:$G$29=_xlfn.IFS(AAC56="Handysize",Main!ACL56,AAC56="Supramax",ACE56,AAC56="Panamax",ABX56,AAC56="NeoPanamax",ABQ56,AAC56="Suezmax",ABJ56,AAC56="Capesize",ABC56,AAC56="VLOC",AAV56)))))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O56" s="75" t="e">
        <f t="array" aca="1" ref="AEO56" ca="1">INDEX(Canals!$AD$24:$AD$29,MATCH(2,1/((Canals!$F$24:$F$29&lt;=$C56)*(Canals!$G$24:$G$29=_xlfn.IFS(AAC56="Handysize",Main!ACL56,AAC56="Supramax",ACE56,AAC56="Panamax",ABX56,AAC56="NeoPanamax",ABQ56,AAC56="Suezmax",ABJ56,AAC56="Capesize",ABC56,AAC56="VLOC",AAV56)))))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P56" s="75" t="e">
        <f t="array" aca="1" ref="AEP56" ca="1">INDEX(Canals!$AE$24:$AE$29,MATCH(2,1/((Canals!$F$24:$F$29&lt;=$C56)*(Canals!$G$24:$G$29=_xlfn.IFS(AAC56="Handysize",Main!ACL56,AAC56="Supramax",ACE56,AAC56="Panamax",ABX56,AAC56="NeoPanamax",ABQ56,AAC56="Suezmax",ABJ56,AAC56="Capesize",ABC56,AAC56="VLOC",AAV56)))))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Q56" s="75" t="e">
        <f t="array" aca="1" ref="AEQ56" ca="1">INDEX(Canals!$AF$24:$AF$29,MATCH(2,1/((Canals!$F$24:$F$29&lt;=$C56)*(Canals!$G$24:$G$29=_xlfn.IFS(AAC56="Handysize",Main!ACL56,AAC56="Supramax",ACE56,AAC56="Panamax",ABX56,AAC56="NeoPanamax",ABQ56,AAC56="Suezmax",ABJ56,AAC56="Capesize",ABC56,AAC56="VLOC",AAV56)))))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R56" s="75" t="e">
        <f t="array" aca="1" ref="AER56" ca="1">INDEX(Canals!$AG$24:$AG$29,MATCH(2,1/((Canals!$F$24:$F$29&lt;=$C56)*(Canals!$G$24:$G$29=_xlfn.IFS(AAC56="Handysize",Main!ACL56,AAC56="Supramax",ACE56,AAC56="Panamax",ABX56,AAC56="NeoPanamax",ABQ56,AAC56="Suezmax",ABJ56,AAC56="Capesize",ABC56,AAC56="VLOC",AAV56)))))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S56" s="75" t="e">
        <f t="array" aca="1" ref="AES56" ca="1">INDEX(Canals!$AH$24:$AH$29,MATCH(2,1/((Canals!$F$24:$F$29&lt;=$C56)*(Canals!$G$24:$G$29=_xlfn.IFS(AAC56="Handysize",Main!ACL56,AAC56="Supramax",ACE56,AAC56="Panamax",ABX56,AAC56="NeoPanamax",ABQ56,AAC56="Suezmax",ABJ56,AAC56="Capesize",ABC56,AAC56="VLOC",AAV56)))))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T56" s="75" t="e">
        <f t="array" aca="1" ref="AET56" ca="1">INDEX(Canals!$AI$24:$AI$29,MATCH(2,1/((Canals!$F$24:$F$29&lt;=$C56)*(Canals!$G$24:$G$29=_xlfn.IFS(AAC56="Handysize",Main!ACL56,AAC56="Supramax",ACE56,AAC56="Panamax",ABX56,AAC56="NeoPanamax",ABQ56,AAC56="Suezmax",ABJ56,AAC56="Capesize",ABC56,AAC56="VLOC",AAV56)))))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U56" s="75" t="e">
        <f t="array" aca="1" ref="AEU56" ca="1">INDEX(Canals!$AJ$24:$AJ$29,MATCH(2,1/((Canals!$F$24:$F$29&lt;=$C56)*(Canals!$G$24:$G$29=_xlfn.IFS(AAC56="Handysize",Main!ACL56,AAC56="Supramax",ACE56,AAC56="Panamax",ABX56,AAC56="NeoPanamax",ABQ56,AAC56="Suezmax",ABJ56,AAC56="Capesize",ABC56,AAC56="VLOC",AAV56)))))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V56" s="75" t="e">
        <f t="array" aca="1" ref="AEV56" ca="1">INDEX(Canals!$AK$24:$AK$29,MATCH(2,1/((Canals!$F$24:$F$29&lt;=$C56)*(Canals!$G$24:$G$29=_xlfn.IFS(AAC56="Handysize",Main!ACL56,AAC56="Supramax",ACE56,AAC56="Panamax",ABX56,AAC56="NeoPanamax",ABQ56,AAC56="Suezmax",ABJ56,AAC56="Capesize",ABC56,AAC56="VLOC",AAV56)))))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W56" s="136" t="e">
        <f t="array" aca="1" ref="AEW56" ca="1">INDEX(Canals!$AL$24:$AL$29,MATCH(2,1/((Canals!$F$24:$F$29&lt;=$C56)*(Canals!$G$24:$G$29=_xlfn.IFS(AAC56="Handysize",Main!ACL56,AAC56="Supramax",ACE56,AAC56="Panamax",ABX56,AAC56="NeoPanamax",ABQ56,AAC56="Suezmax",ABJ56,AAC56="Capesize",ABC56,AAC56="VLOC",AAV56)))))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X56" s="136" t="e">
        <f t="array" aca="1" ref="AEX56" ca="1">INDEX(Canals!$AM$24:$AM$29,MATCH(2,1/((Canals!$F$24:$F$29&lt;=$C56)*(Canals!$G$24:$G$29=_xlfn.IFS(AAC56="Handysize",Main!ACL56,AAC56="Supramax",ACE56,AAC56="Panamax",ABX56,AAC56="NeoPanamax",ABQ56,AAC56="Suezmax",ABJ56,AAC56="Capesize",ABC56,AAC56="VLOC",AAV56)))))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Y56" s="136" t="e">
        <f t="array" aca="1" ref="AEY56" ca="1">INDEX(Canals!$AN$24:$AN$29,MATCH(2,1/((Canals!$F$24:$F$29&lt;=$C56)*(Canals!$G$24:$G$29=_xlfn.IFS(AAC56="Handysize",Main!ACL56,AAC56="Supramax",ACE56,AAC56="Panamax",ABX56,AAC56="NeoPanamax",ABQ56,AAC56="Suezmax",ABJ56,AAC56="Capesize",ABC56,AAC56="VLOC",AAV56)))))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EZ56" s="136" t="e">
        <f t="array" aca="1" ref="AEZ56" ca="1">INDEX(Canals!$AO$24:$AO$29,MATCH(2,1/((Canals!$F$24:$F$29&lt;=$C56)*(Canals!$G$24:$G$29=_xlfn.IFS(AAC56="Handysize",Main!ACL56,AAC56="Supramax",ACE56,AAC56="Panamax",ABX56,AAC56="NeoPanamax",ABQ56,AAC56="Suezmax",ABJ56,AAC56="Capesize",ABC56,AAC56="VLOC",AAV56)))))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A56" s="136" t="e">
        <f t="array" aca="1" ref="AFA56" ca="1">INDEX(Canals!$AP$24:$AP$29,MATCH(2,1/((Canals!$F$24:$F$29&lt;=$C56)*(Canals!$G$24:$G$29=_xlfn.IFS(AAC56="Handysize",Main!ACL56,AAC56="Supramax",ACE56,AAC56="Panamax",ABX56,AAC56="NeoPanamax",ABQ56,AAC56="Suezmax",ABJ56,AAC56="Capesize",ABC56,AAC56="VLOC",AAV56)))))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B56" s="136" t="e">
        <f t="array" aca="1" ref="AFB56" ca="1">INDEX(Canals!$AQ$24:$AQ$29,MATCH(2,1/((Canals!$F$24:$F$29&lt;=$C56)*(Canals!$G$24:$G$29=_xlfn.IFS(AAC56="Handysize",Main!ACL56,AAC56="Supramax",ACE56,AAC56="Panamax",ABX56,AAC56="NeoPanamax",ABQ56,AAC56="Suezmax",ABJ56,AAC56="Capesize",ABC56,AAC56="VLOC",AAV56)))))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C56" s="136" t="e">
        <f t="array" aca="1" ref="AFC56" ca="1">INDEX(Canals!$AR$24:$AR$29,MATCH(2,1/((Canals!$F$24:$F$29&lt;=$C56)*(Canals!$G$24:$G$29=_xlfn.IFS(AAC56="Handysize",Main!ACL56,AAC56="Supramax",ACE56,AAC56="Panamax",ABX56,AAC56="NeoPanamax",ABQ56,AAC56="Suezmax",ABJ56,AAC56="Capesize",ABC56,AAC56="VLOC",AAV56)))))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D56" s="136" t="e">
        <f t="array" aca="1" ref="AFD56" ca="1">INDEX(Canals!$AS$24:$AS$29,MATCH(2,1/((Canals!$F$24:$F$29&lt;=$C56)*(Canals!$G$24:$G$29=_xlfn.IFS(AAC56="Handysize",Main!ACL56,AAC56="Supramax",ACE56,AAC56="Panamax",ABX56,AAC56="NeoPanamax",ABQ56,AAC56="Suezmax",ABJ56,AAC56="Capesize",ABC56,AAC56="VLOC",AAV56)))))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E56" s="136" t="e">
        <f t="array" aca="1" ref="AFE56" ca="1">INDEX(Canals!$AT$24:$AT$29,MATCH(2,1/((Canals!$F$24:$F$29&lt;=$C56)*(Canals!$G$24:$G$29=_xlfn.IFS(AAC56="Handysize",Main!ACL56,AAC56="Supramax",ACE56,AAC56="Panamax",ABX56,AAC56="NeoPanamax",ABQ56,AAC56="Suezmax",ABJ56,AAC56="Capesize",ABC56,AAC56="VLOC",AAV56)))))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F56" s="136" t="e">
        <f t="array" aca="1" ref="AFF56" ca="1">INDEX(Canals!$AU$24:$AU$29,MATCH(2,1/((Canals!$F$24:$F$29&lt;=$C56)*(Canals!$G$24:$G$29=_xlfn.IFS(AAC56="Handysize",Main!ACL56,AAC56="Supramax",ACE56,AAC56="Panamax",ABX56,AAC56="NeoPanamax",ABQ56,AAC56="Suezmax",ABJ56,AAC56="Capesize",ABC56,AAC56="VLOC",AAV56)))))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G56" s="136" t="e">
        <f t="array" aca="1" ref="AFG56" ca="1">INDEX(Canals!$AV$24:$AV$29,MATCH(2,1/((Canals!$F$24:$F$29&lt;=$C56)*(Canals!$G$24:$G$29=_xlfn.IFS(AAC56="Handysize",Main!ACL56,AAC56="Supramax",ACE56,AAC56="Panamax",ABX56,AAC56="NeoPanamax",ABQ56,AAC56="Suezmax",ABJ56,AAC56="Capesize",ABC56,AAC56="VLOC",AAV56)))))</f>
        <v>#N/A</v>
      </c>
      <c r="AFI56" s="75" t="e">
        <f t="array" aca="1" ref="AFI56" ca="1">_xlfn.IFS(ADT56="DWT",AAA56,ADT56="NRT",AAE56,ADT56="GRT",AAF56)</f>
        <v>#NAME?</v>
      </c>
      <c r="AFJ56" s="279" t="e">
        <f ca="1">IF(AFI56&gt;ADU56,ADU56,AFI56)</f>
        <v>#NAME?</v>
      </c>
      <c r="AFK56" s="280" t="e">
        <f t="shared" ca="1" si="509"/>
        <v>#NAME?</v>
      </c>
      <c r="AFL56" s="280" t="e">
        <f ca="1">IF(AFI56&gt;SUM(ADU56:ADW56),ADW56,AFI56-SUM(AFJ56:AFK56))</f>
        <v>#NAME?</v>
      </c>
      <c r="AFM56" s="280" t="e">
        <f ca="1">IF(AFI56&gt;SUM(ADU56:ADX56),ADX56,AFI56-SUM(AFJ56:AFL56))</f>
        <v>#NAME?</v>
      </c>
      <c r="AFN56" s="280" t="e">
        <f ca="1">IF(AFI56&gt;SUM(ADU56:ADY56),ADY56,AFI56-SUM(AFJ56:AFM56))</f>
        <v>#NAME?</v>
      </c>
      <c r="AFO56" s="280" t="e">
        <f ca="1">IF(AFI56&gt;SUM(ADU56:ADZ56),ADZ56,AFI56-SUM(AFJ56:AFN56))</f>
        <v>#NAME?</v>
      </c>
      <c r="AFP56" s="280" t="e">
        <f ca="1">IF(AFI56&gt;SUM(ADU56:AEA56),AEA56,AFI56-SUM(AFJ56:AFO56))</f>
        <v>#NAME?</v>
      </c>
      <c r="AFQ56" s="280" t="e">
        <f ca="1">IF(AFI56&gt;SUM(ADU56:AEB56),AEB56,AFI56-SUM(AFJ56:AFP56))</f>
        <v>#NAME?</v>
      </c>
      <c r="AFR56" s="280" t="e">
        <f ca="1">IF(AFI56&gt;SUM(ADU56:AEC56),AEC56,AFI56-SUM(AFJ56:AFQ56))</f>
        <v>#NAME?</v>
      </c>
      <c r="AFS56" s="75">
        <f>AAA56*$JN56</f>
        <v>180000</v>
      </c>
      <c r="AFT56" s="279" t="e">
        <f ca="1">IF(AFS56&gt;AEN56,AEN56,AFS56)</f>
        <v>#N/A</v>
      </c>
      <c r="AFU56" s="280" t="e">
        <f ca="1">IF(AFS56&gt;SUM(AEN56:AEO56),AEO56,AFS56-SUM(AFT56:AFT56))</f>
        <v>#N/A</v>
      </c>
      <c r="AFV56" s="280" t="e">
        <f ca="1">IF(AFS56&gt;SUM(AEN56:AEP56),AEP56,AFS56-SUM(AFT56:AFU56))</f>
        <v>#N/A</v>
      </c>
      <c r="AFW56" s="280" t="e">
        <f ca="1">IF(AFS56&gt;SUM(AEN56:AEQ56),AEQ56,AFS56-SUM(AFT56:AFV56))</f>
        <v>#N/A</v>
      </c>
      <c r="AFX56" s="280" t="e">
        <f ca="1">IF(AFS56&gt;SUM(AEN56:AER56),AER56,AFS56-SUM(AFT56:AFW56))</f>
        <v>#N/A</v>
      </c>
      <c r="AFY56" s="280" t="e">
        <f ca="1">IF(AFS56&gt;SUM(AEN56:AES56),AES56,AFS56-SUM(AFT56:AFX56))</f>
        <v>#N/A</v>
      </c>
      <c r="AFZ56" s="280" t="e">
        <f ca="1">IF(AFS56&gt;SUM(AEN56:AET56),AET56,AFS56-SUM(AFT56:AFY56))</f>
        <v>#N/A</v>
      </c>
      <c r="AGA56" s="280" t="e">
        <f ca="1">IF(AFS56&gt;SUM(AEN56:AEU56),AEU56,AFS56-SUM(AFT56:AFZ56))</f>
        <v>#N/A</v>
      </c>
      <c r="AGB56" s="280" t="e">
        <f ca="1">IF(AFS56&gt;SUM(AEN56:AEV56),AEV56,AFS56-SUM(AFT56:AGA56))</f>
        <v>#N/A</v>
      </c>
      <c r="AGD56" s="75" t="e">
        <f t="array" aca="1" ref="AGD56" ca="1">_xlfn.IFS(AAC56="Handysize",Main!ACF56,AAC56="Supramax",ABY56,AAC56="Panamax",ABR56,AAC56="NeoPanamax",ABK56,AAC56="Suezmax",ABD56,AAC56="Capesize",AAW56,AAC56="VLOC",AAP56)*$JI56</f>
        <v>#NAME?</v>
      </c>
      <c r="AGE56" s="274" t="e">
        <f t="array" aca="1" ref="AGE56" ca="1">_xlfn.IFS(AAC56="Handysize",Main!ACG56,AAC56="Supramax",ABZ56,AAC56="Panamax",ABS56,AAC56="NeoPanamax",ABL56,AAC56="Suezmax",ABE56,AAC56="Capesize",AAX56,AAC56="VLOC",AAQ56)*$JI56</f>
        <v>#NAME?</v>
      </c>
      <c r="AGF56" s="71" t="e">
        <f t="array" aca="1" ref="AGF56" ca="1">_xlfn.IFS(AAC56="Handysize",Main!AAH56,AAC56="Supramax",AAI56,AAC56="Panamax",AAJ56,AAC56="NeoPanamax",AAK56,AAC56="Suezmax",AAL56,AAC56="Capesize",AAM56,AAC56="VLOC",AAN56)</f>
        <v>#NAME?</v>
      </c>
      <c r="AGG56" s="71" t="e">
        <f t="array" aca="1" ref="AGG56" ca="1">_xlfn.IFS(AAC56="Handysize",Main!ACT56,AAC56="Supramax",ACU56,AAC56="Panamax",ACV56,AAC56="NeoPanamax",ACW56,AAC56="Suezmax",ACX56,AAC56="Capesize",ACY56,AAC56="VLOC",ACZ56)</f>
        <v>#NAME?</v>
      </c>
      <c r="AGH56" s="70">
        <f t="array" ref="AGH56">INDEX('Ship Speeds'!$G$11:$G$1011,MATCH(2,1/(('Ship Speeds'!$E$11:$E$1011&lt;=Main!$C56)*('Ship Speeds'!$F$11:$F$1011=Main!AAB56))))</f>
        <v>11</v>
      </c>
      <c r="AGI56" s="403">
        <f>(($KH56*AGH56^2+$KI56*AGH56^3+$KG56*AGH56)*((AAA56/$KC56)^$KD56)*$KJ56+(AAA56/$KC56)*$KF56+$KE56)</f>
        <v>36.481674919467196</v>
      </c>
      <c r="AGJ56" s="401">
        <f>(AAA56/$JY56)*$JZ56+$KA56+$KB56*(AAA56/$JY56)^2</f>
        <v>3.1716923076923083</v>
      </c>
      <c r="AGK56" s="70" t="e">
        <f ca="1">AGD56/AGH56/$JH56</f>
        <v>#NAME?</v>
      </c>
      <c r="AGL56" s="70" t="e">
        <f ca="1">AGE56/AGH56/$JH56</f>
        <v>#NAME?</v>
      </c>
      <c r="AGM56" s="70" t="e">
        <f ca="1">IF($AO56="no",$AN56,$AR56)/(1-$AL56)/AGF56</f>
        <v>#NAME?</v>
      </c>
      <c r="AGN56" s="70" t="e">
        <f ca="1">IF($AO56="no",$AN56,$AR56)/(1-$AL56)/AGG56</f>
        <v>#NAME?</v>
      </c>
      <c r="AGO56" s="72" t="e">
        <f ca="1">AFG56*$JI56</f>
        <v>#N/A</v>
      </c>
      <c r="AGP56" s="70" t="e">
        <f ca="1">MAX(SUM(AGK56:AGO56)*$JV56,$JU56)</f>
        <v>#NAME?</v>
      </c>
      <c r="AGQ56" s="70" t="e">
        <f t="array" aca="1" ref="AGQ56" ca="1">INDEX(ACN56:ACR56,MATCH(_xlfn.IFS(AAC56="Handysize",Main!ACJ56,AAC56="Supramax",ACC56,AAC56="Panamax",ABV56,AAC56="NeoPanamax",ABO56,AAC56="Suezmax",ABH56,AAC56="Capesize",ABA56,AAC56="VLOC",AAT56),$ACN$7:$ACR$7,0))</f>
        <v>#NAME?</v>
      </c>
      <c r="AGR56" s="70" t="e">
        <f t="array" aca="1" ref="AGR56" ca="1">INDEX(ACN56:ACR56,MATCH(_xlfn.IFS(AAC56="Handysize",Main!ACK56,AAC56="Supramax",ACD56,AAC56="Panamax",ABW56,AAC56="NeoPanamax",ABP56,AAC56="Suezmax",ABI56,AAC56="Capesize",ABB56,AAC56="VLOC",AAU56),$ACN$7:$ACR$7,0))</f>
        <v>#NAME?</v>
      </c>
      <c r="AGS56" s="71" t="e">
        <f ca="1">AGK56*AGI56*AGQ56</f>
        <v>#NAME?</v>
      </c>
      <c r="AGT56" s="71" t="e">
        <f ca="1">SUM(AGM56:AGP56)*AGJ56*AGR56+AGL56*AGI56*AGR56</f>
        <v>#NAME?</v>
      </c>
      <c r="AGU56" s="281">
        <f>INDEX($JA56:$JD56,MATCH(ADA56,$JA$7:$JD$7,0))</f>
        <v>7.0834199999999994</v>
      </c>
      <c r="AGV56" s="71">
        <f>ADB56/AGU56</f>
        <v>1742.3786814843679</v>
      </c>
      <c r="AGW56" s="71" t="e">
        <f ca="1">ADC56*SUM(AGN56,$JX56)/AGU56</f>
        <v>#NAME?</v>
      </c>
      <c r="AGX56" s="71" t="e">
        <f ca="1">ADD56*(AGP56*(1-$JW56))/AGU56</f>
        <v>#NAME?</v>
      </c>
      <c r="AGY56" s="71">
        <f>ADE56*(AAA56*$JN56)/AGU56</f>
        <v>67086.23800367619</v>
      </c>
      <c r="AGZ56" s="71" t="e">
        <f ca="1">ADF56*(AAA56*$JN56)*SUM(AGN56,$JX56)/AGU56</f>
        <v>#NAME?</v>
      </c>
      <c r="AHA56" s="71" t="e">
        <f ca="1">ADG56*(AAA56*$JN56)*(AGP56*(1-$JW56))/AGU56</f>
        <v>#NAME?</v>
      </c>
      <c r="AHB56" s="71">
        <f>ADH56*AAE56/AGU56</f>
        <v>47627.632284535313</v>
      </c>
      <c r="AHC56" s="71" t="e">
        <f ca="1">ADI56*AAE56*SUM(AGN56,$JX56)/AGU56</f>
        <v>#NAME?</v>
      </c>
      <c r="AHD56" s="71" t="e">
        <f ca="1">ADJ56*AAE56*(AGP56*(1-$JW56))/AGU56</f>
        <v>#NAME?</v>
      </c>
      <c r="AHE56" s="71">
        <f>ADK56*AAF56/AGU56</f>
        <v>0</v>
      </c>
      <c r="AHF56" s="71" t="e">
        <f ca="1">ADL56*AAF56*SUM(AGN56,$JX56)/AGU56</f>
        <v>#NAME?</v>
      </c>
      <c r="AHG56" s="71" t="e">
        <f ca="1">ADM56*AAF56*(AGP56*(1-$JW56))/AGU56</f>
        <v>#NAME?</v>
      </c>
      <c r="AHH56" s="72">
        <f>ADN56*AAD56/AGU56</f>
        <v>8539.7545905139705</v>
      </c>
      <c r="AHI56" s="72" t="e">
        <f ca="1">ADO56*AAD56*SUM(AGN56,$JX56)/AGU56</f>
        <v>#NAME?</v>
      </c>
      <c r="AHJ56" s="71" t="e">
        <f ca="1">ADP56*AAD56*(AGP56*(1-$JW56))/AGU56</f>
        <v>#NAME?</v>
      </c>
      <c r="AHK56" s="71" t="e">
        <f t="array" aca="1" ref="AHK56" ca="1">INDEX('Ship Time Charter Rates'!$H$22:$H$1021,MATCH(2,1/(('Ship Time Charter Rates'!$G$22:$G$1021=_xlfn.IFS(AAC56="Handysize",Main!ACH56,AAC56="Supramax",ACA56,AAC56="Panamax",ABT56,AAC56="NeoPanamax",ABM56,AAC56="Suezmax",ABF56,AAC56="Capesize",AAY56,AAC56="VLOC",AAR56))*('Ship Time Charter Rates'!$E$22:$E$1021&lt;=Main!$C56)*(NOT(ISBLANK('Ship Time Charter Rates'!$H$22:$H$1021))))))</f>
        <v>#N/A</v>
      </c>
      <c r="AHL56" s="71" t="e">
        <f ca="1">SUM(AGK56:AGP56,$JI56*$JX56)*AHK56</f>
        <v>#NAME?</v>
      </c>
      <c r="AHM56" s="70" t="e">
        <f ca="1">SUMPRODUCT(AED56:AEL56,AFJ56:AFR56)+SUMPRODUCT(AEW56:AFE56,AFT56:AGB56)</f>
        <v>#N/A</v>
      </c>
      <c r="AHN56" s="71" t="e">
        <f ca="1">SUM(AGS56,AGT56)+AHL56+AHM56+SUM(AGV56:AHJ56)</f>
        <v>#NAME?</v>
      </c>
      <c r="AHO56" s="71" t="e">
        <f ca="1">AHN56*(1+$KL56)</f>
        <v>#NAME?</v>
      </c>
      <c r="AHP56" s="72" t="e">
        <f ca="1">IF(AHO56=0,0,AHO56/(AAA56*(1-$AL56)*$JN56))</f>
        <v>#NAME?</v>
      </c>
      <c r="AHR56" s="25">
        <f>IF($AO56="yes",$AN56,$AR56)/(1-$AL56)/$JN56</f>
        <v>0</v>
      </c>
      <c r="AHS56" s="4" t="str">
        <f>VLOOKUP(AHR56,'Ship Time Charter Rates'!$F$10:$G$17,2,TRUE)</f>
        <v>Handysize</v>
      </c>
      <c r="AHT56" s="4" t="str">
        <f>VLOOKUP(AHR56,Canals!$E$5:$F$12,2,TRUE)</f>
        <v>Handysize</v>
      </c>
      <c r="AHU56" s="25">
        <f>(AHR56*$JO56 + $JP56)</f>
        <v>145.88999999999999</v>
      </c>
      <c r="AHV56" s="25">
        <f>(AHR56*$JQ56+$JR56)</f>
        <v>0</v>
      </c>
      <c r="AHW56" s="25">
        <f>(AHR56*$JS56+$JT56)</f>
        <v>4797</v>
      </c>
      <c r="AHY56" s="75">
        <f t="array" ref="AHY56">INDEX('Indices Mines Exporting Ports'!$R$20:$R$51,MATCH(2,1/(('Indices Mines Exporting Ports'!$D$20:$D$51&lt;=Main!$C56)*('Indices Mines Exporting Ports'!$Q$20:$Q$51=$AQ56))))</f>
        <v>0</v>
      </c>
      <c r="AHZ56" s="75">
        <f t="array" ref="AHZ56">INDEX('Indices Mines Exporting Ports'!$S$20:$S$51,MATCH(2,1/(('Indices Mines Exporting Ports'!$D$20:$D$51&lt;=Main!$C56)*('Indices Mines Exporting Ports'!$Q$20:$Q$51=$AQ56))))</f>
        <v>0</v>
      </c>
      <c r="AIA56" s="75">
        <f t="array" ref="AIA56">INDEX('Indices Mines Exporting Ports'!$T$20:$T$51,MATCH(2,1/(('Indices Mines Exporting Ports'!$D$20:$D$51&lt;=Main!$C56)*('Indices Mines Exporting Ports'!$Q$20:$Q$51=$AQ56))))</f>
        <v>0</v>
      </c>
      <c r="AIB56" s="75">
        <f t="array" ref="AIB56">INDEX('Indices Mines Exporting Ports'!$U$20:$U$51,MATCH(2,1/(('Indices Mines Exporting Ports'!$D$20:$D$51&lt;=Main!$C56)*('Indices Mines Exporting Ports'!$Q$20:$Q$51=$AQ56))))</f>
        <v>0</v>
      </c>
      <c r="AIC56" s="75">
        <f t="array" ref="AIC56">INDEX('Indices Mines Exporting Ports'!$V$20:$V$51,MATCH(2,1/(('Indices Mines Exporting Ports'!$D$20:$D$51&lt;=Main!$C56)*('Indices Mines Exporting Ports'!$Q$20:$Q$51=$AQ56))))</f>
        <v>0</v>
      </c>
      <c r="AID56" s="75">
        <f t="array" ref="AID56">INDEX('Indices Mines Exporting Ports'!$W$20:$W$51,MATCH(2,1/(('Indices Mines Exporting Ports'!$D$20:$D$51&lt;=Main!$C56)*('Indices Mines Exporting Ports'!$Q$20:$Q$51=$AQ56))))</f>
        <v>0</v>
      </c>
      <c r="AIE56" s="75">
        <f t="array" ref="AIE56">INDEX('Indices Mines Exporting Ports'!$X$20:$X$51,MATCH(2,1/(('Indices Mines Exporting Ports'!$D$20:$D$51&lt;=Main!$C56)*('Indices Mines Exporting Ports'!$Q$20:$Q$51=$AQ56))))</f>
        <v>0</v>
      </c>
      <c r="AIG56" s="75">
        <f t="array" ref="AIG56">INDEX('Port Linkages'!$E$18:$E$157,MATCH(2,1/(('Port Linkages'!$C$18:$C$157=$AQ56)*('Port Linkages'!$D$18:$D$157=IF($AO56="no",$AQ56,$KK56))*('Port Linkages'!$A$18:$A$157&lt;=$C56))))</f>
        <v>0</v>
      </c>
      <c r="AIH56" s="75">
        <f t="array" ref="AIH56">INDEX('Port Linkages'!$F$18:$F$157,MATCH(2,1/(('Port Linkages'!$C$18:$C$157=$AQ56)*('Port Linkages'!$D$18:$D$157=IF($AO56="no",$AQ56,$KK56))*('Port Linkages'!$A$18:$A$157&lt;=$C56))))</f>
        <v>0</v>
      </c>
      <c r="AII56" s="75">
        <f t="array" ref="AII56">INDEX('Port Linkages'!$G$18:$G$157,MATCH(2,1/(('Port Linkages'!$C$18:$C$157=$AQ56)*('Port Linkages'!$D$18:$D$157=IF($AO56="no",$AQ56,$KK56))*('Port Linkages'!$A$18:$A$157&lt;=$C56))))</f>
        <v>0</v>
      </c>
      <c r="AIJ56" s="75">
        <f t="array" ref="AIJ56">INDEX('Port Linkages'!$H$18:$H$157,MATCH(2,1/(('Port Linkages'!$C$18:$C$157=$AQ56)*('Port Linkages'!$D$18:$D$157=IF($AO56="no",$AQ56,$KK56))*('Port Linkages'!$A$18:$A$157&lt;=$C56))))</f>
        <v>0</v>
      </c>
      <c r="AIK56" s="75">
        <f t="array" ref="AIK56">INDEX('Port Linkages'!$I$18:$I$157,MATCH(2,1/(('Port Linkages'!$C$18:$C$157=$AQ56)*('Port Linkages'!$D$18:$D$157=IF($AO56="no",$AQ56,$KK56))*('Port Linkages'!$A$18:$A$157&lt;=$C56))))</f>
        <v>0</v>
      </c>
      <c r="AIL56" s="75">
        <f t="array" ref="AIL56">INDEX('Port Linkages'!$J$18:$J$157,MATCH(2,1/(('Port Linkages'!$C$18:$C$157=$AQ56)*('Port Linkages'!$D$18:$D$157=IF($AO56="no",$AQ56,$KK56))*('Port Linkages'!$A$18:$A$157&lt;=$C56))))</f>
        <v>0</v>
      </c>
      <c r="AIM56" s="75">
        <f t="array" ref="AIM56">INDEX('Port Linkages'!$K$18:$K$157,MATCH(2,1/(('Port Linkages'!$C$18:$C$157=$AQ56)*('Port Linkages'!$D$18:$D$157=IF($AO56="no",$AQ56,$KK56))*('Port Linkages'!$A$18:$A$157&lt;=$C56))))</f>
        <v>0</v>
      </c>
      <c r="AIN56" s="75">
        <f t="array" ref="AIN56">INDEX('Port Linkages'!$L$18:$L$157,MATCH(2,1/(('Port Linkages'!$C$18:$C$157=$AQ56)*('Port Linkages'!$D$18:$D$157=IF($AO56="no",$AQ56,$KK56))*('Port Linkages'!$A$18:$A$157&lt;=$C56))))</f>
        <v>0</v>
      </c>
      <c r="AIO56" s="75">
        <f t="array" ref="AIO56">INDEX('Port Linkages'!$M$18:$M$157,MATCH(2,1/(('Port Linkages'!$C$18:$C$157=$AQ56)*('Port Linkages'!$D$18:$D$157=IF($AO56="no",$AQ56,$KK56))*('Port Linkages'!$A$18:$A$157&lt;=$C56))))</f>
        <v>0</v>
      </c>
      <c r="AIP56" s="75">
        <f t="array" ref="AIP56">INDEX('Port Linkages'!$N$18:$N$157,MATCH(2,1/(('Port Linkages'!$C$18:$C$157=$AQ56)*('Port Linkages'!$D$18:$D$157=IF($AO56="no",$AQ56,$KK56))*('Port Linkages'!$A$18:$A$157&lt;=$C56))))</f>
        <v>0</v>
      </c>
      <c r="AIQ56" s="75">
        <f t="array" ref="AIQ56">INDEX('Port Linkages'!$O$18:$O$157,MATCH(2,1/(('Port Linkages'!$C$18:$C$157=$AQ56)*('Port Linkages'!$D$18:$D$157=IF($AO56="no",$AQ56,$KK56))*('Port Linkages'!$A$18:$A$157&lt;=$C56))))</f>
        <v>0</v>
      </c>
      <c r="AIR56" s="75">
        <f t="array" ref="AIR56">INDEX('Port Linkages'!$P$18:$P$157,MATCH(2,1/(('Port Linkages'!$C$18:$C$157=$AQ56)*('Port Linkages'!$D$18:$D$157=IF($AO56="no",$AQ56,$KK56))*('Port Linkages'!$A$18:$A$157&lt;=$C56))))</f>
        <v>0</v>
      </c>
      <c r="AIS56" s="75">
        <f t="array" ref="AIS56">INDEX('Port Linkages'!$Q$18:$Q$157,MATCH(2,1/(('Port Linkages'!$C$18:$C$157=$AQ56)*('Port Linkages'!$D$18:$D$157=IF($AO56="no",$AQ56,$KK56))*('Port Linkages'!$A$18:$A$157&lt;=$C56))))</f>
        <v>0</v>
      </c>
      <c r="AIT56" s="75">
        <f t="array" ref="AIT56">INDEX('Port Linkages'!$R$18:$R$157,MATCH(2,1/(('Port Linkages'!$C$18:$C$157=$AQ56)*('Port Linkages'!$D$18:$D$157=IF($AO56="no",$AQ56,$KK56))*('Port Linkages'!$A$18:$A$157&lt;=$C56))))</f>
        <v>0</v>
      </c>
      <c r="AIU56" s="75">
        <f t="array" ref="AIU56">INDEX('Port Linkages'!$S$18:$S$157,MATCH(2,1/(('Port Linkages'!$C$18:$C$157=$AQ56)*('Port Linkages'!$D$18:$D$157=IF($AO56="no",$AQ56,$KK56))*('Port Linkages'!$A$18:$A$157&lt;=$C56))))</f>
        <v>0</v>
      </c>
      <c r="AIV56" s="75">
        <f t="array" ref="AIV56">INDEX('Port Linkages'!$T$18:$T$157,MATCH(2,1/(('Port Linkages'!$C$18:$C$157=$AQ56)*('Port Linkages'!$D$18:$D$157=IF($AO56="no",$AQ56,$KK56))*('Port Linkages'!$A$18:$A$157&lt;=$C56))))</f>
        <v>0</v>
      </c>
      <c r="AIW56" s="75">
        <f t="array" ref="AIW56">INDEX('Port Linkages'!$U$18:$U$157,MATCH(2,1/(('Port Linkages'!$C$18:$C$157=$AQ56)*('Port Linkages'!$D$18:$D$157=IF($AO56="no",$AQ56,$KK56))*('Port Linkages'!$A$18:$A$157&lt;=$C56))))</f>
        <v>0</v>
      </c>
      <c r="AIX56" s="75">
        <f t="array" ref="AIX56">INDEX('Port Linkages'!$V$18:$V$157,MATCH(2,1/(('Port Linkages'!$C$18:$C$157=$AQ56)*('Port Linkages'!$D$18:$D$157=IF($AO56="no",$AQ56,$KK56))*('Port Linkages'!$A$18:$A$157&lt;=$C56))))</f>
        <v>0</v>
      </c>
      <c r="AIY56" s="75">
        <f t="array" ref="AIY56">INDEX('Port Linkages'!$W$18:$W$157,MATCH(2,1/(('Port Linkages'!$C$18:$C$157=$AQ56)*('Port Linkages'!$D$18:$D$157=IF($AO56="no",$AQ56,$KK56))*('Port Linkages'!$A$18:$A$157&lt;=$C56))))</f>
        <v>0</v>
      </c>
      <c r="AIZ56" s="75">
        <f t="array" ref="AIZ56">INDEX('Port Linkages'!$X$18:$X$157,MATCH(2,1/(('Port Linkages'!$C$18:$C$157=$AQ56)*('Port Linkages'!$D$18:$D$157=IF($AO56="no",$AQ56,$KK56))*('Port Linkages'!$A$18:$A$157&lt;=$C56))))</f>
        <v>0</v>
      </c>
      <c r="AJA56" s="75">
        <f t="array" ref="AJA56">INDEX('Port Linkages'!$Y$18:$Y$157,MATCH(2,1/(('Port Linkages'!$C$18:$C$157=$AQ56)*('Port Linkages'!$D$18:$D$157=IF($AO56="no",$AQ56,$KK56))*('Port Linkages'!$A$18:$A$157&lt;=$C56))))</f>
        <v>0</v>
      </c>
      <c r="AJB56" s="75">
        <f t="array" ref="AJB56">INDEX('Port Linkages'!$Z$18:$Z$157,MATCH(2,1/(('Port Linkages'!$C$18:$C$157=$AQ56)*('Port Linkages'!$D$18:$D$157=IF($AO56="no",$AQ56,$KK56))*('Port Linkages'!$A$18:$A$157&lt;=$C56))))</f>
        <v>0</v>
      </c>
      <c r="AJC56" s="75">
        <f t="array" ref="AJC56">INDEX('Port Linkages'!$AA$18:$AA$157,MATCH(2,1/(('Port Linkages'!$C$18:$C$157=$AQ56)*('Port Linkages'!$D$18:$D$157=IF($AO56="no",$AQ56,$KK56))*('Port Linkages'!$A$18:$A$157&lt;=$C56))))</f>
        <v>0</v>
      </c>
      <c r="AJD56" s="75">
        <f t="array" ref="AJD56">INDEX('Port Linkages'!$AB$18:$AB$157,MATCH(2,1/(('Port Linkages'!$C$18:$C$157=$AQ56)*('Port Linkages'!$D$18:$D$157=IF($AO56="no",$AQ56,$KK56))*('Port Linkages'!$A$18:$A$157&lt;=$C56))))</f>
        <v>0</v>
      </c>
      <c r="AJE56" s="75">
        <f t="array" ref="AJE56">INDEX('Port Linkages'!$AC$18:$AC$157,MATCH(2,1/(('Port Linkages'!$C$18:$C$157=$AQ56)*('Port Linkages'!$D$18:$D$157=IF($AO56="no",$AQ56,$KK56))*('Port Linkages'!$A$18:$A$157&lt;=$C56))))</f>
        <v>0</v>
      </c>
      <c r="AJF56" s="75">
        <f t="array" ref="AJF56">INDEX('Port Linkages'!$AD$18:$AD$157,MATCH(2,1/(('Port Linkages'!$C$18:$C$157=$AQ56)*('Port Linkages'!$D$18:$D$157=IF($AO56="no",$AQ56,$KK56))*('Port Linkages'!$A$18:$A$157&lt;=$C56))))</f>
        <v>0</v>
      </c>
      <c r="AJG56" s="75">
        <f t="array" ref="AJG56">INDEX('Port Linkages'!$AE$18:$AE$157,MATCH(2,1/(('Port Linkages'!$C$18:$C$157=$AQ56)*('Port Linkages'!$D$18:$D$157=IF($AO56="no",$AQ56,$KK56))*('Port Linkages'!$A$18:$A$157&lt;=$C56))))</f>
        <v>0</v>
      </c>
      <c r="AJH56" s="75">
        <f t="array" ref="AJH56">INDEX('Port Linkages'!$AF$18:$AF$157,MATCH(2,1/(('Port Linkages'!$C$18:$C$157=$AQ56)*('Port Linkages'!$D$18:$D$157=IF($AO56="no",$AQ56,$KK56))*('Port Linkages'!$A$18:$A$157&lt;=$C56))))</f>
        <v>0</v>
      </c>
      <c r="AJI56" s="75">
        <f t="array" ref="AJI56">INDEX('Port Linkages'!$AG$18:$AG$157,MATCH(2,1/(('Port Linkages'!$C$18:$C$157=$AQ56)*('Port Linkages'!$D$18:$D$157=IF($AO56="no",$AQ56,$KK56))*('Port Linkages'!$A$18:$A$157&lt;=$C56))))</f>
        <v>0</v>
      </c>
      <c r="AJJ56" s="75">
        <f t="array" ref="AJJ56">INDEX('Port Linkages'!$AH$18:$AH$157,MATCH(2,1/(('Port Linkages'!$C$18:$C$157=$AQ56)*('Port Linkages'!$D$18:$D$157=IF($AO56="no",$AQ56,$KK56))*('Port Linkages'!$A$18:$A$157&lt;=$C56))))</f>
        <v>0</v>
      </c>
      <c r="AJK56" s="75">
        <f t="array" ref="AJK56">INDEX('Port Linkages'!$AI$18:$AI$157,MATCH(2,1/(('Port Linkages'!$C$18:$C$157=$AQ56)*('Port Linkages'!$D$18:$D$157=IF($AO56="no",$AQ56,$KK56))*('Port Linkages'!$A$18:$A$157&lt;=$C56))))</f>
        <v>0</v>
      </c>
      <c r="AJL56" s="75">
        <f t="array" ref="AJL56">INDEX('Port Linkages'!$AJ$18:$AJ$157,MATCH(2,1/(('Port Linkages'!$C$18:$C$157=$AQ56)*('Port Linkages'!$D$18:$D$157=IF($AO56="no",$AQ56,$KK56))*('Port Linkages'!$A$18:$A$157&lt;=$C56))))</f>
        <v>0</v>
      </c>
      <c r="AJM56" s="75">
        <f t="array" ref="AJM56">INDEX('Port Linkages'!$AK$18:$AK$157,MATCH(2,1/(('Port Linkages'!$C$18:$C$157=$AQ56)*('Port Linkages'!$D$18:$D$157=IF($AO56="no",$AQ56,$KK56))*('Port Linkages'!$A$18:$A$157&lt;=$C56))))</f>
        <v>0</v>
      </c>
      <c r="AJN56" s="75">
        <f t="array" ref="AJN56">INDEX('Port Linkages'!$AL$18:$AL$157,MATCH(2,1/(('Port Linkages'!$C$18:$C$157=$AQ56)*('Port Linkages'!$D$18:$D$157=IF($AO56="no",$AQ56,$KK56))*('Port Linkages'!$A$18:$A$157&lt;=$C56))))</f>
        <v>0</v>
      </c>
      <c r="AJO56" s="75">
        <f t="array" ref="AJO56">INDEX('Port Linkages'!$AM$18:$AM$157,MATCH(2,1/(('Port Linkages'!$C$18:$C$157=$AQ56)*('Port Linkages'!$D$18:$D$157=IF($AO56="no",$AQ56,$KK56))*('Port Linkages'!$A$18:$A$157&lt;=$C56))))</f>
        <v>0</v>
      </c>
      <c r="AJP56" s="75">
        <f t="array" ref="AJP56">INDEX('Port Linkages'!$AN$18:$AN$157,MATCH(2,1/(('Port Linkages'!$C$18:$C$157=$AQ56)*('Port Linkages'!$D$18:$D$157=IF($AO56="no",$AQ56,$KK56))*('Port Linkages'!$A$18:$A$157&lt;=$C56))))</f>
        <v>0</v>
      </c>
      <c r="AJQ56" s="75">
        <f t="array" ref="AJQ56">INDEX('Port Linkages'!$AO$18:$AO$157,MATCH(2,1/(('Port Linkages'!$C$18:$C$157=$AQ56)*('Port Linkages'!$D$18:$D$157=IF($AO56="no",$AQ56,$KK56))*('Port Linkages'!$A$18:$A$157&lt;=$C56))))</f>
        <v>0</v>
      </c>
      <c r="AJR56" s="75">
        <f t="array" ref="AJR56">INDEX('Port Linkages'!$AP$18:$AP$157,MATCH(2,1/(('Port Linkages'!$C$18:$C$157=$AQ56)*('Port Linkages'!$D$18:$D$157=IF($AO56="no",$AQ56,$KK56))*('Port Linkages'!$A$18:$A$157&lt;=$C56))))</f>
        <v>0</v>
      </c>
      <c r="AJS56" s="75">
        <f t="array" ref="AJS56">INDEX('Port Linkages'!$AQ$18:$AQ$157,MATCH(2,1/(('Port Linkages'!$C$18:$C$157=$AQ56)*('Port Linkages'!$D$18:$D$157=IF($AO56="no",$AQ56,$KK56))*('Port Linkages'!$A$18:$A$157&lt;=$C56))))</f>
        <v>0</v>
      </c>
      <c r="AJT56" s="75">
        <f t="array" ref="AJT56">INDEX('Port Linkages'!$AR$18:$AR$157,MATCH(2,1/(('Port Linkages'!$C$18:$C$157=$AQ56)*('Port Linkages'!$D$18:$D$157=IF($AO56="no",$AQ56,$KK56))*('Port Linkages'!$A$18:$A$157&lt;=$C56))))</f>
        <v>0</v>
      </c>
      <c r="AJU56" s="75">
        <f t="array" ref="AJU56">INDEX('Port Linkages'!$AS$18:$AS$157,MATCH(2,1/(('Port Linkages'!$C$18:$C$157=$AQ56)*('Port Linkages'!$D$18:$D$157=IF($AO56="no",$AQ56,$KK56))*('Port Linkages'!$A$18:$A$157&lt;=$C56))))</f>
        <v>0</v>
      </c>
      <c r="AJV56" s="75">
        <f t="array" ref="AJV56">INDEX('Port Linkages'!$AT$18:$AT$157,MATCH(2,1/(('Port Linkages'!$C$18:$C$157=$AQ56)*('Port Linkages'!$D$18:$D$157=IF($AO56="no",$AQ56,$KK56))*('Port Linkages'!$A$18:$A$157&lt;=$C56))))</f>
        <v>0</v>
      </c>
      <c r="AJW56" s="75">
        <f t="array" ref="AJW56">INDEX('Port Linkages'!$AU$18:$AU$157,MATCH(2,1/(('Port Linkages'!$C$18:$C$157=$AQ56)*('Port Linkages'!$D$18:$D$157=IF($AO56="no",$AQ56,$KK56))*('Port Linkages'!$A$18:$A$157&lt;=$C56))))</f>
        <v>0</v>
      </c>
      <c r="AJX56" s="75">
        <f t="array" ref="AJX56">INDEX('Port Linkages'!$AV$18:$AV$157,MATCH(2,1/(('Port Linkages'!$C$18:$C$157=$AQ56)*('Port Linkages'!$D$18:$D$157=IF($AO56="no",$AQ56,$KK56))*('Port Linkages'!$A$18:$A$157&lt;=$C56))))</f>
        <v>0</v>
      </c>
      <c r="AJY56" s="75">
        <f t="array" ref="AJY56">INDEX('Port Linkages'!$AW$18:$AW$157,MATCH(2,1/(('Port Linkages'!$C$18:$C$157=$AQ56)*('Port Linkages'!$D$18:$D$157=IF($AO56="no",$AQ56,$KK56))*('Port Linkages'!$A$18:$A$157&lt;=$C56))))</f>
        <v>0</v>
      </c>
      <c r="AJZ56" s="75">
        <f t="array" ref="AJZ56">INDEX('Port Linkages'!$AX$18:$AX$157,MATCH(2,1/(('Port Linkages'!$C$18:$C$157=$AQ56)*('Port Linkages'!$D$18:$D$157=IF($AO56="no",$AQ56,$KK56))*('Port Linkages'!$A$18:$A$157&lt;=$C56))))</f>
        <v>0</v>
      </c>
      <c r="AKA56" s="75">
        <f t="array" ref="AKA56">INDEX('Port Linkages'!$AY$18:$AY$157,MATCH(2,1/(('Port Linkages'!$C$18:$C$157=$AQ56)*('Port Linkages'!$D$18:$D$157=IF($AO56="no",$AQ56,$KK56))*('Port Linkages'!$A$18:$A$157&lt;=$C56))))</f>
        <v>0</v>
      </c>
      <c r="AKB56" s="75">
        <f t="array" ref="AKB56">INDEX('Port Linkages'!$AZ$18:$AZ$157,MATCH(2,1/(('Port Linkages'!$C$18:$C$157=$AQ56)*('Port Linkages'!$D$18:$D$157=IF($AO56="no",$AQ56,$KK56))*('Port Linkages'!$A$18:$A$157&lt;=$C56))))</f>
        <v>0</v>
      </c>
      <c r="AKC56" s="75">
        <f t="array" ref="AKC56">INDEX('Port Linkages'!$BA$18:$BA$157,MATCH(2,1/(('Port Linkages'!$C$18:$C$157=$AQ56)*('Port Linkages'!$D$18:$D$157=IF($AO56="no",$AQ56,$KK56))*('Port Linkages'!$A$18:$A$157&lt;=$C56))))</f>
        <v>0</v>
      </c>
      <c r="AKE56" s="25" t="e">
        <f t="array" aca="1" ref="AKE56" ca="1">INDEX('Ship Fuel Prices'!$F$5:$F$1004,MATCH(2,1/(('Ship Fuel Prices'!$E$5:$E$1004=_xlfn.IFS(AHT56="Handysize",Main!AJZ56,AHT56="Supramax",AJS56,AHT56="Panamax",AJL56,AHT56="NeoPanamax",AJE56,AHT56="Suezmax",AIX56,AHT56="Capesize",AIQ56,AHT56="VLOC",AIJ56))*('Ship Fuel Prices'!$D$5:$D$1004&lt;=Main!$C56))))</f>
        <v>#N/A</v>
      </c>
      <c r="AKF56" s="25" t="e">
        <f t="array" aca="1" ref="AKF56" ca="1">INDEX('Ship Fuel Prices'!$G$5:$G$1004,MATCH(2,1/(('Ship Fuel Prices'!$E$5:$E$1004=_xlfn.IFS(AHT56="Handysize",Main!AJZ56,AHT56="Supramax",AJS56,AHT56="Panamax",AJL56,AHT56="NeoPanamax",AJE56,AHT56="Suezmax",AIX56,AHT56="Capesize",AIQ56,AHT56="VLOC",AIJ56))*('Ship Fuel Prices'!$D$5:$D$1004&lt;=Main!$C56))))</f>
        <v>#N/A</v>
      </c>
      <c r="AKG56" s="25" t="e">
        <f t="array" aca="1" ref="AKG56" ca="1">INDEX('Ship Fuel Prices'!$H$5:$H$1004,MATCH(2,1/(('Ship Fuel Prices'!$E$5:$E$1004=_xlfn.IFS(AHT56="Handysize",Main!AJZ56,AHT56="Supramax",AJS56,AHT56="Panamax",AJL56,AHT56="NeoPanamax",AJE56,AHT56="Suezmax",AIX56,AHT56="Capesize",AIQ56,AHT56="VLOC",AIJ56))*('Ship Fuel Prices'!$D$5:$D$1004&lt;=Main!$C56))))</f>
        <v>#N/A</v>
      </c>
      <c r="AKH56" s="25" t="e">
        <f t="array" aca="1" ref="AKH56" ca="1">INDEX('Ship Fuel Prices'!$I$5:$I$1004,MATCH(2,1/(('Ship Fuel Prices'!$E$5:$E$1004=_xlfn.IFS(AHT56="Handysize",Main!AJZ56,AHT56="Supramax",AJS56,AHT56="Panamax",AJL56,AHT56="NeoPanamax",AJE56,AHT56="Suezmax",AIX56,AHT56="Capesize",AIQ56,AHT56="VLOC",AIJ56))*('Ship Fuel Prices'!$D$5:$D$1004&lt;=Main!$C56))))</f>
        <v>#N/A</v>
      </c>
      <c r="AKI56" s="25" t="e">
        <f t="array" aca="1" ref="AKI56" ca="1">INDEX('Ship Fuel Prices'!$J$5:$J$1004,MATCH(2,1/(('Ship Fuel Prices'!$E$5:$E$1004=_xlfn.IFS(AHT56="Handysize",Main!AJZ56,AHT56="Supramax",AJS56,AHT56="Panamax",AJL56,AHT56="NeoPanamax",AJE56,AHT56="Suezmax",AIX56,AHT56="Capesize",AIQ56,AHT56="VLOC",AIJ56))*('Ship Fuel Prices'!$D$5:$D$1004&lt;=Main!$C56))))</f>
        <v>#N/A</v>
      </c>
      <c r="AKK56" s="75">
        <f t="array" ref="AKK56">INDEX('China n Importing Ports'!$E$20:$E$41,MATCH(2,1/(('China n Importing Ports'!$D$20:$D$41&lt;=$C56)*('China n Importing Ports'!$C$20:$C$41=IF($AO56="No",$AQ56,$KK56)))))</f>
        <v>0</v>
      </c>
      <c r="AKL56" s="75">
        <f t="array" ref="AKL56">INDEX('China n Importing Ports'!$F$20:$F$41,MATCH(2,1/(('China n Importing Ports'!$D$20:$D$41&lt;=$C56)*('China n Importing Ports'!$C$20:$C$41=IF($AO56="No",$AQ56,$KK56)))))</f>
        <v>0</v>
      </c>
      <c r="AKM56" s="75">
        <f t="array" ref="AKM56">INDEX('China n Importing Ports'!$G$20:$G$41,MATCH(2,1/(('China n Importing Ports'!$D$20:$D$41&lt;=$C56)*('China n Importing Ports'!$C$20:$C$41=IF($AO56="No",$AQ56,$KK56)))))</f>
        <v>0</v>
      </c>
      <c r="AKN56" s="75">
        <f t="array" ref="AKN56">INDEX('China n Importing Ports'!$H$20:$H$41,MATCH(2,1/(('China n Importing Ports'!$D$20:$D$41&lt;=$C56)*('China n Importing Ports'!$C$20:$C$41=IF($AO56="No",$AQ56,$KK56)))))</f>
        <v>0</v>
      </c>
      <c r="AKO56" s="75">
        <f t="array" ref="AKO56">INDEX('China n Importing Ports'!$I$20:$I$41,MATCH(2,1/(('China n Importing Ports'!$D$20:$D$41&lt;=$C56)*('China n Importing Ports'!$C$20:$C$41=IF($AO56="No",$AQ56,$KK56)))))</f>
        <v>0</v>
      </c>
      <c r="AKP56" s="75">
        <f t="array" ref="AKP56">INDEX('China n Importing Ports'!$J$20:$J$41,MATCH(2,1/(('China n Importing Ports'!$D$20:$D$41&lt;=$C56)*('China n Importing Ports'!$C$20:$C$41=IF($AO56="No",$AQ56,$KK56)))))</f>
        <v>0</v>
      </c>
      <c r="AKQ56" s="75">
        <f t="array" ref="AKQ56">INDEX('China n Importing Ports'!$K$20:$K$41,MATCH(2,1/(('China n Importing Ports'!$D$20:$D$41&lt;=$C56)*('China n Importing Ports'!$C$20:$C$41=IF($AO56="No",$AQ56,$KK56)))))</f>
        <v>0</v>
      </c>
      <c r="AKR56" s="75">
        <f t="array" ref="AKR56">INDEX('China n Importing Ports'!$L$20:$L$41,MATCH(2,1/(('China n Importing Ports'!$D$20:$D$41&lt;=$C56)*('China n Importing Ports'!$C$20:$C$41=IF($AO56="No",$AQ56,$KK56)))))</f>
        <v>0</v>
      </c>
      <c r="AKS56" s="75">
        <f t="array" ref="AKS56">INDEX('China n Importing Ports'!$M$20:$M$41,MATCH(2,1/(('China n Importing Ports'!$D$20:$D$41&lt;=$C56)*('China n Importing Ports'!$C$20:$C$41=IF($AO56="No",$AQ56,$KK56)))))</f>
        <v>0</v>
      </c>
      <c r="AKT56" s="75">
        <f t="array" ref="AKT56">INDEX('China n Importing Ports'!$N$20:$N$41,MATCH(2,1/(('China n Importing Ports'!$D$20:$D$41&lt;=$C56)*('China n Importing Ports'!$C$20:$C$41=IF($AO56="No",$AQ56,$KK56)))))</f>
        <v>0</v>
      </c>
      <c r="AKU56" s="75">
        <f t="array" ref="AKU56">INDEX('China n Importing Ports'!$O$20:$O$41,MATCH(2,1/(('China n Importing Ports'!$D$20:$D$41&lt;=$C56)*('China n Importing Ports'!$C$20:$C$41=IF($AO56="No",$AQ56,$KK56)))))</f>
        <v>0</v>
      </c>
      <c r="AKV56" s="136">
        <f t="array" ref="AKV56">INDEX('China n Importing Ports'!$P$20:$P$41,MATCH(2,1/(('China n Importing Ports'!$D$20:$D$41&lt;=$C56)*('China n Importing Ports'!$C$20:$C$41=IF($AO56="No",$AQ56,$KK56)))))</f>
        <v>0</v>
      </c>
      <c r="AKW56" s="136">
        <f t="array" ref="AKW56">INDEX('China n Importing Ports'!$Q$20:$Q$41,MATCH(2,1/(('China n Importing Ports'!$D$20:$D$41&lt;=$C56)*('China n Importing Ports'!$C$20:$C$41=IF($AO56="No",$AQ56,$KK56)))))</f>
        <v>0</v>
      </c>
      <c r="AKX56" s="136">
        <f t="array" ref="AKX56">INDEX('China n Importing Ports'!$R$20:$R$41,MATCH(2,1/(('China n Importing Ports'!$D$20:$D$41&lt;=$C56)*('China n Importing Ports'!$C$20:$C$41=IF($AO56="No",$AQ56,$KK56)))))</f>
        <v>0</v>
      </c>
      <c r="AKY56" s="136">
        <f t="array" ref="AKY56">INDEX('China n Importing Ports'!$S$20:$S$41,MATCH(2,1/(('China n Importing Ports'!$D$20:$D$41&lt;=$C56)*('China n Importing Ports'!$C$20:$C$41=IF($AO56="No",$AQ56,$KK56)))))</f>
        <v>0</v>
      </c>
      <c r="AKZ56" s="136">
        <f t="array" ref="AKZ56">INDEX('China n Importing Ports'!$T$20:$T$41,MATCH(2,1/(('China n Importing Ports'!$D$20:$D$41&lt;=$C56)*('China n Importing Ports'!$C$20:$C$41=IF($AO56="No",$AQ56,$KK56)))))</f>
        <v>0</v>
      </c>
      <c r="ALA56" s="136">
        <f t="array" ref="ALA56">INDEX('China n Importing Ports'!$U$20:$U$41,MATCH(2,1/(('China n Importing Ports'!$D$20:$D$41&lt;=$C56)*('China n Importing Ports'!$C$20:$C$41=IF($AO56="No",$AQ56,$KK56)))))</f>
        <v>0</v>
      </c>
      <c r="ALB56" s="136">
        <f t="array" ref="ALB56">INDEX('China n Importing Ports'!$V$20:$V$41,MATCH(2,1/(('China n Importing Ports'!$D$20:$D$41&lt;=$C56)*('China n Importing Ports'!$C$20:$C$41=IF($AO56="No",$AQ56,$KK56)))))</f>
        <v>0</v>
      </c>
      <c r="ALC56" s="136">
        <f t="array" ref="ALC56">INDEX('China n Importing Ports'!$W$20:$W$41,MATCH(2,1/(('China n Importing Ports'!$D$20:$D$41&lt;=$C56)*('China n Importing Ports'!$C$20:$C$41=IF($AO56="No",$AQ56,$KK56)))))</f>
        <v>0</v>
      </c>
      <c r="ALD56" s="136">
        <f t="array" ref="ALD56">INDEX('China n Importing Ports'!$X$20:$X$41,MATCH(2,1/(('China n Importing Ports'!$D$20:$D$41&lt;=$C56)*('China n Importing Ports'!$C$20:$C$41=IF($AO56="No",$AQ56,$KK56)))))</f>
        <v>0</v>
      </c>
      <c r="ALE56" s="136">
        <f t="array" ref="ALE56">INDEX('China n Importing Ports'!$Y$20:$Y$41,MATCH(2,1/(('China n Importing Ports'!$D$20:$D$41&lt;=$C56)*('China n Importing Ports'!$C$20:$C$41=IF($AO56="No",$AQ56,$KK56)))))</f>
        <v>0</v>
      </c>
      <c r="ALF56" s="136">
        <f t="array" ref="ALF56">INDEX('China n Importing Ports'!$Z$20:$Z$41,MATCH(2,1/(('China n Importing Ports'!$D$20:$D$41&lt;=$C56)*('China n Importing Ports'!$C$20:$C$41=IF($AO56="No",$AQ56,$KK56)))))</f>
        <v>0</v>
      </c>
      <c r="ALG56" s="136">
        <f t="array" ref="ALG56">INDEX('China n Importing Ports'!$AA$20:$AA$41,MATCH(2,1/(('China n Importing Ports'!$D$20:$D$41&lt;=$C56)*('China n Importing Ports'!$C$20:$C$41=IF($AO56="No",$AQ56,$KK56)))))</f>
        <v>0</v>
      </c>
      <c r="ALI56" s="75" t="e">
        <f t="array" aca="1" ref="ALI56" ca="1">INDEX(Canals!$G$24:$G$29,MATCH(2,1/((Canals!$F$24:$F$29&lt;=$C56)*(Canals!$G$24:$G$29=_xlfn.IFS(AHT56="Handysize",AKC56,AHT56="Supramax",AJV56,AHT56="Panamax",AJO56,AHT56="NeoPanamax",AJH56,AHT56="Suezmax",AJA56,AHT56="Capesize",AIT56,AHT56="VLOC",AIM56)))))</f>
        <v>#N/A</v>
      </c>
      <c r="ALJ56" s="75" t="e">
        <f t="array" aca="1" ref="ALJ56" ca="1">INDEX(Canals!$H$24:$H$29,MATCH(2,1/((Canals!$F$24:$F$29&lt;=$C56)*(Canals!$G$24:$G$29=_xlfn.IFS(AHT56="Handysize",AKC56,AHT56="Supramax",AJV56,AHT56="Panamax",AJO56,AHT56="NeoPanamax",AJH56,AHT56="Suezmax",AJA56,AHT56="Capesize",AIT56,AHT56="VLOC",AIM56)))))</f>
        <v>#N/A</v>
      </c>
      <c r="ALK56" s="75" t="e">
        <f t="array" aca="1" ref="ALK56" ca="1">INDEX(Canals!$I$24:$I$29,MATCH(2,1/((Canals!$F$24:$F$29&lt;=$C56)*(Canals!$G$24:$G$29=_xlfn.IFS(AHT56="Handysize",AKC56,AHT56="Supramax",AJV56,AHT56="Panamax",AJO56,AHT56="NeoPanamax",AJH56,AHT56="Suezmax",AJA56,AHT56="Capesize",AIT56,AHT56="VLOC",AIM56)))))</f>
        <v>#N/A</v>
      </c>
      <c r="ALL56" s="75" t="e">
        <f t="array" aca="1" ref="ALL56" ca="1">INDEX(Canals!$J$24:$J$29,MATCH(2,1/((Canals!$F$24:$F$29&lt;=$C56)*(Canals!$G$24:$G$29=_xlfn.IFS(AHT56="Handysize",Main!AKC56,AHT56="Supramax",AJV56,AHT56="Panamax",AJO56,AHT56="NeoPanamax",AJH56,AHT56="Suezmax",AJA56,AHT56="Capesize",AIT56,AHT56="VLOC",AIM56)))))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M56" s="75" t="e">
        <f t="array" aca="1" ref="ALM56" ca="1">INDEX(Canals!$K$24:$K$29,MATCH(2,1/((Canals!$F$24:$F$29&lt;=$C56)*(Canals!$G$24:$G$29=_xlfn.IFS(AHT56="Handysize",Main!AKC56,AHT56="Supramax",AJV56,AHT56="Panamax",AJO56,AHT56="NeoPanamax",AJH56,AHT56="Suezmax",AJA56,AHT56="Capesize",AIT56,AHT56="VLOC",AIM56)))))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N56" s="75" t="e">
        <f t="array" aca="1" ref="ALN56" ca="1">INDEX(Canals!$L$24:$L$29,MATCH(2,1/((Canals!$F$24:$F$29&lt;=$C56)*(Canals!$G$24:$G$29=_xlfn.IFS(AHT56="Handysize",Main!AKC56,AHT56="Supramax",AJV56,AHT56="Panamax",AJO56,AHT56="NeoPanamax",AJH56,AHT56="Suezmax",AJA56,AHT56="Capesize",AIT56,AHT56="VLOC",AIM56)))))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O56" s="75" t="e">
        <f t="array" aca="1" ref="ALO56" ca="1">INDEX(Canals!$M$24:$M$29,MATCH(2,1/((Canals!$F$24:$F$29&lt;=$C56)*(Canals!$G$24:$G$29=_xlfn.IFS(AHT56="Handysize",Main!AKC56,AHT56="Supramax",AJV56,AHT56="Panamax",AJO56,AHT56="NeoPanamax",AJH56,AHT56="Suezmax",AJA56,AHT56="Capesize",AIT56,AHT56="VLOC",AIM56)))))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P56" s="75" t="e">
        <f t="array" aca="1" ref="ALP56" ca="1">INDEX(Canals!$N$24:$N$29,MATCH(2,1/((Canals!$F$24:$F$29&lt;=$C56)*(Canals!$G$24:$G$29=_xlfn.IFS(AHT56="Handysize",Main!AKC56,AHT56="Supramax",AJV56,AHT56="Panamax",AJO56,AHT56="NeoPanamax",AJH56,AHT56="Suezmax",AJA56,AHT56="Capesize",AIT56,AHT56="VLOC",AIM56)))))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Q56" s="75" t="e">
        <f t="array" aca="1" ref="ALQ56" ca="1">INDEX(Canals!$O$24:$O$29,MATCH(2,1/((Canals!$F$24:$F$29&lt;=$C56)*(Canals!$G$24:$G$29=_xlfn.IFS(AHT56="Handysize",Main!AKC56,AHT56="Supramax",AJV56,AHT56="Panamax",AJO56,AHT56="NeoPanamax",AJH56,AHT56="Suezmax",AJA56,AHT56="Capesize",AIT56,AHT56="VLOC",AIM56)))))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R56" s="75" t="e">
        <f t="array" aca="1" ref="ALR56" ca="1">INDEX(Canals!$P$24:$P$29,MATCH(2,1/((Canals!$F$24:$F$29&lt;=$C56)*(Canals!$G$24:$G$29=_xlfn.IFS(AHT56="Handysize",Main!AKC56,AHT56="Supramax",AJV56,AHT56="Panamax",AJO56,AHT56="NeoPanamax",AJH56,AHT56="Suezmax",AJA56,AHT56="Capesize",AIT56,AHT56="VLOC",AIM56)))))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S56" s="75" t="e">
        <f t="array" aca="1" ref="ALS56" ca="1">INDEX(Canals!$Q$24:$Q$29,MATCH(2,1/((Canals!$F$24:$F$29&lt;=$C56)*(Canals!$G$24:$G$29=_xlfn.IFS(AHT56="Handysize",Main!AKC56,AHT56="Supramax",AJV56,AHT56="Panamax",AJO56,AHT56="NeoPanamax",AJH56,AHT56="Suezmax",AJA56,AHT56="Capesize",AIT56,AHT56="VLOC",AIM56)))))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T56" s="75" t="e">
        <f t="array" aca="1" ref="ALT56" ca="1">INDEX(Canals!$R$24:$R$29,MATCH(2,1/((Canals!$F$24:$F$29&lt;=$C56)*(Canals!$G$24:$G$29=_xlfn.IFS(AHT56="Handysize",Main!AKC56,AHT56="Supramax",AJV56,AHT56="Panamax",AJO56,AHT56="NeoPanamax",AJH56,AHT56="Suezmax",AJA56,AHT56="Capesize",AIT56,AHT56="VLOC",AIM56)))))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U56" s="136" t="e">
        <f t="array" aca="1" ref="ALU56" ca="1">INDEX(Canals!$S$24:$S$29,MATCH(2,1/((Canals!$F$24:$F$29&lt;=$C56)*(Canals!$G$24:$G$29=_xlfn.IFS(AHT56="Handysize",Main!AKC56,AHT56="Supramax",AJV56,AHT56="Panamax",AJO56,AHT56="NeoPanamax",AJH56,AHT56="Suezmax",AJA56,AHT56="Capesize",AIT56,AHT56="VLOC",AIM56)))))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V56" s="136" t="e">
        <f t="array" aca="1" ref="ALV56" ca="1">INDEX(Canals!$T$24:$T$29,MATCH(2,1/((Canals!$F$24:$F$29&lt;=$C56)*(Canals!$G$24:$G$29=_xlfn.IFS(AHT56="Handysize",Main!AKC56,AHT56="Supramax",AJV56,AHT56="Panamax",AJO56,AHT56="NeoPanamax",AJH56,AHT56="Suezmax",AJA56,AHT56="Capesize",AIT56,AHT56="VLOC",AIM56)))))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W56" s="136" t="e">
        <f t="array" aca="1" ref="ALW56" ca="1">INDEX(Canals!$U$24:$U$29,MATCH(2,1/((Canals!$F$24:$F$29&lt;=$C56)*(Canals!$G$24:$G$29=_xlfn.IFS(AHT56="Handysize",Main!AKC56,AHT56="Supramax",AJV56,AHT56="Panamax",AJO56,AHT56="NeoPanamax",AJH56,AHT56="Suezmax",AJA56,AHT56="Capesize",AIT56,AHT56="VLOC",AIM56)))))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X56" s="136" t="e">
        <f t="array" aca="1" ref="ALX56" ca="1">INDEX(Canals!$V$24:$V$29,MATCH(2,1/((Canals!$F$24:$F$29&lt;=$C56)*(Canals!$G$24:$G$29=_xlfn.IFS(AHT56="Handysize",Main!AKC56,AHT56="Supramax",AJV56,AHT56="Panamax",AJO56,AHT56="NeoPanamax",AJH56,AHT56="Suezmax",AJA56,AHT56="Capesize",AIT56,AHT56="VLOC",AIM56)))))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Y56" s="136" t="e">
        <f t="array" aca="1" ref="ALY56" ca="1">INDEX(Canals!$W$24:$W$29,MATCH(2,1/((Canals!$F$24:$F$29&lt;=$C56)*(Canals!$G$24:$G$29=_xlfn.IFS(AHT56="Handysize",Main!AKC56,AHT56="Supramax",AJV56,AHT56="Panamax",AJO56,AHT56="NeoPanamax",AJH56,AHT56="Suezmax",AJA56,AHT56="Capesize",AIT56,AHT56="VLOC",AIM56)))))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LZ56" s="136" t="e">
        <f t="array" aca="1" ref="ALZ56" ca="1">INDEX(Canals!$X$24:$X$29,MATCH(2,1/((Canals!$F$24:$F$29&lt;=$C56)*(Canals!$G$24:$G$29=_xlfn.IFS(AHT56="Handysize",Main!AKC56,AHT56="Supramax",AJV56,AHT56="Panamax",AJO56,AHT56="NeoPanamax",AJH56,AHT56="Suezmax",AJA56,AHT56="Capesize",AIT56,AHT56="VLOC",AIM56)))))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A56" s="136" t="e">
        <f t="array" aca="1" ref="AMA56" ca="1">INDEX(Canals!$Y$24:$Y$29,MATCH(2,1/((Canals!$F$24:$F$29&lt;=$C56)*(Canals!$G$24:$G$29=_xlfn.IFS(AHT56="Handysize",Main!AKC56,AHT56="Supramax",AJV56,AHT56="Panamax",AJO56,AHT56="NeoPanamax",AJH56,AHT56="Suezmax",AJA56,AHT56="Capesize",AIT56,AHT56="VLOC",AIM56)))))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B56" s="136" t="e">
        <f t="array" aca="1" ref="AMB56" ca="1">INDEX(Canals!$Z$24:$Z$29,MATCH(2,1/((Canals!$F$24:$F$29&lt;=$C56)*(Canals!$G$24:$G$29=_xlfn.IFS(AHT56="Handysize",Main!AKC56,AHT56="Supramax",AJV56,AHT56="Panamax",AJO56,AHT56="NeoPanamax",AJH56,AHT56="Suezmax",AJA56,AHT56="Capesize",AIT56,AHT56="VLOC",AIM56)))))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C56" s="136" t="e">
        <f t="array" aca="1" ref="AMC56" ca="1">INDEX(Canals!$AA$24:$AA$29,MATCH(2,1/((Canals!$F$24:$F$29&lt;=$C56)*(Canals!$G$24:$G$29=_xlfn.IFS(AHT56="Handysize",Main!AKC56,AHT56="Supramax",AJV56,AHT56="Panamax",AJO56,AHT56="NeoPanamax",AJH56,AHT56="Suezmax",AJA56,AHT56="Capesize",AIT56,AHT56="VLOC",AIM56)))))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D56" s="136" t="e">
        <f t="array" aca="1" ref="AMD56" ca="1">INDEX(Canals!$AB$24:$AB$29,MATCH(2,1/((Canals!$F$24:$F$29&lt;=$C56)*(Canals!$G$24:$G$29=_xlfn.IFS(AHT56="Handysize",Main!AKC56,AHT56="Supramax",AJV56,AHT56="Panamax",AJO56,AHT56="NeoPanamax",AJH56,AHT56="Suezmax",AJA56,AHT56="Capesize",AIT56,AHT56="VLOC",AIM56)))))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E56" s="75" t="e">
        <f t="array" aca="1" ref="AME56" ca="1">INDEX(Canals!$AC$24:$AC$29,MATCH(2,1/((Canals!$F$24:$F$29&lt;=$C56)*(Canals!$G$24:$G$29=_xlfn.IFS(AHT56="Handysize",Main!AKC56,AHT56="Supramax",AJV56,AHT56="Panamax",AJO56,AHT56="NeoPanamax",AJH56,AHT56="Suezmax",AJA56,AHT56="Capesize",AIT56,AHT56="VLOC",AIM56)))))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F56" s="75" t="e">
        <f t="array" aca="1" ref="AMF56" ca="1">INDEX(Canals!$AD$24:$AD$29,MATCH(2,1/((Canals!$F$24:$F$29&lt;=$C56)*(Canals!$G$24:$G$29=_xlfn.IFS(AHT56="Handysize",Main!AKC56,AHT56="Supramax",AJV56,AHT56="Panamax",AJO56,AHT56="NeoPanamax",AJH56,AHT56="Suezmax",AJA56,AHT56="Capesize",AIT56,AHT56="VLOC",AIM56)))))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G56" s="75" t="e">
        <f t="array" aca="1" ref="AMG56" ca="1">INDEX(Canals!$AE$24:$AE$29,MATCH(2,1/((Canals!$F$24:$F$29&lt;=$C56)*(Canals!$G$24:$G$29=_xlfn.IFS(AHT56="Handysize",Main!AKC56,AHT56="Supramax",AJV56,AHT56="Panamax",AJO56,AHT56="NeoPanamax",AJH56,AHT56="Suezmax",AJA56,AHT56="Capesize",AIT56,AHT56="VLOC",AIM56)))))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H56" s="75" t="e">
        <f t="array" aca="1" ref="AMH56" ca="1">INDEX(Canals!$AF$24:$AF$29,MATCH(2,1/((Canals!$F$24:$F$29&lt;=$C56)*(Canals!$G$24:$G$29=_xlfn.IFS(AHT56="Handysize",Main!AKC56,AHT56="Supramax",AJV56,AHT56="Panamax",AJO56,AHT56="NeoPanamax",AJH56,AHT56="Suezmax",AJA56,AHT56="Capesize",AIT56,AHT56="VLOC",AIM56)))))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I56" s="75" t="e">
        <f t="array" aca="1" ref="AMI56" ca="1">INDEX(Canals!$AG$24:$AG$29,MATCH(2,1/((Canals!$F$24:$F$29&lt;=$C56)*(Canals!$G$24:$G$29=_xlfn.IFS(AHT56="Handysize",Main!AKC56,AHT56="Supramax",AJV56,AHT56="Panamax",AJO56,AHT56="NeoPanamax",AJH56,AHT56="Suezmax",AJA56,AHT56="Capesize",AIT56,AHT56="VLOC",AIM56)))))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J56" s="75" t="e">
        <f t="array" aca="1" ref="AMJ56" ca="1">INDEX(Canals!$AH$24:$AH$29,MATCH(2,1/((Canals!$F$24:$F$29&lt;=$C56)*(Canals!$G$24:$G$29=_xlfn.IFS(AHT56="Handysize",Main!AKC56,AHT56="Supramax",AJV56,AHT56="Panamax",AJO56,AHT56="NeoPanamax",AJH56,AHT56="Suezmax",AJA56,AHT56="Capesize",AIT56,AHT56="VLOC",AIM56)))))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K56" s="75" t="e">
        <f t="array" aca="1" ref="AMK56" ca="1">INDEX(Canals!$AI$24:$AI$29,MATCH(2,1/((Canals!$F$24:$F$29&lt;=$C56)*(Canals!$G$24:$G$29=_xlfn.IFS(AHT56="Handysize",Main!AKC56,AHT56="Supramax",AJV56,AHT56="Panamax",AJO56,AHT56="NeoPanamax",AJH56,AHT56="Suezmax",AJA56,AHT56="Capesize",AIT56,AHT56="VLOC",AIM56)))))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L56" s="75" t="e">
        <f t="array" aca="1" ref="AML56" ca="1">INDEX(Canals!$AJ$24:$AJ$29,MATCH(2,1/((Canals!$F$24:$F$29&lt;=$C56)*(Canals!$G$24:$G$29=_xlfn.IFS(AHT56="Handysize",Main!AKC56,AHT56="Supramax",AJV56,AHT56="Panamax",AJO56,AHT56="NeoPanamax",AJH56,AHT56="Suezmax",AJA56,AHT56="Capesize",AIT56,AHT56="VLOC",AIM56)))))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M56" s="75" t="e">
        <f t="array" aca="1" ref="AMM56" ca="1">INDEX(Canals!$AK$24:$AK$29,MATCH(2,1/((Canals!$F$24:$F$29&lt;=$C56)*(Canals!$G$24:$G$29=_xlfn.IFS(AHT56="Handysize",Main!AKC56,AHT56="Supramax",AJV56,AHT56="Panamax",AJO56,AHT56="NeoPanamax",AJH56,AHT56="Suezmax",AJA56,AHT56="Capesize",AIT56,AHT56="VLOC",AIM56)))))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N56" s="136" t="e">
        <f t="array" aca="1" ref="AMN56" ca="1">INDEX(Canals!$AL$24:$AL$29,MATCH(2,1/((Canals!$F$24:$F$29&lt;=$C56)*(Canals!$G$24:$G$29=_xlfn.IFS(AHT56="Handysize",Main!AKC56,AHT56="Supramax",AJV56,AHT56="Panamax",AJO56,AHT56="NeoPanamax",AJH56,AHT56="Suezmax",AJA56,AHT56="Capesize",AIT56,AHT56="VLOC",AIM56)))))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O56" s="136" t="e">
        <f t="array" aca="1" ref="AMO56" ca="1">INDEX(Canals!$AM$24:$AM$29,MATCH(2,1/((Canals!$F$24:$F$29&lt;=$C56)*(Canals!$G$24:$G$29=_xlfn.IFS(AHT56="Handysize",Main!AKC56,AHT56="Supramax",AJV56,AHT56="Panamax",AJO56,AHT56="NeoPanamax",AJH56,AHT56="Suezmax",AJA56,AHT56="Capesize",AIT56,AHT56="VLOC",AIM56)))))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P56" s="136" t="e">
        <f t="array" aca="1" ref="AMP56" ca="1">INDEX(Canals!$AN$24:$AN$29,MATCH(2,1/((Canals!$F$24:$F$29&lt;=$C56)*(Canals!$G$24:$G$29=_xlfn.IFS(AHT56="Handysize",Main!AKC56,AHT56="Supramax",AJV56,AHT56="Panamax",AJO56,AHT56="NeoPanamax",AJH56,AHT56="Suezmax",AJA56,AHT56="Capesize",AIT56,AHT56="VLOC",AIM56)))))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Q56" s="136" t="e">
        <f t="array" aca="1" ref="AMQ56" ca="1">INDEX(Canals!$AO$24:$AO$29,MATCH(2,1/((Canals!$F$24:$F$29&lt;=$C56)*(Canals!$G$24:$G$29=_xlfn.IFS(AHT56="Handysize",Main!AKC56,AHT56="Supramax",AJV56,AHT56="Panamax",AJO56,AHT56="NeoPanamax",AJH56,AHT56="Suezmax",AJA56,AHT56="Capesize",AIT56,AHT56="VLOC",AIM56)))))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R56" s="136" t="e">
        <f t="array" aca="1" ref="AMR56" ca="1">INDEX(Canals!$AP$24:$AP$29,MATCH(2,1/((Canals!$F$24:$F$29&lt;=$C56)*(Canals!$G$24:$G$29=_xlfn.IFS(AHT56="Handysize",Main!AKC56,AHT56="Supramax",AJV56,AHT56="Panamax",AJO56,AHT56="NeoPanamax",AJH56,AHT56="Suezmax",AJA56,AHT56="Capesize",AIT56,AHT56="VLOC",AIM56)))))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S56" s="136" t="e">
        <f t="array" aca="1" ref="AMS56" ca="1">INDEX(Canals!$AQ$24:$AQ$29,MATCH(2,1/((Canals!$F$24:$F$29&lt;=$C56)*(Canals!$G$24:$G$29=_xlfn.IFS(AHT56="Handysize",Main!AKC56,AHT56="Supramax",AJV56,AHT56="Panamax",AJO56,AHT56="NeoPanamax",AJH56,AHT56="Suezmax",AJA56,AHT56="Capesize",AIT56,AHT56="VLOC",AIM56)))))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T56" s="136" t="e">
        <f t="array" aca="1" ref="AMT56" ca="1">INDEX(Canals!$AR$24:$AR$29,MATCH(2,1/((Canals!$F$24:$F$29&lt;=$C56)*(Canals!$G$24:$G$29=_xlfn.IFS(AHT56="Handysize",Main!AKC56,AHT56="Supramax",AJV56,AHT56="Panamax",AJO56,AHT56="NeoPanamax",AJH56,AHT56="Suezmax",AJA56,AHT56="Capesize",AIT56,AHT56="VLOC",AIM56)))))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U56" s="136" t="e">
        <f t="array" aca="1" ref="AMU56" ca="1">INDEX(Canals!$AS$24:$AS$29,MATCH(2,1/((Canals!$F$24:$F$29&lt;=$C56)*(Canals!$G$24:$G$29=_xlfn.IFS(AHT56="Handysize",Main!AKC56,AHT56="Supramax",AJV56,AHT56="Panamax",AJO56,AHT56="NeoPanamax",AJH56,AHT56="Suezmax",AJA56,AHT56="Capesize",AIT56,AHT56="VLOC",AIM56)))))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V56" s="136" t="e">
        <f t="array" aca="1" ref="AMV56" ca="1">INDEX(Canals!$AT$24:$AT$29,MATCH(2,1/((Canals!$F$24:$F$29&lt;=$C56)*(Canals!$G$24:$G$29=_xlfn.IFS(AHT56="Handysize",Main!AKC56,AHT56="Supramax",AJV56,AHT56="Panamax",AJO56,AHT56="NeoPanamax",AJH56,AHT56="Suezmax",AJA56,AHT56="Capesize",AIT56,AHT56="VLOC",AIM56)))))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W56" s="136" t="e">
        <f t="array" aca="1" ref="AMW56" ca="1">INDEX(Canals!$AU$24:$AU$29,MATCH(2,1/((Canals!$F$24:$F$29&lt;=$C56)*(Canals!$G$24:$G$29=_xlfn.IFS(AHT56="Handysize",Main!AKC56,AHT56="Supramax",AJV56,AHT56="Panamax",AJO56,AHT56="NeoPanamax",AJH56,AHT56="Suezmax",AJA56,AHT56="Capesize",AIT56,AHT56="VLOC",AIM56)))))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X56" s="136" t="e">
        <f t="array" aca="1" ref="AMX56" ca="1">INDEX(Canals!$AV$24:$AV$29,MATCH(2,1/((Canals!$F$24:$F$29&lt;=$C56)*(Canals!$G$24:$G$29=_xlfn.IFS(AHT56="Handysize",Main!AKC56,AHT56="Supramax",AJV56,AHT56="Panamax",AJO56,AHT56="NeoPanamax",AJH56,AHT56="Suezmax",AJA56,AHT56="Capesize",AIT56,AHT56="VLOC",AIM56)))))</f>
        <v>#N/A</v>
      </c>
      <c r="AMZ56" s="75" t="e">
        <f t="array" aca="1" ref="AMZ56" ca="1">_xlfn.IFS(ALK56="DWT",AHR56,ALK56="NRT",AHV56,ALK56="GRT",AHW56,ALK56=0,0)</f>
        <v>#NAME?</v>
      </c>
      <c r="ANA56" s="279" t="e">
        <f ca="1">IF(AMZ56&gt;ALL56,ALL56,AMZ56)</f>
        <v>#NAME?</v>
      </c>
      <c r="ANB56" s="280" t="e">
        <f t="shared" ca="1" si="562"/>
        <v>#NAME?</v>
      </c>
      <c r="ANC56" s="280" t="e">
        <f ca="1">IF(AMZ56&gt;SUM(ALL56:ALN56),ALN56,AMZ56-SUM(ANA56:ANB56))</f>
        <v>#NAME?</v>
      </c>
      <c r="AND56" s="280" t="e">
        <f ca="1">IF(AMZ56&gt;SUM(ALL56:ALO56),ALO56,AMZ56-SUM(ANA56:ANC56))</f>
        <v>#NAME?</v>
      </c>
      <c r="ANE56" s="280" t="e">
        <f ca="1">IF(AMZ56&gt;SUM(ALL56:ALP56),ALP56,AMZ56-SUM(ANA56:AND56))</f>
        <v>#NAME?</v>
      </c>
      <c r="ANF56" s="280" t="e">
        <f ca="1">IF(AMZ56&gt;SUM(ALL56:ALQ56),ALQ56,AMZ56-SUM(ANA56:ANE56))</f>
        <v>#NAME?</v>
      </c>
      <c r="ANG56" s="280" t="e">
        <f ca="1">IF(AMZ56&gt;SUM(ALL56:ALR56),ALR56,AMZ56-SUM(ANA56:ANF56))</f>
        <v>#NAME?</v>
      </c>
      <c r="ANH56" s="280" t="e">
        <f ca="1">IF(AMZ56&gt;SUM(ALL56:ALS56),ALS56,AMZ56-SUM(ANA56:ANG56))</f>
        <v>#NAME?</v>
      </c>
      <c r="ANI56" s="280" t="e">
        <f ca="1">IF(AMZ56&gt;SUM(ALL56:ALT56),ALT56,AMZ56-SUM(ANA56:ANH56))</f>
        <v>#NAME?</v>
      </c>
      <c r="ANJ56" s="75">
        <f>AHR56*$JN56</f>
        <v>0</v>
      </c>
      <c r="ANK56" s="279" t="e">
        <f ca="1">IF(ANJ56&gt;AME56,AME56,ANJ56)</f>
        <v>#N/A</v>
      </c>
      <c r="ANL56" s="280" t="e">
        <f ca="1">IF(ANJ56&gt;SUM(AME56:AMF56),AMF56,ANJ56-SUM(ANK56:ANK56))</f>
        <v>#N/A</v>
      </c>
      <c r="ANM56" s="280" t="e">
        <f ca="1">IF(ANJ56&gt;SUM(AME56:AMG56),AMG56,ANJ56-SUM(ANK56:ANL56))</f>
        <v>#N/A</v>
      </c>
      <c r="ANN56" s="280" t="e">
        <f ca="1">IF(ANJ56&gt;SUM(AME56:AMH56),AMH56,ANJ56-SUM(ANK56:ANM56))</f>
        <v>#N/A</v>
      </c>
      <c r="ANO56" s="280" t="e">
        <f ca="1">IF(ANJ56&gt;SUM(AME56:AMI56),AMI56,ANJ56-SUM(ANK56:ANN56))</f>
        <v>#N/A</v>
      </c>
      <c r="ANP56" s="280" t="e">
        <f ca="1">IF(ANJ56&gt;SUM(AME56:AMJ56),AMJ56,ANJ56-SUM(ANK56:ANO56))</f>
        <v>#N/A</v>
      </c>
      <c r="ANQ56" s="280" t="e">
        <f ca="1">IF(ANJ56&gt;SUM(AME56:AMK56),AMK56,ANJ56-SUM(ANK56:ANP56))</f>
        <v>#N/A</v>
      </c>
      <c r="ANR56" s="280" t="e">
        <f ca="1">IF(ANJ56&gt;SUM(AME56:AML56),AML56,ANJ56-SUM(ANK56:ANQ56))</f>
        <v>#N/A</v>
      </c>
      <c r="ANS56" s="280" t="e">
        <f ca="1">IF(ANJ56&gt;SUM(AME56:AMM56),AMM56,ANJ56-SUM(ANK56:ANR56))</f>
        <v>#N/A</v>
      </c>
      <c r="ANU56" s="75" t="e">
        <f t="array" aca="1" ref="ANU56" ca="1">_xlfn.IFS(AHT56="Handysize",Main!AJW56,AHT56="Supramax",AJP56,AHT56="Panamax",AJI56,AHT56="NeoPanamax",AJB56,AHT56="Suezmax",AIU56,AHT56="Capesize",AIN56,AHT56="VLOC",AIG56)*$JI56</f>
        <v>#NAME?</v>
      </c>
      <c r="ANV56" s="274" t="e">
        <f t="array" aca="1" ref="ANV56" ca="1">_xlfn.IFS(AHT56="Handysize",Main!AJX56,AHT56="Supramax",AJQ56,AHT56="Panamax",AJJ56,AHT56="NeoPanamax",AJC56,AHT56="Suezmax",AIV56,AHT56="Capesize",AIO56,AHT56="VLOC",AIH56)*$JI56</f>
        <v>#NAME?</v>
      </c>
      <c r="ANW56" s="71" t="e">
        <f t="array" aca="1" ref="ANW56" ca="1">_xlfn.IFS(AHT56="Handysize",Main!AHY56,AHT56="Supramax",AHZ56,AHT56="Panamax",AIA56,AHT56="NeoPanamax",AIB56,AHT56="Suezmax",AIC56,AHT56="Capesize",AID56,AHT56="VLOC",AIE56)</f>
        <v>#NAME?</v>
      </c>
      <c r="ANX56" s="71" t="e">
        <f t="array" aca="1" ref="ANX56" ca="1">_xlfn.IFS(AHT56="Handysize",Main!AKK56,AHT56="Supramax",AKL56,AHT56="Panamax",AKM56,AHT56="NeoPanamax",AKN56,AHT56="Suezmax",AKO56,AHT56="Capesize",AKP56,AHT56="VLOC",AKQ56)</f>
        <v>#NAME?</v>
      </c>
      <c r="ANY56" s="70">
        <f t="array" ref="ANY56">INDEX('Ship Speeds'!$G$11:$G$1011,MATCH(2,1/(('Ship Speeds'!$E$11:$E$1011&lt;=Main!$C56)*('Ship Speeds'!$F$11:$F$1011=Main!AHS56))))</f>
        <v>11</v>
      </c>
      <c r="ANZ56" s="403">
        <f>(($KH56*ANY56^2+$KI56*ANY56^3+$KG56*ANY56)*((AHR56/$KC56)^$KD56)*$KJ56+(AHR56/$KC56)*$KF56+$KE56)</f>
        <v>0</v>
      </c>
      <c r="AOA56" s="401">
        <f>(AHR56/$JY56)*$JZ56+$KA56+$KB56*(AHR56/$JY56)^2</f>
        <v>1.2</v>
      </c>
      <c r="AOB56" s="70" t="e">
        <f ca="1">ANU56/ANY56/$JH56</f>
        <v>#NAME?</v>
      </c>
      <c r="AOC56" s="70" t="e">
        <f ca="1">ANV56/ANY56/$JH56</f>
        <v>#NAME?</v>
      </c>
      <c r="AOD56" s="70" t="e">
        <f ca="1">IF(ANW56=0,0,IF($AO56="yes",$AN56,$AR56)/(1-$AL56)/ANW56)</f>
        <v>#NAME?</v>
      </c>
      <c r="AOE56" s="70" t="e">
        <f ca="1">IF(ANX56=0,0,IF($AO56="yes",$AN56,$AR56)/(1-$AL56)/ANX56)</f>
        <v>#NAME?</v>
      </c>
      <c r="AOF56" s="72" t="e">
        <f ca="1">AMX56*$JI56</f>
        <v>#N/A</v>
      </c>
      <c r="AOG56" s="70" t="e">
        <f ca="1">IF(ANU56=0,0,MAX(SUM(AOB56:AOF56)*$JV56,$JU56))</f>
        <v>#NAME?</v>
      </c>
      <c r="AOH56" s="70" t="e">
        <f t="array" aca="1" ref="AOH56" ca="1">IF(ANU56=0,0,INDEX(AKE56:AKI56,MATCH(_xlfn.IFS(AHT56="Handysize",Main!AKA56,AHT56="Supramax",AJT56,AHT56="Panamax",AJM56,AHT56="NeoPanamax",AJF56,AHT56="Suezmax",AIY56,AHT56="Capesize",AIR56,AHT56="VLOC",AIK56),$AKE$7:$AKI$7,0)))</f>
        <v>#NAME?</v>
      </c>
      <c r="AOI56" s="70" t="e">
        <f t="array" aca="1" ref="AOI56" ca="1">IF(ANU56=0,0,INDEX(AKE56:AKI56,MATCH(_xlfn.IFS(AHT56="Handysize",Main!AKB56,AHT56="Supramax",AJU56,AHT56="Panamax",AJN56,AHT56="NeoPanamax",AJG56,AHT56="Suezmax",AIZ56,AHT56="Capesize",AIS56,AHT56="VLOC",AIL56),$AKE$7:$AKI$7,0)))</f>
        <v>#NAME?</v>
      </c>
      <c r="AOJ56" s="71" t="e">
        <f ca="1">AOB56*ANZ56*AOH56</f>
        <v>#NAME?</v>
      </c>
      <c r="AOK56" s="71" t="e">
        <f ca="1">SUM(AOD56:AOG56)*AOA56*AOI56+AOC56*ANZ56*AOI56</f>
        <v>#NAME?</v>
      </c>
      <c r="AOL56" s="281" t="e">
        <f ca="1">IF(ANU56=0,0,INDEX($JA56:$JD56,MATCH(AKR56,$JA$7:$JD$7,0)))</f>
        <v>#NAME?</v>
      </c>
      <c r="AOM56" s="71" t="e">
        <f ca="1">IF(ANU56=0,0,AKS56/AOL56)</f>
        <v>#NAME?</v>
      </c>
      <c r="AON56" s="71" t="e">
        <f ca="1">IF(ANU56=0,0,AKT56*SUM(AOE56,$JX56)/AOL56)</f>
        <v>#NAME?</v>
      </c>
      <c r="AOO56" s="71" t="e">
        <f ca="1">IF(ANU56=0,0,AKU56*(AOG56*(1-$JW56))/AOL56)</f>
        <v>#NAME?</v>
      </c>
      <c r="AOP56" s="71" t="e">
        <f ca="1">IF(ANU56=0,0,AKV56*(AHR56*$JN56)/AOL56)</f>
        <v>#NAME?</v>
      </c>
      <c r="AOQ56" s="71" t="e">
        <f ca="1">IF(ANU56=0,0,AKW56*(AHR56*$JN56)*SUM(AOE56,$JX56)/AOL56)</f>
        <v>#NAME?</v>
      </c>
      <c r="AOR56" s="71" t="e">
        <f ca="1">IF(ANU56=0,0,AKX56*(AHR56*$JN56)*(AOG56*(1-$JW56))/AOL56)</f>
        <v>#NAME?</v>
      </c>
      <c r="AOS56" s="71" t="e">
        <f ca="1">IF(ANU56=0,0,AKY56*AHV56/AOL56)</f>
        <v>#NAME?</v>
      </c>
      <c r="AOT56" s="71" t="e">
        <f ca="1">IF(ANU56=0,0,AKZ56*AHV56*SUM(AOE56,$JX56)/AOL56)</f>
        <v>#NAME?</v>
      </c>
      <c r="AOU56" s="71" t="e">
        <f ca="1">IF(ANU56=0,0,ALA56*AHV56*(AOG56*(1-$JW56))/AOL56)</f>
        <v>#NAME?</v>
      </c>
      <c r="AOV56" s="71" t="e">
        <f ca="1">IF(ANU56=0,0,ALB56*AHW56/AOL56)</f>
        <v>#NAME?</v>
      </c>
      <c r="AOW56" s="71" t="e">
        <f ca="1">IF(ANU56=0,0,ALC56*AHW56*SUM(AOE56,$JX56)/AOL56)</f>
        <v>#NAME?</v>
      </c>
      <c r="AOX56" s="71" t="e">
        <f ca="1">IF(ANU56=0,0,ALD56*AHW56*(AOG56*(1-$JW56))/AOL56)</f>
        <v>#NAME?</v>
      </c>
      <c r="AOY56" s="72" t="e">
        <f ca="1">IF(ANU56=0,0,ALE56*AHU56/AOL56)</f>
        <v>#NAME?</v>
      </c>
      <c r="AOZ56" s="72" t="e">
        <f ca="1">IF(ANU56=0,0,ALF56*AHU56*SUM(AOE56,$JX56)/AOL56)</f>
        <v>#NAME?</v>
      </c>
      <c r="APA56" s="71" t="e">
        <f ca="1">IF(ANU56=0,0,ALG56*AHU56*(AOG56*(1-$JW56))/AOL56)</f>
        <v>#NAME?</v>
      </c>
      <c r="APB56" s="71" t="e">
        <f t="array" aca="1" ref="APB56" ca="1">IF(ANU56=0,0,INDEX('Ship Time Charter Rates'!$H$22:$H$1021,MATCH(2,1/(('Ship Time Charter Rates'!$G$22:$G$1021=_xlfn.IFS(AHT56="Handysize",Main!AJY56,AHT56="Supramax",AJR56,AHT56="Panamax",AJK56,AHT56="NeoPanamax",AJD56,AHT56="Suezmax",AIW56,AHT56="Capesize",AIP56,AHT56="VLOC",AII56))*('Ship Time Charter Rates'!$E$22:$E$1021&lt;=Main!$C56)*(NOT(ISBLANK('Ship Time Charter Rates'!$H$22:$H$1021)))))))</f>
        <v>#NAME?</v>
      </c>
      <c r="APC56" s="71" t="e">
        <f ca="1">IF(ANU56=0,0,SUM(AOB56:AOG56,$JI56*$JX56)*APB56)</f>
        <v>#NAME?</v>
      </c>
      <c r="APD56" s="70" t="e">
        <f ca="1">IF(ANU56=0,0,SUMPRODUCT(ALU56:AMC56,ANA56:ANI56)+SUMPRODUCT(AMN56:AMV56,ANK56:ANS56))</f>
        <v>#NAME?</v>
      </c>
      <c r="APE56" s="71" t="e">
        <f ca="1">IF(ANU56=0,0,SUM(AOJ56,AOK56)+APC56+APD56+SUM(AOM56:APA56))</f>
        <v>#NAME?</v>
      </c>
      <c r="APF56" s="71" t="e">
        <f ca="1">APE56*(1+$KL56)</f>
        <v>#NAME?</v>
      </c>
      <c r="APG56" s="72" t="e">
        <f ca="1">IF(APF56=0,0,APF56/(AHR56*(1-$AL56)*$JN56))</f>
        <v>#NAME?</v>
      </c>
      <c r="API56" s="287" t="s">
        <v>39</v>
      </c>
      <c r="APK56" s="289" t="e">
        <f ca="1">SUM(APG56,AHP56)</f>
        <v>#NAME?</v>
      </c>
      <c r="APL56" s="289" t="e">
        <f ca="1">SUM(ZW56,SF56)</f>
        <v>#NAME?</v>
      </c>
      <c r="APM56" s="289" t="e">
        <f ca="1">APK56-APL56</f>
        <v>#NAME?</v>
      </c>
      <c r="APO56" s="287" t="s">
        <v>39</v>
      </c>
    </row>
    <row r="57" spans="2:1107">
      <c r="B57" s="434" t="e">
        <f t="shared" ca="1" si="614"/>
        <v>#NAME?</v>
      </c>
      <c r="C57" s="18">
        <f t="shared" si="615"/>
        <v>43934</v>
      </c>
      <c r="D57" s="7" t="s">
        <v>20</v>
      </c>
      <c r="E57" s="86" t="s">
        <v>165</v>
      </c>
      <c r="F57" s="6">
        <v>45</v>
      </c>
      <c r="G57" s="1" t="s">
        <v>185</v>
      </c>
      <c r="H57" s="1" t="s">
        <v>5</v>
      </c>
      <c r="I57" s="15"/>
      <c r="J57" s="15"/>
      <c r="K57" s="15"/>
      <c r="L57" s="15"/>
      <c r="M57" s="15"/>
      <c r="N57" s="15"/>
      <c r="O57" s="15"/>
      <c r="P57" s="433">
        <v>78000.000000000015</v>
      </c>
      <c r="Q57" s="98"/>
      <c r="R57" s="7" t="s">
        <v>95</v>
      </c>
      <c r="T57" s="287" t="s">
        <v>39</v>
      </c>
      <c r="V57" s="4"/>
      <c r="W57" s="16" t="str">
        <f t="shared" si="349"/>
        <v>not used yet</v>
      </c>
      <c r="X57" s="16" t="str">
        <f t="shared" si="349"/>
        <v>not used yet</v>
      </c>
      <c r="Y57" s="16" t="str">
        <f t="shared" si="349"/>
        <v>not used yet</v>
      </c>
      <c r="Z57" s="16" t="str">
        <f t="shared" si="349"/>
        <v>not used yet</v>
      </c>
      <c r="AA57" s="16" t="str">
        <f t="shared" si="349"/>
        <v>not used yet</v>
      </c>
      <c r="AB57" s="16" t="str">
        <f t="shared" si="349"/>
        <v>not used yet</v>
      </c>
      <c r="AC57" s="16" t="str">
        <f t="shared" si="349"/>
        <v>not used yet</v>
      </c>
      <c r="AE57" s="88" t="str">
        <f>E57</f>
        <v>Weipa/Amrun Generic</v>
      </c>
      <c r="AF57" s="16">
        <f t="shared" si="350"/>
        <v>0.53</v>
      </c>
      <c r="AG57" s="16">
        <f t="shared" si="351"/>
        <v>0.36250000000000004</v>
      </c>
      <c r="AH57" s="61">
        <f t="shared" si="352"/>
        <v>0.09</v>
      </c>
      <c r="AI57" s="61">
        <f t="shared" si="353"/>
        <v>6.7500000000000004E-2</v>
      </c>
      <c r="AJ57" s="61">
        <f t="shared" si="354"/>
        <v>2.2499999999999999E-2</v>
      </c>
      <c r="AK57" s="16">
        <f t="shared" si="355"/>
        <v>0.1</v>
      </c>
      <c r="AL57" s="16">
        <f t="shared" si="356"/>
        <v>0.13</v>
      </c>
      <c r="AM57" s="24" t="str">
        <f>IM57</f>
        <v>HT-D</v>
      </c>
      <c r="AN57" s="427">
        <f t="shared" si="357"/>
        <v>78000.000000000015</v>
      </c>
      <c r="AO57" s="127" t="str">
        <f t="array" ref="AO57">IFERROR(IF(AND(AN57&gt;'Indices Mines Exporting Ports'!$D$11,MATCH(2,1/(('Indices Mines Exporting Ports'!$B$3:$B$10&lt;=C57)*('Indices Mines Exporting Ports'!$C$3:$C$10=E57)))),"Yes","No"),"No")</f>
        <v>No</v>
      </c>
      <c r="AP57" s="126" t="str">
        <f t="array" ref="AP57">IF(AO57="Yes",INDEX('Indices Mines Exporting Ports'!$D$3:$D$10,MATCH(2,1/(('Indices Mines Exporting Ports'!$B$3:$B$10&lt;=Main!C57)*('Indices Mines Exporting Ports'!$C$3:$C$10=Main!AE57)))),IF(NOT(ISBLANK(Q57)),Q57,IP57))</f>
        <v>Weipa_Amrun_Wharf</v>
      </c>
      <c r="AQ57" s="262">
        <f t="array" ref="AQ57">IF(AO57="no",0,INDEX('Indices Mines Exporting Ports'!$E$3:$E$10,MATCH(2,1/(('Indices Mines Exporting Ports'!$B$3:$B$10&lt;=Main!$C57)*('Indices Mines Exporting Ports'!$D$3:$D$10=Main!$AP57)))))</f>
        <v>0</v>
      </c>
      <c r="AR57" s="267">
        <f t="array" ref="AR57">IF(AO57="No",0,AN57/ROUND(AN57/INDEX('Indices Mines Exporting Ports'!$F$3:$F$10,MATCH(2,1/(('Indices Mines Exporting Ports'!$B$3:$B$10&lt;=Main!C57)*('Indices Mines Exporting Ports'!$C$3:$C$10=Main!AE57)))),0))</f>
        <v>0</v>
      </c>
      <c r="AS57" s="127" t="str">
        <f>IF(NOT(ISBLANK(R57)),R57,"Qingdao")</f>
        <v>Qingdao</v>
      </c>
      <c r="AT57" s="100" t="str">
        <f t="shared" si="358"/>
        <v>Australia HT</v>
      </c>
      <c r="AU57" s="100" t="str">
        <f t="shared" si="359"/>
        <v>CBIX HT</v>
      </c>
      <c r="AV57" s="242" t="s">
        <v>4</v>
      </c>
      <c r="AW57" s="242" t="s">
        <v>5</v>
      </c>
      <c r="AX57" s="292" t="e">
        <f ca="1">IF(AND(G57="FOB",H57="dmt"),F57,IF(AND(G57="FOB",H57="wmt"),F57/(1-AL57),AZ57-AY57))</f>
        <v>#NAME?</v>
      </c>
      <c r="AY57" s="291" t="e">
        <f t="shared" ca="1" si="360"/>
        <v>#NAME?</v>
      </c>
      <c r="AZ57" s="292" t="e">
        <f ca="1">IF(AND(G57&lt;&gt;"FOB",H57="dmt"),F57*IF(G57="CIF",1,(1+KL57))+APM57,IF(AND(G57&lt;&gt;"FOB",H57="wmt"),(F57*IF(G57="CIF",1,(1+KL57)))/(1-AL57),AX57+AY57))</f>
        <v>#NAME?</v>
      </c>
      <c r="BA57" s="102">
        <f>IN57</f>
        <v>0.67</v>
      </c>
      <c r="BB57" s="12"/>
      <c r="BC57" s="306" t="s">
        <v>403</v>
      </c>
      <c r="BD57" s="407">
        <f t="shared" si="361"/>
        <v>0</v>
      </c>
      <c r="BE57" s="407">
        <f t="shared" si="361"/>
        <v>0</v>
      </c>
      <c r="BF57" s="407" t="e">
        <f t="shared" ca="1" si="361"/>
        <v>#NAME?</v>
      </c>
      <c r="BG57" s="407">
        <f t="shared" si="362"/>
        <v>0</v>
      </c>
      <c r="BH57" s="407" t="e">
        <f t="shared" ca="1" si="363"/>
        <v>#NAME?</v>
      </c>
      <c r="BI57" s="263" t="e">
        <f t="shared" ca="1" si="364"/>
        <v>#NAME?</v>
      </c>
      <c r="BK57" s="287" t="s">
        <v>39</v>
      </c>
      <c r="BM57" s="291" t="e">
        <f t="shared" ca="1" si="365"/>
        <v>#NAME?</v>
      </c>
      <c r="BN57" s="298">
        <f t="shared" si="366"/>
        <v>0.53</v>
      </c>
      <c r="BO57" s="298">
        <f t="shared" si="367"/>
        <v>0.36250000000000004</v>
      </c>
      <c r="BP57" s="298">
        <f t="shared" si="368"/>
        <v>0.09</v>
      </c>
      <c r="BQ57" s="298">
        <f t="shared" si="369"/>
        <v>6.7500000000000004E-2</v>
      </c>
      <c r="BR57" s="298">
        <f t="shared" si="370"/>
        <v>2.2499999999999999E-2</v>
      </c>
      <c r="BS57" s="298">
        <f t="shared" si="371"/>
        <v>0.1</v>
      </c>
      <c r="BT57" s="298">
        <f t="shared" si="372"/>
        <v>0.13</v>
      </c>
      <c r="BU57" s="307" t="str">
        <f t="shared" si="373"/>
        <v>HT-D</v>
      </c>
      <c r="BV57" s="291">
        <f t="shared" si="374"/>
        <v>0.67</v>
      </c>
      <c r="BX57" s="300">
        <f t="array" ref="BX57">INDEX('Processing Factors'!$D$8:$D$29,MATCH(2,1/(('Processing Factors'!$B$8:$B$29&lt;=Main!$C57)*('Processing Factors'!$C$8:$C$29=Main!BU57))))</f>
        <v>1</v>
      </c>
      <c r="BY57" s="299">
        <f t="array" ref="BY57">INDEX('Processing Factors'!$E$8:$E$29,MATCH(2,1/(('Processing Factors'!$B$8:$B$29&lt;=Main!$C57)*('Processing Factors'!$C$8:$C$29=Main!BU57))))</f>
        <v>1.23</v>
      </c>
      <c r="BZ57" s="299">
        <f t="array" ref="BZ57">INDEX('Processing Factors'!$F$8:$F$29,MATCH(2,1/(('Processing Factors'!$B$8:$B$29&lt;=Main!$C57)*('Processing Factors'!$C$8:$C$29=Main!BU57))))</f>
        <v>0.6</v>
      </c>
      <c r="CA57" s="299">
        <f t="array" ref="CA57">INDEX('Processing Factors'!$G$8:$G$29,MATCH(2,1/(('Processing Factors'!$B$8:$B$29&lt;=Main!$C57)*('Processing Factors'!$C$8:$C$29=Main!BU57))))</f>
        <v>0.22</v>
      </c>
      <c r="CB57" s="299">
        <f t="array" ref="CB57">INDEX('Processing Factors'!$H$8:$H$29,MATCH(2,1/(('Processing Factors'!$B$8:$B$29&lt;=Main!$C57)*('Processing Factors'!$C$8:$C$29=Main!BU57))))</f>
        <v>13.5</v>
      </c>
      <c r="CC57" s="300">
        <f t="array" ref="CC57">INDEX('Processing Factors'!$I$8:$I$29,MATCH(2,1/(('Processing Factors'!$B$8:$B$29&lt;=Main!$C57)*('Processing Factors'!$C$8:$C$29=Main!BU57))))</f>
        <v>1</v>
      </c>
      <c r="CD57" s="300">
        <f t="array" ref="CD57">INDEX('Processing Factors'!$J$8:$J$29,MATCH(2,1/(('Processing Factors'!$B$8:$B$29&lt;=Main!$C57)*('Processing Factors'!$C$8:$C$29=Main!BU57))))</f>
        <v>0.9</v>
      </c>
      <c r="CE57" s="299">
        <f t="array" ref="CE57">INDEX('Processing Factors'!$K$8:$K$29,MATCH(2,1/(('Processing Factors'!$B$8:$B$29&lt;=Main!$C57)*('Processing Factors'!$C$8:$C$29=Main!BU57))))</f>
        <v>3.5000000000000003E-2</v>
      </c>
      <c r="CG57" s="302">
        <f t="shared" si="375"/>
        <v>0.53</v>
      </c>
      <c r="CH57" s="302">
        <f t="shared" si="376"/>
        <v>0.09</v>
      </c>
      <c r="CI57" s="302">
        <f t="shared" si="377"/>
        <v>0.41930000000000001</v>
      </c>
      <c r="CJ57" s="299">
        <f t="shared" si="378"/>
        <v>2.6499191774650872</v>
      </c>
      <c r="CK57" s="281" t="e">
        <f t="shared" ref="CK57:CK63" ca="1" si="617">(BM57+BV57)*CJ57</f>
        <v>#NAME?</v>
      </c>
      <c r="CL57" s="299">
        <f t="shared" si="379"/>
        <v>0.1780956355831147</v>
      </c>
      <c r="CM57" s="281">
        <f>CL57*$IW57</f>
        <v>42.742429573750393</v>
      </c>
      <c r="CN57" s="281">
        <f>CB57*$IV57</f>
        <v>55.912662950947436</v>
      </c>
      <c r="CO57" s="281">
        <f>CA57*$IX57</f>
        <v>7.4540264448529117</v>
      </c>
      <c r="CP57" s="299">
        <f t="shared" si="380"/>
        <v>2.0480148130482019</v>
      </c>
      <c r="CQ57" s="281">
        <f>CP57*$IY57</f>
        <v>8.6738389635862436</v>
      </c>
      <c r="CR57" s="281" t="e">
        <f t="shared" ca="1" si="381"/>
        <v>#NAME?</v>
      </c>
      <c r="CT57" s="287" t="s">
        <v>39</v>
      </c>
      <c r="CV57" s="305" t="e">
        <f t="shared" ca="1" si="382"/>
        <v>#NAME?</v>
      </c>
      <c r="CW57" s="61">
        <f t="array" ref="CW57">INDEX('Indices Mines Exporting Ports'!E$20:E$51, MATCH(2,1/(('Indices Mines Exporting Ports'!$C$20:$C$51=$AT57)*('Indices Mines Exporting Ports'!$D$20:$D$51&lt;=$C57))))</f>
        <v>0.54</v>
      </c>
      <c r="CX57" s="61">
        <f t="array" ref="CX57">INDEX('Indices Mines Exporting Ports'!F$20:F$51, MATCH(2,1/(('Indices Mines Exporting Ports'!$C$20:$C$51=$AT57)*('Indices Mines Exporting Ports'!$D$20:$D$51&lt;=$C57))))</f>
        <v>0.37250000000000005</v>
      </c>
      <c r="CY57" s="61">
        <f t="array" ref="CY57">INDEX('Indices Mines Exporting Ports'!G$20:G$51, MATCH(2,1/(('Indices Mines Exporting Ports'!$C$20:$C$51=$AT57)*('Indices Mines Exporting Ports'!$D$20:$D$51&lt;=$C57))))</f>
        <v>0.09</v>
      </c>
      <c r="CZ57" s="61">
        <f t="array" ref="CZ57">INDEX('Indices Mines Exporting Ports'!H$20:H$51, MATCH(2,1/(('Indices Mines Exporting Ports'!$C$20:$C$51=$AT57)*('Indices Mines Exporting Ports'!$D$20:$D$51&lt;=$C57))))</f>
        <v>6.7500000000000004E-2</v>
      </c>
      <c r="DA57" s="61">
        <f t="array" ref="DA57">INDEX('Indices Mines Exporting Ports'!I$20:I$51, MATCH(2,1/(('Indices Mines Exporting Ports'!$C$20:$C$51=$AT57)*('Indices Mines Exporting Ports'!$D$20:$D$51&lt;=$C57))))</f>
        <v>2.2499999999999992E-2</v>
      </c>
      <c r="DB57" s="61">
        <f t="array" ref="DB57">INDEX('Indices Mines Exporting Ports'!J$20:J$51, MATCH(2,1/(('Indices Mines Exporting Ports'!$C$20:$C$51=$AT57)*('Indices Mines Exporting Ports'!$D$20:$D$51&lt;=$C57))))</f>
        <v>0.1</v>
      </c>
      <c r="DC57" s="61">
        <f t="array" ref="DC57">INDEX('Indices Mines Exporting Ports'!K$20:K$51, MATCH(2,1/(('Indices Mines Exporting Ports'!$C$20:$C$51=$AT57)*('Indices Mines Exporting Ports'!$D$20:$D$51&lt;=$C57))))</f>
        <v>0.125</v>
      </c>
      <c r="DD57" s="103" t="str">
        <f t="array" ref="DD57">INDEX('Indices Mines Exporting Ports'!L$20:L$51, MATCH(2,1/(('Indices Mines Exporting Ports'!$C$20:$C$51=$AT57)*('Indices Mines Exporting Ports'!$D$20:$D$51&lt;=$C57))))</f>
        <v>HT-D</v>
      </c>
      <c r="DE57" s="243">
        <f t="array" ref="DE57">INDEX('Indices Mines Exporting Ports'!M$20:M$51, MATCH(2,1/(('Indices Mines Exporting Ports'!$C$20:$C$51=$AT57)*('Indices Mines Exporting Ports'!$D$20:$D$51&lt;=$C57))))</f>
        <v>0.67</v>
      </c>
      <c r="DG57" s="300">
        <f t="array" ref="DG57">INDEX('Processing Factors'!$D$8:$D$29,MATCH(2,1/(('Processing Factors'!$B$8:$B$29&lt;=Main!$C57)*('Processing Factors'!$C$8:$C$29=Main!DD57))))</f>
        <v>1</v>
      </c>
      <c r="DH57" s="299">
        <f t="array" ref="DH57">INDEX('Processing Factors'!$E$8:$E$29,MATCH(2,1/(('Processing Factors'!$B$8:$B$29&lt;=Main!$C57)*('Processing Factors'!$C$8:$C$29=Main!DD57))))</f>
        <v>1.23</v>
      </c>
      <c r="DI57" s="299">
        <f t="array" ref="DI57">INDEX('Processing Factors'!$F$8:$F$29,MATCH(2,1/(('Processing Factors'!$B$8:$B$29&lt;=Main!$C57)*('Processing Factors'!$C$8:$C$29=Main!DD57))))</f>
        <v>0.6</v>
      </c>
      <c r="DJ57" s="299">
        <f t="array" ref="DJ57">INDEX('Processing Factors'!$G$8:$G$29,MATCH(2,1/(('Processing Factors'!$B$8:$B$29&lt;=Main!$C57)*('Processing Factors'!$C$8:$C$29=Main!DD57))))</f>
        <v>0.22</v>
      </c>
      <c r="DK57" s="299">
        <f t="array" ref="DK57">INDEX('Processing Factors'!$H$8:$H$29,MATCH(2,1/(('Processing Factors'!$B$8:$B$29&lt;=Main!$C57)*('Processing Factors'!$C$8:$C$29=Main!DD57))))</f>
        <v>13.5</v>
      </c>
      <c r="DL57" s="300">
        <f t="array" ref="DL57">INDEX('Processing Factors'!$I$8:$I$29,MATCH(2,1/(('Processing Factors'!$B$8:$B$29&lt;=Main!$C57)*('Processing Factors'!$C$8:$C$29=Main!DD57))))</f>
        <v>1</v>
      </c>
      <c r="DM57" s="300">
        <f t="array" ref="DM57">INDEX('Processing Factors'!$J$8:$J$29,MATCH(2,1/(('Processing Factors'!$B$8:$B$29&lt;=Main!$C57)*('Processing Factors'!$C$8:$C$29=Main!DD57))))</f>
        <v>0.9</v>
      </c>
      <c r="DN57" s="299">
        <f t="array" ref="DN57">INDEX('Processing Factors'!$K$8:$K$29,MATCH(2,1/(('Processing Factors'!$B$8:$B$29&lt;=Main!$C57)*('Processing Factors'!$C$8:$C$29=Main!DD57))))</f>
        <v>3.5000000000000003E-2</v>
      </c>
      <c r="DP57" s="302">
        <f t="shared" si="383"/>
        <v>0.54</v>
      </c>
      <c r="DQ57" s="302">
        <f t="shared" si="384"/>
        <v>0.09</v>
      </c>
      <c r="DR57" s="302">
        <f t="shared" si="385"/>
        <v>0.42930000000000001</v>
      </c>
      <c r="DS57" s="299">
        <f t="shared" si="386"/>
        <v>2.5881926650619871</v>
      </c>
      <c r="DT57" s="304">
        <v>0</v>
      </c>
      <c r="DU57" s="299">
        <f t="shared" si="387"/>
        <v>0.1747624039133473</v>
      </c>
      <c r="DV57" s="281">
        <f>DU57*$IW57</f>
        <v>41.942463760823223</v>
      </c>
      <c r="DW57" s="281">
        <f>DK57*$IV57</f>
        <v>55.912662950947436</v>
      </c>
      <c r="DX57" s="281">
        <f>DJ57*$IX57</f>
        <v>7.4540264448529117</v>
      </c>
      <c r="DY57" s="299">
        <f t="shared" si="388"/>
        <v>1.9829550689753344</v>
      </c>
      <c r="DZ57" s="281">
        <f>DY57*$IY57</f>
        <v>8.3982951835779946</v>
      </c>
      <c r="EA57" s="281">
        <f t="shared" si="389"/>
        <v>113.70744834020157</v>
      </c>
      <c r="EC57" s="287" t="s">
        <v>39</v>
      </c>
      <c r="EE57" s="305" t="e">
        <f t="shared" ca="1" si="390"/>
        <v>#NAME?</v>
      </c>
      <c r="EF57" s="16">
        <f t="array" ref="EF57">INDEX('Indices Mines Exporting Ports'!E$20:E$51, MATCH(2,1/(('Indices Mines Exporting Ports'!$C$20:$C$51=$AU57)*('Indices Mines Exporting Ports'!$D$20:$D$51&lt;=$C57))))</f>
        <v>0.5</v>
      </c>
      <c r="EG57" s="16">
        <f t="array" ref="EG57">INDEX('Indices Mines Exporting Ports'!F$20:F$51, MATCH(2,1/(('Indices Mines Exporting Ports'!$C$20:$C$51=$AU57)*('Indices Mines Exporting Ports'!$D$20:$D$51&lt;=$C57))))</f>
        <v>0.45</v>
      </c>
      <c r="EH57" s="16">
        <f t="array" ref="EH57">INDEX('Indices Mines Exporting Ports'!G$20:G$51, MATCH(2,1/(('Indices Mines Exporting Ports'!$C$20:$C$51=$AU57)*('Indices Mines Exporting Ports'!$D$20:$D$51&lt;=$C57))))</f>
        <v>0.05</v>
      </c>
      <c r="EI57" s="16">
        <f t="array" ref="EI57">INDEX('Indices Mines Exporting Ports'!H$20:H$51, MATCH(2,1/(('Indices Mines Exporting Ports'!$C$20:$C$51=$AU57)*('Indices Mines Exporting Ports'!$D$20:$D$51&lt;=$C57))))</f>
        <v>0.05</v>
      </c>
      <c r="EJ57" s="16">
        <f t="array" ref="EJ57">INDEX('Indices Mines Exporting Ports'!I$20:I$51, MATCH(2,1/(('Indices Mines Exporting Ports'!$C$20:$C$51=$AU57)*('Indices Mines Exporting Ports'!$D$20:$D$51&lt;=$C57))))</f>
        <v>0</v>
      </c>
      <c r="EK57" s="16">
        <f t="array" ref="EK57">INDEX('Indices Mines Exporting Ports'!J$20:J$51, MATCH(2,1/(('Indices Mines Exporting Ports'!$C$20:$C$51=$AU57)*('Indices Mines Exporting Ports'!$D$20:$D$51&lt;=$C57))))</f>
        <v>0</v>
      </c>
      <c r="EL57" s="16">
        <f t="array" ref="EL57">INDEX('Indices Mines Exporting Ports'!K$20:K$51, MATCH(2,1/(('Indices Mines Exporting Ports'!$C$20:$C$51=$AU57)*('Indices Mines Exporting Ports'!$D$20:$D$51&lt;=$C57))))</f>
        <v>0.1</v>
      </c>
      <c r="EM57" s="103" t="str">
        <f t="array" ref="EM57">INDEX('Indices Mines Exporting Ports'!L$20:L$51, MATCH(2,1/(('Indices Mines Exporting Ports'!$C$20:$C$51=$AU57)*('Indices Mines Exporting Ports'!$D$20:$D$51&lt;=$C57))))</f>
        <v>LT</v>
      </c>
      <c r="EN57" s="243">
        <f t="array" ref="EN57">INDEX('Indices Mines Exporting Ports'!M$20:M$51, MATCH(2,1/(('Indices Mines Exporting Ports'!$C$20:$C$51=$AU57)*('Indices Mines Exporting Ports'!$D$20:$D$51&lt;=$C57))))</f>
        <v>0</v>
      </c>
      <c r="EP57" s="300">
        <f t="array" ref="EP57">INDEX('Processing Factors'!$D$8:$D$29,MATCH(2,1/(('Processing Factors'!$B$8:$B$29&lt;=Main!$C57)*('Processing Factors'!$C$8:$C$29=Main!EM57))))</f>
        <v>0</v>
      </c>
      <c r="EQ57" s="299">
        <f t="array" ref="EQ57">INDEX('Processing Factors'!$E$8:$E$29,MATCH(2,1/(('Processing Factors'!$B$8:$B$29&lt;=Main!$C57)*('Processing Factors'!$C$8:$C$29=Main!EM57))))</f>
        <v>1</v>
      </c>
      <c r="ER57" s="299">
        <f t="array" ref="ER57">INDEX('Processing Factors'!$F$8:$F$29,MATCH(2,1/(('Processing Factors'!$B$8:$B$29&lt;=Main!$C57)*('Processing Factors'!$C$8:$C$29=Main!EM57))))</f>
        <v>0.9</v>
      </c>
      <c r="ES57" s="299">
        <f t="array" ref="ES57">INDEX('Processing Factors'!$G$8:$G$29,MATCH(2,1/(('Processing Factors'!$B$8:$B$29&lt;=Main!$C57)*('Processing Factors'!$C$8:$C$29=Main!EM57))))</f>
        <v>3.5999999999999997E-2</v>
      </c>
      <c r="ET57" s="299">
        <f t="array" ref="ET57">INDEX('Processing Factors'!$H$8:$H$29,MATCH(2,1/(('Processing Factors'!$B$8:$B$29&lt;=Main!$C57)*('Processing Factors'!$C$8:$C$29=Main!EM57))))</f>
        <v>12.15</v>
      </c>
      <c r="EU57" s="300">
        <f t="array" ref="EU57">INDEX('Processing Factors'!$I$8:$I$29,MATCH(2,1/(('Processing Factors'!$B$8:$B$29&lt;=Main!$C57)*('Processing Factors'!$C$8:$C$29=Main!EM57))))</f>
        <v>0</v>
      </c>
      <c r="EV57" s="300">
        <f t="array" ref="EV57">INDEX('Processing Factors'!$J$8:$J$29,MATCH(2,1/(('Processing Factors'!$B$8:$B$29&lt;=Main!$C57)*('Processing Factors'!$C$8:$C$29=Main!EM57))))</f>
        <v>0.9</v>
      </c>
      <c r="EW57" s="299">
        <f t="array" ref="EW57">INDEX('Processing Factors'!$K$8:$K$29,MATCH(2,1/(('Processing Factors'!$B$8:$B$29&lt;=Main!$C57)*('Processing Factors'!$C$8:$C$29=Main!EM57))))</f>
        <v>3.5000000000000003E-2</v>
      </c>
      <c r="EY57" s="302">
        <f t="shared" si="391"/>
        <v>0.5</v>
      </c>
      <c r="EZ57" s="302">
        <f t="shared" si="392"/>
        <v>0.05</v>
      </c>
      <c r="FA57" s="302">
        <f t="shared" si="393"/>
        <v>0.45</v>
      </c>
      <c r="FB57" s="299">
        <f t="shared" si="394"/>
        <v>2.4691358024691357</v>
      </c>
      <c r="FC57" s="304">
        <v>0</v>
      </c>
      <c r="FD57" s="299">
        <f t="shared" si="395"/>
        <v>0.14611111111111114</v>
      </c>
      <c r="FE57" s="281">
        <f>FD57*$IW57</f>
        <v>35.06623762093578</v>
      </c>
      <c r="FF57" s="281">
        <f>ET57*$IV57</f>
        <v>50.321396655852695</v>
      </c>
      <c r="FG57" s="281">
        <f>ES57*$IX57</f>
        <v>1.2197497818850218</v>
      </c>
      <c r="FH57" s="299">
        <f t="shared" si="396"/>
        <v>1.8352469135802467</v>
      </c>
      <c r="FI57" s="281">
        <f>FH57*$IY57</f>
        <v>7.7727153560578666</v>
      </c>
      <c r="FJ57" s="281">
        <f t="shared" si="397"/>
        <v>94.380099414731376</v>
      </c>
      <c r="FL57" s="287" t="s">
        <v>39</v>
      </c>
      <c r="FN57" s="315" t="e">
        <f t="shared" ca="1" si="398"/>
        <v>#NAME?</v>
      </c>
      <c r="FO57" s="316">
        <f t="shared" si="399"/>
        <v>0.53</v>
      </c>
      <c r="FP57" s="316">
        <f t="shared" si="400"/>
        <v>0.36250000000000004</v>
      </c>
      <c r="FQ57" s="316">
        <f t="shared" si="401"/>
        <v>0.09</v>
      </c>
      <c r="FR57" s="316">
        <f t="shared" si="402"/>
        <v>6.7500000000000004E-2</v>
      </c>
      <c r="FS57" s="316">
        <f t="shared" si="403"/>
        <v>2.2499999999999999E-2</v>
      </c>
      <c r="FT57" s="316">
        <f t="shared" si="404"/>
        <v>0.1</v>
      </c>
      <c r="FU57" s="316">
        <f t="shared" si="405"/>
        <v>0.13</v>
      </c>
      <c r="FV57" s="317" t="str">
        <f t="shared" si="406"/>
        <v>HT-D</v>
      </c>
      <c r="FW57" s="318">
        <v>0</v>
      </c>
      <c r="FX57" s="237"/>
      <c r="FY57" s="319">
        <f t="array" ref="FY57">INDEX('Processing Factors'!$D$8:$D$29,MATCH(2,1/(('Processing Factors'!$B$8:$B$29&lt;=Main!$C57)*('Processing Factors'!$C$8:$C$29=Main!FV57))))</f>
        <v>1</v>
      </c>
      <c r="FZ57" s="320">
        <f t="array" ref="FZ57">INDEX('Processing Factors'!$E$8:$E$29,MATCH(2,1/(('Processing Factors'!$B$8:$B$29&lt;=Main!$C57)*('Processing Factors'!$C$8:$C$29=Main!FV57))))</f>
        <v>1.23</v>
      </c>
      <c r="GA57" s="320">
        <f t="array" ref="GA57">INDEX('Processing Factors'!$F$8:$F$29,MATCH(2,1/(('Processing Factors'!$B$8:$B$29&lt;=Main!$C57)*('Processing Factors'!$C$8:$C$29=Main!FV57))))</f>
        <v>0.6</v>
      </c>
      <c r="GB57" s="320">
        <f t="array" ref="GB57">INDEX('Processing Factors'!$G$8:$G$29,MATCH(2,1/(('Processing Factors'!$B$8:$B$29&lt;=Main!$C57)*('Processing Factors'!$C$8:$C$29=Main!FV57))))</f>
        <v>0.22</v>
      </c>
      <c r="GC57" s="320">
        <f t="array" ref="GC57">INDEX('Processing Factors'!$H$8:$H$29,MATCH(2,1/(('Processing Factors'!$B$8:$B$29&lt;=Main!$C57)*('Processing Factors'!$C$8:$C$29=Main!FV57))))</f>
        <v>13.5</v>
      </c>
      <c r="GD57" s="319">
        <f t="array" ref="GD57">INDEX('Processing Factors'!$I$8:$I$29,MATCH(2,1/(('Processing Factors'!$B$8:$B$29&lt;=Main!$C57)*('Processing Factors'!$C$8:$C$29=Main!FV57))))</f>
        <v>1</v>
      </c>
      <c r="GE57" s="321">
        <v>0.92</v>
      </c>
      <c r="GF57" s="320">
        <f t="array" ref="GF57">INDEX('Processing Factors'!$K$8:$K$29,MATCH(2,1/(('Processing Factors'!$B$8:$B$29&lt;=Main!$C57)*('Processing Factors'!$C$8:$C$29=Main!FV57))))</f>
        <v>3.5000000000000003E-2</v>
      </c>
      <c r="GG57" s="237"/>
      <c r="GH57" s="322">
        <f t="shared" si="407"/>
        <v>0.53</v>
      </c>
      <c r="GI57" s="322">
        <f t="shared" si="408"/>
        <v>0.09</v>
      </c>
      <c r="GJ57" s="322">
        <f t="shared" si="409"/>
        <v>0.41930000000000001</v>
      </c>
      <c r="GK57" s="320">
        <f t="shared" si="410"/>
        <v>2.5923122388245416</v>
      </c>
      <c r="GL57" s="323" t="e">
        <f t="shared" ref="GL57:GL63" ca="1" si="618">(FN57+FW57)*GK57</f>
        <v>#NAME?</v>
      </c>
      <c r="GM57" s="320">
        <f t="shared" si="411"/>
        <v>0.17498486089652526</v>
      </c>
      <c r="GN57" s="323">
        <f>GM57*$IW57</f>
        <v>41.995852783555534</v>
      </c>
      <c r="GO57" s="323">
        <f>GC57*$IV57</f>
        <v>55.912662950947436</v>
      </c>
      <c r="GP57" s="323">
        <f>GB57*$IX57</f>
        <v>7.4540264448529117</v>
      </c>
      <c r="GQ57" s="320">
        <f t="shared" si="412"/>
        <v>1.9872970997210668</v>
      </c>
      <c r="GR57" s="323">
        <f>GQ57*$IY57</f>
        <v>8.4166847358524581</v>
      </c>
      <c r="GS57" s="323" t="e">
        <f t="shared" ca="1" si="413"/>
        <v>#NAME?</v>
      </c>
      <c r="GT57" s="237"/>
      <c r="GU57" s="324" t="e">
        <f t="shared" ca="1" si="414"/>
        <v>#NAME?</v>
      </c>
      <c r="GV57" s="325">
        <f t="array" ref="GV57">INDEX('Indices Mines Exporting Ports'!E$20:E$51, MATCH(2,1/(('Indices Mines Exporting Ports'!$C$20:$C$51=$BC57)*('Indices Mines Exporting Ports'!$D$20:$D$51&lt;=$C57))))</f>
        <v>0.5</v>
      </c>
      <c r="GW57" s="325">
        <f t="array" ref="GW57">INDEX('Indices Mines Exporting Ports'!F$20:F$51, MATCH(2,1/(('Indices Mines Exporting Ports'!$C$20:$C$51=$BC57)*('Indices Mines Exporting Ports'!$D$20:$D$51&lt;=$C57))))</f>
        <v>0.45</v>
      </c>
      <c r="GX57" s="325">
        <f t="array" ref="GX57">INDEX('Indices Mines Exporting Ports'!G$20:G$51, MATCH(2,1/(('Indices Mines Exporting Ports'!$C$20:$C$51=$BC57)*('Indices Mines Exporting Ports'!$D$20:$D$51&lt;=$C57))))</f>
        <v>0.05</v>
      </c>
      <c r="GY57" s="325">
        <f t="array" ref="GY57">INDEX('Indices Mines Exporting Ports'!H$20:H$51, MATCH(2,1/(('Indices Mines Exporting Ports'!$C$20:$C$51=$BC57)*('Indices Mines Exporting Ports'!$D$20:$D$51&lt;=$C57))))</f>
        <v>0.05</v>
      </c>
      <c r="GZ57" s="325">
        <f t="array" ref="GZ57">INDEX('Indices Mines Exporting Ports'!I$20:I$51, MATCH(2,1/(('Indices Mines Exporting Ports'!$C$20:$C$51=$BC57)*('Indices Mines Exporting Ports'!$D$20:$D$51&lt;=$C57))))</f>
        <v>0</v>
      </c>
      <c r="HA57" s="325">
        <f t="array" ref="HA57">INDEX('Indices Mines Exporting Ports'!J$20:J$51, MATCH(2,1/(('Indices Mines Exporting Ports'!$C$20:$C$51=$BC57)*('Indices Mines Exporting Ports'!$D$20:$D$51&lt;=$C57))))</f>
        <v>0</v>
      </c>
      <c r="HB57" s="325">
        <f t="array" ref="HB57">INDEX('Indices Mines Exporting Ports'!K$20:K$51, MATCH(2,1/(('Indices Mines Exporting Ports'!$C$20:$C$51=$BC57)*('Indices Mines Exporting Ports'!$D$20:$D$51&lt;=$C57))))</f>
        <v>0.1</v>
      </c>
      <c r="HC57" s="326" t="str">
        <f t="array" ref="HC57">INDEX('Indices Mines Exporting Ports'!L$20:L$51, MATCH(2,1/(('Indices Mines Exporting Ports'!$C$20:$C$51=$BC57)*('Indices Mines Exporting Ports'!$D$20:$D$51&lt;=$C57))))</f>
        <v>LT</v>
      </c>
      <c r="HD57" s="262">
        <f t="array" ref="HD57">INDEX('Indices Mines Exporting Ports'!M$20:M$51, MATCH(2,1/(('Indices Mines Exporting Ports'!$C$20:$C$51=$BC57)*('Indices Mines Exporting Ports'!$D$20:$D$51&lt;=$C57))))</f>
        <v>0</v>
      </c>
      <c r="HE57" s="237"/>
      <c r="HF57" s="319">
        <f t="array" ref="HF57">INDEX('Processing Factors'!$D$8:$D$29,MATCH(2,1/(('Processing Factors'!$B$8:$B$29&lt;=Main!$C57)*('Processing Factors'!$C$8:$C$29=Main!HC57))))</f>
        <v>0</v>
      </c>
      <c r="HG57" s="320">
        <f t="array" ref="HG57">INDEX('Processing Factors'!$E$8:$E$29,MATCH(2,1/(('Processing Factors'!$B$8:$B$29&lt;=Main!$C57)*('Processing Factors'!$C$8:$C$29=Main!HC57))))</f>
        <v>1</v>
      </c>
      <c r="HH57" s="320">
        <f t="array" ref="HH57">INDEX('Processing Factors'!$F$8:$F$29,MATCH(2,1/(('Processing Factors'!$B$8:$B$29&lt;=Main!$C57)*('Processing Factors'!$C$8:$C$29=Main!HC57))))</f>
        <v>0.9</v>
      </c>
      <c r="HI57" s="320">
        <f t="array" ref="HI57">INDEX('Processing Factors'!$G$8:$G$29,MATCH(2,1/(('Processing Factors'!$B$8:$B$29&lt;=Main!$C57)*('Processing Factors'!$C$8:$C$29=Main!HC57))))</f>
        <v>3.5999999999999997E-2</v>
      </c>
      <c r="HJ57" s="320">
        <f t="array" ref="HJ57">INDEX('Processing Factors'!$H$8:$H$29,MATCH(2,1/(('Processing Factors'!$B$8:$B$29&lt;=Main!$C57)*('Processing Factors'!$C$8:$C$29=Main!HC57))))</f>
        <v>12.15</v>
      </c>
      <c r="HK57" s="319">
        <f t="array" ref="HK57">INDEX('Processing Factors'!$I$8:$I$29,MATCH(2,1/(('Processing Factors'!$B$8:$B$29&lt;=Main!$C57)*('Processing Factors'!$C$8:$C$29=Main!HC57))))</f>
        <v>0</v>
      </c>
      <c r="HL57" s="321">
        <v>0.92</v>
      </c>
      <c r="HM57" s="320">
        <f t="array" ref="HM57">INDEX('Processing Factors'!$K$8:$K$29,MATCH(2,1/(('Processing Factors'!$B$8:$B$29&lt;=Main!$C57)*('Processing Factors'!$C$8:$C$29=Main!HC57))))</f>
        <v>3.5000000000000003E-2</v>
      </c>
      <c r="HN57" s="237"/>
      <c r="HO57" s="322">
        <f t="shared" si="415"/>
        <v>0.5</v>
      </c>
      <c r="HP57" s="322">
        <f t="shared" si="416"/>
        <v>0.05</v>
      </c>
      <c r="HQ57" s="322">
        <f t="shared" si="417"/>
        <v>0.45</v>
      </c>
      <c r="HR57" s="320">
        <f t="shared" si="418"/>
        <v>2.4154589371980677</v>
      </c>
      <c r="HS57" s="263">
        <v>0</v>
      </c>
      <c r="HT57" s="320">
        <f t="shared" si="419"/>
        <v>0.14369565217391306</v>
      </c>
      <c r="HU57" s="323">
        <f>HT57*$IW57</f>
        <v>34.486534568845585</v>
      </c>
      <c r="HV57" s="323">
        <f>HJ57*$IV57</f>
        <v>50.321396655852695</v>
      </c>
      <c r="HW57" s="323">
        <f>HI57*$IX57</f>
        <v>1.2197497818850218</v>
      </c>
      <c r="HX57" s="320">
        <f t="shared" si="420"/>
        <v>1.7791545893719807</v>
      </c>
      <c r="HY57" s="323">
        <f>HX57*$IY57</f>
        <v>7.5351507719660038</v>
      </c>
      <c r="HZ57" s="323">
        <f t="shared" si="421"/>
        <v>93.56283177854931</v>
      </c>
      <c r="IB57" s="287" t="s">
        <v>39</v>
      </c>
      <c r="ID57" s="89" t="str">
        <f>AE57</f>
        <v>Weipa/Amrun Generic</v>
      </c>
      <c r="IE57" s="18">
        <f>$C57</f>
        <v>43934</v>
      </c>
      <c r="IF57" s="94">
        <f t="array" ref="IF57">INDEX('Indices Mines Exporting Ports'!E$20:E$51, MATCH(2,1/(('Indices Mines Exporting Ports'!$C$20:$C$51=$ID57)*('Indices Mines Exporting Ports'!$D$20:$D$51&lt;=$IE57))))</f>
        <v>0.53</v>
      </c>
      <c r="IG57" s="94">
        <f t="array" ref="IG57">INDEX('Indices Mines Exporting Ports'!F$20:F$51, MATCH(2,1/(('Indices Mines Exporting Ports'!$C$20:$C$51=$ID57)*('Indices Mines Exporting Ports'!$D$20:$D$51&lt;=$IE57))))</f>
        <v>0.36250000000000004</v>
      </c>
      <c r="IH57" s="95">
        <f t="array" ref="IH57">INDEX('Indices Mines Exporting Ports'!G$20:G$51, MATCH(2,1/(('Indices Mines Exporting Ports'!$C$20:$C$51=$ID57)*('Indices Mines Exporting Ports'!$D$20:$D$51&lt;=$IE57))))</f>
        <v>0.09</v>
      </c>
      <c r="II57" s="95">
        <f t="array" ref="II57">INDEX('Indices Mines Exporting Ports'!H$20:H$51, MATCH(2,1/(('Indices Mines Exporting Ports'!$C$20:$C$51=$ID57)*('Indices Mines Exporting Ports'!$D$20:$D$51&lt;=$IE57))))</f>
        <v>6.7500000000000004E-2</v>
      </c>
      <c r="IJ57" s="95">
        <f t="array" ref="IJ57">INDEX('Indices Mines Exporting Ports'!I$20:I$51, MATCH(2,1/(('Indices Mines Exporting Ports'!$C$20:$C$51=$ID57)*('Indices Mines Exporting Ports'!$D$20:$D$51&lt;=$IE57))))</f>
        <v>2.2499999999999999E-2</v>
      </c>
      <c r="IK57" s="94">
        <f t="array" ref="IK57">INDEX('Indices Mines Exporting Ports'!J$20:J$51, MATCH(2,1/(('Indices Mines Exporting Ports'!$C$20:$C$51=$ID57)*('Indices Mines Exporting Ports'!$D$20:$D$51&lt;=$IE57))))</f>
        <v>0.1</v>
      </c>
      <c r="IL57" s="94">
        <f t="array" ref="IL57">INDEX('Indices Mines Exporting Ports'!K$20:K$51, MATCH(2,1/(('Indices Mines Exporting Ports'!$C$20:$C$51=$ID57)*('Indices Mines Exporting Ports'!$D$20:$D$51&lt;=$IE57))))</f>
        <v>0.13</v>
      </c>
      <c r="IM57" s="93" t="str">
        <f t="array" ref="IM57">INDEX('Indices Mines Exporting Ports'!L$20:L$51, MATCH(2,1/(('Indices Mines Exporting Ports'!$C$20:$C$51=$ID57)*('Indices Mines Exporting Ports'!$D$20:$D$51&lt;=$IE57))))</f>
        <v>HT-D</v>
      </c>
      <c r="IN57" s="101">
        <f t="array" ref="IN57">INDEX('Indices Mines Exporting Ports'!M$20:M$51, MATCH(2,1/(('Indices Mines Exporting Ports'!$C$20:$C$51=$ID57)*('Indices Mines Exporting Ports'!$D$20:$D$51&lt;=$IE57))))</f>
        <v>0.67</v>
      </c>
      <c r="IO57" s="96">
        <f t="array" ref="IO57">INDEX('Indices Mines Exporting Ports'!N$20:N$51, MATCH(2,1/(('Indices Mines Exporting Ports'!$C$20:$C$51=$ID57)*('Indices Mines Exporting Ports'!$D$20:$D$51&lt;=$IE57))))</f>
        <v>76000</v>
      </c>
      <c r="IP57" s="95" t="str">
        <f t="array" ref="IP57">INDEX('Indices Mines Exporting Ports'!Q$20:Q$51, MATCH(2,1/(('Indices Mines Exporting Ports'!$C$20:$C$51=$ID57)*('Indices Mines Exporting Ports'!$D$20:$D$51&lt;=$IE57))))</f>
        <v>Weipa_Amrun_Wharf</v>
      </c>
      <c r="IQ57" s="95" t="str">
        <f t="array" ref="IQ57">INDEX('Indices Mines Exporting Ports'!O$20:O$51, MATCH(2,1/(('Indices Mines Exporting Ports'!$C$20:$C$51=$ID57)*('Indices Mines Exporting Ports'!$D$20:$D$51&lt;=$IE57))))</f>
        <v>Australia HT</v>
      </c>
      <c r="IR57" s="95" t="str">
        <f t="array" ref="IR57">INDEX('Indices Mines Exporting Ports'!P$20:P$51, MATCH(2,1/(('Indices Mines Exporting Ports'!$C$20:$C$51=$ID57)*('Indices Mines Exporting Ports'!$D$20:$D$51&lt;=$IE57))))</f>
        <v>CBIX HT</v>
      </c>
      <c r="IT57" s="287" t="s">
        <v>39</v>
      </c>
      <c r="IV57" s="292">
        <f>VLOOKUP($C57,'China Price Series'!$C$10:$D$1009,2,TRUE)/$JA57/(VLOOKUP($C57,'China Price Series'!$C$10:$E$1009,3,TRUE)*$JG57/$JF57)</f>
        <v>4.1416787371072177</v>
      </c>
      <c r="IW57" s="292">
        <f>VLOOKUP($C57,'China Price Series'!$G$10:$H$1009,2,TRUE)/$JA57/(VLOOKUP($C57,'China Price Series'!$G$10:$I$1009,3,TRUE))</f>
        <v>239.99706356533991</v>
      </c>
      <c r="IX57" s="292">
        <f>VLOOKUP($C57,'China Price Series'!$K$10:$L$1009,2,TRUE)/$JA57</f>
        <v>33.881938385695051</v>
      </c>
      <c r="IY57" s="292">
        <f>VLOOKUP($C57,'China Price Series'!$N$10:$O$1009,2,TRUE)/$JA57</f>
        <v>4.2352422982118814</v>
      </c>
      <c r="JA57" s="277">
        <f t="array" ref="JA57">INDEX('FX rates'!E$10:E$1009,MATCH(2,1/(('FX rates'!$D$10:$D$1009&lt;=Main!$C57)*(NOT(ISBLANK('FX rates'!E$10:E$1009))))))</f>
        <v>7.0834199999999994</v>
      </c>
      <c r="JB57" s="277">
        <f t="array" ref="JB57">INDEX('FX rates'!F$10:F$1009,MATCH(2,1/(('FX rates'!$D$10:$D$1009&lt;=Main!$C57)*(NOT(ISBLANK('FX rates'!F$10:F$1009))))))</f>
        <v>0.61160022139928016</v>
      </c>
      <c r="JC57" s="277">
        <f t="array" ref="JC57">INDEX('FX rates'!G$10:G$1009,MATCH(2,1/(('FX rates'!$D$10:$D$1009&lt;=Main!$C57)*(NOT(ISBLANK('FX rates'!G$10:G$1009))))))</f>
        <v>1</v>
      </c>
      <c r="JD57" s="277">
        <f t="array" ref="JD57">INDEX('FX rates'!H$10:H$1009,MATCH(2,1/(('FX rates'!$D$10:$D$1009&lt;=Main!$C57)*(NOT(ISBLANK('FX rates'!H$10:H$1009))))))</f>
        <v>1.35</v>
      </c>
      <c r="JF57" s="111">
        <f t="array" ref="JF57">INDEX('Global factors'!C$5:C$23,MATCH(2,1/(('Global factors'!$B$5:$B$23&lt;=Main!$C57)*(NOT(ISBLANK('Global factors'!C$5:C$23))))))</f>
        <v>239000</v>
      </c>
      <c r="JG57" s="112">
        <f t="array" ref="JG57">INDEX('Global factors'!D$5:D$23,MATCH(2,1/(('Global factors'!$B$5:$B$23&lt;=Main!$C57)*(NOT(ISBLANK('Global factors'!D$5:D$23))))))</f>
        <v>1000</v>
      </c>
      <c r="JH57" s="112">
        <f t="array" ref="JH57">INDEX('Global factors'!E$5:E$23,MATCH(2,1/(('Global factors'!$B$5:$B$23&lt;=Main!$C57)*(NOT(ISBLANK('Global factors'!E$5:E$23))))))</f>
        <v>24</v>
      </c>
      <c r="JI57" s="112">
        <f t="array" ref="JI57">INDEX('Global factors'!F$5:F$23,MATCH(2,1/(('Global factors'!$B$5:$B$23&lt;=Main!$C57)*(NOT(ISBLANK('Global factors'!F$5:F$23))))))</f>
        <v>2</v>
      </c>
      <c r="JJ57" s="117">
        <f t="array" ref="JJ57">INDEX('Global factors'!G$5:G$23,MATCH(2,1/(('Global factors'!$B$5:$B$23&lt;=Main!$C57)*(NOT(ISBLANK('Global factors'!G$5:G$23))))))</f>
        <v>0.08</v>
      </c>
      <c r="JK57" s="113">
        <f t="array" ref="JK57">INDEX('Global factors'!H$5:H$23,MATCH(2,1/(('Global factors'!$B$5:$B$23&lt;=Main!$C57)*(NOT(ISBLANK('Global factors'!H$5:H$23))))))</f>
        <v>101.96</v>
      </c>
      <c r="JL57" s="113">
        <f t="array" ref="JL57">INDEX('Global factors'!I$5:I$23,MATCH(2,1/(('Global factors'!$B$5:$B$23&lt;=Main!$C57)*(NOT(ISBLANK('Global factors'!I$5:I$23))))))</f>
        <v>60.08</v>
      </c>
      <c r="JM57" s="114">
        <f t="array" ref="JM57">INDEX('Global factors'!J$5:J$23,MATCH(2,1/(('Global factors'!$B$5:$B$23&lt;=Main!$C57)*(NOT(ISBLANK('Global factors'!J$5:J$23))))))</f>
        <v>0.84853528628495334</v>
      </c>
      <c r="JN57" s="115">
        <f t="array" ref="JN57">INDEX('Global factors'!K$5:K$23,MATCH(2,1/(('Global factors'!$B$5:$B$23&lt;=Main!$C57)*(NOT(ISBLANK('Global factors'!K$5:K$23))))))</f>
        <v>0.97499999999999998</v>
      </c>
      <c r="JO57" s="116">
        <f t="array" ref="JO57">INDEX('Global factors'!L$5:L$23,MATCH(2,1/(('Global factors'!$B$5:$B$23&lt;=Main!$C57)*(NOT(ISBLANK('Global factors'!L$5:L$23))))))</f>
        <v>8.7299999999999997E-4</v>
      </c>
      <c r="JP57" s="116">
        <f t="array" ref="JP57">INDEX('Global factors'!M$5:M$23,MATCH(2,1/(('Global factors'!$B$5:$B$23&lt;=Main!$C57)*(NOT(ISBLANK('Global factors'!M$5:M$23))))))</f>
        <v>145.88999999999999</v>
      </c>
      <c r="JQ57" s="116">
        <f t="array" ref="JQ57">INDEX('Global factors'!N$5:N$23,MATCH(2,1/(('Global factors'!$B$5:$B$23&lt;=Main!$C57)*(NOT(ISBLANK('Global factors'!N$5:N$23))))))</f>
        <v>0.40339999999999998</v>
      </c>
      <c r="JR57" s="116">
        <f t="array" ref="JR57">INDEX('Global factors'!O$5:O$23,MATCH(2,1/(('Global factors'!$B$5:$B$23&lt;=Main!$C57)*(NOT(ISBLANK('Global factors'!O$5:O$23))))))</f>
        <v>0</v>
      </c>
      <c r="JS57" s="116">
        <f t="array" ref="JS57">INDEX('Global factors'!P$5:P$23,MATCH(2,1/(('Global factors'!$B$5:$B$23&lt;=Main!$C57)*(NOT(ISBLANK('Global factors'!P$5:P$23))))))</f>
        <v>0.51890000000000003</v>
      </c>
      <c r="JT57" s="116">
        <f t="array" ref="JT57">INDEX('Global factors'!Q$5:Q$23,MATCH(2,1/(('Global factors'!$B$5:$B$23&lt;=Main!$C57)*(NOT(ISBLANK('Global factors'!Q$5:Q$23))))))</f>
        <v>4797</v>
      </c>
      <c r="JU57" s="116">
        <f t="array" ref="JU57">INDEX('Global factors'!R$5:R$23,MATCH(2,1/(('Global factors'!$B$5:$B$23&lt;=Main!$C57)*(NOT(ISBLANK('Global factors'!R$5:R$23))))))</f>
        <v>7</v>
      </c>
      <c r="JV57" s="115">
        <f t="array" ref="JV57">INDEX('Global factors'!S$5:S$23,MATCH(2,1/(('Global factors'!$B$5:$B$23&lt;=Main!$C57)*(NOT(ISBLANK('Global factors'!S$5:S$23))))))</f>
        <v>0.12</v>
      </c>
      <c r="JW57" s="115">
        <f t="array" ref="JW57">INDEX('Global factors'!T$5:T$23,MATCH(2,1/(('Global factors'!$B$5:$B$23&lt;=Main!$C57)*(NOT(ISBLANK('Global factors'!T$5:T$23))))))</f>
        <v>0.5</v>
      </c>
      <c r="JX57" s="116">
        <f t="array" ref="JX57">INDEX('Global factors'!U$5:U$23,MATCH(2,1/(('Global factors'!$B$5:$B$23&lt;=Main!$C57)*(NOT(ISBLANK('Global factors'!U$5:U$23))))))</f>
        <v>0.5</v>
      </c>
      <c r="JY57" s="116">
        <f t="array" ref="JY57">INDEX('Global factors'!V$5:V$23,MATCH(2,1/(('Global factors'!$B$5:$B$23&lt;=Main!$C57)*(NOT(ISBLANK('Global factors'!V$5:V$23))))))</f>
        <v>10000</v>
      </c>
      <c r="JZ57" s="116">
        <f t="array" ref="JZ57">INDEX('Global factors'!W$5:W$23,MATCH(2,1/(('Global factors'!$B$5:$B$23&lt;=Main!$C57)*(NOT(ISBLANK('Global factors'!W$5:W$23))))))</f>
        <v>0.10680000000000001</v>
      </c>
      <c r="KA57" s="116">
        <f t="array" ref="KA57">INDEX('Global factors'!X$5:X$23,MATCH(2,1/(('Global factors'!$B$5:$B$23&lt;=Main!$C57)*(NOT(ISBLANK('Global factors'!X$5:X$23))))))</f>
        <v>1.2</v>
      </c>
      <c r="KB57" s="116">
        <v>0</v>
      </c>
      <c r="KC57" s="272">
        <f t="array" ref="KC57">INDEX('Global factors'!Y$5:Y$23,MATCH(2,1/(('Global factors'!$B$5:$B$23&lt;=Main!$C57)*(NOT(ISBLANK('Global factors'!Y$5:Y$23))))))</f>
        <v>23643.7088248818</v>
      </c>
      <c r="KD57" s="273">
        <f t="array" ref="KD57">INDEX('Global factors'!Z$5:Z$23,MATCH(2,1/(('Global factors'!$B$5:$B$23&lt;=Main!$C57)*(NOT(ISBLANK('Global factors'!Z$5:Z$23))))))</f>
        <v>0.62802869915581405</v>
      </c>
      <c r="KE57" s="273">
        <v>0</v>
      </c>
      <c r="KF57" s="273">
        <v>0</v>
      </c>
      <c r="KG57" s="116">
        <v>0</v>
      </c>
      <c r="KH57" s="116">
        <f t="array" ref="KH57">INDEX('Global factors'!AB$5:AB$23,MATCH(2,1/(('Global factors'!$B$5:$B$23&lt;=Main!$C57)*(NOT(ISBLANK('Global factors'!AB$5:AB$23))))))</f>
        <v>6.2556361557795204E-2</v>
      </c>
      <c r="KI57" s="116">
        <f t="array" ref="KI57">INDEX('Global factors'!AC$5:AC$23,MATCH(2,1/(('Global factors'!$B$5:$B$23&lt;=Main!$C57)*(NOT(ISBLANK('Global factors'!AC$5:AC$23))))))</f>
        <v>8.6923129044225601E-4</v>
      </c>
      <c r="KJ57" s="116">
        <f t="array" ref="KJ57">INDEX('Global factors'!AD$5:AD$23,MATCH(2,1/(('Global factors'!$B$5:$B$23&lt;=Main!$C57)*(NOT(ISBLANK('Global factors'!AD$5:AD$23))))))</f>
        <v>1.1499999999999999</v>
      </c>
      <c r="KK57" s="116" t="str">
        <f t="array" ref="KK57">INDEX('Global factors'!AE$5:AE$23,MATCH(2,1/(('Global factors'!$B$5:$B$23&lt;=Main!$C57)*(NOT(ISBLANK('Global factors'!AE$5:AE$23))))))</f>
        <v>Qingdao</v>
      </c>
      <c r="KL57" s="290">
        <f t="array" ref="KL57">INDEX('Global factors'!AF$5:AF$23,MATCH(2,1/(('Global factors'!$B$5:$B$23&lt;=Main!$C57)*(NOT(ISBLANK('Global factors'!AF$5:AF$23))))))</f>
        <v>3.0000000000000001E-3</v>
      </c>
      <c r="KM57" s="290"/>
      <c r="KO57" s="287" t="s">
        <v>39</v>
      </c>
      <c r="KQ57" s="25">
        <f>IF($AO57="no",$AN57,$AR57)/(1-$AL57)/$JN57</f>
        <v>91954.022988505763</v>
      </c>
      <c r="KR57" s="4" t="str">
        <f>VLOOKUP(KQ57,'Ship Time Charter Rates'!$F$10:$G$17,2,TRUE)</f>
        <v>Panamax</v>
      </c>
      <c r="KS57" s="4" t="str">
        <f>VLOOKUP(KQ57,Canals!$E$5:$F$12,2,TRUE)</f>
        <v>Panamax</v>
      </c>
      <c r="KT57" s="25">
        <f>(KQ57*$JO57 + $JP57)</f>
        <v>226.16586206896551</v>
      </c>
      <c r="KU57" s="25">
        <f>(KQ57*$JQ57+$JR57)</f>
        <v>37094.252873563222</v>
      </c>
      <c r="KV57" s="25">
        <f>(KQ57*$JS57+$JT57)</f>
        <v>52511.942528735643</v>
      </c>
      <c r="KX57" s="75">
        <f t="array" ref="KX57">INDEX('Indices Mines Exporting Ports'!$R$20:$R$51,MATCH(2,1/(('Indices Mines Exporting Ports'!$D$20:$D$51&lt;=Main!$C57)*('Indices Mines Exporting Ports'!$Q$20:$Q$51=$AP57))))</f>
        <v>80000</v>
      </c>
      <c r="KY57" s="75">
        <f t="array" ref="KY57">INDEX('Indices Mines Exporting Ports'!$S$20:$S$51,MATCH(2,1/(('Indices Mines Exporting Ports'!$D$20:$D$51&lt;=Main!$C57)*('Indices Mines Exporting Ports'!$Q$20:$Q$51=$AP57))))</f>
        <v>80000</v>
      </c>
      <c r="KZ57" s="75">
        <f t="array" ref="KZ57">INDEX('Indices Mines Exporting Ports'!$T$20:$T$51,MATCH(2,1/(('Indices Mines Exporting Ports'!$D$20:$D$51&lt;=Main!$C57)*('Indices Mines Exporting Ports'!$Q$20:$Q$51=$AP57))))</f>
        <v>80000</v>
      </c>
      <c r="LA57" s="75">
        <f t="array" ref="LA57">INDEX('Indices Mines Exporting Ports'!$U$20:$U$51,MATCH(2,1/(('Indices Mines Exporting Ports'!$D$20:$D$51&lt;=Main!$C57)*('Indices Mines Exporting Ports'!$Q$20:$Q$51=$AP57))))</f>
        <v>80000</v>
      </c>
      <c r="LB57" s="75">
        <f t="array" ref="LB57">INDEX('Indices Mines Exporting Ports'!$V$20:$V$51,MATCH(2,1/(('Indices Mines Exporting Ports'!$D$20:$D$51&lt;=Main!$C57)*('Indices Mines Exporting Ports'!$Q$20:$Q$51=$AP57))))</f>
        <v>80000</v>
      </c>
      <c r="LC57" s="75">
        <f t="array" ref="LC57">INDEX('Indices Mines Exporting Ports'!$W$20:$W$51,MATCH(2,1/(('Indices Mines Exporting Ports'!$D$20:$D$51&lt;=Main!$C57)*('Indices Mines Exporting Ports'!$Q$20:$Q$51=$AP57))))</f>
        <v>40000</v>
      </c>
      <c r="LD57" s="75">
        <f t="array" ref="LD57">INDEX('Indices Mines Exporting Ports'!$X$20:$X$51,MATCH(2,1/(('Indices Mines Exporting Ports'!$D$20:$D$51&lt;=Main!$C57)*('Indices Mines Exporting Ports'!$Q$20:$Q$51=$AP57))))</f>
        <v>40000</v>
      </c>
      <c r="LF57" s="75" t="e">
        <f t="array" ref="LF57">INDEX('Port Linkages'!$E$18:$E$157,MATCH(2,1/(('Port Linkages'!$C$18:$C$157=$AP57)*('Port Linkages'!$D$18:$D$157=IF($AO57="Yes",$AQ57,$AS57))*('Port Linkages'!$A$18:$A$157&lt;=$C57))))</f>
        <v>#N/A</v>
      </c>
      <c r="LG57" s="75">
        <f t="array" ref="LG57">INDEX('Port Linkages'!$F$18:$F$157,MATCH(2,1/(('Port Linkages'!$C$18:$C$157=$AP57)*('Port Linkages'!$D$18:$D$157=IF($AO57="Yes",$AQ57,$AS57))*('Port Linkages'!$A$18:$A$157&lt;=$C57))))</f>
        <v>0</v>
      </c>
      <c r="LH57" s="75" t="str">
        <f t="array" ref="LH57">INDEX('Port Linkages'!$G$18:$G$157,MATCH(2,1/(('Port Linkages'!$C$18:$C$157=$AP57)*('Port Linkages'!$D$18:$D$157=IF($AO57="Yes",$AQ57,$AS57))*('Port Linkages'!$A$18:$A$157&lt;=$C57))))</f>
        <v>VLOC_General</v>
      </c>
      <c r="LI57" s="75" t="str">
        <f t="array" ref="LI57">INDEX('Port Linkages'!$H$18:$H$157,MATCH(2,1/(('Port Linkages'!$C$18:$C$157=$AP57)*('Port Linkages'!$D$18:$D$157=IF($AO57="Yes",$AQ57,$AS57))*('Port Linkages'!$A$18:$A$157&lt;=$C57))))</f>
        <v>Singapore</v>
      </c>
      <c r="LJ57" s="75" t="str">
        <f t="array" ref="LJ57">INDEX('Port Linkages'!$I$18:$I$157,MATCH(2,1/(('Port Linkages'!$C$18:$C$157=$AP57)*('Port Linkages'!$D$18:$D$157=IF($AO57="Yes",$AQ57,$AS57))*('Port Linkages'!$A$18:$A$157&lt;=$C57))))</f>
        <v>VLSFO</v>
      </c>
      <c r="LK57" s="75" t="str">
        <f t="array" ref="LK57">INDEX('Port Linkages'!$J$18:$J$157,MATCH(2,1/(('Port Linkages'!$C$18:$C$157=$AP57)*('Port Linkages'!$D$18:$D$157=IF($AO57="Yes",$AQ57,$AS57))*('Port Linkages'!$A$18:$A$157&lt;=$C57))))</f>
        <v>MGO_Regular</v>
      </c>
      <c r="LL57" s="75" t="str">
        <f t="array" ref="LL57">INDEX('Port Linkages'!$K$18:$K$157,MATCH(2,1/(('Port Linkages'!$C$18:$C$157=$AP57)*('Port Linkages'!$D$18:$D$157=IF($AO57="Yes",$AQ57,$AS57))*('Port Linkages'!$A$18:$A$157&lt;=$C57))))</f>
        <v>none</v>
      </c>
      <c r="LM57" s="75" t="e">
        <f t="array" ref="LM57">INDEX('Port Linkages'!$L$18:$L$157,MATCH(2,1/(('Port Linkages'!$C$18:$C$157=$AP57)*('Port Linkages'!$D$18:$D$157=IF($AO57="Yes",$AQ57,$AS57))*('Port Linkages'!$A$18:$A$157&lt;=$C57))))</f>
        <v>#N/A</v>
      </c>
      <c r="LN57" s="75">
        <f t="array" ref="LN57">INDEX('Port Linkages'!$M$18:$M$157,MATCH(2,1/(('Port Linkages'!$C$18:$C$157=$AP57)*('Port Linkages'!$D$18:$D$157=IF($AO57="Yes",$AQ57,$AS57))*('Port Linkages'!$A$18:$A$157&lt;=$C57))))</f>
        <v>0</v>
      </c>
      <c r="LO57" s="75" t="str">
        <f t="array" ref="LO57">INDEX('Port Linkages'!$N$18:$N$157,MATCH(2,1/(('Port Linkages'!$C$18:$C$157=$AP57)*('Port Linkages'!$D$18:$D$157=IF($AO57="Yes",$AQ57,$AS57))*('Port Linkages'!$A$18:$A$157&lt;=$C57))))</f>
        <v>Capesize_General</v>
      </c>
      <c r="LP57" s="75" t="str">
        <f t="array" ref="LP57">INDEX('Port Linkages'!$O$18:$O$157,MATCH(2,1/(('Port Linkages'!$C$18:$C$157=$AP57)*('Port Linkages'!$D$18:$D$157=IF($AO57="Yes",$AQ57,$AS57))*('Port Linkages'!$A$18:$A$157&lt;=$C57))))</f>
        <v>Singapore</v>
      </c>
      <c r="LQ57" s="75" t="str">
        <f t="array" ref="LQ57">INDEX('Port Linkages'!$P$18:$P$157,MATCH(2,1/(('Port Linkages'!$C$18:$C$157=$AP57)*('Port Linkages'!$D$18:$D$157=IF($AO57="Yes",$AQ57,$AS57))*('Port Linkages'!$A$18:$A$157&lt;=$C57))))</f>
        <v>VLSFO</v>
      </c>
      <c r="LR57" s="75" t="str">
        <f t="array" ref="LR57">INDEX('Port Linkages'!$Q$18:$Q$157,MATCH(2,1/(('Port Linkages'!$C$18:$C$157=$AP57)*('Port Linkages'!$D$18:$D$157=IF($AO57="Yes",$AQ57,$AS57))*('Port Linkages'!$A$18:$A$157&lt;=$C57))))</f>
        <v>MGO_Regular</v>
      </c>
      <c r="LS57" s="75" t="str">
        <f t="array" ref="LS57">INDEX('Port Linkages'!$R$18:$R$157,MATCH(2,1/(('Port Linkages'!$C$18:$C$157=$AP57)*('Port Linkages'!$D$18:$D$157=IF($AO57="Yes",$AQ57,$AS57))*('Port Linkages'!$A$18:$A$157&lt;=$C57))))</f>
        <v>none</v>
      </c>
      <c r="LT57" s="75" t="e">
        <f t="array" ref="LT57">INDEX('Port Linkages'!$S$18:$S$157,MATCH(2,1/(('Port Linkages'!$C$18:$C$157=$AP57)*('Port Linkages'!$D$18:$D$157=IF($AO57="Yes",$AQ57,$AS57))*('Port Linkages'!$A$18:$A$157&lt;=$C57))))</f>
        <v>#N/A</v>
      </c>
      <c r="LU57" s="75">
        <f t="array" ref="LU57">INDEX('Port Linkages'!$T$18:$T$157,MATCH(2,1/(('Port Linkages'!$C$18:$C$157=$AP57)*('Port Linkages'!$D$18:$D$157=IF($AO57="Yes",$AQ57,$AS57))*('Port Linkages'!$A$18:$A$157&lt;=$C57))))</f>
        <v>0</v>
      </c>
      <c r="LV57" s="75" t="str">
        <f t="array" ref="LV57">INDEX('Port Linkages'!$U$18:$U$157,MATCH(2,1/(('Port Linkages'!$C$18:$C$157=$AP57)*('Port Linkages'!$D$18:$D$157=IF($AO57="Yes",$AQ57,$AS57))*('Port Linkages'!$A$18:$A$157&lt;=$C57))))</f>
        <v>Capesize_General</v>
      </c>
      <c r="LW57" s="75" t="str">
        <f t="array" ref="LW57">INDEX('Port Linkages'!$V$18:$V$157,MATCH(2,1/(('Port Linkages'!$C$18:$C$157=$AP57)*('Port Linkages'!$D$18:$D$157=IF($AO57="Yes",$AQ57,$AS57))*('Port Linkages'!$A$18:$A$157&lt;=$C57))))</f>
        <v>Singapore</v>
      </c>
      <c r="LX57" s="75" t="str">
        <f t="array" ref="LX57">INDEX('Port Linkages'!$W$18:$W$157,MATCH(2,1/(('Port Linkages'!$C$18:$C$157=$AP57)*('Port Linkages'!$D$18:$D$157=IF($AO57="Yes",$AQ57,$AS57))*('Port Linkages'!$A$18:$A$157&lt;=$C57))))</f>
        <v>VLSFO</v>
      </c>
      <c r="LY57" s="75" t="str">
        <f t="array" ref="LY57">INDEX('Port Linkages'!$X$18:$X$157,MATCH(2,1/(('Port Linkages'!$C$18:$C$157=$AP57)*('Port Linkages'!$D$18:$D$157=IF($AO57="Yes",$AQ57,$AS57))*('Port Linkages'!$A$18:$A$157&lt;=$C57))))</f>
        <v>MGO_Regular</v>
      </c>
      <c r="LZ57" s="75" t="str">
        <f t="array" ref="LZ57">INDEX('Port Linkages'!$Y$18:$Y$157,MATCH(2,1/(('Port Linkages'!$C$18:$C$157=$AP57)*('Port Linkages'!$D$18:$D$157=IF($AO57="Yes",$AQ57,$AS57))*('Port Linkages'!$A$18:$A$157&lt;=$C57))))</f>
        <v>none</v>
      </c>
      <c r="MA57" s="75">
        <f t="array" ref="MA57">INDEX('Port Linkages'!$Z$18:$Z$157,MATCH(2,1/(('Port Linkages'!$C$18:$C$157=$AP57)*('Port Linkages'!$D$18:$D$157=IF($AO57="Yes",$AQ57,$AS57))*('Port Linkages'!$A$18:$A$157&lt;=$C57))))</f>
        <v>3280</v>
      </c>
      <c r="MB57" s="75">
        <f t="array" ref="MB57">INDEX('Port Linkages'!$AA$18:$AA$157,MATCH(2,1/(('Port Linkages'!$C$18:$C$157=$AP57)*('Port Linkages'!$D$18:$D$157=IF($AO57="Yes",$AQ57,$AS57))*('Port Linkages'!$A$18:$A$157&lt;=$C57))))</f>
        <v>0</v>
      </c>
      <c r="MC57" s="75" t="str">
        <f t="array" ref="MC57">INDEX('Port Linkages'!$AB$18:$AB$157,MATCH(2,1/(('Port Linkages'!$C$18:$C$157=$AP57)*('Port Linkages'!$D$18:$D$157=IF($AO57="Yes",$AQ57,$AS57))*('Port Linkages'!$A$18:$A$157&lt;=$C57))))</f>
        <v>Capesize_General</v>
      </c>
      <c r="MD57" s="75" t="str">
        <f t="array" ref="MD57">INDEX('Port Linkages'!$AC$18:$AC$157,MATCH(2,1/(('Port Linkages'!$C$18:$C$157=$AP57)*('Port Linkages'!$D$18:$D$157=IF($AO57="Yes",$AQ57,$AS57))*('Port Linkages'!$A$18:$A$157&lt;=$C57))))</f>
        <v>Singapore</v>
      </c>
      <c r="ME57" s="75" t="str">
        <f t="array" ref="ME57">INDEX('Port Linkages'!$AD$18:$AD$157,MATCH(2,1/(('Port Linkages'!$C$18:$C$157=$AP57)*('Port Linkages'!$D$18:$D$157=IF($AO57="Yes",$AQ57,$AS57))*('Port Linkages'!$A$18:$A$157&lt;=$C57))))</f>
        <v>VLSFO</v>
      </c>
      <c r="MF57" s="75" t="str">
        <f t="array" ref="MF57">INDEX('Port Linkages'!$AE$18:$AE$157,MATCH(2,1/(('Port Linkages'!$C$18:$C$157=$AP57)*('Port Linkages'!$D$18:$D$157=IF($AO57="Yes",$AQ57,$AS57))*('Port Linkages'!$A$18:$A$157&lt;=$C57))))</f>
        <v>MGO_Regular</v>
      </c>
      <c r="MG57" s="75" t="str">
        <f t="array" ref="MG57">INDEX('Port Linkages'!$AF$18:$AF$157,MATCH(2,1/(('Port Linkages'!$C$18:$C$157=$AP57)*('Port Linkages'!$D$18:$D$157=IF($AO57="Yes",$AQ57,$AS57))*('Port Linkages'!$A$18:$A$157&lt;=$C57))))</f>
        <v>none</v>
      </c>
      <c r="MH57" s="75">
        <f t="array" ref="MH57">INDEX('Port Linkages'!$AG$18:$AG$157,MATCH(2,1/(('Port Linkages'!$C$18:$C$157=$AP57)*('Port Linkages'!$D$18:$D$157=IF($AO57="Yes",$AQ57,$AS57))*('Port Linkages'!$A$18:$A$157&lt;=$C57))))</f>
        <v>3280</v>
      </c>
      <c r="MI57" s="75">
        <f t="array" ref="MI57">INDEX('Port Linkages'!$AH$18:$AH$157,MATCH(2,1/(('Port Linkages'!$C$18:$C$157=$AP57)*('Port Linkages'!$D$18:$D$157=IF($AO57="Yes",$AQ57,$AS57))*('Port Linkages'!$A$18:$A$157&lt;=$C57))))</f>
        <v>0</v>
      </c>
      <c r="MJ57" s="75" t="str">
        <f t="array" ref="MJ57">INDEX('Port Linkages'!$AI$18:$AI$157,MATCH(2,1/(('Port Linkages'!$C$18:$C$157=$AP57)*('Port Linkages'!$D$18:$D$157=IF($AO57="Yes",$AQ57,$AS57))*('Port Linkages'!$A$18:$A$157&lt;=$C57))))</f>
        <v>Panamax_General</v>
      </c>
      <c r="MK57" s="75" t="str">
        <f t="array" ref="MK57">INDEX('Port Linkages'!$AJ$18:$AJ$157,MATCH(2,1/(('Port Linkages'!$C$18:$C$157=$AP57)*('Port Linkages'!$D$18:$D$157=IF($AO57="Yes",$AQ57,$AS57))*('Port Linkages'!$A$18:$A$157&lt;=$C57))))</f>
        <v>Singapore</v>
      </c>
      <c r="ML57" s="75" t="str">
        <f t="array" ref="ML57">INDEX('Port Linkages'!$AK$18:$AK$157,MATCH(2,1/(('Port Linkages'!$C$18:$C$157=$AP57)*('Port Linkages'!$D$18:$D$157=IF($AO57="Yes",$AQ57,$AS57))*('Port Linkages'!$A$18:$A$157&lt;=$C57))))</f>
        <v>VLSFO</v>
      </c>
      <c r="MM57" s="75" t="str">
        <f t="array" ref="MM57">INDEX('Port Linkages'!$AL$18:$AL$157,MATCH(2,1/(('Port Linkages'!$C$18:$C$157=$AP57)*('Port Linkages'!$D$18:$D$157=IF($AO57="Yes",$AQ57,$AS57))*('Port Linkages'!$A$18:$A$157&lt;=$C57))))</f>
        <v>MGO_Regular</v>
      </c>
      <c r="MN57" s="75" t="str">
        <f t="array" ref="MN57">INDEX('Port Linkages'!$AM$18:$AM$157,MATCH(2,1/(('Port Linkages'!$C$18:$C$157=$AP57)*('Port Linkages'!$D$18:$D$157=IF($AO57="Yes",$AQ57,$AS57))*('Port Linkages'!$A$18:$A$157&lt;=$C57))))</f>
        <v>none</v>
      </c>
      <c r="MO57" s="75">
        <f t="array" ref="MO57">INDEX('Port Linkages'!$AN$18:$AN$157,MATCH(2,1/(('Port Linkages'!$C$18:$C$157=$AP57)*('Port Linkages'!$D$18:$D$157=IF($AO57="Yes",$AQ57,$AS57))*('Port Linkages'!$A$18:$A$157&lt;=$C57))))</f>
        <v>3280</v>
      </c>
      <c r="MP57" s="75">
        <f t="array" ref="MP57">INDEX('Port Linkages'!$AO$18:$AO$157,MATCH(2,1/(('Port Linkages'!$C$18:$C$157=$AP57)*('Port Linkages'!$D$18:$D$157=IF($AO57="Yes",$AQ57,$AS57))*('Port Linkages'!$A$18:$A$157&lt;=$C57))))</f>
        <v>0</v>
      </c>
      <c r="MQ57" s="75" t="str">
        <f t="array" ref="MQ57">INDEX('Port Linkages'!$AP$18:$AP$157,MATCH(2,1/(('Port Linkages'!$C$18:$C$157=$AP57)*('Port Linkages'!$D$18:$D$157=IF($AO57="Yes",$AQ57,$AS57))*('Port Linkages'!$A$18:$A$157&lt;=$C57))))</f>
        <v>Supramax_General</v>
      </c>
      <c r="MR57" s="75" t="str">
        <f t="array" ref="MR57">INDEX('Port Linkages'!$AQ$18:$AQ$157,MATCH(2,1/(('Port Linkages'!$C$18:$C$157=$AP57)*('Port Linkages'!$D$18:$D$157=IF($AO57="Yes",$AQ57,$AS57))*('Port Linkages'!$A$18:$A$157&lt;=$C57))))</f>
        <v>Singapore</v>
      </c>
      <c r="MS57" s="75" t="str">
        <f t="array" ref="MS57">INDEX('Port Linkages'!$AR$18:$AR$157,MATCH(2,1/(('Port Linkages'!$C$18:$C$157=$AP57)*('Port Linkages'!$D$18:$D$157=IF($AO57="Yes",$AQ57,$AS57))*('Port Linkages'!$A$18:$A$157&lt;=$C57))))</f>
        <v>VLSFO</v>
      </c>
      <c r="MT57" s="75" t="str">
        <f t="array" ref="MT57">INDEX('Port Linkages'!$AS$18:$AS$157,MATCH(2,1/(('Port Linkages'!$C$18:$C$157=$AP57)*('Port Linkages'!$D$18:$D$157=IF($AO57="Yes",$AQ57,$AS57))*('Port Linkages'!$A$18:$A$157&lt;=$C57))))</f>
        <v>MGO_Regular</v>
      </c>
      <c r="MU57" s="75" t="str">
        <f t="array" ref="MU57">INDEX('Port Linkages'!$AT$18:$AT$157,MATCH(2,1/(('Port Linkages'!$C$18:$C$157=$AP57)*('Port Linkages'!$D$18:$D$157=IF($AO57="Yes",$AQ57,$AS57))*('Port Linkages'!$A$18:$A$157&lt;=$C57))))</f>
        <v>none</v>
      </c>
      <c r="MV57" s="75">
        <f t="array" ref="MV57">INDEX('Port Linkages'!$AU$18:$AU$157,MATCH(2,1/(('Port Linkages'!$C$18:$C$157=$AP57)*('Port Linkages'!$D$18:$D$157=IF($AO57="Yes",$AQ57,$AS57))*('Port Linkages'!$A$18:$A$157&lt;=$C57))))</f>
        <v>3280</v>
      </c>
      <c r="MW57" s="75">
        <f t="array" ref="MW57">INDEX('Port Linkages'!$AV$18:$AV$157,MATCH(2,1/(('Port Linkages'!$C$18:$C$157=$AP57)*('Port Linkages'!$D$18:$D$157=IF($AO57="Yes",$AQ57,$AS57))*('Port Linkages'!$A$18:$A$157&lt;=$C57))))</f>
        <v>0</v>
      </c>
      <c r="MX57" s="75" t="str">
        <f t="array" ref="MX57">INDEX('Port Linkages'!$AW$18:$AW$157,MATCH(2,1/(('Port Linkages'!$C$18:$C$157=$AP57)*('Port Linkages'!$D$18:$D$157=IF($AO57="Yes",$AQ57,$AS57))*('Port Linkages'!$A$18:$A$157&lt;=$C57))))</f>
        <v>Handysize_General</v>
      </c>
      <c r="MY57" s="75" t="str">
        <f t="array" ref="MY57">INDEX('Port Linkages'!$AX$18:$AX$157,MATCH(2,1/(('Port Linkages'!$C$18:$C$157=$AP57)*('Port Linkages'!$D$18:$D$157=IF($AO57="Yes",$AQ57,$AS57))*('Port Linkages'!$A$18:$A$157&lt;=$C57))))</f>
        <v>Singapore</v>
      </c>
      <c r="MZ57" s="75" t="str">
        <f t="array" ref="MZ57">INDEX('Port Linkages'!$AY$18:$AY$157,MATCH(2,1/(('Port Linkages'!$C$18:$C$157=$AP57)*('Port Linkages'!$D$18:$D$157=IF($AO57="Yes",$AQ57,$AS57))*('Port Linkages'!$A$18:$A$157&lt;=$C57))))</f>
        <v>VLSFO</v>
      </c>
      <c r="NA57" s="75" t="str">
        <f t="array" ref="NA57">INDEX('Port Linkages'!$AZ$18:$AZ$157,MATCH(2,1/(('Port Linkages'!$C$18:$C$157=$AP57)*('Port Linkages'!$D$18:$D$157=IF($AO57="Yes",$AQ57,$AS57))*('Port Linkages'!$A$18:$A$157&lt;=$C57))))</f>
        <v>MGO_Regular</v>
      </c>
      <c r="NB57" s="75" t="str">
        <f t="array" ref="NB57">INDEX('Port Linkages'!$BA$18:$BA$157,MATCH(2,1/(('Port Linkages'!$C$18:$C$157=$AP57)*('Port Linkages'!$D$18:$D$157=IF($AO57="Yes",$AQ57,$AS57))*('Port Linkages'!$A$18:$A$157&lt;=$C57))))</f>
        <v>none</v>
      </c>
      <c r="ND57" s="25" t="e">
        <f t="array" aca="1" ref="ND57" ca="1">INDEX('Ship Fuel Prices'!$F$5:$F$1004,MATCH(2,1/(('Ship Fuel Prices'!$E$5:$E$1004=_xlfn.IFS(KS57="Handysize",Main!MY57,KS57="Supramax",MR57,KS57="Panamax",MK57,KS57="NeoPanamax",MD57,KS57="Suezmax",LW57,KS57="Capesize",LP57,KS57="VLOC",LI57))*('Ship Fuel Prices'!$D$5:$D$1004&lt;=Main!$C57))))</f>
        <v>#N/A</v>
      </c>
      <c r="NE57" s="25" t="e">
        <f t="array" aca="1" ref="NE57" ca="1">INDEX('Ship Fuel Prices'!$G$5:$G$1004,MATCH(2,1/(('Ship Fuel Prices'!$E$5:$E$1004=_xlfn.IFS(KS57="Handysize",Main!MY57,KS57="Supramax",MR57,KS57="Panamax",MK57,KS57="NeoPanamax",MD57,KS57="Suezmax",LW57,KS57="Capesize",LP57,KS57="VLOC",LI57))*('Ship Fuel Prices'!$D$5:$D$1004&lt;=Main!$C57))))</f>
        <v>#N/A</v>
      </c>
      <c r="NF57" s="25" t="e">
        <f t="array" aca="1" ref="NF57" ca="1">INDEX('Ship Fuel Prices'!$H$5:$H$1004,MATCH(2,1/(('Ship Fuel Prices'!$E$5:$E$1004=_xlfn.IFS(KS57="Handysize",Main!MY57,KS57="Supramax",MR57,KS57="Panamax",MK57,KS57="NeoPanamax",MD57,KS57="Suezmax",LW57,KS57="Capesize",LP57,KS57="VLOC",LI57))*('Ship Fuel Prices'!$D$5:$D$1004&lt;=Main!$C57))))</f>
        <v>#N/A</v>
      </c>
      <c r="NG57" s="25" t="e">
        <f t="array" aca="1" ref="NG57" ca="1">INDEX('Ship Fuel Prices'!$I$5:$I$1004,MATCH(2,1/(('Ship Fuel Prices'!$E$5:$E$1004=_xlfn.IFS(KS57="Handysize",Main!MY57,KS57="Supramax",MR57,KS57="Panamax",MK57,KS57="NeoPanamax",MD57,KS57="Suezmax",LW57,KS57="Capesize",LP57,KS57="VLOC",LI57))*('Ship Fuel Prices'!$D$5:$D$1004&lt;=Main!$C57))))</f>
        <v>#N/A</v>
      </c>
      <c r="NH57" s="25" t="e">
        <f t="array" aca="1" ref="NH57" ca="1">INDEX('Ship Fuel Prices'!$J$5:$J$1004,MATCH(2,1/(('Ship Fuel Prices'!$E$5:$E$1004=_xlfn.IFS(KS57="Handysize",Main!MY57,KS57="Supramax",MR57,KS57="Panamax",MK57,KS57="NeoPanamax",MD57,KS57="Suezmax",LW57,KS57="Capesize",LP57,KS57="VLOC",LI57))*('Ship Fuel Prices'!$D$5:$D$1004&lt;=Main!$C57))))</f>
        <v>#N/A</v>
      </c>
      <c r="NJ57" s="75">
        <f t="array" ref="NJ57">INDEX('China n Importing Ports'!$E$20:$E$41,MATCH(2,1/(('China n Importing Ports'!$D$20:$D$41&lt;=$C57)*('China n Importing Ports'!$C$20:$C$41=IF($AO57="Yes",$AQ57,$AS57)))))</f>
        <v>42500</v>
      </c>
      <c r="NK57" s="75">
        <f t="array" ref="NK57">INDEX('China n Importing Ports'!$F$20:$F$41,MATCH(2,1/(('China n Importing Ports'!$D$20:$D$41&lt;=$C57)*('China n Importing Ports'!$C$20:$C$41=IF($AO57="Yes",$AQ57,$AS57)))))</f>
        <v>42500</v>
      </c>
      <c r="NL57" s="75">
        <f t="array" ref="NL57">INDEX('China n Importing Ports'!$G$20:$G$41,MATCH(2,1/(('China n Importing Ports'!$D$20:$D$41&lt;=$C57)*('China n Importing Ports'!$C$20:$C$41=IF($AO57="Yes",$AQ57,$AS57)))))</f>
        <v>42500</v>
      </c>
      <c r="NM57" s="75">
        <f t="array" ref="NM57">INDEX('China n Importing Ports'!$H$20:$H$41,MATCH(2,1/(('China n Importing Ports'!$D$20:$D$41&lt;=$C57)*('China n Importing Ports'!$C$20:$C$41=IF($AO57="Yes",$AQ57,$AS57)))))</f>
        <v>42500</v>
      </c>
      <c r="NN57" s="75">
        <f t="array" ref="NN57">INDEX('China n Importing Ports'!$I$20:$I$41,MATCH(2,1/(('China n Importing Ports'!$D$20:$D$41&lt;=$C57)*('China n Importing Ports'!$C$20:$C$41=IF($AO57="Yes",$AQ57,$AS57)))))</f>
        <v>42500</v>
      </c>
      <c r="NO57" s="75">
        <f t="array" ref="NO57">INDEX('China n Importing Ports'!$J$20:$J$41,MATCH(2,1/(('China n Importing Ports'!$D$20:$D$41&lt;=$C57)*('China n Importing Ports'!$C$20:$C$41=IF($AO57="Yes",$AQ57,$AS57)))))</f>
        <v>42500</v>
      </c>
      <c r="NP57" s="75">
        <f t="array" ref="NP57">INDEX('China n Importing Ports'!$K$20:$K$41,MATCH(2,1/(('China n Importing Ports'!$D$20:$D$41&lt;=$C57)*('China n Importing Ports'!$C$20:$C$41=IF($AO57="Yes",$AQ57,$AS57)))))</f>
        <v>42500</v>
      </c>
      <c r="NQ57" s="75" t="str">
        <f t="array" ref="NQ57">INDEX('China n Importing Ports'!$L$20:$L$41,MATCH(2,1/(('China n Importing Ports'!$D$20:$D$41&lt;=$C57)*('China n Importing Ports'!$C$20:$C$41=IF($AO57="Yes",$AQ57,$AS57)))))</f>
        <v>RMB</v>
      </c>
      <c r="NR57" s="75">
        <f t="array" ref="NR57">INDEX('China n Importing Ports'!$M$20:$M$41,MATCH(2,1/(('China n Importing Ports'!$D$20:$D$41&lt;=$C57)*('China n Importing Ports'!$C$20:$C$41=IF($AO57="Yes",$AQ57,$AS57)))))</f>
        <v>12342</v>
      </c>
      <c r="NS57" s="75">
        <f t="array" ref="NS57">INDEX('China n Importing Ports'!$N$20:$N$41,MATCH(2,1/(('China n Importing Ports'!$D$20:$D$41&lt;=$C57)*('China n Importing Ports'!$C$20:$C$41=IF($AO57="Yes",$AQ57,$AS57)))))</f>
        <v>0</v>
      </c>
      <c r="NT57" s="75">
        <f t="array" ref="NT57">INDEX('China n Importing Ports'!$O$20:$O$41,MATCH(2,1/(('China n Importing Ports'!$D$20:$D$41&lt;=$C57)*('China n Importing Ports'!$C$20:$C$41=IF($AO57="Yes",$AQ57,$AS57)))))</f>
        <v>0</v>
      </c>
      <c r="NU57" s="136">
        <f t="array" ref="NU57">INDEX('China n Importing Ports'!$P$20:$P$41,MATCH(2,1/(('China n Importing Ports'!$D$20:$D$41&lt;=$C57)*('China n Importing Ports'!$C$20:$C$41=IF($AO57="Yes",$AQ57,$AS57)))))</f>
        <v>2.64</v>
      </c>
      <c r="NV57" s="136">
        <f t="array" ref="NV57">INDEX('China n Importing Ports'!$Q$20:$Q$41,MATCH(2,1/(('China n Importing Ports'!$D$20:$D$41&lt;=$C57)*('China n Importing Ports'!$C$20:$C$41=IF($AO57="Yes",$AQ57,$AS57)))))</f>
        <v>0</v>
      </c>
      <c r="NW57" s="136">
        <f t="array" ref="NW57">INDEX('China n Importing Ports'!$R$20:$R$41,MATCH(2,1/(('China n Importing Ports'!$D$20:$D$41&lt;=$C57)*('China n Importing Ports'!$C$20:$C$41=IF($AO57="Yes",$AQ57,$AS57)))))</f>
        <v>0</v>
      </c>
      <c r="NX57" s="136">
        <f t="array" ref="NX57">INDEX('China n Importing Ports'!$S$20:$S$41,MATCH(2,1/(('China n Importing Ports'!$D$20:$D$41&lt;=$C57)*('China n Importing Ports'!$C$20:$C$41=IF($AO57="Yes",$AQ57,$AS57)))))</f>
        <v>4.53</v>
      </c>
      <c r="NY57" s="136">
        <f t="array" ref="NY57">INDEX('China n Importing Ports'!$T$20:$T$41,MATCH(2,1/(('China n Importing Ports'!$D$20:$D$41&lt;=$C57)*('China n Importing Ports'!$C$20:$C$41=IF($AO57="Yes",$AQ57,$AS57)))))</f>
        <v>0.36699999999999999</v>
      </c>
      <c r="NZ57" s="136">
        <f t="array" ref="NZ57">INDEX('China n Importing Ports'!$U$20:$U$41,MATCH(2,1/(('China n Importing Ports'!$D$20:$D$41&lt;=$C57)*('China n Importing Ports'!$C$20:$C$41=IF($AO57="Yes",$AQ57,$AS57)))))</f>
        <v>0.05</v>
      </c>
      <c r="OA57" s="136">
        <f t="array" ref="OA57">INDEX('China n Importing Ports'!$V$20:$V$41,MATCH(2,1/(('China n Importing Ports'!$D$20:$D$41&lt;=$C57)*('China n Importing Ports'!$C$20:$C$41=IF($AO57="Yes",$AQ57,$AS57)))))</f>
        <v>0</v>
      </c>
      <c r="OB57" s="136">
        <f t="array" ref="OB57">INDEX('China n Importing Ports'!$W$20:$W$41,MATCH(2,1/(('China n Importing Ports'!$D$20:$D$41&lt;=$C57)*('China n Importing Ports'!$C$20:$C$41=IF($AO57="Yes",$AQ57,$AS57)))))</f>
        <v>0</v>
      </c>
      <c r="OC57" s="136">
        <f t="array" ref="OC57">INDEX('China n Importing Ports'!$X$20:$X$41,MATCH(2,1/(('China n Importing Ports'!$D$20:$D$41&lt;=$C57)*('China n Importing Ports'!$C$20:$C$41=IF($AO57="Yes",$AQ57,$AS57)))))</f>
        <v>0</v>
      </c>
      <c r="OD57" s="136">
        <f t="array" ref="OD57">INDEX('China n Importing Ports'!$Y$20:$Y$41,MATCH(2,1/(('China n Importing Ports'!$D$20:$D$41&lt;=$C57)*('China n Importing Ports'!$C$20:$C$41=IF($AO57="Yes",$AQ57,$AS57)))))</f>
        <v>197</v>
      </c>
      <c r="OE57" s="136">
        <f t="array" ref="OE57">INDEX('China n Importing Ports'!$Z$20:$Z$41,MATCH(2,1/(('China n Importing Ports'!$D$20:$D$41&lt;=$C57)*('China n Importing Ports'!$C$20:$C$41=IF($AO57="Yes",$AQ57,$AS57)))))</f>
        <v>0</v>
      </c>
      <c r="OF57" s="136">
        <f t="array" ref="OF57">INDEX('China n Importing Ports'!$AA$20:$AA$41,MATCH(2,1/(('China n Importing Ports'!$D$20:$D$41&lt;=$C57)*('China n Importing Ports'!$C$20:$C$41=IF($AO57="Yes",$AQ57,$AS57)))))</f>
        <v>0</v>
      </c>
      <c r="OH57" s="75" t="e">
        <f t="array" aca="1" ref="OH57" ca="1">INDEX(Canals!$G$24:$G$29,MATCH(2,1/((Canals!$F$24:$F$29&lt;=$C57)*(Canals!$G$24:$G$29=_xlfn.IFS(KS57="Handysize",Main!NB57,KS57="Supramax",MU57,KS57="Panamax",MN57,KS57="NeoPanamax",MG57,KS57="Suezmax",LZ57,KS57="Capesize",LS57,KS57="VLOC",LL57)))))</f>
        <v>#N/A</v>
      </c>
      <c r="OI57" s="75" t="e">
        <f t="array" aca="1" ref="OI57" ca="1">INDEX(Canals!$H$24:$H$29,MATCH(2,1/((Canals!$F$24:$F$29&lt;=$C57)*(Canals!$G$24:$G$29=_xlfn.IFS(KS57="Handysize",Main!NB57,KS57="Supramax",MU57,KS57="Panamax",MN57,KS57="NeoPanamax",MG57,KS57="Suezmax",LZ57,KS57="Capesize",LS57,KS57="VLOC",LL57)))))</f>
        <v>#N/A</v>
      </c>
      <c r="OJ57" s="75" t="e">
        <f t="array" aca="1" ref="OJ57" ca="1">INDEX(Canals!$I$24:$I$29,MATCH(2,1/((Canals!$F$24:$F$29&lt;=$C57)*(Canals!$G$24:$G$29=_xlfn.IFS(KS57="Handysize",Main!NB57,KS57="Supramax",MU57,KS57="Panamax",MN57,KS57="NeoPanamax",MG57,KS57="Suezmax",LZ57,KS57="Capesize",LS57,KS57="VLOC",LL57)))))</f>
        <v>#N/A</v>
      </c>
      <c r="OK57" s="75" t="e">
        <f t="array" aca="1" ref="OK57" ca="1">INDEX(Canals!$J$24:$J$29,MATCH(2,1/((Canals!$F$24:$F$29&lt;=$C57)*(Canals!$G$24:$G$29=_xlfn.IFS(KS57="Handysize",Main!NB57,KS57="Supramax",MU57,KS57="Panamax",MN57,KS57="NeoPanamax",MG57,KS57="Suezmax",LZ57,KS57="Capesize",LS57,KS57="VLOC",LL57)))))</f>
        <v>#N/A</v>
      </c>
      <c r="OL57" s="75" t="e">
        <f t="array" aca="1" ref="OL57" ca="1">INDEX(Canals!$K$24:$K$29,MATCH(2,1/((Canals!$F$24:$F$29&lt;=$C57)*(Canals!$G$24:$G$29=_xlfn.IFS(KS57="Handysize",Main!NB57,KS57="Supramax",MU57,KS57="Panamax",MN57,KS57="NeoPanamax",MG57,KS57="Suezmax",LZ57,KS57="Capesize",LS57,KS57="VLOC",LL57)))))</f>
        <v>#N/A</v>
      </c>
      <c r="OM57" s="75" t="e">
        <f t="array" aca="1" ref="OM57" ca="1">INDEX(Canals!$L$24:$L$29,MATCH(2,1/((Canals!$F$24:$F$29&lt;=$C57)*(Canals!$G$24:$G$29=_xlfn.IFS(KS57="Handysize",Main!NB57,KS57="Supramax",MU57,KS57="Panamax",MN57,KS57="NeoPanamax",MG57,KS57="Suezmax",LZ57,KS57="Capesize",LS57,KS57="VLOC",LL57)))))</f>
        <v>#N/A</v>
      </c>
      <c r="ON57" s="75" t="e">
        <f t="array" aca="1" ref="ON57" ca="1">INDEX(Canals!$M$24:$M$29,MATCH(2,1/((Canals!$F$24:$F$29&lt;=$C57)*(Canals!$G$24:$G$29=_xlfn.IFS(KS57="Handysize",Main!NB57,KS57="Supramax",MU57,KS57="Panamax",MN57,KS57="NeoPanamax",MG57,KS57="Suezmax",LZ57,KS57="Capesize",LS57,KS57="VLOC",LL57)))))</f>
        <v>#N/A</v>
      </c>
      <c r="OO57" s="75" t="e">
        <f t="array" aca="1" ref="OO57" ca="1">INDEX(Canals!$N$24:$N$29,MATCH(2,1/((Canals!$F$24:$F$29&lt;=$C57)*(Canals!$G$24:$G$29=_xlfn.IFS(KS57="Handysize",Main!NB57,KS57="Supramax",MU57,KS57="Panamax",MN57,KS57="NeoPanamax",MG57,KS57="Suezmax",LZ57,KS57="Capesize",LS57,KS57="VLOC",LL57)))))</f>
        <v>#N/A</v>
      </c>
      <c r="OP57" s="75" t="e">
        <f t="array" aca="1" ref="OP57" ca="1">INDEX(Canals!$O$24:$O$29,MATCH(2,1/((Canals!$F$24:$F$29&lt;=$C57)*(Canals!$G$24:$G$29=_xlfn.IFS(KS57="Handysize",Main!NB57,KS57="Supramax",MU57,KS57="Panamax",MN57,KS57="NeoPanamax",MG57,KS57="Suezmax",LZ57,KS57="Capesize",LS57,KS57="VLOC",LL57)))))</f>
        <v>#N/A</v>
      </c>
      <c r="OQ57" s="75" t="e">
        <f t="array" aca="1" ref="OQ57" ca="1">INDEX(Canals!$P$24:$P$29,MATCH(2,1/((Canals!$F$24:$F$29&lt;=$C57)*(Canals!$G$24:$G$29=_xlfn.IFS(KS57="Handysize",Main!NB57,KS57="Supramax",MU57,KS57="Panamax",MN57,KS57="NeoPanamax",MG57,KS57="Suezmax",LZ57,KS57="Capesize",LS57,KS57="VLOC",LL57)))))</f>
        <v>#N/A</v>
      </c>
      <c r="OR57" s="75" t="e">
        <f t="array" aca="1" ref="OR57" ca="1">INDEX(Canals!$Q$24:$Q$29,MATCH(2,1/((Canals!$F$24:$F$29&lt;=$C57)*(Canals!$G$24:$G$29=_xlfn.IFS(KS57="Handysize",Main!NB57,KS57="Supramax",MU57,KS57="Panamax",MN57,KS57="NeoPanamax",MG57,KS57="Suezmax",LZ57,KS57="Capesize",LS57,KS57="VLOC",LL57)))))</f>
        <v>#N/A</v>
      </c>
      <c r="OS57" s="75" t="e">
        <f t="array" aca="1" ref="OS57" ca="1">INDEX(Canals!$R$24:$R$29,MATCH(2,1/((Canals!$F$24:$F$29&lt;=$C57)*(Canals!$G$24:$G$29=_xlfn.IFS(KS57="Handysize",Main!NB57,KS57="Supramax",MU57,KS57="Panamax",MN57,KS57="NeoPanamax",MG57,KS57="Suezmax",LZ57,KS57="Capesize",LS57,KS57="VLOC",LL57)))))</f>
        <v>#N/A</v>
      </c>
      <c r="OT57" s="136" t="e">
        <f t="array" aca="1" ref="OT57" ca="1">INDEX(Canals!$S$24:$S$29,MATCH(2,1/((Canals!$F$24:$F$29&lt;=$C57)*(Canals!$G$24:$G$29=_xlfn.IFS(KS57="Handysize",Main!NB57,KS57="Supramax",MU57,KS57="Panamax",MN57,KS57="NeoPanamax",MG57,KS57="Suezmax",LZ57,KS57="Capesize",LS57,KS57="VLOC",LL57)))))</f>
        <v>#N/A</v>
      </c>
      <c r="OU57" s="136" t="e">
        <f t="array" aca="1" ref="OU57" ca="1">INDEX(Canals!$T$24:$T$29,MATCH(2,1/((Canals!$F$24:$F$29&lt;=$C57)*(Canals!$G$24:$G$29=_xlfn.IFS(KS57="Handysize",Main!NB57,KS57="Supramax",MU57,KS57="Panamax",MN57,KS57="NeoPanamax",MG57,KS57="Suezmax",LZ57,KS57="Capesize",LS57,KS57="VLOC",LL57)))))</f>
        <v>#N/A</v>
      </c>
      <c r="OV57" s="136" t="e">
        <f t="array" aca="1" ref="OV57" ca="1">INDEX(Canals!$U$24:$U$29,MATCH(2,1/((Canals!$F$24:$F$29&lt;=$C57)*(Canals!$G$24:$G$29=_xlfn.IFS(KS57="Handysize",Main!NB57,KS57="Supramax",MU57,KS57="Panamax",MN57,KS57="NeoPanamax",MG57,KS57="Suezmax",LZ57,KS57="Capesize",LS57,KS57="VLOC",LL57)))))</f>
        <v>#N/A</v>
      </c>
      <c r="OW57" s="136" t="e">
        <f t="array" aca="1" ref="OW57" ca="1">INDEX(Canals!$V$24:$V$29,MATCH(2,1/((Canals!$F$24:$F$29&lt;=$C57)*(Canals!$G$24:$G$29=_xlfn.IFS(KS57="Handysize",Main!NB57,KS57="Supramax",MU57,KS57="Panamax",MN57,KS57="NeoPanamax",MG57,KS57="Suezmax",LZ57,KS57="Capesize",LS57,KS57="VLOC",LL57)))))</f>
        <v>#N/A</v>
      </c>
      <c r="OX57" s="136" t="e">
        <f t="array" aca="1" ref="OX57" ca="1">INDEX(Canals!$W$24:$W$29,MATCH(2,1/((Canals!$F$24:$F$29&lt;=$C57)*(Canals!$G$24:$G$29=_xlfn.IFS(KS57="Handysize",Main!NB57,KS57="Supramax",MU57,KS57="Panamax",MN57,KS57="NeoPanamax",MG57,KS57="Suezmax",LZ57,KS57="Capesize",LS57,KS57="VLOC",LL57)))))</f>
        <v>#N/A</v>
      </c>
      <c r="OY57" s="136" t="e">
        <f t="array" aca="1" ref="OY57" ca="1">INDEX(Canals!$X$24:$X$29,MATCH(2,1/((Canals!$F$24:$F$29&lt;=$C57)*(Canals!$G$24:$G$29=_xlfn.IFS(KS57="Handysize",Main!NB57,KS57="Supramax",MU57,KS57="Panamax",MN57,KS57="NeoPanamax",MG57,KS57="Suezmax",LZ57,KS57="Capesize",LS57,KS57="VLOC",LL57)))))</f>
        <v>#N/A</v>
      </c>
      <c r="OZ57" s="136" t="e">
        <f t="array" aca="1" ref="OZ57" ca="1">INDEX(Canals!$Y$24:$Y$29,MATCH(2,1/((Canals!$F$24:$F$29&lt;=$C57)*(Canals!$G$24:$G$29=_xlfn.IFS(KS57="Handysize",Main!NB57,KS57="Supramax",MU57,KS57="Panamax",MN57,KS57="NeoPanamax",MG57,KS57="Suezmax",LZ57,KS57="Capesize",LS57,KS57="VLOC",LL57)))))</f>
        <v>#N/A</v>
      </c>
      <c r="PA57" s="136" t="e">
        <f t="array" aca="1" ref="PA57" ca="1">INDEX(Canals!$Z$24:$Z$29,MATCH(2,1/((Canals!$F$24:$F$29&lt;=$C57)*(Canals!$G$24:$G$29=_xlfn.IFS(KS57="Handysize",Main!NB57,KS57="Supramax",MU57,KS57="Panamax",MN57,KS57="NeoPanamax",MG57,KS57="Suezmax",LZ57,KS57="Capesize",LS57,KS57="VLOC",LL57)))))</f>
        <v>#N/A</v>
      </c>
      <c r="PB57" s="136" t="e">
        <f t="array" aca="1" ref="PB57" ca="1">INDEX(Canals!$AA$24:$AA$29,MATCH(2,1/((Canals!$F$24:$F$29&lt;=$C57)*(Canals!$G$24:$G$29=_xlfn.IFS(KS57="Handysize",Main!NB57,KS57="Supramax",MU57,KS57="Panamax",MN57,KS57="NeoPanamax",MG57,KS57="Suezmax",LZ57,KS57="Capesize",LS57,KS57="VLOC",LL57)))))</f>
        <v>#N/A</v>
      </c>
      <c r="PC57" s="136" t="e">
        <f t="array" aca="1" ref="PC57" ca="1">INDEX(Canals!$AB$24:$AB$29,MATCH(2,1/((Canals!$F$24:$F$29&lt;=$C57)*(Canals!$G$24:$G$29=_xlfn.IFS(KS57="Handysize",Main!NB57,KS57="Supramax",MU57,KS57="Panamax",MN57,KS57="NeoPanamax",MG57,KS57="Suezmax",LZ57,KS57="Capesize",LS57,KS57="VLOC",LL57)))))</f>
        <v>#N/A</v>
      </c>
      <c r="PD57" s="75" t="e">
        <f t="array" aca="1" ref="PD57" ca="1">INDEX(Canals!$AC$24:$AC$29,MATCH(2,1/((Canals!$F$24:$F$29&lt;=$C57)*(Canals!$G$24:$G$29=_xlfn.IFS(KS57="Handysize",Main!NB57,KS57="Supramax",MU57,KS57="Panamax",MN57,KS57="NeoPanamax",MG57,KS57="Suezmax",LZ57,KS57="Capesize",LS57,KS57="VLOC",LL57)))))</f>
        <v>#N/A</v>
      </c>
      <c r="PE57" s="75" t="e">
        <f t="array" aca="1" ref="PE57" ca="1">INDEX(Canals!$AD$24:$AD$29,MATCH(2,1/((Canals!$F$24:$F$29&lt;=$C57)*(Canals!$G$24:$G$29=_xlfn.IFS(KS57="Handysize",Main!NB57,KS57="Supramax",MU57,KS57="Panamax",MN57,KS57="NeoPanamax",MG57,KS57="Suezmax",LZ57,KS57="Capesize",LS57,KS57="VLOC",LL57)))))</f>
        <v>#N/A</v>
      </c>
      <c r="PF57" s="75" t="e">
        <f t="array" aca="1" ref="PF57" ca="1">INDEX(Canals!$AE$24:$AE$29,MATCH(2,1/((Canals!$F$24:$F$29&lt;=$C57)*(Canals!$G$24:$G$29=_xlfn.IFS(KS57="Handysize",Main!NB57,KS57="Supramax",MU57,KS57="Panamax",MN57,KS57="NeoPanamax",MG57,KS57="Suezmax",LZ57,KS57="Capesize",LS57,KS57="VLOC",LL57)))))</f>
        <v>#N/A</v>
      </c>
      <c r="PG57" s="75" t="e">
        <f t="array" aca="1" ref="PG57" ca="1">INDEX(Canals!$AF$24:$AF$29,MATCH(2,1/((Canals!$F$24:$F$29&lt;=$C57)*(Canals!$G$24:$G$29=_xlfn.IFS(KS57="Handysize",Main!NB57,KS57="Supramax",MU57,KS57="Panamax",MN57,KS57="NeoPanamax",MG57,KS57="Suezmax",LZ57,KS57="Capesize",LS57,KS57="VLOC",LL57)))))</f>
        <v>#N/A</v>
      </c>
      <c r="PH57" s="75" t="e">
        <f t="array" aca="1" ref="PH57" ca="1">INDEX(Canals!$AG$24:$AG$29,MATCH(2,1/((Canals!$F$24:$F$29&lt;=$C57)*(Canals!$G$24:$G$29=_xlfn.IFS(KS57="Handysize",Main!NB57,KS57="Supramax",MU57,KS57="Panamax",MN57,KS57="NeoPanamax",MG57,KS57="Suezmax",LZ57,KS57="Capesize",LS57,KS57="VLOC",LL57)))))</f>
        <v>#N/A</v>
      </c>
      <c r="PI57" s="75" t="e">
        <f t="array" aca="1" ref="PI57" ca="1">INDEX(Canals!$AH$24:$AH$29,MATCH(2,1/((Canals!$F$24:$F$29&lt;=$C57)*(Canals!$G$24:$G$29=_xlfn.IFS(KS57="Handysize",Main!NB57,KS57="Supramax",MU57,KS57="Panamax",MN57,KS57="NeoPanamax",MG57,KS57="Suezmax",LZ57,KS57="Capesize",LS57,KS57="VLOC",LL57)))))</f>
        <v>#N/A</v>
      </c>
      <c r="PJ57" s="75" t="e">
        <f t="array" aca="1" ref="PJ57" ca="1">INDEX(Canals!$AI$24:$AI$29,MATCH(2,1/((Canals!$F$24:$F$29&lt;=$C57)*(Canals!$G$24:$G$29=_xlfn.IFS(KS57="Handysize",Main!NB57,KS57="Supramax",MU57,KS57="Panamax",MN57,KS57="NeoPanamax",MG57,KS57="Suezmax",LZ57,KS57="Capesize",LS57,KS57="VLOC",LL57)))))</f>
        <v>#N/A</v>
      </c>
      <c r="PK57" s="75" t="e">
        <f t="array" aca="1" ref="PK57" ca="1">INDEX(Canals!$AJ$24:$AJ$29,MATCH(2,1/((Canals!$F$24:$F$29&lt;=$C57)*(Canals!$G$24:$G$29=_xlfn.IFS(KS57="Handysize",Main!NB57,KS57="Supramax",MU57,KS57="Panamax",MN57,KS57="NeoPanamax",MG57,KS57="Suezmax",LZ57,KS57="Capesize",LS57,KS57="VLOC",LL57)))))</f>
        <v>#N/A</v>
      </c>
      <c r="PL57" s="75" t="e">
        <f t="array" aca="1" ref="PL57" ca="1">INDEX(Canals!$AK$24:$AK$29,MATCH(2,1/((Canals!$F$24:$F$29&lt;=$C57)*(Canals!$G$24:$G$29=_xlfn.IFS(KS57="Handysize",Main!NB57,KS57="Supramax",MU57,KS57="Panamax",MN57,KS57="NeoPanamax",MG57,KS57="Suezmax",LZ57,KS57="Capesize",LS57,KS57="VLOC",LL57)))))</f>
        <v>#N/A</v>
      </c>
      <c r="PM57" s="136" t="e">
        <f t="array" aca="1" ref="PM57" ca="1">INDEX(Canals!$AL$24:$AL$29,MATCH(2,1/((Canals!$F$24:$F$29&lt;=$C57)*(Canals!$G$24:$G$29=_xlfn.IFS(KS57="Handysize",Main!NB57,KS57="Supramax",MU57,KS57="Panamax",MN57,KS57="NeoPanamax",MG57,KS57="Suezmax",LZ57,KS57="Capesize",LS57,KS57="VLOC",LL57)))))</f>
        <v>#N/A</v>
      </c>
      <c r="PN57" s="136" t="e">
        <f t="array" aca="1" ref="PN57" ca="1">INDEX(Canals!$AM$24:$AM$29,MATCH(2,1/((Canals!$F$24:$F$29&lt;=$C57)*(Canals!$G$24:$G$29=_xlfn.IFS(KS57="Handysize",Main!NB57,KS57="Supramax",MU57,KS57="Panamax",MN57,KS57="NeoPanamax",MG57,KS57="Suezmax",LZ57,KS57="Capesize",LS57,KS57="VLOC",LL57)))))</f>
        <v>#N/A</v>
      </c>
      <c r="PO57" s="136" t="e">
        <f t="array" aca="1" ref="PO57" ca="1">INDEX(Canals!$AN$24:$AN$29,MATCH(2,1/((Canals!$F$24:$F$29&lt;=$C57)*(Canals!$G$24:$G$29=_xlfn.IFS(KS57="Handysize",Main!NB57,KS57="Supramax",MU57,KS57="Panamax",MN57,KS57="NeoPanamax",MG57,KS57="Suezmax",LZ57,KS57="Capesize",LS57,KS57="VLOC",LL57)))))</f>
        <v>#N/A</v>
      </c>
      <c r="PP57" s="136" t="e">
        <f t="array" aca="1" ref="PP57" ca="1">INDEX(Canals!$AO$24:$AO$29,MATCH(2,1/((Canals!$F$24:$F$29&lt;=$C57)*(Canals!$G$24:$G$29=_xlfn.IFS(KS57="Handysize",Main!NB57,KS57="Supramax",MU57,KS57="Panamax",MN57,KS57="NeoPanamax",MG57,KS57="Suezmax",LZ57,KS57="Capesize",LS57,KS57="VLOC",LL57)))))</f>
        <v>#N/A</v>
      </c>
      <c r="PQ57" s="136" t="e">
        <f t="array" aca="1" ref="PQ57" ca="1">INDEX(Canals!$AP$24:$AP$29,MATCH(2,1/((Canals!$F$24:$F$29&lt;=$C57)*(Canals!$G$24:$G$29=_xlfn.IFS(KS57="Handysize",Main!NB57,KS57="Supramax",MU57,KS57="Panamax",MN57,KS57="NeoPanamax",MG57,KS57="Suezmax",LZ57,KS57="Capesize",LS57,KS57="VLOC",LL57)))))</f>
        <v>#N/A</v>
      </c>
      <c r="PR57" s="136" t="e">
        <f t="array" aca="1" ref="PR57" ca="1">INDEX(Canals!$AQ$24:$AQ$29,MATCH(2,1/((Canals!$F$24:$F$29&lt;=$C57)*(Canals!$G$24:$G$29=_xlfn.IFS(KS57="Handysize",Main!NB57,KS57="Supramax",MU57,KS57="Panamax",MN57,KS57="NeoPanamax",MG57,KS57="Suezmax",LZ57,KS57="Capesize",LS57,KS57="VLOC",LL57)))))</f>
        <v>#N/A</v>
      </c>
      <c r="PS57" s="136" t="e">
        <f t="array" aca="1" ref="PS57" ca="1">INDEX(Canals!$AR$24:$AR$29,MATCH(2,1/((Canals!$F$24:$F$29&lt;=$C57)*(Canals!$G$24:$G$29=_xlfn.IFS(KS57="Handysize",Main!NB57,KS57="Supramax",MU57,KS57="Panamax",MN57,KS57="NeoPanamax",MG57,KS57="Suezmax",LZ57,KS57="Capesize",LS57,KS57="VLOC",LL57)))))</f>
        <v>#N/A</v>
      </c>
      <c r="PT57" s="136" t="e">
        <f t="array" aca="1" ref="PT57" ca="1">INDEX(Canals!$AS$24:$AS$29,MATCH(2,1/((Canals!$F$24:$F$29&lt;=$C57)*(Canals!$G$24:$G$29=_xlfn.IFS(KS57="Handysize",Main!NB57,KS57="Supramax",MU57,KS57="Panamax",MN57,KS57="NeoPanamax",MG57,KS57="Suezmax",LZ57,KS57="Capesize",LS57,KS57="VLOC",LL57)))))</f>
        <v>#N/A</v>
      </c>
      <c r="PU57" s="136" t="e">
        <f t="array" aca="1" ref="PU57" ca="1">INDEX(Canals!$AT$24:$AT$29,MATCH(2,1/((Canals!$F$24:$F$29&lt;=$C57)*(Canals!$G$24:$G$29=_xlfn.IFS(KS57="Handysize",Main!NB57,KS57="Supramax",MU57,KS57="Panamax",MN57,KS57="NeoPanamax",MG57,KS57="Suezmax",LZ57,KS57="Capesize",LS57,KS57="VLOC",LL57)))))</f>
        <v>#N/A</v>
      </c>
      <c r="PV57" s="136" t="e">
        <f t="array" aca="1" ref="PV57" ca="1">INDEX(Canals!$AU$24:$AU$29,MATCH(2,1/((Canals!$F$24:$F$29&lt;=$C57)*(Canals!$G$24:$G$29=_xlfn.IFS(KS57="Handysize",Main!NB57,KS57="Supramax",MU57,KS57="Panamax",MN57,KS57="NeoPanamax",MG57,KS57="Suezmax",LZ57,KS57="Capesize",LS57,KS57="VLOC",LL57)))))</f>
        <v>#N/A</v>
      </c>
      <c r="PW57" s="136" t="e">
        <f t="array" aca="1" ref="PW57" ca="1">INDEX(Canals!$AV$24:$AV$29,MATCH(2,1/((Canals!$F$24:$F$29&lt;=$C57)*(Canals!$G$24:$G$29=_xlfn.IFS(KS57="Handysize",Main!NB57,KS57="Supramax",MU57,KS57="Panamax",MN57,KS57="NeoPanamax",MG57,KS57="Suezmax",LZ57,KS57="Capesize",LS57,KS57="VLOC",LL57)))))</f>
        <v>#N/A</v>
      </c>
      <c r="PY57" s="75" t="e">
        <f t="array" aca="1" ref="PY57" ca="1">_xlfn.IFS(OJ57="DWT",KQ57,OJ57="NRT",KU57,OJ57="GRT",KV57)</f>
        <v>#NAME?</v>
      </c>
      <c r="PZ57" s="279" t="e">
        <f t="shared" ca="1" si="422"/>
        <v>#NAME?</v>
      </c>
      <c r="QA57" s="280" t="e">
        <f t="shared" ca="1" si="423"/>
        <v>#NAME?</v>
      </c>
      <c r="QB57" s="280" t="e">
        <f t="shared" ca="1" si="424"/>
        <v>#NAME?</v>
      </c>
      <c r="QC57" s="280" t="e">
        <f t="shared" ca="1" si="425"/>
        <v>#NAME?</v>
      </c>
      <c r="QD57" s="280" t="e">
        <f t="shared" ca="1" si="426"/>
        <v>#NAME?</v>
      </c>
      <c r="QE57" s="280" t="e">
        <f t="shared" ca="1" si="427"/>
        <v>#NAME?</v>
      </c>
      <c r="QF57" s="280" t="e">
        <f t="shared" ca="1" si="428"/>
        <v>#NAME?</v>
      </c>
      <c r="QG57" s="280" t="e">
        <f t="shared" ca="1" si="429"/>
        <v>#NAME?</v>
      </c>
      <c r="QH57" s="280" t="e">
        <f t="shared" ca="1" si="430"/>
        <v>#NAME?</v>
      </c>
      <c r="QI57" s="75">
        <f t="shared" si="431"/>
        <v>89655.172413793116</v>
      </c>
      <c r="QJ57" s="279" t="e">
        <f t="shared" ca="1" si="432"/>
        <v>#N/A</v>
      </c>
      <c r="QK57" s="280" t="e">
        <f t="shared" ca="1" si="433"/>
        <v>#N/A</v>
      </c>
      <c r="QL57" s="280" t="e">
        <f t="shared" ca="1" si="434"/>
        <v>#N/A</v>
      </c>
      <c r="QM57" s="280" t="e">
        <f t="shared" ca="1" si="435"/>
        <v>#N/A</v>
      </c>
      <c r="QN57" s="280" t="e">
        <f t="shared" ca="1" si="436"/>
        <v>#N/A</v>
      </c>
      <c r="QO57" s="280" t="e">
        <f t="shared" ca="1" si="437"/>
        <v>#N/A</v>
      </c>
      <c r="QP57" s="280" t="e">
        <f t="shared" ca="1" si="438"/>
        <v>#N/A</v>
      </c>
      <c r="QQ57" s="280" t="e">
        <f t="shared" ca="1" si="439"/>
        <v>#N/A</v>
      </c>
      <c r="QR57" s="280" t="e">
        <f t="shared" ca="1" si="440"/>
        <v>#N/A</v>
      </c>
      <c r="QT57" s="75" t="e">
        <f t="array" aca="1" ref="QT57" ca="1">_xlfn.IFS(KS57="Handysize",Main!MV57,KS57="Supramax",MO57,KS57="Panamax",MH57,KS57="NeoPanamax",MA57,KS57="Suezmax",LT57,KS57="Capesize",LM57,KS57="VLOC",LF57)*$JI57</f>
        <v>#NAME?</v>
      </c>
      <c r="QU57" s="274" t="e">
        <f t="array" aca="1" ref="QU57" ca="1">_xlfn.IFS(KS57="Handysize",Main!MW57,KS57="Supramax",MP57,KS57="Panamax",MI57,KS57="NeoPanamax",MB57,KS57="Suezmax",LU57,KS57="Capesize",LN57,KS57="VLOC",LG57)*$JI57</f>
        <v>#NAME?</v>
      </c>
      <c r="QV57" s="71" t="e">
        <f t="array" aca="1" ref="QV57" ca="1">_xlfn.IFS(KS57="Handysize",Main!KX57,KS57="Supramax",KY57,KS57="Panamax",KZ57,KS57="NeoPanamax",LA57,KS57="Suezmax",LB57,KS57="Capesize",LC57,KS57="VLOC",LD57)</f>
        <v>#NAME?</v>
      </c>
      <c r="QW57" s="71" t="e">
        <f t="array" aca="1" ref="QW57" ca="1">_xlfn.IFS(KS57="Handysize",Main!NJ57,KS57="Supramax",NK57,KS57="Panamax",NL57,KS57="NeoPanamax",NM57,KS57="Suezmax",NN57,KS57="Capesize",NO57,KS57="VLOC",NP57)</f>
        <v>#NAME?</v>
      </c>
      <c r="QX57" s="70">
        <f t="array" ref="QX57">INDEX('Ship Speeds'!$G$11:$G$1011,MATCH(2,1/(('Ship Speeds'!$E$11:$E$1011&lt;=Main!$C57)*('Ship Speeds'!$F$11:$F$1011=Main!KR57))))</f>
        <v>11</v>
      </c>
      <c r="QY57" s="403">
        <f t="shared" si="441"/>
        <v>23.54898909629194</v>
      </c>
      <c r="QZ57" s="401">
        <f t="shared" si="442"/>
        <v>2.1820689655172414</v>
      </c>
      <c r="RA57" s="70" t="e">
        <f ca="1">QT57/QX57/$JH57</f>
        <v>#NAME?</v>
      </c>
      <c r="RB57" s="70" t="e">
        <f t="shared" ca="1" si="443"/>
        <v>#NAME?</v>
      </c>
      <c r="RC57" s="70" t="e">
        <f t="shared" ca="1" si="444"/>
        <v>#NAME?</v>
      </c>
      <c r="RD57" s="70" t="e">
        <f t="shared" ca="1" si="445"/>
        <v>#NAME?</v>
      </c>
      <c r="RE57" s="72" t="e">
        <f ca="1">PW57*$JI57</f>
        <v>#N/A</v>
      </c>
      <c r="RF57" s="70" t="e">
        <f t="shared" ca="1" si="446"/>
        <v>#NAME?</v>
      </c>
      <c r="RG57" s="70" t="e">
        <f t="array" aca="1" ref="RG57" ca="1">INDEX(ND57:NH57,MATCH(_xlfn.IFS(KS57="Handysize",Main!MZ57,KS57="Supramax",MS57,KS57="Panamax",ML57,KS57="NeoPanamax",ME57,KS57="Suezmax",LX57,KS57="Capesize",LQ57,KS57="VLOC",LJ57),$ND$7:$NH$7,0))</f>
        <v>#NAME?</v>
      </c>
      <c r="RH57" s="70" t="e">
        <f t="array" aca="1" ref="RH57" ca="1">INDEX(ND57:NH57,MATCH(_xlfn.IFS(KS57="Handysize",Main!NA57,KS57="Supramax",MT57,KS57="Panamax",MM57,KS57="NeoPanamax",MF57,KS57="Suezmax",LY57,KS57="Capesize",LR57,KS57="VLOC",LK57),$ND$7:$NH$7,0))</f>
        <v>#NAME?</v>
      </c>
      <c r="RI57" s="71" t="e">
        <f t="shared" ca="1" si="447"/>
        <v>#NAME?</v>
      </c>
      <c r="RJ57" s="71" t="e">
        <f t="shared" ca="1" si="448"/>
        <v>#NAME?</v>
      </c>
      <c r="RK57" s="281">
        <f>INDEX($JA57:$JD57,MATCH(NQ57,$JA$7:$JD$7,0))</f>
        <v>7.0834199999999994</v>
      </c>
      <c r="RL57" s="71">
        <f>NR57/RK57</f>
        <v>1742.3786814843679</v>
      </c>
      <c r="RM57" s="71" t="e">
        <f ca="1">NS57*SUM(RD57,$JX57)/RK57</f>
        <v>#NAME?</v>
      </c>
      <c r="RN57" s="71" t="e">
        <f ca="1">NT57*(RF57*(1-$JW57))/RK57</f>
        <v>#NAME?</v>
      </c>
      <c r="RO57" s="71">
        <f>NU57*(KQ57*$JN57)/RK57</f>
        <v>33414.601304513053</v>
      </c>
      <c r="RP57" s="71" t="e">
        <f ca="1">NV57*(KQ57*$JN57)*SUM(RD57,$JX57)/RK57</f>
        <v>#NAME?</v>
      </c>
      <c r="RQ57" s="71" t="e">
        <f ca="1">NW57*(KQ57*$JN57)*(RF57*(1-$JW57))/RK57</f>
        <v>#NAME?</v>
      </c>
      <c r="RR57" s="71">
        <f>NX57*KU57/RK57</f>
        <v>23722.575467393071</v>
      </c>
      <c r="RS57" s="71" t="e">
        <f ca="1">NY57*KU57*SUM(RD57,$JX57)/RK57</f>
        <v>#NAME?</v>
      </c>
      <c r="RT57" s="71" t="e">
        <f ca="1">NZ57*KU57*(RF57*(1-$JW57))/RK57</f>
        <v>#NAME?</v>
      </c>
      <c r="RU57" s="71">
        <f>OA57*KV57/RK57</f>
        <v>0</v>
      </c>
      <c r="RV57" s="71" t="e">
        <f ca="1">OB57*KV57*SUM(RD57,$JX57)/RK57</f>
        <v>#NAME?</v>
      </c>
      <c r="RW57" s="71" t="e">
        <f ca="1">OC57*KV57*(RF57*(1-$JW57))/RK57</f>
        <v>#NAME?</v>
      </c>
      <c r="RX57" s="72">
        <f>OD57*KT57/RK57</f>
        <v>6289.994780428975</v>
      </c>
      <c r="RY57" s="72" t="e">
        <f ca="1">OE57*KT57*SUM(RD57,$JX57)/RK57</f>
        <v>#NAME?</v>
      </c>
      <c r="RZ57" s="71" t="e">
        <f ca="1">OF57*KT57*(RF57*(1-$JW57))/RK57</f>
        <v>#NAME?</v>
      </c>
      <c r="SA57" s="71" t="e">
        <f t="array" aca="1" ref="SA57" ca="1">INDEX('Ship Time Charter Rates'!$H$22:$H$1021,MATCH(2,1/(('Ship Time Charter Rates'!$G$22:$G$1021=_xlfn.IFS(KS57="Handysize",Main!MX57,KS57="Supramax",MQ57,KS57="Panamax",MJ57,KS57="NeoPanamax",MC57,KS57="Suezmax",LV57,KS57="Capesize",LO57,KS57="VLOC",LH57))*('Ship Time Charter Rates'!$E$22:$E$1021&lt;=Main!$C57)*(NOT(ISBLANK('Ship Time Charter Rates'!$H$22:$H$1021))))))</f>
        <v>#N/A</v>
      </c>
      <c r="SB57" s="71" t="e">
        <f t="shared" ca="1" si="449"/>
        <v>#NAME?</v>
      </c>
      <c r="SC57" s="70" t="e">
        <f ca="1">SUMPRODUCT(OT57:PB57,PZ57:QH57)+SUMPRODUCT(PM57:PU57,QJ57:QR57)</f>
        <v>#N/A</v>
      </c>
      <c r="SD57" s="71" t="e">
        <f ca="1">SUM(RI57,RJ57)+SB57+SC57+SUM(RL57:RZ57)</f>
        <v>#NAME?</v>
      </c>
      <c r="SE57" s="71" t="e">
        <f t="shared" ca="1" si="450"/>
        <v>#NAME?</v>
      </c>
      <c r="SF57" s="72" t="e">
        <f t="shared" ca="1" si="451"/>
        <v>#NAME?</v>
      </c>
      <c r="SH57" s="25">
        <f>IF($AO57="yes",$AN57,$AR57)/(1-$AL57)/$JN57</f>
        <v>0</v>
      </c>
      <c r="SI57" s="4" t="str">
        <f>VLOOKUP(SH57,'Ship Time Charter Rates'!$F$10:$G$17,2,TRUE)</f>
        <v>Handysize</v>
      </c>
      <c r="SJ57" s="4" t="str">
        <f>VLOOKUP(SH57,Canals!$E$5:$F$12,2,TRUE)</f>
        <v>Handysize</v>
      </c>
      <c r="SK57" s="25">
        <f t="shared" si="452"/>
        <v>145.88999999999999</v>
      </c>
      <c r="SL57" s="25">
        <f t="shared" si="453"/>
        <v>0</v>
      </c>
      <c r="SM57" s="25">
        <f t="shared" si="454"/>
        <v>4797</v>
      </c>
      <c r="SO57" s="75">
        <f t="array" ref="SO57">INDEX('Indices Mines Exporting Ports'!$R$20:$R$51,MATCH(2,1/(('Indices Mines Exporting Ports'!$D$20:$D$51&lt;=Main!$C57)*('Indices Mines Exporting Ports'!$Q$20:$Q$51=$AQ57))))</f>
        <v>0</v>
      </c>
      <c r="SP57" s="75">
        <f t="array" ref="SP57">INDEX('Indices Mines Exporting Ports'!$S$20:$S$51,MATCH(2,1/(('Indices Mines Exporting Ports'!$D$20:$D$51&lt;=Main!$C57)*('Indices Mines Exporting Ports'!$Q$20:$Q$51=$AQ57))))</f>
        <v>0</v>
      </c>
      <c r="SQ57" s="75">
        <f t="array" ref="SQ57">INDEX('Indices Mines Exporting Ports'!$T$20:$T$51,MATCH(2,1/(('Indices Mines Exporting Ports'!$D$20:$D$51&lt;=Main!$C57)*('Indices Mines Exporting Ports'!$Q$20:$Q$51=$AQ57))))</f>
        <v>0</v>
      </c>
      <c r="SR57" s="75">
        <f t="array" ref="SR57">INDEX('Indices Mines Exporting Ports'!$U$20:$U$51,MATCH(2,1/(('Indices Mines Exporting Ports'!$D$20:$D$51&lt;=Main!$C57)*('Indices Mines Exporting Ports'!$Q$20:$Q$51=$AQ57))))</f>
        <v>0</v>
      </c>
      <c r="SS57" s="75">
        <f t="array" ref="SS57">INDEX('Indices Mines Exporting Ports'!$V$20:$V$51,MATCH(2,1/(('Indices Mines Exporting Ports'!$D$20:$D$51&lt;=Main!$C57)*('Indices Mines Exporting Ports'!$Q$20:$Q$51=$AQ57))))</f>
        <v>0</v>
      </c>
      <c r="ST57" s="75">
        <f t="array" ref="ST57">INDEX('Indices Mines Exporting Ports'!$W$20:$W$51,MATCH(2,1/(('Indices Mines Exporting Ports'!$D$20:$D$51&lt;=Main!$C57)*('Indices Mines Exporting Ports'!$Q$20:$Q$51=$AQ57))))</f>
        <v>0</v>
      </c>
      <c r="SU57" s="75">
        <f t="array" ref="SU57">INDEX('Indices Mines Exporting Ports'!$X$20:$X$51,MATCH(2,1/(('Indices Mines Exporting Ports'!$D$20:$D$51&lt;=Main!$C57)*('Indices Mines Exporting Ports'!$Q$20:$Q$51=$AQ57))))</f>
        <v>0</v>
      </c>
      <c r="SW57" s="75">
        <f t="array" ref="SW57">INDEX('Port Linkages'!$E$18:$E$157,MATCH(2,1/(('Port Linkages'!$C$18:$C$157=$AQ57)*('Port Linkages'!$D$18:$D$157=IF($AO57="no",$AQ57,$AS57))*('Port Linkages'!$A$18:$A$157&lt;=$C57))))</f>
        <v>0</v>
      </c>
      <c r="SX57" s="75">
        <f t="array" ref="SX57">INDEX('Port Linkages'!$F$18:$F$157,MATCH(2,1/(('Port Linkages'!$C$18:$C$157=$AQ57)*('Port Linkages'!$D$18:$D$157=IF($AO57="no",$AQ57,$AS57))*('Port Linkages'!$A$18:$A$157&lt;=$C57))))</f>
        <v>0</v>
      </c>
      <c r="SY57" s="75">
        <f t="array" ref="SY57">INDEX('Port Linkages'!$G$18:$G$157,MATCH(2,1/(('Port Linkages'!$C$18:$C$157=$AQ57)*('Port Linkages'!$D$18:$D$157=IF($AO57="no",$AQ57,$AS57))*('Port Linkages'!$A$18:$A$157&lt;=$C57))))</f>
        <v>0</v>
      </c>
      <c r="SZ57" s="75">
        <f t="array" ref="SZ57">INDEX('Port Linkages'!$H$18:$H$157,MATCH(2,1/(('Port Linkages'!$C$18:$C$157=$AQ57)*('Port Linkages'!$D$18:$D$157=IF($AO57="no",$AQ57,$AS57))*('Port Linkages'!$A$18:$A$157&lt;=$C57))))</f>
        <v>0</v>
      </c>
      <c r="TA57" s="75">
        <f t="array" ref="TA57">INDEX('Port Linkages'!$I$18:$I$157,MATCH(2,1/(('Port Linkages'!$C$18:$C$157=$AQ57)*('Port Linkages'!$D$18:$D$157=IF($AO57="no",$AQ57,$AS57))*('Port Linkages'!$A$18:$A$157&lt;=$C57))))</f>
        <v>0</v>
      </c>
      <c r="TB57" s="75">
        <f t="array" ref="TB57">INDEX('Port Linkages'!$J$18:$J$157,MATCH(2,1/(('Port Linkages'!$C$18:$C$157=$AQ57)*('Port Linkages'!$D$18:$D$157=IF($AO57="no",$AQ57,$AS57))*('Port Linkages'!$A$18:$A$157&lt;=$C57))))</f>
        <v>0</v>
      </c>
      <c r="TC57" s="75">
        <f t="array" ref="TC57">INDEX('Port Linkages'!$K$18:$K$157,MATCH(2,1/(('Port Linkages'!$C$18:$C$157=$AQ57)*('Port Linkages'!$D$18:$D$157=IF($AO57="no",$AQ57,$AS57))*('Port Linkages'!$A$18:$A$157&lt;=$C57))))</f>
        <v>0</v>
      </c>
      <c r="TD57" s="75">
        <f t="array" ref="TD57">INDEX('Port Linkages'!$L$18:$L$157,MATCH(2,1/(('Port Linkages'!$C$18:$C$157=$AQ57)*('Port Linkages'!$D$18:$D$157=IF($AO57="no",$AQ57,$AS57))*('Port Linkages'!$A$18:$A$157&lt;=$C57))))</f>
        <v>0</v>
      </c>
      <c r="TE57" s="75">
        <f t="array" ref="TE57">INDEX('Port Linkages'!$M$18:$M$157,MATCH(2,1/(('Port Linkages'!$C$18:$C$157=$AQ57)*('Port Linkages'!$D$18:$D$157=IF($AO57="no",$AQ57,$AS57))*('Port Linkages'!$A$18:$A$157&lt;=$C57))))</f>
        <v>0</v>
      </c>
      <c r="TF57" s="75">
        <f t="array" ref="TF57">INDEX('Port Linkages'!$N$18:$N$157,MATCH(2,1/(('Port Linkages'!$C$18:$C$157=$AQ57)*('Port Linkages'!$D$18:$D$157=IF($AO57="no",$AQ57,$AS57))*('Port Linkages'!$A$18:$A$157&lt;=$C57))))</f>
        <v>0</v>
      </c>
      <c r="TG57" s="75">
        <f t="array" ref="TG57">INDEX('Port Linkages'!$O$18:$O$157,MATCH(2,1/(('Port Linkages'!$C$18:$C$157=$AQ57)*('Port Linkages'!$D$18:$D$157=IF($AO57="no",$AQ57,$AS57))*('Port Linkages'!$A$18:$A$157&lt;=$C57))))</f>
        <v>0</v>
      </c>
      <c r="TH57" s="75">
        <f t="array" ref="TH57">INDEX('Port Linkages'!$P$18:$P$157,MATCH(2,1/(('Port Linkages'!$C$18:$C$157=$AQ57)*('Port Linkages'!$D$18:$D$157=IF($AO57="no",$AQ57,$AS57))*('Port Linkages'!$A$18:$A$157&lt;=$C57))))</f>
        <v>0</v>
      </c>
      <c r="TI57" s="75">
        <f t="array" ref="TI57">INDEX('Port Linkages'!$Q$18:$Q$157,MATCH(2,1/(('Port Linkages'!$C$18:$C$157=$AQ57)*('Port Linkages'!$D$18:$D$157=IF($AO57="no",$AQ57,$AS57))*('Port Linkages'!$A$18:$A$157&lt;=$C57))))</f>
        <v>0</v>
      </c>
      <c r="TJ57" s="75">
        <f t="array" ref="TJ57">INDEX('Port Linkages'!$R$18:$R$157,MATCH(2,1/(('Port Linkages'!$C$18:$C$157=$AQ57)*('Port Linkages'!$D$18:$D$157=IF($AO57="no",$AQ57,$AS57))*('Port Linkages'!$A$18:$A$157&lt;=$C57))))</f>
        <v>0</v>
      </c>
      <c r="TK57" s="75">
        <f t="array" ref="TK57">INDEX('Port Linkages'!$S$18:$S$157,MATCH(2,1/(('Port Linkages'!$C$18:$C$157=$AQ57)*('Port Linkages'!$D$18:$D$157=IF($AO57="no",$AQ57,$AS57))*('Port Linkages'!$A$18:$A$157&lt;=$C57))))</f>
        <v>0</v>
      </c>
      <c r="TL57" s="75">
        <f t="array" ref="TL57">INDEX('Port Linkages'!$T$18:$T$157,MATCH(2,1/(('Port Linkages'!$C$18:$C$157=$AQ57)*('Port Linkages'!$D$18:$D$157=IF($AO57="no",$AQ57,$AS57))*('Port Linkages'!$A$18:$A$157&lt;=$C57))))</f>
        <v>0</v>
      </c>
      <c r="TM57" s="75">
        <f t="array" ref="TM57">INDEX('Port Linkages'!$U$18:$U$157,MATCH(2,1/(('Port Linkages'!$C$18:$C$157=$AQ57)*('Port Linkages'!$D$18:$D$157=IF($AO57="no",$AQ57,$AS57))*('Port Linkages'!$A$18:$A$157&lt;=$C57))))</f>
        <v>0</v>
      </c>
      <c r="TN57" s="75">
        <f t="array" ref="TN57">INDEX('Port Linkages'!$V$18:$V$157,MATCH(2,1/(('Port Linkages'!$C$18:$C$157=$AQ57)*('Port Linkages'!$D$18:$D$157=IF($AO57="no",$AQ57,$AS57))*('Port Linkages'!$A$18:$A$157&lt;=$C57))))</f>
        <v>0</v>
      </c>
      <c r="TO57" s="75">
        <f t="array" ref="TO57">INDEX('Port Linkages'!$W$18:$W$157,MATCH(2,1/(('Port Linkages'!$C$18:$C$157=$AQ57)*('Port Linkages'!$D$18:$D$157=IF($AO57="no",$AQ57,$AS57))*('Port Linkages'!$A$18:$A$157&lt;=$C57))))</f>
        <v>0</v>
      </c>
      <c r="TP57" s="75">
        <f t="array" ref="TP57">INDEX('Port Linkages'!$X$18:$X$157,MATCH(2,1/(('Port Linkages'!$C$18:$C$157=$AQ57)*('Port Linkages'!$D$18:$D$157=IF($AO57="no",$AQ57,$AS57))*('Port Linkages'!$A$18:$A$157&lt;=$C57))))</f>
        <v>0</v>
      </c>
      <c r="TQ57" s="75">
        <f t="array" ref="TQ57">INDEX('Port Linkages'!$Y$18:$Y$157,MATCH(2,1/(('Port Linkages'!$C$18:$C$157=$AQ57)*('Port Linkages'!$D$18:$D$157=IF($AO57="no",$AQ57,$AS57))*('Port Linkages'!$A$18:$A$157&lt;=$C57))))</f>
        <v>0</v>
      </c>
      <c r="TR57" s="75">
        <f t="array" ref="TR57">INDEX('Port Linkages'!$Z$18:$Z$157,MATCH(2,1/(('Port Linkages'!$C$18:$C$157=$AQ57)*('Port Linkages'!$D$18:$D$157=IF($AO57="no",$AQ57,$AS57))*('Port Linkages'!$A$18:$A$157&lt;=$C57))))</f>
        <v>0</v>
      </c>
      <c r="TS57" s="75">
        <f t="array" ref="TS57">INDEX('Port Linkages'!$AA$18:$AA$157,MATCH(2,1/(('Port Linkages'!$C$18:$C$157=$AQ57)*('Port Linkages'!$D$18:$D$157=IF($AO57="no",$AQ57,$AS57))*('Port Linkages'!$A$18:$A$157&lt;=$C57))))</f>
        <v>0</v>
      </c>
      <c r="TT57" s="75">
        <f t="array" ref="TT57">INDEX('Port Linkages'!$AB$18:$AB$157,MATCH(2,1/(('Port Linkages'!$C$18:$C$157=$AQ57)*('Port Linkages'!$D$18:$D$157=IF($AO57="no",$AQ57,$AS57))*('Port Linkages'!$A$18:$A$157&lt;=$C57))))</f>
        <v>0</v>
      </c>
      <c r="TU57" s="75">
        <f t="array" ref="TU57">INDEX('Port Linkages'!$AC$18:$AC$157,MATCH(2,1/(('Port Linkages'!$C$18:$C$157=$AQ57)*('Port Linkages'!$D$18:$D$157=IF($AO57="no",$AQ57,$AS57))*('Port Linkages'!$A$18:$A$157&lt;=$C57))))</f>
        <v>0</v>
      </c>
      <c r="TV57" s="75">
        <f t="array" ref="TV57">INDEX('Port Linkages'!$AD$18:$AD$157,MATCH(2,1/(('Port Linkages'!$C$18:$C$157=$AQ57)*('Port Linkages'!$D$18:$D$157=IF($AO57="no",$AQ57,$AS57))*('Port Linkages'!$A$18:$A$157&lt;=$C57))))</f>
        <v>0</v>
      </c>
      <c r="TW57" s="75">
        <f t="array" ref="TW57">INDEX('Port Linkages'!$AE$18:$AE$157,MATCH(2,1/(('Port Linkages'!$C$18:$C$157=$AQ57)*('Port Linkages'!$D$18:$D$157=IF($AO57="no",$AQ57,$AS57))*('Port Linkages'!$A$18:$A$157&lt;=$C57))))</f>
        <v>0</v>
      </c>
      <c r="TX57" s="75">
        <f t="array" ref="TX57">INDEX('Port Linkages'!$AF$18:$AF$157,MATCH(2,1/(('Port Linkages'!$C$18:$C$157=$AQ57)*('Port Linkages'!$D$18:$D$157=IF($AO57="no",$AQ57,$AS57))*('Port Linkages'!$A$18:$A$157&lt;=$C57))))</f>
        <v>0</v>
      </c>
      <c r="TY57" s="75">
        <f t="array" ref="TY57">INDEX('Port Linkages'!$AG$18:$AG$157,MATCH(2,1/(('Port Linkages'!$C$18:$C$157=$AQ57)*('Port Linkages'!$D$18:$D$157=IF($AO57="no",$AQ57,$AS57))*('Port Linkages'!$A$18:$A$157&lt;=$C57))))</f>
        <v>0</v>
      </c>
      <c r="TZ57" s="75">
        <f t="array" ref="TZ57">INDEX('Port Linkages'!$AH$18:$AH$157,MATCH(2,1/(('Port Linkages'!$C$18:$C$157=$AQ57)*('Port Linkages'!$D$18:$D$157=IF($AO57="no",$AQ57,$AS57))*('Port Linkages'!$A$18:$A$157&lt;=$C57))))</f>
        <v>0</v>
      </c>
      <c r="UA57" s="75">
        <f t="array" ref="UA57">INDEX('Port Linkages'!$AI$18:$AI$157,MATCH(2,1/(('Port Linkages'!$C$18:$C$157=$AQ57)*('Port Linkages'!$D$18:$D$157=IF($AO57="no",$AQ57,$AS57))*('Port Linkages'!$A$18:$A$157&lt;=$C57))))</f>
        <v>0</v>
      </c>
      <c r="UB57" s="75">
        <f t="array" ref="UB57">INDEX('Port Linkages'!$AJ$18:$AJ$157,MATCH(2,1/(('Port Linkages'!$C$18:$C$157=$AQ57)*('Port Linkages'!$D$18:$D$157=IF($AO57="no",$AQ57,$AS57))*('Port Linkages'!$A$18:$A$157&lt;=$C57))))</f>
        <v>0</v>
      </c>
      <c r="UC57" s="75">
        <f t="array" ref="UC57">INDEX('Port Linkages'!$AK$18:$AK$157,MATCH(2,1/(('Port Linkages'!$C$18:$C$157=$AQ57)*('Port Linkages'!$D$18:$D$157=IF($AO57="no",$AQ57,$AS57))*('Port Linkages'!$A$18:$A$157&lt;=$C57))))</f>
        <v>0</v>
      </c>
      <c r="UD57" s="75">
        <f t="array" ref="UD57">INDEX('Port Linkages'!$AL$18:$AL$157,MATCH(2,1/(('Port Linkages'!$C$18:$C$157=$AQ57)*('Port Linkages'!$D$18:$D$157=IF($AO57="no",$AQ57,$AS57))*('Port Linkages'!$A$18:$A$157&lt;=$C57))))</f>
        <v>0</v>
      </c>
      <c r="UE57" s="75">
        <f t="array" ref="UE57">INDEX('Port Linkages'!$AM$18:$AM$157,MATCH(2,1/(('Port Linkages'!$C$18:$C$157=$AQ57)*('Port Linkages'!$D$18:$D$157=IF($AO57="no",$AQ57,$AS57))*('Port Linkages'!$A$18:$A$157&lt;=$C57))))</f>
        <v>0</v>
      </c>
      <c r="UF57" s="75">
        <f t="array" ref="UF57">INDEX('Port Linkages'!$AN$18:$AN$157,MATCH(2,1/(('Port Linkages'!$C$18:$C$157=$AQ57)*('Port Linkages'!$D$18:$D$157=IF($AO57="no",$AQ57,$AS57))*('Port Linkages'!$A$18:$A$157&lt;=$C57))))</f>
        <v>0</v>
      </c>
      <c r="UG57" s="75">
        <f t="array" ref="UG57">INDEX('Port Linkages'!$AO$18:$AO$157,MATCH(2,1/(('Port Linkages'!$C$18:$C$157=$AQ57)*('Port Linkages'!$D$18:$D$157=IF($AO57="no",$AQ57,$AS57))*('Port Linkages'!$A$18:$A$157&lt;=$C57))))</f>
        <v>0</v>
      </c>
      <c r="UH57" s="75">
        <f t="array" ref="UH57">INDEX('Port Linkages'!$AP$18:$AP$157,MATCH(2,1/(('Port Linkages'!$C$18:$C$157=$AQ57)*('Port Linkages'!$D$18:$D$157=IF($AO57="no",$AQ57,$AS57))*('Port Linkages'!$A$18:$A$157&lt;=$C57))))</f>
        <v>0</v>
      </c>
      <c r="UI57" s="75">
        <f t="array" ref="UI57">INDEX('Port Linkages'!$AQ$18:$AQ$157,MATCH(2,1/(('Port Linkages'!$C$18:$C$157=$AQ57)*('Port Linkages'!$D$18:$D$157=IF($AO57="no",$AQ57,$AS57))*('Port Linkages'!$A$18:$A$157&lt;=$C57))))</f>
        <v>0</v>
      </c>
      <c r="UJ57" s="75">
        <f t="array" ref="UJ57">INDEX('Port Linkages'!$AR$18:$AR$157,MATCH(2,1/(('Port Linkages'!$C$18:$C$157=$AQ57)*('Port Linkages'!$D$18:$D$157=IF($AO57="no",$AQ57,$AS57))*('Port Linkages'!$A$18:$A$157&lt;=$C57))))</f>
        <v>0</v>
      </c>
      <c r="UK57" s="75">
        <f t="array" ref="UK57">INDEX('Port Linkages'!$AS$18:$AS$157,MATCH(2,1/(('Port Linkages'!$C$18:$C$157=$AQ57)*('Port Linkages'!$D$18:$D$157=IF($AO57="no",$AQ57,$AS57))*('Port Linkages'!$A$18:$A$157&lt;=$C57))))</f>
        <v>0</v>
      </c>
      <c r="UL57" s="75">
        <f t="array" ref="UL57">INDEX('Port Linkages'!$AT$18:$AT$157,MATCH(2,1/(('Port Linkages'!$C$18:$C$157=$AQ57)*('Port Linkages'!$D$18:$D$157=IF($AO57="no",$AQ57,$AS57))*('Port Linkages'!$A$18:$A$157&lt;=$C57))))</f>
        <v>0</v>
      </c>
      <c r="UM57" s="75">
        <f t="array" ref="UM57">INDEX('Port Linkages'!$AU$18:$AU$157,MATCH(2,1/(('Port Linkages'!$C$18:$C$157=$AQ57)*('Port Linkages'!$D$18:$D$157=IF($AO57="no",$AQ57,$AS57))*('Port Linkages'!$A$18:$A$157&lt;=$C57))))</f>
        <v>0</v>
      </c>
      <c r="UN57" s="75">
        <f t="array" ref="UN57">INDEX('Port Linkages'!$AV$18:$AV$157,MATCH(2,1/(('Port Linkages'!$C$18:$C$157=$AQ57)*('Port Linkages'!$D$18:$D$157=IF($AO57="no",$AQ57,$AS57))*('Port Linkages'!$A$18:$A$157&lt;=$C57))))</f>
        <v>0</v>
      </c>
      <c r="UO57" s="75">
        <f t="array" ref="UO57">INDEX('Port Linkages'!$AW$18:$AW$157,MATCH(2,1/(('Port Linkages'!$C$18:$C$157=$AQ57)*('Port Linkages'!$D$18:$D$157=IF($AO57="no",$AQ57,$AS57))*('Port Linkages'!$A$18:$A$157&lt;=$C57))))</f>
        <v>0</v>
      </c>
      <c r="UP57" s="75">
        <f t="array" ref="UP57">INDEX('Port Linkages'!$AX$18:$AX$157,MATCH(2,1/(('Port Linkages'!$C$18:$C$157=$AQ57)*('Port Linkages'!$D$18:$D$157=IF($AO57="no",$AQ57,$AS57))*('Port Linkages'!$A$18:$A$157&lt;=$C57))))</f>
        <v>0</v>
      </c>
      <c r="UQ57" s="75">
        <f t="array" ref="UQ57">INDEX('Port Linkages'!$AY$18:$AY$157,MATCH(2,1/(('Port Linkages'!$C$18:$C$157=$AQ57)*('Port Linkages'!$D$18:$D$157=IF($AO57="no",$AQ57,$AS57))*('Port Linkages'!$A$18:$A$157&lt;=$C57))))</f>
        <v>0</v>
      </c>
      <c r="UR57" s="75">
        <f t="array" ref="UR57">INDEX('Port Linkages'!$AZ$18:$AZ$157,MATCH(2,1/(('Port Linkages'!$C$18:$C$157=$AQ57)*('Port Linkages'!$D$18:$D$157=IF($AO57="no",$AQ57,$AS57))*('Port Linkages'!$A$18:$A$157&lt;=$C57))))</f>
        <v>0</v>
      </c>
      <c r="US57" s="75">
        <f t="array" ref="US57">INDEX('Port Linkages'!$BA$18:$BA$157,MATCH(2,1/(('Port Linkages'!$C$18:$C$157=$AQ57)*('Port Linkages'!$D$18:$D$157=IF($AO57="no",$AQ57,$AS57))*('Port Linkages'!$A$18:$A$157&lt;=$C57))))</f>
        <v>0</v>
      </c>
      <c r="UU57" s="25" t="e">
        <f t="array" aca="1" ref="UU57" ca="1">INDEX('Ship Fuel Prices'!$F$5:$F$1004,MATCH(2,1/(('Ship Fuel Prices'!$E$5:$E$1004=_xlfn.IFS(SJ57="Handysize",Main!UP57,SJ57="Supramax",UI57,SJ57="Panamax",UB57,SJ57="NeoPanamax",TU57,SJ57="Suezmax",TN57,SJ57="Capesize",TG57,SJ57="VLOC",SZ57))*('Ship Fuel Prices'!$D$5:$D$1004&lt;=Main!$C57))))</f>
        <v>#N/A</v>
      </c>
      <c r="UV57" s="25" t="e">
        <f t="array" aca="1" ref="UV57" ca="1">INDEX('Ship Fuel Prices'!$G$5:$G$1004,MATCH(2,1/(('Ship Fuel Prices'!$E$5:$E$1004=_xlfn.IFS(SJ57="Handysize",Main!UP57,SJ57="Supramax",UI57,SJ57="Panamax",UB57,SJ57="NeoPanamax",TU57,SJ57="Suezmax",TN57,SJ57="Capesize",TG57,SJ57="VLOC",SZ57))*('Ship Fuel Prices'!$D$5:$D$1004&lt;=Main!$C57))))</f>
        <v>#N/A</v>
      </c>
      <c r="UW57" s="25" t="e">
        <f t="array" aca="1" ref="UW57" ca="1">INDEX('Ship Fuel Prices'!$H$5:$H$1004,MATCH(2,1/(('Ship Fuel Prices'!$E$5:$E$1004=_xlfn.IFS(SJ57="Handysize",Main!UP57,SJ57="Supramax",UI57,SJ57="Panamax",UB57,SJ57="NeoPanamax",TU57,SJ57="Suezmax",TN57,SJ57="Capesize",TG57,SJ57="VLOC",SZ57))*('Ship Fuel Prices'!$D$5:$D$1004&lt;=Main!$C57))))</f>
        <v>#N/A</v>
      </c>
      <c r="UX57" s="25" t="e">
        <f t="array" aca="1" ref="UX57" ca="1">INDEX('Ship Fuel Prices'!$I$5:$I$1004,MATCH(2,1/(('Ship Fuel Prices'!$E$5:$E$1004=_xlfn.IFS(SJ57="Handysize",Main!UP57,SJ57="Supramax",UI57,SJ57="Panamax",UB57,SJ57="NeoPanamax",TU57,SJ57="Suezmax",TN57,SJ57="Capesize",TG57,SJ57="VLOC",SZ57))*('Ship Fuel Prices'!$D$5:$D$1004&lt;=Main!$C57))))</f>
        <v>#N/A</v>
      </c>
      <c r="UY57" s="25" t="e">
        <f t="array" aca="1" ref="UY57" ca="1">INDEX('Ship Fuel Prices'!$J$5:$J$1004,MATCH(2,1/(('Ship Fuel Prices'!$E$5:$E$1004=_xlfn.IFS(SJ57="Handysize",Main!UP57,SJ57="Supramax",UI57,SJ57="Panamax",UB57,SJ57="NeoPanamax",TU57,SJ57="Suezmax",TN57,SJ57="Capesize",TG57,SJ57="VLOC",SZ57))*('Ship Fuel Prices'!$D$5:$D$1004&lt;=Main!$C57))))</f>
        <v>#N/A</v>
      </c>
      <c r="VA57" s="75">
        <f t="array" ref="VA57">INDEX('China n Importing Ports'!$E$20:$E$41,MATCH(2,1/(('China n Importing Ports'!$D$20:$D$41&lt;=$C57)*('China n Importing Ports'!$C$20:$C$41=IF($AO57="No",$AQ57,$AS57)))))</f>
        <v>0</v>
      </c>
      <c r="VB57" s="75">
        <f t="array" ref="VB57">INDEX('China n Importing Ports'!$F$20:$F$41,MATCH(2,1/(('China n Importing Ports'!$D$20:$D$41&lt;=$C57)*('China n Importing Ports'!$C$20:$C$41=IF($AO57="No",$AQ57,$AS57)))))</f>
        <v>0</v>
      </c>
      <c r="VC57" s="75">
        <f t="array" ref="VC57">INDEX('China n Importing Ports'!$G$20:$G$41,MATCH(2,1/(('China n Importing Ports'!$D$20:$D$41&lt;=$C57)*('China n Importing Ports'!$C$20:$C$41=IF($AO57="No",$AQ57,$AS57)))))</f>
        <v>0</v>
      </c>
      <c r="VD57" s="75">
        <f t="array" ref="VD57">INDEX('China n Importing Ports'!$H$20:$H$41,MATCH(2,1/(('China n Importing Ports'!$D$20:$D$41&lt;=$C57)*('China n Importing Ports'!$C$20:$C$41=IF($AO57="No",$AQ57,$AS57)))))</f>
        <v>0</v>
      </c>
      <c r="VE57" s="75">
        <f t="array" ref="VE57">INDEX('China n Importing Ports'!$I$20:$I$41,MATCH(2,1/(('China n Importing Ports'!$D$20:$D$41&lt;=$C57)*('China n Importing Ports'!$C$20:$C$41=IF($AO57="No",$AQ57,$AS57)))))</f>
        <v>0</v>
      </c>
      <c r="VF57" s="75">
        <f t="array" ref="VF57">INDEX('China n Importing Ports'!$J$20:$J$41,MATCH(2,1/(('China n Importing Ports'!$D$20:$D$41&lt;=$C57)*('China n Importing Ports'!$C$20:$C$41=IF($AO57="No",$AQ57,$AS57)))))</f>
        <v>0</v>
      </c>
      <c r="VG57" s="75">
        <f t="array" ref="VG57">INDEX('China n Importing Ports'!$K$20:$K$41,MATCH(2,1/(('China n Importing Ports'!$D$20:$D$41&lt;=$C57)*('China n Importing Ports'!$C$20:$C$41=IF($AO57="No",$AQ57,$AS57)))))</f>
        <v>0</v>
      </c>
      <c r="VH57" s="75">
        <f t="array" ref="VH57">INDEX('China n Importing Ports'!$L$20:$L$41,MATCH(2,1/(('China n Importing Ports'!$D$20:$D$41&lt;=$C57)*('China n Importing Ports'!$C$20:$C$41=IF($AO57="No",$AQ57,$AS57)))))</f>
        <v>0</v>
      </c>
      <c r="VI57" s="75">
        <f t="array" ref="VI57">INDEX('China n Importing Ports'!$M$20:$M$41,MATCH(2,1/(('China n Importing Ports'!$D$20:$D$41&lt;=$C57)*('China n Importing Ports'!$C$20:$C$41=IF($AO57="No",$AQ57,$AS57)))))</f>
        <v>0</v>
      </c>
      <c r="VJ57" s="75">
        <f t="array" ref="VJ57">INDEX('China n Importing Ports'!$N$20:$N$41,MATCH(2,1/(('China n Importing Ports'!$D$20:$D$41&lt;=$C57)*('China n Importing Ports'!$C$20:$C$41=IF($AO57="No",$AQ57,$AS57)))))</f>
        <v>0</v>
      </c>
      <c r="VK57" s="75">
        <f t="array" ref="VK57">INDEX('China n Importing Ports'!$O$20:$O$41,MATCH(2,1/(('China n Importing Ports'!$D$20:$D$41&lt;=$C57)*('China n Importing Ports'!$C$20:$C$41=IF($AO57="No",$AQ57,$AS57)))))</f>
        <v>0</v>
      </c>
      <c r="VL57" s="136">
        <f t="array" ref="VL57">INDEX('China n Importing Ports'!$P$20:$P$41,MATCH(2,1/(('China n Importing Ports'!$D$20:$D$41&lt;=$C57)*('China n Importing Ports'!$C$20:$C$41=IF($AO57="No",$AQ57,$AS57)))))</f>
        <v>0</v>
      </c>
      <c r="VM57" s="136">
        <f t="array" ref="VM57">INDEX('China n Importing Ports'!$Q$20:$Q$41,MATCH(2,1/(('China n Importing Ports'!$D$20:$D$41&lt;=$C57)*('China n Importing Ports'!$C$20:$C$41=IF($AO57="No",$AQ57,$AS57)))))</f>
        <v>0</v>
      </c>
      <c r="VN57" s="136">
        <f t="array" ref="VN57">INDEX('China n Importing Ports'!$R$20:$R$41,MATCH(2,1/(('China n Importing Ports'!$D$20:$D$41&lt;=$C57)*('China n Importing Ports'!$C$20:$C$41=IF($AO57="No",$AQ57,$AS57)))))</f>
        <v>0</v>
      </c>
      <c r="VO57" s="136">
        <f t="array" ref="VO57">INDEX('China n Importing Ports'!$S$20:$S$41,MATCH(2,1/(('China n Importing Ports'!$D$20:$D$41&lt;=$C57)*('China n Importing Ports'!$C$20:$C$41=IF($AO57="No",$AQ57,$AS57)))))</f>
        <v>0</v>
      </c>
      <c r="VP57" s="136">
        <f t="array" ref="VP57">INDEX('China n Importing Ports'!$T$20:$T$41,MATCH(2,1/(('China n Importing Ports'!$D$20:$D$41&lt;=$C57)*('China n Importing Ports'!$C$20:$C$41=IF($AO57="No",$AQ57,$AS57)))))</f>
        <v>0</v>
      </c>
      <c r="VQ57" s="136">
        <f t="array" ref="VQ57">INDEX('China n Importing Ports'!$U$20:$U$41,MATCH(2,1/(('China n Importing Ports'!$D$20:$D$41&lt;=$C57)*('China n Importing Ports'!$C$20:$C$41=IF($AO57="No",$AQ57,$AS57)))))</f>
        <v>0</v>
      </c>
      <c r="VR57" s="136">
        <f t="array" ref="VR57">INDEX('China n Importing Ports'!$V$20:$V$41,MATCH(2,1/(('China n Importing Ports'!$D$20:$D$41&lt;=$C57)*('China n Importing Ports'!$C$20:$C$41=IF($AO57="No",$AQ57,$AS57)))))</f>
        <v>0</v>
      </c>
      <c r="VS57" s="136">
        <f t="array" ref="VS57">INDEX('China n Importing Ports'!$W$20:$W$41,MATCH(2,1/(('China n Importing Ports'!$D$20:$D$41&lt;=$C57)*('China n Importing Ports'!$C$20:$C$41=IF($AO57="No",$AQ57,$AS57)))))</f>
        <v>0</v>
      </c>
      <c r="VT57" s="136">
        <f t="array" ref="VT57">INDEX('China n Importing Ports'!$X$20:$X$41,MATCH(2,1/(('China n Importing Ports'!$D$20:$D$41&lt;=$C57)*('China n Importing Ports'!$C$20:$C$41=IF($AO57="No",$AQ57,$AS57)))))</f>
        <v>0</v>
      </c>
      <c r="VU57" s="136">
        <f t="array" ref="VU57">INDEX('China n Importing Ports'!$Y$20:$Y$41,MATCH(2,1/(('China n Importing Ports'!$D$20:$D$41&lt;=$C57)*('China n Importing Ports'!$C$20:$C$41=IF($AO57="No",$AQ57,$AS57)))))</f>
        <v>0</v>
      </c>
      <c r="VV57" s="136">
        <f t="array" ref="VV57">INDEX('China n Importing Ports'!$Z$20:$Z$41,MATCH(2,1/(('China n Importing Ports'!$D$20:$D$41&lt;=$C57)*('China n Importing Ports'!$C$20:$C$41=IF($AO57="No",$AQ57,$AS57)))))</f>
        <v>0</v>
      </c>
      <c r="VW57" s="136">
        <f t="array" ref="VW57">INDEX('China n Importing Ports'!$AA$20:$AA$41,MATCH(2,1/(('China n Importing Ports'!$D$20:$D$41&lt;=$C57)*('China n Importing Ports'!$C$20:$C$41=IF($AO57="No",$AQ57,$AS57)))))</f>
        <v>0</v>
      </c>
      <c r="VY57" s="75" t="e">
        <f t="array" aca="1" ref="VY57" ca="1">INDEX(Canals!$G$24:$G$29,MATCH(2,1/((Canals!$F$24:$F$29&lt;=$C57)*(Canals!$G$24:$G$29=_xlfn.IFS(SJ57="Handysize",US57,SJ57="Supramax",UL57,SJ57="Panamax",UE57,SJ57="NeoPanamax",TX57,SJ57="Suezmax",TQ57,SJ57="Capesize",TJ57,SJ57="VLOC",TC57)))))</f>
        <v>#N/A</v>
      </c>
      <c r="VZ57" s="75" t="e">
        <f t="array" aca="1" ref="VZ57" ca="1">INDEX(Canals!$H$24:$H$29,MATCH(2,1/((Canals!$F$24:$F$29&lt;=$C57)*(Canals!$G$24:$G$29=_xlfn.IFS(SJ57="Handysize",US57,SJ57="Supramax",UL57,SJ57="Panamax",UE57,SJ57="NeoPanamax",TX57,SJ57="Suezmax",TQ57,SJ57="Capesize",TJ57,SJ57="VLOC",TC57)))))</f>
        <v>#N/A</v>
      </c>
      <c r="WA57" s="75" t="e">
        <f t="array" aca="1" ref="WA57" ca="1">INDEX(Canals!$I$24:$I$29,MATCH(2,1/((Canals!$F$24:$F$29&lt;=$C57)*(Canals!$G$24:$G$29=_xlfn.IFS(SJ57="Handysize",US57,SJ57="Supramax",UL57,SJ57="Panamax",UE57,SJ57="NeoPanamax",TX57,SJ57="Suezmax",TQ57,SJ57="Capesize",TJ57,SJ57="VLOC",TC57)))))</f>
        <v>#N/A</v>
      </c>
      <c r="WB57" s="75" t="e">
        <f t="array" aca="1" ref="WB57" ca="1">INDEX(Canals!$J$24:$J$29,MATCH(2,1/((Canals!$F$24:$F$29&lt;=$C57)*(Canals!$G$24:$G$29=_xlfn.IFS(SJ57="Handysize",Main!US57,SJ57="Supramax",UL57,SJ57="Panamax",UE57,SJ57="NeoPanamax",TX57,SJ57="Suezmax",TQ57,SJ57="Capesize",TJ57,SJ57="VLOC",TC57)))))</f>
        <v>#N/A</v>
      </c>
      <c r="WC57" s="75" t="e">
        <f t="array" aca="1" ref="WC57" ca="1">INDEX(Canals!$K$24:$K$29,MATCH(2,1/((Canals!$F$24:$F$29&lt;=$C57)*(Canals!$G$24:$G$29=_xlfn.IFS(SJ57="Handysize",Main!US57,SJ57="Supramax",UL57,SJ57="Panamax",UE57,SJ57="NeoPanamax",TX57,SJ57="Suezmax",TQ57,SJ57="Capesize",TJ57,SJ57="VLOC",TC57)))))</f>
        <v>#N/A</v>
      </c>
      <c r="WD57" s="75" t="e">
        <f t="array" aca="1" ref="WD57" ca="1">INDEX(Canals!$L$24:$L$29,MATCH(2,1/((Canals!$F$24:$F$29&lt;=$C57)*(Canals!$G$24:$G$29=_xlfn.IFS(SJ57="Handysize",Main!US57,SJ57="Supramax",UL57,SJ57="Panamax",UE57,SJ57="NeoPanamax",TX57,SJ57="Suezmax",TQ57,SJ57="Capesize",TJ57,SJ57="VLOC",TC57)))))</f>
        <v>#N/A</v>
      </c>
      <c r="WE57" s="75" t="e">
        <f t="array" aca="1" ref="WE57" ca="1">INDEX(Canals!$M$24:$M$29,MATCH(2,1/((Canals!$F$24:$F$29&lt;=$C57)*(Canals!$G$24:$G$29=_xlfn.IFS(SJ57="Handysize",Main!US57,SJ57="Supramax",UL57,SJ57="Panamax",UE57,SJ57="NeoPanamax",TX57,SJ57="Suezmax",TQ57,SJ57="Capesize",TJ57,SJ57="VLOC",TC57)))))</f>
        <v>#N/A</v>
      </c>
      <c r="WF57" s="75" t="e">
        <f t="array" aca="1" ref="WF57" ca="1">INDEX(Canals!$N$24:$N$29,MATCH(2,1/((Canals!$F$24:$F$29&lt;=$C57)*(Canals!$G$24:$G$29=_xlfn.IFS(SJ57="Handysize",Main!US57,SJ57="Supramax",UL57,SJ57="Panamax",UE57,SJ57="NeoPanamax",TX57,SJ57="Suezmax",TQ57,SJ57="Capesize",TJ57,SJ57="VLOC",TC57)))))</f>
        <v>#N/A</v>
      </c>
      <c r="WG57" s="75" t="e">
        <f t="array" aca="1" ref="WG57" ca="1">INDEX(Canals!$O$24:$O$29,MATCH(2,1/((Canals!$F$24:$F$29&lt;=$C57)*(Canals!$G$24:$G$29=_xlfn.IFS(SJ57="Handysize",Main!US57,SJ57="Supramax",UL57,SJ57="Panamax",UE57,SJ57="NeoPanamax",TX57,SJ57="Suezmax",TQ57,SJ57="Capesize",TJ57,SJ57="VLOC",TC57)))))</f>
        <v>#N/A</v>
      </c>
      <c r="WH57" s="75" t="e">
        <f t="array" aca="1" ref="WH57" ca="1">INDEX(Canals!$P$24:$P$29,MATCH(2,1/((Canals!$F$24:$F$29&lt;=$C57)*(Canals!$G$24:$G$29=_xlfn.IFS(SJ57="Handysize",Main!US57,SJ57="Supramax",UL57,SJ57="Panamax",UE57,SJ57="NeoPanamax",TX57,SJ57="Suezmax",TQ57,SJ57="Capesize",TJ57,SJ57="VLOC",TC57)))))</f>
        <v>#N/A</v>
      </c>
      <c r="WI57" s="75" t="e">
        <f t="array" aca="1" ref="WI57" ca="1">INDEX(Canals!$Q$24:$Q$29,MATCH(2,1/((Canals!$F$24:$F$29&lt;=$C57)*(Canals!$G$24:$G$29=_xlfn.IFS(SJ57="Handysize",Main!US57,SJ57="Supramax",UL57,SJ57="Panamax",UE57,SJ57="NeoPanamax",TX57,SJ57="Suezmax",TQ57,SJ57="Capesize",TJ57,SJ57="VLOC",TC57)))))</f>
        <v>#N/A</v>
      </c>
      <c r="WJ57" s="75" t="e">
        <f t="array" aca="1" ref="WJ57" ca="1">INDEX(Canals!$R$24:$R$29,MATCH(2,1/((Canals!$F$24:$F$29&lt;=$C57)*(Canals!$G$24:$G$29=_xlfn.IFS(SJ57="Handysize",Main!US57,SJ57="Supramax",UL57,SJ57="Panamax",UE57,SJ57="NeoPanamax",TX57,SJ57="Suezmax",TQ57,SJ57="Capesize",TJ57,SJ57="VLOC",TC57)))))</f>
        <v>#N/A</v>
      </c>
      <c r="WK57" s="136" t="e">
        <f t="array" aca="1" ref="WK57" ca="1">INDEX(Canals!$S$24:$S$29,MATCH(2,1/((Canals!$F$24:$F$29&lt;=$C57)*(Canals!$G$24:$G$29=_xlfn.IFS(SJ57="Handysize",Main!US57,SJ57="Supramax",UL57,SJ57="Panamax",UE57,SJ57="NeoPanamax",TX57,SJ57="Suezmax",TQ57,SJ57="Capesize",TJ57,SJ57="VLOC",TC57)))))</f>
        <v>#N/A</v>
      </c>
      <c r="WL57" s="136" t="e">
        <f t="array" aca="1" ref="WL57" ca="1">INDEX(Canals!$T$24:$T$29,MATCH(2,1/((Canals!$F$24:$F$29&lt;=$C57)*(Canals!$G$24:$G$29=_xlfn.IFS(SJ57="Handysize",Main!US57,SJ57="Supramax",UL57,SJ57="Panamax",UE57,SJ57="NeoPanamax",TX57,SJ57="Suezmax",TQ57,SJ57="Capesize",TJ57,SJ57="VLOC",TC57)))))</f>
        <v>#N/A</v>
      </c>
      <c r="WM57" s="136" t="e">
        <f t="array" aca="1" ref="WM57" ca="1">INDEX(Canals!$U$24:$U$29,MATCH(2,1/((Canals!$F$24:$F$29&lt;=$C57)*(Canals!$G$24:$G$29=_xlfn.IFS(SJ57="Handysize",Main!US57,SJ57="Supramax",UL57,SJ57="Panamax",UE57,SJ57="NeoPanamax",TX57,SJ57="Suezmax",TQ57,SJ57="Capesize",TJ57,SJ57="VLOC",TC57)))))</f>
        <v>#N/A</v>
      </c>
      <c r="WN57" s="136" t="e">
        <f t="array" aca="1" ref="WN57" ca="1">INDEX(Canals!$V$24:$V$29,MATCH(2,1/((Canals!$F$24:$F$29&lt;=$C57)*(Canals!$G$24:$G$29=_xlfn.IFS(SJ57="Handysize",Main!US57,SJ57="Supramax",UL57,SJ57="Panamax",UE57,SJ57="NeoPanamax",TX57,SJ57="Suezmax",TQ57,SJ57="Capesize",TJ57,SJ57="VLOC",TC57)))))</f>
        <v>#N/A</v>
      </c>
      <c r="WO57" s="136" t="e">
        <f t="array" aca="1" ref="WO57" ca="1">INDEX(Canals!$W$24:$W$29,MATCH(2,1/((Canals!$F$24:$F$29&lt;=$C57)*(Canals!$G$24:$G$29=_xlfn.IFS(SJ57="Handysize",Main!US57,SJ57="Supramax",UL57,SJ57="Panamax",UE57,SJ57="NeoPanamax",TX57,SJ57="Suezmax",TQ57,SJ57="Capesize",TJ57,SJ57="VLOC",TC57)))))</f>
        <v>#N/A</v>
      </c>
      <c r="WP57" s="136" t="e">
        <f t="array" aca="1" ref="WP57" ca="1">INDEX(Canals!$X$24:$X$29,MATCH(2,1/((Canals!$F$24:$F$29&lt;=$C57)*(Canals!$G$24:$G$29=_xlfn.IFS(SJ57="Handysize",Main!US57,SJ57="Supramax",UL57,SJ57="Panamax",UE57,SJ57="NeoPanamax",TX57,SJ57="Suezmax",TQ57,SJ57="Capesize",TJ57,SJ57="VLOC",TC57)))))</f>
        <v>#N/A</v>
      </c>
      <c r="WQ57" s="136" t="e">
        <f t="array" aca="1" ref="WQ57" ca="1">INDEX(Canals!$Y$24:$Y$29,MATCH(2,1/((Canals!$F$24:$F$29&lt;=$C57)*(Canals!$G$24:$G$29=_xlfn.IFS(SJ57="Handysize",Main!US57,SJ57="Supramax",UL57,SJ57="Panamax",UE57,SJ57="NeoPanamax",TX57,SJ57="Suezmax",TQ57,SJ57="Capesize",TJ57,SJ57="VLOC",TC57)))))</f>
        <v>#N/A</v>
      </c>
      <c r="WR57" s="136" t="e">
        <f t="array" aca="1" ref="WR57" ca="1">INDEX(Canals!$Z$24:$Z$29,MATCH(2,1/((Canals!$F$24:$F$29&lt;=$C57)*(Canals!$G$24:$G$29=_xlfn.IFS(SJ57="Handysize",Main!US57,SJ57="Supramax",UL57,SJ57="Panamax",UE57,SJ57="NeoPanamax",TX57,SJ57="Suezmax",TQ57,SJ57="Capesize",TJ57,SJ57="VLOC",TC57)))))</f>
        <v>#N/A</v>
      </c>
      <c r="WS57" s="136" t="e">
        <f t="array" aca="1" ref="WS57" ca="1">INDEX(Canals!$AA$24:$AA$29,MATCH(2,1/((Canals!$F$24:$F$29&lt;=$C57)*(Canals!$G$24:$G$29=_xlfn.IFS(SJ57="Handysize",Main!US57,SJ57="Supramax",UL57,SJ57="Panamax",UE57,SJ57="NeoPanamax",TX57,SJ57="Suezmax",TQ57,SJ57="Capesize",TJ57,SJ57="VLOC",TC57)))))</f>
        <v>#N/A</v>
      </c>
      <c r="WT57" s="136" t="e">
        <f t="array" aca="1" ref="WT57" ca="1">INDEX(Canals!$AB$24:$AB$29,MATCH(2,1/((Canals!$F$24:$F$29&lt;=$C57)*(Canals!$G$24:$G$29=_xlfn.IFS(SJ57="Handysize",Main!US57,SJ57="Supramax",UL57,SJ57="Panamax",UE57,SJ57="NeoPanamax",TX57,SJ57="Suezmax",TQ57,SJ57="Capesize",TJ57,SJ57="VLOC",TC57)))))</f>
        <v>#N/A</v>
      </c>
      <c r="WU57" s="75" t="e">
        <f t="array" aca="1" ref="WU57" ca="1">INDEX(Canals!$AC$24:$AC$29,MATCH(2,1/((Canals!$F$24:$F$29&lt;=$C57)*(Canals!$G$24:$G$29=_xlfn.IFS(SJ57="Handysize",Main!US57,SJ57="Supramax",UL57,SJ57="Panamax",UE57,SJ57="NeoPanamax",TX57,SJ57="Suezmax",TQ57,SJ57="Capesize",TJ57,SJ57="VLOC",TC57)))))</f>
        <v>#N/A</v>
      </c>
      <c r="WV57" s="75" t="e">
        <f t="array" aca="1" ref="WV57" ca="1">INDEX(Canals!$AD$24:$AD$29,MATCH(2,1/((Canals!$F$24:$F$29&lt;=$C57)*(Canals!$G$24:$G$29=_xlfn.IFS(SJ57="Handysize",Main!US57,SJ57="Supramax",UL57,SJ57="Panamax",UE57,SJ57="NeoPanamax",TX57,SJ57="Suezmax",TQ57,SJ57="Capesize",TJ57,SJ57="VLOC",TC57)))))</f>
        <v>#N/A</v>
      </c>
      <c r="WW57" s="75" t="e">
        <f t="array" aca="1" ref="WW57" ca="1">INDEX(Canals!$AE$24:$AE$29,MATCH(2,1/((Canals!$F$24:$F$29&lt;=$C57)*(Canals!$G$24:$G$29=_xlfn.IFS(SJ57="Handysize",Main!US57,SJ57="Supramax",UL57,SJ57="Panamax",UE57,SJ57="NeoPanamax",TX57,SJ57="Suezmax",TQ57,SJ57="Capesize",TJ57,SJ57="VLOC",TC57)))))</f>
        <v>#N/A</v>
      </c>
      <c r="WX57" s="75" t="e">
        <f t="array" aca="1" ref="WX57" ca="1">INDEX(Canals!$AF$24:$AF$29,MATCH(2,1/((Canals!$F$24:$F$29&lt;=$C57)*(Canals!$G$24:$G$29=_xlfn.IFS(SJ57="Handysize",Main!US57,SJ57="Supramax",UL57,SJ57="Panamax",UE57,SJ57="NeoPanamax",TX57,SJ57="Suezmax",TQ57,SJ57="Capesize",TJ57,SJ57="VLOC",TC57)))))</f>
        <v>#N/A</v>
      </c>
      <c r="WY57" s="75" t="e">
        <f t="array" aca="1" ref="WY57" ca="1">INDEX(Canals!$AG$24:$AG$29,MATCH(2,1/((Canals!$F$24:$F$29&lt;=$C57)*(Canals!$G$24:$G$29=_xlfn.IFS(SJ57="Handysize",Main!US57,SJ57="Supramax",UL57,SJ57="Panamax",UE57,SJ57="NeoPanamax",TX57,SJ57="Suezmax",TQ57,SJ57="Capesize",TJ57,SJ57="VLOC",TC57)))))</f>
        <v>#N/A</v>
      </c>
      <c r="WZ57" s="75" t="e">
        <f t="array" aca="1" ref="WZ57" ca="1">INDEX(Canals!$AH$24:$AH$29,MATCH(2,1/((Canals!$F$24:$F$29&lt;=$C57)*(Canals!$G$24:$G$29=_xlfn.IFS(SJ57="Handysize",Main!US57,SJ57="Supramax",UL57,SJ57="Panamax",UE57,SJ57="NeoPanamax",TX57,SJ57="Suezmax",TQ57,SJ57="Capesize",TJ57,SJ57="VLOC",TC57)))))</f>
        <v>#N/A</v>
      </c>
      <c r="XA57" s="75" t="e">
        <f t="array" aca="1" ref="XA57" ca="1">INDEX(Canals!$AI$24:$AI$29,MATCH(2,1/((Canals!$F$24:$F$29&lt;=$C57)*(Canals!$G$24:$G$29=_xlfn.IFS(SJ57="Handysize",Main!US57,SJ57="Supramax",UL57,SJ57="Panamax",UE57,SJ57="NeoPanamax",TX57,SJ57="Suezmax",TQ57,SJ57="Capesize",TJ57,SJ57="VLOC",TC57)))))</f>
        <v>#N/A</v>
      </c>
      <c r="XB57" s="75" t="e">
        <f t="array" aca="1" ref="XB57" ca="1">INDEX(Canals!$AJ$24:$AJ$29,MATCH(2,1/((Canals!$F$24:$F$29&lt;=$C57)*(Canals!$G$24:$G$29=_xlfn.IFS(SJ57="Handysize",Main!US57,SJ57="Supramax",UL57,SJ57="Panamax",UE57,SJ57="NeoPanamax",TX57,SJ57="Suezmax",TQ57,SJ57="Capesize",TJ57,SJ57="VLOC",TC57)))))</f>
        <v>#N/A</v>
      </c>
      <c r="XC57" s="75" t="e">
        <f t="array" aca="1" ref="XC57" ca="1">INDEX(Canals!$AK$24:$AK$29,MATCH(2,1/((Canals!$F$24:$F$29&lt;=$C57)*(Canals!$G$24:$G$29=_xlfn.IFS(SJ57="Handysize",Main!US57,SJ57="Supramax",UL57,SJ57="Panamax",UE57,SJ57="NeoPanamax",TX57,SJ57="Suezmax",TQ57,SJ57="Capesize",TJ57,SJ57="VLOC",TC57)))))</f>
        <v>#N/A</v>
      </c>
      <c r="XD57" s="136" t="e">
        <f t="array" aca="1" ref="XD57" ca="1">INDEX(Canals!$AL$24:$AL$29,MATCH(2,1/((Canals!$F$24:$F$29&lt;=$C57)*(Canals!$G$24:$G$29=_xlfn.IFS(SJ57="Handysize",Main!US57,SJ57="Supramax",UL57,SJ57="Panamax",UE57,SJ57="NeoPanamax",TX57,SJ57="Suezmax",TQ57,SJ57="Capesize",TJ57,SJ57="VLOC",TC57)))))</f>
        <v>#N/A</v>
      </c>
      <c r="XE57" s="136" t="e">
        <f t="array" aca="1" ref="XE57" ca="1">INDEX(Canals!$AM$24:$AM$29,MATCH(2,1/((Canals!$F$24:$F$29&lt;=$C57)*(Canals!$G$24:$G$29=_xlfn.IFS(SJ57="Handysize",Main!US57,SJ57="Supramax",UL57,SJ57="Panamax",UE57,SJ57="NeoPanamax",TX57,SJ57="Suezmax",TQ57,SJ57="Capesize",TJ57,SJ57="VLOC",TC57)))))</f>
        <v>#N/A</v>
      </c>
      <c r="XF57" s="136" t="e">
        <f t="array" aca="1" ref="XF57" ca="1">INDEX(Canals!$AN$24:$AN$29,MATCH(2,1/((Canals!$F$24:$F$29&lt;=$C57)*(Canals!$G$24:$G$29=_xlfn.IFS(SJ57="Handysize",Main!US57,SJ57="Supramax",UL57,SJ57="Panamax",UE57,SJ57="NeoPanamax",TX57,SJ57="Suezmax",TQ57,SJ57="Capesize",TJ57,SJ57="VLOC",TC57)))))</f>
        <v>#N/A</v>
      </c>
      <c r="XG57" s="136" t="e">
        <f t="array" aca="1" ref="XG57" ca="1">INDEX(Canals!$AO$24:$AO$29,MATCH(2,1/((Canals!$F$24:$F$29&lt;=$C57)*(Canals!$G$24:$G$29=_xlfn.IFS(SJ57="Handysize",Main!US57,SJ57="Supramax",UL57,SJ57="Panamax",UE57,SJ57="NeoPanamax",TX57,SJ57="Suezmax",TQ57,SJ57="Capesize",TJ57,SJ57="VLOC",TC57)))))</f>
        <v>#N/A</v>
      </c>
      <c r="XH57" s="136" t="e">
        <f t="array" aca="1" ref="XH57" ca="1">INDEX(Canals!$AP$24:$AP$29,MATCH(2,1/((Canals!$F$24:$F$29&lt;=$C57)*(Canals!$G$24:$G$29=_xlfn.IFS(SJ57="Handysize",Main!US57,SJ57="Supramax",UL57,SJ57="Panamax",UE57,SJ57="NeoPanamax",TX57,SJ57="Suezmax",TQ57,SJ57="Capesize",TJ57,SJ57="VLOC",TC57)))))</f>
        <v>#N/A</v>
      </c>
      <c r="XI57" s="136" t="e">
        <f t="array" aca="1" ref="XI57" ca="1">INDEX(Canals!$AQ$24:$AQ$29,MATCH(2,1/((Canals!$F$24:$F$29&lt;=$C57)*(Canals!$G$24:$G$29=_xlfn.IFS(SJ57="Handysize",Main!US57,SJ57="Supramax",UL57,SJ57="Panamax",UE57,SJ57="NeoPanamax",TX57,SJ57="Suezmax",TQ57,SJ57="Capesize",TJ57,SJ57="VLOC",TC57)))))</f>
        <v>#N/A</v>
      </c>
      <c r="XJ57" s="136" t="e">
        <f t="array" aca="1" ref="XJ57" ca="1">INDEX(Canals!$AR$24:$AR$29,MATCH(2,1/((Canals!$F$24:$F$29&lt;=$C57)*(Canals!$G$24:$G$29=_xlfn.IFS(SJ57="Handysize",Main!US57,SJ57="Supramax",UL57,SJ57="Panamax",UE57,SJ57="NeoPanamax",TX57,SJ57="Suezmax",TQ57,SJ57="Capesize",TJ57,SJ57="VLOC",TC57)))))</f>
        <v>#N/A</v>
      </c>
      <c r="XK57" s="136" t="e">
        <f t="array" aca="1" ref="XK57" ca="1">INDEX(Canals!$AS$24:$AS$29,MATCH(2,1/((Canals!$F$24:$F$29&lt;=$C57)*(Canals!$G$24:$G$29=_xlfn.IFS(SJ57="Handysize",Main!US57,SJ57="Supramax",UL57,SJ57="Panamax",UE57,SJ57="NeoPanamax",TX57,SJ57="Suezmax",TQ57,SJ57="Capesize",TJ57,SJ57="VLOC",TC57)))))</f>
        <v>#N/A</v>
      </c>
      <c r="XL57" s="136" t="e">
        <f t="array" aca="1" ref="XL57" ca="1">INDEX(Canals!$AT$24:$AT$29,MATCH(2,1/((Canals!$F$24:$F$29&lt;=$C57)*(Canals!$G$24:$G$29=_xlfn.IFS(SJ57="Handysize",Main!US57,SJ57="Supramax",UL57,SJ57="Panamax",UE57,SJ57="NeoPanamax",TX57,SJ57="Suezmax",TQ57,SJ57="Capesize",TJ57,SJ57="VLOC",TC57)))))</f>
        <v>#N/A</v>
      </c>
      <c r="XM57" s="136" t="e">
        <f t="array" aca="1" ref="XM57" ca="1">INDEX(Canals!$AU$24:$AU$29,MATCH(2,1/((Canals!$F$24:$F$29&lt;=$C57)*(Canals!$G$24:$G$29=_xlfn.IFS(SJ57="Handysize",Main!US57,SJ57="Supramax",UL57,SJ57="Panamax",UE57,SJ57="NeoPanamax",TX57,SJ57="Suezmax",TQ57,SJ57="Capesize",TJ57,SJ57="VLOC",TC57)))))</f>
        <v>#N/A</v>
      </c>
      <c r="XN57" s="136" t="e">
        <f t="array" aca="1" ref="XN57" ca="1">INDEX(Canals!$AV$24:$AV$29,MATCH(2,1/((Canals!$F$24:$F$29&lt;=$C57)*(Canals!$G$24:$G$29=_xlfn.IFS(SJ57="Handysize",Main!US57,SJ57="Supramax",UL57,SJ57="Panamax",UE57,SJ57="NeoPanamax",TX57,SJ57="Suezmax",TQ57,SJ57="Capesize",TJ57,SJ57="VLOC",TC57)))))</f>
        <v>#N/A</v>
      </c>
      <c r="XP57" s="75" t="e">
        <f t="array" aca="1" ref="XP57" ca="1">_xlfn.IFS(WA57="DWT",SH57,WA57="NRT",SL57,WA57="GRT",SM57,WA57=0,0)</f>
        <v>#NAME?</v>
      </c>
      <c r="XQ57" s="279" t="e">
        <f t="shared" ca="1" si="455"/>
        <v>#NAME?</v>
      </c>
      <c r="XR57" s="280" t="e">
        <f t="shared" ca="1" si="456"/>
        <v>#NAME?</v>
      </c>
      <c r="XS57" s="280" t="e">
        <f t="shared" ca="1" si="457"/>
        <v>#NAME?</v>
      </c>
      <c r="XT57" s="280" t="e">
        <f t="shared" ca="1" si="458"/>
        <v>#NAME?</v>
      </c>
      <c r="XU57" s="280" t="e">
        <f t="shared" ca="1" si="459"/>
        <v>#NAME?</v>
      </c>
      <c r="XV57" s="280" t="e">
        <f t="shared" ca="1" si="460"/>
        <v>#NAME?</v>
      </c>
      <c r="XW57" s="280" t="e">
        <f t="shared" ca="1" si="461"/>
        <v>#NAME?</v>
      </c>
      <c r="XX57" s="280" t="e">
        <f t="shared" ca="1" si="462"/>
        <v>#NAME?</v>
      </c>
      <c r="XY57" s="280" t="e">
        <f t="shared" ca="1" si="463"/>
        <v>#NAME?</v>
      </c>
      <c r="XZ57" s="75">
        <f t="shared" si="464"/>
        <v>0</v>
      </c>
      <c r="YA57" s="279" t="e">
        <f t="shared" ca="1" si="465"/>
        <v>#N/A</v>
      </c>
      <c r="YB57" s="280" t="e">
        <f t="shared" ca="1" si="466"/>
        <v>#N/A</v>
      </c>
      <c r="YC57" s="280" t="e">
        <f t="shared" ca="1" si="467"/>
        <v>#N/A</v>
      </c>
      <c r="YD57" s="280" t="e">
        <f t="shared" ca="1" si="468"/>
        <v>#N/A</v>
      </c>
      <c r="YE57" s="280" t="e">
        <f t="shared" ca="1" si="469"/>
        <v>#N/A</v>
      </c>
      <c r="YF57" s="280" t="e">
        <f t="shared" ca="1" si="470"/>
        <v>#N/A</v>
      </c>
      <c r="YG57" s="280" t="e">
        <f t="shared" ca="1" si="471"/>
        <v>#N/A</v>
      </c>
      <c r="YH57" s="280" t="e">
        <f t="shared" ca="1" si="472"/>
        <v>#N/A</v>
      </c>
      <c r="YI57" s="280" t="e">
        <f t="shared" ca="1" si="473"/>
        <v>#N/A</v>
      </c>
      <c r="YK57" s="75" t="e">
        <f t="array" aca="1" ref="YK57" ca="1">_xlfn.IFS(SJ57="Handysize",Main!UM57,SJ57="Supramax",UF57,SJ57="Panamax",TY57,SJ57="NeoPanamax",TR57,SJ57="Suezmax",TK57,SJ57="Capesize",TD57,SJ57="VLOC",SW57)*$JI57</f>
        <v>#NAME?</v>
      </c>
      <c r="YL57" s="274" t="e">
        <f t="array" aca="1" ref="YL57" ca="1">_xlfn.IFS(SJ57="Handysize",Main!UN57,SJ57="Supramax",UG57,SJ57="Panamax",TZ57,SJ57="NeoPanamax",TS57,SJ57="Suezmax",TL57,SJ57="Capesize",TE57,SJ57="VLOC",SX57)*$JI57</f>
        <v>#NAME?</v>
      </c>
      <c r="YM57" s="71" t="e">
        <f t="array" aca="1" ref="YM57" ca="1">_xlfn.IFS(SJ57="Handysize",Main!SO57,SJ57="Supramax",SP57,SJ57="Panamax",SQ57,SJ57="NeoPanamax",SR57,SJ57="Suezmax",SS57,SJ57="Capesize",ST57,SJ57="VLOC",SU57)</f>
        <v>#NAME?</v>
      </c>
      <c r="YN57" s="71" t="e">
        <f t="array" aca="1" ref="YN57" ca="1">_xlfn.IFS(SJ57="Handysize",Main!VA57,SJ57="Supramax",VB57,SJ57="Panamax",VC57,SJ57="NeoPanamax",VD57,SJ57="Suezmax",VE57,SJ57="Capesize",VF57,SJ57="VLOC",VG57)</f>
        <v>#NAME?</v>
      </c>
      <c r="YO57" s="70">
        <f t="array" ref="YO57">INDEX('Ship Speeds'!$G$11:$G$1011,MATCH(2,1/(('Ship Speeds'!$E$11:$E$1011&lt;=Main!$C57)*('Ship Speeds'!$F$11:$F$1011=Main!SI57))))</f>
        <v>11</v>
      </c>
      <c r="YP57" s="403">
        <f t="shared" si="474"/>
        <v>0</v>
      </c>
      <c r="YQ57" s="401">
        <f t="shared" si="475"/>
        <v>1.2</v>
      </c>
      <c r="YR57" s="70" t="e">
        <f t="shared" ca="1" si="476"/>
        <v>#NAME?</v>
      </c>
      <c r="YS57" s="70" t="e">
        <f t="shared" ca="1" si="477"/>
        <v>#NAME?</v>
      </c>
      <c r="YT57" s="70" t="e">
        <f t="shared" ca="1" si="478"/>
        <v>#NAME?</v>
      </c>
      <c r="YU57" s="70" t="e">
        <f t="shared" ca="1" si="479"/>
        <v>#NAME?</v>
      </c>
      <c r="YV57" s="72" t="e">
        <f t="shared" ca="1" si="480"/>
        <v>#N/A</v>
      </c>
      <c r="YW57" s="70" t="e">
        <f t="shared" ca="1" si="481"/>
        <v>#NAME?</v>
      </c>
      <c r="YX57" s="70" t="e">
        <f t="array" aca="1" ref="YX57" ca="1">IF(YK57=0,0,INDEX(UU57:UY57,MATCH(_xlfn.IFS(SJ57="Handysize",Main!UQ57,SJ57="Supramax",UJ57,SJ57="Panamax",UC57,SJ57="NeoPanamax",TV57,SJ57="Suezmax",TO57,SJ57="Capesize",TH57,SJ57="VLOC",TA57),$UU$7:$UY$7,0)))</f>
        <v>#NAME?</v>
      </c>
      <c r="YY57" s="70" t="e">
        <f t="array" aca="1" ref="YY57" ca="1">IF(YK57=0,0,INDEX(UU57:UY57,MATCH(_xlfn.IFS(SJ57="Handysize",Main!UR57,SJ57="Supramax",UK57,SJ57="Panamax",UD57,SJ57="NeoPanamax",TW57,SJ57="Suezmax",TP57,SJ57="Capesize",TI57,SJ57="VLOC",TB57),$UU$7:$UY$7,0)))</f>
        <v>#NAME?</v>
      </c>
      <c r="YZ57" s="71" t="e">
        <f t="shared" ca="1" si="482"/>
        <v>#NAME?</v>
      </c>
      <c r="ZA57" s="71" t="e">
        <f t="shared" ca="1" si="483"/>
        <v>#NAME?</v>
      </c>
      <c r="ZB57" s="281" t="e">
        <f t="shared" ca="1" si="484"/>
        <v>#NAME?</v>
      </c>
      <c r="ZC57" s="71" t="e">
        <f t="shared" ca="1" si="485"/>
        <v>#NAME?</v>
      </c>
      <c r="ZD57" s="71" t="e">
        <f t="shared" ca="1" si="486"/>
        <v>#NAME?</v>
      </c>
      <c r="ZE57" s="71" t="e">
        <f t="shared" ca="1" si="487"/>
        <v>#NAME?</v>
      </c>
      <c r="ZF57" s="71" t="e">
        <f t="shared" ca="1" si="488"/>
        <v>#NAME?</v>
      </c>
      <c r="ZG57" s="71" t="e">
        <f t="shared" ca="1" si="489"/>
        <v>#NAME?</v>
      </c>
      <c r="ZH57" s="71" t="e">
        <f t="shared" ca="1" si="490"/>
        <v>#NAME?</v>
      </c>
      <c r="ZI57" s="71" t="e">
        <f t="shared" ca="1" si="491"/>
        <v>#NAME?</v>
      </c>
      <c r="ZJ57" s="71" t="e">
        <f t="shared" ca="1" si="492"/>
        <v>#NAME?</v>
      </c>
      <c r="ZK57" s="71" t="e">
        <f t="shared" ca="1" si="493"/>
        <v>#NAME?</v>
      </c>
      <c r="ZL57" s="71" t="e">
        <f t="shared" ca="1" si="494"/>
        <v>#NAME?</v>
      </c>
      <c r="ZM57" s="71" t="e">
        <f t="shared" ca="1" si="495"/>
        <v>#NAME?</v>
      </c>
      <c r="ZN57" s="71" t="e">
        <f t="shared" ca="1" si="496"/>
        <v>#NAME?</v>
      </c>
      <c r="ZO57" s="72" t="e">
        <f t="shared" ca="1" si="497"/>
        <v>#NAME?</v>
      </c>
      <c r="ZP57" s="72" t="e">
        <f t="shared" ca="1" si="498"/>
        <v>#NAME?</v>
      </c>
      <c r="ZQ57" s="71" t="e">
        <f t="shared" ca="1" si="499"/>
        <v>#NAME?</v>
      </c>
      <c r="ZR57" s="71" t="e">
        <f t="array" aca="1" ref="ZR57" ca="1">IF(YK57=0,0,INDEX('Ship Time Charter Rates'!$H$22:$H$1021,MATCH(2,1/(('Ship Time Charter Rates'!$G$22:$G$1021=_xlfn.IFS(SJ57="Handysize",Main!UO57,SJ57="Supramax",UH57,SJ57="Panamax",UA57,SJ57="NeoPanamax",TT57,SJ57="Suezmax",TM57,SJ57="Capesize",TF57,SJ57="VLOC",SY57))*('Ship Time Charter Rates'!$E$22:$E$1021&lt;=Main!$C57)*(NOT(ISBLANK('Ship Time Charter Rates'!$H$22:$H$1021)))))))</f>
        <v>#NAME?</v>
      </c>
      <c r="ZS57" s="71" t="e">
        <f t="shared" ca="1" si="500"/>
        <v>#NAME?</v>
      </c>
      <c r="ZT57" s="70" t="e">
        <f t="shared" ca="1" si="501"/>
        <v>#NAME?</v>
      </c>
      <c r="ZU57" s="71" t="e">
        <f t="shared" ca="1" si="502"/>
        <v>#NAME?</v>
      </c>
      <c r="ZV57" s="71" t="e">
        <f t="shared" ca="1" si="503"/>
        <v>#NAME?</v>
      </c>
      <c r="ZW57" s="72" t="e">
        <f t="shared" ca="1" si="504"/>
        <v>#NAME?</v>
      </c>
      <c r="ZY57" s="287" t="s">
        <v>39</v>
      </c>
      <c r="AAA57" s="25">
        <f>IF($AO57="no",$AN57,$AR57)/(1-$AL57)/$JN57</f>
        <v>91954.022988505763</v>
      </c>
      <c r="AAB57" s="4" t="str">
        <f>VLOOKUP(AAA57,'Ship Time Charter Rates'!$F$10:$G$17,2,TRUE)</f>
        <v>Panamax</v>
      </c>
      <c r="AAC57" s="4" t="str">
        <f>VLOOKUP(AAA57,Canals!$E$5:$F$12,2,TRUE)</f>
        <v>Panamax</v>
      </c>
      <c r="AAD57" s="25">
        <f t="shared" si="505"/>
        <v>226.16586206896551</v>
      </c>
      <c r="AAE57" s="25">
        <f t="shared" si="506"/>
        <v>37094.252873563222</v>
      </c>
      <c r="AAF57" s="25">
        <f t="shared" si="507"/>
        <v>52511.942528735643</v>
      </c>
      <c r="AAH57" s="75">
        <f t="array" ref="AAH57">INDEX('Indices Mines Exporting Ports'!$R$20:$R$51,MATCH(2,1/(('Indices Mines Exporting Ports'!$D$20:$D$51&lt;=Main!$C57)*('Indices Mines Exporting Ports'!$Q$20:$Q$51=$AP57))))</f>
        <v>80000</v>
      </c>
      <c r="AAI57" s="75">
        <f t="array" ref="AAI57">INDEX('Indices Mines Exporting Ports'!$S$20:$S$51,MATCH(2,1/(('Indices Mines Exporting Ports'!$D$20:$D$51&lt;=Main!$C57)*('Indices Mines Exporting Ports'!$Q$20:$Q$51=$AP57))))</f>
        <v>80000</v>
      </c>
      <c r="AAJ57" s="75">
        <f t="array" ref="AAJ57">INDEX('Indices Mines Exporting Ports'!$T$20:$T$51,MATCH(2,1/(('Indices Mines Exporting Ports'!$D$20:$D$51&lt;=Main!$C57)*('Indices Mines Exporting Ports'!$Q$20:$Q$51=$AP57))))</f>
        <v>80000</v>
      </c>
      <c r="AAK57" s="75">
        <f t="array" ref="AAK57">INDEX('Indices Mines Exporting Ports'!$U$20:$U$51,MATCH(2,1/(('Indices Mines Exporting Ports'!$D$20:$D$51&lt;=Main!$C57)*('Indices Mines Exporting Ports'!$Q$20:$Q$51=$AP57))))</f>
        <v>80000</v>
      </c>
      <c r="AAL57" s="75">
        <f t="array" ref="AAL57">INDEX('Indices Mines Exporting Ports'!$V$20:$V$51,MATCH(2,1/(('Indices Mines Exporting Ports'!$D$20:$D$51&lt;=Main!$C57)*('Indices Mines Exporting Ports'!$Q$20:$Q$51=$AP57))))</f>
        <v>80000</v>
      </c>
      <c r="AAM57" s="75">
        <f t="array" ref="AAM57">INDEX('Indices Mines Exporting Ports'!$W$20:$W$51,MATCH(2,1/(('Indices Mines Exporting Ports'!$D$20:$D$51&lt;=Main!$C57)*('Indices Mines Exporting Ports'!$Q$20:$Q$51=$AP57))))</f>
        <v>40000</v>
      </c>
      <c r="AAN57" s="75">
        <f t="array" ref="AAN57">INDEX('Indices Mines Exporting Ports'!$X$20:$X$51,MATCH(2,1/(('Indices Mines Exporting Ports'!$D$20:$D$51&lt;=Main!$C57)*('Indices Mines Exporting Ports'!$Q$20:$Q$51=$AP57))))</f>
        <v>40000</v>
      </c>
      <c r="AAP57" s="75" t="e">
        <f t="array" ref="AAP57">INDEX('Port Linkages'!$E$18:$E$157,MATCH(2,1/(('Port Linkages'!$C$18:$C$157=$AP57)*('Port Linkages'!$D$18:$D$157=IF($AO57="Yes",$AQ57,$KK57))*('Port Linkages'!$A$18:$A$157&lt;=$C57))))</f>
        <v>#N/A</v>
      </c>
      <c r="AAQ57" s="75">
        <f t="array" ref="AAQ57">INDEX('Port Linkages'!$F$18:$F$157,MATCH(2,1/(('Port Linkages'!$C$18:$C$157=$AP57)*('Port Linkages'!$D$18:$D$157=IF($AO57="Yes",$AQ57,$KK57))*('Port Linkages'!$A$18:$A$157&lt;=$C57))))</f>
        <v>0</v>
      </c>
      <c r="AAR57" s="75" t="str">
        <f t="array" ref="AAR57">INDEX('Port Linkages'!$G$18:$G$157,MATCH(2,1/(('Port Linkages'!$C$18:$C$157=$AP57)*('Port Linkages'!$D$18:$D$157=IF($AO57="Yes",$AQ57,$KK57))*('Port Linkages'!$A$18:$A$157&lt;=$C57))))</f>
        <v>VLOC_General</v>
      </c>
      <c r="AAS57" s="75" t="str">
        <f t="array" ref="AAS57">INDEX('Port Linkages'!$H$18:$H$157,MATCH(2,1/(('Port Linkages'!$C$18:$C$157=$AP57)*('Port Linkages'!$D$18:$D$157=IF($AO57="Yes",$AQ57,$KK57))*('Port Linkages'!$A$18:$A$157&lt;=$C57))))</f>
        <v>Singapore</v>
      </c>
      <c r="AAT57" s="75" t="str">
        <f t="array" ref="AAT57">INDEX('Port Linkages'!$I$18:$I$157,MATCH(2,1/(('Port Linkages'!$C$18:$C$157=$AP57)*('Port Linkages'!$D$18:$D$157=IF($AO57="Yes",$AQ57,$KK57))*('Port Linkages'!$A$18:$A$157&lt;=$C57))))</f>
        <v>VLSFO</v>
      </c>
      <c r="AAU57" s="75" t="str">
        <f t="array" ref="AAU57">INDEX('Port Linkages'!$J$18:$J$157,MATCH(2,1/(('Port Linkages'!$C$18:$C$157=$AP57)*('Port Linkages'!$D$18:$D$157=IF($AO57="Yes",$AQ57,$KK57))*('Port Linkages'!$A$18:$A$157&lt;=$C57))))</f>
        <v>MGO_Regular</v>
      </c>
      <c r="AAV57" s="75" t="str">
        <f t="array" ref="AAV57">INDEX('Port Linkages'!$K$18:$K$157,MATCH(2,1/(('Port Linkages'!$C$18:$C$157=$AP57)*('Port Linkages'!$D$18:$D$157=IF($AO57="Yes",$AQ57,$KK57))*('Port Linkages'!$A$18:$A$157&lt;=$C57))))</f>
        <v>none</v>
      </c>
      <c r="AAW57" s="75" t="e">
        <f t="array" ref="AAW57">INDEX('Port Linkages'!$L$18:$L$157,MATCH(2,1/(('Port Linkages'!$C$18:$C$157=$AP57)*('Port Linkages'!$D$18:$D$157=IF($AO57="Yes",$AQ57,$KK57))*('Port Linkages'!$A$18:$A$157&lt;=$C57))))</f>
        <v>#N/A</v>
      </c>
      <c r="AAX57" s="75">
        <f t="array" ref="AAX57">INDEX('Port Linkages'!$M$18:$M$157,MATCH(2,1/(('Port Linkages'!$C$18:$C$157=$AP57)*('Port Linkages'!$D$18:$D$157=IF($AO57="Yes",$AQ57,$KK57))*('Port Linkages'!$A$18:$A$157&lt;=$C57))))</f>
        <v>0</v>
      </c>
      <c r="AAY57" s="75" t="str">
        <f t="array" ref="AAY57">INDEX('Port Linkages'!$N$18:$N$157,MATCH(2,1/(('Port Linkages'!$C$18:$C$157=$AP57)*('Port Linkages'!$D$18:$D$157=IF($AO57="Yes",$AQ57,$KK57))*('Port Linkages'!$A$18:$A$157&lt;=$C57))))</f>
        <v>Capesize_General</v>
      </c>
      <c r="AAZ57" s="75" t="str">
        <f t="array" ref="AAZ57">INDEX('Port Linkages'!$O$18:$O$157,MATCH(2,1/(('Port Linkages'!$C$18:$C$157=$AP57)*('Port Linkages'!$D$18:$D$157=IF($AO57="Yes",$AQ57,$KK57))*('Port Linkages'!$A$18:$A$157&lt;=$C57))))</f>
        <v>Singapore</v>
      </c>
      <c r="ABA57" s="75" t="str">
        <f t="array" ref="ABA57">INDEX('Port Linkages'!$P$18:$P$157,MATCH(2,1/(('Port Linkages'!$C$18:$C$157=$AP57)*('Port Linkages'!$D$18:$D$157=IF($AO57="Yes",$AQ57,$KK57))*('Port Linkages'!$A$18:$A$157&lt;=$C57))))</f>
        <v>VLSFO</v>
      </c>
      <c r="ABB57" s="75" t="str">
        <f t="array" ref="ABB57">INDEX('Port Linkages'!$Q$18:$Q$157,MATCH(2,1/(('Port Linkages'!$C$18:$C$157=$AP57)*('Port Linkages'!$D$18:$D$157=IF($AO57="Yes",$AQ57,$KK57))*('Port Linkages'!$A$18:$A$157&lt;=$C57))))</f>
        <v>MGO_Regular</v>
      </c>
      <c r="ABC57" s="75" t="str">
        <f t="array" ref="ABC57">INDEX('Port Linkages'!$R$18:$R$157,MATCH(2,1/(('Port Linkages'!$C$18:$C$157=$AP57)*('Port Linkages'!$D$18:$D$157=IF($AO57="Yes",$AQ57,$KK57))*('Port Linkages'!$A$18:$A$157&lt;=$C57))))</f>
        <v>none</v>
      </c>
      <c r="ABD57" s="75" t="e">
        <f t="array" ref="ABD57">INDEX('Port Linkages'!$S$18:$S$157,MATCH(2,1/(('Port Linkages'!$C$18:$C$157=$AP57)*('Port Linkages'!$D$18:$D$157=IF($AO57="Yes",$AQ57,$KK57))*('Port Linkages'!$A$18:$A$157&lt;=$C57))))</f>
        <v>#N/A</v>
      </c>
      <c r="ABE57" s="75">
        <f t="array" ref="ABE57">INDEX('Port Linkages'!$T$18:$T$157,MATCH(2,1/(('Port Linkages'!$C$18:$C$157=$AP57)*('Port Linkages'!$D$18:$D$157=IF($AO57="Yes",$AQ57,$KK57))*('Port Linkages'!$A$18:$A$157&lt;=$C57))))</f>
        <v>0</v>
      </c>
      <c r="ABF57" s="75" t="str">
        <f t="array" ref="ABF57">INDEX('Port Linkages'!$U$18:$U$157,MATCH(2,1/(('Port Linkages'!$C$18:$C$157=$AP57)*('Port Linkages'!$D$18:$D$157=IF($AO57="Yes",$AQ57,$KK57))*('Port Linkages'!$A$18:$A$157&lt;=$C57))))</f>
        <v>Capesize_General</v>
      </c>
      <c r="ABG57" s="75" t="str">
        <f t="array" ref="ABG57">INDEX('Port Linkages'!$V$18:$V$157,MATCH(2,1/(('Port Linkages'!$C$18:$C$157=$AP57)*('Port Linkages'!$D$18:$D$157=IF($AO57="Yes",$AQ57,$KK57))*('Port Linkages'!$A$18:$A$157&lt;=$C57))))</f>
        <v>Singapore</v>
      </c>
      <c r="ABH57" s="75" t="str">
        <f t="array" ref="ABH57">INDEX('Port Linkages'!$W$18:$W$157,MATCH(2,1/(('Port Linkages'!$C$18:$C$157=$AP57)*('Port Linkages'!$D$18:$D$157=IF($AO57="Yes",$AQ57,$KK57))*('Port Linkages'!$A$18:$A$157&lt;=$C57))))</f>
        <v>VLSFO</v>
      </c>
      <c r="ABI57" s="75" t="str">
        <f t="array" ref="ABI57">INDEX('Port Linkages'!$X$18:$X$157,MATCH(2,1/(('Port Linkages'!$C$18:$C$157=$AP57)*('Port Linkages'!$D$18:$D$157=IF($AO57="Yes",$AQ57,$KK57))*('Port Linkages'!$A$18:$A$157&lt;=$C57))))</f>
        <v>MGO_Regular</v>
      </c>
      <c r="ABJ57" s="75" t="str">
        <f t="array" ref="ABJ57">INDEX('Port Linkages'!$Y$18:$Y$157,MATCH(2,1/(('Port Linkages'!$C$18:$C$157=$AP57)*('Port Linkages'!$D$18:$D$157=IF($AO57="Yes",$AQ57,$KK57))*('Port Linkages'!$A$18:$A$157&lt;=$C57))))</f>
        <v>none</v>
      </c>
      <c r="ABK57" s="75">
        <f t="array" ref="ABK57">INDEX('Port Linkages'!$Z$18:$Z$157,MATCH(2,1/(('Port Linkages'!$C$18:$C$157=$AP57)*('Port Linkages'!$D$18:$D$157=IF($AO57="Yes",$AQ57,$KK57))*('Port Linkages'!$A$18:$A$157&lt;=$C57))))</f>
        <v>3280</v>
      </c>
      <c r="ABL57" s="75">
        <f t="array" ref="ABL57">INDEX('Port Linkages'!$AA$18:$AA$157,MATCH(2,1/(('Port Linkages'!$C$18:$C$157=$AP57)*('Port Linkages'!$D$18:$D$157=IF($AO57="Yes",$AQ57,$KK57))*('Port Linkages'!$A$18:$A$157&lt;=$C57))))</f>
        <v>0</v>
      </c>
      <c r="ABM57" s="75" t="str">
        <f t="array" ref="ABM57">INDEX('Port Linkages'!$AB$18:$AB$157,MATCH(2,1/(('Port Linkages'!$C$18:$C$157=$AP57)*('Port Linkages'!$D$18:$D$157=IF($AO57="Yes",$AQ57,$KK57))*('Port Linkages'!$A$18:$A$157&lt;=$C57))))</f>
        <v>Capesize_General</v>
      </c>
      <c r="ABN57" s="75" t="str">
        <f t="array" ref="ABN57">INDEX('Port Linkages'!$AC$18:$AC$157,MATCH(2,1/(('Port Linkages'!$C$18:$C$157=$AP57)*('Port Linkages'!$D$18:$D$157=IF($AO57="Yes",$AQ57,$KK57))*('Port Linkages'!$A$18:$A$157&lt;=$C57))))</f>
        <v>Singapore</v>
      </c>
      <c r="ABO57" s="75" t="str">
        <f t="array" ref="ABO57">INDEX('Port Linkages'!$AD$18:$AD$157,MATCH(2,1/(('Port Linkages'!$C$18:$C$157=$AP57)*('Port Linkages'!$D$18:$D$157=IF($AO57="Yes",$AQ57,$KK57))*('Port Linkages'!$A$18:$A$157&lt;=$C57))))</f>
        <v>VLSFO</v>
      </c>
      <c r="ABP57" s="75" t="str">
        <f t="array" ref="ABP57">INDEX('Port Linkages'!$AE$18:$AE$157,MATCH(2,1/(('Port Linkages'!$C$18:$C$157=$AP57)*('Port Linkages'!$D$18:$D$157=IF($AO57="Yes",$AQ57,$KK57))*('Port Linkages'!$A$18:$A$157&lt;=$C57))))</f>
        <v>MGO_Regular</v>
      </c>
      <c r="ABQ57" s="75" t="str">
        <f t="array" ref="ABQ57">INDEX('Port Linkages'!$AF$18:$AF$157,MATCH(2,1/(('Port Linkages'!$C$18:$C$157=$AP57)*('Port Linkages'!$D$18:$D$157=IF($AO57="Yes",$AQ57,$KK57))*('Port Linkages'!$A$18:$A$157&lt;=$C57))))</f>
        <v>none</v>
      </c>
      <c r="ABR57" s="75">
        <f t="array" ref="ABR57">INDEX('Port Linkages'!$AG$18:$AG$157,MATCH(2,1/(('Port Linkages'!$C$18:$C$157=$AP57)*('Port Linkages'!$D$18:$D$157=IF($AO57="Yes",$AQ57,$KK57))*('Port Linkages'!$A$18:$A$157&lt;=$C57))))</f>
        <v>3280</v>
      </c>
      <c r="ABS57" s="75">
        <f t="array" ref="ABS57">INDEX('Port Linkages'!$AH$18:$AH$157,MATCH(2,1/(('Port Linkages'!$C$18:$C$157=$AP57)*('Port Linkages'!$D$18:$D$157=IF($AO57="Yes",$AQ57,$KK57))*('Port Linkages'!$A$18:$A$157&lt;=$C57))))</f>
        <v>0</v>
      </c>
      <c r="ABT57" s="75" t="str">
        <f t="array" ref="ABT57">INDEX('Port Linkages'!$AI$18:$AI$157,MATCH(2,1/(('Port Linkages'!$C$18:$C$157=$AP57)*('Port Linkages'!$D$18:$D$157=IF($AO57="Yes",$AQ57,$KK57))*('Port Linkages'!$A$18:$A$157&lt;=$C57))))</f>
        <v>Panamax_General</v>
      </c>
      <c r="ABU57" s="75" t="str">
        <f t="array" ref="ABU57">INDEX('Port Linkages'!$AJ$18:$AJ$157,MATCH(2,1/(('Port Linkages'!$C$18:$C$157=$AP57)*('Port Linkages'!$D$18:$D$157=IF($AO57="Yes",$AQ57,$KK57))*('Port Linkages'!$A$18:$A$157&lt;=$C57))))</f>
        <v>Singapore</v>
      </c>
      <c r="ABV57" s="75" t="str">
        <f t="array" ref="ABV57">INDEX('Port Linkages'!$AK$18:$AK$157,MATCH(2,1/(('Port Linkages'!$C$18:$C$157=$AP57)*('Port Linkages'!$D$18:$D$157=IF($AO57="Yes",$AQ57,$KK57))*('Port Linkages'!$A$18:$A$157&lt;=$C57))))</f>
        <v>VLSFO</v>
      </c>
      <c r="ABW57" s="75" t="str">
        <f t="array" ref="ABW57">INDEX('Port Linkages'!$AL$18:$AL$157,MATCH(2,1/(('Port Linkages'!$C$18:$C$157=$AP57)*('Port Linkages'!$D$18:$D$157=IF($AO57="Yes",$AQ57,$KK57))*('Port Linkages'!$A$18:$A$157&lt;=$C57))))</f>
        <v>MGO_Regular</v>
      </c>
      <c r="ABX57" s="75" t="str">
        <f t="array" ref="ABX57">INDEX('Port Linkages'!$AM$18:$AM$157,MATCH(2,1/(('Port Linkages'!$C$18:$C$157=$AP57)*('Port Linkages'!$D$18:$D$157=IF($AO57="Yes",$AQ57,$KK57))*('Port Linkages'!$A$18:$A$157&lt;=$C57))))</f>
        <v>none</v>
      </c>
      <c r="ABY57" s="75">
        <f t="array" ref="ABY57">INDEX('Port Linkages'!$AN$18:$AN$157,MATCH(2,1/(('Port Linkages'!$C$18:$C$157=$AP57)*('Port Linkages'!$D$18:$D$157=IF($AO57="Yes",$AQ57,$KK57))*('Port Linkages'!$A$18:$A$157&lt;=$C57))))</f>
        <v>3280</v>
      </c>
      <c r="ABZ57" s="75">
        <f t="array" ref="ABZ57">INDEX('Port Linkages'!$AO$18:$AO$157,MATCH(2,1/(('Port Linkages'!$C$18:$C$157=$AP57)*('Port Linkages'!$D$18:$D$157=IF($AO57="Yes",$AQ57,$KK57))*('Port Linkages'!$A$18:$A$157&lt;=$C57))))</f>
        <v>0</v>
      </c>
      <c r="ACA57" s="75" t="str">
        <f t="array" ref="ACA57">INDEX('Port Linkages'!$AP$18:$AP$157,MATCH(2,1/(('Port Linkages'!$C$18:$C$157=$AP57)*('Port Linkages'!$D$18:$D$157=IF($AO57="Yes",$AQ57,$KK57))*('Port Linkages'!$A$18:$A$157&lt;=$C57))))</f>
        <v>Supramax_General</v>
      </c>
      <c r="ACB57" s="75" t="str">
        <f t="array" ref="ACB57">INDEX('Port Linkages'!$AQ$18:$AQ$157,MATCH(2,1/(('Port Linkages'!$C$18:$C$157=$AP57)*('Port Linkages'!$D$18:$D$157=IF($AO57="Yes",$AQ57,$KK57))*('Port Linkages'!$A$18:$A$157&lt;=$C57))))</f>
        <v>Singapore</v>
      </c>
      <c r="ACC57" s="75" t="str">
        <f t="array" ref="ACC57">INDEX('Port Linkages'!$AR$18:$AR$157,MATCH(2,1/(('Port Linkages'!$C$18:$C$157=$AP57)*('Port Linkages'!$D$18:$D$157=IF($AO57="Yes",$AQ57,$KK57))*('Port Linkages'!$A$18:$A$157&lt;=$C57))))</f>
        <v>VLSFO</v>
      </c>
      <c r="ACD57" s="75" t="str">
        <f t="array" ref="ACD57">INDEX('Port Linkages'!$AS$18:$AS$157,MATCH(2,1/(('Port Linkages'!$C$18:$C$157=$AP57)*('Port Linkages'!$D$18:$D$157=IF($AO57="Yes",$AQ57,$KK57))*('Port Linkages'!$A$18:$A$157&lt;=$C57))))</f>
        <v>MGO_Regular</v>
      </c>
      <c r="ACE57" s="75" t="str">
        <f t="array" ref="ACE57">INDEX('Port Linkages'!$AT$18:$AT$157,MATCH(2,1/(('Port Linkages'!$C$18:$C$157=$AP57)*('Port Linkages'!$D$18:$D$157=IF($AO57="Yes",$AQ57,$KK57))*('Port Linkages'!$A$18:$A$157&lt;=$C57))))</f>
        <v>none</v>
      </c>
      <c r="ACF57" s="75">
        <f t="array" ref="ACF57">INDEX('Port Linkages'!$AU$18:$AU$157,MATCH(2,1/(('Port Linkages'!$C$18:$C$157=$AP57)*('Port Linkages'!$D$18:$D$157=IF($AO57="Yes",$AQ57,$KK57))*('Port Linkages'!$A$18:$A$157&lt;=$C57))))</f>
        <v>3280</v>
      </c>
      <c r="ACG57" s="75">
        <f t="array" ref="ACG57">INDEX('Port Linkages'!$AV$18:$AV$157,MATCH(2,1/(('Port Linkages'!$C$18:$C$157=$AP57)*('Port Linkages'!$D$18:$D$157=IF($AO57="Yes",$AQ57,$KK57))*('Port Linkages'!$A$18:$A$157&lt;=$C57))))</f>
        <v>0</v>
      </c>
      <c r="ACH57" s="75" t="str">
        <f t="array" ref="ACH57">INDEX('Port Linkages'!$AW$18:$AW$157,MATCH(2,1/(('Port Linkages'!$C$18:$C$157=$AP57)*('Port Linkages'!$D$18:$D$157=IF($AO57="Yes",$AQ57,$KK57))*('Port Linkages'!$A$18:$A$157&lt;=$C57))))</f>
        <v>Handysize_General</v>
      </c>
      <c r="ACI57" s="75" t="str">
        <f t="array" ref="ACI57">INDEX('Port Linkages'!$AX$18:$AX$157,MATCH(2,1/(('Port Linkages'!$C$18:$C$157=$AP57)*('Port Linkages'!$D$18:$D$157=IF($AO57="Yes",$AQ57,$KK57))*('Port Linkages'!$A$18:$A$157&lt;=$C57))))</f>
        <v>Singapore</v>
      </c>
      <c r="ACJ57" s="75" t="str">
        <f t="array" ref="ACJ57">INDEX('Port Linkages'!$AY$18:$AY$157,MATCH(2,1/(('Port Linkages'!$C$18:$C$157=$AP57)*('Port Linkages'!$D$18:$D$157=IF($AO57="Yes",$AQ57,$KK57))*('Port Linkages'!$A$18:$A$157&lt;=$C57))))</f>
        <v>VLSFO</v>
      </c>
      <c r="ACK57" s="75" t="str">
        <f t="array" ref="ACK57">INDEX('Port Linkages'!$AZ$18:$AZ$157,MATCH(2,1/(('Port Linkages'!$C$18:$C$157=$AP57)*('Port Linkages'!$D$18:$D$157=IF($AO57="Yes",$AQ57,$KK57))*('Port Linkages'!$A$18:$A$157&lt;=$C57))))</f>
        <v>MGO_Regular</v>
      </c>
      <c r="ACL57" s="75" t="str">
        <f t="array" ref="ACL57">INDEX('Port Linkages'!$BA$18:$BA$157,MATCH(2,1/(('Port Linkages'!$C$18:$C$157=$AP57)*('Port Linkages'!$D$18:$D$157=IF($AO57="Yes",$AQ57,$KK57))*('Port Linkages'!$A$18:$A$157&lt;=$C57))))</f>
        <v>none</v>
      </c>
      <c r="ACN57" s="25" t="e">
        <f t="array" aca="1" ref="ACN57" ca="1">INDEX('Ship Fuel Prices'!$F$5:$F$1004,MATCH(2,1/(('Ship Fuel Prices'!$E$5:$E$1004=_xlfn.IFS(AAC57="Handysize",Main!ACI57,AAC57="Supramax",ACB57,AAC57="Panamax",ABU57,AAC57="NeoPanamax",ABN57,AAC57="Suezmax",ABG57,AAC57="Capesize",AAZ57,AAC57="VLOC",AAS57))*('Ship Fuel Prices'!$D$5:$D$1004&lt;=Main!$C57))))</f>
        <v>#N/A</v>
      </c>
      <c r="ACO57" s="25" t="e">
        <f t="array" aca="1" ref="ACO57" ca="1">INDEX('Ship Fuel Prices'!$G$5:$G$1004,MATCH(2,1/(('Ship Fuel Prices'!$E$5:$E$1004=_xlfn.IFS(AAC57="Handysize",Main!ACI57,AAC57="Supramax",ACB57,AAC57="Panamax",ABU57,AAC57="NeoPanamax",ABN57,AAC57="Suezmax",ABG57,AAC57="Capesize",AAZ57,AAC57="VLOC",AAS57))*('Ship Fuel Prices'!$D$5:$D$1004&lt;=Main!$C57))))</f>
        <v>#N/A</v>
      </c>
      <c r="ACP57" s="25" t="e">
        <f t="array" aca="1" ref="ACP57" ca="1">INDEX('Ship Fuel Prices'!$H$5:$H$1004,MATCH(2,1/(('Ship Fuel Prices'!$E$5:$E$1004=_xlfn.IFS(AAC57="Handysize",Main!ACI57,AAC57="Supramax",ACB57,AAC57="Panamax",ABU57,AAC57="NeoPanamax",ABN57,AAC57="Suezmax",ABG57,AAC57="Capesize",AAZ57,AAC57="VLOC",AAS57))*('Ship Fuel Prices'!$D$5:$D$1004&lt;=Main!$C57))))</f>
        <v>#N/A</v>
      </c>
      <c r="ACQ57" s="25" t="e">
        <f t="array" aca="1" ref="ACQ57" ca="1">INDEX('Ship Fuel Prices'!$I$5:$I$1004,MATCH(2,1/(('Ship Fuel Prices'!$E$5:$E$1004=_xlfn.IFS(AAC57="Handysize",Main!ACI57,AAC57="Supramax",ACB57,AAC57="Panamax",ABU57,AAC57="NeoPanamax",ABN57,AAC57="Suezmax",ABG57,AAC57="Capesize",AAZ57,AAC57="VLOC",AAS57))*('Ship Fuel Prices'!$D$5:$D$1004&lt;=Main!$C57))))</f>
        <v>#N/A</v>
      </c>
      <c r="ACR57" s="25" t="e">
        <f t="array" aca="1" ref="ACR57" ca="1">INDEX('Ship Fuel Prices'!$J$5:$J$1004,MATCH(2,1/(('Ship Fuel Prices'!$E$5:$E$1004=_xlfn.IFS(AAC57="Handysize",Main!ACI57,AAC57="Supramax",ACB57,AAC57="Panamax",ABU57,AAC57="NeoPanamax",ABN57,AAC57="Suezmax",ABG57,AAC57="Capesize",AAZ57,AAC57="VLOC",AAS57))*('Ship Fuel Prices'!$D$5:$D$1004&lt;=Main!$C57))))</f>
        <v>#N/A</v>
      </c>
      <c r="ACT57" s="75">
        <f t="array" ref="ACT57">INDEX('China n Importing Ports'!$E$20:$E$41,MATCH(2,1/(('China n Importing Ports'!$D$20:$D$41&lt;=$C57)*('China n Importing Ports'!$C$20:$C$41=IF($AO57="Yes",$AQ57,$KK57)))))</f>
        <v>42500</v>
      </c>
      <c r="ACU57" s="75">
        <f t="array" ref="ACU57">INDEX('China n Importing Ports'!$F$20:$F$41,MATCH(2,1/(('China n Importing Ports'!$D$20:$D$41&lt;=$C57)*('China n Importing Ports'!$C$20:$C$41=IF($AO57="Yes",$AQ57,$KK57)))))</f>
        <v>42500</v>
      </c>
      <c r="ACV57" s="75">
        <f t="array" ref="ACV57">INDEX('China n Importing Ports'!$G$20:$G$41,MATCH(2,1/(('China n Importing Ports'!$D$20:$D$41&lt;=$C57)*('China n Importing Ports'!$C$20:$C$41=IF($AO57="Yes",$AQ57,$KK57)))))</f>
        <v>42500</v>
      </c>
      <c r="ACW57" s="75">
        <f t="array" ref="ACW57">INDEX('China n Importing Ports'!$H$20:$H$41,MATCH(2,1/(('China n Importing Ports'!$D$20:$D$41&lt;=$C57)*('China n Importing Ports'!$C$20:$C$41=IF($AO57="Yes",$AQ57,$KK57)))))</f>
        <v>42500</v>
      </c>
      <c r="ACX57" s="75">
        <f t="array" ref="ACX57">INDEX('China n Importing Ports'!$I$20:$I$41,MATCH(2,1/(('China n Importing Ports'!$D$20:$D$41&lt;=$C57)*('China n Importing Ports'!$C$20:$C$41=IF($AO57="Yes",$AQ57,$KK57)))))</f>
        <v>42500</v>
      </c>
      <c r="ACY57" s="75">
        <f t="array" ref="ACY57">INDEX('China n Importing Ports'!$J$20:$J$41,MATCH(2,1/(('China n Importing Ports'!$D$20:$D$41&lt;=$C57)*('China n Importing Ports'!$C$20:$C$41=IF($AO57="Yes",$AQ57,$KK57)))))</f>
        <v>42500</v>
      </c>
      <c r="ACZ57" s="75">
        <f t="array" ref="ACZ57">INDEX('China n Importing Ports'!$K$20:$K$41,MATCH(2,1/(('China n Importing Ports'!$D$20:$D$41&lt;=$C57)*('China n Importing Ports'!$C$20:$C$41=IF($AO57="Yes",$AQ57,$KK57)))))</f>
        <v>42500</v>
      </c>
      <c r="ADA57" s="75" t="str">
        <f t="array" ref="ADA57">INDEX('China n Importing Ports'!$L$20:$L$41,MATCH(2,1/(('China n Importing Ports'!$D$20:$D$41&lt;=$C57)*('China n Importing Ports'!$C$20:$C$41=IF($AO57="Yes",$AQ57,$KK57)))))</f>
        <v>RMB</v>
      </c>
      <c r="ADB57" s="75">
        <f t="array" ref="ADB57">INDEX('China n Importing Ports'!$M$20:$M$41,MATCH(2,1/(('China n Importing Ports'!$D$20:$D$41&lt;=$C57)*('China n Importing Ports'!$C$20:$C$41=IF($AO57="Yes",$AQ57,$KK57)))))</f>
        <v>12342</v>
      </c>
      <c r="ADC57" s="75">
        <f t="array" ref="ADC57">INDEX('China n Importing Ports'!$N$20:$N$41,MATCH(2,1/(('China n Importing Ports'!$D$20:$D$41&lt;=$C57)*('China n Importing Ports'!$C$20:$C$41=IF($AO57="Yes",$AQ57,$KK57)))))</f>
        <v>0</v>
      </c>
      <c r="ADD57" s="75">
        <f t="array" ref="ADD57">INDEX('China n Importing Ports'!$O$20:$O$41,MATCH(2,1/(('China n Importing Ports'!$D$20:$D$41&lt;=$C57)*('China n Importing Ports'!$C$20:$C$41=IF($AO57="Yes",$AQ57,$KK57)))))</f>
        <v>0</v>
      </c>
      <c r="ADE57" s="136">
        <f t="array" ref="ADE57">INDEX('China n Importing Ports'!$P$20:$P$41,MATCH(2,1/(('China n Importing Ports'!$D$20:$D$41&lt;=$C57)*('China n Importing Ports'!$C$20:$C$41=IF($AO57="Yes",$AQ57,$KK57)))))</f>
        <v>2.64</v>
      </c>
      <c r="ADF57" s="136">
        <f t="array" ref="ADF57">INDEX('China n Importing Ports'!$Q$20:$Q$41,MATCH(2,1/(('China n Importing Ports'!$D$20:$D$41&lt;=$C57)*('China n Importing Ports'!$C$20:$C$41=IF($AO57="Yes",$AQ57,$KK57)))))</f>
        <v>0</v>
      </c>
      <c r="ADG57" s="136">
        <f t="array" ref="ADG57">INDEX('China n Importing Ports'!$R$20:$R$41,MATCH(2,1/(('China n Importing Ports'!$D$20:$D$41&lt;=$C57)*('China n Importing Ports'!$C$20:$C$41=IF($AO57="Yes",$AQ57,$KK57)))))</f>
        <v>0</v>
      </c>
      <c r="ADH57" s="136">
        <f t="array" ref="ADH57">INDEX('China n Importing Ports'!$S$20:$S$41,MATCH(2,1/(('China n Importing Ports'!$D$20:$D$41&lt;=$C57)*('China n Importing Ports'!$C$20:$C$41=IF($AO57="Yes",$AQ57,$KK57)))))</f>
        <v>4.53</v>
      </c>
      <c r="ADI57" s="136">
        <f t="array" ref="ADI57">INDEX('China n Importing Ports'!$T$20:$T$41,MATCH(2,1/(('China n Importing Ports'!$D$20:$D$41&lt;=$C57)*('China n Importing Ports'!$C$20:$C$41=IF($AO57="Yes",$AQ57,$KK57)))))</f>
        <v>0.36699999999999999</v>
      </c>
      <c r="ADJ57" s="136">
        <f t="array" ref="ADJ57">INDEX('China n Importing Ports'!$U$20:$U$41,MATCH(2,1/(('China n Importing Ports'!$D$20:$D$41&lt;=$C57)*('China n Importing Ports'!$C$20:$C$41=IF($AO57="Yes",$AQ57,$KK57)))))</f>
        <v>0.05</v>
      </c>
      <c r="ADK57" s="136">
        <f t="array" ref="ADK57">INDEX('China n Importing Ports'!$V$20:$V$41,MATCH(2,1/(('China n Importing Ports'!$D$20:$D$41&lt;=$C57)*('China n Importing Ports'!$C$20:$C$41=IF($AO57="Yes",$AQ57,$KK57)))))</f>
        <v>0</v>
      </c>
      <c r="ADL57" s="136">
        <f t="array" ref="ADL57">INDEX('China n Importing Ports'!$W$20:$W$41,MATCH(2,1/(('China n Importing Ports'!$D$20:$D$41&lt;=$C57)*('China n Importing Ports'!$C$20:$C$41=IF($AO57="Yes",$AQ57,$KK57)))))</f>
        <v>0</v>
      </c>
      <c r="ADM57" s="136">
        <f t="array" ref="ADM57">INDEX('China n Importing Ports'!$X$20:$X$41,MATCH(2,1/(('China n Importing Ports'!$D$20:$D$41&lt;=$C57)*('China n Importing Ports'!$C$20:$C$41=IF($AO57="Yes",$AQ57,$KK57)))))</f>
        <v>0</v>
      </c>
      <c r="ADN57" s="136">
        <f t="array" ref="ADN57">INDEX('China n Importing Ports'!$Y$20:$Y$41,MATCH(2,1/(('China n Importing Ports'!$D$20:$D$41&lt;=$C57)*('China n Importing Ports'!$C$20:$C$41=IF($AO57="Yes",$AQ57,$KK57)))))</f>
        <v>197</v>
      </c>
      <c r="ADO57" s="136">
        <f t="array" ref="ADO57">INDEX('China n Importing Ports'!$Z$20:$Z$41,MATCH(2,1/(('China n Importing Ports'!$D$20:$D$41&lt;=$C57)*('China n Importing Ports'!$C$20:$C$41=IF($AO57="Yes",$AQ57,$KK57)))))</f>
        <v>0</v>
      </c>
      <c r="ADP57" s="136">
        <f t="array" ref="ADP57">INDEX('China n Importing Ports'!$AA$20:$AA$41,MATCH(2,1/(('China n Importing Ports'!$D$20:$D$41&lt;=$C57)*('China n Importing Ports'!$C$20:$C$41=IF($AO57="Yes",$AQ57,$KK57)))))</f>
        <v>0</v>
      </c>
      <c r="ADR57" s="75" t="e">
        <f t="array" aca="1" ref="ADR57" ca="1">INDEX(Canals!$G$24:$G$29,MATCH(2,1/((Canals!$F$24:$F$29&lt;=$C57)*(Canals!$G$24:$G$29=_xlfn.IFS(AAC57="Handysize",Main!ACL57,AAC57="Supramax",ACE57,AAC57="Panamax",ABX57,AAC57="NeoPanamax",ABQ57,AAC57="Suezmax",ABJ57,AAC57="Capesize",ABC57,AAC57="VLOC",AAV57)))))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S57" s="75" t="e">
        <f t="array" aca="1" ref="ADS57" ca="1">INDEX(Canals!$H$24:$H$29,MATCH(2,1/((Canals!$F$24:$F$29&lt;=$C57)*(Canals!$G$24:$G$29=_xlfn.IFS(AAC57="Handysize",Main!ACL57,AAC57="Supramax",ACE57,AAC57="Panamax",ABX57,AAC57="NeoPanamax",ABQ57,AAC57="Suezmax",ABJ57,AAC57="Capesize",ABC57,AAC57="VLOC",AAV57)))))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T57" s="75" t="e">
        <f t="array" aca="1" ref="ADT57" ca="1">INDEX(Canals!$I$24:$I$29,MATCH(2,1/((Canals!$F$24:$F$29&lt;=$C57)*(Canals!$G$24:$G$29=_xlfn.IFS(AAC57="Handysize",Main!ACL57,AAC57="Supramax",ACE57,AAC57="Panamax",ABX57,AAC57="NeoPanamax",ABQ57,AAC57="Suezmax",ABJ57,AAC57="Capesize",ABC57,AAC57="VLOC",AAV57)))))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U57" s="75" t="e">
        <f t="array" aca="1" ref="ADU57" ca="1">INDEX(Canals!$J$24:$J$29,MATCH(2,1/((Canals!$F$24:$F$29&lt;=$C57)*(Canals!$G$24:$G$29=_xlfn.IFS(AAC57="Handysize",Main!ACL57,AAC57="Supramax",ACE57,AAC57="Panamax",ABX57,AAC57="NeoPanamax",ABQ57,AAC57="Suezmax",ABJ57,AAC57="Capesize",ABC57,AAC57="VLOC",AAV57)))))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V57" s="75" t="e">
        <f t="array" aca="1" ref="ADV57" ca="1">INDEX(Canals!$K$24:$K$29,MATCH(2,1/((Canals!$F$24:$F$29&lt;=$C57)*(Canals!$G$24:$G$29=_xlfn.IFS(AAC57="Handysize",Main!ACL57,AAC57="Supramax",ACE57,AAC57="Panamax",ABX57,AAC57="NeoPanamax",ABQ57,AAC57="Suezmax",ABJ57,AAC57="Capesize",ABC57,AAC57="VLOC",AAV57)))))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W57" s="75" t="e">
        <f t="array" aca="1" ref="ADW57" ca="1">INDEX(Canals!$L$24:$L$29,MATCH(2,1/((Canals!$F$24:$F$29&lt;=$C57)*(Canals!$G$24:$G$29=_xlfn.IFS(AAC57="Handysize",Main!ACL57,AAC57="Supramax",ACE57,AAC57="Panamax",ABX57,AAC57="NeoPanamax",ABQ57,AAC57="Suezmax",ABJ57,AAC57="Capesize",ABC57,AAC57="VLOC",AAV57)))))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X57" s="75" t="e">
        <f t="array" aca="1" ref="ADX57" ca="1">INDEX(Canals!$M$24:$M$29,MATCH(2,1/((Canals!$F$24:$F$29&lt;=$C57)*(Canals!$G$24:$G$29=_xlfn.IFS(AAC57="Handysize",Main!ACL57,AAC57="Supramax",ACE57,AAC57="Panamax",ABX57,AAC57="NeoPanamax",ABQ57,AAC57="Suezmax",ABJ57,AAC57="Capesize",ABC57,AAC57="VLOC",AAV57)))))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Y57" s="75" t="e">
        <f t="array" aca="1" ref="ADY57" ca="1">INDEX(Canals!$N$24:$N$29,MATCH(2,1/((Canals!$F$24:$F$29&lt;=$C57)*(Canals!$G$24:$G$29=_xlfn.IFS(AAC57="Handysize",Main!ACL57,AAC57="Supramax",ACE57,AAC57="Panamax",ABX57,AAC57="NeoPanamax",ABQ57,AAC57="Suezmax",ABJ57,AAC57="Capesize",ABC57,AAC57="VLOC",AAV57)))))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DZ57" s="75" t="e">
        <f t="array" aca="1" ref="ADZ57" ca="1">INDEX(Canals!$O$24:$O$29,MATCH(2,1/((Canals!$F$24:$F$29&lt;=$C57)*(Canals!$G$24:$G$29=_xlfn.IFS(AAC57="Handysize",Main!ACL57,AAC57="Supramax",ACE57,AAC57="Panamax",ABX57,AAC57="NeoPanamax",ABQ57,AAC57="Suezmax",ABJ57,AAC57="Capesize",ABC57,AAC57="VLOC",AAV57)))))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A57" s="75" t="e">
        <f t="array" aca="1" ref="AEA57" ca="1">INDEX(Canals!$P$24:$P$29,MATCH(2,1/((Canals!$F$24:$F$29&lt;=$C57)*(Canals!$G$24:$G$29=_xlfn.IFS(AAC57="Handysize",Main!ACL57,AAC57="Supramax",ACE57,AAC57="Panamax",ABX57,AAC57="NeoPanamax",ABQ57,AAC57="Suezmax",ABJ57,AAC57="Capesize",ABC57,AAC57="VLOC",AAV57)))))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B57" s="75" t="e">
        <f t="array" aca="1" ref="AEB57" ca="1">INDEX(Canals!$Q$24:$Q$29,MATCH(2,1/((Canals!$F$24:$F$29&lt;=$C57)*(Canals!$G$24:$G$29=_xlfn.IFS(AAC57="Handysize",Main!ACL57,AAC57="Supramax",ACE57,AAC57="Panamax",ABX57,AAC57="NeoPanamax",ABQ57,AAC57="Suezmax",ABJ57,AAC57="Capesize",ABC57,AAC57="VLOC",AAV57)))))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C57" s="75" t="e">
        <f t="array" aca="1" ref="AEC57" ca="1">INDEX(Canals!$R$24:$R$29,MATCH(2,1/((Canals!$F$24:$F$29&lt;=$C57)*(Canals!$G$24:$G$29=_xlfn.IFS(AAC57="Handysize",Main!ACL57,AAC57="Supramax",ACE57,AAC57="Panamax",ABX57,AAC57="NeoPanamax",ABQ57,AAC57="Suezmax",ABJ57,AAC57="Capesize",ABC57,AAC57="VLOC",AAV57)))))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D57" s="136" t="e">
        <f t="array" aca="1" ref="AED57" ca="1">INDEX(Canals!$S$24:$S$29,MATCH(2,1/((Canals!$F$24:$F$29&lt;=$C57)*(Canals!$G$24:$G$29=_xlfn.IFS(AAC57="Handysize",Main!ACL57,AAC57="Supramax",ACE57,AAC57="Panamax",ABX57,AAC57="NeoPanamax",ABQ57,AAC57="Suezmax",ABJ57,AAC57="Capesize",ABC57,AAC57="VLOC",AAV57)))))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E57" s="136" t="e">
        <f t="array" aca="1" ref="AEE57" ca="1">INDEX(Canals!$T$24:$T$29,MATCH(2,1/((Canals!$F$24:$F$29&lt;=$C57)*(Canals!$G$24:$G$29=_xlfn.IFS(AAC57="Handysize",Main!ACL57,AAC57="Supramax",ACE57,AAC57="Panamax",ABX57,AAC57="NeoPanamax",ABQ57,AAC57="Suezmax",ABJ57,AAC57="Capesize",ABC57,AAC57="VLOC",AAV57)))))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F57" s="136" t="e">
        <f t="array" aca="1" ref="AEF57" ca="1">INDEX(Canals!$U$24:$U$29,MATCH(2,1/((Canals!$F$24:$F$29&lt;=$C57)*(Canals!$G$24:$G$29=_xlfn.IFS(AAC57="Handysize",Main!ACL57,AAC57="Supramax",ACE57,AAC57="Panamax",ABX57,AAC57="NeoPanamax",ABQ57,AAC57="Suezmax",ABJ57,AAC57="Capesize",ABC57,AAC57="VLOC",AAV57)))))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G57" s="136" t="e">
        <f t="array" aca="1" ref="AEG57" ca="1">INDEX(Canals!$V$24:$V$29,MATCH(2,1/((Canals!$F$24:$F$29&lt;=$C57)*(Canals!$G$24:$G$29=_xlfn.IFS(AAC57="Handysize",Main!ACL57,AAC57="Supramax",ACE57,AAC57="Panamax",ABX57,AAC57="NeoPanamax",ABQ57,AAC57="Suezmax",ABJ57,AAC57="Capesize",ABC57,AAC57="VLOC",AAV57)))))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H57" s="136" t="e">
        <f t="array" aca="1" ref="AEH57" ca="1">INDEX(Canals!$W$24:$W$29,MATCH(2,1/((Canals!$F$24:$F$29&lt;=$C57)*(Canals!$G$24:$G$29=_xlfn.IFS(AAC57="Handysize",Main!ACL57,AAC57="Supramax",ACE57,AAC57="Panamax",ABX57,AAC57="NeoPanamax",ABQ57,AAC57="Suezmax",ABJ57,AAC57="Capesize",ABC57,AAC57="VLOC",AAV57)))))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I57" s="136" t="e">
        <f t="array" aca="1" ref="AEI57" ca="1">INDEX(Canals!$X$24:$X$29,MATCH(2,1/((Canals!$F$24:$F$29&lt;=$C57)*(Canals!$G$24:$G$29=_xlfn.IFS(AAC57="Handysize",Main!ACL57,AAC57="Supramax",ACE57,AAC57="Panamax",ABX57,AAC57="NeoPanamax",ABQ57,AAC57="Suezmax",ABJ57,AAC57="Capesize",ABC57,AAC57="VLOC",AAV57)))))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J57" s="136" t="e">
        <f t="array" aca="1" ref="AEJ57" ca="1">INDEX(Canals!$Y$24:$Y$29,MATCH(2,1/((Canals!$F$24:$F$29&lt;=$C57)*(Canals!$G$24:$G$29=_xlfn.IFS(AAC57="Handysize",Main!ACL57,AAC57="Supramax",ACE57,AAC57="Panamax",ABX57,AAC57="NeoPanamax",ABQ57,AAC57="Suezmax",ABJ57,AAC57="Capesize",ABC57,AAC57="VLOC",AAV57)))))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K57" s="136" t="e">
        <f t="array" aca="1" ref="AEK57" ca="1">INDEX(Canals!$Z$24:$Z$29,MATCH(2,1/((Canals!$F$24:$F$29&lt;=$C57)*(Canals!$G$24:$G$29=_xlfn.IFS(AAC57="Handysize",Main!ACL57,AAC57="Supramax",ACE57,AAC57="Panamax",ABX57,AAC57="NeoPanamax",ABQ57,AAC57="Suezmax",ABJ57,AAC57="Capesize",ABC57,AAC57="VLOC",AAV57)))))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L57" s="136" t="e">
        <f t="array" aca="1" ref="AEL57" ca="1">INDEX(Canals!$AA$24:$AA$29,MATCH(2,1/((Canals!$F$24:$F$29&lt;=$C57)*(Canals!$G$24:$G$29=_xlfn.IFS(AAC57="Handysize",Main!ACL57,AAC57="Supramax",ACE57,AAC57="Panamax",ABX57,AAC57="NeoPanamax",ABQ57,AAC57="Suezmax",ABJ57,AAC57="Capesize",ABC57,AAC57="VLOC",AAV57)))))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M57" s="136" t="e">
        <f t="array" aca="1" ref="AEM57" ca="1">INDEX(Canals!$AB$24:$AB$29,MATCH(2,1/((Canals!$F$24:$F$29&lt;=$C57)*(Canals!$G$24:$G$29=_xlfn.IFS(AAC57="Handysize",Main!ACL57,AAC57="Supramax",ACE57,AAC57="Panamax",ABX57,AAC57="NeoPanamax",ABQ57,AAC57="Suezmax",ABJ57,AAC57="Capesize",ABC57,AAC57="VLOC",AAV57)))))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N57" s="75" t="e">
        <f t="array" aca="1" ref="AEN57" ca="1">INDEX(Canals!$AC$24:$AC$29,MATCH(2,1/((Canals!$F$24:$F$29&lt;=$C57)*(Canals!$G$24:$G$29=_xlfn.IFS(AAC57="Handysize",Main!ACL57,AAC57="Supramax",ACE57,AAC57="Panamax",ABX57,AAC57="NeoPanamax",ABQ57,AAC57="Suezmax",ABJ57,AAC57="Capesize",ABC57,AAC57="VLOC",AAV57)))))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O57" s="75" t="e">
        <f t="array" aca="1" ref="AEO57" ca="1">INDEX(Canals!$AD$24:$AD$29,MATCH(2,1/((Canals!$F$24:$F$29&lt;=$C57)*(Canals!$G$24:$G$29=_xlfn.IFS(AAC57="Handysize",Main!ACL57,AAC57="Supramax",ACE57,AAC57="Panamax",ABX57,AAC57="NeoPanamax",ABQ57,AAC57="Suezmax",ABJ57,AAC57="Capesize",ABC57,AAC57="VLOC",AAV57)))))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P57" s="75" t="e">
        <f t="array" aca="1" ref="AEP57" ca="1">INDEX(Canals!$AE$24:$AE$29,MATCH(2,1/((Canals!$F$24:$F$29&lt;=$C57)*(Canals!$G$24:$G$29=_xlfn.IFS(AAC57="Handysize",Main!ACL57,AAC57="Supramax",ACE57,AAC57="Panamax",ABX57,AAC57="NeoPanamax",ABQ57,AAC57="Suezmax",ABJ57,AAC57="Capesize",ABC57,AAC57="VLOC",AAV57)))))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Q57" s="75" t="e">
        <f t="array" aca="1" ref="AEQ57" ca="1">INDEX(Canals!$AF$24:$AF$29,MATCH(2,1/((Canals!$F$24:$F$29&lt;=$C57)*(Canals!$G$24:$G$29=_xlfn.IFS(AAC57="Handysize",Main!ACL57,AAC57="Supramax",ACE57,AAC57="Panamax",ABX57,AAC57="NeoPanamax",ABQ57,AAC57="Suezmax",ABJ57,AAC57="Capesize",ABC57,AAC57="VLOC",AAV57)))))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R57" s="75" t="e">
        <f t="array" aca="1" ref="AER57" ca="1">INDEX(Canals!$AG$24:$AG$29,MATCH(2,1/((Canals!$F$24:$F$29&lt;=$C57)*(Canals!$G$24:$G$29=_xlfn.IFS(AAC57="Handysize",Main!ACL57,AAC57="Supramax",ACE57,AAC57="Panamax",ABX57,AAC57="NeoPanamax",ABQ57,AAC57="Suezmax",ABJ57,AAC57="Capesize",ABC57,AAC57="VLOC",AAV57)))))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S57" s="75" t="e">
        <f t="array" aca="1" ref="AES57" ca="1">INDEX(Canals!$AH$24:$AH$29,MATCH(2,1/((Canals!$F$24:$F$29&lt;=$C57)*(Canals!$G$24:$G$29=_xlfn.IFS(AAC57="Handysize",Main!ACL57,AAC57="Supramax",ACE57,AAC57="Panamax",ABX57,AAC57="NeoPanamax",ABQ57,AAC57="Suezmax",ABJ57,AAC57="Capesize",ABC57,AAC57="VLOC",AAV57)))))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T57" s="75" t="e">
        <f t="array" aca="1" ref="AET57" ca="1">INDEX(Canals!$AI$24:$AI$29,MATCH(2,1/((Canals!$F$24:$F$29&lt;=$C57)*(Canals!$G$24:$G$29=_xlfn.IFS(AAC57="Handysize",Main!ACL57,AAC57="Supramax",ACE57,AAC57="Panamax",ABX57,AAC57="NeoPanamax",ABQ57,AAC57="Suezmax",ABJ57,AAC57="Capesize",ABC57,AAC57="VLOC",AAV57)))))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U57" s="75" t="e">
        <f t="array" aca="1" ref="AEU57" ca="1">INDEX(Canals!$AJ$24:$AJ$29,MATCH(2,1/((Canals!$F$24:$F$29&lt;=$C57)*(Canals!$G$24:$G$29=_xlfn.IFS(AAC57="Handysize",Main!ACL57,AAC57="Supramax",ACE57,AAC57="Panamax",ABX57,AAC57="NeoPanamax",ABQ57,AAC57="Suezmax",ABJ57,AAC57="Capesize",ABC57,AAC57="VLOC",AAV57)))))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V57" s="75" t="e">
        <f t="array" aca="1" ref="AEV57" ca="1">INDEX(Canals!$AK$24:$AK$29,MATCH(2,1/((Canals!$F$24:$F$29&lt;=$C57)*(Canals!$G$24:$G$29=_xlfn.IFS(AAC57="Handysize",Main!ACL57,AAC57="Supramax",ACE57,AAC57="Panamax",ABX57,AAC57="NeoPanamax",ABQ57,AAC57="Suezmax",ABJ57,AAC57="Capesize",ABC57,AAC57="VLOC",AAV57)))))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W57" s="136" t="e">
        <f t="array" aca="1" ref="AEW57" ca="1">INDEX(Canals!$AL$24:$AL$29,MATCH(2,1/((Canals!$F$24:$F$29&lt;=$C57)*(Canals!$G$24:$G$29=_xlfn.IFS(AAC57="Handysize",Main!ACL57,AAC57="Supramax",ACE57,AAC57="Panamax",ABX57,AAC57="NeoPanamax",ABQ57,AAC57="Suezmax",ABJ57,AAC57="Capesize",ABC57,AAC57="VLOC",AAV57)))))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X57" s="136" t="e">
        <f t="array" aca="1" ref="AEX57" ca="1">INDEX(Canals!$AM$24:$AM$29,MATCH(2,1/((Canals!$F$24:$F$29&lt;=$C57)*(Canals!$G$24:$G$29=_xlfn.IFS(AAC57="Handysize",Main!ACL57,AAC57="Supramax",ACE57,AAC57="Panamax",ABX57,AAC57="NeoPanamax",ABQ57,AAC57="Suezmax",ABJ57,AAC57="Capesize",ABC57,AAC57="VLOC",AAV57)))))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Y57" s="136" t="e">
        <f t="array" aca="1" ref="AEY57" ca="1">INDEX(Canals!$AN$24:$AN$29,MATCH(2,1/((Canals!$F$24:$F$29&lt;=$C57)*(Canals!$G$24:$G$29=_xlfn.IFS(AAC57="Handysize",Main!ACL57,AAC57="Supramax",ACE57,AAC57="Panamax",ABX57,AAC57="NeoPanamax",ABQ57,AAC57="Suezmax",ABJ57,AAC57="Capesize",ABC57,AAC57="VLOC",AAV57)))))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EZ57" s="136" t="e">
        <f t="array" aca="1" ref="AEZ57" ca="1">INDEX(Canals!$AO$24:$AO$29,MATCH(2,1/((Canals!$F$24:$F$29&lt;=$C57)*(Canals!$G$24:$G$29=_xlfn.IFS(AAC57="Handysize",Main!ACL57,AAC57="Supramax",ACE57,AAC57="Panamax",ABX57,AAC57="NeoPanamax",ABQ57,AAC57="Suezmax",ABJ57,AAC57="Capesize",ABC57,AAC57="VLOC",AAV57)))))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A57" s="136" t="e">
        <f t="array" aca="1" ref="AFA57" ca="1">INDEX(Canals!$AP$24:$AP$29,MATCH(2,1/((Canals!$F$24:$F$29&lt;=$C57)*(Canals!$G$24:$G$29=_xlfn.IFS(AAC57="Handysize",Main!ACL57,AAC57="Supramax",ACE57,AAC57="Panamax",ABX57,AAC57="NeoPanamax",ABQ57,AAC57="Suezmax",ABJ57,AAC57="Capesize",ABC57,AAC57="VLOC",AAV57)))))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B57" s="136" t="e">
        <f t="array" aca="1" ref="AFB57" ca="1">INDEX(Canals!$AQ$24:$AQ$29,MATCH(2,1/((Canals!$F$24:$F$29&lt;=$C57)*(Canals!$G$24:$G$29=_xlfn.IFS(AAC57="Handysize",Main!ACL57,AAC57="Supramax",ACE57,AAC57="Panamax",ABX57,AAC57="NeoPanamax",ABQ57,AAC57="Suezmax",ABJ57,AAC57="Capesize",ABC57,AAC57="VLOC",AAV57)))))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C57" s="136" t="e">
        <f t="array" aca="1" ref="AFC57" ca="1">INDEX(Canals!$AR$24:$AR$29,MATCH(2,1/((Canals!$F$24:$F$29&lt;=$C57)*(Canals!$G$24:$G$29=_xlfn.IFS(AAC57="Handysize",Main!ACL57,AAC57="Supramax",ACE57,AAC57="Panamax",ABX57,AAC57="NeoPanamax",ABQ57,AAC57="Suezmax",ABJ57,AAC57="Capesize",ABC57,AAC57="VLOC",AAV57)))))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D57" s="136" t="e">
        <f t="array" aca="1" ref="AFD57" ca="1">INDEX(Canals!$AS$24:$AS$29,MATCH(2,1/((Canals!$F$24:$F$29&lt;=$C57)*(Canals!$G$24:$G$29=_xlfn.IFS(AAC57="Handysize",Main!ACL57,AAC57="Supramax",ACE57,AAC57="Panamax",ABX57,AAC57="NeoPanamax",ABQ57,AAC57="Suezmax",ABJ57,AAC57="Capesize",ABC57,AAC57="VLOC",AAV57)))))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E57" s="136" t="e">
        <f t="array" aca="1" ref="AFE57" ca="1">INDEX(Canals!$AT$24:$AT$29,MATCH(2,1/((Canals!$F$24:$F$29&lt;=$C57)*(Canals!$G$24:$G$29=_xlfn.IFS(AAC57="Handysize",Main!ACL57,AAC57="Supramax",ACE57,AAC57="Panamax",ABX57,AAC57="NeoPanamax",ABQ57,AAC57="Suezmax",ABJ57,AAC57="Capesize",ABC57,AAC57="VLOC",AAV57)))))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F57" s="136" t="e">
        <f t="array" aca="1" ref="AFF57" ca="1">INDEX(Canals!$AU$24:$AU$29,MATCH(2,1/((Canals!$F$24:$F$29&lt;=$C57)*(Canals!$G$24:$G$29=_xlfn.IFS(AAC57="Handysize",Main!ACL57,AAC57="Supramax",ACE57,AAC57="Panamax",ABX57,AAC57="NeoPanamax",ABQ57,AAC57="Suezmax",ABJ57,AAC57="Capesize",ABC57,AAC57="VLOC",AAV57)))))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G57" s="136" t="e">
        <f t="array" aca="1" ref="AFG57" ca="1">INDEX(Canals!$AV$24:$AV$29,MATCH(2,1/((Canals!$F$24:$F$29&lt;=$C57)*(Canals!$G$24:$G$29=_xlfn.IFS(AAC57="Handysize",Main!ACL57,AAC57="Supramax",ACE57,AAC57="Panamax",ABX57,AAC57="NeoPanamax",ABQ57,AAC57="Suezmax",ABJ57,AAC57="Capesize",ABC57,AAC57="VLOC",AAV57)))))</f>
        <v>#N/A</v>
      </c>
      <c r="AFI57" s="75" t="e">
        <f t="array" aca="1" ref="AFI57" ca="1">_xlfn.IFS(ADT57="DWT",AAA57,ADT57="NRT",AAE57,ADT57="GRT",AAF57)</f>
        <v>#NAME?</v>
      </c>
      <c r="AFJ57" s="279" t="e">
        <f t="shared" ca="1" si="508"/>
        <v>#NAME?</v>
      </c>
      <c r="AFK57" s="280" t="e">
        <f t="shared" ca="1" si="509"/>
        <v>#NAME?</v>
      </c>
      <c r="AFL57" s="280" t="e">
        <f t="shared" ca="1" si="510"/>
        <v>#NAME?</v>
      </c>
      <c r="AFM57" s="280" t="e">
        <f t="shared" ca="1" si="511"/>
        <v>#NAME?</v>
      </c>
      <c r="AFN57" s="280" t="e">
        <f t="shared" ca="1" si="512"/>
        <v>#NAME?</v>
      </c>
      <c r="AFO57" s="280" t="e">
        <f t="shared" ca="1" si="513"/>
        <v>#NAME?</v>
      </c>
      <c r="AFP57" s="280" t="e">
        <f t="shared" ca="1" si="514"/>
        <v>#NAME?</v>
      </c>
      <c r="AFQ57" s="280" t="e">
        <f t="shared" ca="1" si="515"/>
        <v>#NAME?</v>
      </c>
      <c r="AFR57" s="280" t="e">
        <f t="shared" ca="1" si="516"/>
        <v>#NAME?</v>
      </c>
      <c r="AFS57" s="75">
        <f t="shared" si="517"/>
        <v>89655.172413793116</v>
      </c>
      <c r="AFT57" s="279" t="e">
        <f t="shared" ca="1" si="518"/>
        <v>#N/A</v>
      </c>
      <c r="AFU57" s="280" t="e">
        <f t="shared" ca="1" si="519"/>
        <v>#N/A</v>
      </c>
      <c r="AFV57" s="280" t="e">
        <f t="shared" ca="1" si="520"/>
        <v>#N/A</v>
      </c>
      <c r="AFW57" s="280" t="e">
        <f t="shared" ca="1" si="521"/>
        <v>#N/A</v>
      </c>
      <c r="AFX57" s="280" t="e">
        <f t="shared" ca="1" si="522"/>
        <v>#N/A</v>
      </c>
      <c r="AFY57" s="280" t="e">
        <f t="shared" ca="1" si="523"/>
        <v>#N/A</v>
      </c>
      <c r="AFZ57" s="280" t="e">
        <f t="shared" ca="1" si="524"/>
        <v>#N/A</v>
      </c>
      <c r="AGA57" s="280" t="e">
        <f t="shared" ca="1" si="525"/>
        <v>#N/A</v>
      </c>
      <c r="AGB57" s="280" t="e">
        <f t="shared" ca="1" si="526"/>
        <v>#N/A</v>
      </c>
      <c r="AGD57" s="75" t="e">
        <f t="array" aca="1" ref="AGD57" ca="1">_xlfn.IFS(AAC57="Handysize",Main!ACF57,AAC57="Supramax",ABY57,AAC57="Panamax",ABR57,AAC57="NeoPanamax",ABK57,AAC57="Suezmax",ABD57,AAC57="Capesize",AAW57,AAC57="VLOC",AAP57)*$JI57</f>
        <v>#NAME?</v>
      </c>
      <c r="AGE57" s="274" t="e">
        <f t="array" aca="1" ref="AGE57" ca="1">_xlfn.IFS(AAC57="Handysize",Main!ACG57,AAC57="Supramax",ABZ57,AAC57="Panamax",ABS57,AAC57="NeoPanamax",ABL57,AAC57="Suezmax",ABE57,AAC57="Capesize",AAX57,AAC57="VLOC",AAQ57)*$JI57</f>
        <v>#NAME?</v>
      </c>
      <c r="AGF57" s="71" t="e">
        <f t="array" aca="1" ref="AGF57" ca="1">_xlfn.IFS(AAC57="Handysize",Main!AAH57,AAC57="Supramax",AAI57,AAC57="Panamax",AAJ57,AAC57="NeoPanamax",AAK57,AAC57="Suezmax",AAL57,AAC57="Capesize",AAM57,AAC57="VLOC",AAN57)</f>
        <v>#NAME?</v>
      </c>
      <c r="AGG57" s="71" t="e">
        <f t="array" aca="1" ref="AGG57" ca="1">_xlfn.IFS(AAC57="Handysize",Main!ACT57,AAC57="Supramax",ACU57,AAC57="Panamax",ACV57,AAC57="NeoPanamax",ACW57,AAC57="Suezmax",ACX57,AAC57="Capesize",ACY57,AAC57="VLOC",ACZ57)</f>
        <v>#NAME?</v>
      </c>
      <c r="AGH57" s="70">
        <f t="array" ref="AGH57">INDEX('Ship Speeds'!$G$11:$G$1011,MATCH(2,1/(('Ship Speeds'!$E$11:$E$1011&lt;=Main!$C57)*('Ship Speeds'!$F$11:$F$1011=Main!AAB57))))</f>
        <v>11</v>
      </c>
      <c r="AGI57" s="403">
        <f t="shared" si="527"/>
        <v>23.54898909629194</v>
      </c>
      <c r="AGJ57" s="401">
        <f t="shared" si="528"/>
        <v>2.1820689655172414</v>
      </c>
      <c r="AGK57" s="70" t="e">
        <f t="shared" ca="1" si="529"/>
        <v>#NAME?</v>
      </c>
      <c r="AGL57" s="70" t="e">
        <f t="shared" ca="1" si="530"/>
        <v>#NAME?</v>
      </c>
      <c r="AGM57" s="70" t="e">
        <f t="shared" ca="1" si="531"/>
        <v>#NAME?</v>
      </c>
      <c r="AGN57" s="70" t="e">
        <f t="shared" ca="1" si="532"/>
        <v>#NAME?</v>
      </c>
      <c r="AGO57" s="72" t="e">
        <f t="shared" ca="1" si="533"/>
        <v>#N/A</v>
      </c>
      <c r="AGP57" s="70" t="e">
        <f t="shared" ca="1" si="534"/>
        <v>#NAME?</v>
      </c>
      <c r="AGQ57" s="70" t="e">
        <f t="array" aca="1" ref="AGQ57" ca="1">INDEX(ACN57:ACR57,MATCH(_xlfn.IFS(AAC57="Handysize",Main!ACJ57,AAC57="Supramax",ACC57,AAC57="Panamax",ABV57,AAC57="NeoPanamax",ABO57,AAC57="Suezmax",ABH57,AAC57="Capesize",ABA57,AAC57="VLOC",AAT57),$ACN$7:$ACR$7,0))</f>
        <v>#NAME?</v>
      </c>
      <c r="AGR57" s="70" t="e">
        <f t="array" aca="1" ref="AGR57" ca="1">INDEX(ACN57:ACR57,MATCH(_xlfn.IFS(AAC57="Handysize",Main!ACK57,AAC57="Supramax",ACD57,AAC57="Panamax",ABW57,AAC57="NeoPanamax",ABP57,AAC57="Suezmax",ABI57,AAC57="Capesize",ABB57,AAC57="VLOC",AAU57),$ACN$7:$ACR$7,0))</f>
        <v>#NAME?</v>
      </c>
      <c r="AGS57" s="71" t="e">
        <f t="shared" ca="1" si="535"/>
        <v>#NAME?</v>
      </c>
      <c r="AGT57" s="71" t="e">
        <f t="shared" ca="1" si="536"/>
        <v>#NAME?</v>
      </c>
      <c r="AGU57" s="281">
        <f t="shared" si="537"/>
        <v>7.0834199999999994</v>
      </c>
      <c r="AGV57" s="71">
        <f t="shared" si="538"/>
        <v>1742.3786814843679</v>
      </c>
      <c r="AGW57" s="71" t="e">
        <f t="shared" ca="1" si="539"/>
        <v>#NAME?</v>
      </c>
      <c r="AGX57" s="71" t="e">
        <f t="shared" ca="1" si="540"/>
        <v>#NAME?</v>
      </c>
      <c r="AGY57" s="71">
        <f t="shared" si="541"/>
        <v>33414.601304513053</v>
      </c>
      <c r="AGZ57" s="71" t="e">
        <f t="shared" ca="1" si="542"/>
        <v>#NAME?</v>
      </c>
      <c r="AHA57" s="71" t="e">
        <f t="shared" ca="1" si="543"/>
        <v>#NAME?</v>
      </c>
      <c r="AHB57" s="71">
        <f t="shared" si="544"/>
        <v>23722.575467393071</v>
      </c>
      <c r="AHC57" s="71" t="e">
        <f t="shared" ca="1" si="545"/>
        <v>#NAME?</v>
      </c>
      <c r="AHD57" s="71" t="e">
        <f t="shared" ca="1" si="546"/>
        <v>#NAME?</v>
      </c>
      <c r="AHE57" s="71">
        <f t="shared" si="547"/>
        <v>0</v>
      </c>
      <c r="AHF57" s="71" t="e">
        <f t="shared" ca="1" si="548"/>
        <v>#NAME?</v>
      </c>
      <c r="AHG57" s="71" t="e">
        <f t="shared" ca="1" si="549"/>
        <v>#NAME?</v>
      </c>
      <c r="AHH57" s="72">
        <f t="shared" si="550"/>
        <v>6289.994780428975</v>
      </c>
      <c r="AHI57" s="72" t="e">
        <f t="shared" ca="1" si="551"/>
        <v>#NAME?</v>
      </c>
      <c r="AHJ57" s="71" t="e">
        <f t="shared" ca="1" si="552"/>
        <v>#NAME?</v>
      </c>
      <c r="AHK57" s="71" t="e">
        <f t="array" aca="1" ref="AHK57" ca="1">INDEX('Ship Time Charter Rates'!$H$22:$H$1021,MATCH(2,1/(('Ship Time Charter Rates'!$G$22:$G$1021=_xlfn.IFS(AAC57="Handysize",Main!ACH57,AAC57="Supramax",ACA57,AAC57="Panamax",ABT57,AAC57="NeoPanamax",ABM57,AAC57="Suezmax",ABF57,AAC57="Capesize",AAY57,AAC57="VLOC",AAR57))*('Ship Time Charter Rates'!$E$22:$E$1021&lt;=Main!$C57)*(NOT(ISBLANK('Ship Time Charter Rates'!$H$22:$H$1021))))))</f>
        <v>#N/A</v>
      </c>
      <c r="AHL57" s="71" t="e">
        <f t="shared" ca="1" si="553"/>
        <v>#NAME?</v>
      </c>
      <c r="AHM57" s="70" t="e">
        <f t="shared" ca="1" si="554"/>
        <v>#N/A</v>
      </c>
      <c r="AHN57" s="71" t="e">
        <f t="shared" ca="1" si="555"/>
        <v>#NAME?</v>
      </c>
      <c r="AHO57" s="71" t="e">
        <f t="shared" ca="1" si="556"/>
        <v>#NAME?</v>
      </c>
      <c r="AHP57" s="72" t="e">
        <f t="shared" ca="1" si="557"/>
        <v>#NAME?</v>
      </c>
      <c r="AHR57" s="25">
        <f>IF($AO57="yes",$AN57,$AR57)/(1-$AL57)/$JN57</f>
        <v>0</v>
      </c>
      <c r="AHS57" s="4" t="str">
        <f>VLOOKUP(AHR57,'Ship Time Charter Rates'!$F$10:$G$17,2,TRUE)</f>
        <v>Handysize</v>
      </c>
      <c r="AHT57" s="4" t="str">
        <f>VLOOKUP(AHR57,Canals!$E$5:$F$12,2,TRUE)</f>
        <v>Handysize</v>
      </c>
      <c r="AHU57" s="25">
        <f t="shared" si="558"/>
        <v>145.88999999999999</v>
      </c>
      <c r="AHV57" s="25">
        <f t="shared" si="559"/>
        <v>0</v>
      </c>
      <c r="AHW57" s="25">
        <f t="shared" si="560"/>
        <v>4797</v>
      </c>
      <c r="AHY57" s="75">
        <f t="array" ref="AHY57">INDEX('Indices Mines Exporting Ports'!$R$20:$R$51,MATCH(2,1/(('Indices Mines Exporting Ports'!$D$20:$D$51&lt;=Main!$C57)*('Indices Mines Exporting Ports'!$Q$20:$Q$51=$AQ57))))</f>
        <v>0</v>
      </c>
      <c r="AHZ57" s="75">
        <f t="array" ref="AHZ57">INDEX('Indices Mines Exporting Ports'!$S$20:$S$51,MATCH(2,1/(('Indices Mines Exporting Ports'!$D$20:$D$51&lt;=Main!$C57)*('Indices Mines Exporting Ports'!$Q$20:$Q$51=$AQ57))))</f>
        <v>0</v>
      </c>
      <c r="AIA57" s="75">
        <f t="array" ref="AIA57">INDEX('Indices Mines Exporting Ports'!$T$20:$T$51,MATCH(2,1/(('Indices Mines Exporting Ports'!$D$20:$D$51&lt;=Main!$C57)*('Indices Mines Exporting Ports'!$Q$20:$Q$51=$AQ57))))</f>
        <v>0</v>
      </c>
      <c r="AIB57" s="75">
        <f t="array" ref="AIB57">INDEX('Indices Mines Exporting Ports'!$U$20:$U$51,MATCH(2,1/(('Indices Mines Exporting Ports'!$D$20:$D$51&lt;=Main!$C57)*('Indices Mines Exporting Ports'!$Q$20:$Q$51=$AQ57))))</f>
        <v>0</v>
      </c>
      <c r="AIC57" s="75">
        <f t="array" ref="AIC57">INDEX('Indices Mines Exporting Ports'!$V$20:$V$51,MATCH(2,1/(('Indices Mines Exporting Ports'!$D$20:$D$51&lt;=Main!$C57)*('Indices Mines Exporting Ports'!$Q$20:$Q$51=$AQ57))))</f>
        <v>0</v>
      </c>
      <c r="AID57" s="75">
        <f t="array" ref="AID57">INDEX('Indices Mines Exporting Ports'!$W$20:$W$51,MATCH(2,1/(('Indices Mines Exporting Ports'!$D$20:$D$51&lt;=Main!$C57)*('Indices Mines Exporting Ports'!$Q$20:$Q$51=$AQ57))))</f>
        <v>0</v>
      </c>
      <c r="AIE57" s="75">
        <f t="array" ref="AIE57">INDEX('Indices Mines Exporting Ports'!$X$20:$X$51,MATCH(2,1/(('Indices Mines Exporting Ports'!$D$20:$D$51&lt;=Main!$C57)*('Indices Mines Exporting Ports'!$Q$20:$Q$51=$AQ57))))</f>
        <v>0</v>
      </c>
      <c r="AIG57" s="75">
        <f t="array" ref="AIG57">INDEX('Port Linkages'!$E$18:$E$157,MATCH(2,1/(('Port Linkages'!$C$18:$C$157=$AQ57)*('Port Linkages'!$D$18:$D$157=IF($AO57="no",$AQ57,$KK57))*('Port Linkages'!$A$18:$A$157&lt;=$C57))))</f>
        <v>0</v>
      </c>
      <c r="AIH57" s="75">
        <f t="array" ref="AIH57">INDEX('Port Linkages'!$F$18:$F$157,MATCH(2,1/(('Port Linkages'!$C$18:$C$157=$AQ57)*('Port Linkages'!$D$18:$D$157=IF($AO57="no",$AQ57,$KK57))*('Port Linkages'!$A$18:$A$157&lt;=$C57))))</f>
        <v>0</v>
      </c>
      <c r="AII57" s="75">
        <f t="array" ref="AII57">INDEX('Port Linkages'!$G$18:$G$157,MATCH(2,1/(('Port Linkages'!$C$18:$C$157=$AQ57)*('Port Linkages'!$D$18:$D$157=IF($AO57="no",$AQ57,$KK57))*('Port Linkages'!$A$18:$A$157&lt;=$C57))))</f>
        <v>0</v>
      </c>
      <c r="AIJ57" s="75">
        <f t="array" ref="AIJ57">INDEX('Port Linkages'!$H$18:$H$157,MATCH(2,1/(('Port Linkages'!$C$18:$C$157=$AQ57)*('Port Linkages'!$D$18:$D$157=IF($AO57="no",$AQ57,$KK57))*('Port Linkages'!$A$18:$A$157&lt;=$C57))))</f>
        <v>0</v>
      </c>
      <c r="AIK57" s="75">
        <f t="array" ref="AIK57">INDEX('Port Linkages'!$I$18:$I$157,MATCH(2,1/(('Port Linkages'!$C$18:$C$157=$AQ57)*('Port Linkages'!$D$18:$D$157=IF($AO57="no",$AQ57,$KK57))*('Port Linkages'!$A$18:$A$157&lt;=$C57))))</f>
        <v>0</v>
      </c>
      <c r="AIL57" s="75">
        <f t="array" ref="AIL57">INDEX('Port Linkages'!$J$18:$J$157,MATCH(2,1/(('Port Linkages'!$C$18:$C$157=$AQ57)*('Port Linkages'!$D$18:$D$157=IF($AO57="no",$AQ57,$KK57))*('Port Linkages'!$A$18:$A$157&lt;=$C57))))</f>
        <v>0</v>
      </c>
      <c r="AIM57" s="75">
        <f t="array" ref="AIM57">INDEX('Port Linkages'!$K$18:$K$157,MATCH(2,1/(('Port Linkages'!$C$18:$C$157=$AQ57)*('Port Linkages'!$D$18:$D$157=IF($AO57="no",$AQ57,$KK57))*('Port Linkages'!$A$18:$A$157&lt;=$C57))))</f>
        <v>0</v>
      </c>
      <c r="AIN57" s="75">
        <f t="array" ref="AIN57">INDEX('Port Linkages'!$L$18:$L$157,MATCH(2,1/(('Port Linkages'!$C$18:$C$157=$AQ57)*('Port Linkages'!$D$18:$D$157=IF($AO57="no",$AQ57,$KK57))*('Port Linkages'!$A$18:$A$157&lt;=$C57))))</f>
        <v>0</v>
      </c>
      <c r="AIO57" s="75">
        <f t="array" ref="AIO57">INDEX('Port Linkages'!$M$18:$M$157,MATCH(2,1/(('Port Linkages'!$C$18:$C$157=$AQ57)*('Port Linkages'!$D$18:$D$157=IF($AO57="no",$AQ57,$KK57))*('Port Linkages'!$A$18:$A$157&lt;=$C57))))</f>
        <v>0</v>
      </c>
      <c r="AIP57" s="75">
        <f t="array" ref="AIP57">INDEX('Port Linkages'!$N$18:$N$157,MATCH(2,1/(('Port Linkages'!$C$18:$C$157=$AQ57)*('Port Linkages'!$D$18:$D$157=IF($AO57="no",$AQ57,$KK57))*('Port Linkages'!$A$18:$A$157&lt;=$C57))))</f>
        <v>0</v>
      </c>
      <c r="AIQ57" s="75">
        <f t="array" ref="AIQ57">INDEX('Port Linkages'!$O$18:$O$157,MATCH(2,1/(('Port Linkages'!$C$18:$C$157=$AQ57)*('Port Linkages'!$D$18:$D$157=IF($AO57="no",$AQ57,$KK57))*('Port Linkages'!$A$18:$A$157&lt;=$C57))))</f>
        <v>0</v>
      </c>
      <c r="AIR57" s="75">
        <f t="array" ref="AIR57">INDEX('Port Linkages'!$P$18:$P$157,MATCH(2,1/(('Port Linkages'!$C$18:$C$157=$AQ57)*('Port Linkages'!$D$18:$D$157=IF($AO57="no",$AQ57,$KK57))*('Port Linkages'!$A$18:$A$157&lt;=$C57))))</f>
        <v>0</v>
      </c>
      <c r="AIS57" s="75">
        <f t="array" ref="AIS57">INDEX('Port Linkages'!$Q$18:$Q$157,MATCH(2,1/(('Port Linkages'!$C$18:$C$157=$AQ57)*('Port Linkages'!$D$18:$D$157=IF($AO57="no",$AQ57,$KK57))*('Port Linkages'!$A$18:$A$157&lt;=$C57))))</f>
        <v>0</v>
      </c>
      <c r="AIT57" s="75">
        <f t="array" ref="AIT57">INDEX('Port Linkages'!$R$18:$R$157,MATCH(2,1/(('Port Linkages'!$C$18:$C$157=$AQ57)*('Port Linkages'!$D$18:$D$157=IF($AO57="no",$AQ57,$KK57))*('Port Linkages'!$A$18:$A$157&lt;=$C57))))</f>
        <v>0</v>
      </c>
      <c r="AIU57" s="75">
        <f t="array" ref="AIU57">INDEX('Port Linkages'!$S$18:$S$157,MATCH(2,1/(('Port Linkages'!$C$18:$C$157=$AQ57)*('Port Linkages'!$D$18:$D$157=IF($AO57="no",$AQ57,$KK57))*('Port Linkages'!$A$18:$A$157&lt;=$C57))))</f>
        <v>0</v>
      </c>
      <c r="AIV57" s="75">
        <f t="array" ref="AIV57">INDEX('Port Linkages'!$T$18:$T$157,MATCH(2,1/(('Port Linkages'!$C$18:$C$157=$AQ57)*('Port Linkages'!$D$18:$D$157=IF($AO57="no",$AQ57,$KK57))*('Port Linkages'!$A$18:$A$157&lt;=$C57))))</f>
        <v>0</v>
      </c>
      <c r="AIW57" s="75">
        <f t="array" ref="AIW57">INDEX('Port Linkages'!$U$18:$U$157,MATCH(2,1/(('Port Linkages'!$C$18:$C$157=$AQ57)*('Port Linkages'!$D$18:$D$157=IF($AO57="no",$AQ57,$KK57))*('Port Linkages'!$A$18:$A$157&lt;=$C57))))</f>
        <v>0</v>
      </c>
      <c r="AIX57" s="75">
        <f t="array" ref="AIX57">INDEX('Port Linkages'!$V$18:$V$157,MATCH(2,1/(('Port Linkages'!$C$18:$C$157=$AQ57)*('Port Linkages'!$D$18:$D$157=IF($AO57="no",$AQ57,$KK57))*('Port Linkages'!$A$18:$A$157&lt;=$C57))))</f>
        <v>0</v>
      </c>
      <c r="AIY57" s="75">
        <f t="array" ref="AIY57">INDEX('Port Linkages'!$W$18:$W$157,MATCH(2,1/(('Port Linkages'!$C$18:$C$157=$AQ57)*('Port Linkages'!$D$18:$D$157=IF($AO57="no",$AQ57,$KK57))*('Port Linkages'!$A$18:$A$157&lt;=$C57))))</f>
        <v>0</v>
      </c>
      <c r="AIZ57" s="75">
        <f t="array" ref="AIZ57">INDEX('Port Linkages'!$X$18:$X$157,MATCH(2,1/(('Port Linkages'!$C$18:$C$157=$AQ57)*('Port Linkages'!$D$18:$D$157=IF($AO57="no",$AQ57,$KK57))*('Port Linkages'!$A$18:$A$157&lt;=$C57))))</f>
        <v>0</v>
      </c>
      <c r="AJA57" s="75">
        <f t="array" ref="AJA57">INDEX('Port Linkages'!$Y$18:$Y$157,MATCH(2,1/(('Port Linkages'!$C$18:$C$157=$AQ57)*('Port Linkages'!$D$18:$D$157=IF($AO57="no",$AQ57,$KK57))*('Port Linkages'!$A$18:$A$157&lt;=$C57))))</f>
        <v>0</v>
      </c>
      <c r="AJB57" s="75">
        <f t="array" ref="AJB57">INDEX('Port Linkages'!$Z$18:$Z$157,MATCH(2,1/(('Port Linkages'!$C$18:$C$157=$AQ57)*('Port Linkages'!$D$18:$D$157=IF($AO57="no",$AQ57,$KK57))*('Port Linkages'!$A$18:$A$157&lt;=$C57))))</f>
        <v>0</v>
      </c>
      <c r="AJC57" s="75">
        <f t="array" ref="AJC57">INDEX('Port Linkages'!$AA$18:$AA$157,MATCH(2,1/(('Port Linkages'!$C$18:$C$157=$AQ57)*('Port Linkages'!$D$18:$D$157=IF($AO57="no",$AQ57,$KK57))*('Port Linkages'!$A$18:$A$157&lt;=$C57))))</f>
        <v>0</v>
      </c>
      <c r="AJD57" s="75">
        <f t="array" ref="AJD57">INDEX('Port Linkages'!$AB$18:$AB$157,MATCH(2,1/(('Port Linkages'!$C$18:$C$157=$AQ57)*('Port Linkages'!$D$18:$D$157=IF($AO57="no",$AQ57,$KK57))*('Port Linkages'!$A$18:$A$157&lt;=$C57))))</f>
        <v>0</v>
      </c>
      <c r="AJE57" s="75">
        <f t="array" ref="AJE57">INDEX('Port Linkages'!$AC$18:$AC$157,MATCH(2,1/(('Port Linkages'!$C$18:$C$157=$AQ57)*('Port Linkages'!$D$18:$D$157=IF($AO57="no",$AQ57,$KK57))*('Port Linkages'!$A$18:$A$157&lt;=$C57))))</f>
        <v>0</v>
      </c>
      <c r="AJF57" s="75">
        <f t="array" ref="AJF57">INDEX('Port Linkages'!$AD$18:$AD$157,MATCH(2,1/(('Port Linkages'!$C$18:$C$157=$AQ57)*('Port Linkages'!$D$18:$D$157=IF($AO57="no",$AQ57,$KK57))*('Port Linkages'!$A$18:$A$157&lt;=$C57))))</f>
        <v>0</v>
      </c>
      <c r="AJG57" s="75">
        <f t="array" ref="AJG57">INDEX('Port Linkages'!$AE$18:$AE$157,MATCH(2,1/(('Port Linkages'!$C$18:$C$157=$AQ57)*('Port Linkages'!$D$18:$D$157=IF($AO57="no",$AQ57,$KK57))*('Port Linkages'!$A$18:$A$157&lt;=$C57))))</f>
        <v>0</v>
      </c>
      <c r="AJH57" s="75">
        <f t="array" ref="AJH57">INDEX('Port Linkages'!$AF$18:$AF$157,MATCH(2,1/(('Port Linkages'!$C$18:$C$157=$AQ57)*('Port Linkages'!$D$18:$D$157=IF($AO57="no",$AQ57,$KK57))*('Port Linkages'!$A$18:$A$157&lt;=$C57))))</f>
        <v>0</v>
      </c>
      <c r="AJI57" s="75">
        <f t="array" ref="AJI57">INDEX('Port Linkages'!$AG$18:$AG$157,MATCH(2,1/(('Port Linkages'!$C$18:$C$157=$AQ57)*('Port Linkages'!$D$18:$D$157=IF($AO57="no",$AQ57,$KK57))*('Port Linkages'!$A$18:$A$157&lt;=$C57))))</f>
        <v>0</v>
      </c>
      <c r="AJJ57" s="75">
        <f t="array" ref="AJJ57">INDEX('Port Linkages'!$AH$18:$AH$157,MATCH(2,1/(('Port Linkages'!$C$18:$C$157=$AQ57)*('Port Linkages'!$D$18:$D$157=IF($AO57="no",$AQ57,$KK57))*('Port Linkages'!$A$18:$A$157&lt;=$C57))))</f>
        <v>0</v>
      </c>
      <c r="AJK57" s="75">
        <f t="array" ref="AJK57">INDEX('Port Linkages'!$AI$18:$AI$157,MATCH(2,1/(('Port Linkages'!$C$18:$C$157=$AQ57)*('Port Linkages'!$D$18:$D$157=IF($AO57="no",$AQ57,$KK57))*('Port Linkages'!$A$18:$A$157&lt;=$C57))))</f>
        <v>0</v>
      </c>
      <c r="AJL57" s="75">
        <f t="array" ref="AJL57">INDEX('Port Linkages'!$AJ$18:$AJ$157,MATCH(2,1/(('Port Linkages'!$C$18:$C$157=$AQ57)*('Port Linkages'!$D$18:$D$157=IF($AO57="no",$AQ57,$KK57))*('Port Linkages'!$A$18:$A$157&lt;=$C57))))</f>
        <v>0</v>
      </c>
      <c r="AJM57" s="75">
        <f t="array" ref="AJM57">INDEX('Port Linkages'!$AK$18:$AK$157,MATCH(2,1/(('Port Linkages'!$C$18:$C$157=$AQ57)*('Port Linkages'!$D$18:$D$157=IF($AO57="no",$AQ57,$KK57))*('Port Linkages'!$A$18:$A$157&lt;=$C57))))</f>
        <v>0</v>
      </c>
      <c r="AJN57" s="75">
        <f t="array" ref="AJN57">INDEX('Port Linkages'!$AL$18:$AL$157,MATCH(2,1/(('Port Linkages'!$C$18:$C$157=$AQ57)*('Port Linkages'!$D$18:$D$157=IF($AO57="no",$AQ57,$KK57))*('Port Linkages'!$A$18:$A$157&lt;=$C57))))</f>
        <v>0</v>
      </c>
      <c r="AJO57" s="75">
        <f t="array" ref="AJO57">INDEX('Port Linkages'!$AM$18:$AM$157,MATCH(2,1/(('Port Linkages'!$C$18:$C$157=$AQ57)*('Port Linkages'!$D$18:$D$157=IF($AO57="no",$AQ57,$KK57))*('Port Linkages'!$A$18:$A$157&lt;=$C57))))</f>
        <v>0</v>
      </c>
      <c r="AJP57" s="75">
        <f t="array" ref="AJP57">INDEX('Port Linkages'!$AN$18:$AN$157,MATCH(2,1/(('Port Linkages'!$C$18:$C$157=$AQ57)*('Port Linkages'!$D$18:$D$157=IF($AO57="no",$AQ57,$KK57))*('Port Linkages'!$A$18:$A$157&lt;=$C57))))</f>
        <v>0</v>
      </c>
      <c r="AJQ57" s="75">
        <f t="array" ref="AJQ57">INDEX('Port Linkages'!$AO$18:$AO$157,MATCH(2,1/(('Port Linkages'!$C$18:$C$157=$AQ57)*('Port Linkages'!$D$18:$D$157=IF($AO57="no",$AQ57,$KK57))*('Port Linkages'!$A$18:$A$157&lt;=$C57))))</f>
        <v>0</v>
      </c>
      <c r="AJR57" s="75">
        <f t="array" ref="AJR57">INDEX('Port Linkages'!$AP$18:$AP$157,MATCH(2,1/(('Port Linkages'!$C$18:$C$157=$AQ57)*('Port Linkages'!$D$18:$D$157=IF($AO57="no",$AQ57,$KK57))*('Port Linkages'!$A$18:$A$157&lt;=$C57))))</f>
        <v>0</v>
      </c>
      <c r="AJS57" s="75">
        <f t="array" ref="AJS57">INDEX('Port Linkages'!$AQ$18:$AQ$157,MATCH(2,1/(('Port Linkages'!$C$18:$C$157=$AQ57)*('Port Linkages'!$D$18:$D$157=IF($AO57="no",$AQ57,$KK57))*('Port Linkages'!$A$18:$A$157&lt;=$C57))))</f>
        <v>0</v>
      </c>
      <c r="AJT57" s="75">
        <f t="array" ref="AJT57">INDEX('Port Linkages'!$AR$18:$AR$157,MATCH(2,1/(('Port Linkages'!$C$18:$C$157=$AQ57)*('Port Linkages'!$D$18:$D$157=IF($AO57="no",$AQ57,$KK57))*('Port Linkages'!$A$18:$A$157&lt;=$C57))))</f>
        <v>0</v>
      </c>
      <c r="AJU57" s="75">
        <f t="array" ref="AJU57">INDEX('Port Linkages'!$AS$18:$AS$157,MATCH(2,1/(('Port Linkages'!$C$18:$C$157=$AQ57)*('Port Linkages'!$D$18:$D$157=IF($AO57="no",$AQ57,$KK57))*('Port Linkages'!$A$18:$A$157&lt;=$C57))))</f>
        <v>0</v>
      </c>
      <c r="AJV57" s="75">
        <f t="array" ref="AJV57">INDEX('Port Linkages'!$AT$18:$AT$157,MATCH(2,1/(('Port Linkages'!$C$18:$C$157=$AQ57)*('Port Linkages'!$D$18:$D$157=IF($AO57="no",$AQ57,$KK57))*('Port Linkages'!$A$18:$A$157&lt;=$C57))))</f>
        <v>0</v>
      </c>
      <c r="AJW57" s="75">
        <f t="array" ref="AJW57">INDEX('Port Linkages'!$AU$18:$AU$157,MATCH(2,1/(('Port Linkages'!$C$18:$C$157=$AQ57)*('Port Linkages'!$D$18:$D$157=IF($AO57="no",$AQ57,$KK57))*('Port Linkages'!$A$18:$A$157&lt;=$C57))))</f>
        <v>0</v>
      </c>
      <c r="AJX57" s="75">
        <f t="array" ref="AJX57">INDEX('Port Linkages'!$AV$18:$AV$157,MATCH(2,1/(('Port Linkages'!$C$18:$C$157=$AQ57)*('Port Linkages'!$D$18:$D$157=IF($AO57="no",$AQ57,$KK57))*('Port Linkages'!$A$18:$A$157&lt;=$C57))))</f>
        <v>0</v>
      </c>
      <c r="AJY57" s="75">
        <f t="array" ref="AJY57">INDEX('Port Linkages'!$AW$18:$AW$157,MATCH(2,1/(('Port Linkages'!$C$18:$C$157=$AQ57)*('Port Linkages'!$D$18:$D$157=IF($AO57="no",$AQ57,$KK57))*('Port Linkages'!$A$18:$A$157&lt;=$C57))))</f>
        <v>0</v>
      </c>
      <c r="AJZ57" s="75">
        <f t="array" ref="AJZ57">INDEX('Port Linkages'!$AX$18:$AX$157,MATCH(2,1/(('Port Linkages'!$C$18:$C$157=$AQ57)*('Port Linkages'!$D$18:$D$157=IF($AO57="no",$AQ57,$KK57))*('Port Linkages'!$A$18:$A$157&lt;=$C57))))</f>
        <v>0</v>
      </c>
      <c r="AKA57" s="75">
        <f t="array" ref="AKA57">INDEX('Port Linkages'!$AY$18:$AY$157,MATCH(2,1/(('Port Linkages'!$C$18:$C$157=$AQ57)*('Port Linkages'!$D$18:$D$157=IF($AO57="no",$AQ57,$KK57))*('Port Linkages'!$A$18:$A$157&lt;=$C57))))</f>
        <v>0</v>
      </c>
      <c r="AKB57" s="75">
        <f t="array" ref="AKB57">INDEX('Port Linkages'!$AZ$18:$AZ$157,MATCH(2,1/(('Port Linkages'!$C$18:$C$157=$AQ57)*('Port Linkages'!$D$18:$D$157=IF($AO57="no",$AQ57,$KK57))*('Port Linkages'!$A$18:$A$157&lt;=$C57))))</f>
        <v>0</v>
      </c>
      <c r="AKC57" s="75">
        <f t="array" ref="AKC57">INDEX('Port Linkages'!$BA$18:$BA$157,MATCH(2,1/(('Port Linkages'!$C$18:$C$157=$AQ57)*('Port Linkages'!$D$18:$D$157=IF($AO57="no",$AQ57,$KK57))*('Port Linkages'!$A$18:$A$157&lt;=$C57))))</f>
        <v>0</v>
      </c>
      <c r="AKE57" s="25" t="e">
        <f t="array" aca="1" ref="AKE57" ca="1">INDEX('Ship Fuel Prices'!$F$5:$F$1004,MATCH(2,1/(('Ship Fuel Prices'!$E$5:$E$1004=_xlfn.IFS(AHT57="Handysize",Main!AJZ57,AHT57="Supramax",AJS57,AHT57="Panamax",AJL57,AHT57="NeoPanamax",AJE57,AHT57="Suezmax",AIX57,AHT57="Capesize",AIQ57,AHT57="VLOC",AIJ57))*('Ship Fuel Prices'!$D$5:$D$1004&lt;=Main!$C57))))</f>
        <v>#N/A</v>
      </c>
      <c r="AKF57" s="25" t="e">
        <f t="array" aca="1" ref="AKF57" ca="1">INDEX('Ship Fuel Prices'!$G$5:$G$1004,MATCH(2,1/(('Ship Fuel Prices'!$E$5:$E$1004=_xlfn.IFS(AHT57="Handysize",Main!AJZ57,AHT57="Supramax",AJS57,AHT57="Panamax",AJL57,AHT57="NeoPanamax",AJE57,AHT57="Suezmax",AIX57,AHT57="Capesize",AIQ57,AHT57="VLOC",AIJ57))*('Ship Fuel Prices'!$D$5:$D$1004&lt;=Main!$C57))))</f>
        <v>#N/A</v>
      </c>
      <c r="AKG57" s="25" t="e">
        <f t="array" aca="1" ref="AKG57" ca="1">INDEX('Ship Fuel Prices'!$H$5:$H$1004,MATCH(2,1/(('Ship Fuel Prices'!$E$5:$E$1004=_xlfn.IFS(AHT57="Handysize",Main!AJZ57,AHT57="Supramax",AJS57,AHT57="Panamax",AJL57,AHT57="NeoPanamax",AJE57,AHT57="Suezmax",AIX57,AHT57="Capesize",AIQ57,AHT57="VLOC",AIJ57))*('Ship Fuel Prices'!$D$5:$D$1004&lt;=Main!$C57))))</f>
        <v>#N/A</v>
      </c>
      <c r="AKH57" s="25" t="e">
        <f t="array" aca="1" ref="AKH57" ca="1">INDEX('Ship Fuel Prices'!$I$5:$I$1004,MATCH(2,1/(('Ship Fuel Prices'!$E$5:$E$1004=_xlfn.IFS(AHT57="Handysize",Main!AJZ57,AHT57="Supramax",AJS57,AHT57="Panamax",AJL57,AHT57="NeoPanamax",AJE57,AHT57="Suezmax",AIX57,AHT57="Capesize",AIQ57,AHT57="VLOC",AIJ57))*('Ship Fuel Prices'!$D$5:$D$1004&lt;=Main!$C57))))</f>
        <v>#N/A</v>
      </c>
      <c r="AKI57" s="25" t="e">
        <f t="array" aca="1" ref="AKI57" ca="1">INDEX('Ship Fuel Prices'!$J$5:$J$1004,MATCH(2,1/(('Ship Fuel Prices'!$E$5:$E$1004=_xlfn.IFS(AHT57="Handysize",Main!AJZ57,AHT57="Supramax",AJS57,AHT57="Panamax",AJL57,AHT57="NeoPanamax",AJE57,AHT57="Suezmax",AIX57,AHT57="Capesize",AIQ57,AHT57="VLOC",AIJ57))*('Ship Fuel Prices'!$D$5:$D$1004&lt;=Main!$C57))))</f>
        <v>#N/A</v>
      </c>
      <c r="AKK57" s="75">
        <f t="array" ref="AKK57">INDEX('China n Importing Ports'!$E$20:$E$41,MATCH(2,1/(('China n Importing Ports'!$D$20:$D$41&lt;=$C57)*('China n Importing Ports'!$C$20:$C$41=IF($AO57="No",$AQ57,$KK57)))))</f>
        <v>0</v>
      </c>
      <c r="AKL57" s="75">
        <f t="array" ref="AKL57">INDEX('China n Importing Ports'!$F$20:$F$41,MATCH(2,1/(('China n Importing Ports'!$D$20:$D$41&lt;=$C57)*('China n Importing Ports'!$C$20:$C$41=IF($AO57="No",$AQ57,$KK57)))))</f>
        <v>0</v>
      </c>
      <c r="AKM57" s="75">
        <f t="array" ref="AKM57">INDEX('China n Importing Ports'!$G$20:$G$41,MATCH(2,1/(('China n Importing Ports'!$D$20:$D$41&lt;=$C57)*('China n Importing Ports'!$C$20:$C$41=IF($AO57="No",$AQ57,$KK57)))))</f>
        <v>0</v>
      </c>
      <c r="AKN57" s="75">
        <f t="array" ref="AKN57">INDEX('China n Importing Ports'!$H$20:$H$41,MATCH(2,1/(('China n Importing Ports'!$D$20:$D$41&lt;=$C57)*('China n Importing Ports'!$C$20:$C$41=IF($AO57="No",$AQ57,$KK57)))))</f>
        <v>0</v>
      </c>
      <c r="AKO57" s="75">
        <f t="array" ref="AKO57">INDEX('China n Importing Ports'!$I$20:$I$41,MATCH(2,1/(('China n Importing Ports'!$D$20:$D$41&lt;=$C57)*('China n Importing Ports'!$C$20:$C$41=IF($AO57="No",$AQ57,$KK57)))))</f>
        <v>0</v>
      </c>
      <c r="AKP57" s="75">
        <f t="array" ref="AKP57">INDEX('China n Importing Ports'!$J$20:$J$41,MATCH(2,1/(('China n Importing Ports'!$D$20:$D$41&lt;=$C57)*('China n Importing Ports'!$C$20:$C$41=IF($AO57="No",$AQ57,$KK57)))))</f>
        <v>0</v>
      </c>
      <c r="AKQ57" s="75">
        <f t="array" ref="AKQ57">INDEX('China n Importing Ports'!$K$20:$K$41,MATCH(2,1/(('China n Importing Ports'!$D$20:$D$41&lt;=$C57)*('China n Importing Ports'!$C$20:$C$41=IF($AO57="No",$AQ57,$KK57)))))</f>
        <v>0</v>
      </c>
      <c r="AKR57" s="75">
        <f t="array" ref="AKR57">INDEX('China n Importing Ports'!$L$20:$L$41,MATCH(2,1/(('China n Importing Ports'!$D$20:$D$41&lt;=$C57)*('China n Importing Ports'!$C$20:$C$41=IF($AO57="No",$AQ57,$KK57)))))</f>
        <v>0</v>
      </c>
      <c r="AKS57" s="75">
        <f t="array" ref="AKS57">INDEX('China n Importing Ports'!$M$20:$M$41,MATCH(2,1/(('China n Importing Ports'!$D$20:$D$41&lt;=$C57)*('China n Importing Ports'!$C$20:$C$41=IF($AO57="No",$AQ57,$KK57)))))</f>
        <v>0</v>
      </c>
      <c r="AKT57" s="75">
        <f t="array" ref="AKT57">INDEX('China n Importing Ports'!$N$20:$N$41,MATCH(2,1/(('China n Importing Ports'!$D$20:$D$41&lt;=$C57)*('China n Importing Ports'!$C$20:$C$41=IF($AO57="No",$AQ57,$KK57)))))</f>
        <v>0</v>
      </c>
      <c r="AKU57" s="75">
        <f t="array" ref="AKU57">INDEX('China n Importing Ports'!$O$20:$O$41,MATCH(2,1/(('China n Importing Ports'!$D$20:$D$41&lt;=$C57)*('China n Importing Ports'!$C$20:$C$41=IF($AO57="No",$AQ57,$KK57)))))</f>
        <v>0</v>
      </c>
      <c r="AKV57" s="136">
        <f t="array" ref="AKV57">INDEX('China n Importing Ports'!$P$20:$P$41,MATCH(2,1/(('China n Importing Ports'!$D$20:$D$41&lt;=$C57)*('China n Importing Ports'!$C$20:$C$41=IF($AO57="No",$AQ57,$KK57)))))</f>
        <v>0</v>
      </c>
      <c r="AKW57" s="136">
        <f t="array" ref="AKW57">INDEX('China n Importing Ports'!$Q$20:$Q$41,MATCH(2,1/(('China n Importing Ports'!$D$20:$D$41&lt;=$C57)*('China n Importing Ports'!$C$20:$C$41=IF($AO57="No",$AQ57,$KK57)))))</f>
        <v>0</v>
      </c>
      <c r="AKX57" s="136">
        <f t="array" ref="AKX57">INDEX('China n Importing Ports'!$R$20:$R$41,MATCH(2,1/(('China n Importing Ports'!$D$20:$D$41&lt;=$C57)*('China n Importing Ports'!$C$20:$C$41=IF($AO57="No",$AQ57,$KK57)))))</f>
        <v>0</v>
      </c>
      <c r="AKY57" s="136">
        <f t="array" ref="AKY57">INDEX('China n Importing Ports'!$S$20:$S$41,MATCH(2,1/(('China n Importing Ports'!$D$20:$D$41&lt;=$C57)*('China n Importing Ports'!$C$20:$C$41=IF($AO57="No",$AQ57,$KK57)))))</f>
        <v>0</v>
      </c>
      <c r="AKZ57" s="136">
        <f t="array" ref="AKZ57">INDEX('China n Importing Ports'!$T$20:$T$41,MATCH(2,1/(('China n Importing Ports'!$D$20:$D$41&lt;=$C57)*('China n Importing Ports'!$C$20:$C$41=IF($AO57="No",$AQ57,$KK57)))))</f>
        <v>0</v>
      </c>
      <c r="ALA57" s="136">
        <f t="array" ref="ALA57">INDEX('China n Importing Ports'!$U$20:$U$41,MATCH(2,1/(('China n Importing Ports'!$D$20:$D$41&lt;=$C57)*('China n Importing Ports'!$C$20:$C$41=IF($AO57="No",$AQ57,$KK57)))))</f>
        <v>0</v>
      </c>
      <c r="ALB57" s="136">
        <f t="array" ref="ALB57">INDEX('China n Importing Ports'!$V$20:$V$41,MATCH(2,1/(('China n Importing Ports'!$D$20:$D$41&lt;=$C57)*('China n Importing Ports'!$C$20:$C$41=IF($AO57="No",$AQ57,$KK57)))))</f>
        <v>0</v>
      </c>
      <c r="ALC57" s="136">
        <f t="array" ref="ALC57">INDEX('China n Importing Ports'!$W$20:$W$41,MATCH(2,1/(('China n Importing Ports'!$D$20:$D$41&lt;=$C57)*('China n Importing Ports'!$C$20:$C$41=IF($AO57="No",$AQ57,$KK57)))))</f>
        <v>0</v>
      </c>
      <c r="ALD57" s="136">
        <f t="array" ref="ALD57">INDEX('China n Importing Ports'!$X$20:$X$41,MATCH(2,1/(('China n Importing Ports'!$D$20:$D$41&lt;=$C57)*('China n Importing Ports'!$C$20:$C$41=IF($AO57="No",$AQ57,$KK57)))))</f>
        <v>0</v>
      </c>
      <c r="ALE57" s="136">
        <f t="array" ref="ALE57">INDEX('China n Importing Ports'!$Y$20:$Y$41,MATCH(2,1/(('China n Importing Ports'!$D$20:$D$41&lt;=$C57)*('China n Importing Ports'!$C$20:$C$41=IF($AO57="No",$AQ57,$KK57)))))</f>
        <v>0</v>
      </c>
      <c r="ALF57" s="136">
        <f t="array" ref="ALF57">INDEX('China n Importing Ports'!$Z$20:$Z$41,MATCH(2,1/(('China n Importing Ports'!$D$20:$D$41&lt;=$C57)*('China n Importing Ports'!$C$20:$C$41=IF($AO57="No",$AQ57,$KK57)))))</f>
        <v>0</v>
      </c>
      <c r="ALG57" s="136">
        <f t="array" ref="ALG57">INDEX('China n Importing Ports'!$AA$20:$AA$41,MATCH(2,1/(('China n Importing Ports'!$D$20:$D$41&lt;=$C57)*('China n Importing Ports'!$C$20:$C$41=IF($AO57="No",$AQ57,$KK57)))))</f>
        <v>0</v>
      </c>
      <c r="ALI57" s="75" t="e">
        <f t="array" aca="1" ref="ALI57" ca="1">INDEX(Canals!$G$24:$G$29,MATCH(2,1/((Canals!$F$24:$F$29&lt;=$C57)*(Canals!$G$24:$G$29=_xlfn.IFS(AHT57="Handysize",AKC57,AHT57="Supramax",AJV57,AHT57="Panamax",AJO57,AHT57="NeoPanamax",AJH57,AHT57="Suezmax",AJA57,AHT57="Capesize",AIT57,AHT57="VLOC",AIM57)))))</f>
        <v>#N/A</v>
      </c>
      <c r="ALJ57" s="75" t="e">
        <f t="array" aca="1" ref="ALJ57" ca="1">INDEX(Canals!$H$24:$H$29,MATCH(2,1/((Canals!$F$24:$F$29&lt;=$C57)*(Canals!$G$24:$G$29=_xlfn.IFS(AHT57="Handysize",AKC57,AHT57="Supramax",AJV57,AHT57="Panamax",AJO57,AHT57="NeoPanamax",AJH57,AHT57="Suezmax",AJA57,AHT57="Capesize",AIT57,AHT57="VLOC",AIM57)))))</f>
        <v>#N/A</v>
      </c>
      <c r="ALK57" s="75" t="e">
        <f t="array" aca="1" ref="ALK57" ca="1">INDEX(Canals!$I$24:$I$29,MATCH(2,1/((Canals!$F$24:$F$29&lt;=$C57)*(Canals!$G$24:$G$29=_xlfn.IFS(AHT57="Handysize",AKC57,AHT57="Supramax",AJV57,AHT57="Panamax",AJO57,AHT57="NeoPanamax",AJH57,AHT57="Suezmax",AJA57,AHT57="Capesize",AIT57,AHT57="VLOC",AIM57)))))</f>
        <v>#N/A</v>
      </c>
      <c r="ALL57" s="75" t="e">
        <f t="array" aca="1" ref="ALL57" ca="1">INDEX(Canals!$J$24:$J$29,MATCH(2,1/((Canals!$F$24:$F$29&lt;=$C57)*(Canals!$G$24:$G$29=_xlfn.IFS(AHT57="Handysize",Main!AKC57,AHT57="Supramax",AJV57,AHT57="Panamax",AJO57,AHT57="NeoPanamax",AJH57,AHT57="Suezmax",AJA57,AHT57="Capesize",AIT57,AHT57="VLOC",AIM57)))))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M57" s="75" t="e">
        <f t="array" aca="1" ref="ALM57" ca="1">INDEX(Canals!$K$24:$K$29,MATCH(2,1/((Canals!$F$24:$F$29&lt;=$C57)*(Canals!$G$24:$G$29=_xlfn.IFS(AHT57="Handysize",Main!AKC57,AHT57="Supramax",AJV57,AHT57="Panamax",AJO57,AHT57="NeoPanamax",AJH57,AHT57="Suezmax",AJA57,AHT57="Capesize",AIT57,AHT57="VLOC",AIM57)))))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N57" s="75" t="e">
        <f t="array" aca="1" ref="ALN57" ca="1">INDEX(Canals!$L$24:$L$29,MATCH(2,1/((Canals!$F$24:$F$29&lt;=$C57)*(Canals!$G$24:$G$29=_xlfn.IFS(AHT57="Handysize",Main!AKC57,AHT57="Supramax",AJV57,AHT57="Panamax",AJO57,AHT57="NeoPanamax",AJH57,AHT57="Suezmax",AJA57,AHT57="Capesize",AIT57,AHT57="VLOC",AIM57)))))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O57" s="75" t="e">
        <f t="array" aca="1" ref="ALO57" ca="1">INDEX(Canals!$M$24:$M$29,MATCH(2,1/((Canals!$F$24:$F$29&lt;=$C57)*(Canals!$G$24:$G$29=_xlfn.IFS(AHT57="Handysize",Main!AKC57,AHT57="Supramax",AJV57,AHT57="Panamax",AJO57,AHT57="NeoPanamax",AJH57,AHT57="Suezmax",AJA57,AHT57="Capesize",AIT57,AHT57="VLOC",AIM57)))))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P57" s="75" t="e">
        <f t="array" aca="1" ref="ALP57" ca="1">INDEX(Canals!$N$24:$N$29,MATCH(2,1/((Canals!$F$24:$F$29&lt;=$C57)*(Canals!$G$24:$G$29=_xlfn.IFS(AHT57="Handysize",Main!AKC57,AHT57="Supramax",AJV57,AHT57="Panamax",AJO57,AHT57="NeoPanamax",AJH57,AHT57="Suezmax",AJA57,AHT57="Capesize",AIT57,AHT57="VLOC",AIM57)))))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Q57" s="75" t="e">
        <f t="array" aca="1" ref="ALQ57" ca="1">INDEX(Canals!$O$24:$O$29,MATCH(2,1/((Canals!$F$24:$F$29&lt;=$C57)*(Canals!$G$24:$G$29=_xlfn.IFS(AHT57="Handysize",Main!AKC57,AHT57="Supramax",AJV57,AHT57="Panamax",AJO57,AHT57="NeoPanamax",AJH57,AHT57="Suezmax",AJA57,AHT57="Capesize",AIT57,AHT57="VLOC",AIM57)))))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R57" s="75" t="e">
        <f t="array" aca="1" ref="ALR57" ca="1">INDEX(Canals!$P$24:$P$29,MATCH(2,1/((Canals!$F$24:$F$29&lt;=$C57)*(Canals!$G$24:$G$29=_xlfn.IFS(AHT57="Handysize",Main!AKC57,AHT57="Supramax",AJV57,AHT57="Panamax",AJO57,AHT57="NeoPanamax",AJH57,AHT57="Suezmax",AJA57,AHT57="Capesize",AIT57,AHT57="VLOC",AIM57)))))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S57" s="75" t="e">
        <f t="array" aca="1" ref="ALS57" ca="1">INDEX(Canals!$Q$24:$Q$29,MATCH(2,1/((Canals!$F$24:$F$29&lt;=$C57)*(Canals!$G$24:$G$29=_xlfn.IFS(AHT57="Handysize",Main!AKC57,AHT57="Supramax",AJV57,AHT57="Panamax",AJO57,AHT57="NeoPanamax",AJH57,AHT57="Suezmax",AJA57,AHT57="Capesize",AIT57,AHT57="VLOC",AIM57)))))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T57" s="75" t="e">
        <f t="array" aca="1" ref="ALT57" ca="1">INDEX(Canals!$R$24:$R$29,MATCH(2,1/((Canals!$F$24:$F$29&lt;=$C57)*(Canals!$G$24:$G$29=_xlfn.IFS(AHT57="Handysize",Main!AKC57,AHT57="Supramax",AJV57,AHT57="Panamax",AJO57,AHT57="NeoPanamax",AJH57,AHT57="Suezmax",AJA57,AHT57="Capesize",AIT57,AHT57="VLOC",AIM57)))))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U57" s="136" t="e">
        <f t="array" aca="1" ref="ALU57" ca="1">INDEX(Canals!$S$24:$S$29,MATCH(2,1/((Canals!$F$24:$F$29&lt;=$C57)*(Canals!$G$24:$G$29=_xlfn.IFS(AHT57="Handysize",Main!AKC57,AHT57="Supramax",AJV57,AHT57="Panamax",AJO57,AHT57="NeoPanamax",AJH57,AHT57="Suezmax",AJA57,AHT57="Capesize",AIT57,AHT57="VLOC",AIM57)))))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V57" s="136" t="e">
        <f t="array" aca="1" ref="ALV57" ca="1">INDEX(Canals!$T$24:$T$29,MATCH(2,1/((Canals!$F$24:$F$29&lt;=$C57)*(Canals!$G$24:$G$29=_xlfn.IFS(AHT57="Handysize",Main!AKC57,AHT57="Supramax",AJV57,AHT57="Panamax",AJO57,AHT57="NeoPanamax",AJH57,AHT57="Suezmax",AJA57,AHT57="Capesize",AIT57,AHT57="VLOC",AIM57)))))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W57" s="136" t="e">
        <f t="array" aca="1" ref="ALW57" ca="1">INDEX(Canals!$U$24:$U$29,MATCH(2,1/((Canals!$F$24:$F$29&lt;=$C57)*(Canals!$G$24:$G$29=_xlfn.IFS(AHT57="Handysize",Main!AKC57,AHT57="Supramax",AJV57,AHT57="Panamax",AJO57,AHT57="NeoPanamax",AJH57,AHT57="Suezmax",AJA57,AHT57="Capesize",AIT57,AHT57="VLOC",AIM57)))))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X57" s="136" t="e">
        <f t="array" aca="1" ref="ALX57" ca="1">INDEX(Canals!$V$24:$V$29,MATCH(2,1/((Canals!$F$24:$F$29&lt;=$C57)*(Canals!$G$24:$G$29=_xlfn.IFS(AHT57="Handysize",Main!AKC57,AHT57="Supramax",AJV57,AHT57="Panamax",AJO57,AHT57="NeoPanamax",AJH57,AHT57="Suezmax",AJA57,AHT57="Capesize",AIT57,AHT57="VLOC",AIM57)))))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Y57" s="136" t="e">
        <f t="array" aca="1" ref="ALY57" ca="1">INDEX(Canals!$W$24:$W$29,MATCH(2,1/((Canals!$F$24:$F$29&lt;=$C57)*(Canals!$G$24:$G$29=_xlfn.IFS(AHT57="Handysize",Main!AKC57,AHT57="Supramax",AJV57,AHT57="Panamax",AJO57,AHT57="NeoPanamax",AJH57,AHT57="Suezmax",AJA57,AHT57="Capesize",AIT57,AHT57="VLOC",AIM57)))))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LZ57" s="136" t="e">
        <f t="array" aca="1" ref="ALZ57" ca="1">INDEX(Canals!$X$24:$X$29,MATCH(2,1/((Canals!$F$24:$F$29&lt;=$C57)*(Canals!$G$24:$G$29=_xlfn.IFS(AHT57="Handysize",Main!AKC57,AHT57="Supramax",AJV57,AHT57="Panamax",AJO57,AHT57="NeoPanamax",AJH57,AHT57="Suezmax",AJA57,AHT57="Capesize",AIT57,AHT57="VLOC",AIM57)))))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A57" s="136" t="e">
        <f t="array" aca="1" ref="AMA57" ca="1">INDEX(Canals!$Y$24:$Y$29,MATCH(2,1/((Canals!$F$24:$F$29&lt;=$C57)*(Canals!$G$24:$G$29=_xlfn.IFS(AHT57="Handysize",Main!AKC57,AHT57="Supramax",AJV57,AHT57="Panamax",AJO57,AHT57="NeoPanamax",AJH57,AHT57="Suezmax",AJA57,AHT57="Capesize",AIT57,AHT57="VLOC",AIM57)))))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B57" s="136" t="e">
        <f t="array" aca="1" ref="AMB57" ca="1">INDEX(Canals!$Z$24:$Z$29,MATCH(2,1/((Canals!$F$24:$F$29&lt;=$C57)*(Canals!$G$24:$G$29=_xlfn.IFS(AHT57="Handysize",Main!AKC57,AHT57="Supramax",AJV57,AHT57="Panamax",AJO57,AHT57="NeoPanamax",AJH57,AHT57="Suezmax",AJA57,AHT57="Capesize",AIT57,AHT57="VLOC",AIM57)))))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C57" s="136" t="e">
        <f t="array" aca="1" ref="AMC57" ca="1">INDEX(Canals!$AA$24:$AA$29,MATCH(2,1/((Canals!$F$24:$F$29&lt;=$C57)*(Canals!$G$24:$G$29=_xlfn.IFS(AHT57="Handysize",Main!AKC57,AHT57="Supramax",AJV57,AHT57="Panamax",AJO57,AHT57="NeoPanamax",AJH57,AHT57="Suezmax",AJA57,AHT57="Capesize",AIT57,AHT57="VLOC",AIM57)))))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D57" s="136" t="e">
        <f t="array" aca="1" ref="AMD57" ca="1">INDEX(Canals!$AB$24:$AB$29,MATCH(2,1/((Canals!$F$24:$F$29&lt;=$C57)*(Canals!$G$24:$G$29=_xlfn.IFS(AHT57="Handysize",Main!AKC57,AHT57="Supramax",AJV57,AHT57="Panamax",AJO57,AHT57="NeoPanamax",AJH57,AHT57="Suezmax",AJA57,AHT57="Capesize",AIT57,AHT57="VLOC",AIM57)))))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E57" s="75" t="e">
        <f t="array" aca="1" ref="AME57" ca="1">INDEX(Canals!$AC$24:$AC$29,MATCH(2,1/((Canals!$F$24:$F$29&lt;=$C57)*(Canals!$G$24:$G$29=_xlfn.IFS(AHT57="Handysize",Main!AKC57,AHT57="Supramax",AJV57,AHT57="Panamax",AJO57,AHT57="NeoPanamax",AJH57,AHT57="Suezmax",AJA57,AHT57="Capesize",AIT57,AHT57="VLOC",AIM57)))))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F57" s="75" t="e">
        <f t="array" aca="1" ref="AMF57" ca="1">INDEX(Canals!$AD$24:$AD$29,MATCH(2,1/((Canals!$F$24:$F$29&lt;=$C57)*(Canals!$G$24:$G$29=_xlfn.IFS(AHT57="Handysize",Main!AKC57,AHT57="Supramax",AJV57,AHT57="Panamax",AJO57,AHT57="NeoPanamax",AJH57,AHT57="Suezmax",AJA57,AHT57="Capesize",AIT57,AHT57="VLOC",AIM57)))))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G57" s="75" t="e">
        <f t="array" aca="1" ref="AMG57" ca="1">INDEX(Canals!$AE$24:$AE$29,MATCH(2,1/((Canals!$F$24:$F$29&lt;=$C57)*(Canals!$G$24:$G$29=_xlfn.IFS(AHT57="Handysize",Main!AKC57,AHT57="Supramax",AJV57,AHT57="Panamax",AJO57,AHT57="NeoPanamax",AJH57,AHT57="Suezmax",AJA57,AHT57="Capesize",AIT57,AHT57="VLOC",AIM57)))))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H57" s="75" t="e">
        <f t="array" aca="1" ref="AMH57" ca="1">INDEX(Canals!$AF$24:$AF$29,MATCH(2,1/((Canals!$F$24:$F$29&lt;=$C57)*(Canals!$G$24:$G$29=_xlfn.IFS(AHT57="Handysize",Main!AKC57,AHT57="Supramax",AJV57,AHT57="Panamax",AJO57,AHT57="NeoPanamax",AJH57,AHT57="Suezmax",AJA57,AHT57="Capesize",AIT57,AHT57="VLOC",AIM57)))))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I57" s="75" t="e">
        <f t="array" aca="1" ref="AMI57" ca="1">INDEX(Canals!$AG$24:$AG$29,MATCH(2,1/((Canals!$F$24:$F$29&lt;=$C57)*(Canals!$G$24:$G$29=_xlfn.IFS(AHT57="Handysize",Main!AKC57,AHT57="Supramax",AJV57,AHT57="Panamax",AJO57,AHT57="NeoPanamax",AJH57,AHT57="Suezmax",AJA57,AHT57="Capesize",AIT57,AHT57="VLOC",AIM57)))))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J57" s="75" t="e">
        <f t="array" aca="1" ref="AMJ57" ca="1">INDEX(Canals!$AH$24:$AH$29,MATCH(2,1/((Canals!$F$24:$F$29&lt;=$C57)*(Canals!$G$24:$G$29=_xlfn.IFS(AHT57="Handysize",Main!AKC57,AHT57="Supramax",AJV57,AHT57="Panamax",AJO57,AHT57="NeoPanamax",AJH57,AHT57="Suezmax",AJA57,AHT57="Capesize",AIT57,AHT57="VLOC",AIM57)))))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K57" s="75" t="e">
        <f t="array" aca="1" ref="AMK57" ca="1">INDEX(Canals!$AI$24:$AI$29,MATCH(2,1/((Canals!$F$24:$F$29&lt;=$C57)*(Canals!$G$24:$G$29=_xlfn.IFS(AHT57="Handysize",Main!AKC57,AHT57="Supramax",AJV57,AHT57="Panamax",AJO57,AHT57="NeoPanamax",AJH57,AHT57="Suezmax",AJA57,AHT57="Capesize",AIT57,AHT57="VLOC",AIM57)))))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L57" s="75" t="e">
        <f t="array" aca="1" ref="AML57" ca="1">INDEX(Canals!$AJ$24:$AJ$29,MATCH(2,1/((Canals!$F$24:$F$29&lt;=$C57)*(Canals!$G$24:$G$29=_xlfn.IFS(AHT57="Handysize",Main!AKC57,AHT57="Supramax",AJV57,AHT57="Panamax",AJO57,AHT57="NeoPanamax",AJH57,AHT57="Suezmax",AJA57,AHT57="Capesize",AIT57,AHT57="VLOC",AIM57)))))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M57" s="75" t="e">
        <f t="array" aca="1" ref="AMM57" ca="1">INDEX(Canals!$AK$24:$AK$29,MATCH(2,1/((Canals!$F$24:$F$29&lt;=$C57)*(Canals!$G$24:$G$29=_xlfn.IFS(AHT57="Handysize",Main!AKC57,AHT57="Supramax",AJV57,AHT57="Panamax",AJO57,AHT57="NeoPanamax",AJH57,AHT57="Suezmax",AJA57,AHT57="Capesize",AIT57,AHT57="VLOC",AIM57)))))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N57" s="136" t="e">
        <f t="array" aca="1" ref="AMN57" ca="1">INDEX(Canals!$AL$24:$AL$29,MATCH(2,1/((Canals!$F$24:$F$29&lt;=$C57)*(Canals!$G$24:$G$29=_xlfn.IFS(AHT57="Handysize",Main!AKC57,AHT57="Supramax",AJV57,AHT57="Panamax",AJO57,AHT57="NeoPanamax",AJH57,AHT57="Suezmax",AJA57,AHT57="Capesize",AIT57,AHT57="VLOC",AIM57)))))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O57" s="136" t="e">
        <f t="array" aca="1" ref="AMO57" ca="1">INDEX(Canals!$AM$24:$AM$29,MATCH(2,1/((Canals!$F$24:$F$29&lt;=$C57)*(Canals!$G$24:$G$29=_xlfn.IFS(AHT57="Handysize",Main!AKC57,AHT57="Supramax",AJV57,AHT57="Panamax",AJO57,AHT57="NeoPanamax",AJH57,AHT57="Suezmax",AJA57,AHT57="Capesize",AIT57,AHT57="VLOC",AIM57)))))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P57" s="136" t="e">
        <f t="array" aca="1" ref="AMP57" ca="1">INDEX(Canals!$AN$24:$AN$29,MATCH(2,1/((Canals!$F$24:$F$29&lt;=$C57)*(Canals!$G$24:$G$29=_xlfn.IFS(AHT57="Handysize",Main!AKC57,AHT57="Supramax",AJV57,AHT57="Panamax",AJO57,AHT57="NeoPanamax",AJH57,AHT57="Suezmax",AJA57,AHT57="Capesize",AIT57,AHT57="VLOC",AIM57)))))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Q57" s="136" t="e">
        <f t="array" aca="1" ref="AMQ57" ca="1">INDEX(Canals!$AO$24:$AO$29,MATCH(2,1/((Canals!$F$24:$F$29&lt;=$C57)*(Canals!$G$24:$G$29=_xlfn.IFS(AHT57="Handysize",Main!AKC57,AHT57="Supramax",AJV57,AHT57="Panamax",AJO57,AHT57="NeoPanamax",AJH57,AHT57="Suezmax",AJA57,AHT57="Capesize",AIT57,AHT57="VLOC",AIM57)))))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R57" s="136" t="e">
        <f t="array" aca="1" ref="AMR57" ca="1">INDEX(Canals!$AP$24:$AP$29,MATCH(2,1/((Canals!$F$24:$F$29&lt;=$C57)*(Canals!$G$24:$G$29=_xlfn.IFS(AHT57="Handysize",Main!AKC57,AHT57="Supramax",AJV57,AHT57="Panamax",AJO57,AHT57="NeoPanamax",AJH57,AHT57="Suezmax",AJA57,AHT57="Capesize",AIT57,AHT57="VLOC",AIM57)))))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S57" s="136" t="e">
        <f t="array" aca="1" ref="AMS57" ca="1">INDEX(Canals!$AQ$24:$AQ$29,MATCH(2,1/((Canals!$F$24:$F$29&lt;=$C57)*(Canals!$G$24:$G$29=_xlfn.IFS(AHT57="Handysize",Main!AKC57,AHT57="Supramax",AJV57,AHT57="Panamax",AJO57,AHT57="NeoPanamax",AJH57,AHT57="Suezmax",AJA57,AHT57="Capesize",AIT57,AHT57="VLOC",AIM57)))))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T57" s="136" t="e">
        <f t="array" aca="1" ref="AMT57" ca="1">INDEX(Canals!$AR$24:$AR$29,MATCH(2,1/((Canals!$F$24:$F$29&lt;=$C57)*(Canals!$G$24:$G$29=_xlfn.IFS(AHT57="Handysize",Main!AKC57,AHT57="Supramax",AJV57,AHT57="Panamax",AJO57,AHT57="NeoPanamax",AJH57,AHT57="Suezmax",AJA57,AHT57="Capesize",AIT57,AHT57="VLOC",AIM57)))))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U57" s="136" t="e">
        <f t="array" aca="1" ref="AMU57" ca="1">INDEX(Canals!$AS$24:$AS$29,MATCH(2,1/((Canals!$F$24:$F$29&lt;=$C57)*(Canals!$G$24:$G$29=_xlfn.IFS(AHT57="Handysize",Main!AKC57,AHT57="Supramax",AJV57,AHT57="Panamax",AJO57,AHT57="NeoPanamax",AJH57,AHT57="Suezmax",AJA57,AHT57="Capesize",AIT57,AHT57="VLOC",AIM57)))))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V57" s="136" t="e">
        <f t="array" aca="1" ref="AMV57" ca="1">INDEX(Canals!$AT$24:$AT$29,MATCH(2,1/((Canals!$F$24:$F$29&lt;=$C57)*(Canals!$G$24:$G$29=_xlfn.IFS(AHT57="Handysize",Main!AKC57,AHT57="Supramax",AJV57,AHT57="Panamax",AJO57,AHT57="NeoPanamax",AJH57,AHT57="Suezmax",AJA57,AHT57="Capesize",AIT57,AHT57="VLOC",AIM57)))))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W57" s="136" t="e">
        <f t="array" aca="1" ref="AMW57" ca="1">INDEX(Canals!$AU$24:$AU$29,MATCH(2,1/((Canals!$F$24:$F$29&lt;=$C57)*(Canals!$G$24:$G$29=_xlfn.IFS(AHT57="Handysize",Main!AKC57,AHT57="Supramax",AJV57,AHT57="Panamax",AJO57,AHT57="NeoPanamax",AJH57,AHT57="Suezmax",AJA57,AHT57="Capesize",AIT57,AHT57="VLOC",AIM57)))))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X57" s="136" t="e">
        <f t="array" aca="1" ref="AMX57" ca="1">INDEX(Canals!$AV$24:$AV$29,MATCH(2,1/((Canals!$F$24:$F$29&lt;=$C57)*(Canals!$G$24:$G$29=_xlfn.IFS(AHT57="Handysize",Main!AKC57,AHT57="Supramax",AJV57,AHT57="Panamax",AJO57,AHT57="NeoPanamax",AJH57,AHT57="Suezmax",AJA57,AHT57="Capesize",AIT57,AHT57="VLOC",AIM57)))))</f>
        <v>#N/A</v>
      </c>
      <c r="AMZ57" s="75" t="e">
        <f t="array" aca="1" ref="AMZ57" ca="1">_xlfn.IFS(ALK57="DWT",AHR57,ALK57="NRT",AHV57,ALK57="GRT",AHW57,ALK57=0,0)</f>
        <v>#NAME?</v>
      </c>
      <c r="ANA57" s="279" t="e">
        <f t="shared" ca="1" si="561"/>
        <v>#NAME?</v>
      </c>
      <c r="ANB57" s="280" t="e">
        <f t="shared" ca="1" si="562"/>
        <v>#NAME?</v>
      </c>
      <c r="ANC57" s="280" t="e">
        <f t="shared" ca="1" si="563"/>
        <v>#NAME?</v>
      </c>
      <c r="AND57" s="280" t="e">
        <f t="shared" ca="1" si="564"/>
        <v>#NAME?</v>
      </c>
      <c r="ANE57" s="280" t="e">
        <f t="shared" ca="1" si="565"/>
        <v>#NAME?</v>
      </c>
      <c r="ANF57" s="280" t="e">
        <f t="shared" ca="1" si="566"/>
        <v>#NAME?</v>
      </c>
      <c r="ANG57" s="280" t="e">
        <f t="shared" ca="1" si="567"/>
        <v>#NAME?</v>
      </c>
      <c r="ANH57" s="280" t="e">
        <f t="shared" ca="1" si="568"/>
        <v>#NAME?</v>
      </c>
      <c r="ANI57" s="280" t="e">
        <f t="shared" ca="1" si="569"/>
        <v>#NAME?</v>
      </c>
      <c r="ANJ57" s="75">
        <f t="shared" si="570"/>
        <v>0</v>
      </c>
      <c r="ANK57" s="279" t="e">
        <f t="shared" ca="1" si="571"/>
        <v>#N/A</v>
      </c>
      <c r="ANL57" s="280" t="e">
        <f t="shared" ca="1" si="572"/>
        <v>#N/A</v>
      </c>
      <c r="ANM57" s="280" t="e">
        <f t="shared" ca="1" si="573"/>
        <v>#N/A</v>
      </c>
      <c r="ANN57" s="280" t="e">
        <f t="shared" ca="1" si="574"/>
        <v>#N/A</v>
      </c>
      <c r="ANO57" s="280" t="e">
        <f t="shared" ca="1" si="575"/>
        <v>#N/A</v>
      </c>
      <c r="ANP57" s="280" t="e">
        <f t="shared" ca="1" si="576"/>
        <v>#N/A</v>
      </c>
      <c r="ANQ57" s="280" t="e">
        <f t="shared" ca="1" si="577"/>
        <v>#N/A</v>
      </c>
      <c r="ANR57" s="280" t="e">
        <f t="shared" ca="1" si="578"/>
        <v>#N/A</v>
      </c>
      <c r="ANS57" s="280" t="e">
        <f t="shared" ca="1" si="579"/>
        <v>#N/A</v>
      </c>
      <c r="ANU57" s="75" t="e">
        <f t="array" aca="1" ref="ANU57" ca="1">_xlfn.IFS(AHT57="Handysize",Main!AJW57,AHT57="Supramax",AJP57,AHT57="Panamax",AJI57,AHT57="NeoPanamax",AJB57,AHT57="Suezmax",AIU57,AHT57="Capesize",AIN57,AHT57="VLOC",AIG57)*$JI57</f>
        <v>#NAME?</v>
      </c>
      <c r="ANV57" s="274" t="e">
        <f t="array" aca="1" ref="ANV57" ca="1">_xlfn.IFS(AHT57="Handysize",Main!AJX57,AHT57="Supramax",AJQ57,AHT57="Panamax",AJJ57,AHT57="NeoPanamax",AJC57,AHT57="Suezmax",AIV57,AHT57="Capesize",AIO57,AHT57="VLOC",AIH57)*$JI57</f>
        <v>#NAME?</v>
      </c>
      <c r="ANW57" s="71" t="e">
        <f t="array" aca="1" ref="ANW57" ca="1">_xlfn.IFS(AHT57="Handysize",Main!AHY57,AHT57="Supramax",AHZ57,AHT57="Panamax",AIA57,AHT57="NeoPanamax",AIB57,AHT57="Suezmax",AIC57,AHT57="Capesize",AID57,AHT57="VLOC",AIE57)</f>
        <v>#NAME?</v>
      </c>
      <c r="ANX57" s="71" t="e">
        <f t="array" aca="1" ref="ANX57" ca="1">_xlfn.IFS(AHT57="Handysize",Main!AKK57,AHT57="Supramax",AKL57,AHT57="Panamax",AKM57,AHT57="NeoPanamax",AKN57,AHT57="Suezmax",AKO57,AHT57="Capesize",AKP57,AHT57="VLOC",AKQ57)</f>
        <v>#NAME?</v>
      </c>
      <c r="ANY57" s="70">
        <f t="array" ref="ANY57">INDEX('Ship Speeds'!$G$11:$G$1011,MATCH(2,1/(('Ship Speeds'!$E$11:$E$1011&lt;=Main!$C57)*('Ship Speeds'!$F$11:$F$1011=Main!AHS57))))</f>
        <v>11</v>
      </c>
      <c r="ANZ57" s="403">
        <f t="shared" si="580"/>
        <v>0</v>
      </c>
      <c r="AOA57" s="401">
        <f t="shared" si="581"/>
        <v>1.2</v>
      </c>
      <c r="AOB57" s="70" t="e">
        <f t="shared" ca="1" si="582"/>
        <v>#NAME?</v>
      </c>
      <c r="AOC57" s="70" t="e">
        <f t="shared" ca="1" si="583"/>
        <v>#NAME?</v>
      </c>
      <c r="AOD57" s="70" t="e">
        <f t="shared" ca="1" si="584"/>
        <v>#NAME?</v>
      </c>
      <c r="AOE57" s="70" t="e">
        <f t="shared" ca="1" si="585"/>
        <v>#NAME?</v>
      </c>
      <c r="AOF57" s="72" t="e">
        <f t="shared" ca="1" si="586"/>
        <v>#N/A</v>
      </c>
      <c r="AOG57" s="70" t="e">
        <f t="shared" ca="1" si="587"/>
        <v>#NAME?</v>
      </c>
      <c r="AOH57" s="70" t="e">
        <f t="array" aca="1" ref="AOH57" ca="1">IF(ANU57=0,0,INDEX(AKE57:AKI57,MATCH(_xlfn.IFS(AHT57="Handysize",Main!AKA57,AHT57="Supramax",AJT57,AHT57="Panamax",AJM57,AHT57="NeoPanamax",AJF57,AHT57="Suezmax",AIY57,AHT57="Capesize",AIR57,AHT57="VLOC",AIK57),$AKE$7:$AKI$7,0)))</f>
        <v>#NAME?</v>
      </c>
      <c r="AOI57" s="70" t="e">
        <f t="array" aca="1" ref="AOI57" ca="1">IF(ANU57=0,0,INDEX(AKE57:AKI57,MATCH(_xlfn.IFS(AHT57="Handysize",Main!AKB57,AHT57="Supramax",AJU57,AHT57="Panamax",AJN57,AHT57="NeoPanamax",AJG57,AHT57="Suezmax",AIZ57,AHT57="Capesize",AIS57,AHT57="VLOC",AIL57),$AKE$7:$AKI$7,0)))</f>
        <v>#NAME?</v>
      </c>
      <c r="AOJ57" s="71" t="e">
        <f t="shared" ca="1" si="588"/>
        <v>#NAME?</v>
      </c>
      <c r="AOK57" s="71" t="e">
        <f t="shared" ca="1" si="589"/>
        <v>#NAME?</v>
      </c>
      <c r="AOL57" s="281" t="e">
        <f t="shared" ca="1" si="590"/>
        <v>#NAME?</v>
      </c>
      <c r="AOM57" s="71" t="e">
        <f t="shared" ca="1" si="591"/>
        <v>#NAME?</v>
      </c>
      <c r="AON57" s="71" t="e">
        <f t="shared" ca="1" si="592"/>
        <v>#NAME?</v>
      </c>
      <c r="AOO57" s="71" t="e">
        <f t="shared" ca="1" si="593"/>
        <v>#NAME?</v>
      </c>
      <c r="AOP57" s="71" t="e">
        <f t="shared" ca="1" si="594"/>
        <v>#NAME?</v>
      </c>
      <c r="AOQ57" s="71" t="e">
        <f t="shared" ca="1" si="595"/>
        <v>#NAME?</v>
      </c>
      <c r="AOR57" s="71" t="e">
        <f t="shared" ca="1" si="596"/>
        <v>#NAME?</v>
      </c>
      <c r="AOS57" s="71" t="e">
        <f t="shared" ca="1" si="597"/>
        <v>#NAME?</v>
      </c>
      <c r="AOT57" s="71" t="e">
        <f t="shared" ca="1" si="598"/>
        <v>#NAME?</v>
      </c>
      <c r="AOU57" s="71" t="e">
        <f t="shared" ca="1" si="599"/>
        <v>#NAME?</v>
      </c>
      <c r="AOV57" s="71" t="e">
        <f t="shared" ca="1" si="600"/>
        <v>#NAME?</v>
      </c>
      <c r="AOW57" s="71" t="e">
        <f t="shared" ca="1" si="601"/>
        <v>#NAME?</v>
      </c>
      <c r="AOX57" s="71" t="e">
        <f t="shared" ca="1" si="602"/>
        <v>#NAME?</v>
      </c>
      <c r="AOY57" s="72" t="e">
        <f t="shared" ca="1" si="603"/>
        <v>#NAME?</v>
      </c>
      <c r="AOZ57" s="72" t="e">
        <f t="shared" ca="1" si="604"/>
        <v>#NAME?</v>
      </c>
      <c r="APA57" s="71" t="e">
        <f t="shared" ca="1" si="605"/>
        <v>#NAME?</v>
      </c>
      <c r="APB57" s="71" t="e">
        <f t="array" aca="1" ref="APB57" ca="1">IF(ANU57=0,0,INDEX('Ship Time Charter Rates'!$H$22:$H$1021,MATCH(2,1/(('Ship Time Charter Rates'!$G$22:$G$1021=_xlfn.IFS(AHT57="Handysize",Main!AJY57,AHT57="Supramax",AJR57,AHT57="Panamax",AJK57,AHT57="NeoPanamax",AJD57,AHT57="Suezmax",AIW57,AHT57="Capesize",AIP57,AHT57="VLOC",AII57))*('Ship Time Charter Rates'!$E$22:$E$1021&lt;=Main!$C57)*(NOT(ISBLANK('Ship Time Charter Rates'!$H$22:$H$1021)))))))</f>
        <v>#NAME?</v>
      </c>
      <c r="APC57" s="71" t="e">
        <f t="shared" ca="1" si="606"/>
        <v>#NAME?</v>
      </c>
      <c r="APD57" s="70" t="e">
        <f t="shared" ca="1" si="607"/>
        <v>#NAME?</v>
      </c>
      <c r="APE57" s="71" t="e">
        <f t="shared" ca="1" si="608"/>
        <v>#NAME?</v>
      </c>
      <c r="APF57" s="71" t="e">
        <f t="shared" ca="1" si="609"/>
        <v>#NAME?</v>
      </c>
      <c r="APG57" s="72" t="e">
        <f t="shared" ca="1" si="610"/>
        <v>#NAME?</v>
      </c>
      <c r="API57" s="287" t="s">
        <v>39</v>
      </c>
      <c r="APK57" s="289" t="e">
        <f t="shared" ca="1" si="611"/>
        <v>#NAME?</v>
      </c>
      <c r="APL57" s="289" t="e">
        <f t="shared" ca="1" si="612"/>
        <v>#NAME?</v>
      </c>
      <c r="APM57" s="289" t="e">
        <f t="shared" ca="1" si="613"/>
        <v>#NAME?</v>
      </c>
      <c r="APO57" s="287" t="s">
        <v>39</v>
      </c>
    </row>
    <row r="58" spans="2:1107">
      <c r="B58" s="434" t="e">
        <f t="shared" ca="1" si="614"/>
        <v>#NAME?</v>
      </c>
      <c r="C58" s="18">
        <f t="shared" si="615"/>
        <v>43934</v>
      </c>
      <c r="D58" s="7" t="s">
        <v>20</v>
      </c>
      <c r="E58" s="86" t="s">
        <v>456</v>
      </c>
      <c r="F58" s="6">
        <v>45</v>
      </c>
      <c r="G58" s="1" t="s">
        <v>185</v>
      </c>
      <c r="H58" s="1" t="s">
        <v>5</v>
      </c>
      <c r="I58" s="15"/>
      <c r="J58" s="15"/>
      <c r="K58" s="15"/>
      <c r="L58" s="15"/>
      <c r="M58" s="15"/>
      <c r="N58" s="15"/>
      <c r="O58" s="15"/>
      <c r="P58" s="433">
        <v>47000</v>
      </c>
      <c r="Q58" s="98"/>
      <c r="R58" s="7" t="s">
        <v>95</v>
      </c>
      <c r="T58" s="287" t="s">
        <v>39</v>
      </c>
      <c r="V58" s="4"/>
      <c r="W58" s="16" t="str">
        <f t="shared" si="349"/>
        <v>not used yet</v>
      </c>
      <c r="X58" s="16" t="str">
        <f t="shared" si="349"/>
        <v>not used yet</v>
      </c>
      <c r="Y58" s="16" t="str">
        <f t="shared" si="349"/>
        <v>not used yet</v>
      </c>
      <c r="Z58" s="16" t="str">
        <f t="shared" si="349"/>
        <v>not used yet</v>
      </c>
      <c r="AA58" s="16" t="str">
        <f t="shared" si="349"/>
        <v>not used yet</v>
      </c>
      <c r="AB58" s="16" t="str">
        <f t="shared" si="349"/>
        <v>not used yet</v>
      </c>
      <c r="AC58" s="16" t="str">
        <f t="shared" si="349"/>
        <v>not used yet</v>
      </c>
      <c r="AE58" s="88" t="str">
        <f t="shared" ref="AE58:AE63" si="619">E58</f>
        <v>Malaysia Kuantan washed</v>
      </c>
      <c r="AF58" s="16">
        <f t="shared" si="350"/>
        <v>0.43</v>
      </c>
      <c r="AG58" s="16">
        <f t="shared" si="351"/>
        <v>0.38800000000000001</v>
      </c>
      <c r="AH58" s="61">
        <f t="shared" si="352"/>
        <v>4.2000000000000003E-2</v>
      </c>
      <c r="AI58" s="61">
        <f t="shared" si="353"/>
        <v>3.6999999999999998E-2</v>
      </c>
      <c r="AJ58" s="61">
        <f t="shared" si="354"/>
        <v>5.0000000000000044E-3</v>
      </c>
      <c r="AK58" s="16">
        <f t="shared" si="355"/>
        <v>4.9999999999999836E-3</v>
      </c>
      <c r="AL58" s="16">
        <f t="shared" si="356"/>
        <v>0.17</v>
      </c>
      <c r="AM58" s="24" t="str">
        <f t="shared" ref="AM58:AM63" si="620">IM58</f>
        <v>LT</v>
      </c>
      <c r="AN58" s="427">
        <f t="shared" si="357"/>
        <v>47000</v>
      </c>
      <c r="AO58" s="127" t="str">
        <f t="array" ref="AO58">IFERROR(IF(AND(AN58&gt;'Indices Mines Exporting Ports'!$D$11,MATCH(2,1/(('Indices Mines Exporting Ports'!$B$3:$B$10&lt;=C58)*('Indices Mines Exporting Ports'!$C$3:$C$10=E58)))),"Yes","No"),"No")</f>
        <v>No</v>
      </c>
      <c r="AP58" s="126" t="str">
        <f t="array" ref="AP58">IF(AO58="Yes",INDEX('Indices Mines Exporting Ports'!$D$3:$D$10,MATCH(2,1/(('Indices Mines Exporting Ports'!$B$3:$B$10&lt;=Main!C58)*('Indices Mines Exporting Ports'!$C$3:$C$10=Main!AE58)))),IF(NOT(ISBLANK(Q58)),Q58,IP58))</f>
        <v>Kuantan_wharf</v>
      </c>
      <c r="AQ58" s="262">
        <f t="array" ref="AQ58">IF(AO58="no",0,INDEX('Indices Mines Exporting Ports'!$E$3:$E$10,MATCH(2,1/(('Indices Mines Exporting Ports'!$B$3:$B$10&lt;=Main!$C58)*('Indices Mines Exporting Ports'!$D$3:$D$10=Main!$AP58)))))</f>
        <v>0</v>
      </c>
      <c r="AR58" s="267">
        <f t="array" ref="AR58">IF(AO58="No",0,AN58/ROUND(AN58/INDEX('Indices Mines Exporting Ports'!$F$3:$F$10,MATCH(2,1/(('Indices Mines Exporting Ports'!$B$3:$B$10&lt;=Main!C58)*('Indices Mines Exporting Ports'!$C$3:$C$10=Main!AE58)))),0))</f>
        <v>0</v>
      </c>
      <c r="AS58" s="127" t="str">
        <f t="shared" ref="AS58:AS63" si="621">IF(NOT(ISBLANK(R58)),R58,"Qingdao")</f>
        <v>Qingdao</v>
      </c>
      <c r="AT58" s="100" t="str">
        <f t="shared" si="358"/>
        <v>CBIX LT</v>
      </c>
      <c r="AU58" s="100" t="str">
        <f t="shared" si="359"/>
        <v>CBIX LT</v>
      </c>
      <c r="AV58" s="242" t="s">
        <v>4</v>
      </c>
      <c r="AW58" s="242" t="s">
        <v>5</v>
      </c>
      <c r="AX58" s="292" t="e">
        <f t="shared" ref="AX58:AX63" ca="1" si="622">IF(AND(G58="FOB",H58="dmt"),F58,IF(AND(G58="FOB",H58="wmt"),F58/(1-AL58),AZ58-AY58))</f>
        <v>#NAME?</v>
      </c>
      <c r="AY58" s="291" t="e">
        <f t="shared" ca="1" si="360"/>
        <v>#NAME?</v>
      </c>
      <c r="AZ58" s="292" t="e">
        <f t="shared" ref="AZ58:AZ63" ca="1" si="623">IF(AND(G58&lt;&gt;"FOB",H58="dmt"),F58*IF(G58="CIF",1,(1+KL58))+APM58,IF(AND(G58&lt;&gt;"FOB",H58="wmt"),(F58*IF(G58="CIF",1,(1+KL58)))/(1-AL58),AX58+AY58))</f>
        <v>#NAME?</v>
      </c>
      <c r="BA58" s="102">
        <f t="shared" ref="BA58:BA63" si="624">IN58</f>
        <v>1.17</v>
      </c>
      <c r="BB58" s="12"/>
      <c r="BC58" s="306" t="s">
        <v>403</v>
      </c>
      <c r="BD58" s="407">
        <f t="shared" si="361"/>
        <v>0</v>
      </c>
      <c r="BE58" s="407">
        <f t="shared" si="361"/>
        <v>0</v>
      </c>
      <c r="BF58" s="407">
        <f t="shared" si="361"/>
        <v>0</v>
      </c>
      <c r="BG58" s="407" t="e">
        <f t="shared" ca="1" si="362"/>
        <v>#NAME?</v>
      </c>
      <c r="BH58" s="407">
        <f t="shared" si="363"/>
        <v>0</v>
      </c>
      <c r="BI58" s="263" t="e">
        <f t="shared" ca="1" si="364"/>
        <v>#NAME?</v>
      </c>
      <c r="BK58" s="287" t="s">
        <v>39</v>
      </c>
      <c r="BM58" s="291" t="e">
        <f t="shared" ca="1" si="365"/>
        <v>#NAME?</v>
      </c>
      <c r="BN58" s="298">
        <f t="shared" si="366"/>
        <v>0.43</v>
      </c>
      <c r="BO58" s="298">
        <f t="shared" si="367"/>
        <v>0.38800000000000001</v>
      </c>
      <c r="BP58" s="298">
        <f t="shared" si="368"/>
        <v>4.2000000000000003E-2</v>
      </c>
      <c r="BQ58" s="298">
        <f t="shared" si="369"/>
        <v>3.6999999999999998E-2</v>
      </c>
      <c r="BR58" s="298">
        <f t="shared" si="370"/>
        <v>5.0000000000000044E-3</v>
      </c>
      <c r="BS58" s="298">
        <f t="shared" si="371"/>
        <v>4.9999999999999836E-3</v>
      </c>
      <c r="BT58" s="298">
        <f t="shared" si="372"/>
        <v>0.17</v>
      </c>
      <c r="BU58" s="307" t="str">
        <f t="shared" si="373"/>
        <v>LT</v>
      </c>
      <c r="BV58" s="291">
        <f t="shared" si="374"/>
        <v>1.17</v>
      </c>
      <c r="BX58" s="300">
        <f t="array" ref="BX58">INDEX('Processing Factors'!$D$8:$D$29,MATCH(2,1/(('Processing Factors'!$B$8:$B$29&lt;=Main!$C58)*('Processing Factors'!$C$8:$C$29=Main!BU58))))</f>
        <v>0</v>
      </c>
      <c r="BY58" s="299">
        <f t="array" ref="BY58">INDEX('Processing Factors'!$E$8:$E$29,MATCH(2,1/(('Processing Factors'!$B$8:$B$29&lt;=Main!$C58)*('Processing Factors'!$C$8:$C$29=Main!BU58))))</f>
        <v>1</v>
      </c>
      <c r="BZ58" s="299">
        <f t="array" ref="BZ58">INDEX('Processing Factors'!$F$8:$F$29,MATCH(2,1/(('Processing Factors'!$B$8:$B$29&lt;=Main!$C58)*('Processing Factors'!$C$8:$C$29=Main!BU58))))</f>
        <v>0.9</v>
      </c>
      <c r="CA58" s="299">
        <f t="array" ref="CA58">INDEX('Processing Factors'!$G$8:$G$29,MATCH(2,1/(('Processing Factors'!$B$8:$B$29&lt;=Main!$C58)*('Processing Factors'!$C$8:$C$29=Main!BU58))))</f>
        <v>3.5999999999999997E-2</v>
      </c>
      <c r="CB58" s="299">
        <f t="array" ref="CB58">INDEX('Processing Factors'!$H$8:$H$29,MATCH(2,1/(('Processing Factors'!$B$8:$B$29&lt;=Main!$C58)*('Processing Factors'!$C$8:$C$29=Main!BU58))))</f>
        <v>12.15</v>
      </c>
      <c r="CC58" s="300">
        <f t="array" ref="CC58">INDEX('Processing Factors'!$I$8:$I$29,MATCH(2,1/(('Processing Factors'!$B$8:$B$29&lt;=Main!$C58)*('Processing Factors'!$C$8:$C$29=Main!BU58))))</f>
        <v>0</v>
      </c>
      <c r="CD58" s="300">
        <f t="array" ref="CD58">INDEX('Processing Factors'!$J$8:$J$29,MATCH(2,1/(('Processing Factors'!$B$8:$B$29&lt;=Main!$C58)*('Processing Factors'!$C$8:$C$29=Main!BU58))))</f>
        <v>0.9</v>
      </c>
      <c r="CE58" s="299">
        <f t="array" ref="CE58">INDEX('Processing Factors'!$K$8:$K$29,MATCH(2,1/(('Processing Factors'!$B$8:$B$29&lt;=Main!$C58)*('Processing Factors'!$C$8:$C$29=Main!BU58))))</f>
        <v>3.5000000000000003E-2</v>
      </c>
      <c r="CG58" s="302">
        <f t="shared" si="375"/>
        <v>0.42499999999999999</v>
      </c>
      <c r="CH58" s="302">
        <f t="shared" si="376"/>
        <v>3.6999999999999998E-2</v>
      </c>
      <c r="CI58" s="302">
        <f t="shared" si="377"/>
        <v>0.38800000000000001</v>
      </c>
      <c r="CJ58" s="299">
        <f t="shared" si="378"/>
        <v>2.8636884306987396</v>
      </c>
      <c r="CK58" s="281" t="e">
        <f t="shared" ca="1" si="617"/>
        <v>#NAME?</v>
      </c>
      <c r="CL58" s="299">
        <f t="shared" si="379"/>
        <v>0.13036082474226801</v>
      </c>
      <c r="CM58" s="281">
        <f t="shared" ref="CM58:CM63" si="625">CL58*$IW58</f>
        <v>31.286215142100232</v>
      </c>
      <c r="CN58" s="281">
        <f t="shared" ref="CN58:CN63" si="626">CB58*$IV58</f>
        <v>50.321396655852695</v>
      </c>
      <c r="CO58" s="281">
        <f t="shared" ref="CO58:CO63" si="627">CA58*$IX58</f>
        <v>1.2197497818850218</v>
      </c>
      <c r="CP58" s="299">
        <f t="shared" si="380"/>
        <v>2.0300492554410074</v>
      </c>
      <c r="CQ58" s="281">
        <f t="shared" ref="CQ58:CQ63" si="628">CP58*$IY58</f>
        <v>8.5977504740972908</v>
      </c>
      <c r="CR58" s="281" t="e">
        <f t="shared" ca="1" si="381"/>
        <v>#NAME?</v>
      </c>
      <c r="CT58" s="287" t="s">
        <v>39</v>
      </c>
      <c r="CV58" s="305" t="e">
        <f t="shared" ca="1" si="382"/>
        <v>#NAME?</v>
      </c>
      <c r="CW58" s="61">
        <f t="array" ref="CW58">INDEX('Indices Mines Exporting Ports'!E$20:E$51, MATCH(2,1/(('Indices Mines Exporting Ports'!$C$20:$C$51=$AT58)*('Indices Mines Exporting Ports'!$D$20:$D$51&lt;=$C58))))</f>
        <v>0.5</v>
      </c>
      <c r="CX58" s="61">
        <f t="array" ref="CX58">INDEX('Indices Mines Exporting Ports'!F$20:F$51, MATCH(2,1/(('Indices Mines Exporting Ports'!$C$20:$C$51=$AT58)*('Indices Mines Exporting Ports'!$D$20:$D$51&lt;=$C58))))</f>
        <v>0.45</v>
      </c>
      <c r="CY58" s="61">
        <f t="array" ref="CY58">INDEX('Indices Mines Exporting Ports'!G$20:G$51, MATCH(2,1/(('Indices Mines Exporting Ports'!$C$20:$C$51=$AT58)*('Indices Mines Exporting Ports'!$D$20:$D$51&lt;=$C58))))</f>
        <v>0.05</v>
      </c>
      <c r="CZ58" s="61">
        <f t="array" ref="CZ58">INDEX('Indices Mines Exporting Ports'!H$20:H$51, MATCH(2,1/(('Indices Mines Exporting Ports'!$C$20:$C$51=$AT58)*('Indices Mines Exporting Ports'!$D$20:$D$51&lt;=$C58))))</f>
        <v>0.05</v>
      </c>
      <c r="DA58" s="61">
        <f t="array" ref="DA58">INDEX('Indices Mines Exporting Ports'!I$20:I$51, MATCH(2,1/(('Indices Mines Exporting Ports'!$C$20:$C$51=$AT58)*('Indices Mines Exporting Ports'!$D$20:$D$51&lt;=$C58))))</f>
        <v>0</v>
      </c>
      <c r="DB58" s="61">
        <f t="array" ref="DB58">INDEX('Indices Mines Exporting Ports'!J$20:J$51, MATCH(2,1/(('Indices Mines Exporting Ports'!$C$20:$C$51=$AT58)*('Indices Mines Exporting Ports'!$D$20:$D$51&lt;=$C58))))</f>
        <v>0</v>
      </c>
      <c r="DC58" s="61">
        <f t="array" ref="DC58">INDEX('Indices Mines Exporting Ports'!K$20:K$51, MATCH(2,1/(('Indices Mines Exporting Ports'!$C$20:$C$51=$AT58)*('Indices Mines Exporting Ports'!$D$20:$D$51&lt;=$C58))))</f>
        <v>0.1</v>
      </c>
      <c r="DD58" s="103" t="str">
        <f t="array" ref="DD58">INDEX('Indices Mines Exporting Ports'!L$20:L$51, MATCH(2,1/(('Indices Mines Exporting Ports'!$C$20:$C$51=$AT58)*('Indices Mines Exporting Ports'!$D$20:$D$51&lt;=$C58))))</f>
        <v>LT</v>
      </c>
      <c r="DE58" s="243">
        <f t="array" ref="DE58">INDEX('Indices Mines Exporting Ports'!M$20:M$51, MATCH(2,1/(('Indices Mines Exporting Ports'!$C$20:$C$51=$AT58)*('Indices Mines Exporting Ports'!$D$20:$D$51&lt;=$C58))))</f>
        <v>0</v>
      </c>
      <c r="DG58" s="300">
        <f t="array" ref="DG58">INDEX('Processing Factors'!$D$8:$D$29,MATCH(2,1/(('Processing Factors'!$B$8:$B$29&lt;=Main!$C58)*('Processing Factors'!$C$8:$C$29=Main!DD58))))</f>
        <v>0</v>
      </c>
      <c r="DH58" s="299">
        <f t="array" ref="DH58">INDEX('Processing Factors'!$E$8:$E$29,MATCH(2,1/(('Processing Factors'!$B$8:$B$29&lt;=Main!$C58)*('Processing Factors'!$C$8:$C$29=Main!DD58))))</f>
        <v>1</v>
      </c>
      <c r="DI58" s="299">
        <f t="array" ref="DI58">INDEX('Processing Factors'!$F$8:$F$29,MATCH(2,1/(('Processing Factors'!$B$8:$B$29&lt;=Main!$C58)*('Processing Factors'!$C$8:$C$29=Main!DD58))))</f>
        <v>0.9</v>
      </c>
      <c r="DJ58" s="299">
        <f t="array" ref="DJ58">INDEX('Processing Factors'!$G$8:$G$29,MATCH(2,1/(('Processing Factors'!$B$8:$B$29&lt;=Main!$C58)*('Processing Factors'!$C$8:$C$29=Main!DD58))))</f>
        <v>3.5999999999999997E-2</v>
      </c>
      <c r="DK58" s="299">
        <f t="array" ref="DK58">INDEX('Processing Factors'!$H$8:$H$29,MATCH(2,1/(('Processing Factors'!$B$8:$B$29&lt;=Main!$C58)*('Processing Factors'!$C$8:$C$29=Main!DD58))))</f>
        <v>12.15</v>
      </c>
      <c r="DL58" s="300">
        <f t="array" ref="DL58">INDEX('Processing Factors'!$I$8:$I$29,MATCH(2,1/(('Processing Factors'!$B$8:$B$29&lt;=Main!$C58)*('Processing Factors'!$C$8:$C$29=Main!DD58))))</f>
        <v>0</v>
      </c>
      <c r="DM58" s="300">
        <f t="array" ref="DM58">INDEX('Processing Factors'!$J$8:$J$29,MATCH(2,1/(('Processing Factors'!$B$8:$B$29&lt;=Main!$C58)*('Processing Factors'!$C$8:$C$29=Main!DD58))))</f>
        <v>0.9</v>
      </c>
      <c r="DN58" s="299">
        <f t="array" ref="DN58">INDEX('Processing Factors'!$K$8:$K$29,MATCH(2,1/(('Processing Factors'!$B$8:$B$29&lt;=Main!$C58)*('Processing Factors'!$C$8:$C$29=Main!DD58))))</f>
        <v>3.5000000000000003E-2</v>
      </c>
      <c r="DP58" s="302">
        <f t="shared" si="383"/>
        <v>0.5</v>
      </c>
      <c r="DQ58" s="302">
        <f t="shared" si="384"/>
        <v>0.05</v>
      </c>
      <c r="DR58" s="302">
        <f t="shared" si="385"/>
        <v>0.45</v>
      </c>
      <c r="DS58" s="299">
        <f t="shared" si="386"/>
        <v>2.4691358024691357</v>
      </c>
      <c r="DT58" s="304">
        <v>0</v>
      </c>
      <c r="DU58" s="299">
        <f t="shared" si="387"/>
        <v>0.14611111111111114</v>
      </c>
      <c r="DV58" s="281">
        <f t="shared" ref="DV58:DV63" si="629">DU58*$IW58</f>
        <v>35.06623762093578</v>
      </c>
      <c r="DW58" s="281">
        <f t="shared" ref="DW58:DW63" si="630">DK58*$IV58</f>
        <v>50.321396655852695</v>
      </c>
      <c r="DX58" s="281">
        <f t="shared" ref="DX58:DX63" si="631">DJ58*$IX58</f>
        <v>1.2197497818850218</v>
      </c>
      <c r="DY58" s="299">
        <f t="shared" si="388"/>
        <v>1.6512469135802468</v>
      </c>
      <c r="DZ58" s="281">
        <f t="shared" ref="DZ58:DZ63" si="632">DY58*$IY58</f>
        <v>6.9934307731868799</v>
      </c>
      <c r="EA58" s="281">
        <f t="shared" si="389"/>
        <v>93.60081483186039</v>
      </c>
      <c r="EC58" s="287" t="s">
        <v>39</v>
      </c>
      <c r="EE58" s="305" t="e">
        <f t="shared" ca="1" si="390"/>
        <v>#NAME?</v>
      </c>
      <c r="EF58" s="16">
        <f t="array" ref="EF58">INDEX('Indices Mines Exporting Ports'!E$20:E$51, MATCH(2,1/(('Indices Mines Exporting Ports'!$C$20:$C$51=$AU58)*('Indices Mines Exporting Ports'!$D$20:$D$51&lt;=$C58))))</f>
        <v>0.5</v>
      </c>
      <c r="EG58" s="16">
        <f t="array" ref="EG58">INDEX('Indices Mines Exporting Ports'!F$20:F$51, MATCH(2,1/(('Indices Mines Exporting Ports'!$C$20:$C$51=$AU58)*('Indices Mines Exporting Ports'!$D$20:$D$51&lt;=$C58))))</f>
        <v>0.45</v>
      </c>
      <c r="EH58" s="16">
        <f t="array" ref="EH58">INDEX('Indices Mines Exporting Ports'!G$20:G$51, MATCH(2,1/(('Indices Mines Exporting Ports'!$C$20:$C$51=$AU58)*('Indices Mines Exporting Ports'!$D$20:$D$51&lt;=$C58))))</f>
        <v>0.05</v>
      </c>
      <c r="EI58" s="16">
        <f t="array" ref="EI58">INDEX('Indices Mines Exporting Ports'!H$20:H$51, MATCH(2,1/(('Indices Mines Exporting Ports'!$C$20:$C$51=$AU58)*('Indices Mines Exporting Ports'!$D$20:$D$51&lt;=$C58))))</f>
        <v>0.05</v>
      </c>
      <c r="EJ58" s="16">
        <f t="array" ref="EJ58">INDEX('Indices Mines Exporting Ports'!I$20:I$51, MATCH(2,1/(('Indices Mines Exporting Ports'!$C$20:$C$51=$AU58)*('Indices Mines Exporting Ports'!$D$20:$D$51&lt;=$C58))))</f>
        <v>0</v>
      </c>
      <c r="EK58" s="16">
        <f t="array" ref="EK58">INDEX('Indices Mines Exporting Ports'!J$20:J$51, MATCH(2,1/(('Indices Mines Exporting Ports'!$C$20:$C$51=$AU58)*('Indices Mines Exporting Ports'!$D$20:$D$51&lt;=$C58))))</f>
        <v>0</v>
      </c>
      <c r="EL58" s="16">
        <f t="array" ref="EL58">INDEX('Indices Mines Exporting Ports'!K$20:K$51, MATCH(2,1/(('Indices Mines Exporting Ports'!$C$20:$C$51=$AU58)*('Indices Mines Exporting Ports'!$D$20:$D$51&lt;=$C58))))</f>
        <v>0.1</v>
      </c>
      <c r="EM58" s="103" t="str">
        <f t="array" ref="EM58">INDEX('Indices Mines Exporting Ports'!L$20:L$51, MATCH(2,1/(('Indices Mines Exporting Ports'!$C$20:$C$51=$AU58)*('Indices Mines Exporting Ports'!$D$20:$D$51&lt;=$C58))))</f>
        <v>LT</v>
      </c>
      <c r="EN58" s="243">
        <f t="array" ref="EN58">INDEX('Indices Mines Exporting Ports'!M$20:M$51, MATCH(2,1/(('Indices Mines Exporting Ports'!$C$20:$C$51=$AU58)*('Indices Mines Exporting Ports'!$D$20:$D$51&lt;=$C58))))</f>
        <v>0</v>
      </c>
      <c r="EP58" s="300">
        <f t="array" ref="EP58">INDEX('Processing Factors'!$D$8:$D$29,MATCH(2,1/(('Processing Factors'!$B$8:$B$29&lt;=Main!$C58)*('Processing Factors'!$C$8:$C$29=Main!EM58))))</f>
        <v>0</v>
      </c>
      <c r="EQ58" s="299">
        <f t="array" ref="EQ58">INDEX('Processing Factors'!$E$8:$E$29,MATCH(2,1/(('Processing Factors'!$B$8:$B$29&lt;=Main!$C58)*('Processing Factors'!$C$8:$C$29=Main!EM58))))</f>
        <v>1</v>
      </c>
      <c r="ER58" s="299">
        <f t="array" ref="ER58">INDEX('Processing Factors'!$F$8:$F$29,MATCH(2,1/(('Processing Factors'!$B$8:$B$29&lt;=Main!$C58)*('Processing Factors'!$C$8:$C$29=Main!EM58))))</f>
        <v>0.9</v>
      </c>
      <c r="ES58" s="299">
        <f t="array" ref="ES58">INDEX('Processing Factors'!$G$8:$G$29,MATCH(2,1/(('Processing Factors'!$B$8:$B$29&lt;=Main!$C58)*('Processing Factors'!$C$8:$C$29=Main!EM58))))</f>
        <v>3.5999999999999997E-2</v>
      </c>
      <c r="ET58" s="299">
        <f t="array" ref="ET58">INDEX('Processing Factors'!$H$8:$H$29,MATCH(2,1/(('Processing Factors'!$B$8:$B$29&lt;=Main!$C58)*('Processing Factors'!$C$8:$C$29=Main!EM58))))</f>
        <v>12.15</v>
      </c>
      <c r="EU58" s="300">
        <f t="array" ref="EU58">INDEX('Processing Factors'!$I$8:$I$29,MATCH(2,1/(('Processing Factors'!$B$8:$B$29&lt;=Main!$C58)*('Processing Factors'!$C$8:$C$29=Main!EM58))))</f>
        <v>0</v>
      </c>
      <c r="EV58" s="300">
        <f t="array" ref="EV58">INDEX('Processing Factors'!$J$8:$J$29,MATCH(2,1/(('Processing Factors'!$B$8:$B$29&lt;=Main!$C58)*('Processing Factors'!$C$8:$C$29=Main!EM58))))</f>
        <v>0.9</v>
      </c>
      <c r="EW58" s="299">
        <f t="array" ref="EW58">INDEX('Processing Factors'!$K$8:$K$29,MATCH(2,1/(('Processing Factors'!$B$8:$B$29&lt;=Main!$C58)*('Processing Factors'!$C$8:$C$29=Main!EM58))))</f>
        <v>3.5000000000000003E-2</v>
      </c>
      <c r="EY58" s="302">
        <f t="shared" si="391"/>
        <v>0.5</v>
      </c>
      <c r="EZ58" s="302">
        <f t="shared" si="392"/>
        <v>0.05</v>
      </c>
      <c r="FA58" s="302">
        <f t="shared" si="393"/>
        <v>0.45</v>
      </c>
      <c r="FB58" s="299">
        <f t="shared" si="394"/>
        <v>2.4691358024691357</v>
      </c>
      <c r="FC58" s="304">
        <v>0</v>
      </c>
      <c r="FD58" s="299">
        <f t="shared" si="395"/>
        <v>0.14611111111111114</v>
      </c>
      <c r="FE58" s="281">
        <f t="shared" ref="FE58:FE63" si="633">FD58*$IW58</f>
        <v>35.06623762093578</v>
      </c>
      <c r="FF58" s="281">
        <f t="shared" ref="FF58:FF63" si="634">ET58*$IV58</f>
        <v>50.321396655852695</v>
      </c>
      <c r="FG58" s="281">
        <f t="shared" ref="FG58:FG63" si="635">ES58*$IX58</f>
        <v>1.2197497818850218</v>
      </c>
      <c r="FH58" s="299">
        <f t="shared" si="396"/>
        <v>1.6512469135802468</v>
      </c>
      <c r="FI58" s="281">
        <f t="shared" ref="FI58:FI63" si="636">FH58*$IY58</f>
        <v>6.9934307731868799</v>
      </c>
      <c r="FJ58" s="281">
        <f t="shared" si="397"/>
        <v>93.60081483186039</v>
      </c>
      <c r="FL58" s="287" t="s">
        <v>39</v>
      </c>
      <c r="FN58" s="315" t="e">
        <f t="shared" ca="1" si="398"/>
        <v>#NAME?</v>
      </c>
      <c r="FO58" s="316">
        <f t="shared" si="399"/>
        <v>0.43</v>
      </c>
      <c r="FP58" s="316">
        <f t="shared" si="400"/>
        <v>0.38800000000000001</v>
      </c>
      <c r="FQ58" s="316">
        <f t="shared" si="401"/>
        <v>4.2000000000000003E-2</v>
      </c>
      <c r="FR58" s="316">
        <f t="shared" si="402"/>
        <v>3.6999999999999998E-2</v>
      </c>
      <c r="FS58" s="316">
        <f t="shared" si="403"/>
        <v>5.0000000000000044E-3</v>
      </c>
      <c r="FT58" s="316">
        <f t="shared" si="404"/>
        <v>4.9999999999999836E-3</v>
      </c>
      <c r="FU58" s="316">
        <f t="shared" si="405"/>
        <v>0.17</v>
      </c>
      <c r="FV58" s="317" t="str">
        <f t="shared" si="406"/>
        <v>LT</v>
      </c>
      <c r="FW58" s="318">
        <v>0</v>
      </c>
      <c r="FX58" s="237"/>
      <c r="FY58" s="319">
        <f t="array" ref="FY58">INDEX('Processing Factors'!$D$8:$D$29,MATCH(2,1/(('Processing Factors'!$B$8:$B$29&lt;=Main!$C58)*('Processing Factors'!$C$8:$C$29=Main!FV58))))</f>
        <v>0</v>
      </c>
      <c r="FZ58" s="320">
        <f t="array" ref="FZ58">INDEX('Processing Factors'!$E$8:$E$29,MATCH(2,1/(('Processing Factors'!$B$8:$B$29&lt;=Main!$C58)*('Processing Factors'!$C$8:$C$29=Main!FV58))))</f>
        <v>1</v>
      </c>
      <c r="GA58" s="320">
        <f t="array" ref="GA58">INDEX('Processing Factors'!$F$8:$F$29,MATCH(2,1/(('Processing Factors'!$B$8:$B$29&lt;=Main!$C58)*('Processing Factors'!$C$8:$C$29=Main!FV58))))</f>
        <v>0.9</v>
      </c>
      <c r="GB58" s="320">
        <f t="array" ref="GB58">INDEX('Processing Factors'!$G$8:$G$29,MATCH(2,1/(('Processing Factors'!$B$8:$B$29&lt;=Main!$C58)*('Processing Factors'!$C$8:$C$29=Main!FV58))))</f>
        <v>3.5999999999999997E-2</v>
      </c>
      <c r="GC58" s="320">
        <f t="array" ref="GC58">INDEX('Processing Factors'!$H$8:$H$29,MATCH(2,1/(('Processing Factors'!$B$8:$B$29&lt;=Main!$C58)*('Processing Factors'!$C$8:$C$29=Main!FV58))))</f>
        <v>12.15</v>
      </c>
      <c r="GD58" s="319">
        <f t="array" ref="GD58">INDEX('Processing Factors'!$I$8:$I$29,MATCH(2,1/(('Processing Factors'!$B$8:$B$29&lt;=Main!$C58)*('Processing Factors'!$C$8:$C$29=Main!FV58))))</f>
        <v>0</v>
      </c>
      <c r="GE58" s="321">
        <v>0.92</v>
      </c>
      <c r="GF58" s="320">
        <f t="array" ref="GF58">INDEX('Processing Factors'!$K$8:$K$29,MATCH(2,1/(('Processing Factors'!$B$8:$B$29&lt;=Main!$C58)*('Processing Factors'!$C$8:$C$29=Main!FV58))))</f>
        <v>3.5000000000000003E-2</v>
      </c>
      <c r="GG58" s="237"/>
      <c r="GH58" s="322">
        <f t="shared" si="407"/>
        <v>0.42499999999999999</v>
      </c>
      <c r="GI58" s="322">
        <f t="shared" si="408"/>
        <v>3.6999999999999998E-2</v>
      </c>
      <c r="GJ58" s="322">
        <f t="shared" si="409"/>
        <v>0.38800000000000001</v>
      </c>
      <c r="GK58" s="320">
        <f t="shared" si="410"/>
        <v>2.8014343343792016</v>
      </c>
      <c r="GL58" s="323" t="e">
        <f t="shared" ca="1" si="618"/>
        <v>#NAME?</v>
      </c>
      <c r="GM58" s="320">
        <f t="shared" si="411"/>
        <v>0.12828776333482739</v>
      </c>
      <c r="GN58" s="323">
        <f t="shared" ref="GN58:GN63" si="637">GM58*$IW58</f>
        <v>30.788686491723851</v>
      </c>
      <c r="GO58" s="323">
        <f t="shared" ref="GO58:GO63" si="638">GC58*$IV58</f>
        <v>50.321396655852695</v>
      </c>
      <c r="GP58" s="323">
        <f t="shared" ref="GP58:GP63" si="639">GB58*$IX58</f>
        <v>1.2197497818850218</v>
      </c>
      <c r="GQ58" s="320">
        <f t="shared" si="412"/>
        <v>1.9657220977140291</v>
      </c>
      <c r="GR58" s="323">
        <f t="shared" ref="GR58:GR63" si="640">GQ58*$IY58</f>
        <v>8.3253093747682456</v>
      </c>
      <c r="GS58" s="323" t="e">
        <f t="shared" ca="1" si="413"/>
        <v>#NAME?</v>
      </c>
      <c r="GT58" s="237"/>
      <c r="GU58" s="324" t="e">
        <f t="shared" ca="1" si="414"/>
        <v>#NAME?</v>
      </c>
      <c r="GV58" s="325">
        <f t="array" ref="GV58">INDEX('Indices Mines Exporting Ports'!E$20:E$51, MATCH(2,1/(('Indices Mines Exporting Ports'!$C$20:$C$51=$BC58)*('Indices Mines Exporting Ports'!$D$20:$D$51&lt;=$C58))))</f>
        <v>0.5</v>
      </c>
      <c r="GW58" s="325">
        <f t="array" ref="GW58">INDEX('Indices Mines Exporting Ports'!F$20:F$51, MATCH(2,1/(('Indices Mines Exporting Ports'!$C$20:$C$51=$BC58)*('Indices Mines Exporting Ports'!$D$20:$D$51&lt;=$C58))))</f>
        <v>0.45</v>
      </c>
      <c r="GX58" s="325">
        <f t="array" ref="GX58">INDEX('Indices Mines Exporting Ports'!G$20:G$51, MATCH(2,1/(('Indices Mines Exporting Ports'!$C$20:$C$51=$BC58)*('Indices Mines Exporting Ports'!$D$20:$D$51&lt;=$C58))))</f>
        <v>0.05</v>
      </c>
      <c r="GY58" s="325">
        <f t="array" ref="GY58">INDEX('Indices Mines Exporting Ports'!H$20:H$51, MATCH(2,1/(('Indices Mines Exporting Ports'!$C$20:$C$51=$BC58)*('Indices Mines Exporting Ports'!$D$20:$D$51&lt;=$C58))))</f>
        <v>0.05</v>
      </c>
      <c r="GZ58" s="325">
        <f t="array" ref="GZ58">INDEX('Indices Mines Exporting Ports'!I$20:I$51, MATCH(2,1/(('Indices Mines Exporting Ports'!$C$20:$C$51=$BC58)*('Indices Mines Exporting Ports'!$D$20:$D$51&lt;=$C58))))</f>
        <v>0</v>
      </c>
      <c r="HA58" s="325">
        <f t="array" ref="HA58">INDEX('Indices Mines Exporting Ports'!J$20:J$51, MATCH(2,1/(('Indices Mines Exporting Ports'!$C$20:$C$51=$BC58)*('Indices Mines Exporting Ports'!$D$20:$D$51&lt;=$C58))))</f>
        <v>0</v>
      </c>
      <c r="HB58" s="325">
        <f t="array" ref="HB58">INDEX('Indices Mines Exporting Ports'!K$20:K$51, MATCH(2,1/(('Indices Mines Exporting Ports'!$C$20:$C$51=$BC58)*('Indices Mines Exporting Ports'!$D$20:$D$51&lt;=$C58))))</f>
        <v>0.1</v>
      </c>
      <c r="HC58" s="326" t="str">
        <f t="array" ref="HC58">INDEX('Indices Mines Exporting Ports'!L$20:L$51, MATCH(2,1/(('Indices Mines Exporting Ports'!$C$20:$C$51=$BC58)*('Indices Mines Exporting Ports'!$D$20:$D$51&lt;=$C58))))</f>
        <v>LT</v>
      </c>
      <c r="HD58" s="262">
        <f t="array" ref="HD58">INDEX('Indices Mines Exporting Ports'!M$20:M$51, MATCH(2,1/(('Indices Mines Exporting Ports'!$C$20:$C$51=$BC58)*('Indices Mines Exporting Ports'!$D$20:$D$51&lt;=$C58))))</f>
        <v>0</v>
      </c>
      <c r="HE58" s="237"/>
      <c r="HF58" s="319">
        <f t="array" ref="HF58">INDEX('Processing Factors'!$D$8:$D$29,MATCH(2,1/(('Processing Factors'!$B$8:$B$29&lt;=Main!$C58)*('Processing Factors'!$C$8:$C$29=Main!HC58))))</f>
        <v>0</v>
      </c>
      <c r="HG58" s="320">
        <f t="array" ref="HG58">INDEX('Processing Factors'!$E$8:$E$29,MATCH(2,1/(('Processing Factors'!$B$8:$B$29&lt;=Main!$C58)*('Processing Factors'!$C$8:$C$29=Main!HC58))))</f>
        <v>1</v>
      </c>
      <c r="HH58" s="320">
        <f t="array" ref="HH58">INDEX('Processing Factors'!$F$8:$F$29,MATCH(2,1/(('Processing Factors'!$B$8:$B$29&lt;=Main!$C58)*('Processing Factors'!$C$8:$C$29=Main!HC58))))</f>
        <v>0.9</v>
      </c>
      <c r="HI58" s="320">
        <f t="array" ref="HI58">INDEX('Processing Factors'!$G$8:$G$29,MATCH(2,1/(('Processing Factors'!$B$8:$B$29&lt;=Main!$C58)*('Processing Factors'!$C$8:$C$29=Main!HC58))))</f>
        <v>3.5999999999999997E-2</v>
      </c>
      <c r="HJ58" s="320">
        <f t="array" ref="HJ58">INDEX('Processing Factors'!$H$8:$H$29,MATCH(2,1/(('Processing Factors'!$B$8:$B$29&lt;=Main!$C58)*('Processing Factors'!$C$8:$C$29=Main!HC58))))</f>
        <v>12.15</v>
      </c>
      <c r="HK58" s="319">
        <f t="array" ref="HK58">INDEX('Processing Factors'!$I$8:$I$29,MATCH(2,1/(('Processing Factors'!$B$8:$B$29&lt;=Main!$C58)*('Processing Factors'!$C$8:$C$29=Main!HC58))))</f>
        <v>0</v>
      </c>
      <c r="HL58" s="321">
        <v>0.92</v>
      </c>
      <c r="HM58" s="320">
        <f t="array" ref="HM58">INDEX('Processing Factors'!$K$8:$K$29,MATCH(2,1/(('Processing Factors'!$B$8:$B$29&lt;=Main!$C58)*('Processing Factors'!$C$8:$C$29=Main!HC58))))</f>
        <v>3.5000000000000003E-2</v>
      </c>
      <c r="HN58" s="237"/>
      <c r="HO58" s="322">
        <f t="shared" si="415"/>
        <v>0.5</v>
      </c>
      <c r="HP58" s="322">
        <f t="shared" si="416"/>
        <v>0.05</v>
      </c>
      <c r="HQ58" s="322">
        <f t="shared" si="417"/>
        <v>0.45</v>
      </c>
      <c r="HR58" s="320">
        <f t="shared" si="418"/>
        <v>2.4154589371980677</v>
      </c>
      <c r="HS58" s="263">
        <v>0</v>
      </c>
      <c r="HT58" s="320">
        <f t="shared" si="419"/>
        <v>0.14369565217391306</v>
      </c>
      <c r="HU58" s="323">
        <f t="shared" ref="HU58:HU63" si="641">HT58*$IW58</f>
        <v>34.486534568845585</v>
      </c>
      <c r="HV58" s="323">
        <f t="shared" ref="HV58:HV63" si="642">HJ58*$IV58</f>
        <v>50.321396655852695</v>
      </c>
      <c r="HW58" s="323">
        <f t="shared" ref="HW58:HW63" si="643">HI58*$IX58</f>
        <v>1.2197497818850218</v>
      </c>
      <c r="HX58" s="320">
        <f t="shared" si="420"/>
        <v>1.5951545893719807</v>
      </c>
      <c r="HY58" s="323">
        <f t="shared" ref="HY58:HY63" si="644">HX58*$IY58</f>
        <v>6.755866189095018</v>
      </c>
      <c r="HZ58" s="323">
        <f t="shared" si="421"/>
        <v>92.783547195678324</v>
      </c>
      <c r="IB58" s="287" t="s">
        <v>39</v>
      </c>
      <c r="ID58" s="89" t="str">
        <f t="shared" ref="ID58:ID63" si="645">AE58</f>
        <v>Malaysia Kuantan washed</v>
      </c>
      <c r="IE58" s="18">
        <f t="shared" ref="IE58:IE63" si="646">$C58</f>
        <v>43934</v>
      </c>
      <c r="IF58" s="94">
        <f t="array" ref="IF58">INDEX('Indices Mines Exporting Ports'!E$20:E$51, MATCH(2,1/(('Indices Mines Exporting Ports'!$C$20:$C$51=$ID58)*('Indices Mines Exporting Ports'!$D$20:$D$51&lt;=$IE58))))</f>
        <v>0.43</v>
      </c>
      <c r="IG58" s="94">
        <f t="array" ref="IG58">INDEX('Indices Mines Exporting Ports'!F$20:F$51, MATCH(2,1/(('Indices Mines Exporting Ports'!$C$20:$C$51=$ID58)*('Indices Mines Exporting Ports'!$D$20:$D$51&lt;=$IE58))))</f>
        <v>0.38800000000000001</v>
      </c>
      <c r="IH58" s="95">
        <f t="array" ref="IH58">INDEX('Indices Mines Exporting Ports'!G$20:G$51, MATCH(2,1/(('Indices Mines Exporting Ports'!$C$20:$C$51=$ID58)*('Indices Mines Exporting Ports'!$D$20:$D$51&lt;=$IE58))))</f>
        <v>4.2000000000000003E-2</v>
      </c>
      <c r="II58" s="95">
        <f t="array" ref="II58">INDEX('Indices Mines Exporting Ports'!H$20:H$51, MATCH(2,1/(('Indices Mines Exporting Ports'!$C$20:$C$51=$ID58)*('Indices Mines Exporting Ports'!$D$20:$D$51&lt;=$IE58))))</f>
        <v>3.6999999999999998E-2</v>
      </c>
      <c r="IJ58" s="95">
        <f t="array" ref="IJ58">INDEX('Indices Mines Exporting Ports'!I$20:I$51, MATCH(2,1/(('Indices Mines Exporting Ports'!$C$20:$C$51=$ID58)*('Indices Mines Exporting Ports'!$D$20:$D$51&lt;=$IE58))))</f>
        <v>5.0000000000000044E-3</v>
      </c>
      <c r="IK58" s="94">
        <f t="array" ref="IK58">INDEX('Indices Mines Exporting Ports'!J$20:J$51, MATCH(2,1/(('Indices Mines Exporting Ports'!$C$20:$C$51=$ID58)*('Indices Mines Exporting Ports'!$D$20:$D$51&lt;=$IE58))))</f>
        <v>4.9999999999999836E-3</v>
      </c>
      <c r="IL58" s="94">
        <f t="array" ref="IL58">INDEX('Indices Mines Exporting Ports'!K$20:K$51, MATCH(2,1/(('Indices Mines Exporting Ports'!$C$20:$C$51=$ID58)*('Indices Mines Exporting Ports'!$D$20:$D$51&lt;=$IE58))))</f>
        <v>0.17</v>
      </c>
      <c r="IM58" s="93" t="str">
        <f t="array" ref="IM58">INDEX('Indices Mines Exporting Ports'!L$20:L$51, MATCH(2,1/(('Indices Mines Exporting Ports'!$C$20:$C$51=$ID58)*('Indices Mines Exporting Ports'!$D$20:$D$51&lt;=$IE58))))</f>
        <v>LT</v>
      </c>
      <c r="IN58" s="101">
        <f t="array" ref="IN58">INDEX('Indices Mines Exporting Ports'!M$20:M$51, MATCH(2,1/(('Indices Mines Exporting Ports'!$C$20:$C$51=$ID58)*('Indices Mines Exporting Ports'!$D$20:$D$51&lt;=$IE58))))</f>
        <v>1.17</v>
      </c>
      <c r="IO58" s="96">
        <f t="array" ref="IO58">INDEX('Indices Mines Exporting Ports'!N$20:N$51, MATCH(2,1/(('Indices Mines Exporting Ports'!$C$20:$C$51=$ID58)*('Indices Mines Exporting Ports'!$D$20:$D$51&lt;=$IE58))))</f>
        <v>55000</v>
      </c>
      <c r="IP58" s="95" t="str">
        <f t="array" ref="IP58">INDEX('Indices Mines Exporting Ports'!Q$20:Q$51, MATCH(2,1/(('Indices Mines Exporting Ports'!$C$20:$C$51=$ID58)*('Indices Mines Exporting Ports'!$D$20:$D$51&lt;=$IE58))))</f>
        <v>Kuantan_wharf</v>
      </c>
      <c r="IQ58" s="95" t="str">
        <f t="array" ref="IQ58">INDEX('Indices Mines Exporting Ports'!O$20:O$51, MATCH(2,1/(('Indices Mines Exporting Ports'!$C$20:$C$51=$ID58)*('Indices Mines Exporting Ports'!$D$20:$D$51&lt;=$IE58))))</f>
        <v>CBIX LT</v>
      </c>
      <c r="IR58" s="95" t="str">
        <f t="array" ref="IR58">INDEX('Indices Mines Exporting Ports'!P$20:P$51, MATCH(2,1/(('Indices Mines Exporting Ports'!$C$20:$C$51=$ID58)*('Indices Mines Exporting Ports'!$D$20:$D$51&lt;=$IE58))))</f>
        <v>CBIX LT</v>
      </c>
      <c r="IT58" s="287" t="s">
        <v>39</v>
      </c>
      <c r="IV58" s="292">
        <f>VLOOKUP($C58,'China Price Series'!$C$10:$D$1009,2,TRUE)/$JA58/(VLOOKUP($C58,'China Price Series'!$C$10:$E$1009,3,TRUE)*$JG58/$JF58)</f>
        <v>4.1416787371072177</v>
      </c>
      <c r="IW58" s="292">
        <f>VLOOKUP($C58,'China Price Series'!$G$10:$H$1009,2,TRUE)/$JA58/(VLOOKUP($C58,'China Price Series'!$G$10:$I$1009,3,TRUE))</f>
        <v>239.99706356533991</v>
      </c>
      <c r="IX58" s="292">
        <f>VLOOKUP($C58,'China Price Series'!$K$10:$L$1009,2,TRUE)/$JA58</f>
        <v>33.881938385695051</v>
      </c>
      <c r="IY58" s="292">
        <f>VLOOKUP($C58,'China Price Series'!$N$10:$O$1009,2,TRUE)/$JA58</f>
        <v>4.2352422982118814</v>
      </c>
      <c r="JA58" s="277">
        <f t="array" ref="JA58">INDEX('FX rates'!E$10:E$1009,MATCH(2,1/(('FX rates'!$D$10:$D$1009&lt;=Main!$C58)*(NOT(ISBLANK('FX rates'!E$10:E$1009))))))</f>
        <v>7.0834199999999994</v>
      </c>
      <c r="JB58" s="277">
        <f t="array" ref="JB58">INDEX('FX rates'!F$10:F$1009,MATCH(2,1/(('FX rates'!$D$10:$D$1009&lt;=Main!$C58)*(NOT(ISBLANK('FX rates'!F$10:F$1009))))))</f>
        <v>0.61160022139928016</v>
      </c>
      <c r="JC58" s="277">
        <f t="array" ref="JC58">INDEX('FX rates'!G$10:G$1009,MATCH(2,1/(('FX rates'!$D$10:$D$1009&lt;=Main!$C58)*(NOT(ISBLANK('FX rates'!G$10:G$1009))))))</f>
        <v>1</v>
      </c>
      <c r="JD58" s="277">
        <f t="array" ref="JD58">INDEX('FX rates'!H$10:H$1009,MATCH(2,1/(('FX rates'!$D$10:$D$1009&lt;=Main!$C58)*(NOT(ISBLANK('FX rates'!H$10:H$1009))))))</f>
        <v>1.35</v>
      </c>
      <c r="JF58" s="111">
        <f t="array" ref="JF58">INDEX('Global factors'!C$5:C$23,MATCH(2,1/(('Global factors'!$B$5:$B$23&lt;=Main!$C58)*(NOT(ISBLANK('Global factors'!C$5:C$23))))))</f>
        <v>239000</v>
      </c>
      <c r="JG58" s="112">
        <f t="array" ref="JG58">INDEX('Global factors'!D$5:D$23,MATCH(2,1/(('Global factors'!$B$5:$B$23&lt;=Main!$C58)*(NOT(ISBLANK('Global factors'!D$5:D$23))))))</f>
        <v>1000</v>
      </c>
      <c r="JH58" s="112">
        <f t="array" ref="JH58">INDEX('Global factors'!E$5:E$23,MATCH(2,1/(('Global factors'!$B$5:$B$23&lt;=Main!$C58)*(NOT(ISBLANK('Global factors'!E$5:E$23))))))</f>
        <v>24</v>
      </c>
      <c r="JI58" s="112">
        <f t="array" ref="JI58">INDEX('Global factors'!F$5:F$23,MATCH(2,1/(('Global factors'!$B$5:$B$23&lt;=Main!$C58)*(NOT(ISBLANK('Global factors'!F$5:F$23))))))</f>
        <v>2</v>
      </c>
      <c r="JJ58" s="117">
        <f t="array" ref="JJ58">INDEX('Global factors'!G$5:G$23,MATCH(2,1/(('Global factors'!$B$5:$B$23&lt;=Main!$C58)*(NOT(ISBLANK('Global factors'!G$5:G$23))))))</f>
        <v>0.08</v>
      </c>
      <c r="JK58" s="113">
        <f t="array" ref="JK58">INDEX('Global factors'!H$5:H$23,MATCH(2,1/(('Global factors'!$B$5:$B$23&lt;=Main!$C58)*(NOT(ISBLANK('Global factors'!H$5:H$23))))))</f>
        <v>101.96</v>
      </c>
      <c r="JL58" s="113">
        <f t="array" ref="JL58">INDEX('Global factors'!I$5:I$23,MATCH(2,1/(('Global factors'!$B$5:$B$23&lt;=Main!$C58)*(NOT(ISBLANK('Global factors'!I$5:I$23))))))</f>
        <v>60.08</v>
      </c>
      <c r="JM58" s="114">
        <f t="array" ref="JM58">INDEX('Global factors'!J$5:J$23,MATCH(2,1/(('Global factors'!$B$5:$B$23&lt;=Main!$C58)*(NOT(ISBLANK('Global factors'!J$5:J$23))))))</f>
        <v>0.84853528628495334</v>
      </c>
      <c r="JN58" s="115">
        <f t="array" ref="JN58">INDEX('Global factors'!K$5:K$23,MATCH(2,1/(('Global factors'!$B$5:$B$23&lt;=Main!$C58)*(NOT(ISBLANK('Global factors'!K$5:K$23))))))</f>
        <v>0.97499999999999998</v>
      </c>
      <c r="JO58" s="116">
        <f t="array" ref="JO58">INDEX('Global factors'!L$5:L$23,MATCH(2,1/(('Global factors'!$B$5:$B$23&lt;=Main!$C58)*(NOT(ISBLANK('Global factors'!L$5:L$23))))))</f>
        <v>8.7299999999999997E-4</v>
      </c>
      <c r="JP58" s="116">
        <f t="array" ref="JP58">INDEX('Global factors'!M$5:M$23,MATCH(2,1/(('Global factors'!$B$5:$B$23&lt;=Main!$C58)*(NOT(ISBLANK('Global factors'!M$5:M$23))))))</f>
        <v>145.88999999999999</v>
      </c>
      <c r="JQ58" s="116">
        <f t="array" ref="JQ58">INDEX('Global factors'!N$5:N$23,MATCH(2,1/(('Global factors'!$B$5:$B$23&lt;=Main!$C58)*(NOT(ISBLANK('Global factors'!N$5:N$23))))))</f>
        <v>0.40339999999999998</v>
      </c>
      <c r="JR58" s="116">
        <f t="array" ref="JR58">INDEX('Global factors'!O$5:O$23,MATCH(2,1/(('Global factors'!$B$5:$B$23&lt;=Main!$C58)*(NOT(ISBLANK('Global factors'!O$5:O$23))))))</f>
        <v>0</v>
      </c>
      <c r="JS58" s="116">
        <f t="array" ref="JS58">INDEX('Global factors'!P$5:P$23,MATCH(2,1/(('Global factors'!$B$5:$B$23&lt;=Main!$C58)*(NOT(ISBLANK('Global factors'!P$5:P$23))))))</f>
        <v>0.51890000000000003</v>
      </c>
      <c r="JT58" s="116">
        <f t="array" ref="JT58">INDEX('Global factors'!Q$5:Q$23,MATCH(2,1/(('Global factors'!$B$5:$B$23&lt;=Main!$C58)*(NOT(ISBLANK('Global factors'!Q$5:Q$23))))))</f>
        <v>4797</v>
      </c>
      <c r="JU58" s="116">
        <f t="array" ref="JU58">INDEX('Global factors'!R$5:R$23,MATCH(2,1/(('Global factors'!$B$5:$B$23&lt;=Main!$C58)*(NOT(ISBLANK('Global factors'!R$5:R$23))))))</f>
        <v>7</v>
      </c>
      <c r="JV58" s="115">
        <f t="array" ref="JV58">INDEX('Global factors'!S$5:S$23,MATCH(2,1/(('Global factors'!$B$5:$B$23&lt;=Main!$C58)*(NOT(ISBLANK('Global factors'!S$5:S$23))))))</f>
        <v>0.12</v>
      </c>
      <c r="JW58" s="115">
        <f t="array" ref="JW58">INDEX('Global factors'!T$5:T$23,MATCH(2,1/(('Global factors'!$B$5:$B$23&lt;=Main!$C58)*(NOT(ISBLANK('Global factors'!T$5:T$23))))))</f>
        <v>0.5</v>
      </c>
      <c r="JX58" s="116">
        <f t="array" ref="JX58">INDEX('Global factors'!U$5:U$23,MATCH(2,1/(('Global factors'!$B$5:$B$23&lt;=Main!$C58)*(NOT(ISBLANK('Global factors'!U$5:U$23))))))</f>
        <v>0.5</v>
      </c>
      <c r="JY58" s="116">
        <f t="array" ref="JY58">INDEX('Global factors'!V$5:V$23,MATCH(2,1/(('Global factors'!$B$5:$B$23&lt;=Main!$C58)*(NOT(ISBLANK('Global factors'!V$5:V$23))))))</f>
        <v>10000</v>
      </c>
      <c r="JZ58" s="116">
        <f t="array" ref="JZ58">INDEX('Global factors'!W$5:W$23,MATCH(2,1/(('Global factors'!$B$5:$B$23&lt;=Main!$C58)*(NOT(ISBLANK('Global factors'!W$5:W$23))))))</f>
        <v>0.10680000000000001</v>
      </c>
      <c r="KA58" s="116">
        <f t="array" ref="KA58">INDEX('Global factors'!X$5:X$23,MATCH(2,1/(('Global factors'!$B$5:$B$23&lt;=Main!$C58)*(NOT(ISBLANK('Global factors'!X$5:X$23))))))</f>
        <v>1.2</v>
      </c>
      <c r="KB58" s="116">
        <v>0</v>
      </c>
      <c r="KC58" s="272">
        <f t="array" ref="KC58">INDEX('Global factors'!Y$5:Y$23,MATCH(2,1/(('Global factors'!$B$5:$B$23&lt;=Main!$C58)*(NOT(ISBLANK('Global factors'!Y$5:Y$23))))))</f>
        <v>23643.7088248818</v>
      </c>
      <c r="KD58" s="273">
        <f t="array" ref="KD58">INDEX('Global factors'!Z$5:Z$23,MATCH(2,1/(('Global factors'!$B$5:$B$23&lt;=Main!$C58)*(NOT(ISBLANK('Global factors'!Z$5:Z$23))))))</f>
        <v>0.62802869915581405</v>
      </c>
      <c r="KE58" s="273">
        <v>0</v>
      </c>
      <c r="KF58" s="273">
        <v>0</v>
      </c>
      <c r="KG58" s="116">
        <v>0</v>
      </c>
      <c r="KH58" s="116">
        <f t="array" ref="KH58">INDEX('Global factors'!AB$5:AB$23,MATCH(2,1/(('Global factors'!$B$5:$B$23&lt;=Main!$C58)*(NOT(ISBLANK('Global factors'!AB$5:AB$23))))))</f>
        <v>6.2556361557795204E-2</v>
      </c>
      <c r="KI58" s="116">
        <f t="array" ref="KI58">INDEX('Global factors'!AC$5:AC$23,MATCH(2,1/(('Global factors'!$B$5:$B$23&lt;=Main!$C58)*(NOT(ISBLANK('Global factors'!AC$5:AC$23))))))</f>
        <v>8.6923129044225601E-4</v>
      </c>
      <c r="KJ58" s="116">
        <f t="array" ref="KJ58">INDEX('Global factors'!AD$5:AD$23,MATCH(2,1/(('Global factors'!$B$5:$B$23&lt;=Main!$C58)*(NOT(ISBLANK('Global factors'!AD$5:AD$23))))))</f>
        <v>1.1499999999999999</v>
      </c>
      <c r="KK58" s="116" t="str">
        <f t="array" ref="KK58">INDEX('Global factors'!AE$5:AE$23,MATCH(2,1/(('Global factors'!$B$5:$B$23&lt;=Main!$C58)*(NOT(ISBLANK('Global factors'!AE$5:AE$23))))))</f>
        <v>Qingdao</v>
      </c>
      <c r="KL58" s="290">
        <f t="array" ref="KL58">INDEX('Global factors'!AF$5:AF$23,MATCH(2,1/(('Global factors'!$B$5:$B$23&lt;=Main!$C58)*(NOT(ISBLANK('Global factors'!AF$5:AF$23))))))</f>
        <v>3.0000000000000001E-3</v>
      </c>
      <c r="KM58" s="290"/>
      <c r="KO58" s="287" t="s">
        <v>39</v>
      </c>
      <c r="KQ58" s="25">
        <f t="shared" ref="KQ58:KQ63" si="647">IF($AO58="no",$AN58,$AR58)/(1-$AL58)/$JN58</f>
        <v>58078.467717021937</v>
      </c>
      <c r="KR58" s="4" t="str">
        <f>VLOOKUP(KQ58,'Ship Time Charter Rates'!$F$10:$G$17,2,TRUE)</f>
        <v>Supramax</v>
      </c>
      <c r="KS58" s="4" t="str">
        <f>VLOOKUP(KQ58,Canals!$E$5:$F$12,2,TRUE)</f>
        <v>Supramax</v>
      </c>
      <c r="KT58" s="25">
        <f t="shared" ref="KT58:KT63" si="648">(KQ58*$JO58 + $JP58)</f>
        <v>196.59250231696012</v>
      </c>
      <c r="KU58" s="25">
        <f t="shared" ref="KU58:KU63" si="649">(KQ58*$JQ58+$JR58)</f>
        <v>23428.853877046648</v>
      </c>
      <c r="KV58" s="25">
        <f t="shared" ref="KV58:KV63" si="650">(KQ58*$JS58+$JT58)</f>
        <v>34933.916898362688</v>
      </c>
      <c r="KX58" s="75">
        <f t="array" ref="KX58">INDEX('Indices Mines Exporting Ports'!$R$20:$R$51,MATCH(2,1/(('Indices Mines Exporting Ports'!$D$20:$D$51&lt;=Main!$C58)*('Indices Mines Exporting Ports'!$Q$20:$Q$51=$AP58))))</f>
        <v>30000</v>
      </c>
      <c r="KY58" s="75">
        <f t="array" ref="KY58">INDEX('Indices Mines Exporting Ports'!$S$20:$S$51,MATCH(2,1/(('Indices Mines Exporting Ports'!$D$20:$D$51&lt;=Main!$C58)*('Indices Mines Exporting Ports'!$Q$20:$Q$51=$AP58))))</f>
        <v>30000</v>
      </c>
      <c r="KZ58" s="75">
        <f t="array" ref="KZ58">INDEX('Indices Mines Exporting Ports'!$T$20:$T$51,MATCH(2,1/(('Indices Mines Exporting Ports'!$D$20:$D$51&lt;=Main!$C58)*('Indices Mines Exporting Ports'!$Q$20:$Q$51=$AP58))))</f>
        <v>30000</v>
      </c>
      <c r="LA58" s="75">
        <f t="array" ref="LA58">INDEX('Indices Mines Exporting Ports'!$U$20:$U$51,MATCH(2,1/(('Indices Mines Exporting Ports'!$D$20:$D$51&lt;=Main!$C58)*('Indices Mines Exporting Ports'!$Q$20:$Q$51=$AP58))))</f>
        <v>30000</v>
      </c>
      <c r="LB58" s="75">
        <f t="array" ref="LB58">INDEX('Indices Mines Exporting Ports'!$V$20:$V$51,MATCH(2,1/(('Indices Mines Exporting Ports'!$D$20:$D$51&lt;=Main!$C58)*('Indices Mines Exporting Ports'!$Q$20:$Q$51=$AP58))))</f>
        <v>30000</v>
      </c>
      <c r="LC58" s="75">
        <f t="array" ref="LC58">INDEX('Indices Mines Exporting Ports'!$W$20:$W$51,MATCH(2,1/(('Indices Mines Exporting Ports'!$D$20:$D$51&lt;=Main!$C58)*('Indices Mines Exporting Ports'!$Q$20:$Q$51=$AP58))))</f>
        <v>30000</v>
      </c>
      <c r="LD58" s="75">
        <f t="array" ref="LD58">INDEX('Indices Mines Exporting Ports'!$X$20:$X$51,MATCH(2,1/(('Indices Mines Exporting Ports'!$D$20:$D$51&lt;=Main!$C58)*('Indices Mines Exporting Ports'!$Q$20:$Q$51=$AP58))))</f>
        <v>30000</v>
      </c>
      <c r="LF58" s="75">
        <f t="array" ref="LF58">INDEX('Port Linkages'!$E$18:$E$157,MATCH(2,1/(('Port Linkages'!$C$18:$C$157=$AP58)*('Port Linkages'!$D$18:$D$157=IF($AO58="Yes",$AQ58,$AS58))*('Port Linkages'!$A$18:$A$157&lt;=$C58))))</f>
        <v>2604</v>
      </c>
      <c r="LG58" s="75">
        <f t="array" ref="LG58">INDEX('Port Linkages'!$F$18:$F$157,MATCH(2,1/(('Port Linkages'!$C$18:$C$157=$AP58)*('Port Linkages'!$D$18:$D$157=IF($AO58="Yes",$AQ58,$AS58))*('Port Linkages'!$A$18:$A$157&lt;=$C58))))</f>
        <v>0</v>
      </c>
      <c r="LH58" s="75" t="str">
        <f t="array" ref="LH58">INDEX('Port Linkages'!$G$18:$G$157,MATCH(2,1/(('Port Linkages'!$C$18:$C$157=$AP58)*('Port Linkages'!$D$18:$D$157=IF($AO58="Yes",$AQ58,$AS58))*('Port Linkages'!$A$18:$A$157&lt;=$C58))))</f>
        <v>VLOC_General</v>
      </c>
      <c r="LI58" s="75" t="str">
        <f t="array" ref="LI58">INDEX('Port Linkages'!$H$18:$H$157,MATCH(2,1/(('Port Linkages'!$C$18:$C$157=$AP58)*('Port Linkages'!$D$18:$D$157=IF($AO58="Yes",$AQ58,$AS58))*('Port Linkages'!$A$18:$A$157&lt;=$C58))))</f>
        <v>Singapore</v>
      </c>
      <c r="LJ58" s="75" t="str">
        <f t="array" ref="LJ58">INDEX('Port Linkages'!$I$18:$I$157,MATCH(2,1/(('Port Linkages'!$C$18:$C$157=$AP58)*('Port Linkages'!$D$18:$D$157=IF($AO58="Yes",$AQ58,$AS58))*('Port Linkages'!$A$18:$A$157&lt;=$C58))))</f>
        <v>VLSFO</v>
      </c>
      <c r="LK58" s="75" t="str">
        <f t="array" ref="LK58">INDEX('Port Linkages'!$J$18:$J$157,MATCH(2,1/(('Port Linkages'!$C$18:$C$157=$AP58)*('Port Linkages'!$D$18:$D$157=IF($AO58="Yes",$AQ58,$AS58))*('Port Linkages'!$A$18:$A$157&lt;=$C58))))</f>
        <v>MGO_Regular</v>
      </c>
      <c r="LL58" s="75" t="str">
        <f t="array" ref="LL58">INDEX('Port Linkages'!$K$18:$K$157,MATCH(2,1/(('Port Linkages'!$C$18:$C$157=$AP58)*('Port Linkages'!$D$18:$D$157=IF($AO58="Yes",$AQ58,$AS58))*('Port Linkages'!$A$18:$A$157&lt;=$C58))))</f>
        <v>none</v>
      </c>
      <c r="LM58" s="75">
        <f t="array" ref="LM58">INDEX('Port Linkages'!$L$18:$L$157,MATCH(2,1/(('Port Linkages'!$C$18:$C$157=$AP58)*('Port Linkages'!$D$18:$D$157=IF($AO58="Yes",$AQ58,$AS58))*('Port Linkages'!$A$18:$A$157&lt;=$C58))))</f>
        <v>2604</v>
      </c>
      <c r="LN58" s="75">
        <f t="array" ref="LN58">INDEX('Port Linkages'!$M$18:$M$157,MATCH(2,1/(('Port Linkages'!$C$18:$C$157=$AP58)*('Port Linkages'!$D$18:$D$157=IF($AO58="Yes",$AQ58,$AS58))*('Port Linkages'!$A$18:$A$157&lt;=$C58))))</f>
        <v>0</v>
      </c>
      <c r="LO58" s="75" t="str">
        <f t="array" ref="LO58">INDEX('Port Linkages'!$N$18:$N$157,MATCH(2,1/(('Port Linkages'!$C$18:$C$157=$AP58)*('Port Linkages'!$D$18:$D$157=IF($AO58="Yes",$AQ58,$AS58))*('Port Linkages'!$A$18:$A$157&lt;=$C58))))</f>
        <v>Capesize_General</v>
      </c>
      <c r="LP58" s="75" t="str">
        <f t="array" ref="LP58">INDEX('Port Linkages'!$O$18:$O$157,MATCH(2,1/(('Port Linkages'!$C$18:$C$157=$AP58)*('Port Linkages'!$D$18:$D$157=IF($AO58="Yes",$AQ58,$AS58))*('Port Linkages'!$A$18:$A$157&lt;=$C58))))</f>
        <v>Singapore</v>
      </c>
      <c r="LQ58" s="75" t="str">
        <f t="array" ref="LQ58">INDEX('Port Linkages'!$P$18:$P$157,MATCH(2,1/(('Port Linkages'!$C$18:$C$157=$AP58)*('Port Linkages'!$D$18:$D$157=IF($AO58="Yes",$AQ58,$AS58))*('Port Linkages'!$A$18:$A$157&lt;=$C58))))</f>
        <v>VLSFO</v>
      </c>
      <c r="LR58" s="75" t="str">
        <f t="array" ref="LR58">INDEX('Port Linkages'!$Q$18:$Q$157,MATCH(2,1/(('Port Linkages'!$C$18:$C$157=$AP58)*('Port Linkages'!$D$18:$D$157=IF($AO58="Yes",$AQ58,$AS58))*('Port Linkages'!$A$18:$A$157&lt;=$C58))))</f>
        <v>MGO_Regular</v>
      </c>
      <c r="LS58" s="75" t="str">
        <f t="array" ref="LS58">INDEX('Port Linkages'!$R$18:$R$157,MATCH(2,1/(('Port Linkages'!$C$18:$C$157=$AP58)*('Port Linkages'!$D$18:$D$157=IF($AO58="Yes",$AQ58,$AS58))*('Port Linkages'!$A$18:$A$157&lt;=$C58))))</f>
        <v>none</v>
      </c>
      <c r="LT58" s="75">
        <f t="array" ref="LT58">INDEX('Port Linkages'!$S$18:$S$157,MATCH(2,1/(('Port Linkages'!$C$18:$C$157=$AP58)*('Port Linkages'!$D$18:$D$157=IF($AO58="Yes",$AQ58,$AS58))*('Port Linkages'!$A$18:$A$157&lt;=$C58))))</f>
        <v>2604</v>
      </c>
      <c r="LU58" s="75">
        <f t="array" ref="LU58">INDEX('Port Linkages'!$T$18:$T$157,MATCH(2,1/(('Port Linkages'!$C$18:$C$157=$AP58)*('Port Linkages'!$D$18:$D$157=IF($AO58="Yes",$AQ58,$AS58))*('Port Linkages'!$A$18:$A$157&lt;=$C58))))</f>
        <v>0</v>
      </c>
      <c r="LV58" s="75" t="str">
        <f t="array" ref="LV58">INDEX('Port Linkages'!$U$18:$U$157,MATCH(2,1/(('Port Linkages'!$C$18:$C$157=$AP58)*('Port Linkages'!$D$18:$D$157=IF($AO58="Yes",$AQ58,$AS58))*('Port Linkages'!$A$18:$A$157&lt;=$C58))))</f>
        <v>Capesize_General</v>
      </c>
      <c r="LW58" s="75" t="str">
        <f t="array" ref="LW58">INDEX('Port Linkages'!$V$18:$V$157,MATCH(2,1/(('Port Linkages'!$C$18:$C$157=$AP58)*('Port Linkages'!$D$18:$D$157=IF($AO58="Yes",$AQ58,$AS58))*('Port Linkages'!$A$18:$A$157&lt;=$C58))))</f>
        <v>Singapore</v>
      </c>
      <c r="LX58" s="75" t="str">
        <f t="array" ref="LX58">INDEX('Port Linkages'!$W$18:$W$157,MATCH(2,1/(('Port Linkages'!$C$18:$C$157=$AP58)*('Port Linkages'!$D$18:$D$157=IF($AO58="Yes",$AQ58,$AS58))*('Port Linkages'!$A$18:$A$157&lt;=$C58))))</f>
        <v>VLSFO</v>
      </c>
      <c r="LY58" s="75" t="str">
        <f t="array" ref="LY58">INDEX('Port Linkages'!$X$18:$X$157,MATCH(2,1/(('Port Linkages'!$C$18:$C$157=$AP58)*('Port Linkages'!$D$18:$D$157=IF($AO58="Yes",$AQ58,$AS58))*('Port Linkages'!$A$18:$A$157&lt;=$C58))))</f>
        <v>MGO_Regular</v>
      </c>
      <c r="LZ58" s="75" t="str">
        <f t="array" ref="LZ58">INDEX('Port Linkages'!$Y$18:$Y$157,MATCH(2,1/(('Port Linkages'!$C$18:$C$157=$AP58)*('Port Linkages'!$D$18:$D$157=IF($AO58="Yes",$AQ58,$AS58))*('Port Linkages'!$A$18:$A$157&lt;=$C58))))</f>
        <v>none</v>
      </c>
      <c r="MA58" s="75">
        <f t="array" ref="MA58">INDEX('Port Linkages'!$Z$18:$Z$157,MATCH(2,1/(('Port Linkages'!$C$18:$C$157=$AP58)*('Port Linkages'!$D$18:$D$157=IF($AO58="Yes",$AQ58,$AS58))*('Port Linkages'!$A$18:$A$157&lt;=$C58))))</f>
        <v>2604</v>
      </c>
      <c r="MB58" s="75">
        <f t="array" ref="MB58">INDEX('Port Linkages'!$AA$18:$AA$157,MATCH(2,1/(('Port Linkages'!$C$18:$C$157=$AP58)*('Port Linkages'!$D$18:$D$157=IF($AO58="Yes",$AQ58,$AS58))*('Port Linkages'!$A$18:$A$157&lt;=$C58))))</f>
        <v>0</v>
      </c>
      <c r="MC58" s="75" t="str">
        <f t="array" ref="MC58">INDEX('Port Linkages'!$AB$18:$AB$157,MATCH(2,1/(('Port Linkages'!$C$18:$C$157=$AP58)*('Port Linkages'!$D$18:$D$157=IF($AO58="Yes",$AQ58,$AS58))*('Port Linkages'!$A$18:$A$157&lt;=$C58))))</f>
        <v>Capesize_General</v>
      </c>
      <c r="MD58" s="75" t="str">
        <f t="array" ref="MD58">INDEX('Port Linkages'!$AC$18:$AC$157,MATCH(2,1/(('Port Linkages'!$C$18:$C$157=$AP58)*('Port Linkages'!$D$18:$D$157=IF($AO58="Yes",$AQ58,$AS58))*('Port Linkages'!$A$18:$A$157&lt;=$C58))))</f>
        <v>Singapore</v>
      </c>
      <c r="ME58" s="75" t="str">
        <f t="array" ref="ME58">INDEX('Port Linkages'!$AD$18:$AD$157,MATCH(2,1/(('Port Linkages'!$C$18:$C$157=$AP58)*('Port Linkages'!$D$18:$D$157=IF($AO58="Yes",$AQ58,$AS58))*('Port Linkages'!$A$18:$A$157&lt;=$C58))))</f>
        <v>VLSFO</v>
      </c>
      <c r="MF58" s="75" t="str">
        <f t="array" ref="MF58">INDEX('Port Linkages'!$AE$18:$AE$157,MATCH(2,1/(('Port Linkages'!$C$18:$C$157=$AP58)*('Port Linkages'!$D$18:$D$157=IF($AO58="Yes",$AQ58,$AS58))*('Port Linkages'!$A$18:$A$157&lt;=$C58))))</f>
        <v>MGO_Regular</v>
      </c>
      <c r="MG58" s="75" t="str">
        <f t="array" ref="MG58">INDEX('Port Linkages'!$AF$18:$AF$157,MATCH(2,1/(('Port Linkages'!$C$18:$C$157=$AP58)*('Port Linkages'!$D$18:$D$157=IF($AO58="Yes",$AQ58,$AS58))*('Port Linkages'!$A$18:$A$157&lt;=$C58))))</f>
        <v>none</v>
      </c>
      <c r="MH58" s="75">
        <f t="array" ref="MH58">INDEX('Port Linkages'!$AG$18:$AG$157,MATCH(2,1/(('Port Linkages'!$C$18:$C$157=$AP58)*('Port Linkages'!$D$18:$D$157=IF($AO58="Yes",$AQ58,$AS58))*('Port Linkages'!$A$18:$A$157&lt;=$C58))))</f>
        <v>2604</v>
      </c>
      <c r="MI58" s="75">
        <f t="array" ref="MI58">INDEX('Port Linkages'!$AH$18:$AH$157,MATCH(2,1/(('Port Linkages'!$C$18:$C$157=$AP58)*('Port Linkages'!$D$18:$D$157=IF($AO58="Yes",$AQ58,$AS58))*('Port Linkages'!$A$18:$A$157&lt;=$C58))))</f>
        <v>0</v>
      </c>
      <c r="MJ58" s="75" t="str">
        <f t="array" ref="MJ58">INDEX('Port Linkages'!$AI$18:$AI$157,MATCH(2,1/(('Port Linkages'!$C$18:$C$157=$AP58)*('Port Linkages'!$D$18:$D$157=IF($AO58="Yes",$AQ58,$AS58))*('Port Linkages'!$A$18:$A$157&lt;=$C58))))</f>
        <v>Panamax_General</v>
      </c>
      <c r="MK58" s="75" t="str">
        <f t="array" ref="MK58">INDEX('Port Linkages'!$AJ$18:$AJ$157,MATCH(2,1/(('Port Linkages'!$C$18:$C$157=$AP58)*('Port Linkages'!$D$18:$D$157=IF($AO58="Yes",$AQ58,$AS58))*('Port Linkages'!$A$18:$A$157&lt;=$C58))))</f>
        <v>Singapore</v>
      </c>
      <c r="ML58" s="75" t="str">
        <f t="array" ref="ML58">INDEX('Port Linkages'!$AK$18:$AK$157,MATCH(2,1/(('Port Linkages'!$C$18:$C$157=$AP58)*('Port Linkages'!$D$18:$D$157=IF($AO58="Yes",$AQ58,$AS58))*('Port Linkages'!$A$18:$A$157&lt;=$C58))))</f>
        <v>VLSFO</v>
      </c>
      <c r="MM58" s="75" t="str">
        <f t="array" ref="MM58">INDEX('Port Linkages'!$AL$18:$AL$157,MATCH(2,1/(('Port Linkages'!$C$18:$C$157=$AP58)*('Port Linkages'!$D$18:$D$157=IF($AO58="Yes",$AQ58,$AS58))*('Port Linkages'!$A$18:$A$157&lt;=$C58))))</f>
        <v>MGO_Regular</v>
      </c>
      <c r="MN58" s="75" t="str">
        <f t="array" ref="MN58">INDEX('Port Linkages'!$AM$18:$AM$157,MATCH(2,1/(('Port Linkages'!$C$18:$C$157=$AP58)*('Port Linkages'!$D$18:$D$157=IF($AO58="Yes",$AQ58,$AS58))*('Port Linkages'!$A$18:$A$157&lt;=$C58))))</f>
        <v>none</v>
      </c>
      <c r="MO58" s="75">
        <f t="array" ref="MO58">INDEX('Port Linkages'!$AN$18:$AN$157,MATCH(2,1/(('Port Linkages'!$C$18:$C$157=$AP58)*('Port Linkages'!$D$18:$D$157=IF($AO58="Yes",$AQ58,$AS58))*('Port Linkages'!$A$18:$A$157&lt;=$C58))))</f>
        <v>2604</v>
      </c>
      <c r="MP58" s="75">
        <f t="array" ref="MP58">INDEX('Port Linkages'!$AO$18:$AO$157,MATCH(2,1/(('Port Linkages'!$C$18:$C$157=$AP58)*('Port Linkages'!$D$18:$D$157=IF($AO58="Yes",$AQ58,$AS58))*('Port Linkages'!$A$18:$A$157&lt;=$C58))))</f>
        <v>0</v>
      </c>
      <c r="MQ58" s="75" t="str">
        <f t="array" ref="MQ58">INDEX('Port Linkages'!$AP$18:$AP$157,MATCH(2,1/(('Port Linkages'!$C$18:$C$157=$AP58)*('Port Linkages'!$D$18:$D$157=IF($AO58="Yes",$AQ58,$AS58))*('Port Linkages'!$A$18:$A$157&lt;=$C58))))</f>
        <v>Supramax_General</v>
      </c>
      <c r="MR58" s="75" t="str">
        <f t="array" ref="MR58">INDEX('Port Linkages'!$AQ$18:$AQ$157,MATCH(2,1/(('Port Linkages'!$C$18:$C$157=$AP58)*('Port Linkages'!$D$18:$D$157=IF($AO58="Yes",$AQ58,$AS58))*('Port Linkages'!$A$18:$A$157&lt;=$C58))))</f>
        <v>Singapore</v>
      </c>
      <c r="MS58" s="75" t="str">
        <f t="array" ref="MS58">INDEX('Port Linkages'!$AR$18:$AR$157,MATCH(2,1/(('Port Linkages'!$C$18:$C$157=$AP58)*('Port Linkages'!$D$18:$D$157=IF($AO58="Yes",$AQ58,$AS58))*('Port Linkages'!$A$18:$A$157&lt;=$C58))))</f>
        <v>VLSFO</v>
      </c>
      <c r="MT58" s="75" t="str">
        <f t="array" ref="MT58">INDEX('Port Linkages'!$AS$18:$AS$157,MATCH(2,1/(('Port Linkages'!$C$18:$C$157=$AP58)*('Port Linkages'!$D$18:$D$157=IF($AO58="Yes",$AQ58,$AS58))*('Port Linkages'!$A$18:$A$157&lt;=$C58))))</f>
        <v>MGO_Regular</v>
      </c>
      <c r="MU58" s="75" t="str">
        <f t="array" ref="MU58">INDEX('Port Linkages'!$AT$18:$AT$157,MATCH(2,1/(('Port Linkages'!$C$18:$C$157=$AP58)*('Port Linkages'!$D$18:$D$157=IF($AO58="Yes",$AQ58,$AS58))*('Port Linkages'!$A$18:$A$157&lt;=$C58))))</f>
        <v>none</v>
      </c>
      <c r="MV58" s="75">
        <f t="array" ref="MV58">INDEX('Port Linkages'!$AU$18:$AU$157,MATCH(2,1/(('Port Linkages'!$C$18:$C$157=$AP58)*('Port Linkages'!$D$18:$D$157=IF($AO58="Yes",$AQ58,$AS58))*('Port Linkages'!$A$18:$A$157&lt;=$C58))))</f>
        <v>2604</v>
      </c>
      <c r="MW58" s="75">
        <f t="array" ref="MW58">INDEX('Port Linkages'!$AV$18:$AV$157,MATCH(2,1/(('Port Linkages'!$C$18:$C$157=$AP58)*('Port Linkages'!$D$18:$D$157=IF($AO58="Yes",$AQ58,$AS58))*('Port Linkages'!$A$18:$A$157&lt;=$C58))))</f>
        <v>0</v>
      </c>
      <c r="MX58" s="75" t="str">
        <f t="array" ref="MX58">INDEX('Port Linkages'!$AW$18:$AW$157,MATCH(2,1/(('Port Linkages'!$C$18:$C$157=$AP58)*('Port Linkages'!$D$18:$D$157=IF($AO58="Yes",$AQ58,$AS58))*('Port Linkages'!$A$18:$A$157&lt;=$C58))))</f>
        <v>Handysize_General</v>
      </c>
      <c r="MY58" s="75" t="str">
        <f t="array" ref="MY58">INDEX('Port Linkages'!$AX$18:$AX$157,MATCH(2,1/(('Port Linkages'!$C$18:$C$157=$AP58)*('Port Linkages'!$D$18:$D$157=IF($AO58="Yes",$AQ58,$AS58))*('Port Linkages'!$A$18:$A$157&lt;=$C58))))</f>
        <v>Singapore</v>
      </c>
      <c r="MZ58" s="75" t="str">
        <f t="array" ref="MZ58">INDEX('Port Linkages'!$AY$18:$AY$157,MATCH(2,1/(('Port Linkages'!$C$18:$C$157=$AP58)*('Port Linkages'!$D$18:$D$157=IF($AO58="Yes",$AQ58,$AS58))*('Port Linkages'!$A$18:$A$157&lt;=$C58))))</f>
        <v>VLSFO</v>
      </c>
      <c r="NA58" s="75" t="str">
        <f t="array" ref="NA58">INDEX('Port Linkages'!$AZ$18:$AZ$157,MATCH(2,1/(('Port Linkages'!$C$18:$C$157=$AP58)*('Port Linkages'!$D$18:$D$157=IF($AO58="Yes",$AQ58,$AS58))*('Port Linkages'!$A$18:$A$157&lt;=$C58))))</f>
        <v>MGO_Regular</v>
      </c>
      <c r="NB58" s="75" t="str">
        <f t="array" ref="NB58">INDEX('Port Linkages'!$BA$18:$BA$157,MATCH(2,1/(('Port Linkages'!$C$18:$C$157=$AP58)*('Port Linkages'!$D$18:$D$157=IF($AO58="Yes",$AQ58,$AS58))*('Port Linkages'!$A$18:$A$157&lt;=$C58))))</f>
        <v>none</v>
      </c>
      <c r="ND58" s="25" t="e">
        <f t="array" aca="1" ref="ND58" ca="1">INDEX('Ship Fuel Prices'!$F$5:$F$1004,MATCH(2,1/(('Ship Fuel Prices'!$E$5:$E$1004=_xlfn.IFS(KS58="Handysize",Main!MY58,KS58="Supramax",MR58,KS58="Panamax",MK58,KS58="NeoPanamax",MD58,KS58="Suezmax",LW58,KS58="Capesize",LP58,KS58="VLOC",LI58))*('Ship Fuel Prices'!$D$5:$D$1004&lt;=Main!$C58))))</f>
        <v>#N/A</v>
      </c>
      <c r="NE58" s="25" t="e">
        <f t="array" aca="1" ref="NE58" ca="1">INDEX('Ship Fuel Prices'!$G$5:$G$1004,MATCH(2,1/(('Ship Fuel Prices'!$E$5:$E$1004=_xlfn.IFS(KS58="Handysize",Main!MY58,KS58="Supramax",MR58,KS58="Panamax",MK58,KS58="NeoPanamax",MD58,KS58="Suezmax",LW58,KS58="Capesize",LP58,KS58="VLOC",LI58))*('Ship Fuel Prices'!$D$5:$D$1004&lt;=Main!$C58))))</f>
        <v>#N/A</v>
      </c>
      <c r="NF58" s="25" t="e">
        <f t="array" aca="1" ref="NF58" ca="1">INDEX('Ship Fuel Prices'!$H$5:$H$1004,MATCH(2,1/(('Ship Fuel Prices'!$E$5:$E$1004=_xlfn.IFS(KS58="Handysize",Main!MY58,KS58="Supramax",MR58,KS58="Panamax",MK58,KS58="NeoPanamax",MD58,KS58="Suezmax",LW58,KS58="Capesize",LP58,KS58="VLOC",LI58))*('Ship Fuel Prices'!$D$5:$D$1004&lt;=Main!$C58))))</f>
        <v>#N/A</v>
      </c>
      <c r="NG58" s="25" t="e">
        <f t="array" aca="1" ref="NG58" ca="1">INDEX('Ship Fuel Prices'!$I$5:$I$1004,MATCH(2,1/(('Ship Fuel Prices'!$E$5:$E$1004=_xlfn.IFS(KS58="Handysize",Main!MY58,KS58="Supramax",MR58,KS58="Panamax",MK58,KS58="NeoPanamax",MD58,KS58="Suezmax",LW58,KS58="Capesize",LP58,KS58="VLOC",LI58))*('Ship Fuel Prices'!$D$5:$D$1004&lt;=Main!$C58))))</f>
        <v>#N/A</v>
      </c>
      <c r="NH58" s="25" t="e">
        <f t="array" aca="1" ref="NH58" ca="1">INDEX('Ship Fuel Prices'!$J$5:$J$1004,MATCH(2,1/(('Ship Fuel Prices'!$E$5:$E$1004=_xlfn.IFS(KS58="Handysize",Main!MY58,KS58="Supramax",MR58,KS58="Panamax",MK58,KS58="NeoPanamax",MD58,KS58="Suezmax",LW58,KS58="Capesize",LP58,KS58="VLOC",LI58))*('Ship Fuel Prices'!$D$5:$D$1004&lt;=Main!$C58))))</f>
        <v>#N/A</v>
      </c>
      <c r="NJ58" s="75">
        <f t="array" ref="NJ58">INDEX('China n Importing Ports'!$E$20:$E$41,MATCH(2,1/(('China n Importing Ports'!$D$20:$D$41&lt;=$C58)*('China n Importing Ports'!$C$20:$C$41=IF($AO58="Yes",$AQ58,$AS58)))))</f>
        <v>42500</v>
      </c>
      <c r="NK58" s="75">
        <f t="array" ref="NK58">INDEX('China n Importing Ports'!$F$20:$F$41,MATCH(2,1/(('China n Importing Ports'!$D$20:$D$41&lt;=$C58)*('China n Importing Ports'!$C$20:$C$41=IF($AO58="Yes",$AQ58,$AS58)))))</f>
        <v>42500</v>
      </c>
      <c r="NL58" s="75">
        <f t="array" ref="NL58">INDEX('China n Importing Ports'!$G$20:$G$41,MATCH(2,1/(('China n Importing Ports'!$D$20:$D$41&lt;=$C58)*('China n Importing Ports'!$C$20:$C$41=IF($AO58="Yes",$AQ58,$AS58)))))</f>
        <v>42500</v>
      </c>
      <c r="NM58" s="75">
        <f t="array" ref="NM58">INDEX('China n Importing Ports'!$H$20:$H$41,MATCH(2,1/(('China n Importing Ports'!$D$20:$D$41&lt;=$C58)*('China n Importing Ports'!$C$20:$C$41=IF($AO58="Yes",$AQ58,$AS58)))))</f>
        <v>42500</v>
      </c>
      <c r="NN58" s="75">
        <f t="array" ref="NN58">INDEX('China n Importing Ports'!$I$20:$I$41,MATCH(2,1/(('China n Importing Ports'!$D$20:$D$41&lt;=$C58)*('China n Importing Ports'!$C$20:$C$41=IF($AO58="Yes",$AQ58,$AS58)))))</f>
        <v>42500</v>
      </c>
      <c r="NO58" s="75">
        <f t="array" ref="NO58">INDEX('China n Importing Ports'!$J$20:$J$41,MATCH(2,1/(('China n Importing Ports'!$D$20:$D$41&lt;=$C58)*('China n Importing Ports'!$C$20:$C$41=IF($AO58="Yes",$AQ58,$AS58)))))</f>
        <v>42500</v>
      </c>
      <c r="NP58" s="75">
        <f t="array" ref="NP58">INDEX('China n Importing Ports'!$K$20:$K$41,MATCH(2,1/(('China n Importing Ports'!$D$20:$D$41&lt;=$C58)*('China n Importing Ports'!$C$20:$C$41=IF($AO58="Yes",$AQ58,$AS58)))))</f>
        <v>42500</v>
      </c>
      <c r="NQ58" s="75" t="str">
        <f t="array" ref="NQ58">INDEX('China n Importing Ports'!$L$20:$L$41,MATCH(2,1/(('China n Importing Ports'!$D$20:$D$41&lt;=$C58)*('China n Importing Ports'!$C$20:$C$41=IF($AO58="Yes",$AQ58,$AS58)))))</f>
        <v>RMB</v>
      </c>
      <c r="NR58" s="75">
        <f t="array" ref="NR58">INDEX('China n Importing Ports'!$M$20:$M$41,MATCH(2,1/(('China n Importing Ports'!$D$20:$D$41&lt;=$C58)*('China n Importing Ports'!$C$20:$C$41=IF($AO58="Yes",$AQ58,$AS58)))))</f>
        <v>12342</v>
      </c>
      <c r="NS58" s="75">
        <f t="array" ref="NS58">INDEX('China n Importing Ports'!$N$20:$N$41,MATCH(2,1/(('China n Importing Ports'!$D$20:$D$41&lt;=$C58)*('China n Importing Ports'!$C$20:$C$41=IF($AO58="Yes",$AQ58,$AS58)))))</f>
        <v>0</v>
      </c>
      <c r="NT58" s="75">
        <f t="array" ref="NT58">INDEX('China n Importing Ports'!$O$20:$O$41,MATCH(2,1/(('China n Importing Ports'!$D$20:$D$41&lt;=$C58)*('China n Importing Ports'!$C$20:$C$41=IF($AO58="Yes",$AQ58,$AS58)))))</f>
        <v>0</v>
      </c>
      <c r="NU58" s="136">
        <f t="array" ref="NU58">INDEX('China n Importing Ports'!$P$20:$P$41,MATCH(2,1/(('China n Importing Ports'!$D$20:$D$41&lt;=$C58)*('China n Importing Ports'!$C$20:$C$41=IF($AO58="Yes",$AQ58,$AS58)))))</f>
        <v>2.64</v>
      </c>
      <c r="NV58" s="136">
        <f t="array" ref="NV58">INDEX('China n Importing Ports'!$Q$20:$Q$41,MATCH(2,1/(('China n Importing Ports'!$D$20:$D$41&lt;=$C58)*('China n Importing Ports'!$C$20:$C$41=IF($AO58="Yes",$AQ58,$AS58)))))</f>
        <v>0</v>
      </c>
      <c r="NW58" s="136">
        <f t="array" ref="NW58">INDEX('China n Importing Ports'!$R$20:$R$41,MATCH(2,1/(('China n Importing Ports'!$D$20:$D$41&lt;=$C58)*('China n Importing Ports'!$C$20:$C$41=IF($AO58="Yes",$AQ58,$AS58)))))</f>
        <v>0</v>
      </c>
      <c r="NX58" s="136">
        <f t="array" ref="NX58">INDEX('China n Importing Ports'!$S$20:$S$41,MATCH(2,1/(('China n Importing Ports'!$D$20:$D$41&lt;=$C58)*('China n Importing Ports'!$C$20:$C$41=IF($AO58="Yes",$AQ58,$AS58)))))</f>
        <v>4.53</v>
      </c>
      <c r="NY58" s="136">
        <f t="array" ref="NY58">INDEX('China n Importing Ports'!$T$20:$T$41,MATCH(2,1/(('China n Importing Ports'!$D$20:$D$41&lt;=$C58)*('China n Importing Ports'!$C$20:$C$41=IF($AO58="Yes",$AQ58,$AS58)))))</f>
        <v>0.36699999999999999</v>
      </c>
      <c r="NZ58" s="136">
        <f t="array" ref="NZ58">INDEX('China n Importing Ports'!$U$20:$U$41,MATCH(2,1/(('China n Importing Ports'!$D$20:$D$41&lt;=$C58)*('China n Importing Ports'!$C$20:$C$41=IF($AO58="Yes",$AQ58,$AS58)))))</f>
        <v>0.05</v>
      </c>
      <c r="OA58" s="136">
        <f t="array" ref="OA58">INDEX('China n Importing Ports'!$V$20:$V$41,MATCH(2,1/(('China n Importing Ports'!$D$20:$D$41&lt;=$C58)*('China n Importing Ports'!$C$20:$C$41=IF($AO58="Yes",$AQ58,$AS58)))))</f>
        <v>0</v>
      </c>
      <c r="OB58" s="136">
        <f t="array" ref="OB58">INDEX('China n Importing Ports'!$W$20:$W$41,MATCH(2,1/(('China n Importing Ports'!$D$20:$D$41&lt;=$C58)*('China n Importing Ports'!$C$20:$C$41=IF($AO58="Yes",$AQ58,$AS58)))))</f>
        <v>0</v>
      </c>
      <c r="OC58" s="136">
        <f t="array" ref="OC58">INDEX('China n Importing Ports'!$X$20:$X$41,MATCH(2,1/(('China n Importing Ports'!$D$20:$D$41&lt;=$C58)*('China n Importing Ports'!$C$20:$C$41=IF($AO58="Yes",$AQ58,$AS58)))))</f>
        <v>0</v>
      </c>
      <c r="OD58" s="136">
        <f t="array" ref="OD58">INDEX('China n Importing Ports'!$Y$20:$Y$41,MATCH(2,1/(('China n Importing Ports'!$D$20:$D$41&lt;=$C58)*('China n Importing Ports'!$C$20:$C$41=IF($AO58="Yes",$AQ58,$AS58)))))</f>
        <v>197</v>
      </c>
      <c r="OE58" s="136">
        <f t="array" ref="OE58">INDEX('China n Importing Ports'!$Z$20:$Z$41,MATCH(2,1/(('China n Importing Ports'!$D$20:$D$41&lt;=$C58)*('China n Importing Ports'!$C$20:$C$41=IF($AO58="Yes",$AQ58,$AS58)))))</f>
        <v>0</v>
      </c>
      <c r="OF58" s="136">
        <f t="array" ref="OF58">INDEX('China n Importing Ports'!$AA$20:$AA$41,MATCH(2,1/(('China n Importing Ports'!$D$20:$D$41&lt;=$C58)*('China n Importing Ports'!$C$20:$C$41=IF($AO58="Yes",$AQ58,$AS58)))))</f>
        <v>0</v>
      </c>
      <c r="OH58" s="75" t="e">
        <f t="array" aca="1" ref="OH58" ca="1">INDEX(Canals!$G$24:$G$29,MATCH(2,1/((Canals!$F$24:$F$29&lt;=$C58)*(Canals!$G$24:$G$29=_xlfn.IFS(KS58="Handysize",Main!NB58,KS58="Supramax",MU58,KS58="Panamax",MN58,KS58="NeoPanamax",MG58,KS58="Suezmax",LZ58,KS58="Capesize",LS58,KS58="VLOC",LL58)))))</f>
        <v>#N/A</v>
      </c>
      <c r="OI58" s="75" t="e">
        <f t="array" aca="1" ref="OI58" ca="1">INDEX(Canals!$H$24:$H$29,MATCH(2,1/((Canals!$F$24:$F$29&lt;=$C58)*(Canals!$G$24:$G$29=_xlfn.IFS(KS58="Handysize",Main!NB58,KS58="Supramax",MU58,KS58="Panamax",MN58,KS58="NeoPanamax",MG58,KS58="Suezmax",LZ58,KS58="Capesize",LS58,KS58="VLOC",LL58)))))</f>
        <v>#N/A</v>
      </c>
      <c r="OJ58" s="75" t="e">
        <f t="array" aca="1" ref="OJ58" ca="1">INDEX(Canals!$I$24:$I$29,MATCH(2,1/((Canals!$F$24:$F$29&lt;=$C58)*(Canals!$G$24:$G$29=_xlfn.IFS(KS58="Handysize",Main!NB58,KS58="Supramax",MU58,KS58="Panamax",MN58,KS58="NeoPanamax",MG58,KS58="Suezmax",LZ58,KS58="Capesize",LS58,KS58="VLOC",LL58)))))</f>
        <v>#N/A</v>
      </c>
      <c r="OK58" s="75" t="e">
        <f t="array" aca="1" ref="OK58" ca="1">INDEX(Canals!$J$24:$J$29,MATCH(2,1/((Canals!$F$24:$F$29&lt;=$C58)*(Canals!$G$24:$G$29=_xlfn.IFS(KS58="Handysize",Main!NB58,KS58="Supramax",MU58,KS58="Panamax",MN58,KS58="NeoPanamax",MG58,KS58="Suezmax",LZ58,KS58="Capesize",LS58,KS58="VLOC",LL58)))))</f>
        <v>#N/A</v>
      </c>
      <c r="OL58" s="75" t="e">
        <f t="array" aca="1" ref="OL58" ca="1">INDEX(Canals!$K$24:$K$29,MATCH(2,1/((Canals!$F$24:$F$29&lt;=$C58)*(Canals!$G$24:$G$29=_xlfn.IFS(KS58="Handysize",Main!NB58,KS58="Supramax",MU58,KS58="Panamax",MN58,KS58="NeoPanamax",MG58,KS58="Suezmax",LZ58,KS58="Capesize",LS58,KS58="VLOC",LL58)))))</f>
        <v>#N/A</v>
      </c>
      <c r="OM58" s="75" t="e">
        <f t="array" aca="1" ref="OM58" ca="1">INDEX(Canals!$L$24:$L$29,MATCH(2,1/((Canals!$F$24:$F$29&lt;=$C58)*(Canals!$G$24:$G$29=_xlfn.IFS(KS58="Handysize",Main!NB58,KS58="Supramax",MU58,KS58="Panamax",MN58,KS58="NeoPanamax",MG58,KS58="Suezmax",LZ58,KS58="Capesize",LS58,KS58="VLOC",LL58)))))</f>
        <v>#N/A</v>
      </c>
      <c r="ON58" s="75" t="e">
        <f t="array" aca="1" ref="ON58" ca="1">INDEX(Canals!$M$24:$M$29,MATCH(2,1/((Canals!$F$24:$F$29&lt;=$C58)*(Canals!$G$24:$G$29=_xlfn.IFS(KS58="Handysize",Main!NB58,KS58="Supramax",MU58,KS58="Panamax",MN58,KS58="NeoPanamax",MG58,KS58="Suezmax",LZ58,KS58="Capesize",LS58,KS58="VLOC",LL58)))))</f>
        <v>#N/A</v>
      </c>
      <c r="OO58" s="75" t="e">
        <f t="array" aca="1" ref="OO58" ca="1">INDEX(Canals!$N$24:$N$29,MATCH(2,1/((Canals!$F$24:$F$29&lt;=$C58)*(Canals!$G$24:$G$29=_xlfn.IFS(KS58="Handysize",Main!NB58,KS58="Supramax",MU58,KS58="Panamax",MN58,KS58="NeoPanamax",MG58,KS58="Suezmax",LZ58,KS58="Capesize",LS58,KS58="VLOC",LL58)))))</f>
        <v>#N/A</v>
      </c>
      <c r="OP58" s="75" t="e">
        <f t="array" aca="1" ref="OP58" ca="1">INDEX(Canals!$O$24:$O$29,MATCH(2,1/((Canals!$F$24:$F$29&lt;=$C58)*(Canals!$G$24:$G$29=_xlfn.IFS(KS58="Handysize",Main!NB58,KS58="Supramax",MU58,KS58="Panamax",MN58,KS58="NeoPanamax",MG58,KS58="Suezmax",LZ58,KS58="Capesize",LS58,KS58="VLOC",LL58)))))</f>
        <v>#N/A</v>
      </c>
      <c r="OQ58" s="75" t="e">
        <f t="array" aca="1" ref="OQ58" ca="1">INDEX(Canals!$P$24:$P$29,MATCH(2,1/((Canals!$F$24:$F$29&lt;=$C58)*(Canals!$G$24:$G$29=_xlfn.IFS(KS58="Handysize",Main!NB58,KS58="Supramax",MU58,KS58="Panamax",MN58,KS58="NeoPanamax",MG58,KS58="Suezmax",LZ58,KS58="Capesize",LS58,KS58="VLOC",LL58)))))</f>
        <v>#N/A</v>
      </c>
      <c r="OR58" s="75" t="e">
        <f t="array" aca="1" ref="OR58" ca="1">INDEX(Canals!$Q$24:$Q$29,MATCH(2,1/((Canals!$F$24:$F$29&lt;=$C58)*(Canals!$G$24:$G$29=_xlfn.IFS(KS58="Handysize",Main!NB58,KS58="Supramax",MU58,KS58="Panamax",MN58,KS58="NeoPanamax",MG58,KS58="Suezmax",LZ58,KS58="Capesize",LS58,KS58="VLOC",LL58)))))</f>
        <v>#N/A</v>
      </c>
      <c r="OS58" s="75" t="e">
        <f t="array" aca="1" ref="OS58" ca="1">INDEX(Canals!$R$24:$R$29,MATCH(2,1/((Canals!$F$24:$F$29&lt;=$C58)*(Canals!$G$24:$G$29=_xlfn.IFS(KS58="Handysize",Main!NB58,KS58="Supramax",MU58,KS58="Panamax",MN58,KS58="NeoPanamax",MG58,KS58="Suezmax",LZ58,KS58="Capesize",LS58,KS58="VLOC",LL58)))))</f>
        <v>#N/A</v>
      </c>
      <c r="OT58" s="136" t="e">
        <f t="array" aca="1" ref="OT58" ca="1">INDEX(Canals!$S$24:$S$29,MATCH(2,1/((Canals!$F$24:$F$29&lt;=$C58)*(Canals!$G$24:$G$29=_xlfn.IFS(KS58="Handysize",Main!NB58,KS58="Supramax",MU58,KS58="Panamax",MN58,KS58="NeoPanamax",MG58,KS58="Suezmax",LZ58,KS58="Capesize",LS58,KS58="VLOC",LL58)))))</f>
        <v>#N/A</v>
      </c>
      <c r="OU58" s="136" t="e">
        <f t="array" aca="1" ref="OU58" ca="1">INDEX(Canals!$T$24:$T$29,MATCH(2,1/((Canals!$F$24:$F$29&lt;=$C58)*(Canals!$G$24:$G$29=_xlfn.IFS(KS58="Handysize",Main!NB58,KS58="Supramax",MU58,KS58="Panamax",MN58,KS58="NeoPanamax",MG58,KS58="Suezmax",LZ58,KS58="Capesize",LS58,KS58="VLOC",LL58)))))</f>
        <v>#N/A</v>
      </c>
      <c r="OV58" s="136" t="e">
        <f t="array" aca="1" ref="OV58" ca="1">INDEX(Canals!$U$24:$U$29,MATCH(2,1/((Canals!$F$24:$F$29&lt;=$C58)*(Canals!$G$24:$G$29=_xlfn.IFS(KS58="Handysize",Main!NB58,KS58="Supramax",MU58,KS58="Panamax",MN58,KS58="NeoPanamax",MG58,KS58="Suezmax",LZ58,KS58="Capesize",LS58,KS58="VLOC",LL58)))))</f>
        <v>#N/A</v>
      </c>
      <c r="OW58" s="136" t="e">
        <f t="array" aca="1" ref="OW58" ca="1">INDEX(Canals!$V$24:$V$29,MATCH(2,1/((Canals!$F$24:$F$29&lt;=$C58)*(Canals!$G$24:$G$29=_xlfn.IFS(KS58="Handysize",Main!NB58,KS58="Supramax",MU58,KS58="Panamax",MN58,KS58="NeoPanamax",MG58,KS58="Suezmax",LZ58,KS58="Capesize",LS58,KS58="VLOC",LL58)))))</f>
        <v>#N/A</v>
      </c>
      <c r="OX58" s="136" t="e">
        <f t="array" aca="1" ref="OX58" ca="1">INDEX(Canals!$W$24:$W$29,MATCH(2,1/((Canals!$F$24:$F$29&lt;=$C58)*(Canals!$G$24:$G$29=_xlfn.IFS(KS58="Handysize",Main!NB58,KS58="Supramax",MU58,KS58="Panamax",MN58,KS58="NeoPanamax",MG58,KS58="Suezmax",LZ58,KS58="Capesize",LS58,KS58="VLOC",LL58)))))</f>
        <v>#N/A</v>
      </c>
      <c r="OY58" s="136" t="e">
        <f t="array" aca="1" ref="OY58" ca="1">INDEX(Canals!$X$24:$X$29,MATCH(2,1/((Canals!$F$24:$F$29&lt;=$C58)*(Canals!$G$24:$G$29=_xlfn.IFS(KS58="Handysize",Main!NB58,KS58="Supramax",MU58,KS58="Panamax",MN58,KS58="NeoPanamax",MG58,KS58="Suezmax",LZ58,KS58="Capesize",LS58,KS58="VLOC",LL58)))))</f>
        <v>#N/A</v>
      </c>
      <c r="OZ58" s="136" t="e">
        <f t="array" aca="1" ref="OZ58" ca="1">INDEX(Canals!$Y$24:$Y$29,MATCH(2,1/((Canals!$F$24:$F$29&lt;=$C58)*(Canals!$G$24:$G$29=_xlfn.IFS(KS58="Handysize",Main!NB58,KS58="Supramax",MU58,KS58="Panamax",MN58,KS58="NeoPanamax",MG58,KS58="Suezmax",LZ58,KS58="Capesize",LS58,KS58="VLOC",LL58)))))</f>
        <v>#N/A</v>
      </c>
      <c r="PA58" s="136" t="e">
        <f t="array" aca="1" ref="PA58" ca="1">INDEX(Canals!$Z$24:$Z$29,MATCH(2,1/((Canals!$F$24:$F$29&lt;=$C58)*(Canals!$G$24:$G$29=_xlfn.IFS(KS58="Handysize",Main!NB58,KS58="Supramax",MU58,KS58="Panamax",MN58,KS58="NeoPanamax",MG58,KS58="Suezmax",LZ58,KS58="Capesize",LS58,KS58="VLOC",LL58)))))</f>
        <v>#N/A</v>
      </c>
      <c r="PB58" s="136" t="e">
        <f t="array" aca="1" ref="PB58" ca="1">INDEX(Canals!$AA$24:$AA$29,MATCH(2,1/((Canals!$F$24:$F$29&lt;=$C58)*(Canals!$G$24:$G$29=_xlfn.IFS(KS58="Handysize",Main!NB58,KS58="Supramax",MU58,KS58="Panamax",MN58,KS58="NeoPanamax",MG58,KS58="Suezmax",LZ58,KS58="Capesize",LS58,KS58="VLOC",LL58)))))</f>
        <v>#N/A</v>
      </c>
      <c r="PC58" s="136" t="e">
        <f t="array" aca="1" ref="PC58" ca="1">INDEX(Canals!$AB$24:$AB$29,MATCH(2,1/((Canals!$F$24:$F$29&lt;=$C58)*(Canals!$G$24:$G$29=_xlfn.IFS(KS58="Handysize",Main!NB58,KS58="Supramax",MU58,KS58="Panamax",MN58,KS58="NeoPanamax",MG58,KS58="Suezmax",LZ58,KS58="Capesize",LS58,KS58="VLOC",LL58)))))</f>
        <v>#N/A</v>
      </c>
      <c r="PD58" s="75" t="e">
        <f t="array" aca="1" ref="PD58" ca="1">INDEX(Canals!$AC$24:$AC$29,MATCH(2,1/((Canals!$F$24:$F$29&lt;=$C58)*(Canals!$G$24:$G$29=_xlfn.IFS(KS58="Handysize",Main!NB58,KS58="Supramax",MU58,KS58="Panamax",MN58,KS58="NeoPanamax",MG58,KS58="Suezmax",LZ58,KS58="Capesize",LS58,KS58="VLOC",LL58)))))</f>
        <v>#N/A</v>
      </c>
      <c r="PE58" s="75" t="e">
        <f t="array" aca="1" ref="PE58" ca="1">INDEX(Canals!$AD$24:$AD$29,MATCH(2,1/((Canals!$F$24:$F$29&lt;=$C58)*(Canals!$G$24:$G$29=_xlfn.IFS(KS58="Handysize",Main!NB58,KS58="Supramax",MU58,KS58="Panamax",MN58,KS58="NeoPanamax",MG58,KS58="Suezmax",LZ58,KS58="Capesize",LS58,KS58="VLOC",LL58)))))</f>
        <v>#N/A</v>
      </c>
      <c r="PF58" s="75" t="e">
        <f t="array" aca="1" ref="PF58" ca="1">INDEX(Canals!$AE$24:$AE$29,MATCH(2,1/((Canals!$F$24:$F$29&lt;=$C58)*(Canals!$G$24:$G$29=_xlfn.IFS(KS58="Handysize",Main!NB58,KS58="Supramax",MU58,KS58="Panamax",MN58,KS58="NeoPanamax",MG58,KS58="Suezmax",LZ58,KS58="Capesize",LS58,KS58="VLOC",LL58)))))</f>
        <v>#N/A</v>
      </c>
      <c r="PG58" s="75" t="e">
        <f t="array" aca="1" ref="PG58" ca="1">INDEX(Canals!$AF$24:$AF$29,MATCH(2,1/((Canals!$F$24:$F$29&lt;=$C58)*(Canals!$G$24:$G$29=_xlfn.IFS(KS58="Handysize",Main!NB58,KS58="Supramax",MU58,KS58="Panamax",MN58,KS58="NeoPanamax",MG58,KS58="Suezmax",LZ58,KS58="Capesize",LS58,KS58="VLOC",LL58)))))</f>
        <v>#N/A</v>
      </c>
      <c r="PH58" s="75" t="e">
        <f t="array" aca="1" ref="PH58" ca="1">INDEX(Canals!$AG$24:$AG$29,MATCH(2,1/((Canals!$F$24:$F$29&lt;=$C58)*(Canals!$G$24:$G$29=_xlfn.IFS(KS58="Handysize",Main!NB58,KS58="Supramax",MU58,KS58="Panamax",MN58,KS58="NeoPanamax",MG58,KS58="Suezmax",LZ58,KS58="Capesize",LS58,KS58="VLOC",LL58)))))</f>
        <v>#N/A</v>
      </c>
      <c r="PI58" s="75" t="e">
        <f t="array" aca="1" ref="PI58" ca="1">INDEX(Canals!$AH$24:$AH$29,MATCH(2,1/((Canals!$F$24:$F$29&lt;=$C58)*(Canals!$G$24:$G$29=_xlfn.IFS(KS58="Handysize",Main!NB58,KS58="Supramax",MU58,KS58="Panamax",MN58,KS58="NeoPanamax",MG58,KS58="Suezmax",LZ58,KS58="Capesize",LS58,KS58="VLOC",LL58)))))</f>
        <v>#N/A</v>
      </c>
      <c r="PJ58" s="75" t="e">
        <f t="array" aca="1" ref="PJ58" ca="1">INDEX(Canals!$AI$24:$AI$29,MATCH(2,1/((Canals!$F$24:$F$29&lt;=$C58)*(Canals!$G$24:$G$29=_xlfn.IFS(KS58="Handysize",Main!NB58,KS58="Supramax",MU58,KS58="Panamax",MN58,KS58="NeoPanamax",MG58,KS58="Suezmax",LZ58,KS58="Capesize",LS58,KS58="VLOC",LL58)))))</f>
        <v>#N/A</v>
      </c>
      <c r="PK58" s="75" t="e">
        <f t="array" aca="1" ref="PK58" ca="1">INDEX(Canals!$AJ$24:$AJ$29,MATCH(2,1/((Canals!$F$24:$F$29&lt;=$C58)*(Canals!$G$24:$G$29=_xlfn.IFS(KS58="Handysize",Main!NB58,KS58="Supramax",MU58,KS58="Panamax",MN58,KS58="NeoPanamax",MG58,KS58="Suezmax",LZ58,KS58="Capesize",LS58,KS58="VLOC",LL58)))))</f>
        <v>#N/A</v>
      </c>
      <c r="PL58" s="75" t="e">
        <f t="array" aca="1" ref="PL58" ca="1">INDEX(Canals!$AK$24:$AK$29,MATCH(2,1/((Canals!$F$24:$F$29&lt;=$C58)*(Canals!$G$24:$G$29=_xlfn.IFS(KS58="Handysize",Main!NB58,KS58="Supramax",MU58,KS58="Panamax",MN58,KS58="NeoPanamax",MG58,KS58="Suezmax",LZ58,KS58="Capesize",LS58,KS58="VLOC",LL58)))))</f>
        <v>#N/A</v>
      </c>
      <c r="PM58" s="136" t="e">
        <f t="array" aca="1" ref="PM58" ca="1">INDEX(Canals!$AL$24:$AL$29,MATCH(2,1/((Canals!$F$24:$F$29&lt;=$C58)*(Canals!$G$24:$G$29=_xlfn.IFS(KS58="Handysize",Main!NB58,KS58="Supramax",MU58,KS58="Panamax",MN58,KS58="NeoPanamax",MG58,KS58="Suezmax",LZ58,KS58="Capesize",LS58,KS58="VLOC",LL58)))))</f>
        <v>#N/A</v>
      </c>
      <c r="PN58" s="136" t="e">
        <f t="array" aca="1" ref="PN58" ca="1">INDEX(Canals!$AM$24:$AM$29,MATCH(2,1/((Canals!$F$24:$F$29&lt;=$C58)*(Canals!$G$24:$G$29=_xlfn.IFS(KS58="Handysize",Main!NB58,KS58="Supramax",MU58,KS58="Panamax",MN58,KS58="NeoPanamax",MG58,KS58="Suezmax",LZ58,KS58="Capesize",LS58,KS58="VLOC",LL58)))))</f>
        <v>#N/A</v>
      </c>
      <c r="PO58" s="136" t="e">
        <f t="array" aca="1" ref="PO58" ca="1">INDEX(Canals!$AN$24:$AN$29,MATCH(2,1/((Canals!$F$24:$F$29&lt;=$C58)*(Canals!$G$24:$G$29=_xlfn.IFS(KS58="Handysize",Main!NB58,KS58="Supramax",MU58,KS58="Panamax",MN58,KS58="NeoPanamax",MG58,KS58="Suezmax",LZ58,KS58="Capesize",LS58,KS58="VLOC",LL58)))))</f>
        <v>#N/A</v>
      </c>
      <c r="PP58" s="136" t="e">
        <f t="array" aca="1" ref="PP58" ca="1">INDEX(Canals!$AO$24:$AO$29,MATCH(2,1/((Canals!$F$24:$F$29&lt;=$C58)*(Canals!$G$24:$G$29=_xlfn.IFS(KS58="Handysize",Main!NB58,KS58="Supramax",MU58,KS58="Panamax",MN58,KS58="NeoPanamax",MG58,KS58="Suezmax",LZ58,KS58="Capesize",LS58,KS58="VLOC",LL58)))))</f>
        <v>#N/A</v>
      </c>
      <c r="PQ58" s="136" t="e">
        <f t="array" aca="1" ref="PQ58" ca="1">INDEX(Canals!$AP$24:$AP$29,MATCH(2,1/((Canals!$F$24:$F$29&lt;=$C58)*(Canals!$G$24:$G$29=_xlfn.IFS(KS58="Handysize",Main!NB58,KS58="Supramax",MU58,KS58="Panamax",MN58,KS58="NeoPanamax",MG58,KS58="Suezmax",LZ58,KS58="Capesize",LS58,KS58="VLOC",LL58)))))</f>
        <v>#N/A</v>
      </c>
      <c r="PR58" s="136" t="e">
        <f t="array" aca="1" ref="PR58" ca="1">INDEX(Canals!$AQ$24:$AQ$29,MATCH(2,1/((Canals!$F$24:$F$29&lt;=$C58)*(Canals!$G$24:$G$29=_xlfn.IFS(KS58="Handysize",Main!NB58,KS58="Supramax",MU58,KS58="Panamax",MN58,KS58="NeoPanamax",MG58,KS58="Suezmax",LZ58,KS58="Capesize",LS58,KS58="VLOC",LL58)))))</f>
        <v>#N/A</v>
      </c>
      <c r="PS58" s="136" t="e">
        <f t="array" aca="1" ref="PS58" ca="1">INDEX(Canals!$AR$24:$AR$29,MATCH(2,1/((Canals!$F$24:$F$29&lt;=$C58)*(Canals!$G$24:$G$29=_xlfn.IFS(KS58="Handysize",Main!NB58,KS58="Supramax",MU58,KS58="Panamax",MN58,KS58="NeoPanamax",MG58,KS58="Suezmax",LZ58,KS58="Capesize",LS58,KS58="VLOC",LL58)))))</f>
        <v>#N/A</v>
      </c>
      <c r="PT58" s="136" t="e">
        <f t="array" aca="1" ref="PT58" ca="1">INDEX(Canals!$AS$24:$AS$29,MATCH(2,1/((Canals!$F$24:$F$29&lt;=$C58)*(Canals!$G$24:$G$29=_xlfn.IFS(KS58="Handysize",Main!NB58,KS58="Supramax",MU58,KS58="Panamax",MN58,KS58="NeoPanamax",MG58,KS58="Suezmax",LZ58,KS58="Capesize",LS58,KS58="VLOC",LL58)))))</f>
        <v>#N/A</v>
      </c>
      <c r="PU58" s="136" t="e">
        <f t="array" aca="1" ref="PU58" ca="1">INDEX(Canals!$AT$24:$AT$29,MATCH(2,1/((Canals!$F$24:$F$29&lt;=$C58)*(Canals!$G$24:$G$29=_xlfn.IFS(KS58="Handysize",Main!NB58,KS58="Supramax",MU58,KS58="Panamax",MN58,KS58="NeoPanamax",MG58,KS58="Suezmax",LZ58,KS58="Capesize",LS58,KS58="VLOC",LL58)))))</f>
        <v>#N/A</v>
      </c>
      <c r="PV58" s="136" t="e">
        <f t="array" aca="1" ref="PV58" ca="1">INDEX(Canals!$AU$24:$AU$29,MATCH(2,1/((Canals!$F$24:$F$29&lt;=$C58)*(Canals!$G$24:$G$29=_xlfn.IFS(KS58="Handysize",Main!NB58,KS58="Supramax",MU58,KS58="Panamax",MN58,KS58="NeoPanamax",MG58,KS58="Suezmax",LZ58,KS58="Capesize",LS58,KS58="VLOC",LL58)))))</f>
        <v>#N/A</v>
      </c>
      <c r="PW58" s="136" t="e">
        <f t="array" aca="1" ref="PW58" ca="1">INDEX(Canals!$AV$24:$AV$29,MATCH(2,1/((Canals!$F$24:$F$29&lt;=$C58)*(Canals!$G$24:$G$29=_xlfn.IFS(KS58="Handysize",Main!NB58,KS58="Supramax",MU58,KS58="Panamax",MN58,KS58="NeoPanamax",MG58,KS58="Suezmax",LZ58,KS58="Capesize",LS58,KS58="VLOC",LL58)))))</f>
        <v>#N/A</v>
      </c>
      <c r="PY58" s="75" t="e">
        <f t="array" aca="1" ref="PY58" ca="1">_xlfn.IFS(OJ58="DWT",KQ58,OJ58="NRT",KU58,OJ58="GRT",KV58)</f>
        <v>#NAME?</v>
      </c>
      <c r="PZ58" s="279" t="e">
        <f t="shared" ca="1" si="422"/>
        <v>#NAME?</v>
      </c>
      <c r="QA58" s="280" t="e">
        <f t="shared" ca="1" si="423"/>
        <v>#NAME?</v>
      </c>
      <c r="QB58" s="280" t="e">
        <f t="shared" ca="1" si="424"/>
        <v>#NAME?</v>
      </c>
      <c r="QC58" s="280" t="e">
        <f t="shared" ca="1" si="425"/>
        <v>#NAME?</v>
      </c>
      <c r="QD58" s="280" t="e">
        <f t="shared" ca="1" si="426"/>
        <v>#NAME?</v>
      </c>
      <c r="QE58" s="280" t="e">
        <f t="shared" ca="1" si="427"/>
        <v>#NAME?</v>
      </c>
      <c r="QF58" s="280" t="e">
        <f t="shared" ca="1" si="428"/>
        <v>#NAME?</v>
      </c>
      <c r="QG58" s="280" t="e">
        <f t="shared" ca="1" si="429"/>
        <v>#NAME?</v>
      </c>
      <c r="QH58" s="280" t="e">
        <f t="shared" ca="1" si="430"/>
        <v>#NAME?</v>
      </c>
      <c r="QI58" s="75">
        <f t="shared" si="431"/>
        <v>56626.506024096387</v>
      </c>
      <c r="QJ58" s="279" t="e">
        <f t="shared" ca="1" si="432"/>
        <v>#N/A</v>
      </c>
      <c r="QK58" s="280" t="e">
        <f t="shared" ca="1" si="433"/>
        <v>#N/A</v>
      </c>
      <c r="QL58" s="280" t="e">
        <f t="shared" ca="1" si="434"/>
        <v>#N/A</v>
      </c>
      <c r="QM58" s="280" t="e">
        <f t="shared" ca="1" si="435"/>
        <v>#N/A</v>
      </c>
      <c r="QN58" s="280" t="e">
        <f t="shared" ca="1" si="436"/>
        <v>#N/A</v>
      </c>
      <c r="QO58" s="280" t="e">
        <f t="shared" ca="1" si="437"/>
        <v>#N/A</v>
      </c>
      <c r="QP58" s="280" t="e">
        <f t="shared" ca="1" si="438"/>
        <v>#N/A</v>
      </c>
      <c r="QQ58" s="280" t="e">
        <f t="shared" ca="1" si="439"/>
        <v>#N/A</v>
      </c>
      <c r="QR58" s="280" t="e">
        <f t="shared" ca="1" si="440"/>
        <v>#N/A</v>
      </c>
      <c r="QT58" s="75" t="e">
        <f t="array" aca="1" ref="QT58" ca="1">_xlfn.IFS(KS58="Handysize",Main!MV58,KS58="Supramax",MO58,KS58="Panamax",MH58,KS58="NeoPanamax",MA58,KS58="Suezmax",LT58,KS58="Capesize",LM58,KS58="VLOC",LF58)*$JI58</f>
        <v>#NAME?</v>
      </c>
      <c r="QU58" s="274" t="e">
        <f t="array" aca="1" ref="QU58" ca="1">_xlfn.IFS(KS58="Handysize",Main!MW58,KS58="Supramax",MP58,KS58="Panamax",MI58,KS58="NeoPanamax",MB58,KS58="Suezmax",LU58,KS58="Capesize",LN58,KS58="VLOC",LG58)*$JI58</f>
        <v>#NAME?</v>
      </c>
      <c r="QV58" s="71" t="e">
        <f t="array" aca="1" ref="QV58" ca="1">_xlfn.IFS(KS58="Handysize",Main!KX58,KS58="Supramax",KY58,KS58="Panamax",KZ58,KS58="NeoPanamax",LA58,KS58="Suezmax",LB58,KS58="Capesize",LC58,KS58="VLOC",LD58)</f>
        <v>#NAME?</v>
      </c>
      <c r="QW58" s="71" t="e">
        <f t="array" aca="1" ref="QW58" ca="1">_xlfn.IFS(KS58="Handysize",Main!NJ58,KS58="Supramax",NK58,KS58="Panamax",NL58,KS58="NeoPanamax",NM58,KS58="Suezmax",NN58,KS58="Capesize",NO58,KS58="VLOC",NP58)</f>
        <v>#NAME?</v>
      </c>
      <c r="QX58" s="70">
        <f t="array" ref="QX58">INDEX('Ship Speeds'!$G$11:$G$1011,MATCH(2,1/(('Ship Speeds'!$E$11:$E$1011&lt;=Main!$C58)*('Ship Speeds'!$F$11:$F$1011=Main!KR58))))</f>
        <v>11</v>
      </c>
      <c r="QY58" s="403">
        <f t="shared" si="441"/>
        <v>17.645973978233556</v>
      </c>
      <c r="QZ58" s="401">
        <f t="shared" si="442"/>
        <v>1.8202780352177941</v>
      </c>
      <c r="RA58" s="70" t="e">
        <f t="shared" ref="RA58:RA63" ca="1" si="651">QT58/QX58/$JH58</f>
        <v>#NAME?</v>
      </c>
      <c r="RB58" s="70" t="e">
        <f t="shared" ca="1" si="443"/>
        <v>#NAME?</v>
      </c>
      <c r="RC58" s="70" t="e">
        <f t="shared" ca="1" si="444"/>
        <v>#NAME?</v>
      </c>
      <c r="RD58" s="70" t="e">
        <f t="shared" ca="1" si="445"/>
        <v>#NAME?</v>
      </c>
      <c r="RE58" s="72" t="e">
        <f t="shared" ref="RE58:RE63" ca="1" si="652">PW58*$JI58</f>
        <v>#N/A</v>
      </c>
      <c r="RF58" s="70" t="e">
        <f t="shared" ca="1" si="446"/>
        <v>#NAME?</v>
      </c>
      <c r="RG58" s="70" t="e">
        <f t="array" aca="1" ref="RG58" ca="1">INDEX(ND58:NH58,MATCH(_xlfn.IFS(KS58="Handysize",Main!MZ58,KS58="Supramax",MS58,KS58="Panamax",ML58,KS58="NeoPanamax",ME58,KS58="Suezmax",LX58,KS58="Capesize",LQ58,KS58="VLOC",LJ58),$ND$7:$NH$7,0))</f>
        <v>#NAME?</v>
      </c>
      <c r="RH58" s="70" t="e">
        <f t="array" aca="1" ref="RH58" ca="1">INDEX(ND58:NH58,MATCH(_xlfn.IFS(KS58="Handysize",Main!NA58,KS58="Supramax",MT58,KS58="Panamax",MM58,KS58="NeoPanamax",MF58,KS58="Suezmax",LY58,KS58="Capesize",LR58,KS58="VLOC",LK58),$ND$7:$NH$7,0))</f>
        <v>#NAME?</v>
      </c>
      <c r="RI58" s="71" t="e">
        <f t="shared" ca="1" si="447"/>
        <v>#NAME?</v>
      </c>
      <c r="RJ58" s="71" t="e">
        <f t="shared" ca="1" si="448"/>
        <v>#NAME?</v>
      </c>
      <c r="RK58" s="281">
        <f t="shared" ref="RK58:RK63" si="653">INDEX($JA58:$JD58,MATCH(NQ58,$JA$7:$JD$7,0))</f>
        <v>7.0834199999999994</v>
      </c>
      <c r="RL58" s="71">
        <f t="shared" ref="RL58:RL63" si="654">NR58/RK58</f>
        <v>1742.3786814843679</v>
      </c>
      <c r="RM58" s="71" t="e">
        <f t="shared" ref="RM58:RM63" ca="1" si="655">NS58*SUM(RD58,$JX58)/RK58</f>
        <v>#NAME?</v>
      </c>
      <c r="RN58" s="71" t="e">
        <f t="shared" ref="RN58:RN63" ca="1" si="656">NT58*(RF58*(1-$JW58))/RK58</f>
        <v>#NAME?</v>
      </c>
      <c r="RO58" s="71">
        <f t="shared" ref="RO58:RO63" si="657">NU58*(KQ58*$JN58)/RK58</f>
        <v>21104.773669161859</v>
      </c>
      <c r="RP58" s="71" t="e">
        <f t="shared" ref="RP58:RP63" ca="1" si="658">NV58*(KQ58*$JN58)*SUM(RD58,$JX58)/RK58</f>
        <v>#NAME?</v>
      </c>
      <c r="RQ58" s="71" t="e">
        <f t="shared" ref="RQ58:RQ63" ca="1" si="659">NW58*(KQ58*$JN58)*(RF58*(1-$JW58))/RK58</f>
        <v>#NAME?</v>
      </c>
      <c r="RR58" s="71">
        <f t="shared" ref="RR58:RR63" si="660">NX58*KU58/RK58</f>
        <v>14983.257813742701</v>
      </c>
      <c r="RS58" s="71" t="e">
        <f t="shared" ref="RS58:RS63" ca="1" si="661">NY58*KU58*SUM(RD58,$JX58)/RK58</f>
        <v>#NAME?</v>
      </c>
      <c r="RT58" s="71" t="e">
        <f t="shared" ref="RT58:RT63" ca="1" si="662">NZ58*KU58*(RF58*(1-$JW58))/RK58</f>
        <v>#NAME?</v>
      </c>
      <c r="RU58" s="71">
        <f t="shared" ref="RU58:RU63" si="663">OA58*KV58/RK58</f>
        <v>0</v>
      </c>
      <c r="RV58" s="71" t="e">
        <f t="shared" ref="RV58:RV63" ca="1" si="664">OB58*KV58*SUM(RD58,$JX58)/RK58</f>
        <v>#NAME?</v>
      </c>
      <c r="RW58" s="71" t="e">
        <f t="shared" ref="RW58:RW63" ca="1" si="665">OC58*KV58*(RF58*(1-$JW58))/RK58</f>
        <v>#NAME?</v>
      </c>
      <c r="RX58" s="72">
        <f t="shared" ref="RX58:RX63" si="666">OD58*KT58/RK58</f>
        <v>5467.517520694968</v>
      </c>
      <c r="RY58" s="72" t="e">
        <f t="shared" ref="RY58:RY63" ca="1" si="667">OE58*KT58*SUM(RD58,$JX58)/RK58</f>
        <v>#NAME?</v>
      </c>
      <c r="RZ58" s="71" t="e">
        <f t="shared" ref="RZ58:RZ63" ca="1" si="668">OF58*KT58*(RF58*(1-$JW58))/RK58</f>
        <v>#NAME?</v>
      </c>
      <c r="SA58" s="71" t="e">
        <f t="array" aca="1" ref="SA58" ca="1">INDEX('Ship Time Charter Rates'!$H$22:$H$1021,MATCH(2,1/(('Ship Time Charter Rates'!$G$22:$G$1021=_xlfn.IFS(KS58="Handysize",Main!MX58,KS58="Supramax",MQ58,KS58="Panamax",MJ58,KS58="NeoPanamax",MC58,KS58="Suezmax",LV58,KS58="Capesize",LO58,KS58="VLOC",LH58))*('Ship Time Charter Rates'!$E$22:$E$1021&lt;=Main!$C58)*(NOT(ISBLANK('Ship Time Charter Rates'!$H$22:$H$1021))))))</f>
        <v>#N/A</v>
      </c>
      <c r="SB58" s="71" t="e">
        <f t="shared" ca="1" si="449"/>
        <v>#NAME?</v>
      </c>
      <c r="SC58" s="70" t="e">
        <f t="shared" ref="SC58:SC63" ca="1" si="669">SUMPRODUCT(OT58:PB58,PZ58:QH58)+SUMPRODUCT(PM58:PU58,QJ58:QR58)</f>
        <v>#N/A</v>
      </c>
      <c r="SD58" s="71" t="e">
        <f t="shared" ref="SD58:SD63" ca="1" si="670">SUM(RI58,RJ58)+SB58+SC58+SUM(RL58:RZ58)</f>
        <v>#NAME?</v>
      </c>
      <c r="SE58" s="71" t="e">
        <f t="shared" ca="1" si="450"/>
        <v>#NAME?</v>
      </c>
      <c r="SF58" s="72" t="e">
        <f t="shared" ca="1" si="451"/>
        <v>#NAME?</v>
      </c>
      <c r="SH58" s="25">
        <f t="shared" ref="SH58:SH63" si="671">IF($AO58="yes",$AN58,$AR58)/(1-$AL58)/$JN58</f>
        <v>0</v>
      </c>
      <c r="SI58" s="4" t="str">
        <f>VLOOKUP(SH58,'Ship Time Charter Rates'!$F$10:$G$17,2,TRUE)</f>
        <v>Handysize</v>
      </c>
      <c r="SJ58" s="4" t="str">
        <f>VLOOKUP(SH58,Canals!$E$5:$F$12,2,TRUE)</f>
        <v>Handysize</v>
      </c>
      <c r="SK58" s="25">
        <f t="shared" si="452"/>
        <v>145.88999999999999</v>
      </c>
      <c r="SL58" s="25">
        <f t="shared" si="453"/>
        <v>0</v>
      </c>
      <c r="SM58" s="25">
        <f t="shared" si="454"/>
        <v>4797</v>
      </c>
      <c r="SO58" s="75">
        <f t="array" ref="SO58">INDEX('Indices Mines Exporting Ports'!$R$20:$R$51,MATCH(2,1/(('Indices Mines Exporting Ports'!$D$20:$D$51&lt;=Main!$C58)*('Indices Mines Exporting Ports'!$Q$20:$Q$51=$AQ58))))</f>
        <v>0</v>
      </c>
      <c r="SP58" s="75">
        <f t="array" ref="SP58">INDEX('Indices Mines Exporting Ports'!$S$20:$S$51,MATCH(2,1/(('Indices Mines Exporting Ports'!$D$20:$D$51&lt;=Main!$C58)*('Indices Mines Exporting Ports'!$Q$20:$Q$51=$AQ58))))</f>
        <v>0</v>
      </c>
      <c r="SQ58" s="75">
        <f t="array" ref="SQ58">INDEX('Indices Mines Exporting Ports'!$T$20:$T$51,MATCH(2,1/(('Indices Mines Exporting Ports'!$D$20:$D$51&lt;=Main!$C58)*('Indices Mines Exporting Ports'!$Q$20:$Q$51=$AQ58))))</f>
        <v>0</v>
      </c>
      <c r="SR58" s="75">
        <f t="array" ref="SR58">INDEX('Indices Mines Exporting Ports'!$U$20:$U$51,MATCH(2,1/(('Indices Mines Exporting Ports'!$D$20:$D$51&lt;=Main!$C58)*('Indices Mines Exporting Ports'!$Q$20:$Q$51=$AQ58))))</f>
        <v>0</v>
      </c>
      <c r="SS58" s="75">
        <f t="array" ref="SS58">INDEX('Indices Mines Exporting Ports'!$V$20:$V$51,MATCH(2,1/(('Indices Mines Exporting Ports'!$D$20:$D$51&lt;=Main!$C58)*('Indices Mines Exporting Ports'!$Q$20:$Q$51=$AQ58))))</f>
        <v>0</v>
      </c>
      <c r="ST58" s="75">
        <f t="array" ref="ST58">INDEX('Indices Mines Exporting Ports'!$W$20:$W$51,MATCH(2,1/(('Indices Mines Exporting Ports'!$D$20:$D$51&lt;=Main!$C58)*('Indices Mines Exporting Ports'!$Q$20:$Q$51=$AQ58))))</f>
        <v>0</v>
      </c>
      <c r="SU58" s="75">
        <f t="array" ref="SU58">INDEX('Indices Mines Exporting Ports'!$X$20:$X$51,MATCH(2,1/(('Indices Mines Exporting Ports'!$D$20:$D$51&lt;=Main!$C58)*('Indices Mines Exporting Ports'!$Q$20:$Q$51=$AQ58))))</f>
        <v>0</v>
      </c>
      <c r="SW58" s="75">
        <f t="array" ref="SW58">INDEX('Port Linkages'!$E$18:$E$157,MATCH(2,1/(('Port Linkages'!$C$18:$C$157=$AQ58)*('Port Linkages'!$D$18:$D$157=IF($AO58="no",$AQ58,$AS58))*('Port Linkages'!$A$18:$A$157&lt;=$C58))))</f>
        <v>0</v>
      </c>
      <c r="SX58" s="75">
        <f t="array" ref="SX58">INDEX('Port Linkages'!$F$18:$F$157,MATCH(2,1/(('Port Linkages'!$C$18:$C$157=$AQ58)*('Port Linkages'!$D$18:$D$157=IF($AO58="no",$AQ58,$AS58))*('Port Linkages'!$A$18:$A$157&lt;=$C58))))</f>
        <v>0</v>
      </c>
      <c r="SY58" s="75">
        <f t="array" ref="SY58">INDEX('Port Linkages'!$G$18:$G$157,MATCH(2,1/(('Port Linkages'!$C$18:$C$157=$AQ58)*('Port Linkages'!$D$18:$D$157=IF($AO58="no",$AQ58,$AS58))*('Port Linkages'!$A$18:$A$157&lt;=$C58))))</f>
        <v>0</v>
      </c>
      <c r="SZ58" s="75">
        <f t="array" ref="SZ58">INDEX('Port Linkages'!$H$18:$H$157,MATCH(2,1/(('Port Linkages'!$C$18:$C$157=$AQ58)*('Port Linkages'!$D$18:$D$157=IF($AO58="no",$AQ58,$AS58))*('Port Linkages'!$A$18:$A$157&lt;=$C58))))</f>
        <v>0</v>
      </c>
      <c r="TA58" s="75">
        <f t="array" ref="TA58">INDEX('Port Linkages'!$I$18:$I$157,MATCH(2,1/(('Port Linkages'!$C$18:$C$157=$AQ58)*('Port Linkages'!$D$18:$D$157=IF($AO58="no",$AQ58,$AS58))*('Port Linkages'!$A$18:$A$157&lt;=$C58))))</f>
        <v>0</v>
      </c>
      <c r="TB58" s="75">
        <f t="array" ref="TB58">INDEX('Port Linkages'!$J$18:$J$157,MATCH(2,1/(('Port Linkages'!$C$18:$C$157=$AQ58)*('Port Linkages'!$D$18:$D$157=IF($AO58="no",$AQ58,$AS58))*('Port Linkages'!$A$18:$A$157&lt;=$C58))))</f>
        <v>0</v>
      </c>
      <c r="TC58" s="75">
        <f t="array" ref="TC58">INDEX('Port Linkages'!$K$18:$K$157,MATCH(2,1/(('Port Linkages'!$C$18:$C$157=$AQ58)*('Port Linkages'!$D$18:$D$157=IF($AO58="no",$AQ58,$AS58))*('Port Linkages'!$A$18:$A$157&lt;=$C58))))</f>
        <v>0</v>
      </c>
      <c r="TD58" s="75">
        <f t="array" ref="TD58">INDEX('Port Linkages'!$L$18:$L$157,MATCH(2,1/(('Port Linkages'!$C$18:$C$157=$AQ58)*('Port Linkages'!$D$18:$D$157=IF($AO58="no",$AQ58,$AS58))*('Port Linkages'!$A$18:$A$157&lt;=$C58))))</f>
        <v>0</v>
      </c>
      <c r="TE58" s="75">
        <f t="array" ref="TE58">INDEX('Port Linkages'!$M$18:$M$157,MATCH(2,1/(('Port Linkages'!$C$18:$C$157=$AQ58)*('Port Linkages'!$D$18:$D$157=IF($AO58="no",$AQ58,$AS58))*('Port Linkages'!$A$18:$A$157&lt;=$C58))))</f>
        <v>0</v>
      </c>
      <c r="TF58" s="75">
        <f t="array" ref="TF58">INDEX('Port Linkages'!$N$18:$N$157,MATCH(2,1/(('Port Linkages'!$C$18:$C$157=$AQ58)*('Port Linkages'!$D$18:$D$157=IF($AO58="no",$AQ58,$AS58))*('Port Linkages'!$A$18:$A$157&lt;=$C58))))</f>
        <v>0</v>
      </c>
      <c r="TG58" s="75">
        <f t="array" ref="TG58">INDEX('Port Linkages'!$O$18:$O$157,MATCH(2,1/(('Port Linkages'!$C$18:$C$157=$AQ58)*('Port Linkages'!$D$18:$D$157=IF($AO58="no",$AQ58,$AS58))*('Port Linkages'!$A$18:$A$157&lt;=$C58))))</f>
        <v>0</v>
      </c>
      <c r="TH58" s="75">
        <f t="array" ref="TH58">INDEX('Port Linkages'!$P$18:$P$157,MATCH(2,1/(('Port Linkages'!$C$18:$C$157=$AQ58)*('Port Linkages'!$D$18:$D$157=IF($AO58="no",$AQ58,$AS58))*('Port Linkages'!$A$18:$A$157&lt;=$C58))))</f>
        <v>0</v>
      </c>
      <c r="TI58" s="75">
        <f t="array" ref="TI58">INDEX('Port Linkages'!$Q$18:$Q$157,MATCH(2,1/(('Port Linkages'!$C$18:$C$157=$AQ58)*('Port Linkages'!$D$18:$D$157=IF($AO58="no",$AQ58,$AS58))*('Port Linkages'!$A$18:$A$157&lt;=$C58))))</f>
        <v>0</v>
      </c>
      <c r="TJ58" s="75">
        <f t="array" ref="TJ58">INDEX('Port Linkages'!$R$18:$R$157,MATCH(2,1/(('Port Linkages'!$C$18:$C$157=$AQ58)*('Port Linkages'!$D$18:$D$157=IF($AO58="no",$AQ58,$AS58))*('Port Linkages'!$A$18:$A$157&lt;=$C58))))</f>
        <v>0</v>
      </c>
      <c r="TK58" s="75">
        <f t="array" ref="TK58">INDEX('Port Linkages'!$S$18:$S$157,MATCH(2,1/(('Port Linkages'!$C$18:$C$157=$AQ58)*('Port Linkages'!$D$18:$D$157=IF($AO58="no",$AQ58,$AS58))*('Port Linkages'!$A$18:$A$157&lt;=$C58))))</f>
        <v>0</v>
      </c>
      <c r="TL58" s="75">
        <f t="array" ref="TL58">INDEX('Port Linkages'!$T$18:$T$157,MATCH(2,1/(('Port Linkages'!$C$18:$C$157=$AQ58)*('Port Linkages'!$D$18:$D$157=IF($AO58="no",$AQ58,$AS58))*('Port Linkages'!$A$18:$A$157&lt;=$C58))))</f>
        <v>0</v>
      </c>
      <c r="TM58" s="75">
        <f t="array" ref="TM58">INDEX('Port Linkages'!$U$18:$U$157,MATCH(2,1/(('Port Linkages'!$C$18:$C$157=$AQ58)*('Port Linkages'!$D$18:$D$157=IF($AO58="no",$AQ58,$AS58))*('Port Linkages'!$A$18:$A$157&lt;=$C58))))</f>
        <v>0</v>
      </c>
      <c r="TN58" s="75">
        <f t="array" ref="TN58">INDEX('Port Linkages'!$V$18:$V$157,MATCH(2,1/(('Port Linkages'!$C$18:$C$157=$AQ58)*('Port Linkages'!$D$18:$D$157=IF($AO58="no",$AQ58,$AS58))*('Port Linkages'!$A$18:$A$157&lt;=$C58))))</f>
        <v>0</v>
      </c>
      <c r="TO58" s="75">
        <f t="array" ref="TO58">INDEX('Port Linkages'!$W$18:$W$157,MATCH(2,1/(('Port Linkages'!$C$18:$C$157=$AQ58)*('Port Linkages'!$D$18:$D$157=IF($AO58="no",$AQ58,$AS58))*('Port Linkages'!$A$18:$A$157&lt;=$C58))))</f>
        <v>0</v>
      </c>
      <c r="TP58" s="75">
        <f t="array" ref="TP58">INDEX('Port Linkages'!$X$18:$X$157,MATCH(2,1/(('Port Linkages'!$C$18:$C$157=$AQ58)*('Port Linkages'!$D$18:$D$157=IF($AO58="no",$AQ58,$AS58))*('Port Linkages'!$A$18:$A$157&lt;=$C58))))</f>
        <v>0</v>
      </c>
      <c r="TQ58" s="75">
        <f t="array" ref="TQ58">INDEX('Port Linkages'!$Y$18:$Y$157,MATCH(2,1/(('Port Linkages'!$C$18:$C$157=$AQ58)*('Port Linkages'!$D$18:$D$157=IF($AO58="no",$AQ58,$AS58))*('Port Linkages'!$A$18:$A$157&lt;=$C58))))</f>
        <v>0</v>
      </c>
      <c r="TR58" s="75">
        <f t="array" ref="TR58">INDEX('Port Linkages'!$Z$18:$Z$157,MATCH(2,1/(('Port Linkages'!$C$18:$C$157=$AQ58)*('Port Linkages'!$D$18:$D$157=IF($AO58="no",$AQ58,$AS58))*('Port Linkages'!$A$18:$A$157&lt;=$C58))))</f>
        <v>0</v>
      </c>
      <c r="TS58" s="75">
        <f t="array" ref="TS58">INDEX('Port Linkages'!$AA$18:$AA$157,MATCH(2,1/(('Port Linkages'!$C$18:$C$157=$AQ58)*('Port Linkages'!$D$18:$D$157=IF($AO58="no",$AQ58,$AS58))*('Port Linkages'!$A$18:$A$157&lt;=$C58))))</f>
        <v>0</v>
      </c>
      <c r="TT58" s="75">
        <f t="array" ref="TT58">INDEX('Port Linkages'!$AB$18:$AB$157,MATCH(2,1/(('Port Linkages'!$C$18:$C$157=$AQ58)*('Port Linkages'!$D$18:$D$157=IF($AO58="no",$AQ58,$AS58))*('Port Linkages'!$A$18:$A$157&lt;=$C58))))</f>
        <v>0</v>
      </c>
      <c r="TU58" s="75">
        <f t="array" ref="TU58">INDEX('Port Linkages'!$AC$18:$AC$157,MATCH(2,1/(('Port Linkages'!$C$18:$C$157=$AQ58)*('Port Linkages'!$D$18:$D$157=IF($AO58="no",$AQ58,$AS58))*('Port Linkages'!$A$18:$A$157&lt;=$C58))))</f>
        <v>0</v>
      </c>
      <c r="TV58" s="75">
        <f t="array" ref="TV58">INDEX('Port Linkages'!$AD$18:$AD$157,MATCH(2,1/(('Port Linkages'!$C$18:$C$157=$AQ58)*('Port Linkages'!$D$18:$D$157=IF($AO58="no",$AQ58,$AS58))*('Port Linkages'!$A$18:$A$157&lt;=$C58))))</f>
        <v>0</v>
      </c>
      <c r="TW58" s="75">
        <f t="array" ref="TW58">INDEX('Port Linkages'!$AE$18:$AE$157,MATCH(2,1/(('Port Linkages'!$C$18:$C$157=$AQ58)*('Port Linkages'!$D$18:$D$157=IF($AO58="no",$AQ58,$AS58))*('Port Linkages'!$A$18:$A$157&lt;=$C58))))</f>
        <v>0</v>
      </c>
      <c r="TX58" s="75">
        <f t="array" ref="TX58">INDEX('Port Linkages'!$AF$18:$AF$157,MATCH(2,1/(('Port Linkages'!$C$18:$C$157=$AQ58)*('Port Linkages'!$D$18:$D$157=IF($AO58="no",$AQ58,$AS58))*('Port Linkages'!$A$18:$A$157&lt;=$C58))))</f>
        <v>0</v>
      </c>
      <c r="TY58" s="75">
        <f t="array" ref="TY58">INDEX('Port Linkages'!$AG$18:$AG$157,MATCH(2,1/(('Port Linkages'!$C$18:$C$157=$AQ58)*('Port Linkages'!$D$18:$D$157=IF($AO58="no",$AQ58,$AS58))*('Port Linkages'!$A$18:$A$157&lt;=$C58))))</f>
        <v>0</v>
      </c>
      <c r="TZ58" s="75">
        <f t="array" ref="TZ58">INDEX('Port Linkages'!$AH$18:$AH$157,MATCH(2,1/(('Port Linkages'!$C$18:$C$157=$AQ58)*('Port Linkages'!$D$18:$D$157=IF($AO58="no",$AQ58,$AS58))*('Port Linkages'!$A$18:$A$157&lt;=$C58))))</f>
        <v>0</v>
      </c>
      <c r="UA58" s="75">
        <f t="array" ref="UA58">INDEX('Port Linkages'!$AI$18:$AI$157,MATCH(2,1/(('Port Linkages'!$C$18:$C$157=$AQ58)*('Port Linkages'!$D$18:$D$157=IF($AO58="no",$AQ58,$AS58))*('Port Linkages'!$A$18:$A$157&lt;=$C58))))</f>
        <v>0</v>
      </c>
      <c r="UB58" s="75">
        <f t="array" ref="UB58">INDEX('Port Linkages'!$AJ$18:$AJ$157,MATCH(2,1/(('Port Linkages'!$C$18:$C$157=$AQ58)*('Port Linkages'!$D$18:$D$157=IF($AO58="no",$AQ58,$AS58))*('Port Linkages'!$A$18:$A$157&lt;=$C58))))</f>
        <v>0</v>
      </c>
      <c r="UC58" s="75">
        <f t="array" ref="UC58">INDEX('Port Linkages'!$AK$18:$AK$157,MATCH(2,1/(('Port Linkages'!$C$18:$C$157=$AQ58)*('Port Linkages'!$D$18:$D$157=IF($AO58="no",$AQ58,$AS58))*('Port Linkages'!$A$18:$A$157&lt;=$C58))))</f>
        <v>0</v>
      </c>
      <c r="UD58" s="75">
        <f t="array" ref="UD58">INDEX('Port Linkages'!$AL$18:$AL$157,MATCH(2,1/(('Port Linkages'!$C$18:$C$157=$AQ58)*('Port Linkages'!$D$18:$D$157=IF($AO58="no",$AQ58,$AS58))*('Port Linkages'!$A$18:$A$157&lt;=$C58))))</f>
        <v>0</v>
      </c>
      <c r="UE58" s="75">
        <f t="array" ref="UE58">INDEX('Port Linkages'!$AM$18:$AM$157,MATCH(2,1/(('Port Linkages'!$C$18:$C$157=$AQ58)*('Port Linkages'!$D$18:$D$157=IF($AO58="no",$AQ58,$AS58))*('Port Linkages'!$A$18:$A$157&lt;=$C58))))</f>
        <v>0</v>
      </c>
      <c r="UF58" s="75">
        <f t="array" ref="UF58">INDEX('Port Linkages'!$AN$18:$AN$157,MATCH(2,1/(('Port Linkages'!$C$18:$C$157=$AQ58)*('Port Linkages'!$D$18:$D$157=IF($AO58="no",$AQ58,$AS58))*('Port Linkages'!$A$18:$A$157&lt;=$C58))))</f>
        <v>0</v>
      </c>
      <c r="UG58" s="75">
        <f t="array" ref="UG58">INDEX('Port Linkages'!$AO$18:$AO$157,MATCH(2,1/(('Port Linkages'!$C$18:$C$157=$AQ58)*('Port Linkages'!$D$18:$D$157=IF($AO58="no",$AQ58,$AS58))*('Port Linkages'!$A$18:$A$157&lt;=$C58))))</f>
        <v>0</v>
      </c>
      <c r="UH58" s="75">
        <f t="array" ref="UH58">INDEX('Port Linkages'!$AP$18:$AP$157,MATCH(2,1/(('Port Linkages'!$C$18:$C$157=$AQ58)*('Port Linkages'!$D$18:$D$157=IF($AO58="no",$AQ58,$AS58))*('Port Linkages'!$A$18:$A$157&lt;=$C58))))</f>
        <v>0</v>
      </c>
      <c r="UI58" s="75">
        <f t="array" ref="UI58">INDEX('Port Linkages'!$AQ$18:$AQ$157,MATCH(2,1/(('Port Linkages'!$C$18:$C$157=$AQ58)*('Port Linkages'!$D$18:$D$157=IF($AO58="no",$AQ58,$AS58))*('Port Linkages'!$A$18:$A$157&lt;=$C58))))</f>
        <v>0</v>
      </c>
      <c r="UJ58" s="75">
        <f t="array" ref="UJ58">INDEX('Port Linkages'!$AR$18:$AR$157,MATCH(2,1/(('Port Linkages'!$C$18:$C$157=$AQ58)*('Port Linkages'!$D$18:$D$157=IF($AO58="no",$AQ58,$AS58))*('Port Linkages'!$A$18:$A$157&lt;=$C58))))</f>
        <v>0</v>
      </c>
      <c r="UK58" s="75">
        <f t="array" ref="UK58">INDEX('Port Linkages'!$AS$18:$AS$157,MATCH(2,1/(('Port Linkages'!$C$18:$C$157=$AQ58)*('Port Linkages'!$D$18:$D$157=IF($AO58="no",$AQ58,$AS58))*('Port Linkages'!$A$18:$A$157&lt;=$C58))))</f>
        <v>0</v>
      </c>
      <c r="UL58" s="75">
        <f t="array" ref="UL58">INDEX('Port Linkages'!$AT$18:$AT$157,MATCH(2,1/(('Port Linkages'!$C$18:$C$157=$AQ58)*('Port Linkages'!$D$18:$D$157=IF($AO58="no",$AQ58,$AS58))*('Port Linkages'!$A$18:$A$157&lt;=$C58))))</f>
        <v>0</v>
      </c>
      <c r="UM58" s="75">
        <f t="array" ref="UM58">INDEX('Port Linkages'!$AU$18:$AU$157,MATCH(2,1/(('Port Linkages'!$C$18:$C$157=$AQ58)*('Port Linkages'!$D$18:$D$157=IF($AO58="no",$AQ58,$AS58))*('Port Linkages'!$A$18:$A$157&lt;=$C58))))</f>
        <v>0</v>
      </c>
      <c r="UN58" s="75">
        <f t="array" ref="UN58">INDEX('Port Linkages'!$AV$18:$AV$157,MATCH(2,1/(('Port Linkages'!$C$18:$C$157=$AQ58)*('Port Linkages'!$D$18:$D$157=IF($AO58="no",$AQ58,$AS58))*('Port Linkages'!$A$18:$A$157&lt;=$C58))))</f>
        <v>0</v>
      </c>
      <c r="UO58" s="75">
        <f t="array" ref="UO58">INDEX('Port Linkages'!$AW$18:$AW$157,MATCH(2,1/(('Port Linkages'!$C$18:$C$157=$AQ58)*('Port Linkages'!$D$18:$D$157=IF($AO58="no",$AQ58,$AS58))*('Port Linkages'!$A$18:$A$157&lt;=$C58))))</f>
        <v>0</v>
      </c>
      <c r="UP58" s="75">
        <f t="array" ref="UP58">INDEX('Port Linkages'!$AX$18:$AX$157,MATCH(2,1/(('Port Linkages'!$C$18:$C$157=$AQ58)*('Port Linkages'!$D$18:$D$157=IF($AO58="no",$AQ58,$AS58))*('Port Linkages'!$A$18:$A$157&lt;=$C58))))</f>
        <v>0</v>
      </c>
      <c r="UQ58" s="75">
        <f t="array" ref="UQ58">INDEX('Port Linkages'!$AY$18:$AY$157,MATCH(2,1/(('Port Linkages'!$C$18:$C$157=$AQ58)*('Port Linkages'!$D$18:$D$157=IF($AO58="no",$AQ58,$AS58))*('Port Linkages'!$A$18:$A$157&lt;=$C58))))</f>
        <v>0</v>
      </c>
      <c r="UR58" s="75">
        <f t="array" ref="UR58">INDEX('Port Linkages'!$AZ$18:$AZ$157,MATCH(2,1/(('Port Linkages'!$C$18:$C$157=$AQ58)*('Port Linkages'!$D$18:$D$157=IF($AO58="no",$AQ58,$AS58))*('Port Linkages'!$A$18:$A$157&lt;=$C58))))</f>
        <v>0</v>
      </c>
      <c r="US58" s="75">
        <f t="array" ref="US58">INDEX('Port Linkages'!$BA$18:$BA$157,MATCH(2,1/(('Port Linkages'!$C$18:$C$157=$AQ58)*('Port Linkages'!$D$18:$D$157=IF($AO58="no",$AQ58,$AS58))*('Port Linkages'!$A$18:$A$157&lt;=$C58))))</f>
        <v>0</v>
      </c>
      <c r="UU58" s="25" t="e">
        <f t="array" aca="1" ref="UU58" ca="1">INDEX('Ship Fuel Prices'!$F$5:$F$1004,MATCH(2,1/(('Ship Fuel Prices'!$E$5:$E$1004=_xlfn.IFS(SJ58="Handysize",Main!UP58,SJ58="Supramax",UI58,SJ58="Panamax",UB58,SJ58="NeoPanamax",TU58,SJ58="Suezmax",TN58,SJ58="Capesize",TG58,SJ58="VLOC",SZ58))*('Ship Fuel Prices'!$D$5:$D$1004&lt;=Main!$C58))))</f>
        <v>#N/A</v>
      </c>
      <c r="UV58" s="25" t="e">
        <f t="array" aca="1" ref="UV58" ca="1">INDEX('Ship Fuel Prices'!$G$5:$G$1004,MATCH(2,1/(('Ship Fuel Prices'!$E$5:$E$1004=_xlfn.IFS(SJ58="Handysize",Main!UP58,SJ58="Supramax",UI58,SJ58="Panamax",UB58,SJ58="NeoPanamax",TU58,SJ58="Suezmax",TN58,SJ58="Capesize",TG58,SJ58="VLOC",SZ58))*('Ship Fuel Prices'!$D$5:$D$1004&lt;=Main!$C58))))</f>
        <v>#N/A</v>
      </c>
      <c r="UW58" s="25" t="e">
        <f t="array" aca="1" ref="UW58" ca="1">INDEX('Ship Fuel Prices'!$H$5:$H$1004,MATCH(2,1/(('Ship Fuel Prices'!$E$5:$E$1004=_xlfn.IFS(SJ58="Handysize",Main!UP58,SJ58="Supramax",UI58,SJ58="Panamax",UB58,SJ58="NeoPanamax",TU58,SJ58="Suezmax",TN58,SJ58="Capesize",TG58,SJ58="VLOC",SZ58))*('Ship Fuel Prices'!$D$5:$D$1004&lt;=Main!$C58))))</f>
        <v>#N/A</v>
      </c>
      <c r="UX58" s="25" t="e">
        <f t="array" aca="1" ref="UX58" ca="1">INDEX('Ship Fuel Prices'!$I$5:$I$1004,MATCH(2,1/(('Ship Fuel Prices'!$E$5:$E$1004=_xlfn.IFS(SJ58="Handysize",Main!UP58,SJ58="Supramax",UI58,SJ58="Panamax",UB58,SJ58="NeoPanamax",TU58,SJ58="Suezmax",TN58,SJ58="Capesize",TG58,SJ58="VLOC",SZ58))*('Ship Fuel Prices'!$D$5:$D$1004&lt;=Main!$C58))))</f>
        <v>#N/A</v>
      </c>
      <c r="UY58" s="25" t="e">
        <f t="array" aca="1" ref="UY58" ca="1">INDEX('Ship Fuel Prices'!$J$5:$J$1004,MATCH(2,1/(('Ship Fuel Prices'!$E$5:$E$1004=_xlfn.IFS(SJ58="Handysize",Main!UP58,SJ58="Supramax",UI58,SJ58="Panamax",UB58,SJ58="NeoPanamax",TU58,SJ58="Suezmax",TN58,SJ58="Capesize",TG58,SJ58="VLOC",SZ58))*('Ship Fuel Prices'!$D$5:$D$1004&lt;=Main!$C58))))</f>
        <v>#N/A</v>
      </c>
      <c r="VA58" s="75">
        <f t="array" ref="VA58">INDEX('China n Importing Ports'!$E$20:$E$41,MATCH(2,1/(('China n Importing Ports'!$D$20:$D$41&lt;=$C58)*('China n Importing Ports'!$C$20:$C$41=IF($AO58="No",$AQ58,$AS58)))))</f>
        <v>0</v>
      </c>
      <c r="VB58" s="75">
        <f t="array" ref="VB58">INDEX('China n Importing Ports'!$F$20:$F$41,MATCH(2,1/(('China n Importing Ports'!$D$20:$D$41&lt;=$C58)*('China n Importing Ports'!$C$20:$C$41=IF($AO58="No",$AQ58,$AS58)))))</f>
        <v>0</v>
      </c>
      <c r="VC58" s="75">
        <f t="array" ref="VC58">INDEX('China n Importing Ports'!$G$20:$G$41,MATCH(2,1/(('China n Importing Ports'!$D$20:$D$41&lt;=$C58)*('China n Importing Ports'!$C$20:$C$41=IF($AO58="No",$AQ58,$AS58)))))</f>
        <v>0</v>
      </c>
      <c r="VD58" s="75">
        <f t="array" ref="VD58">INDEX('China n Importing Ports'!$H$20:$H$41,MATCH(2,1/(('China n Importing Ports'!$D$20:$D$41&lt;=$C58)*('China n Importing Ports'!$C$20:$C$41=IF($AO58="No",$AQ58,$AS58)))))</f>
        <v>0</v>
      </c>
      <c r="VE58" s="75">
        <f t="array" ref="VE58">INDEX('China n Importing Ports'!$I$20:$I$41,MATCH(2,1/(('China n Importing Ports'!$D$20:$D$41&lt;=$C58)*('China n Importing Ports'!$C$20:$C$41=IF($AO58="No",$AQ58,$AS58)))))</f>
        <v>0</v>
      </c>
      <c r="VF58" s="75">
        <f t="array" ref="VF58">INDEX('China n Importing Ports'!$J$20:$J$41,MATCH(2,1/(('China n Importing Ports'!$D$20:$D$41&lt;=$C58)*('China n Importing Ports'!$C$20:$C$41=IF($AO58="No",$AQ58,$AS58)))))</f>
        <v>0</v>
      </c>
      <c r="VG58" s="75">
        <f t="array" ref="VG58">INDEX('China n Importing Ports'!$K$20:$K$41,MATCH(2,1/(('China n Importing Ports'!$D$20:$D$41&lt;=$C58)*('China n Importing Ports'!$C$20:$C$41=IF($AO58="No",$AQ58,$AS58)))))</f>
        <v>0</v>
      </c>
      <c r="VH58" s="75">
        <f t="array" ref="VH58">INDEX('China n Importing Ports'!$L$20:$L$41,MATCH(2,1/(('China n Importing Ports'!$D$20:$D$41&lt;=$C58)*('China n Importing Ports'!$C$20:$C$41=IF($AO58="No",$AQ58,$AS58)))))</f>
        <v>0</v>
      </c>
      <c r="VI58" s="75">
        <f t="array" ref="VI58">INDEX('China n Importing Ports'!$M$20:$M$41,MATCH(2,1/(('China n Importing Ports'!$D$20:$D$41&lt;=$C58)*('China n Importing Ports'!$C$20:$C$41=IF($AO58="No",$AQ58,$AS58)))))</f>
        <v>0</v>
      </c>
      <c r="VJ58" s="75">
        <f t="array" ref="VJ58">INDEX('China n Importing Ports'!$N$20:$N$41,MATCH(2,1/(('China n Importing Ports'!$D$20:$D$41&lt;=$C58)*('China n Importing Ports'!$C$20:$C$41=IF($AO58="No",$AQ58,$AS58)))))</f>
        <v>0</v>
      </c>
      <c r="VK58" s="75">
        <f t="array" ref="VK58">INDEX('China n Importing Ports'!$O$20:$O$41,MATCH(2,1/(('China n Importing Ports'!$D$20:$D$41&lt;=$C58)*('China n Importing Ports'!$C$20:$C$41=IF($AO58="No",$AQ58,$AS58)))))</f>
        <v>0</v>
      </c>
      <c r="VL58" s="136">
        <f t="array" ref="VL58">INDEX('China n Importing Ports'!$P$20:$P$41,MATCH(2,1/(('China n Importing Ports'!$D$20:$D$41&lt;=$C58)*('China n Importing Ports'!$C$20:$C$41=IF($AO58="No",$AQ58,$AS58)))))</f>
        <v>0</v>
      </c>
      <c r="VM58" s="136">
        <f t="array" ref="VM58">INDEX('China n Importing Ports'!$Q$20:$Q$41,MATCH(2,1/(('China n Importing Ports'!$D$20:$D$41&lt;=$C58)*('China n Importing Ports'!$C$20:$C$41=IF($AO58="No",$AQ58,$AS58)))))</f>
        <v>0</v>
      </c>
      <c r="VN58" s="136">
        <f t="array" ref="VN58">INDEX('China n Importing Ports'!$R$20:$R$41,MATCH(2,1/(('China n Importing Ports'!$D$20:$D$41&lt;=$C58)*('China n Importing Ports'!$C$20:$C$41=IF($AO58="No",$AQ58,$AS58)))))</f>
        <v>0</v>
      </c>
      <c r="VO58" s="136">
        <f t="array" ref="VO58">INDEX('China n Importing Ports'!$S$20:$S$41,MATCH(2,1/(('China n Importing Ports'!$D$20:$D$41&lt;=$C58)*('China n Importing Ports'!$C$20:$C$41=IF($AO58="No",$AQ58,$AS58)))))</f>
        <v>0</v>
      </c>
      <c r="VP58" s="136">
        <f t="array" ref="VP58">INDEX('China n Importing Ports'!$T$20:$T$41,MATCH(2,1/(('China n Importing Ports'!$D$20:$D$41&lt;=$C58)*('China n Importing Ports'!$C$20:$C$41=IF($AO58="No",$AQ58,$AS58)))))</f>
        <v>0</v>
      </c>
      <c r="VQ58" s="136">
        <f t="array" ref="VQ58">INDEX('China n Importing Ports'!$U$20:$U$41,MATCH(2,1/(('China n Importing Ports'!$D$20:$D$41&lt;=$C58)*('China n Importing Ports'!$C$20:$C$41=IF($AO58="No",$AQ58,$AS58)))))</f>
        <v>0</v>
      </c>
      <c r="VR58" s="136">
        <f t="array" ref="VR58">INDEX('China n Importing Ports'!$V$20:$V$41,MATCH(2,1/(('China n Importing Ports'!$D$20:$D$41&lt;=$C58)*('China n Importing Ports'!$C$20:$C$41=IF($AO58="No",$AQ58,$AS58)))))</f>
        <v>0</v>
      </c>
      <c r="VS58" s="136">
        <f t="array" ref="VS58">INDEX('China n Importing Ports'!$W$20:$W$41,MATCH(2,1/(('China n Importing Ports'!$D$20:$D$41&lt;=$C58)*('China n Importing Ports'!$C$20:$C$41=IF($AO58="No",$AQ58,$AS58)))))</f>
        <v>0</v>
      </c>
      <c r="VT58" s="136">
        <f t="array" ref="VT58">INDEX('China n Importing Ports'!$X$20:$X$41,MATCH(2,1/(('China n Importing Ports'!$D$20:$D$41&lt;=$C58)*('China n Importing Ports'!$C$20:$C$41=IF($AO58="No",$AQ58,$AS58)))))</f>
        <v>0</v>
      </c>
      <c r="VU58" s="136">
        <f t="array" ref="VU58">INDEX('China n Importing Ports'!$Y$20:$Y$41,MATCH(2,1/(('China n Importing Ports'!$D$20:$D$41&lt;=$C58)*('China n Importing Ports'!$C$20:$C$41=IF($AO58="No",$AQ58,$AS58)))))</f>
        <v>0</v>
      </c>
      <c r="VV58" s="136">
        <f t="array" ref="VV58">INDEX('China n Importing Ports'!$Z$20:$Z$41,MATCH(2,1/(('China n Importing Ports'!$D$20:$D$41&lt;=$C58)*('China n Importing Ports'!$C$20:$C$41=IF($AO58="No",$AQ58,$AS58)))))</f>
        <v>0</v>
      </c>
      <c r="VW58" s="136">
        <f t="array" ref="VW58">INDEX('China n Importing Ports'!$AA$20:$AA$41,MATCH(2,1/(('China n Importing Ports'!$D$20:$D$41&lt;=$C58)*('China n Importing Ports'!$C$20:$C$41=IF($AO58="No",$AQ58,$AS58)))))</f>
        <v>0</v>
      </c>
      <c r="VY58" s="75" t="e">
        <f t="array" aca="1" ref="VY58" ca="1">INDEX(Canals!$G$24:$G$29,MATCH(2,1/((Canals!$F$24:$F$29&lt;=$C58)*(Canals!$G$24:$G$29=_xlfn.IFS(SJ58="Handysize",US58,SJ58="Supramax",UL58,SJ58="Panamax",UE58,SJ58="NeoPanamax",TX58,SJ58="Suezmax",TQ58,SJ58="Capesize",TJ58,SJ58="VLOC",TC58)))))</f>
        <v>#N/A</v>
      </c>
      <c r="VZ58" s="75" t="e">
        <f t="array" aca="1" ref="VZ58" ca="1">INDEX(Canals!$H$24:$H$29,MATCH(2,1/((Canals!$F$24:$F$29&lt;=$C58)*(Canals!$G$24:$G$29=_xlfn.IFS(SJ58="Handysize",US58,SJ58="Supramax",UL58,SJ58="Panamax",UE58,SJ58="NeoPanamax",TX58,SJ58="Suezmax",TQ58,SJ58="Capesize",TJ58,SJ58="VLOC",TC58)))))</f>
        <v>#N/A</v>
      </c>
      <c r="WA58" s="75" t="e">
        <f t="array" aca="1" ref="WA58" ca="1">INDEX(Canals!$I$24:$I$29,MATCH(2,1/((Canals!$F$24:$F$29&lt;=$C58)*(Canals!$G$24:$G$29=_xlfn.IFS(SJ58="Handysize",US58,SJ58="Supramax",UL58,SJ58="Panamax",UE58,SJ58="NeoPanamax",TX58,SJ58="Suezmax",TQ58,SJ58="Capesize",TJ58,SJ58="VLOC",TC58)))))</f>
        <v>#N/A</v>
      </c>
      <c r="WB58" s="75" t="e">
        <f t="array" aca="1" ref="WB58" ca="1">INDEX(Canals!$J$24:$J$29,MATCH(2,1/((Canals!$F$24:$F$29&lt;=$C58)*(Canals!$G$24:$G$29=_xlfn.IFS(SJ58="Handysize",Main!US58,SJ58="Supramax",UL58,SJ58="Panamax",UE58,SJ58="NeoPanamax",TX58,SJ58="Suezmax",TQ58,SJ58="Capesize",TJ58,SJ58="VLOC",TC58)))))</f>
        <v>#N/A</v>
      </c>
      <c r="WC58" s="75" t="e">
        <f t="array" aca="1" ref="WC58" ca="1">INDEX(Canals!$K$24:$K$29,MATCH(2,1/((Canals!$F$24:$F$29&lt;=$C58)*(Canals!$G$24:$G$29=_xlfn.IFS(SJ58="Handysize",Main!US58,SJ58="Supramax",UL58,SJ58="Panamax",UE58,SJ58="NeoPanamax",TX58,SJ58="Suezmax",TQ58,SJ58="Capesize",TJ58,SJ58="VLOC",TC58)))))</f>
        <v>#N/A</v>
      </c>
      <c r="WD58" s="75" t="e">
        <f t="array" aca="1" ref="WD58" ca="1">INDEX(Canals!$L$24:$L$29,MATCH(2,1/((Canals!$F$24:$F$29&lt;=$C58)*(Canals!$G$24:$G$29=_xlfn.IFS(SJ58="Handysize",Main!US58,SJ58="Supramax",UL58,SJ58="Panamax",UE58,SJ58="NeoPanamax",TX58,SJ58="Suezmax",TQ58,SJ58="Capesize",TJ58,SJ58="VLOC",TC58)))))</f>
        <v>#N/A</v>
      </c>
      <c r="WE58" s="75" t="e">
        <f t="array" aca="1" ref="WE58" ca="1">INDEX(Canals!$M$24:$M$29,MATCH(2,1/((Canals!$F$24:$F$29&lt;=$C58)*(Canals!$G$24:$G$29=_xlfn.IFS(SJ58="Handysize",Main!US58,SJ58="Supramax",UL58,SJ58="Panamax",UE58,SJ58="NeoPanamax",TX58,SJ58="Suezmax",TQ58,SJ58="Capesize",TJ58,SJ58="VLOC",TC58)))))</f>
        <v>#N/A</v>
      </c>
      <c r="WF58" s="75" t="e">
        <f t="array" aca="1" ref="WF58" ca="1">INDEX(Canals!$N$24:$N$29,MATCH(2,1/((Canals!$F$24:$F$29&lt;=$C58)*(Canals!$G$24:$G$29=_xlfn.IFS(SJ58="Handysize",Main!US58,SJ58="Supramax",UL58,SJ58="Panamax",UE58,SJ58="NeoPanamax",TX58,SJ58="Suezmax",TQ58,SJ58="Capesize",TJ58,SJ58="VLOC",TC58)))))</f>
        <v>#N/A</v>
      </c>
      <c r="WG58" s="75" t="e">
        <f t="array" aca="1" ref="WG58" ca="1">INDEX(Canals!$O$24:$O$29,MATCH(2,1/((Canals!$F$24:$F$29&lt;=$C58)*(Canals!$G$24:$G$29=_xlfn.IFS(SJ58="Handysize",Main!US58,SJ58="Supramax",UL58,SJ58="Panamax",UE58,SJ58="NeoPanamax",TX58,SJ58="Suezmax",TQ58,SJ58="Capesize",TJ58,SJ58="VLOC",TC58)))))</f>
        <v>#N/A</v>
      </c>
      <c r="WH58" s="75" t="e">
        <f t="array" aca="1" ref="WH58" ca="1">INDEX(Canals!$P$24:$P$29,MATCH(2,1/((Canals!$F$24:$F$29&lt;=$C58)*(Canals!$G$24:$G$29=_xlfn.IFS(SJ58="Handysize",Main!US58,SJ58="Supramax",UL58,SJ58="Panamax",UE58,SJ58="NeoPanamax",TX58,SJ58="Suezmax",TQ58,SJ58="Capesize",TJ58,SJ58="VLOC",TC58)))))</f>
        <v>#N/A</v>
      </c>
      <c r="WI58" s="75" t="e">
        <f t="array" aca="1" ref="WI58" ca="1">INDEX(Canals!$Q$24:$Q$29,MATCH(2,1/((Canals!$F$24:$F$29&lt;=$C58)*(Canals!$G$24:$G$29=_xlfn.IFS(SJ58="Handysize",Main!US58,SJ58="Supramax",UL58,SJ58="Panamax",UE58,SJ58="NeoPanamax",TX58,SJ58="Suezmax",TQ58,SJ58="Capesize",TJ58,SJ58="VLOC",TC58)))))</f>
        <v>#N/A</v>
      </c>
      <c r="WJ58" s="75" t="e">
        <f t="array" aca="1" ref="WJ58" ca="1">INDEX(Canals!$R$24:$R$29,MATCH(2,1/((Canals!$F$24:$F$29&lt;=$C58)*(Canals!$G$24:$G$29=_xlfn.IFS(SJ58="Handysize",Main!US58,SJ58="Supramax",UL58,SJ58="Panamax",UE58,SJ58="NeoPanamax",TX58,SJ58="Suezmax",TQ58,SJ58="Capesize",TJ58,SJ58="VLOC",TC58)))))</f>
        <v>#N/A</v>
      </c>
      <c r="WK58" s="136" t="e">
        <f t="array" aca="1" ref="WK58" ca="1">INDEX(Canals!$S$24:$S$29,MATCH(2,1/((Canals!$F$24:$F$29&lt;=$C58)*(Canals!$G$24:$G$29=_xlfn.IFS(SJ58="Handysize",Main!US58,SJ58="Supramax",UL58,SJ58="Panamax",UE58,SJ58="NeoPanamax",TX58,SJ58="Suezmax",TQ58,SJ58="Capesize",TJ58,SJ58="VLOC",TC58)))))</f>
        <v>#N/A</v>
      </c>
      <c r="WL58" s="136" t="e">
        <f t="array" aca="1" ref="WL58" ca="1">INDEX(Canals!$T$24:$T$29,MATCH(2,1/((Canals!$F$24:$F$29&lt;=$C58)*(Canals!$G$24:$G$29=_xlfn.IFS(SJ58="Handysize",Main!US58,SJ58="Supramax",UL58,SJ58="Panamax",UE58,SJ58="NeoPanamax",TX58,SJ58="Suezmax",TQ58,SJ58="Capesize",TJ58,SJ58="VLOC",TC58)))))</f>
        <v>#N/A</v>
      </c>
      <c r="WM58" s="136" t="e">
        <f t="array" aca="1" ref="WM58" ca="1">INDEX(Canals!$U$24:$U$29,MATCH(2,1/((Canals!$F$24:$F$29&lt;=$C58)*(Canals!$G$24:$G$29=_xlfn.IFS(SJ58="Handysize",Main!US58,SJ58="Supramax",UL58,SJ58="Panamax",UE58,SJ58="NeoPanamax",TX58,SJ58="Suezmax",TQ58,SJ58="Capesize",TJ58,SJ58="VLOC",TC58)))))</f>
        <v>#N/A</v>
      </c>
      <c r="WN58" s="136" t="e">
        <f t="array" aca="1" ref="WN58" ca="1">INDEX(Canals!$V$24:$V$29,MATCH(2,1/((Canals!$F$24:$F$29&lt;=$C58)*(Canals!$G$24:$G$29=_xlfn.IFS(SJ58="Handysize",Main!US58,SJ58="Supramax",UL58,SJ58="Panamax",UE58,SJ58="NeoPanamax",TX58,SJ58="Suezmax",TQ58,SJ58="Capesize",TJ58,SJ58="VLOC",TC58)))))</f>
        <v>#N/A</v>
      </c>
      <c r="WO58" s="136" t="e">
        <f t="array" aca="1" ref="WO58" ca="1">INDEX(Canals!$W$24:$W$29,MATCH(2,1/((Canals!$F$24:$F$29&lt;=$C58)*(Canals!$G$24:$G$29=_xlfn.IFS(SJ58="Handysize",Main!US58,SJ58="Supramax",UL58,SJ58="Panamax",UE58,SJ58="NeoPanamax",TX58,SJ58="Suezmax",TQ58,SJ58="Capesize",TJ58,SJ58="VLOC",TC58)))))</f>
        <v>#N/A</v>
      </c>
      <c r="WP58" s="136" t="e">
        <f t="array" aca="1" ref="WP58" ca="1">INDEX(Canals!$X$24:$X$29,MATCH(2,1/((Canals!$F$24:$F$29&lt;=$C58)*(Canals!$G$24:$G$29=_xlfn.IFS(SJ58="Handysize",Main!US58,SJ58="Supramax",UL58,SJ58="Panamax",UE58,SJ58="NeoPanamax",TX58,SJ58="Suezmax",TQ58,SJ58="Capesize",TJ58,SJ58="VLOC",TC58)))))</f>
        <v>#N/A</v>
      </c>
      <c r="WQ58" s="136" t="e">
        <f t="array" aca="1" ref="WQ58" ca="1">INDEX(Canals!$Y$24:$Y$29,MATCH(2,1/((Canals!$F$24:$F$29&lt;=$C58)*(Canals!$G$24:$G$29=_xlfn.IFS(SJ58="Handysize",Main!US58,SJ58="Supramax",UL58,SJ58="Panamax",UE58,SJ58="NeoPanamax",TX58,SJ58="Suezmax",TQ58,SJ58="Capesize",TJ58,SJ58="VLOC",TC58)))))</f>
        <v>#N/A</v>
      </c>
      <c r="WR58" s="136" t="e">
        <f t="array" aca="1" ref="WR58" ca="1">INDEX(Canals!$Z$24:$Z$29,MATCH(2,1/((Canals!$F$24:$F$29&lt;=$C58)*(Canals!$G$24:$G$29=_xlfn.IFS(SJ58="Handysize",Main!US58,SJ58="Supramax",UL58,SJ58="Panamax",UE58,SJ58="NeoPanamax",TX58,SJ58="Suezmax",TQ58,SJ58="Capesize",TJ58,SJ58="VLOC",TC58)))))</f>
        <v>#N/A</v>
      </c>
      <c r="WS58" s="136" t="e">
        <f t="array" aca="1" ref="WS58" ca="1">INDEX(Canals!$AA$24:$AA$29,MATCH(2,1/((Canals!$F$24:$F$29&lt;=$C58)*(Canals!$G$24:$G$29=_xlfn.IFS(SJ58="Handysize",Main!US58,SJ58="Supramax",UL58,SJ58="Panamax",UE58,SJ58="NeoPanamax",TX58,SJ58="Suezmax",TQ58,SJ58="Capesize",TJ58,SJ58="VLOC",TC58)))))</f>
        <v>#N/A</v>
      </c>
      <c r="WT58" s="136" t="e">
        <f t="array" aca="1" ref="WT58" ca="1">INDEX(Canals!$AB$24:$AB$29,MATCH(2,1/((Canals!$F$24:$F$29&lt;=$C58)*(Canals!$G$24:$G$29=_xlfn.IFS(SJ58="Handysize",Main!US58,SJ58="Supramax",UL58,SJ58="Panamax",UE58,SJ58="NeoPanamax",TX58,SJ58="Suezmax",TQ58,SJ58="Capesize",TJ58,SJ58="VLOC",TC58)))))</f>
        <v>#N/A</v>
      </c>
      <c r="WU58" s="75" t="e">
        <f t="array" aca="1" ref="WU58" ca="1">INDEX(Canals!$AC$24:$AC$29,MATCH(2,1/((Canals!$F$24:$F$29&lt;=$C58)*(Canals!$G$24:$G$29=_xlfn.IFS(SJ58="Handysize",Main!US58,SJ58="Supramax",UL58,SJ58="Panamax",UE58,SJ58="NeoPanamax",TX58,SJ58="Suezmax",TQ58,SJ58="Capesize",TJ58,SJ58="VLOC",TC58)))))</f>
        <v>#N/A</v>
      </c>
      <c r="WV58" s="75" t="e">
        <f t="array" aca="1" ref="WV58" ca="1">INDEX(Canals!$AD$24:$AD$29,MATCH(2,1/((Canals!$F$24:$F$29&lt;=$C58)*(Canals!$G$24:$G$29=_xlfn.IFS(SJ58="Handysize",Main!US58,SJ58="Supramax",UL58,SJ58="Panamax",UE58,SJ58="NeoPanamax",TX58,SJ58="Suezmax",TQ58,SJ58="Capesize",TJ58,SJ58="VLOC",TC58)))))</f>
        <v>#N/A</v>
      </c>
      <c r="WW58" s="75" t="e">
        <f t="array" aca="1" ref="WW58" ca="1">INDEX(Canals!$AE$24:$AE$29,MATCH(2,1/((Canals!$F$24:$F$29&lt;=$C58)*(Canals!$G$24:$G$29=_xlfn.IFS(SJ58="Handysize",Main!US58,SJ58="Supramax",UL58,SJ58="Panamax",UE58,SJ58="NeoPanamax",TX58,SJ58="Suezmax",TQ58,SJ58="Capesize",TJ58,SJ58="VLOC",TC58)))))</f>
        <v>#N/A</v>
      </c>
      <c r="WX58" s="75" t="e">
        <f t="array" aca="1" ref="WX58" ca="1">INDEX(Canals!$AF$24:$AF$29,MATCH(2,1/((Canals!$F$24:$F$29&lt;=$C58)*(Canals!$G$24:$G$29=_xlfn.IFS(SJ58="Handysize",Main!US58,SJ58="Supramax",UL58,SJ58="Panamax",UE58,SJ58="NeoPanamax",TX58,SJ58="Suezmax",TQ58,SJ58="Capesize",TJ58,SJ58="VLOC",TC58)))))</f>
        <v>#N/A</v>
      </c>
      <c r="WY58" s="75" t="e">
        <f t="array" aca="1" ref="WY58" ca="1">INDEX(Canals!$AG$24:$AG$29,MATCH(2,1/((Canals!$F$24:$F$29&lt;=$C58)*(Canals!$G$24:$G$29=_xlfn.IFS(SJ58="Handysize",Main!US58,SJ58="Supramax",UL58,SJ58="Panamax",UE58,SJ58="NeoPanamax",TX58,SJ58="Suezmax",TQ58,SJ58="Capesize",TJ58,SJ58="VLOC",TC58)))))</f>
        <v>#N/A</v>
      </c>
      <c r="WZ58" s="75" t="e">
        <f t="array" aca="1" ref="WZ58" ca="1">INDEX(Canals!$AH$24:$AH$29,MATCH(2,1/((Canals!$F$24:$F$29&lt;=$C58)*(Canals!$G$24:$G$29=_xlfn.IFS(SJ58="Handysize",Main!US58,SJ58="Supramax",UL58,SJ58="Panamax",UE58,SJ58="NeoPanamax",TX58,SJ58="Suezmax",TQ58,SJ58="Capesize",TJ58,SJ58="VLOC",TC58)))))</f>
        <v>#N/A</v>
      </c>
      <c r="XA58" s="75" t="e">
        <f t="array" aca="1" ref="XA58" ca="1">INDEX(Canals!$AI$24:$AI$29,MATCH(2,1/((Canals!$F$24:$F$29&lt;=$C58)*(Canals!$G$24:$G$29=_xlfn.IFS(SJ58="Handysize",Main!US58,SJ58="Supramax",UL58,SJ58="Panamax",UE58,SJ58="NeoPanamax",TX58,SJ58="Suezmax",TQ58,SJ58="Capesize",TJ58,SJ58="VLOC",TC58)))))</f>
        <v>#N/A</v>
      </c>
      <c r="XB58" s="75" t="e">
        <f t="array" aca="1" ref="XB58" ca="1">INDEX(Canals!$AJ$24:$AJ$29,MATCH(2,1/((Canals!$F$24:$F$29&lt;=$C58)*(Canals!$G$24:$G$29=_xlfn.IFS(SJ58="Handysize",Main!US58,SJ58="Supramax",UL58,SJ58="Panamax",UE58,SJ58="NeoPanamax",TX58,SJ58="Suezmax",TQ58,SJ58="Capesize",TJ58,SJ58="VLOC",TC58)))))</f>
        <v>#N/A</v>
      </c>
      <c r="XC58" s="75" t="e">
        <f t="array" aca="1" ref="XC58" ca="1">INDEX(Canals!$AK$24:$AK$29,MATCH(2,1/((Canals!$F$24:$F$29&lt;=$C58)*(Canals!$G$24:$G$29=_xlfn.IFS(SJ58="Handysize",Main!US58,SJ58="Supramax",UL58,SJ58="Panamax",UE58,SJ58="NeoPanamax",TX58,SJ58="Suezmax",TQ58,SJ58="Capesize",TJ58,SJ58="VLOC",TC58)))))</f>
        <v>#N/A</v>
      </c>
      <c r="XD58" s="136" t="e">
        <f t="array" aca="1" ref="XD58" ca="1">INDEX(Canals!$AL$24:$AL$29,MATCH(2,1/((Canals!$F$24:$F$29&lt;=$C58)*(Canals!$G$24:$G$29=_xlfn.IFS(SJ58="Handysize",Main!US58,SJ58="Supramax",UL58,SJ58="Panamax",UE58,SJ58="NeoPanamax",TX58,SJ58="Suezmax",TQ58,SJ58="Capesize",TJ58,SJ58="VLOC",TC58)))))</f>
        <v>#N/A</v>
      </c>
      <c r="XE58" s="136" t="e">
        <f t="array" aca="1" ref="XE58" ca="1">INDEX(Canals!$AM$24:$AM$29,MATCH(2,1/((Canals!$F$24:$F$29&lt;=$C58)*(Canals!$G$24:$G$29=_xlfn.IFS(SJ58="Handysize",Main!US58,SJ58="Supramax",UL58,SJ58="Panamax",UE58,SJ58="NeoPanamax",TX58,SJ58="Suezmax",TQ58,SJ58="Capesize",TJ58,SJ58="VLOC",TC58)))))</f>
        <v>#N/A</v>
      </c>
      <c r="XF58" s="136" t="e">
        <f t="array" aca="1" ref="XF58" ca="1">INDEX(Canals!$AN$24:$AN$29,MATCH(2,1/((Canals!$F$24:$F$29&lt;=$C58)*(Canals!$G$24:$G$29=_xlfn.IFS(SJ58="Handysize",Main!US58,SJ58="Supramax",UL58,SJ58="Panamax",UE58,SJ58="NeoPanamax",TX58,SJ58="Suezmax",TQ58,SJ58="Capesize",TJ58,SJ58="VLOC",TC58)))))</f>
        <v>#N/A</v>
      </c>
      <c r="XG58" s="136" t="e">
        <f t="array" aca="1" ref="XG58" ca="1">INDEX(Canals!$AO$24:$AO$29,MATCH(2,1/((Canals!$F$24:$F$29&lt;=$C58)*(Canals!$G$24:$G$29=_xlfn.IFS(SJ58="Handysize",Main!US58,SJ58="Supramax",UL58,SJ58="Panamax",UE58,SJ58="NeoPanamax",TX58,SJ58="Suezmax",TQ58,SJ58="Capesize",TJ58,SJ58="VLOC",TC58)))))</f>
        <v>#N/A</v>
      </c>
      <c r="XH58" s="136" t="e">
        <f t="array" aca="1" ref="XH58" ca="1">INDEX(Canals!$AP$24:$AP$29,MATCH(2,1/((Canals!$F$24:$F$29&lt;=$C58)*(Canals!$G$24:$G$29=_xlfn.IFS(SJ58="Handysize",Main!US58,SJ58="Supramax",UL58,SJ58="Panamax",UE58,SJ58="NeoPanamax",TX58,SJ58="Suezmax",TQ58,SJ58="Capesize",TJ58,SJ58="VLOC",TC58)))))</f>
        <v>#N/A</v>
      </c>
      <c r="XI58" s="136" t="e">
        <f t="array" aca="1" ref="XI58" ca="1">INDEX(Canals!$AQ$24:$AQ$29,MATCH(2,1/((Canals!$F$24:$F$29&lt;=$C58)*(Canals!$G$24:$G$29=_xlfn.IFS(SJ58="Handysize",Main!US58,SJ58="Supramax",UL58,SJ58="Panamax",UE58,SJ58="NeoPanamax",TX58,SJ58="Suezmax",TQ58,SJ58="Capesize",TJ58,SJ58="VLOC",TC58)))))</f>
        <v>#N/A</v>
      </c>
      <c r="XJ58" s="136" t="e">
        <f t="array" aca="1" ref="XJ58" ca="1">INDEX(Canals!$AR$24:$AR$29,MATCH(2,1/((Canals!$F$24:$F$29&lt;=$C58)*(Canals!$G$24:$G$29=_xlfn.IFS(SJ58="Handysize",Main!US58,SJ58="Supramax",UL58,SJ58="Panamax",UE58,SJ58="NeoPanamax",TX58,SJ58="Suezmax",TQ58,SJ58="Capesize",TJ58,SJ58="VLOC",TC58)))))</f>
        <v>#N/A</v>
      </c>
      <c r="XK58" s="136" t="e">
        <f t="array" aca="1" ref="XK58" ca="1">INDEX(Canals!$AS$24:$AS$29,MATCH(2,1/((Canals!$F$24:$F$29&lt;=$C58)*(Canals!$G$24:$G$29=_xlfn.IFS(SJ58="Handysize",Main!US58,SJ58="Supramax",UL58,SJ58="Panamax",UE58,SJ58="NeoPanamax",TX58,SJ58="Suezmax",TQ58,SJ58="Capesize",TJ58,SJ58="VLOC",TC58)))))</f>
        <v>#N/A</v>
      </c>
      <c r="XL58" s="136" t="e">
        <f t="array" aca="1" ref="XL58" ca="1">INDEX(Canals!$AT$24:$AT$29,MATCH(2,1/((Canals!$F$24:$F$29&lt;=$C58)*(Canals!$G$24:$G$29=_xlfn.IFS(SJ58="Handysize",Main!US58,SJ58="Supramax",UL58,SJ58="Panamax",UE58,SJ58="NeoPanamax",TX58,SJ58="Suezmax",TQ58,SJ58="Capesize",TJ58,SJ58="VLOC",TC58)))))</f>
        <v>#N/A</v>
      </c>
      <c r="XM58" s="136" t="e">
        <f t="array" aca="1" ref="XM58" ca="1">INDEX(Canals!$AU$24:$AU$29,MATCH(2,1/((Canals!$F$24:$F$29&lt;=$C58)*(Canals!$G$24:$G$29=_xlfn.IFS(SJ58="Handysize",Main!US58,SJ58="Supramax",UL58,SJ58="Panamax",UE58,SJ58="NeoPanamax",TX58,SJ58="Suezmax",TQ58,SJ58="Capesize",TJ58,SJ58="VLOC",TC58)))))</f>
        <v>#N/A</v>
      </c>
      <c r="XN58" s="136" t="e">
        <f t="array" aca="1" ref="XN58" ca="1">INDEX(Canals!$AV$24:$AV$29,MATCH(2,1/((Canals!$F$24:$F$29&lt;=$C58)*(Canals!$G$24:$G$29=_xlfn.IFS(SJ58="Handysize",Main!US58,SJ58="Supramax",UL58,SJ58="Panamax",UE58,SJ58="NeoPanamax",TX58,SJ58="Suezmax",TQ58,SJ58="Capesize",TJ58,SJ58="VLOC",TC58)))))</f>
        <v>#N/A</v>
      </c>
      <c r="XP58" s="75" t="e">
        <f t="array" aca="1" ref="XP58" ca="1">_xlfn.IFS(WA58="DWT",SH58,WA58="NRT",SL58,WA58="GRT",SM58,WA58=0,0)</f>
        <v>#NAME?</v>
      </c>
      <c r="XQ58" s="279" t="e">
        <f t="shared" ca="1" si="455"/>
        <v>#NAME?</v>
      </c>
      <c r="XR58" s="280" t="e">
        <f t="shared" ca="1" si="456"/>
        <v>#NAME?</v>
      </c>
      <c r="XS58" s="280" t="e">
        <f t="shared" ca="1" si="457"/>
        <v>#NAME?</v>
      </c>
      <c r="XT58" s="280" t="e">
        <f t="shared" ca="1" si="458"/>
        <v>#NAME?</v>
      </c>
      <c r="XU58" s="280" t="e">
        <f t="shared" ca="1" si="459"/>
        <v>#NAME?</v>
      </c>
      <c r="XV58" s="280" t="e">
        <f t="shared" ca="1" si="460"/>
        <v>#NAME?</v>
      </c>
      <c r="XW58" s="280" t="e">
        <f t="shared" ca="1" si="461"/>
        <v>#NAME?</v>
      </c>
      <c r="XX58" s="280" t="e">
        <f t="shared" ca="1" si="462"/>
        <v>#NAME?</v>
      </c>
      <c r="XY58" s="280" t="e">
        <f t="shared" ca="1" si="463"/>
        <v>#NAME?</v>
      </c>
      <c r="XZ58" s="75">
        <f t="shared" si="464"/>
        <v>0</v>
      </c>
      <c r="YA58" s="279" t="e">
        <f t="shared" ca="1" si="465"/>
        <v>#N/A</v>
      </c>
      <c r="YB58" s="280" t="e">
        <f t="shared" ca="1" si="466"/>
        <v>#N/A</v>
      </c>
      <c r="YC58" s="280" t="e">
        <f t="shared" ca="1" si="467"/>
        <v>#N/A</v>
      </c>
      <c r="YD58" s="280" t="e">
        <f t="shared" ca="1" si="468"/>
        <v>#N/A</v>
      </c>
      <c r="YE58" s="280" t="e">
        <f t="shared" ca="1" si="469"/>
        <v>#N/A</v>
      </c>
      <c r="YF58" s="280" t="e">
        <f t="shared" ca="1" si="470"/>
        <v>#N/A</v>
      </c>
      <c r="YG58" s="280" t="e">
        <f t="shared" ca="1" si="471"/>
        <v>#N/A</v>
      </c>
      <c r="YH58" s="280" t="e">
        <f t="shared" ca="1" si="472"/>
        <v>#N/A</v>
      </c>
      <c r="YI58" s="280" t="e">
        <f t="shared" ca="1" si="473"/>
        <v>#N/A</v>
      </c>
      <c r="YK58" s="75" t="e">
        <f t="array" aca="1" ref="YK58" ca="1">_xlfn.IFS(SJ58="Handysize",Main!UM58,SJ58="Supramax",UF58,SJ58="Panamax",TY58,SJ58="NeoPanamax",TR58,SJ58="Suezmax",TK58,SJ58="Capesize",TD58,SJ58="VLOC",SW58)*$JI58</f>
        <v>#NAME?</v>
      </c>
      <c r="YL58" s="274" t="e">
        <f t="array" aca="1" ref="YL58" ca="1">_xlfn.IFS(SJ58="Handysize",Main!UN58,SJ58="Supramax",UG58,SJ58="Panamax",TZ58,SJ58="NeoPanamax",TS58,SJ58="Suezmax",TL58,SJ58="Capesize",TE58,SJ58="VLOC",SX58)*$JI58</f>
        <v>#NAME?</v>
      </c>
      <c r="YM58" s="71" t="e">
        <f t="array" aca="1" ref="YM58" ca="1">_xlfn.IFS(SJ58="Handysize",Main!SO58,SJ58="Supramax",SP58,SJ58="Panamax",SQ58,SJ58="NeoPanamax",SR58,SJ58="Suezmax",SS58,SJ58="Capesize",ST58,SJ58="VLOC",SU58)</f>
        <v>#NAME?</v>
      </c>
      <c r="YN58" s="71" t="e">
        <f t="array" aca="1" ref="YN58" ca="1">_xlfn.IFS(SJ58="Handysize",Main!VA58,SJ58="Supramax",VB58,SJ58="Panamax",VC58,SJ58="NeoPanamax",VD58,SJ58="Suezmax",VE58,SJ58="Capesize",VF58,SJ58="VLOC",VG58)</f>
        <v>#NAME?</v>
      </c>
      <c r="YO58" s="70">
        <f t="array" ref="YO58">INDEX('Ship Speeds'!$G$11:$G$1011,MATCH(2,1/(('Ship Speeds'!$E$11:$E$1011&lt;=Main!$C58)*('Ship Speeds'!$F$11:$F$1011=Main!SI58))))</f>
        <v>11</v>
      </c>
      <c r="YP58" s="403">
        <f t="shared" si="474"/>
        <v>0</v>
      </c>
      <c r="YQ58" s="401">
        <f t="shared" si="475"/>
        <v>1.2</v>
      </c>
      <c r="YR58" s="70" t="e">
        <f t="shared" ca="1" si="476"/>
        <v>#NAME?</v>
      </c>
      <c r="YS58" s="70" t="e">
        <f t="shared" ca="1" si="477"/>
        <v>#NAME?</v>
      </c>
      <c r="YT58" s="70" t="e">
        <f t="shared" ca="1" si="478"/>
        <v>#NAME?</v>
      </c>
      <c r="YU58" s="70" t="e">
        <f t="shared" ca="1" si="479"/>
        <v>#NAME?</v>
      </c>
      <c r="YV58" s="72" t="e">
        <f t="shared" ca="1" si="480"/>
        <v>#N/A</v>
      </c>
      <c r="YW58" s="70" t="e">
        <f t="shared" ca="1" si="481"/>
        <v>#NAME?</v>
      </c>
      <c r="YX58" s="70" t="e">
        <f t="array" aca="1" ref="YX58" ca="1">IF(YK58=0,0,INDEX(UU58:UY58,MATCH(_xlfn.IFS(SJ58="Handysize",Main!UQ58,SJ58="Supramax",UJ58,SJ58="Panamax",UC58,SJ58="NeoPanamax",TV58,SJ58="Suezmax",TO58,SJ58="Capesize",TH58,SJ58="VLOC",TA58),$UU$7:$UY$7,0)))</f>
        <v>#NAME?</v>
      </c>
      <c r="YY58" s="70" t="e">
        <f t="array" aca="1" ref="YY58" ca="1">IF(YK58=0,0,INDEX(UU58:UY58,MATCH(_xlfn.IFS(SJ58="Handysize",Main!UR58,SJ58="Supramax",UK58,SJ58="Panamax",UD58,SJ58="NeoPanamax",TW58,SJ58="Suezmax",TP58,SJ58="Capesize",TI58,SJ58="VLOC",TB58),$UU$7:$UY$7,0)))</f>
        <v>#NAME?</v>
      </c>
      <c r="YZ58" s="71" t="e">
        <f t="shared" ca="1" si="482"/>
        <v>#NAME?</v>
      </c>
      <c r="ZA58" s="71" t="e">
        <f t="shared" ca="1" si="483"/>
        <v>#NAME?</v>
      </c>
      <c r="ZB58" s="281" t="e">
        <f t="shared" ca="1" si="484"/>
        <v>#NAME?</v>
      </c>
      <c r="ZC58" s="71" t="e">
        <f t="shared" ca="1" si="485"/>
        <v>#NAME?</v>
      </c>
      <c r="ZD58" s="71" t="e">
        <f t="shared" ca="1" si="486"/>
        <v>#NAME?</v>
      </c>
      <c r="ZE58" s="71" t="e">
        <f t="shared" ca="1" si="487"/>
        <v>#NAME?</v>
      </c>
      <c r="ZF58" s="71" t="e">
        <f t="shared" ca="1" si="488"/>
        <v>#NAME?</v>
      </c>
      <c r="ZG58" s="71" t="e">
        <f t="shared" ca="1" si="489"/>
        <v>#NAME?</v>
      </c>
      <c r="ZH58" s="71" t="e">
        <f t="shared" ca="1" si="490"/>
        <v>#NAME?</v>
      </c>
      <c r="ZI58" s="71" t="e">
        <f t="shared" ca="1" si="491"/>
        <v>#NAME?</v>
      </c>
      <c r="ZJ58" s="71" t="e">
        <f t="shared" ca="1" si="492"/>
        <v>#NAME?</v>
      </c>
      <c r="ZK58" s="71" t="e">
        <f t="shared" ca="1" si="493"/>
        <v>#NAME?</v>
      </c>
      <c r="ZL58" s="71" t="e">
        <f t="shared" ca="1" si="494"/>
        <v>#NAME?</v>
      </c>
      <c r="ZM58" s="71" t="e">
        <f t="shared" ca="1" si="495"/>
        <v>#NAME?</v>
      </c>
      <c r="ZN58" s="71" t="e">
        <f t="shared" ca="1" si="496"/>
        <v>#NAME?</v>
      </c>
      <c r="ZO58" s="72" t="e">
        <f t="shared" ca="1" si="497"/>
        <v>#NAME?</v>
      </c>
      <c r="ZP58" s="72" t="e">
        <f t="shared" ca="1" si="498"/>
        <v>#NAME?</v>
      </c>
      <c r="ZQ58" s="71" t="e">
        <f t="shared" ca="1" si="499"/>
        <v>#NAME?</v>
      </c>
      <c r="ZR58" s="71" t="e">
        <f t="array" aca="1" ref="ZR58" ca="1">IF(YK58=0,0,INDEX('Ship Time Charter Rates'!$H$22:$H$1021,MATCH(2,1/(('Ship Time Charter Rates'!$G$22:$G$1021=_xlfn.IFS(SJ58="Handysize",Main!UO58,SJ58="Supramax",UH58,SJ58="Panamax",UA58,SJ58="NeoPanamax",TT58,SJ58="Suezmax",TM58,SJ58="Capesize",TF58,SJ58="VLOC",SY58))*('Ship Time Charter Rates'!$E$22:$E$1021&lt;=Main!$C58)*(NOT(ISBLANK('Ship Time Charter Rates'!$H$22:$H$1021)))))))</f>
        <v>#NAME?</v>
      </c>
      <c r="ZS58" s="71" t="e">
        <f t="shared" ca="1" si="500"/>
        <v>#NAME?</v>
      </c>
      <c r="ZT58" s="70" t="e">
        <f t="shared" ca="1" si="501"/>
        <v>#NAME?</v>
      </c>
      <c r="ZU58" s="71" t="e">
        <f t="shared" ca="1" si="502"/>
        <v>#NAME?</v>
      </c>
      <c r="ZV58" s="71" t="e">
        <f t="shared" ca="1" si="503"/>
        <v>#NAME?</v>
      </c>
      <c r="ZW58" s="72" t="e">
        <f t="shared" ca="1" si="504"/>
        <v>#NAME?</v>
      </c>
      <c r="ZY58" s="287" t="s">
        <v>39</v>
      </c>
      <c r="AAA58" s="25">
        <f t="shared" ref="AAA58:AAA63" si="672">IF($AO58="no",$AN58,$AR58)/(1-$AL58)/$JN58</f>
        <v>58078.467717021937</v>
      </c>
      <c r="AAB58" s="4" t="str">
        <f>VLOOKUP(AAA58,'Ship Time Charter Rates'!$F$10:$G$17,2,TRUE)</f>
        <v>Supramax</v>
      </c>
      <c r="AAC58" s="4" t="str">
        <f>VLOOKUP(AAA58,Canals!$E$5:$F$12,2,TRUE)</f>
        <v>Supramax</v>
      </c>
      <c r="AAD58" s="25">
        <f t="shared" si="505"/>
        <v>196.59250231696012</v>
      </c>
      <c r="AAE58" s="25">
        <f t="shared" si="506"/>
        <v>23428.853877046648</v>
      </c>
      <c r="AAF58" s="25">
        <f t="shared" si="507"/>
        <v>34933.916898362688</v>
      </c>
      <c r="AAH58" s="75">
        <f t="array" ref="AAH58">INDEX('Indices Mines Exporting Ports'!$R$20:$R$51,MATCH(2,1/(('Indices Mines Exporting Ports'!$D$20:$D$51&lt;=Main!$C58)*('Indices Mines Exporting Ports'!$Q$20:$Q$51=$AP58))))</f>
        <v>30000</v>
      </c>
      <c r="AAI58" s="75">
        <f t="array" ref="AAI58">INDEX('Indices Mines Exporting Ports'!$S$20:$S$51,MATCH(2,1/(('Indices Mines Exporting Ports'!$D$20:$D$51&lt;=Main!$C58)*('Indices Mines Exporting Ports'!$Q$20:$Q$51=$AP58))))</f>
        <v>30000</v>
      </c>
      <c r="AAJ58" s="75">
        <f t="array" ref="AAJ58">INDEX('Indices Mines Exporting Ports'!$T$20:$T$51,MATCH(2,1/(('Indices Mines Exporting Ports'!$D$20:$D$51&lt;=Main!$C58)*('Indices Mines Exporting Ports'!$Q$20:$Q$51=$AP58))))</f>
        <v>30000</v>
      </c>
      <c r="AAK58" s="75">
        <f t="array" ref="AAK58">INDEX('Indices Mines Exporting Ports'!$U$20:$U$51,MATCH(2,1/(('Indices Mines Exporting Ports'!$D$20:$D$51&lt;=Main!$C58)*('Indices Mines Exporting Ports'!$Q$20:$Q$51=$AP58))))</f>
        <v>30000</v>
      </c>
      <c r="AAL58" s="75">
        <f t="array" ref="AAL58">INDEX('Indices Mines Exporting Ports'!$V$20:$V$51,MATCH(2,1/(('Indices Mines Exporting Ports'!$D$20:$D$51&lt;=Main!$C58)*('Indices Mines Exporting Ports'!$Q$20:$Q$51=$AP58))))</f>
        <v>30000</v>
      </c>
      <c r="AAM58" s="75">
        <f t="array" ref="AAM58">INDEX('Indices Mines Exporting Ports'!$W$20:$W$51,MATCH(2,1/(('Indices Mines Exporting Ports'!$D$20:$D$51&lt;=Main!$C58)*('Indices Mines Exporting Ports'!$Q$20:$Q$51=$AP58))))</f>
        <v>30000</v>
      </c>
      <c r="AAN58" s="75">
        <f t="array" ref="AAN58">INDEX('Indices Mines Exporting Ports'!$X$20:$X$51,MATCH(2,1/(('Indices Mines Exporting Ports'!$D$20:$D$51&lt;=Main!$C58)*('Indices Mines Exporting Ports'!$Q$20:$Q$51=$AP58))))</f>
        <v>30000</v>
      </c>
      <c r="AAP58" s="75">
        <f t="array" ref="AAP58">INDEX('Port Linkages'!$E$18:$E$157,MATCH(2,1/(('Port Linkages'!$C$18:$C$157=$AP58)*('Port Linkages'!$D$18:$D$157=IF($AO58="Yes",$AQ58,$KK58))*('Port Linkages'!$A$18:$A$157&lt;=$C58))))</f>
        <v>2604</v>
      </c>
      <c r="AAQ58" s="75">
        <f t="array" ref="AAQ58">INDEX('Port Linkages'!$F$18:$F$157,MATCH(2,1/(('Port Linkages'!$C$18:$C$157=$AP58)*('Port Linkages'!$D$18:$D$157=IF($AO58="Yes",$AQ58,$KK58))*('Port Linkages'!$A$18:$A$157&lt;=$C58))))</f>
        <v>0</v>
      </c>
      <c r="AAR58" s="75" t="str">
        <f t="array" ref="AAR58">INDEX('Port Linkages'!$G$18:$G$157,MATCH(2,1/(('Port Linkages'!$C$18:$C$157=$AP58)*('Port Linkages'!$D$18:$D$157=IF($AO58="Yes",$AQ58,$KK58))*('Port Linkages'!$A$18:$A$157&lt;=$C58))))</f>
        <v>VLOC_General</v>
      </c>
      <c r="AAS58" s="75" t="str">
        <f t="array" ref="AAS58">INDEX('Port Linkages'!$H$18:$H$157,MATCH(2,1/(('Port Linkages'!$C$18:$C$157=$AP58)*('Port Linkages'!$D$18:$D$157=IF($AO58="Yes",$AQ58,$KK58))*('Port Linkages'!$A$18:$A$157&lt;=$C58))))</f>
        <v>Singapore</v>
      </c>
      <c r="AAT58" s="75" t="str">
        <f t="array" ref="AAT58">INDEX('Port Linkages'!$I$18:$I$157,MATCH(2,1/(('Port Linkages'!$C$18:$C$157=$AP58)*('Port Linkages'!$D$18:$D$157=IF($AO58="Yes",$AQ58,$KK58))*('Port Linkages'!$A$18:$A$157&lt;=$C58))))</f>
        <v>VLSFO</v>
      </c>
      <c r="AAU58" s="75" t="str">
        <f t="array" ref="AAU58">INDEX('Port Linkages'!$J$18:$J$157,MATCH(2,1/(('Port Linkages'!$C$18:$C$157=$AP58)*('Port Linkages'!$D$18:$D$157=IF($AO58="Yes",$AQ58,$KK58))*('Port Linkages'!$A$18:$A$157&lt;=$C58))))</f>
        <v>MGO_Regular</v>
      </c>
      <c r="AAV58" s="75" t="str">
        <f t="array" ref="AAV58">INDEX('Port Linkages'!$K$18:$K$157,MATCH(2,1/(('Port Linkages'!$C$18:$C$157=$AP58)*('Port Linkages'!$D$18:$D$157=IF($AO58="Yes",$AQ58,$KK58))*('Port Linkages'!$A$18:$A$157&lt;=$C58))))</f>
        <v>none</v>
      </c>
      <c r="AAW58" s="75">
        <f t="array" ref="AAW58">INDEX('Port Linkages'!$L$18:$L$157,MATCH(2,1/(('Port Linkages'!$C$18:$C$157=$AP58)*('Port Linkages'!$D$18:$D$157=IF($AO58="Yes",$AQ58,$KK58))*('Port Linkages'!$A$18:$A$157&lt;=$C58))))</f>
        <v>2604</v>
      </c>
      <c r="AAX58" s="75">
        <f t="array" ref="AAX58">INDEX('Port Linkages'!$M$18:$M$157,MATCH(2,1/(('Port Linkages'!$C$18:$C$157=$AP58)*('Port Linkages'!$D$18:$D$157=IF($AO58="Yes",$AQ58,$KK58))*('Port Linkages'!$A$18:$A$157&lt;=$C58))))</f>
        <v>0</v>
      </c>
      <c r="AAY58" s="75" t="str">
        <f t="array" ref="AAY58">INDEX('Port Linkages'!$N$18:$N$157,MATCH(2,1/(('Port Linkages'!$C$18:$C$157=$AP58)*('Port Linkages'!$D$18:$D$157=IF($AO58="Yes",$AQ58,$KK58))*('Port Linkages'!$A$18:$A$157&lt;=$C58))))</f>
        <v>Capesize_General</v>
      </c>
      <c r="AAZ58" s="75" t="str">
        <f t="array" ref="AAZ58">INDEX('Port Linkages'!$O$18:$O$157,MATCH(2,1/(('Port Linkages'!$C$18:$C$157=$AP58)*('Port Linkages'!$D$18:$D$157=IF($AO58="Yes",$AQ58,$KK58))*('Port Linkages'!$A$18:$A$157&lt;=$C58))))</f>
        <v>Singapore</v>
      </c>
      <c r="ABA58" s="75" t="str">
        <f t="array" ref="ABA58">INDEX('Port Linkages'!$P$18:$P$157,MATCH(2,1/(('Port Linkages'!$C$18:$C$157=$AP58)*('Port Linkages'!$D$18:$D$157=IF($AO58="Yes",$AQ58,$KK58))*('Port Linkages'!$A$18:$A$157&lt;=$C58))))</f>
        <v>VLSFO</v>
      </c>
      <c r="ABB58" s="75" t="str">
        <f t="array" ref="ABB58">INDEX('Port Linkages'!$Q$18:$Q$157,MATCH(2,1/(('Port Linkages'!$C$18:$C$157=$AP58)*('Port Linkages'!$D$18:$D$157=IF($AO58="Yes",$AQ58,$KK58))*('Port Linkages'!$A$18:$A$157&lt;=$C58))))</f>
        <v>MGO_Regular</v>
      </c>
      <c r="ABC58" s="75" t="str">
        <f t="array" ref="ABC58">INDEX('Port Linkages'!$R$18:$R$157,MATCH(2,1/(('Port Linkages'!$C$18:$C$157=$AP58)*('Port Linkages'!$D$18:$D$157=IF($AO58="Yes",$AQ58,$KK58))*('Port Linkages'!$A$18:$A$157&lt;=$C58))))</f>
        <v>none</v>
      </c>
      <c r="ABD58" s="75">
        <f t="array" ref="ABD58">INDEX('Port Linkages'!$S$18:$S$157,MATCH(2,1/(('Port Linkages'!$C$18:$C$157=$AP58)*('Port Linkages'!$D$18:$D$157=IF($AO58="Yes",$AQ58,$KK58))*('Port Linkages'!$A$18:$A$157&lt;=$C58))))</f>
        <v>2604</v>
      </c>
      <c r="ABE58" s="75">
        <f t="array" ref="ABE58">INDEX('Port Linkages'!$T$18:$T$157,MATCH(2,1/(('Port Linkages'!$C$18:$C$157=$AP58)*('Port Linkages'!$D$18:$D$157=IF($AO58="Yes",$AQ58,$KK58))*('Port Linkages'!$A$18:$A$157&lt;=$C58))))</f>
        <v>0</v>
      </c>
      <c r="ABF58" s="75" t="str">
        <f t="array" ref="ABF58">INDEX('Port Linkages'!$U$18:$U$157,MATCH(2,1/(('Port Linkages'!$C$18:$C$157=$AP58)*('Port Linkages'!$D$18:$D$157=IF($AO58="Yes",$AQ58,$KK58))*('Port Linkages'!$A$18:$A$157&lt;=$C58))))</f>
        <v>Capesize_General</v>
      </c>
      <c r="ABG58" s="75" t="str">
        <f t="array" ref="ABG58">INDEX('Port Linkages'!$V$18:$V$157,MATCH(2,1/(('Port Linkages'!$C$18:$C$157=$AP58)*('Port Linkages'!$D$18:$D$157=IF($AO58="Yes",$AQ58,$KK58))*('Port Linkages'!$A$18:$A$157&lt;=$C58))))</f>
        <v>Singapore</v>
      </c>
      <c r="ABH58" s="75" t="str">
        <f t="array" ref="ABH58">INDEX('Port Linkages'!$W$18:$W$157,MATCH(2,1/(('Port Linkages'!$C$18:$C$157=$AP58)*('Port Linkages'!$D$18:$D$157=IF($AO58="Yes",$AQ58,$KK58))*('Port Linkages'!$A$18:$A$157&lt;=$C58))))</f>
        <v>VLSFO</v>
      </c>
      <c r="ABI58" s="75" t="str">
        <f t="array" ref="ABI58">INDEX('Port Linkages'!$X$18:$X$157,MATCH(2,1/(('Port Linkages'!$C$18:$C$157=$AP58)*('Port Linkages'!$D$18:$D$157=IF($AO58="Yes",$AQ58,$KK58))*('Port Linkages'!$A$18:$A$157&lt;=$C58))))</f>
        <v>MGO_Regular</v>
      </c>
      <c r="ABJ58" s="75" t="str">
        <f t="array" ref="ABJ58">INDEX('Port Linkages'!$Y$18:$Y$157,MATCH(2,1/(('Port Linkages'!$C$18:$C$157=$AP58)*('Port Linkages'!$D$18:$D$157=IF($AO58="Yes",$AQ58,$KK58))*('Port Linkages'!$A$18:$A$157&lt;=$C58))))</f>
        <v>none</v>
      </c>
      <c r="ABK58" s="75">
        <f t="array" ref="ABK58">INDEX('Port Linkages'!$Z$18:$Z$157,MATCH(2,1/(('Port Linkages'!$C$18:$C$157=$AP58)*('Port Linkages'!$D$18:$D$157=IF($AO58="Yes",$AQ58,$KK58))*('Port Linkages'!$A$18:$A$157&lt;=$C58))))</f>
        <v>2604</v>
      </c>
      <c r="ABL58" s="75">
        <f t="array" ref="ABL58">INDEX('Port Linkages'!$AA$18:$AA$157,MATCH(2,1/(('Port Linkages'!$C$18:$C$157=$AP58)*('Port Linkages'!$D$18:$D$157=IF($AO58="Yes",$AQ58,$KK58))*('Port Linkages'!$A$18:$A$157&lt;=$C58))))</f>
        <v>0</v>
      </c>
      <c r="ABM58" s="75" t="str">
        <f t="array" ref="ABM58">INDEX('Port Linkages'!$AB$18:$AB$157,MATCH(2,1/(('Port Linkages'!$C$18:$C$157=$AP58)*('Port Linkages'!$D$18:$D$157=IF($AO58="Yes",$AQ58,$KK58))*('Port Linkages'!$A$18:$A$157&lt;=$C58))))</f>
        <v>Capesize_General</v>
      </c>
      <c r="ABN58" s="75" t="str">
        <f t="array" ref="ABN58">INDEX('Port Linkages'!$AC$18:$AC$157,MATCH(2,1/(('Port Linkages'!$C$18:$C$157=$AP58)*('Port Linkages'!$D$18:$D$157=IF($AO58="Yes",$AQ58,$KK58))*('Port Linkages'!$A$18:$A$157&lt;=$C58))))</f>
        <v>Singapore</v>
      </c>
      <c r="ABO58" s="75" t="str">
        <f t="array" ref="ABO58">INDEX('Port Linkages'!$AD$18:$AD$157,MATCH(2,1/(('Port Linkages'!$C$18:$C$157=$AP58)*('Port Linkages'!$D$18:$D$157=IF($AO58="Yes",$AQ58,$KK58))*('Port Linkages'!$A$18:$A$157&lt;=$C58))))</f>
        <v>VLSFO</v>
      </c>
      <c r="ABP58" s="75" t="str">
        <f t="array" ref="ABP58">INDEX('Port Linkages'!$AE$18:$AE$157,MATCH(2,1/(('Port Linkages'!$C$18:$C$157=$AP58)*('Port Linkages'!$D$18:$D$157=IF($AO58="Yes",$AQ58,$KK58))*('Port Linkages'!$A$18:$A$157&lt;=$C58))))</f>
        <v>MGO_Regular</v>
      </c>
      <c r="ABQ58" s="75" t="str">
        <f t="array" ref="ABQ58">INDEX('Port Linkages'!$AF$18:$AF$157,MATCH(2,1/(('Port Linkages'!$C$18:$C$157=$AP58)*('Port Linkages'!$D$18:$D$157=IF($AO58="Yes",$AQ58,$KK58))*('Port Linkages'!$A$18:$A$157&lt;=$C58))))</f>
        <v>none</v>
      </c>
      <c r="ABR58" s="75">
        <f t="array" ref="ABR58">INDEX('Port Linkages'!$AG$18:$AG$157,MATCH(2,1/(('Port Linkages'!$C$18:$C$157=$AP58)*('Port Linkages'!$D$18:$D$157=IF($AO58="Yes",$AQ58,$KK58))*('Port Linkages'!$A$18:$A$157&lt;=$C58))))</f>
        <v>2604</v>
      </c>
      <c r="ABS58" s="75">
        <f t="array" ref="ABS58">INDEX('Port Linkages'!$AH$18:$AH$157,MATCH(2,1/(('Port Linkages'!$C$18:$C$157=$AP58)*('Port Linkages'!$D$18:$D$157=IF($AO58="Yes",$AQ58,$KK58))*('Port Linkages'!$A$18:$A$157&lt;=$C58))))</f>
        <v>0</v>
      </c>
      <c r="ABT58" s="75" t="str">
        <f t="array" ref="ABT58">INDEX('Port Linkages'!$AI$18:$AI$157,MATCH(2,1/(('Port Linkages'!$C$18:$C$157=$AP58)*('Port Linkages'!$D$18:$D$157=IF($AO58="Yes",$AQ58,$KK58))*('Port Linkages'!$A$18:$A$157&lt;=$C58))))</f>
        <v>Panamax_General</v>
      </c>
      <c r="ABU58" s="75" t="str">
        <f t="array" ref="ABU58">INDEX('Port Linkages'!$AJ$18:$AJ$157,MATCH(2,1/(('Port Linkages'!$C$18:$C$157=$AP58)*('Port Linkages'!$D$18:$D$157=IF($AO58="Yes",$AQ58,$KK58))*('Port Linkages'!$A$18:$A$157&lt;=$C58))))</f>
        <v>Singapore</v>
      </c>
      <c r="ABV58" s="75" t="str">
        <f t="array" ref="ABV58">INDEX('Port Linkages'!$AK$18:$AK$157,MATCH(2,1/(('Port Linkages'!$C$18:$C$157=$AP58)*('Port Linkages'!$D$18:$D$157=IF($AO58="Yes",$AQ58,$KK58))*('Port Linkages'!$A$18:$A$157&lt;=$C58))))</f>
        <v>VLSFO</v>
      </c>
      <c r="ABW58" s="75" t="str">
        <f t="array" ref="ABW58">INDEX('Port Linkages'!$AL$18:$AL$157,MATCH(2,1/(('Port Linkages'!$C$18:$C$157=$AP58)*('Port Linkages'!$D$18:$D$157=IF($AO58="Yes",$AQ58,$KK58))*('Port Linkages'!$A$18:$A$157&lt;=$C58))))</f>
        <v>MGO_Regular</v>
      </c>
      <c r="ABX58" s="75" t="str">
        <f t="array" ref="ABX58">INDEX('Port Linkages'!$AM$18:$AM$157,MATCH(2,1/(('Port Linkages'!$C$18:$C$157=$AP58)*('Port Linkages'!$D$18:$D$157=IF($AO58="Yes",$AQ58,$KK58))*('Port Linkages'!$A$18:$A$157&lt;=$C58))))</f>
        <v>none</v>
      </c>
      <c r="ABY58" s="75">
        <f t="array" ref="ABY58">INDEX('Port Linkages'!$AN$18:$AN$157,MATCH(2,1/(('Port Linkages'!$C$18:$C$157=$AP58)*('Port Linkages'!$D$18:$D$157=IF($AO58="Yes",$AQ58,$KK58))*('Port Linkages'!$A$18:$A$157&lt;=$C58))))</f>
        <v>2604</v>
      </c>
      <c r="ABZ58" s="75">
        <f t="array" ref="ABZ58">INDEX('Port Linkages'!$AO$18:$AO$157,MATCH(2,1/(('Port Linkages'!$C$18:$C$157=$AP58)*('Port Linkages'!$D$18:$D$157=IF($AO58="Yes",$AQ58,$KK58))*('Port Linkages'!$A$18:$A$157&lt;=$C58))))</f>
        <v>0</v>
      </c>
      <c r="ACA58" s="75" t="str">
        <f t="array" ref="ACA58">INDEX('Port Linkages'!$AP$18:$AP$157,MATCH(2,1/(('Port Linkages'!$C$18:$C$157=$AP58)*('Port Linkages'!$D$18:$D$157=IF($AO58="Yes",$AQ58,$KK58))*('Port Linkages'!$A$18:$A$157&lt;=$C58))))</f>
        <v>Supramax_General</v>
      </c>
      <c r="ACB58" s="75" t="str">
        <f t="array" ref="ACB58">INDEX('Port Linkages'!$AQ$18:$AQ$157,MATCH(2,1/(('Port Linkages'!$C$18:$C$157=$AP58)*('Port Linkages'!$D$18:$D$157=IF($AO58="Yes",$AQ58,$KK58))*('Port Linkages'!$A$18:$A$157&lt;=$C58))))</f>
        <v>Singapore</v>
      </c>
      <c r="ACC58" s="75" t="str">
        <f t="array" ref="ACC58">INDEX('Port Linkages'!$AR$18:$AR$157,MATCH(2,1/(('Port Linkages'!$C$18:$C$157=$AP58)*('Port Linkages'!$D$18:$D$157=IF($AO58="Yes",$AQ58,$KK58))*('Port Linkages'!$A$18:$A$157&lt;=$C58))))</f>
        <v>VLSFO</v>
      </c>
      <c r="ACD58" s="75" t="str">
        <f t="array" ref="ACD58">INDEX('Port Linkages'!$AS$18:$AS$157,MATCH(2,1/(('Port Linkages'!$C$18:$C$157=$AP58)*('Port Linkages'!$D$18:$D$157=IF($AO58="Yes",$AQ58,$KK58))*('Port Linkages'!$A$18:$A$157&lt;=$C58))))</f>
        <v>MGO_Regular</v>
      </c>
      <c r="ACE58" s="75" t="str">
        <f t="array" ref="ACE58">INDEX('Port Linkages'!$AT$18:$AT$157,MATCH(2,1/(('Port Linkages'!$C$18:$C$157=$AP58)*('Port Linkages'!$D$18:$D$157=IF($AO58="Yes",$AQ58,$KK58))*('Port Linkages'!$A$18:$A$157&lt;=$C58))))</f>
        <v>none</v>
      </c>
      <c r="ACF58" s="75">
        <f t="array" ref="ACF58">INDEX('Port Linkages'!$AU$18:$AU$157,MATCH(2,1/(('Port Linkages'!$C$18:$C$157=$AP58)*('Port Linkages'!$D$18:$D$157=IF($AO58="Yes",$AQ58,$KK58))*('Port Linkages'!$A$18:$A$157&lt;=$C58))))</f>
        <v>2604</v>
      </c>
      <c r="ACG58" s="75">
        <f t="array" ref="ACG58">INDEX('Port Linkages'!$AV$18:$AV$157,MATCH(2,1/(('Port Linkages'!$C$18:$C$157=$AP58)*('Port Linkages'!$D$18:$D$157=IF($AO58="Yes",$AQ58,$KK58))*('Port Linkages'!$A$18:$A$157&lt;=$C58))))</f>
        <v>0</v>
      </c>
      <c r="ACH58" s="75" t="str">
        <f t="array" ref="ACH58">INDEX('Port Linkages'!$AW$18:$AW$157,MATCH(2,1/(('Port Linkages'!$C$18:$C$157=$AP58)*('Port Linkages'!$D$18:$D$157=IF($AO58="Yes",$AQ58,$KK58))*('Port Linkages'!$A$18:$A$157&lt;=$C58))))</f>
        <v>Handysize_General</v>
      </c>
      <c r="ACI58" s="75" t="str">
        <f t="array" ref="ACI58">INDEX('Port Linkages'!$AX$18:$AX$157,MATCH(2,1/(('Port Linkages'!$C$18:$C$157=$AP58)*('Port Linkages'!$D$18:$D$157=IF($AO58="Yes",$AQ58,$KK58))*('Port Linkages'!$A$18:$A$157&lt;=$C58))))</f>
        <v>Singapore</v>
      </c>
      <c r="ACJ58" s="75" t="str">
        <f t="array" ref="ACJ58">INDEX('Port Linkages'!$AY$18:$AY$157,MATCH(2,1/(('Port Linkages'!$C$18:$C$157=$AP58)*('Port Linkages'!$D$18:$D$157=IF($AO58="Yes",$AQ58,$KK58))*('Port Linkages'!$A$18:$A$157&lt;=$C58))))</f>
        <v>VLSFO</v>
      </c>
      <c r="ACK58" s="75" t="str">
        <f t="array" ref="ACK58">INDEX('Port Linkages'!$AZ$18:$AZ$157,MATCH(2,1/(('Port Linkages'!$C$18:$C$157=$AP58)*('Port Linkages'!$D$18:$D$157=IF($AO58="Yes",$AQ58,$KK58))*('Port Linkages'!$A$18:$A$157&lt;=$C58))))</f>
        <v>MGO_Regular</v>
      </c>
      <c r="ACL58" s="75" t="str">
        <f t="array" ref="ACL58">INDEX('Port Linkages'!$BA$18:$BA$157,MATCH(2,1/(('Port Linkages'!$C$18:$C$157=$AP58)*('Port Linkages'!$D$18:$D$157=IF($AO58="Yes",$AQ58,$KK58))*('Port Linkages'!$A$18:$A$157&lt;=$C58))))</f>
        <v>none</v>
      </c>
      <c r="ACN58" s="25" t="e">
        <f t="array" aca="1" ref="ACN58" ca="1">INDEX('Ship Fuel Prices'!$F$5:$F$1004,MATCH(2,1/(('Ship Fuel Prices'!$E$5:$E$1004=_xlfn.IFS(AAC58="Handysize",Main!ACI58,AAC58="Supramax",ACB58,AAC58="Panamax",ABU58,AAC58="NeoPanamax",ABN58,AAC58="Suezmax",ABG58,AAC58="Capesize",AAZ58,AAC58="VLOC",AAS58))*('Ship Fuel Prices'!$D$5:$D$1004&lt;=Main!$C58))))</f>
        <v>#N/A</v>
      </c>
      <c r="ACO58" s="25" t="e">
        <f t="array" aca="1" ref="ACO58" ca="1">INDEX('Ship Fuel Prices'!$G$5:$G$1004,MATCH(2,1/(('Ship Fuel Prices'!$E$5:$E$1004=_xlfn.IFS(AAC58="Handysize",Main!ACI58,AAC58="Supramax",ACB58,AAC58="Panamax",ABU58,AAC58="NeoPanamax",ABN58,AAC58="Suezmax",ABG58,AAC58="Capesize",AAZ58,AAC58="VLOC",AAS58))*('Ship Fuel Prices'!$D$5:$D$1004&lt;=Main!$C58))))</f>
        <v>#N/A</v>
      </c>
      <c r="ACP58" s="25" t="e">
        <f t="array" aca="1" ref="ACP58" ca="1">INDEX('Ship Fuel Prices'!$H$5:$H$1004,MATCH(2,1/(('Ship Fuel Prices'!$E$5:$E$1004=_xlfn.IFS(AAC58="Handysize",Main!ACI58,AAC58="Supramax",ACB58,AAC58="Panamax",ABU58,AAC58="NeoPanamax",ABN58,AAC58="Suezmax",ABG58,AAC58="Capesize",AAZ58,AAC58="VLOC",AAS58))*('Ship Fuel Prices'!$D$5:$D$1004&lt;=Main!$C58))))</f>
        <v>#N/A</v>
      </c>
      <c r="ACQ58" s="25" t="e">
        <f t="array" aca="1" ref="ACQ58" ca="1">INDEX('Ship Fuel Prices'!$I$5:$I$1004,MATCH(2,1/(('Ship Fuel Prices'!$E$5:$E$1004=_xlfn.IFS(AAC58="Handysize",Main!ACI58,AAC58="Supramax",ACB58,AAC58="Panamax",ABU58,AAC58="NeoPanamax",ABN58,AAC58="Suezmax",ABG58,AAC58="Capesize",AAZ58,AAC58="VLOC",AAS58))*('Ship Fuel Prices'!$D$5:$D$1004&lt;=Main!$C58))))</f>
        <v>#N/A</v>
      </c>
      <c r="ACR58" s="25" t="e">
        <f t="array" aca="1" ref="ACR58" ca="1">INDEX('Ship Fuel Prices'!$J$5:$J$1004,MATCH(2,1/(('Ship Fuel Prices'!$E$5:$E$1004=_xlfn.IFS(AAC58="Handysize",Main!ACI58,AAC58="Supramax",ACB58,AAC58="Panamax",ABU58,AAC58="NeoPanamax",ABN58,AAC58="Suezmax",ABG58,AAC58="Capesize",AAZ58,AAC58="VLOC",AAS58))*('Ship Fuel Prices'!$D$5:$D$1004&lt;=Main!$C58))))</f>
        <v>#N/A</v>
      </c>
      <c r="ACT58" s="75">
        <f t="array" ref="ACT58">INDEX('China n Importing Ports'!$E$20:$E$41,MATCH(2,1/(('China n Importing Ports'!$D$20:$D$41&lt;=$C58)*('China n Importing Ports'!$C$20:$C$41=IF($AO58="Yes",$AQ58,$KK58)))))</f>
        <v>42500</v>
      </c>
      <c r="ACU58" s="75">
        <f t="array" ref="ACU58">INDEX('China n Importing Ports'!$F$20:$F$41,MATCH(2,1/(('China n Importing Ports'!$D$20:$D$41&lt;=$C58)*('China n Importing Ports'!$C$20:$C$41=IF($AO58="Yes",$AQ58,$KK58)))))</f>
        <v>42500</v>
      </c>
      <c r="ACV58" s="75">
        <f t="array" ref="ACV58">INDEX('China n Importing Ports'!$G$20:$G$41,MATCH(2,1/(('China n Importing Ports'!$D$20:$D$41&lt;=$C58)*('China n Importing Ports'!$C$20:$C$41=IF($AO58="Yes",$AQ58,$KK58)))))</f>
        <v>42500</v>
      </c>
      <c r="ACW58" s="75">
        <f t="array" ref="ACW58">INDEX('China n Importing Ports'!$H$20:$H$41,MATCH(2,1/(('China n Importing Ports'!$D$20:$D$41&lt;=$C58)*('China n Importing Ports'!$C$20:$C$41=IF($AO58="Yes",$AQ58,$KK58)))))</f>
        <v>42500</v>
      </c>
      <c r="ACX58" s="75">
        <f t="array" ref="ACX58">INDEX('China n Importing Ports'!$I$20:$I$41,MATCH(2,1/(('China n Importing Ports'!$D$20:$D$41&lt;=$C58)*('China n Importing Ports'!$C$20:$C$41=IF($AO58="Yes",$AQ58,$KK58)))))</f>
        <v>42500</v>
      </c>
      <c r="ACY58" s="75">
        <f t="array" ref="ACY58">INDEX('China n Importing Ports'!$J$20:$J$41,MATCH(2,1/(('China n Importing Ports'!$D$20:$D$41&lt;=$C58)*('China n Importing Ports'!$C$20:$C$41=IF($AO58="Yes",$AQ58,$KK58)))))</f>
        <v>42500</v>
      </c>
      <c r="ACZ58" s="75">
        <f t="array" ref="ACZ58">INDEX('China n Importing Ports'!$K$20:$K$41,MATCH(2,1/(('China n Importing Ports'!$D$20:$D$41&lt;=$C58)*('China n Importing Ports'!$C$20:$C$41=IF($AO58="Yes",$AQ58,$KK58)))))</f>
        <v>42500</v>
      </c>
      <c r="ADA58" s="75" t="str">
        <f t="array" ref="ADA58">INDEX('China n Importing Ports'!$L$20:$L$41,MATCH(2,1/(('China n Importing Ports'!$D$20:$D$41&lt;=$C58)*('China n Importing Ports'!$C$20:$C$41=IF($AO58="Yes",$AQ58,$KK58)))))</f>
        <v>RMB</v>
      </c>
      <c r="ADB58" s="75">
        <f t="array" ref="ADB58">INDEX('China n Importing Ports'!$M$20:$M$41,MATCH(2,1/(('China n Importing Ports'!$D$20:$D$41&lt;=$C58)*('China n Importing Ports'!$C$20:$C$41=IF($AO58="Yes",$AQ58,$KK58)))))</f>
        <v>12342</v>
      </c>
      <c r="ADC58" s="75">
        <f t="array" ref="ADC58">INDEX('China n Importing Ports'!$N$20:$N$41,MATCH(2,1/(('China n Importing Ports'!$D$20:$D$41&lt;=$C58)*('China n Importing Ports'!$C$20:$C$41=IF($AO58="Yes",$AQ58,$KK58)))))</f>
        <v>0</v>
      </c>
      <c r="ADD58" s="75">
        <f t="array" ref="ADD58">INDEX('China n Importing Ports'!$O$20:$O$41,MATCH(2,1/(('China n Importing Ports'!$D$20:$D$41&lt;=$C58)*('China n Importing Ports'!$C$20:$C$41=IF($AO58="Yes",$AQ58,$KK58)))))</f>
        <v>0</v>
      </c>
      <c r="ADE58" s="136">
        <f t="array" ref="ADE58">INDEX('China n Importing Ports'!$P$20:$P$41,MATCH(2,1/(('China n Importing Ports'!$D$20:$D$41&lt;=$C58)*('China n Importing Ports'!$C$20:$C$41=IF($AO58="Yes",$AQ58,$KK58)))))</f>
        <v>2.64</v>
      </c>
      <c r="ADF58" s="136">
        <f t="array" ref="ADF58">INDEX('China n Importing Ports'!$Q$20:$Q$41,MATCH(2,1/(('China n Importing Ports'!$D$20:$D$41&lt;=$C58)*('China n Importing Ports'!$C$20:$C$41=IF($AO58="Yes",$AQ58,$KK58)))))</f>
        <v>0</v>
      </c>
      <c r="ADG58" s="136">
        <f t="array" ref="ADG58">INDEX('China n Importing Ports'!$R$20:$R$41,MATCH(2,1/(('China n Importing Ports'!$D$20:$D$41&lt;=$C58)*('China n Importing Ports'!$C$20:$C$41=IF($AO58="Yes",$AQ58,$KK58)))))</f>
        <v>0</v>
      </c>
      <c r="ADH58" s="136">
        <f t="array" ref="ADH58">INDEX('China n Importing Ports'!$S$20:$S$41,MATCH(2,1/(('China n Importing Ports'!$D$20:$D$41&lt;=$C58)*('China n Importing Ports'!$C$20:$C$41=IF($AO58="Yes",$AQ58,$KK58)))))</f>
        <v>4.53</v>
      </c>
      <c r="ADI58" s="136">
        <f t="array" ref="ADI58">INDEX('China n Importing Ports'!$T$20:$T$41,MATCH(2,1/(('China n Importing Ports'!$D$20:$D$41&lt;=$C58)*('China n Importing Ports'!$C$20:$C$41=IF($AO58="Yes",$AQ58,$KK58)))))</f>
        <v>0.36699999999999999</v>
      </c>
      <c r="ADJ58" s="136">
        <f t="array" ref="ADJ58">INDEX('China n Importing Ports'!$U$20:$U$41,MATCH(2,1/(('China n Importing Ports'!$D$20:$D$41&lt;=$C58)*('China n Importing Ports'!$C$20:$C$41=IF($AO58="Yes",$AQ58,$KK58)))))</f>
        <v>0.05</v>
      </c>
      <c r="ADK58" s="136">
        <f t="array" ref="ADK58">INDEX('China n Importing Ports'!$V$20:$V$41,MATCH(2,1/(('China n Importing Ports'!$D$20:$D$41&lt;=$C58)*('China n Importing Ports'!$C$20:$C$41=IF($AO58="Yes",$AQ58,$KK58)))))</f>
        <v>0</v>
      </c>
      <c r="ADL58" s="136">
        <f t="array" ref="ADL58">INDEX('China n Importing Ports'!$W$20:$W$41,MATCH(2,1/(('China n Importing Ports'!$D$20:$D$41&lt;=$C58)*('China n Importing Ports'!$C$20:$C$41=IF($AO58="Yes",$AQ58,$KK58)))))</f>
        <v>0</v>
      </c>
      <c r="ADM58" s="136">
        <f t="array" ref="ADM58">INDEX('China n Importing Ports'!$X$20:$X$41,MATCH(2,1/(('China n Importing Ports'!$D$20:$D$41&lt;=$C58)*('China n Importing Ports'!$C$20:$C$41=IF($AO58="Yes",$AQ58,$KK58)))))</f>
        <v>0</v>
      </c>
      <c r="ADN58" s="136">
        <f t="array" ref="ADN58">INDEX('China n Importing Ports'!$Y$20:$Y$41,MATCH(2,1/(('China n Importing Ports'!$D$20:$D$41&lt;=$C58)*('China n Importing Ports'!$C$20:$C$41=IF($AO58="Yes",$AQ58,$KK58)))))</f>
        <v>197</v>
      </c>
      <c r="ADO58" s="136">
        <f t="array" ref="ADO58">INDEX('China n Importing Ports'!$Z$20:$Z$41,MATCH(2,1/(('China n Importing Ports'!$D$20:$D$41&lt;=$C58)*('China n Importing Ports'!$C$20:$C$41=IF($AO58="Yes",$AQ58,$KK58)))))</f>
        <v>0</v>
      </c>
      <c r="ADP58" s="136">
        <f t="array" ref="ADP58">INDEX('China n Importing Ports'!$AA$20:$AA$41,MATCH(2,1/(('China n Importing Ports'!$D$20:$D$41&lt;=$C58)*('China n Importing Ports'!$C$20:$C$41=IF($AO58="Yes",$AQ58,$KK58)))))</f>
        <v>0</v>
      </c>
      <c r="ADR58" s="75" t="e">
        <f t="array" aca="1" ref="ADR58" ca="1">INDEX(Canals!$G$24:$G$29,MATCH(2,1/((Canals!$F$24:$F$29&lt;=$C58)*(Canals!$G$24:$G$29=_xlfn.IFS(AAC58="Handysize",Main!ACL58,AAC58="Supramax",ACE58,AAC58="Panamax",ABX58,AAC58="NeoPanamax",ABQ58,AAC58="Suezmax",ABJ58,AAC58="Capesize",ABC58,AAC58="VLOC",AAV58)))))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S58" s="75" t="e">
        <f t="array" aca="1" ref="ADS58" ca="1">INDEX(Canals!$H$24:$H$29,MATCH(2,1/((Canals!$F$24:$F$29&lt;=$C58)*(Canals!$G$24:$G$29=_xlfn.IFS(AAC58="Handysize",Main!ACL58,AAC58="Supramax",ACE58,AAC58="Panamax",ABX58,AAC58="NeoPanamax",ABQ58,AAC58="Suezmax",ABJ58,AAC58="Capesize",ABC58,AAC58="VLOC",AAV58)))))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T58" s="75" t="e">
        <f t="array" aca="1" ref="ADT58" ca="1">INDEX(Canals!$I$24:$I$29,MATCH(2,1/((Canals!$F$24:$F$29&lt;=$C58)*(Canals!$G$24:$G$29=_xlfn.IFS(AAC58="Handysize",Main!ACL58,AAC58="Supramax",ACE58,AAC58="Panamax",ABX58,AAC58="NeoPanamax",ABQ58,AAC58="Suezmax",ABJ58,AAC58="Capesize",ABC58,AAC58="VLOC",AAV58)))))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U58" s="75" t="e">
        <f t="array" aca="1" ref="ADU58" ca="1">INDEX(Canals!$J$24:$J$29,MATCH(2,1/((Canals!$F$24:$F$29&lt;=$C58)*(Canals!$G$24:$G$29=_xlfn.IFS(AAC58="Handysize",Main!ACL58,AAC58="Supramax",ACE58,AAC58="Panamax",ABX58,AAC58="NeoPanamax",ABQ58,AAC58="Suezmax",ABJ58,AAC58="Capesize",ABC58,AAC58="VLOC",AAV58)))))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V58" s="75" t="e">
        <f t="array" aca="1" ref="ADV58" ca="1">INDEX(Canals!$K$24:$K$29,MATCH(2,1/((Canals!$F$24:$F$29&lt;=$C58)*(Canals!$G$24:$G$29=_xlfn.IFS(AAC58="Handysize",Main!ACL58,AAC58="Supramax",ACE58,AAC58="Panamax",ABX58,AAC58="NeoPanamax",ABQ58,AAC58="Suezmax",ABJ58,AAC58="Capesize",ABC58,AAC58="VLOC",AAV58)))))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W58" s="75" t="e">
        <f t="array" aca="1" ref="ADW58" ca="1">INDEX(Canals!$L$24:$L$29,MATCH(2,1/((Canals!$F$24:$F$29&lt;=$C58)*(Canals!$G$24:$G$29=_xlfn.IFS(AAC58="Handysize",Main!ACL58,AAC58="Supramax",ACE58,AAC58="Panamax",ABX58,AAC58="NeoPanamax",ABQ58,AAC58="Suezmax",ABJ58,AAC58="Capesize",ABC58,AAC58="VLOC",AAV58)))))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X58" s="75" t="e">
        <f t="array" aca="1" ref="ADX58" ca="1">INDEX(Canals!$M$24:$M$29,MATCH(2,1/((Canals!$F$24:$F$29&lt;=$C58)*(Canals!$G$24:$G$29=_xlfn.IFS(AAC58="Handysize",Main!ACL58,AAC58="Supramax",ACE58,AAC58="Panamax",ABX58,AAC58="NeoPanamax",ABQ58,AAC58="Suezmax",ABJ58,AAC58="Capesize",ABC58,AAC58="VLOC",AAV58)))))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Y58" s="75" t="e">
        <f t="array" aca="1" ref="ADY58" ca="1">INDEX(Canals!$N$24:$N$29,MATCH(2,1/((Canals!$F$24:$F$29&lt;=$C58)*(Canals!$G$24:$G$29=_xlfn.IFS(AAC58="Handysize",Main!ACL58,AAC58="Supramax",ACE58,AAC58="Panamax",ABX58,AAC58="NeoPanamax",ABQ58,AAC58="Suezmax",ABJ58,AAC58="Capesize",ABC58,AAC58="VLOC",AAV58)))))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DZ58" s="75" t="e">
        <f t="array" aca="1" ref="ADZ58" ca="1">INDEX(Canals!$O$24:$O$29,MATCH(2,1/((Canals!$F$24:$F$29&lt;=$C58)*(Canals!$G$24:$G$29=_xlfn.IFS(AAC58="Handysize",Main!ACL58,AAC58="Supramax",ACE58,AAC58="Panamax",ABX58,AAC58="NeoPanamax",ABQ58,AAC58="Suezmax",ABJ58,AAC58="Capesize",ABC58,AAC58="VLOC",AAV58)))))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A58" s="75" t="e">
        <f t="array" aca="1" ref="AEA58" ca="1">INDEX(Canals!$P$24:$P$29,MATCH(2,1/((Canals!$F$24:$F$29&lt;=$C58)*(Canals!$G$24:$G$29=_xlfn.IFS(AAC58="Handysize",Main!ACL58,AAC58="Supramax",ACE58,AAC58="Panamax",ABX58,AAC58="NeoPanamax",ABQ58,AAC58="Suezmax",ABJ58,AAC58="Capesize",ABC58,AAC58="VLOC",AAV58)))))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B58" s="75" t="e">
        <f t="array" aca="1" ref="AEB58" ca="1">INDEX(Canals!$Q$24:$Q$29,MATCH(2,1/((Canals!$F$24:$F$29&lt;=$C58)*(Canals!$G$24:$G$29=_xlfn.IFS(AAC58="Handysize",Main!ACL58,AAC58="Supramax",ACE58,AAC58="Panamax",ABX58,AAC58="NeoPanamax",ABQ58,AAC58="Suezmax",ABJ58,AAC58="Capesize",ABC58,AAC58="VLOC",AAV58)))))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C58" s="75" t="e">
        <f t="array" aca="1" ref="AEC58" ca="1">INDEX(Canals!$R$24:$R$29,MATCH(2,1/((Canals!$F$24:$F$29&lt;=$C58)*(Canals!$G$24:$G$29=_xlfn.IFS(AAC58="Handysize",Main!ACL58,AAC58="Supramax",ACE58,AAC58="Panamax",ABX58,AAC58="NeoPanamax",ABQ58,AAC58="Suezmax",ABJ58,AAC58="Capesize",ABC58,AAC58="VLOC",AAV58)))))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D58" s="136" t="e">
        <f t="array" aca="1" ref="AED58" ca="1">INDEX(Canals!$S$24:$S$29,MATCH(2,1/((Canals!$F$24:$F$29&lt;=$C58)*(Canals!$G$24:$G$29=_xlfn.IFS(AAC58="Handysize",Main!ACL58,AAC58="Supramax",ACE58,AAC58="Panamax",ABX58,AAC58="NeoPanamax",ABQ58,AAC58="Suezmax",ABJ58,AAC58="Capesize",ABC58,AAC58="VLOC",AAV58)))))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E58" s="136" t="e">
        <f t="array" aca="1" ref="AEE58" ca="1">INDEX(Canals!$T$24:$T$29,MATCH(2,1/((Canals!$F$24:$F$29&lt;=$C58)*(Canals!$G$24:$G$29=_xlfn.IFS(AAC58="Handysize",Main!ACL58,AAC58="Supramax",ACE58,AAC58="Panamax",ABX58,AAC58="NeoPanamax",ABQ58,AAC58="Suezmax",ABJ58,AAC58="Capesize",ABC58,AAC58="VLOC",AAV58)))))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F58" s="136" t="e">
        <f t="array" aca="1" ref="AEF58" ca="1">INDEX(Canals!$U$24:$U$29,MATCH(2,1/((Canals!$F$24:$F$29&lt;=$C58)*(Canals!$G$24:$G$29=_xlfn.IFS(AAC58="Handysize",Main!ACL58,AAC58="Supramax",ACE58,AAC58="Panamax",ABX58,AAC58="NeoPanamax",ABQ58,AAC58="Suezmax",ABJ58,AAC58="Capesize",ABC58,AAC58="VLOC",AAV58)))))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G58" s="136" t="e">
        <f t="array" aca="1" ref="AEG58" ca="1">INDEX(Canals!$V$24:$V$29,MATCH(2,1/((Canals!$F$24:$F$29&lt;=$C58)*(Canals!$G$24:$G$29=_xlfn.IFS(AAC58="Handysize",Main!ACL58,AAC58="Supramax",ACE58,AAC58="Panamax",ABX58,AAC58="NeoPanamax",ABQ58,AAC58="Suezmax",ABJ58,AAC58="Capesize",ABC58,AAC58="VLOC",AAV58)))))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H58" s="136" t="e">
        <f t="array" aca="1" ref="AEH58" ca="1">INDEX(Canals!$W$24:$W$29,MATCH(2,1/((Canals!$F$24:$F$29&lt;=$C58)*(Canals!$G$24:$G$29=_xlfn.IFS(AAC58="Handysize",Main!ACL58,AAC58="Supramax",ACE58,AAC58="Panamax",ABX58,AAC58="NeoPanamax",ABQ58,AAC58="Suezmax",ABJ58,AAC58="Capesize",ABC58,AAC58="VLOC",AAV58)))))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I58" s="136" t="e">
        <f t="array" aca="1" ref="AEI58" ca="1">INDEX(Canals!$X$24:$X$29,MATCH(2,1/((Canals!$F$24:$F$29&lt;=$C58)*(Canals!$G$24:$G$29=_xlfn.IFS(AAC58="Handysize",Main!ACL58,AAC58="Supramax",ACE58,AAC58="Panamax",ABX58,AAC58="NeoPanamax",ABQ58,AAC58="Suezmax",ABJ58,AAC58="Capesize",ABC58,AAC58="VLOC",AAV58)))))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J58" s="136" t="e">
        <f t="array" aca="1" ref="AEJ58" ca="1">INDEX(Canals!$Y$24:$Y$29,MATCH(2,1/((Canals!$F$24:$F$29&lt;=$C58)*(Canals!$G$24:$G$29=_xlfn.IFS(AAC58="Handysize",Main!ACL58,AAC58="Supramax",ACE58,AAC58="Panamax",ABX58,AAC58="NeoPanamax",ABQ58,AAC58="Suezmax",ABJ58,AAC58="Capesize",ABC58,AAC58="VLOC",AAV58)))))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K58" s="136" t="e">
        <f t="array" aca="1" ref="AEK58" ca="1">INDEX(Canals!$Z$24:$Z$29,MATCH(2,1/((Canals!$F$24:$F$29&lt;=$C58)*(Canals!$G$24:$G$29=_xlfn.IFS(AAC58="Handysize",Main!ACL58,AAC58="Supramax",ACE58,AAC58="Panamax",ABX58,AAC58="NeoPanamax",ABQ58,AAC58="Suezmax",ABJ58,AAC58="Capesize",ABC58,AAC58="VLOC",AAV58)))))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L58" s="136" t="e">
        <f t="array" aca="1" ref="AEL58" ca="1">INDEX(Canals!$AA$24:$AA$29,MATCH(2,1/((Canals!$F$24:$F$29&lt;=$C58)*(Canals!$G$24:$G$29=_xlfn.IFS(AAC58="Handysize",Main!ACL58,AAC58="Supramax",ACE58,AAC58="Panamax",ABX58,AAC58="NeoPanamax",ABQ58,AAC58="Suezmax",ABJ58,AAC58="Capesize",ABC58,AAC58="VLOC",AAV58)))))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M58" s="136" t="e">
        <f t="array" aca="1" ref="AEM58" ca="1">INDEX(Canals!$AB$24:$AB$29,MATCH(2,1/((Canals!$F$24:$F$29&lt;=$C58)*(Canals!$G$24:$G$29=_xlfn.IFS(AAC58="Handysize",Main!ACL58,AAC58="Supramax",ACE58,AAC58="Panamax",ABX58,AAC58="NeoPanamax",ABQ58,AAC58="Suezmax",ABJ58,AAC58="Capesize",ABC58,AAC58="VLOC",AAV58)))))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N58" s="75" t="e">
        <f t="array" aca="1" ref="AEN58" ca="1">INDEX(Canals!$AC$24:$AC$29,MATCH(2,1/((Canals!$F$24:$F$29&lt;=$C58)*(Canals!$G$24:$G$29=_xlfn.IFS(AAC58="Handysize",Main!ACL58,AAC58="Supramax",ACE58,AAC58="Panamax",ABX58,AAC58="NeoPanamax",ABQ58,AAC58="Suezmax",ABJ58,AAC58="Capesize",ABC58,AAC58="VLOC",AAV58)))))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O58" s="75" t="e">
        <f t="array" aca="1" ref="AEO58" ca="1">INDEX(Canals!$AD$24:$AD$29,MATCH(2,1/((Canals!$F$24:$F$29&lt;=$C58)*(Canals!$G$24:$G$29=_xlfn.IFS(AAC58="Handysize",Main!ACL58,AAC58="Supramax",ACE58,AAC58="Panamax",ABX58,AAC58="NeoPanamax",ABQ58,AAC58="Suezmax",ABJ58,AAC58="Capesize",ABC58,AAC58="VLOC",AAV58)))))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P58" s="75" t="e">
        <f t="array" aca="1" ref="AEP58" ca="1">INDEX(Canals!$AE$24:$AE$29,MATCH(2,1/((Canals!$F$24:$F$29&lt;=$C58)*(Canals!$G$24:$G$29=_xlfn.IFS(AAC58="Handysize",Main!ACL58,AAC58="Supramax",ACE58,AAC58="Panamax",ABX58,AAC58="NeoPanamax",ABQ58,AAC58="Suezmax",ABJ58,AAC58="Capesize",ABC58,AAC58="VLOC",AAV58)))))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Q58" s="75" t="e">
        <f t="array" aca="1" ref="AEQ58" ca="1">INDEX(Canals!$AF$24:$AF$29,MATCH(2,1/((Canals!$F$24:$F$29&lt;=$C58)*(Canals!$G$24:$G$29=_xlfn.IFS(AAC58="Handysize",Main!ACL58,AAC58="Supramax",ACE58,AAC58="Panamax",ABX58,AAC58="NeoPanamax",ABQ58,AAC58="Suezmax",ABJ58,AAC58="Capesize",ABC58,AAC58="VLOC",AAV58)))))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R58" s="75" t="e">
        <f t="array" aca="1" ref="AER58" ca="1">INDEX(Canals!$AG$24:$AG$29,MATCH(2,1/((Canals!$F$24:$F$29&lt;=$C58)*(Canals!$G$24:$G$29=_xlfn.IFS(AAC58="Handysize",Main!ACL58,AAC58="Supramax",ACE58,AAC58="Panamax",ABX58,AAC58="NeoPanamax",ABQ58,AAC58="Suezmax",ABJ58,AAC58="Capesize",ABC58,AAC58="VLOC",AAV58)))))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S58" s="75" t="e">
        <f t="array" aca="1" ref="AES58" ca="1">INDEX(Canals!$AH$24:$AH$29,MATCH(2,1/((Canals!$F$24:$F$29&lt;=$C58)*(Canals!$G$24:$G$29=_xlfn.IFS(AAC58="Handysize",Main!ACL58,AAC58="Supramax",ACE58,AAC58="Panamax",ABX58,AAC58="NeoPanamax",ABQ58,AAC58="Suezmax",ABJ58,AAC58="Capesize",ABC58,AAC58="VLOC",AAV58)))))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T58" s="75" t="e">
        <f t="array" aca="1" ref="AET58" ca="1">INDEX(Canals!$AI$24:$AI$29,MATCH(2,1/((Canals!$F$24:$F$29&lt;=$C58)*(Canals!$G$24:$G$29=_xlfn.IFS(AAC58="Handysize",Main!ACL58,AAC58="Supramax",ACE58,AAC58="Panamax",ABX58,AAC58="NeoPanamax",ABQ58,AAC58="Suezmax",ABJ58,AAC58="Capesize",ABC58,AAC58="VLOC",AAV58)))))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U58" s="75" t="e">
        <f t="array" aca="1" ref="AEU58" ca="1">INDEX(Canals!$AJ$24:$AJ$29,MATCH(2,1/((Canals!$F$24:$F$29&lt;=$C58)*(Canals!$G$24:$G$29=_xlfn.IFS(AAC58="Handysize",Main!ACL58,AAC58="Supramax",ACE58,AAC58="Panamax",ABX58,AAC58="NeoPanamax",ABQ58,AAC58="Suezmax",ABJ58,AAC58="Capesize",ABC58,AAC58="VLOC",AAV58)))))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V58" s="75" t="e">
        <f t="array" aca="1" ref="AEV58" ca="1">INDEX(Canals!$AK$24:$AK$29,MATCH(2,1/((Canals!$F$24:$F$29&lt;=$C58)*(Canals!$G$24:$G$29=_xlfn.IFS(AAC58="Handysize",Main!ACL58,AAC58="Supramax",ACE58,AAC58="Panamax",ABX58,AAC58="NeoPanamax",ABQ58,AAC58="Suezmax",ABJ58,AAC58="Capesize",ABC58,AAC58="VLOC",AAV58)))))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W58" s="136" t="e">
        <f t="array" aca="1" ref="AEW58" ca="1">INDEX(Canals!$AL$24:$AL$29,MATCH(2,1/((Canals!$F$24:$F$29&lt;=$C58)*(Canals!$G$24:$G$29=_xlfn.IFS(AAC58="Handysize",Main!ACL58,AAC58="Supramax",ACE58,AAC58="Panamax",ABX58,AAC58="NeoPanamax",ABQ58,AAC58="Suezmax",ABJ58,AAC58="Capesize",ABC58,AAC58="VLOC",AAV58)))))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X58" s="136" t="e">
        <f t="array" aca="1" ref="AEX58" ca="1">INDEX(Canals!$AM$24:$AM$29,MATCH(2,1/((Canals!$F$24:$F$29&lt;=$C58)*(Canals!$G$24:$G$29=_xlfn.IFS(AAC58="Handysize",Main!ACL58,AAC58="Supramax",ACE58,AAC58="Panamax",ABX58,AAC58="NeoPanamax",ABQ58,AAC58="Suezmax",ABJ58,AAC58="Capesize",ABC58,AAC58="VLOC",AAV58)))))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Y58" s="136" t="e">
        <f t="array" aca="1" ref="AEY58" ca="1">INDEX(Canals!$AN$24:$AN$29,MATCH(2,1/((Canals!$F$24:$F$29&lt;=$C58)*(Canals!$G$24:$G$29=_xlfn.IFS(AAC58="Handysize",Main!ACL58,AAC58="Supramax",ACE58,AAC58="Panamax",ABX58,AAC58="NeoPanamax",ABQ58,AAC58="Suezmax",ABJ58,AAC58="Capesize",ABC58,AAC58="VLOC",AAV58)))))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EZ58" s="136" t="e">
        <f t="array" aca="1" ref="AEZ58" ca="1">INDEX(Canals!$AO$24:$AO$29,MATCH(2,1/((Canals!$F$24:$F$29&lt;=$C58)*(Canals!$G$24:$G$29=_xlfn.IFS(AAC58="Handysize",Main!ACL58,AAC58="Supramax",ACE58,AAC58="Panamax",ABX58,AAC58="NeoPanamax",ABQ58,AAC58="Suezmax",ABJ58,AAC58="Capesize",ABC58,AAC58="VLOC",AAV58)))))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A58" s="136" t="e">
        <f t="array" aca="1" ref="AFA58" ca="1">INDEX(Canals!$AP$24:$AP$29,MATCH(2,1/((Canals!$F$24:$F$29&lt;=$C58)*(Canals!$G$24:$G$29=_xlfn.IFS(AAC58="Handysize",Main!ACL58,AAC58="Supramax",ACE58,AAC58="Panamax",ABX58,AAC58="NeoPanamax",ABQ58,AAC58="Suezmax",ABJ58,AAC58="Capesize",ABC58,AAC58="VLOC",AAV58)))))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B58" s="136" t="e">
        <f t="array" aca="1" ref="AFB58" ca="1">INDEX(Canals!$AQ$24:$AQ$29,MATCH(2,1/((Canals!$F$24:$F$29&lt;=$C58)*(Canals!$G$24:$G$29=_xlfn.IFS(AAC58="Handysize",Main!ACL58,AAC58="Supramax",ACE58,AAC58="Panamax",ABX58,AAC58="NeoPanamax",ABQ58,AAC58="Suezmax",ABJ58,AAC58="Capesize",ABC58,AAC58="VLOC",AAV58)))))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C58" s="136" t="e">
        <f t="array" aca="1" ref="AFC58" ca="1">INDEX(Canals!$AR$24:$AR$29,MATCH(2,1/((Canals!$F$24:$F$29&lt;=$C58)*(Canals!$G$24:$G$29=_xlfn.IFS(AAC58="Handysize",Main!ACL58,AAC58="Supramax",ACE58,AAC58="Panamax",ABX58,AAC58="NeoPanamax",ABQ58,AAC58="Suezmax",ABJ58,AAC58="Capesize",ABC58,AAC58="VLOC",AAV58)))))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D58" s="136" t="e">
        <f t="array" aca="1" ref="AFD58" ca="1">INDEX(Canals!$AS$24:$AS$29,MATCH(2,1/((Canals!$F$24:$F$29&lt;=$C58)*(Canals!$G$24:$G$29=_xlfn.IFS(AAC58="Handysize",Main!ACL58,AAC58="Supramax",ACE58,AAC58="Panamax",ABX58,AAC58="NeoPanamax",ABQ58,AAC58="Suezmax",ABJ58,AAC58="Capesize",ABC58,AAC58="VLOC",AAV58)))))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E58" s="136" t="e">
        <f t="array" aca="1" ref="AFE58" ca="1">INDEX(Canals!$AT$24:$AT$29,MATCH(2,1/((Canals!$F$24:$F$29&lt;=$C58)*(Canals!$G$24:$G$29=_xlfn.IFS(AAC58="Handysize",Main!ACL58,AAC58="Supramax",ACE58,AAC58="Panamax",ABX58,AAC58="NeoPanamax",ABQ58,AAC58="Suezmax",ABJ58,AAC58="Capesize",ABC58,AAC58="VLOC",AAV58)))))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F58" s="136" t="e">
        <f t="array" aca="1" ref="AFF58" ca="1">INDEX(Canals!$AU$24:$AU$29,MATCH(2,1/((Canals!$F$24:$F$29&lt;=$C58)*(Canals!$G$24:$G$29=_xlfn.IFS(AAC58="Handysize",Main!ACL58,AAC58="Supramax",ACE58,AAC58="Panamax",ABX58,AAC58="NeoPanamax",ABQ58,AAC58="Suezmax",ABJ58,AAC58="Capesize",ABC58,AAC58="VLOC",AAV58)))))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G58" s="136" t="e">
        <f t="array" aca="1" ref="AFG58" ca="1">INDEX(Canals!$AV$24:$AV$29,MATCH(2,1/((Canals!$F$24:$F$29&lt;=$C58)*(Canals!$G$24:$G$29=_xlfn.IFS(AAC58="Handysize",Main!ACL58,AAC58="Supramax",ACE58,AAC58="Panamax",ABX58,AAC58="NeoPanamax",ABQ58,AAC58="Suezmax",ABJ58,AAC58="Capesize",ABC58,AAC58="VLOC",AAV58)))))</f>
        <v>#N/A</v>
      </c>
      <c r="AFI58" s="75" t="e">
        <f t="array" aca="1" ref="AFI58" ca="1">_xlfn.IFS(ADT58="DWT",AAA58,ADT58="NRT",AAE58,ADT58="GRT",AAF58)</f>
        <v>#NAME?</v>
      </c>
      <c r="AFJ58" s="279" t="e">
        <f t="shared" ca="1" si="508"/>
        <v>#NAME?</v>
      </c>
      <c r="AFK58" s="280" t="e">
        <f t="shared" ca="1" si="509"/>
        <v>#NAME?</v>
      </c>
      <c r="AFL58" s="280" t="e">
        <f t="shared" ca="1" si="510"/>
        <v>#NAME?</v>
      </c>
      <c r="AFM58" s="280" t="e">
        <f t="shared" ca="1" si="511"/>
        <v>#NAME?</v>
      </c>
      <c r="AFN58" s="280" t="e">
        <f t="shared" ca="1" si="512"/>
        <v>#NAME?</v>
      </c>
      <c r="AFO58" s="280" t="e">
        <f t="shared" ca="1" si="513"/>
        <v>#NAME?</v>
      </c>
      <c r="AFP58" s="280" t="e">
        <f t="shared" ca="1" si="514"/>
        <v>#NAME?</v>
      </c>
      <c r="AFQ58" s="280" t="e">
        <f t="shared" ca="1" si="515"/>
        <v>#NAME?</v>
      </c>
      <c r="AFR58" s="280" t="e">
        <f t="shared" ca="1" si="516"/>
        <v>#NAME?</v>
      </c>
      <c r="AFS58" s="75">
        <f t="shared" si="517"/>
        <v>56626.506024096387</v>
      </c>
      <c r="AFT58" s="279" t="e">
        <f t="shared" ca="1" si="518"/>
        <v>#N/A</v>
      </c>
      <c r="AFU58" s="280" t="e">
        <f t="shared" ca="1" si="519"/>
        <v>#N/A</v>
      </c>
      <c r="AFV58" s="280" t="e">
        <f t="shared" ca="1" si="520"/>
        <v>#N/A</v>
      </c>
      <c r="AFW58" s="280" t="e">
        <f t="shared" ca="1" si="521"/>
        <v>#N/A</v>
      </c>
      <c r="AFX58" s="280" t="e">
        <f t="shared" ca="1" si="522"/>
        <v>#N/A</v>
      </c>
      <c r="AFY58" s="280" t="e">
        <f t="shared" ca="1" si="523"/>
        <v>#N/A</v>
      </c>
      <c r="AFZ58" s="280" t="e">
        <f t="shared" ca="1" si="524"/>
        <v>#N/A</v>
      </c>
      <c r="AGA58" s="280" t="e">
        <f t="shared" ca="1" si="525"/>
        <v>#N/A</v>
      </c>
      <c r="AGB58" s="280" t="e">
        <f t="shared" ca="1" si="526"/>
        <v>#N/A</v>
      </c>
      <c r="AGD58" s="75" t="e">
        <f t="array" aca="1" ref="AGD58" ca="1">_xlfn.IFS(AAC58="Handysize",Main!ACF58,AAC58="Supramax",ABY58,AAC58="Panamax",ABR58,AAC58="NeoPanamax",ABK58,AAC58="Suezmax",ABD58,AAC58="Capesize",AAW58,AAC58="VLOC",AAP58)*$JI58</f>
        <v>#NAME?</v>
      </c>
      <c r="AGE58" s="274" t="e">
        <f t="array" aca="1" ref="AGE58" ca="1">_xlfn.IFS(AAC58="Handysize",Main!ACG58,AAC58="Supramax",ABZ58,AAC58="Panamax",ABS58,AAC58="NeoPanamax",ABL58,AAC58="Suezmax",ABE58,AAC58="Capesize",AAX58,AAC58="VLOC",AAQ58)*$JI58</f>
        <v>#NAME?</v>
      </c>
      <c r="AGF58" s="71" t="e">
        <f t="array" aca="1" ref="AGF58" ca="1">_xlfn.IFS(AAC58="Handysize",Main!AAH58,AAC58="Supramax",AAI58,AAC58="Panamax",AAJ58,AAC58="NeoPanamax",AAK58,AAC58="Suezmax",AAL58,AAC58="Capesize",AAM58,AAC58="VLOC",AAN58)</f>
        <v>#NAME?</v>
      </c>
      <c r="AGG58" s="71" t="e">
        <f t="array" aca="1" ref="AGG58" ca="1">_xlfn.IFS(AAC58="Handysize",Main!ACT58,AAC58="Supramax",ACU58,AAC58="Panamax",ACV58,AAC58="NeoPanamax",ACW58,AAC58="Suezmax",ACX58,AAC58="Capesize",ACY58,AAC58="VLOC",ACZ58)</f>
        <v>#NAME?</v>
      </c>
      <c r="AGH58" s="70">
        <f t="array" ref="AGH58">INDEX('Ship Speeds'!$G$11:$G$1011,MATCH(2,1/(('Ship Speeds'!$E$11:$E$1011&lt;=Main!$C58)*('Ship Speeds'!$F$11:$F$1011=Main!AAB58))))</f>
        <v>11</v>
      </c>
      <c r="AGI58" s="403">
        <f t="shared" si="527"/>
        <v>17.645973978233556</v>
      </c>
      <c r="AGJ58" s="401">
        <f t="shared" si="528"/>
        <v>1.8202780352177941</v>
      </c>
      <c r="AGK58" s="70" t="e">
        <f t="shared" ca="1" si="529"/>
        <v>#NAME?</v>
      </c>
      <c r="AGL58" s="70" t="e">
        <f t="shared" ca="1" si="530"/>
        <v>#NAME?</v>
      </c>
      <c r="AGM58" s="70" t="e">
        <f t="shared" ca="1" si="531"/>
        <v>#NAME?</v>
      </c>
      <c r="AGN58" s="70" t="e">
        <f t="shared" ca="1" si="532"/>
        <v>#NAME?</v>
      </c>
      <c r="AGO58" s="72" t="e">
        <f t="shared" ca="1" si="533"/>
        <v>#N/A</v>
      </c>
      <c r="AGP58" s="70" t="e">
        <f t="shared" ca="1" si="534"/>
        <v>#NAME?</v>
      </c>
      <c r="AGQ58" s="70" t="e">
        <f t="array" aca="1" ref="AGQ58" ca="1">INDEX(ACN58:ACR58,MATCH(_xlfn.IFS(AAC58="Handysize",Main!ACJ58,AAC58="Supramax",ACC58,AAC58="Panamax",ABV58,AAC58="NeoPanamax",ABO58,AAC58="Suezmax",ABH58,AAC58="Capesize",ABA58,AAC58="VLOC",AAT58),$ACN$7:$ACR$7,0))</f>
        <v>#NAME?</v>
      </c>
      <c r="AGR58" s="70" t="e">
        <f t="array" aca="1" ref="AGR58" ca="1">INDEX(ACN58:ACR58,MATCH(_xlfn.IFS(AAC58="Handysize",Main!ACK58,AAC58="Supramax",ACD58,AAC58="Panamax",ABW58,AAC58="NeoPanamax",ABP58,AAC58="Suezmax",ABI58,AAC58="Capesize",ABB58,AAC58="VLOC",AAU58),$ACN$7:$ACR$7,0))</f>
        <v>#NAME?</v>
      </c>
      <c r="AGS58" s="71" t="e">
        <f t="shared" ca="1" si="535"/>
        <v>#NAME?</v>
      </c>
      <c r="AGT58" s="71" t="e">
        <f t="shared" ca="1" si="536"/>
        <v>#NAME?</v>
      </c>
      <c r="AGU58" s="281">
        <f t="shared" si="537"/>
        <v>7.0834199999999994</v>
      </c>
      <c r="AGV58" s="71">
        <f t="shared" si="538"/>
        <v>1742.3786814843679</v>
      </c>
      <c r="AGW58" s="71" t="e">
        <f t="shared" ca="1" si="539"/>
        <v>#NAME?</v>
      </c>
      <c r="AGX58" s="71" t="e">
        <f t="shared" ca="1" si="540"/>
        <v>#NAME?</v>
      </c>
      <c r="AGY58" s="71">
        <f t="shared" si="541"/>
        <v>21104.773669161859</v>
      </c>
      <c r="AGZ58" s="71" t="e">
        <f t="shared" ca="1" si="542"/>
        <v>#NAME?</v>
      </c>
      <c r="AHA58" s="71" t="e">
        <f t="shared" ca="1" si="543"/>
        <v>#NAME?</v>
      </c>
      <c r="AHB58" s="71">
        <f t="shared" si="544"/>
        <v>14983.257813742701</v>
      </c>
      <c r="AHC58" s="71" t="e">
        <f t="shared" ca="1" si="545"/>
        <v>#NAME?</v>
      </c>
      <c r="AHD58" s="71" t="e">
        <f t="shared" ca="1" si="546"/>
        <v>#NAME?</v>
      </c>
      <c r="AHE58" s="71">
        <f t="shared" si="547"/>
        <v>0</v>
      </c>
      <c r="AHF58" s="71" t="e">
        <f t="shared" ca="1" si="548"/>
        <v>#NAME?</v>
      </c>
      <c r="AHG58" s="71" t="e">
        <f t="shared" ca="1" si="549"/>
        <v>#NAME?</v>
      </c>
      <c r="AHH58" s="72">
        <f t="shared" si="550"/>
        <v>5467.517520694968</v>
      </c>
      <c r="AHI58" s="72" t="e">
        <f t="shared" ca="1" si="551"/>
        <v>#NAME?</v>
      </c>
      <c r="AHJ58" s="71" t="e">
        <f t="shared" ca="1" si="552"/>
        <v>#NAME?</v>
      </c>
      <c r="AHK58" s="71" t="e">
        <f t="array" aca="1" ref="AHK58" ca="1">INDEX('Ship Time Charter Rates'!$H$22:$H$1021,MATCH(2,1/(('Ship Time Charter Rates'!$G$22:$G$1021=_xlfn.IFS(AAC58="Handysize",Main!ACH58,AAC58="Supramax",ACA58,AAC58="Panamax",ABT58,AAC58="NeoPanamax",ABM58,AAC58="Suezmax",ABF58,AAC58="Capesize",AAY58,AAC58="VLOC",AAR58))*('Ship Time Charter Rates'!$E$22:$E$1021&lt;=Main!$C58)*(NOT(ISBLANK('Ship Time Charter Rates'!$H$22:$H$1021))))))</f>
        <v>#N/A</v>
      </c>
      <c r="AHL58" s="71" t="e">
        <f t="shared" ca="1" si="553"/>
        <v>#NAME?</v>
      </c>
      <c r="AHM58" s="70" t="e">
        <f t="shared" ca="1" si="554"/>
        <v>#N/A</v>
      </c>
      <c r="AHN58" s="71" t="e">
        <f t="shared" ca="1" si="555"/>
        <v>#NAME?</v>
      </c>
      <c r="AHO58" s="71" t="e">
        <f t="shared" ca="1" si="556"/>
        <v>#NAME?</v>
      </c>
      <c r="AHP58" s="72" t="e">
        <f t="shared" ca="1" si="557"/>
        <v>#NAME?</v>
      </c>
      <c r="AHR58" s="25">
        <f t="shared" ref="AHR58:AHR63" si="673">IF($AO58="yes",$AN58,$AR58)/(1-$AL58)/$JN58</f>
        <v>0</v>
      </c>
      <c r="AHS58" s="4" t="str">
        <f>VLOOKUP(AHR58,'Ship Time Charter Rates'!$F$10:$G$17,2,TRUE)</f>
        <v>Handysize</v>
      </c>
      <c r="AHT58" s="4" t="str">
        <f>VLOOKUP(AHR58,Canals!$E$5:$F$12,2,TRUE)</f>
        <v>Handysize</v>
      </c>
      <c r="AHU58" s="25">
        <f t="shared" si="558"/>
        <v>145.88999999999999</v>
      </c>
      <c r="AHV58" s="25">
        <f t="shared" si="559"/>
        <v>0</v>
      </c>
      <c r="AHW58" s="25">
        <f t="shared" si="560"/>
        <v>4797</v>
      </c>
      <c r="AHY58" s="75">
        <f t="array" ref="AHY58">INDEX('Indices Mines Exporting Ports'!$R$20:$R$51,MATCH(2,1/(('Indices Mines Exporting Ports'!$D$20:$D$51&lt;=Main!$C58)*('Indices Mines Exporting Ports'!$Q$20:$Q$51=$AQ58))))</f>
        <v>0</v>
      </c>
      <c r="AHZ58" s="75">
        <f t="array" ref="AHZ58">INDEX('Indices Mines Exporting Ports'!$S$20:$S$51,MATCH(2,1/(('Indices Mines Exporting Ports'!$D$20:$D$51&lt;=Main!$C58)*('Indices Mines Exporting Ports'!$Q$20:$Q$51=$AQ58))))</f>
        <v>0</v>
      </c>
      <c r="AIA58" s="75">
        <f t="array" ref="AIA58">INDEX('Indices Mines Exporting Ports'!$T$20:$T$51,MATCH(2,1/(('Indices Mines Exporting Ports'!$D$20:$D$51&lt;=Main!$C58)*('Indices Mines Exporting Ports'!$Q$20:$Q$51=$AQ58))))</f>
        <v>0</v>
      </c>
      <c r="AIB58" s="75">
        <f t="array" ref="AIB58">INDEX('Indices Mines Exporting Ports'!$U$20:$U$51,MATCH(2,1/(('Indices Mines Exporting Ports'!$D$20:$D$51&lt;=Main!$C58)*('Indices Mines Exporting Ports'!$Q$20:$Q$51=$AQ58))))</f>
        <v>0</v>
      </c>
      <c r="AIC58" s="75">
        <f t="array" ref="AIC58">INDEX('Indices Mines Exporting Ports'!$V$20:$V$51,MATCH(2,1/(('Indices Mines Exporting Ports'!$D$20:$D$51&lt;=Main!$C58)*('Indices Mines Exporting Ports'!$Q$20:$Q$51=$AQ58))))</f>
        <v>0</v>
      </c>
      <c r="AID58" s="75">
        <f t="array" ref="AID58">INDEX('Indices Mines Exporting Ports'!$W$20:$W$51,MATCH(2,1/(('Indices Mines Exporting Ports'!$D$20:$D$51&lt;=Main!$C58)*('Indices Mines Exporting Ports'!$Q$20:$Q$51=$AQ58))))</f>
        <v>0</v>
      </c>
      <c r="AIE58" s="75">
        <f t="array" ref="AIE58">INDEX('Indices Mines Exporting Ports'!$X$20:$X$51,MATCH(2,1/(('Indices Mines Exporting Ports'!$D$20:$D$51&lt;=Main!$C58)*('Indices Mines Exporting Ports'!$Q$20:$Q$51=$AQ58))))</f>
        <v>0</v>
      </c>
      <c r="AIG58" s="75">
        <f t="array" ref="AIG58">INDEX('Port Linkages'!$E$18:$E$157,MATCH(2,1/(('Port Linkages'!$C$18:$C$157=$AQ58)*('Port Linkages'!$D$18:$D$157=IF($AO58="no",$AQ58,$KK58))*('Port Linkages'!$A$18:$A$157&lt;=$C58))))</f>
        <v>0</v>
      </c>
      <c r="AIH58" s="75">
        <f t="array" ref="AIH58">INDEX('Port Linkages'!$F$18:$F$157,MATCH(2,1/(('Port Linkages'!$C$18:$C$157=$AQ58)*('Port Linkages'!$D$18:$D$157=IF($AO58="no",$AQ58,$KK58))*('Port Linkages'!$A$18:$A$157&lt;=$C58))))</f>
        <v>0</v>
      </c>
      <c r="AII58" s="75">
        <f t="array" ref="AII58">INDEX('Port Linkages'!$G$18:$G$157,MATCH(2,1/(('Port Linkages'!$C$18:$C$157=$AQ58)*('Port Linkages'!$D$18:$D$157=IF($AO58="no",$AQ58,$KK58))*('Port Linkages'!$A$18:$A$157&lt;=$C58))))</f>
        <v>0</v>
      </c>
      <c r="AIJ58" s="75">
        <f t="array" ref="AIJ58">INDEX('Port Linkages'!$H$18:$H$157,MATCH(2,1/(('Port Linkages'!$C$18:$C$157=$AQ58)*('Port Linkages'!$D$18:$D$157=IF($AO58="no",$AQ58,$KK58))*('Port Linkages'!$A$18:$A$157&lt;=$C58))))</f>
        <v>0</v>
      </c>
      <c r="AIK58" s="75">
        <f t="array" ref="AIK58">INDEX('Port Linkages'!$I$18:$I$157,MATCH(2,1/(('Port Linkages'!$C$18:$C$157=$AQ58)*('Port Linkages'!$D$18:$D$157=IF($AO58="no",$AQ58,$KK58))*('Port Linkages'!$A$18:$A$157&lt;=$C58))))</f>
        <v>0</v>
      </c>
      <c r="AIL58" s="75">
        <f t="array" ref="AIL58">INDEX('Port Linkages'!$J$18:$J$157,MATCH(2,1/(('Port Linkages'!$C$18:$C$157=$AQ58)*('Port Linkages'!$D$18:$D$157=IF($AO58="no",$AQ58,$KK58))*('Port Linkages'!$A$18:$A$157&lt;=$C58))))</f>
        <v>0</v>
      </c>
      <c r="AIM58" s="75">
        <f t="array" ref="AIM58">INDEX('Port Linkages'!$K$18:$K$157,MATCH(2,1/(('Port Linkages'!$C$18:$C$157=$AQ58)*('Port Linkages'!$D$18:$D$157=IF($AO58="no",$AQ58,$KK58))*('Port Linkages'!$A$18:$A$157&lt;=$C58))))</f>
        <v>0</v>
      </c>
      <c r="AIN58" s="75">
        <f t="array" ref="AIN58">INDEX('Port Linkages'!$L$18:$L$157,MATCH(2,1/(('Port Linkages'!$C$18:$C$157=$AQ58)*('Port Linkages'!$D$18:$D$157=IF($AO58="no",$AQ58,$KK58))*('Port Linkages'!$A$18:$A$157&lt;=$C58))))</f>
        <v>0</v>
      </c>
      <c r="AIO58" s="75">
        <f t="array" ref="AIO58">INDEX('Port Linkages'!$M$18:$M$157,MATCH(2,1/(('Port Linkages'!$C$18:$C$157=$AQ58)*('Port Linkages'!$D$18:$D$157=IF($AO58="no",$AQ58,$KK58))*('Port Linkages'!$A$18:$A$157&lt;=$C58))))</f>
        <v>0</v>
      </c>
      <c r="AIP58" s="75">
        <f t="array" ref="AIP58">INDEX('Port Linkages'!$N$18:$N$157,MATCH(2,1/(('Port Linkages'!$C$18:$C$157=$AQ58)*('Port Linkages'!$D$18:$D$157=IF($AO58="no",$AQ58,$KK58))*('Port Linkages'!$A$18:$A$157&lt;=$C58))))</f>
        <v>0</v>
      </c>
      <c r="AIQ58" s="75">
        <f t="array" ref="AIQ58">INDEX('Port Linkages'!$O$18:$O$157,MATCH(2,1/(('Port Linkages'!$C$18:$C$157=$AQ58)*('Port Linkages'!$D$18:$D$157=IF($AO58="no",$AQ58,$KK58))*('Port Linkages'!$A$18:$A$157&lt;=$C58))))</f>
        <v>0</v>
      </c>
      <c r="AIR58" s="75">
        <f t="array" ref="AIR58">INDEX('Port Linkages'!$P$18:$P$157,MATCH(2,1/(('Port Linkages'!$C$18:$C$157=$AQ58)*('Port Linkages'!$D$18:$D$157=IF($AO58="no",$AQ58,$KK58))*('Port Linkages'!$A$18:$A$157&lt;=$C58))))</f>
        <v>0</v>
      </c>
      <c r="AIS58" s="75">
        <f t="array" ref="AIS58">INDEX('Port Linkages'!$Q$18:$Q$157,MATCH(2,1/(('Port Linkages'!$C$18:$C$157=$AQ58)*('Port Linkages'!$D$18:$D$157=IF($AO58="no",$AQ58,$KK58))*('Port Linkages'!$A$18:$A$157&lt;=$C58))))</f>
        <v>0</v>
      </c>
      <c r="AIT58" s="75">
        <f t="array" ref="AIT58">INDEX('Port Linkages'!$R$18:$R$157,MATCH(2,1/(('Port Linkages'!$C$18:$C$157=$AQ58)*('Port Linkages'!$D$18:$D$157=IF($AO58="no",$AQ58,$KK58))*('Port Linkages'!$A$18:$A$157&lt;=$C58))))</f>
        <v>0</v>
      </c>
      <c r="AIU58" s="75">
        <f t="array" ref="AIU58">INDEX('Port Linkages'!$S$18:$S$157,MATCH(2,1/(('Port Linkages'!$C$18:$C$157=$AQ58)*('Port Linkages'!$D$18:$D$157=IF($AO58="no",$AQ58,$KK58))*('Port Linkages'!$A$18:$A$157&lt;=$C58))))</f>
        <v>0</v>
      </c>
      <c r="AIV58" s="75">
        <f t="array" ref="AIV58">INDEX('Port Linkages'!$T$18:$T$157,MATCH(2,1/(('Port Linkages'!$C$18:$C$157=$AQ58)*('Port Linkages'!$D$18:$D$157=IF($AO58="no",$AQ58,$KK58))*('Port Linkages'!$A$18:$A$157&lt;=$C58))))</f>
        <v>0</v>
      </c>
      <c r="AIW58" s="75">
        <f t="array" ref="AIW58">INDEX('Port Linkages'!$U$18:$U$157,MATCH(2,1/(('Port Linkages'!$C$18:$C$157=$AQ58)*('Port Linkages'!$D$18:$D$157=IF($AO58="no",$AQ58,$KK58))*('Port Linkages'!$A$18:$A$157&lt;=$C58))))</f>
        <v>0</v>
      </c>
      <c r="AIX58" s="75">
        <f t="array" ref="AIX58">INDEX('Port Linkages'!$V$18:$V$157,MATCH(2,1/(('Port Linkages'!$C$18:$C$157=$AQ58)*('Port Linkages'!$D$18:$D$157=IF($AO58="no",$AQ58,$KK58))*('Port Linkages'!$A$18:$A$157&lt;=$C58))))</f>
        <v>0</v>
      </c>
      <c r="AIY58" s="75">
        <f t="array" ref="AIY58">INDEX('Port Linkages'!$W$18:$W$157,MATCH(2,1/(('Port Linkages'!$C$18:$C$157=$AQ58)*('Port Linkages'!$D$18:$D$157=IF($AO58="no",$AQ58,$KK58))*('Port Linkages'!$A$18:$A$157&lt;=$C58))))</f>
        <v>0</v>
      </c>
      <c r="AIZ58" s="75">
        <f t="array" ref="AIZ58">INDEX('Port Linkages'!$X$18:$X$157,MATCH(2,1/(('Port Linkages'!$C$18:$C$157=$AQ58)*('Port Linkages'!$D$18:$D$157=IF($AO58="no",$AQ58,$KK58))*('Port Linkages'!$A$18:$A$157&lt;=$C58))))</f>
        <v>0</v>
      </c>
      <c r="AJA58" s="75">
        <f t="array" ref="AJA58">INDEX('Port Linkages'!$Y$18:$Y$157,MATCH(2,1/(('Port Linkages'!$C$18:$C$157=$AQ58)*('Port Linkages'!$D$18:$D$157=IF($AO58="no",$AQ58,$KK58))*('Port Linkages'!$A$18:$A$157&lt;=$C58))))</f>
        <v>0</v>
      </c>
      <c r="AJB58" s="75">
        <f t="array" ref="AJB58">INDEX('Port Linkages'!$Z$18:$Z$157,MATCH(2,1/(('Port Linkages'!$C$18:$C$157=$AQ58)*('Port Linkages'!$D$18:$D$157=IF($AO58="no",$AQ58,$KK58))*('Port Linkages'!$A$18:$A$157&lt;=$C58))))</f>
        <v>0</v>
      </c>
      <c r="AJC58" s="75">
        <f t="array" ref="AJC58">INDEX('Port Linkages'!$AA$18:$AA$157,MATCH(2,1/(('Port Linkages'!$C$18:$C$157=$AQ58)*('Port Linkages'!$D$18:$D$157=IF($AO58="no",$AQ58,$KK58))*('Port Linkages'!$A$18:$A$157&lt;=$C58))))</f>
        <v>0</v>
      </c>
      <c r="AJD58" s="75">
        <f t="array" ref="AJD58">INDEX('Port Linkages'!$AB$18:$AB$157,MATCH(2,1/(('Port Linkages'!$C$18:$C$157=$AQ58)*('Port Linkages'!$D$18:$D$157=IF($AO58="no",$AQ58,$KK58))*('Port Linkages'!$A$18:$A$157&lt;=$C58))))</f>
        <v>0</v>
      </c>
      <c r="AJE58" s="75">
        <f t="array" ref="AJE58">INDEX('Port Linkages'!$AC$18:$AC$157,MATCH(2,1/(('Port Linkages'!$C$18:$C$157=$AQ58)*('Port Linkages'!$D$18:$D$157=IF($AO58="no",$AQ58,$KK58))*('Port Linkages'!$A$18:$A$157&lt;=$C58))))</f>
        <v>0</v>
      </c>
      <c r="AJF58" s="75">
        <f t="array" ref="AJF58">INDEX('Port Linkages'!$AD$18:$AD$157,MATCH(2,1/(('Port Linkages'!$C$18:$C$157=$AQ58)*('Port Linkages'!$D$18:$D$157=IF($AO58="no",$AQ58,$KK58))*('Port Linkages'!$A$18:$A$157&lt;=$C58))))</f>
        <v>0</v>
      </c>
      <c r="AJG58" s="75">
        <f t="array" ref="AJG58">INDEX('Port Linkages'!$AE$18:$AE$157,MATCH(2,1/(('Port Linkages'!$C$18:$C$157=$AQ58)*('Port Linkages'!$D$18:$D$157=IF($AO58="no",$AQ58,$KK58))*('Port Linkages'!$A$18:$A$157&lt;=$C58))))</f>
        <v>0</v>
      </c>
      <c r="AJH58" s="75">
        <f t="array" ref="AJH58">INDEX('Port Linkages'!$AF$18:$AF$157,MATCH(2,1/(('Port Linkages'!$C$18:$C$157=$AQ58)*('Port Linkages'!$D$18:$D$157=IF($AO58="no",$AQ58,$KK58))*('Port Linkages'!$A$18:$A$157&lt;=$C58))))</f>
        <v>0</v>
      </c>
      <c r="AJI58" s="75">
        <f t="array" ref="AJI58">INDEX('Port Linkages'!$AG$18:$AG$157,MATCH(2,1/(('Port Linkages'!$C$18:$C$157=$AQ58)*('Port Linkages'!$D$18:$D$157=IF($AO58="no",$AQ58,$KK58))*('Port Linkages'!$A$18:$A$157&lt;=$C58))))</f>
        <v>0</v>
      </c>
      <c r="AJJ58" s="75">
        <f t="array" ref="AJJ58">INDEX('Port Linkages'!$AH$18:$AH$157,MATCH(2,1/(('Port Linkages'!$C$18:$C$157=$AQ58)*('Port Linkages'!$D$18:$D$157=IF($AO58="no",$AQ58,$KK58))*('Port Linkages'!$A$18:$A$157&lt;=$C58))))</f>
        <v>0</v>
      </c>
      <c r="AJK58" s="75">
        <f t="array" ref="AJK58">INDEX('Port Linkages'!$AI$18:$AI$157,MATCH(2,1/(('Port Linkages'!$C$18:$C$157=$AQ58)*('Port Linkages'!$D$18:$D$157=IF($AO58="no",$AQ58,$KK58))*('Port Linkages'!$A$18:$A$157&lt;=$C58))))</f>
        <v>0</v>
      </c>
      <c r="AJL58" s="75">
        <f t="array" ref="AJL58">INDEX('Port Linkages'!$AJ$18:$AJ$157,MATCH(2,1/(('Port Linkages'!$C$18:$C$157=$AQ58)*('Port Linkages'!$D$18:$D$157=IF($AO58="no",$AQ58,$KK58))*('Port Linkages'!$A$18:$A$157&lt;=$C58))))</f>
        <v>0</v>
      </c>
      <c r="AJM58" s="75">
        <f t="array" ref="AJM58">INDEX('Port Linkages'!$AK$18:$AK$157,MATCH(2,1/(('Port Linkages'!$C$18:$C$157=$AQ58)*('Port Linkages'!$D$18:$D$157=IF($AO58="no",$AQ58,$KK58))*('Port Linkages'!$A$18:$A$157&lt;=$C58))))</f>
        <v>0</v>
      </c>
      <c r="AJN58" s="75">
        <f t="array" ref="AJN58">INDEX('Port Linkages'!$AL$18:$AL$157,MATCH(2,1/(('Port Linkages'!$C$18:$C$157=$AQ58)*('Port Linkages'!$D$18:$D$157=IF($AO58="no",$AQ58,$KK58))*('Port Linkages'!$A$18:$A$157&lt;=$C58))))</f>
        <v>0</v>
      </c>
      <c r="AJO58" s="75">
        <f t="array" ref="AJO58">INDEX('Port Linkages'!$AM$18:$AM$157,MATCH(2,1/(('Port Linkages'!$C$18:$C$157=$AQ58)*('Port Linkages'!$D$18:$D$157=IF($AO58="no",$AQ58,$KK58))*('Port Linkages'!$A$18:$A$157&lt;=$C58))))</f>
        <v>0</v>
      </c>
      <c r="AJP58" s="75">
        <f t="array" ref="AJP58">INDEX('Port Linkages'!$AN$18:$AN$157,MATCH(2,1/(('Port Linkages'!$C$18:$C$157=$AQ58)*('Port Linkages'!$D$18:$D$157=IF($AO58="no",$AQ58,$KK58))*('Port Linkages'!$A$18:$A$157&lt;=$C58))))</f>
        <v>0</v>
      </c>
      <c r="AJQ58" s="75">
        <f t="array" ref="AJQ58">INDEX('Port Linkages'!$AO$18:$AO$157,MATCH(2,1/(('Port Linkages'!$C$18:$C$157=$AQ58)*('Port Linkages'!$D$18:$D$157=IF($AO58="no",$AQ58,$KK58))*('Port Linkages'!$A$18:$A$157&lt;=$C58))))</f>
        <v>0</v>
      </c>
      <c r="AJR58" s="75">
        <f t="array" ref="AJR58">INDEX('Port Linkages'!$AP$18:$AP$157,MATCH(2,1/(('Port Linkages'!$C$18:$C$157=$AQ58)*('Port Linkages'!$D$18:$D$157=IF($AO58="no",$AQ58,$KK58))*('Port Linkages'!$A$18:$A$157&lt;=$C58))))</f>
        <v>0</v>
      </c>
      <c r="AJS58" s="75">
        <f t="array" ref="AJS58">INDEX('Port Linkages'!$AQ$18:$AQ$157,MATCH(2,1/(('Port Linkages'!$C$18:$C$157=$AQ58)*('Port Linkages'!$D$18:$D$157=IF($AO58="no",$AQ58,$KK58))*('Port Linkages'!$A$18:$A$157&lt;=$C58))))</f>
        <v>0</v>
      </c>
      <c r="AJT58" s="75">
        <f t="array" ref="AJT58">INDEX('Port Linkages'!$AR$18:$AR$157,MATCH(2,1/(('Port Linkages'!$C$18:$C$157=$AQ58)*('Port Linkages'!$D$18:$D$157=IF($AO58="no",$AQ58,$KK58))*('Port Linkages'!$A$18:$A$157&lt;=$C58))))</f>
        <v>0</v>
      </c>
      <c r="AJU58" s="75">
        <f t="array" ref="AJU58">INDEX('Port Linkages'!$AS$18:$AS$157,MATCH(2,1/(('Port Linkages'!$C$18:$C$157=$AQ58)*('Port Linkages'!$D$18:$D$157=IF($AO58="no",$AQ58,$KK58))*('Port Linkages'!$A$18:$A$157&lt;=$C58))))</f>
        <v>0</v>
      </c>
      <c r="AJV58" s="75">
        <f t="array" ref="AJV58">INDEX('Port Linkages'!$AT$18:$AT$157,MATCH(2,1/(('Port Linkages'!$C$18:$C$157=$AQ58)*('Port Linkages'!$D$18:$D$157=IF($AO58="no",$AQ58,$KK58))*('Port Linkages'!$A$18:$A$157&lt;=$C58))))</f>
        <v>0</v>
      </c>
      <c r="AJW58" s="75">
        <f t="array" ref="AJW58">INDEX('Port Linkages'!$AU$18:$AU$157,MATCH(2,1/(('Port Linkages'!$C$18:$C$157=$AQ58)*('Port Linkages'!$D$18:$D$157=IF($AO58="no",$AQ58,$KK58))*('Port Linkages'!$A$18:$A$157&lt;=$C58))))</f>
        <v>0</v>
      </c>
      <c r="AJX58" s="75">
        <f t="array" ref="AJX58">INDEX('Port Linkages'!$AV$18:$AV$157,MATCH(2,1/(('Port Linkages'!$C$18:$C$157=$AQ58)*('Port Linkages'!$D$18:$D$157=IF($AO58="no",$AQ58,$KK58))*('Port Linkages'!$A$18:$A$157&lt;=$C58))))</f>
        <v>0</v>
      </c>
      <c r="AJY58" s="75">
        <f t="array" ref="AJY58">INDEX('Port Linkages'!$AW$18:$AW$157,MATCH(2,1/(('Port Linkages'!$C$18:$C$157=$AQ58)*('Port Linkages'!$D$18:$D$157=IF($AO58="no",$AQ58,$KK58))*('Port Linkages'!$A$18:$A$157&lt;=$C58))))</f>
        <v>0</v>
      </c>
      <c r="AJZ58" s="75">
        <f t="array" ref="AJZ58">INDEX('Port Linkages'!$AX$18:$AX$157,MATCH(2,1/(('Port Linkages'!$C$18:$C$157=$AQ58)*('Port Linkages'!$D$18:$D$157=IF($AO58="no",$AQ58,$KK58))*('Port Linkages'!$A$18:$A$157&lt;=$C58))))</f>
        <v>0</v>
      </c>
      <c r="AKA58" s="75">
        <f t="array" ref="AKA58">INDEX('Port Linkages'!$AY$18:$AY$157,MATCH(2,1/(('Port Linkages'!$C$18:$C$157=$AQ58)*('Port Linkages'!$D$18:$D$157=IF($AO58="no",$AQ58,$KK58))*('Port Linkages'!$A$18:$A$157&lt;=$C58))))</f>
        <v>0</v>
      </c>
      <c r="AKB58" s="75">
        <f t="array" ref="AKB58">INDEX('Port Linkages'!$AZ$18:$AZ$157,MATCH(2,1/(('Port Linkages'!$C$18:$C$157=$AQ58)*('Port Linkages'!$D$18:$D$157=IF($AO58="no",$AQ58,$KK58))*('Port Linkages'!$A$18:$A$157&lt;=$C58))))</f>
        <v>0</v>
      </c>
      <c r="AKC58" s="75">
        <f t="array" ref="AKC58">INDEX('Port Linkages'!$BA$18:$BA$157,MATCH(2,1/(('Port Linkages'!$C$18:$C$157=$AQ58)*('Port Linkages'!$D$18:$D$157=IF($AO58="no",$AQ58,$KK58))*('Port Linkages'!$A$18:$A$157&lt;=$C58))))</f>
        <v>0</v>
      </c>
      <c r="AKE58" s="25" t="e">
        <f t="array" aca="1" ref="AKE58" ca="1">INDEX('Ship Fuel Prices'!$F$5:$F$1004,MATCH(2,1/(('Ship Fuel Prices'!$E$5:$E$1004=_xlfn.IFS(AHT58="Handysize",Main!AJZ58,AHT58="Supramax",AJS58,AHT58="Panamax",AJL58,AHT58="NeoPanamax",AJE58,AHT58="Suezmax",AIX58,AHT58="Capesize",AIQ58,AHT58="VLOC",AIJ58))*('Ship Fuel Prices'!$D$5:$D$1004&lt;=Main!$C58))))</f>
        <v>#N/A</v>
      </c>
      <c r="AKF58" s="25" t="e">
        <f t="array" aca="1" ref="AKF58" ca="1">INDEX('Ship Fuel Prices'!$G$5:$G$1004,MATCH(2,1/(('Ship Fuel Prices'!$E$5:$E$1004=_xlfn.IFS(AHT58="Handysize",Main!AJZ58,AHT58="Supramax",AJS58,AHT58="Panamax",AJL58,AHT58="NeoPanamax",AJE58,AHT58="Suezmax",AIX58,AHT58="Capesize",AIQ58,AHT58="VLOC",AIJ58))*('Ship Fuel Prices'!$D$5:$D$1004&lt;=Main!$C58))))</f>
        <v>#N/A</v>
      </c>
      <c r="AKG58" s="25" t="e">
        <f t="array" aca="1" ref="AKG58" ca="1">INDEX('Ship Fuel Prices'!$H$5:$H$1004,MATCH(2,1/(('Ship Fuel Prices'!$E$5:$E$1004=_xlfn.IFS(AHT58="Handysize",Main!AJZ58,AHT58="Supramax",AJS58,AHT58="Panamax",AJL58,AHT58="NeoPanamax",AJE58,AHT58="Suezmax",AIX58,AHT58="Capesize",AIQ58,AHT58="VLOC",AIJ58))*('Ship Fuel Prices'!$D$5:$D$1004&lt;=Main!$C58))))</f>
        <v>#N/A</v>
      </c>
      <c r="AKH58" s="25" t="e">
        <f t="array" aca="1" ref="AKH58" ca="1">INDEX('Ship Fuel Prices'!$I$5:$I$1004,MATCH(2,1/(('Ship Fuel Prices'!$E$5:$E$1004=_xlfn.IFS(AHT58="Handysize",Main!AJZ58,AHT58="Supramax",AJS58,AHT58="Panamax",AJL58,AHT58="NeoPanamax",AJE58,AHT58="Suezmax",AIX58,AHT58="Capesize",AIQ58,AHT58="VLOC",AIJ58))*('Ship Fuel Prices'!$D$5:$D$1004&lt;=Main!$C58))))</f>
        <v>#N/A</v>
      </c>
      <c r="AKI58" s="25" t="e">
        <f t="array" aca="1" ref="AKI58" ca="1">INDEX('Ship Fuel Prices'!$J$5:$J$1004,MATCH(2,1/(('Ship Fuel Prices'!$E$5:$E$1004=_xlfn.IFS(AHT58="Handysize",Main!AJZ58,AHT58="Supramax",AJS58,AHT58="Panamax",AJL58,AHT58="NeoPanamax",AJE58,AHT58="Suezmax",AIX58,AHT58="Capesize",AIQ58,AHT58="VLOC",AIJ58))*('Ship Fuel Prices'!$D$5:$D$1004&lt;=Main!$C58))))</f>
        <v>#N/A</v>
      </c>
      <c r="AKK58" s="75">
        <f t="array" ref="AKK58">INDEX('China n Importing Ports'!$E$20:$E$41,MATCH(2,1/(('China n Importing Ports'!$D$20:$D$41&lt;=$C58)*('China n Importing Ports'!$C$20:$C$41=IF($AO58="No",$AQ58,$KK58)))))</f>
        <v>0</v>
      </c>
      <c r="AKL58" s="75">
        <f t="array" ref="AKL58">INDEX('China n Importing Ports'!$F$20:$F$41,MATCH(2,1/(('China n Importing Ports'!$D$20:$D$41&lt;=$C58)*('China n Importing Ports'!$C$20:$C$41=IF($AO58="No",$AQ58,$KK58)))))</f>
        <v>0</v>
      </c>
      <c r="AKM58" s="75">
        <f t="array" ref="AKM58">INDEX('China n Importing Ports'!$G$20:$G$41,MATCH(2,1/(('China n Importing Ports'!$D$20:$D$41&lt;=$C58)*('China n Importing Ports'!$C$20:$C$41=IF($AO58="No",$AQ58,$KK58)))))</f>
        <v>0</v>
      </c>
      <c r="AKN58" s="75">
        <f t="array" ref="AKN58">INDEX('China n Importing Ports'!$H$20:$H$41,MATCH(2,1/(('China n Importing Ports'!$D$20:$D$41&lt;=$C58)*('China n Importing Ports'!$C$20:$C$41=IF($AO58="No",$AQ58,$KK58)))))</f>
        <v>0</v>
      </c>
      <c r="AKO58" s="75">
        <f t="array" ref="AKO58">INDEX('China n Importing Ports'!$I$20:$I$41,MATCH(2,1/(('China n Importing Ports'!$D$20:$D$41&lt;=$C58)*('China n Importing Ports'!$C$20:$C$41=IF($AO58="No",$AQ58,$KK58)))))</f>
        <v>0</v>
      </c>
      <c r="AKP58" s="75">
        <f t="array" ref="AKP58">INDEX('China n Importing Ports'!$J$20:$J$41,MATCH(2,1/(('China n Importing Ports'!$D$20:$D$41&lt;=$C58)*('China n Importing Ports'!$C$20:$C$41=IF($AO58="No",$AQ58,$KK58)))))</f>
        <v>0</v>
      </c>
      <c r="AKQ58" s="75">
        <f t="array" ref="AKQ58">INDEX('China n Importing Ports'!$K$20:$K$41,MATCH(2,1/(('China n Importing Ports'!$D$20:$D$41&lt;=$C58)*('China n Importing Ports'!$C$20:$C$41=IF($AO58="No",$AQ58,$KK58)))))</f>
        <v>0</v>
      </c>
      <c r="AKR58" s="75">
        <f t="array" ref="AKR58">INDEX('China n Importing Ports'!$L$20:$L$41,MATCH(2,1/(('China n Importing Ports'!$D$20:$D$41&lt;=$C58)*('China n Importing Ports'!$C$20:$C$41=IF($AO58="No",$AQ58,$KK58)))))</f>
        <v>0</v>
      </c>
      <c r="AKS58" s="75">
        <f t="array" ref="AKS58">INDEX('China n Importing Ports'!$M$20:$M$41,MATCH(2,1/(('China n Importing Ports'!$D$20:$D$41&lt;=$C58)*('China n Importing Ports'!$C$20:$C$41=IF($AO58="No",$AQ58,$KK58)))))</f>
        <v>0</v>
      </c>
      <c r="AKT58" s="75">
        <f t="array" ref="AKT58">INDEX('China n Importing Ports'!$N$20:$N$41,MATCH(2,1/(('China n Importing Ports'!$D$20:$D$41&lt;=$C58)*('China n Importing Ports'!$C$20:$C$41=IF($AO58="No",$AQ58,$KK58)))))</f>
        <v>0</v>
      </c>
      <c r="AKU58" s="75">
        <f t="array" ref="AKU58">INDEX('China n Importing Ports'!$O$20:$O$41,MATCH(2,1/(('China n Importing Ports'!$D$20:$D$41&lt;=$C58)*('China n Importing Ports'!$C$20:$C$41=IF($AO58="No",$AQ58,$KK58)))))</f>
        <v>0</v>
      </c>
      <c r="AKV58" s="136">
        <f t="array" ref="AKV58">INDEX('China n Importing Ports'!$P$20:$P$41,MATCH(2,1/(('China n Importing Ports'!$D$20:$D$41&lt;=$C58)*('China n Importing Ports'!$C$20:$C$41=IF($AO58="No",$AQ58,$KK58)))))</f>
        <v>0</v>
      </c>
      <c r="AKW58" s="136">
        <f t="array" ref="AKW58">INDEX('China n Importing Ports'!$Q$20:$Q$41,MATCH(2,1/(('China n Importing Ports'!$D$20:$D$41&lt;=$C58)*('China n Importing Ports'!$C$20:$C$41=IF($AO58="No",$AQ58,$KK58)))))</f>
        <v>0</v>
      </c>
      <c r="AKX58" s="136">
        <f t="array" ref="AKX58">INDEX('China n Importing Ports'!$R$20:$R$41,MATCH(2,1/(('China n Importing Ports'!$D$20:$D$41&lt;=$C58)*('China n Importing Ports'!$C$20:$C$41=IF($AO58="No",$AQ58,$KK58)))))</f>
        <v>0</v>
      </c>
      <c r="AKY58" s="136">
        <f t="array" ref="AKY58">INDEX('China n Importing Ports'!$S$20:$S$41,MATCH(2,1/(('China n Importing Ports'!$D$20:$D$41&lt;=$C58)*('China n Importing Ports'!$C$20:$C$41=IF($AO58="No",$AQ58,$KK58)))))</f>
        <v>0</v>
      </c>
      <c r="AKZ58" s="136">
        <f t="array" ref="AKZ58">INDEX('China n Importing Ports'!$T$20:$T$41,MATCH(2,1/(('China n Importing Ports'!$D$20:$D$41&lt;=$C58)*('China n Importing Ports'!$C$20:$C$41=IF($AO58="No",$AQ58,$KK58)))))</f>
        <v>0</v>
      </c>
      <c r="ALA58" s="136">
        <f t="array" ref="ALA58">INDEX('China n Importing Ports'!$U$20:$U$41,MATCH(2,1/(('China n Importing Ports'!$D$20:$D$41&lt;=$C58)*('China n Importing Ports'!$C$20:$C$41=IF($AO58="No",$AQ58,$KK58)))))</f>
        <v>0</v>
      </c>
      <c r="ALB58" s="136">
        <f t="array" ref="ALB58">INDEX('China n Importing Ports'!$V$20:$V$41,MATCH(2,1/(('China n Importing Ports'!$D$20:$D$41&lt;=$C58)*('China n Importing Ports'!$C$20:$C$41=IF($AO58="No",$AQ58,$KK58)))))</f>
        <v>0</v>
      </c>
      <c r="ALC58" s="136">
        <f t="array" ref="ALC58">INDEX('China n Importing Ports'!$W$20:$W$41,MATCH(2,1/(('China n Importing Ports'!$D$20:$D$41&lt;=$C58)*('China n Importing Ports'!$C$20:$C$41=IF($AO58="No",$AQ58,$KK58)))))</f>
        <v>0</v>
      </c>
      <c r="ALD58" s="136">
        <f t="array" ref="ALD58">INDEX('China n Importing Ports'!$X$20:$X$41,MATCH(2,1/(('China n Importing Ports'!$D$20:$D$41&lt;=$C58)*('China n Importing Ports'!$C$20:$C$41=IF($AO58="No",$AQ58,$KK58)))))</f>
        <v>0</v>
      </c>
      <c r="ALE58" s="136">
        <f t="array" ref="ALE58">INDEX('China n Importing Ports'!$Y$20:$Y$41,MATCH(2,1/(('China n Importing Ports'!$D$20:$D$41&lt;=$C58)*('China n Importing Ports'!$C$20:$C$41=IF($AO58="No",$AQ58,$KK58)))))</f>
        <v>0</v>
      </c>
      <c r="ALF58" s="136">
        <f t="array" ref="ALF58">INDEX('China n Importing Ports'!$Z$20:$Z$41,MATCH(2,1/(('China n Importing Ports'!$D$20:$D$41&lt;=$C58)*('China n Importing Ports'!$C$20:$C$41=IF($AO58="No",$AQ58,$KK58)))))</f>
        <v>0</v>
      </c>
      <c r="ALG58" s="136">
        <f t="array" ref="ALG58">INDEX('China n Importing Ports'!$AA$20:$AA$41,MATCH(2,1/(('China n Importing Ports'!$D$20:$D$41&lt;=$C58)*('China n Importing Ports'!$C$20:$C$41=IF($AO58="No",$AQ58,$KK58)))))</f>
        <v>0</v>
      </c>
      <c r="ALI58" s="75" t="e">
        <f t="array" aca="1" ref="ALI58" ca="1">INDEX(Canals!$G$24:$G$29,MATCH(2,1/((Canals!$F$24:$F$29&lt;=$C58)*(Canals!$G$24:$G$29=_xlfn.IFS(AHT58="Handysize",AKC58,AHT58="Supramax",AJV58,AHT58="Panamax",AJO58,AHT58="NeoPanamax",AJH58,AHT58="Suezmax",AJA58,AHT58="Capesize",AIT58,AHT58="VLOC",AIM58)))))</f>
        <v>#N/A</v>
      </c>
      <c r="ALJ58" s="75" t="e">
        <f t="array" aca="1" ref="ALJ58" ca="1">INDEX(Canals!$H$24:$H$29,MATCH(2,1/((Canals!$F$24:$F$29&lt;=$C58)*(Canals!$G$24:$G$29=_xlfn.IFS(AHT58="Handysize",AKC58,AHT58="Supramax",AJV58,AHT58="Panamax",AJO58,AHT58="NeoPanamax",AJH58,AHT58="Suezmax",AJA58,AHT58="Capesize",AIT58,AHT58="VLOC",AIM58)))))</f>
        <v>#N/A</v>
      </c>
      <c r="ALK58" s="75" t="e">
        <f t="array" aca="1" ref="ALK58" ca="1">INDEX(Canals!$I$24:$I$29,MATCH(2,1/((Canals!$F$24:$F$29&lt;=$C58)*(Canals!$G$24:$G$29=_xlfn.IFS(AHT58="Handysize",AKC58,AHT58="Supramax",AJV58,AHT58="Panamax",AJO58,AHT58="NeoPanamax",AJH58,AHT58="Suezmax",AJA58,AHT58="Capesize",AIT58,AHT58="VLOC",AIM58)))))</f>
        <v>#N/A</v>
      </c>
      <c r="ALL58" s="75" t="e">
        <f t="array" aca="1" ref="ALL58" ca="1">INDEX(Canals!$J$24:$J$29,MATCH(2,1/((Canals!$F$24:$F$29&lt;=$C58)*(Canals!$G$24:$G$29=_xlfn.IFS(AHT58="Handysize",Main!AKC58,AHT58="Supramax",AJV58,AHT58="Panamax",AJO58,AHT58="NeoPanamax",AJH58,AHT58="Suezmax",AJA58,AHT58="Capesize",AIT58,AHT58="VLOC",AIM58)))))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M58" s="75" t="e">
        <f t="array" aca="1" ref="ALM58" ca="1">INDEX(Canals!$K$24:$K$29,MATCH(2,1/((Canals!$F$24:$F$29&lt;=$C58)*(Canals!$G$24:$G$29=_xlfn.IFS(AHT58="Handysize",Main!AKC58,AHT58="Supramax",AJV58,AHT58="Panamax",AJO58,AHT58="NeoPanamax",AJH58,AHT58="Suezmax",AJA58,AHT58="Capesize",AIT58,AHT58="VLOC",AIM58)))))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N58" s="75" t="e">
        <f t="array" aca="1" ref="ALN58" ca="1">INDEX(Canals!$L$24:$L$29,MATCH(2,1/((Canals!$F$24:$F$29&lt;=$C58)*(Canals!$G$24:$G$29=_xlfn.IFS(AHT58="Handysize",Main!AKC58,AHT58="Supramax",AJV58,AHT58="Panamax",AJO58,AHT58="NeoPanamax",AJH58,AHT58="Suezmax",AJA58,AHT58="Capesize",AIT58,AHT58="VLOC",AIM58)))))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O58" s="75" t="e">
        <f t="array" aca="1" ref="ALO58" ca="1">INDEX(Canals!$M$24:$M$29,MATCH(2,1/((Canals!$F$24:$F$29&lt;=$C58)*(Canals!$G$24:$G$29=_xlfn.IFS(AHT58="Handysize",Main!AKC58,AHT58="Supramax",AJV58,AHT58="Panamax",AJO58,AHT58="NeoPanamax",AJH58,AHT58="Suezmax",AJA58,AHT58="Capesize",AIT58,AHT58="VLOC",AIM58)))))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P58" s="75" t="e">
        <f t="array" aca="1" ref="ALP58" ca="1">INDEX(Canals!$N$24:$N$29,MATCH(2,1/((Canals!$F$24:$F$29&lt;=$C58)*(Canals!$G$24:$G$29=_xlfn.IFS(AHT58="Handysize",Main!AKC58,AHT58="Supramax",AJV58,AHT58="Panamax",AJO58,AHT58="NeoPanamax",AJH58,AHT58="Suezmax",AJA58,AHT58="Capesize",AIT58,AHT58="VLOC",AIM58)))))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Q58" s="75" t="e">
        <f t="array" aca="1" ref="ALQ58" ca="1">INDEX(Canals!$O$24:$O$29,MATCH(2,1/((Canals!$F$24:$F$29&lt;=$C58)*(Canals!$G$24:$G$29=_xlfn.IFS(AHT58="Handysize",Main!AKC58,AHT58="Supramax",AJV58,AHT58="Panamax",AJO58,AHT58="NeoPanamax",AJH58,AHT58="Suezmax",AJA58,AHT58="Capesize",AIT58,AHT58="VLOC",AIM58)))))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R58" s="75" t="e">
        <f t="array" aca="1" ref="ALR58" ca="1">INDEX(Canals!$P$24:$P$29,MATCH(2,1/((Canals!$F$24:$F$29&lt;=$C58)*(Canals!$G$24:$G$29=_xlfn.IFS(AHT58="Handysize",Main!AKC58,AHT58="Supramax",AJV58,AHT58="Panamax",AJO58,AHT58="NeoPanamax",AJH58,AHT58="Suezmax",AJA58,AHT58="Capesize",AIT58,AHT58="VLOC",AIM58)))))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S58" s="75" t="e">
        <f t="array" aca="1" ref="ALS58" ca="1">INDEX(Canals!$Q$24:$Q$29,MATCH(2,1/((Canals!$F$24:$F$29&lt;=$C58)*(Canals!$G$24:$G$29=_xlfn.IFS(AHT58="Handysize",Main!AKC58,AHT58="Supramax",AJV58,AHT58="Panamax",AJO58,AHT58="NeoPanamax",AJH58,AHT58="Suezmax",AJA58,AHT58="Capesize",AIT58,AHT58="VLOC",AIM58)))))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T58" s="75" t="e">
        <f t="array" aca="1" ref="ALT58" ca="1">INDEX(Canals!$R$24:$R$29,MATCH(2,1/((Canals!$F$24:$F$29&lt;=$C58)*(Canals!$G$24:$G$29=_xlfn.IFS(AHT58="Handysize",Main!AKC58,AHT58="Supramax",AJV58,AHT58="Panamax",AJO58,AHT58="NeoPanamax",AJH58,AHT58="Suezmax",AJA58,AHT58="Capesize",AIT58,AHT58="VLOC",AIM58)))))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U58" s="136" t="e">
        <f t="array" aca="1" ref="ALU58" ca="1">INDEX(Canals!$S$24:$S$29,MATCH(2,1/((Canals!$F$24:$F$29&lt;=$C58)*(Canals!$G$24:$G$29=_xlfn.IFS(AHT58="Handysize",Main!AKC58,AHT58="Supramax",AJV58,AHT58="Panamax",AJO58,AHT58="NeoPanamax",AJH58,AHT58="Suezmax",AJA58,AHT58="Capesize",AIT58,AHT58="VLOC",AIM58)))))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V58" s="136" t="e">
        <f t="array" aca="1" ref="ALV58" ca="1">INDEX(Canals!$T$24:$T$29,MATCH(2,1/((Canals!$F$24:$F$29&lt;=$C58)*(Canals!$G$24:$G$29=_xlfn.IFS(AHT58="Handysize",Main!AKC58,AHT58="Supramax",AJV58,AHT58="Panamax",AJO58,AHT58="NeoPanamax",AJH58,AHT58="Suezmax",AJA58,AHT58="Capesize",AIT58,AHT58="VLOC",AIM58)))))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W58" s="136" t="e">
        <f t="array" aca="1" ref="ALW58" ca="1">INDEX(Canals!$U$24:$U$29,MATCH(2,1/((Canals!$F$24:$F$29&lt;=$C58)*(Canals!$G$24:$G$29=_xlfn.IFS(AHT58="Handysize",Main!AKC58,AHT58="Supramax",AJV58,AHT58="Panamax",AJO58,AHT58="NeoPanamax",AJH58,AHT58="Suezmax",AJA58,AHT58="Capesize",AIT58,AHT58="VLOC",AIM58)))))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X58" s="136" t="e">
        <f t="array" aca="1" ref="ALX58" ca="1">INDEX(Canals!$V$24:$V$29,MATCH(2,1/((Canals!$F$24:$F$29&lt;=$C58)*(Canals!$G$24:$G$29=_xlfn.IFS(AHT58="Handysize",Main!AKC58,AHT58="Supramax",AJV58,AHT58="Panamax",AJO58,AHT58="NeoPanamax",AJH58,AHT58="Suezmax",AJA58,AHT58="Capesize",AIT58,AHT58="VLOC",AIM58)))))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Y58" s="136" t="e">
        <f t="array" aca="1" ref="ALY58" ca="1">INDEX(Canals!$W$24:$W$29,MATCH(2,1/((Canals!$F$24:$F$29&lt;=$C58)*(Canals!$G$24:$G$29=_xlfn.IFS(AHT58="Handysize",Main!AKC58,AHT58="Supramax",AJV58,AHT58="Panamax",AJO58,AHT58="NeoPanamax",AJH58,AHT58="Suezmax",AJA58,AHT58="Capesize",AIT58,AHT58="VLOC",AIM58)))))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LZ58" s="136" t="e">
        <f t="array" aca="1" ref="ALZ58" ca="1">INDEX(Canals!$X$24:$X$29,MATCH(2,1/((Canals!$F$24:$F$29&lt;=$C58)*(Canals!$G$24:$G$29=_xlfn.IFS(AHT58="Handysize",Main!AKC58,AHT58="Supramax",AJV58,AHT58="Panamax",AJO58,AHT58="NeoPanamax",AJH58,AHT58="Suezmax",AJA58,AHT58="Capesize",AIT58,AHT58="VLOC",AIM58)))))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A58" s="136" t="e">
        <f t="array" aca="1" ref="AMA58" ca="1">INDEX(Canals!$Y$24:$Y$29,MATCH(2,1/((Canals!$F$24:$F$29&lt;=$C58)*(Canals!$G$24:$G$29=_xlfn.IFS(AHT58="Handysize",Main!AKC58,AHT58="Supramax",AJV58,AHT58="Panamax",AJO58,AHT58="NeoPanamax",AJH58,AHT58="Suezmax",AJA58,AHT58="Capesize",AIT58,AHT58="VLOC",AIM58)))))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B58" s="136" t="e">
        <f t="array" aca="1" ref="AMB58" ca="1">INDEX(Canals!$Z$24:$Z$29,MATCH(2,1/((Canals!$F$24:$F$29&lt;=$C58)*(Canals!$G$24:$G$29=_xlfn.IFS(AHT58="Handysize",Main!AKC58,AHT58="Supramax",AJV58,AHT58="Panamax",AJO58,AHT58="NeoPanamax",AJH58,AHT58="Suezmax",AJA58,AHT58="Capesize",AIT58,AHT58="VLOC",AIM58)))))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C58" s="136" t="e">
        <f t="array" aca="1" ref="AMC58" ca="1">INDEX(Canals!$AA$24:$AA$29,MATCH(2,1/((Canals!$F$24:$F$29&lt;=$C58)*(Canals!$G$24:$G$29=_xlfn.IFS(AHT58="Handysize",Main!AKC58,AHT58="Supramax",AJV58,AHT58="Panamax",AJO58,AHT58="NeoPanamax",AJH58,AHT58="Suezmax",AJA58,AHT58="Capesize",AIT58,AHT58="VLOC",AIM58)))))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D58" s="136" t="e">
        <f t="array" aca="1" ref="AMD58" ca="1">INDEX(Canals!$AB$24:$AB$29,MATCH(2,1/((Canals!$F$24:$F$29&lt;=$C58)*(Canals!$G$24:$G$29=_xlfn.IFS(AHT58="Handysize",Main!AKC58,AHT58="Supramax",AJV58,AHT58="Panamax",AJO58,AHT58="NeoPanamax",AJH58,AHT58="Suezmax",AJA58,AHT58="Capesize",AIT58,AHT58="VLOC",AIM58)))))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E58" s="75" t="e">
        <f t="array" aca="1" ref="AME58" ca="1">INDEX(Canals!$AC$24:$AC$29,MATCH(2,1/((Canals!$F$24:$F$29&lt;=$C58)*(Canals!$G$24:$G$29=_xlfn.IFS(AHT58="Handysize",Main!AKC58,AHT58="Supramax",AJV58,AHT58="Panamax",AJO58,AHT58="NeoPanamax",AJH58,AHT58="Suezmax",AJA58,AHT58="Capesize",AIT58,AHT58="VLOC",AIM58)))))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F58" s="75" t="e">
        <f t="array" aca="1" ref="AMF58" ca="1">INDEX(Canals!$AD$24:$AD$29,MATCH(2,1/((Canals!$F$24:$F$29&lt;=$C58)*(Canals!$G$24:$G$29=_xlfn.IFS(AHT58="Handysize",Main!AKC58,AHT58="Supramax",AJV58,AHT58="Panamax",AJO58,AHT58="NeoPanamax",AJH58,AHT58="Suezmax",AJA58,AHT58="Capesize",AIT58,AHT58="VLOC",AIM58)))))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G58" s="75" t="e">
        <f t="array" aca="1" ref="AMG58" ca="1">INDEX(Canals!$AE$24:$AE$29,MATCH(2,1/((Canals!$F$24:$F$29&lt;=$C58)*(Canals!$G$24:$G$29=_xlfn.IFS(AHT58="Handysize",Main!AKC58,AHT58="Supramax",AJV58,AHT58="Panamax",AJO58,AHT58="NeoPanamax",AJH58,AHT58="Suezmax",AJA58,AHT58="Capesize",AIT58,AHT58="VLOC",AIM58)))))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H58" s="75" t="e">
        <f t="array" aca="1" ref="AMH58" ca="1">INDEX(Canals!$AF$24:$AF$29,MATCH(2,1/((Canals!$F$24:$F$29&lt;=$C58)*(Canals!$G$24:$G$29=_xlfn.IFS(AHT58="Handysize",Main!AKC58,AHT58="Supramax",AJV58,AHT58="Panamax",AJO58,AHT58="NeoPanamax",AJH58,AHT58="Suezmax",AJA58,AHT58="Capesize",AIT58,AHT58="VLOC",AIM58)))))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I58" s="75" t="e">
        <f t="array" aca="1" ref="AMI58" ca="1">INDEX(Canals!$AG$24:$AG$29,MATCH(2,1/((Canals!$F$24:$F$29&lt;=$C58)*(Canals!$G$24:$G$29=_xlfn.IFS(AHT58="Handysize",Main!AKC58,AHT58="Supramax",AJV58,AHT58="Panamax",AJO58,AHT58="NeoPanamax",AJH58,AHT58="Suezmax",AJA58,AHT58="Capesize",AIT58,AHT58="VLOC",AIM58)))))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J58" s="75" t="e">
        <f t="array" aca="1" ref="AMJ58" ca="1">INDEX(Canals!$AH$24:$AH$29,MATCH(2,1/((Canals!$F$24:$F$29&lt;=$C58)*(Canals!$G$24:$G$29=_xlfn.IFS(AHT58="Handysize",Main!AKC58,AHT58="Supramax",AJV58,AHT58="Panamax",AJO58,AHT58="NeoPanamax",AJH58,AHT58="Suezmax",AJA58,AHT58="Capesize",AIT58,AHT58="VLOC",AIM58)))))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K58" s="75" t="e">
        <f t="array" aca="1" ref="AMK58" ca="1">INDEX(Canals!$AI$24:$AI$29,MATCH(2,1/((Canals!$F$24:$F$29&lt;=$C58)*(Canals!$G$24:$G$29=_xlfn.IFS(AHT58="Handysize",Main!AKC58,AHT58="Supramax",AJV58,AHT58="Panamax",AJO58,AHT58="NeoPanamax",AJH58,AHT58="Suezmax",AJA58,AHT58="Capesize",AIT58,AHT58="VLOC",AIM58)))))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L58" s="75" t="e">
        <f t="array" aca="1" ref="AML58" ca="1">INDEX(Canals!$AJ$24:$AJ$29,MATCH(2,1/((Canals!$F$24:$F$29&lt;=$C58)*(Canals!$G$24:$G$29=_xlfn.IFS(AHT58="Handysize",Main!AKC58,AHT58="Supramax",AJV58,AHT58="Panamax",AJO58,AHT58="NeoPanamax",AJH58,AHT58="Suezmax",AJA58,AHT58="Capesize",AIT58,AHT58="VLOC",AIM58)))))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M58" s="75" t="e">
        <f t="array" aca="1" ref="AMM58" ca="1">INDEX(Canals!$AK$24:$AK$29,MATCH(2,1/((Canals!$F$24:$F$29&lt;=$C58)*(Canals!$G$24:$G$29=_xlfn.IFS(AHT58="Handysize",Main!AKC58,AHT58="Supramax",AJV58,AHT58="Panamax",AJO58,AHT58="NeoPanamax",AJH58,AHT58="Suezmax",AJA58,AHT58="Capesize",AIT58,AHT58="VLOC",AIM58)))))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N58" s="136" t="e">
        <f t="array" aca="1" ref="AMN58" ca="1">INDEX(Canals!$AL$24:$AL$29,MATCH(2,1/((Canals!$F$24:$F$29&lt;=$C58)*(Canals!$G$24:$G$29=_xlfn.IFS(AHT58="Handysize",Main!AKC58,AHT58="Supramax",AJV58,AHT58="Panamax",AJO58,AHT58="NeoPanamax",AJH58,AHT58="Suezmax",AJA58,AHT58="Capesize",AIT58,AHT58="VLOC",AIM58)))))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O58" s="136" t="e">
        <f t="array" aca="1" ref="AMO58" ca="1">INDEX(Canals!$AM$24:$AM$29,MATCH(2,1/((Canals!$F$24:$F$29&lt;=$C58)*(Canals!$G$24:$G$29=_xlfn.IFS(AHT58="Handysize",Main!AKC58,AHT58="Supramax",AJV58,AHT58="Panamax",AJO58,AHT58="NeoPanamax",AJH58,AHT58="Suezmax",AJA58,AHT58="Capesize",AIT58,AHT58="VLOC",AIM58)))))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P58" s="136" t="e">
        <f t="array" aca="1" ref="AMP58" ca="1">INDEX(Canals!$AN$24:$AN$29,MATCH(2,1/((Canals!$F$24:$F$29&lt;=$C58)*(Canals!$G$24:$G$29=_xlfn.IFS(AHT58="Handysize",Main!AKC58,AHT58="Supramax",AJV58,AHT58="Panamax",AJO58,AHT58="NeoPanamax",AJH58,AHT58="Suezmax",AJA58,AHT58="Capesize",AIT58,AHT58="VLOC",AIM58)))))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Q58" s="136" t="e">
        <f t="array" aca="1" ref="AMQ58" ca="1">INDEX(Canals!$AO$24:$AO$29,MATCH(2,1/((Canals!$F$24:$F$29&lt;=$C58)*(Canals!$G$24:$G$29=_xlfn.IFS(AHT58="Handysize",Main!AKC58,AHT58="Supramax",AJV58,AHT58="Panamax",AJO58,AHT58="NeoPanamax",AJH58,AHT58="Suezmax",AJA58,AHT58="Capesize",AIT58,AHT58="VLOC",AIM58)))))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R58" s="136" t="e">
        <f t="array" aca="1" ref="AMR58" ca="1">INDEX(Canals!$AP$24:$AP$29,MATCH(2,1/((Canals!$F$24:$F$29&lt;=$C58)*(Canals!$G$24:$G$29=_xlfn.IFS(AHT58="Handysize",Main!AKC58,AHT58="Supramax",AJV58,AHT58="Panamax",AJO58,AHT58="NeoPanamax",AJH58,AHT58="Suezmax",AJA58,AHT58="Capesize",AIT58,AHT58="VLOC",AIM58)))))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S58" s="136" t="e">
        <f t="array" aca="1" ref="AMS58" ca="1">INDEX(Canals!$AQ$24:$AQ$29,MATCH(2,1/((Canals!$F$24:$F$29&lt;=$C58)*(Canals!$G$24:$G$29=_xlfn.IFS(AHT58="Handysize",Main!AKC58,AHT58="Supramax",AJV58,AHT58="Panamax",AJO58,AHT58="NeoPanamax",AJH58,AHT58="Suezmax",AJA58,AHT58="Capesize",AIT58,AHT58="VLOC",AIM58)))))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T58" s="136" t="e">
        <f t="array" aca="1" ref="AMT58" ca="1">INDEX(Canals!$AR$24:$AR$29,MATCH(2,1/((Canals!$F$24:$F$29&lt;=$C58)*(Canals!$G$24:$G$29=_xlfn.IFS(AHT58="Handysize",Main!AKC58,AHT58="Supramax",AJV58,AHT58="Panamax",AJO58,AHT58="NeoPanamax",AJH58,AHT58="Suezmax",AJA58,AHT58="Capesize",AIT58,AHT58="VLOC",AIM58)))))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U58" s="136" t="e">
        <f t="array" aca="1" ref="AMU58" ca="1">INDEX(Canals!$AS$24:$AS$29,MATCH(2,1/((Canals!$F$24:$F$29&lt;=$C58)*(Canals!$G$24:$G$29=_xlfn.IFS(AHT58="Handysize",Main!AKC58,AHT58="Supramax",AJV58,AHT58="Panamax",AJO58,AHT58="NeoPanamax",AJH58,AHT58="Suezmax",AJA58,AHT58="Capesize",AIT58,AHT58="VLOC",AIM58)))))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V58" s="136" t="e">
        <f t="array" aca="1" ref="AMV58" ca="1">INDEX(Canals!$AT$24:$AT$29,MATCH(2,1/((Canals!$F$24:$F$29&lt;=$C58)*(Canals!$G$24:$G$29=_xlfn.IFS(AHT58="Handysize",Main!AKC58,AHT58="Supramax",AJV58,AHT58="Panamax",AJO58,AHT58="NeoPanamax",AJH58,AHT58="Suezmax",AJA58,AHT58="Capesize",AIT58,AHT58="VLOC",AIM58)))))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W58" s="136" t="e">
        <f t="array" aca="1" ref="AMW58" ca="1">INDEX(Canals!$AU$24:$AU$29,MATCH(2,1/((Canals!$F$24:$F$29&lt;=$C58)*(Canals!$G$24:$G$29=_xlfn.IFS(AHT58="Handysize",Main!AKC58,AHT58="Supramax",AJV58,AHT58="Panamax",AJO58,AHT58="NeoPanamax",AJH58,AHT58="Suezmax",AJA58,AHT58="Capesize",AIT58,AHT58="VLOC",AIM58)))))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X58" s="136" t="e">
        <f t="array" aca="1" ref="AMX58" ca="1">INDEX(Canals!$AV$24:$AV$29,MATCH(2,1/((Canals!$F$24:$F$29&lt;=$C58)*(Canals!$G$24:$G$29=_xlfn.IFS(AHT58="Handysize",Main!AKC58,AHT58="Supramax",AJV58,AHT58="Panamax",AJO58,AHT58="NeoPanamax",AJH58,AHT58="Suezmax",AJA58,AHT58="Capesize",AIT58,AHT58="VLOC",AIM58)))))</f>
        <v>#N/A</v>
      </c>
      <c r="AMZ58" s="75" t="e">
        <f t="array" aca="1" ref="AMZ58" ca="1">_xlfn.IFS(ALK58="DWT",AHR58,ALK58="NRT",AHV58,ALK58="GRT",AHW58,ALK58=0,0)</f>
        <v>#NAME?</v>
      </c>
      <c r="ANA58" s="279" t="e">
        <f t="shared" ca="1" si="561"/>
        <v>#NAME?</v>
      </c>
      <c r="ANB58" s="280" t="e">
        <f t="shared" ca="1" si="562"/>
        <v>#NAME?</v>
      </c>
      <c r="ANC58" s="280" t="e">
        <f t="shared" ca="1" si="563"/>
        <v>#NAME?</v>
      </c>
      <c r="AND58" s="280" t="e">
        <f t="shared" ca="1" si="564"/>
        <v>#NAME?</v>
      </c>
      <c r="ANE58" s="280" t="e">
        <f t="shared" ca="1" si="565"/>
        <v>#NAME?</v>
      </c>
      <c r="ANF58" s="280" t="e">
        <f t="shared" ca="1" si="566"/>
        <v>#NAME?</v>
      </c>
      <c r="ANG58" s="280" t="e">
        <f t="shared" ca="1" si="567"/>
        <v>#NAME?</v>
      </c>
      <c r="ANH58" s="280" t="e">
        <f t="shared" ca="1" si="568"/>
        <v>#NAME?</v>
      </c>
      <c r="ANI58" s="280" t="e">
        <f t="shared" ca="1" si="569"/>
        <v>#NAME?</v>
      </c>
      <c r="ANJ58" s="75">
        <f t="shared" si="570"/>
        <v>0</v>
      </c>
      <c r="ANK58" s="279" t="e">
        <f t="shared" ca="1" si="571"/>
        <v>#N/A</v>
      </c>
      <c r="ANL58" s="280" t="e">
        <f t="shared" ca="1" si="572"/>
        <v>#N/A</v>
      </c>
      <c r="ANM58" s="280" t="e">
        <f t="shared" ca="1" si="573"/>
        <v>#N/A</v>
      </c>
      <c r="ANN58" s="280" t="e">
        <f t="shared" ca="1" si="574"/>
        <v>#N/A</v>
      </c>
      <c r="ANO58" s="280" t="e">
        <f t="shared" ca="1" si="575"/>
        <v>#N/A</v>
      </c>
      <c r="ANP58" s="280" t="e">
        <f t="shared" ca="1" si="576"/>
        <v>#N/A</v>
      </c>
      <c r="ANQ58" s="280" t="e">
        <f t="shared" ca="1" si="577"/>
        <v>#N/A</v>
      </c>
      <c r="ANR58" s="280" t="e">
        <f t="shared" ca="1" si="578"/>
        <v>#N/A</v>
      </c>
      <c r="ANS58" s="280" t="e">
        <f t="shared" ca="1" si="579"/>
        <v>#N/A</v>
      </c>
      <c r="ANU58" s="75" t="e">
        <f t="array" aca="1" ref="ANU58" ca="1">_xlfn.IFS(AHT58="Handysize",Main!AJW58,AHT58="Supramax",AJP58,AHT58="Panamax",AJI58,AHT58="NeoPanamax",AJB58,AHT58="Suezmax",AIU58,AHT58="Capesize",AIN58,AHT58="VLOC",AIG58)*$JI58</f>
        <v>#NAME?</v>
      </c>
      <c r="ANV58" s="274" t="e">
        <f t="array" aca="1" ref="ANV58" ca="1">_xlfn.IFS(AHT58="Handysize",Main!AJX58,AHT58="Supramax",AJQ58,AHT58="Panamax",AJJ58,AHT58="NeoPanamax",AJC58,AHT58="Suezmax",AIV58,AHT58="Capesize",AIO58,AHT58="VLOC",AIH58)*$JI58</f>
        <v>#NAME?</v>
      </c>
      <c r="ANW58" s="71" t="e">
        <f t="array" aca="1" ref="ANW58" ca="1">_xlfn.IFS(AHT58="Handysize",Main!AHY58,AHT58="Supramax",AHZ58,AHT58="Panamax",AIA58,AHT58="NeoPanamax",AIB58,AHT58="Suezmax",AIC58,AHT58="Capesize",AID58,AHT58="VLOC",AIE58)</f>
        <v>#NAME?</v>
      </c>
      <c r="ANX58" s="71" t="e">
        <f t="array" aca="1" ref="ANX58" ca="1">_xlfn.IFS(AHT58="Handysize",Main!AKK58,AHT58="Supramax",AKL58,AHT58="Panamax",AKM58,AHT58="NeoPanamax",AKN58,AHT58="Suezmax",AKO58,AHT58="Capesize",AKP58,AHT58="VLOC",AKQ58)</f>
        <v>#NAME?</v>
      </c>
      <c r="ANY58" s="70">
        <f t="array" ref="ANY58">INDEX('Ship Speeds'!$G$11:$G$1011,MATCH(2,1/(('Ship Speeds'!$E$11:$E$1011&lt;=Main!$C58)*('Ship Speeds'!$F$11:$F$1011=Main!AHS58))))</f>
        <v>11</v>
      </c>
      <c r="ANZ58" s="403">
        <f t="shared" si="580"/>
        <v>0</v>
      </c>
      <c r="AOA58" s="401">
        <f t="shared" si="581"/>
        <v>1.2</v>
      </c>
      <c r="AOB58" s="70" t="e">
        <f t="shared" ca="1" si="582"/>
        <v>#NAME?</v>
      </c>
      <c r="AOC58" s="70" t="e">
        <f t="shared" ca="1" si="583"/>
        <v>#NAME?</v>
      </c>
      <c r="AOD58" s="70" t="e">
        <f t="shared" ca="1" si="584"/>
        <v>#NAME?</v>
      </c>
      <c r="AOE58" s="70" t="e">
        <f t="shared" ca="1" si="585"/>
        <v>#NAME?</v>
      </c>
      <c r="AOF58" s="72" t="e">
        <f t="shared" ca="1" si="586"/>
        <v>#N/A</v>
      </c>
      <c r="AOG58" s="70" t="e">
        <f t="shared" ca="1" si="587"/>
        <v>#NAME?</v>
      </c>
      <c r="AOH58" s="70" t="e">
        <f t="array" aca="1" ref="AOH58" ca="1">IF(ANU58=0,0,INDEX(AKE58:AKI58,MATCH(_xlfn.IFS(AHT58="Handysize",Main!AKA58,AHT58="Supramax",AJT58,AHT58="Panamax",AJM58,AHT58="NeoPanamax",AJF58,AHT58="Suezmax",AIY58,AHT58="Capesize",AIR58,AHT58="VLOC",AIK58),$AKE$7:$AKI$7,0)))</f>
        <v>#NAME?</v>
      </c>
      <c r="AOI58" s="70" t="e">
        <f t="array" aca="1" ref="AOI58" ca="1">IF(ANU58=0,0,INDEX(AKE58:AKI58,MATCH(_xlfn.IFS(AHT58="Handysize",Main!AKB58,AHT58="Supramax",AJU58,AHT58="Panamax",AJN58,AHT58="NeoPanamax",AJG58,AHT58="Suezmax",AIZ58,AHT58="Capesize",AIS58,AHT58="VLOC",AIL58),$AKE$7:$AKI$7,0)))</f>
        <v>#NAME?</v>
      </c>
      <c r="AOJ58" s="71" t="e">
        <f t="shared" ca="1" si="588"/>
        <v>#NAME?</v>
      </c>
      <c r="AOK58" s="71" t="e">
        <f t="shared" ca="1" si="589"/>
        <v>#NAME?</v>
      </c>
      <c r="AOL58" s="281" t="e">
        <f t="shared" ca="1" si="590"/>
        <v>#NAME?</v>
      </c>
      <c r="AOM58" s="71" t="e">
        <f t="shared" ca="1" si="591"/>
        <v>#NAME?</v>
      </c>
      <c r="AON58" s="71" t="e">
        <f t="shared" ca="1" si="592"/>
        <v>#NAME?</v>
      </c>
      <c r="AOO58" s="71" t="e">
        <f t="shared" ca="1" si="593"/>
        <v>#NAME?</v>
      </c>
      <c r="AOP58" s="71" t="e">
        <f t="shared" ca="1" si="594"/>
        <v>#NAME?</v>
      </c>
      <c r="AOQ58" s="71" t="e">
        <f t="shared" ca="1" si="595"/>
        <v>#NAME?</v>
      </c>
      <c r="AOR58" s="71" t="e">
        <f t="shared" ca="1" si="596"/>
        <v>#NAME?</v>
      </c>
      <c r="AOS58" s="71" t="e">
        <f t="shared" ca="1" si="597"/>
        <v>#NAME?</v>
      </c>
      <c r="AOT58" s="71" t="e">
        <f t="shared" ca="1" si="598"/>
        <v>#NAME?</v>
      </c>
      <c r="AOU58" s="71" t="e">
        <f t="shared" ca="1" si="599"/>
        <v>#NAME?</v>
      </c>
      <c r="AOV58" s="71" t="e">
        <f t="shared" ca="1" si="600"/>
        <v>#NAME?</v>
      </c>
      <c r="AOW58" s="71" t="e">
        <f t="shared" ca="1" si="601"/>
        <v>#NAME?</v>
      </c>
      <c r="AOX58" s="71" t="e">
        <f t="shared" ca="1" si="602"/>
        <v>#NAME?</v>
      </c>
      <c r="AOY58" s="72" t="e">
        <f t="shared" ca="1" si="603"/>
        <v>#NAME?</v>
      </c>
      <c r="AOZ58" s="72" t="e">
        <f t="shared" ca="1" si="604"/>
        <v>#NAME?</v>
      </c>
      <c r="APA58" s="71" t="e">
        <f t="shared" ca="1" si="605"/>
        <v>#NAME?</v>
      </c>
      <c r="APB58" s="71" t="e">
        <f t="array" aca="1" ref="APB58" ca="1">IF(ANU58=0,0,INDEX('Ship Time Charter Rates'!$H$22:$H$1021,MATCH(2,1/(('Ship Time Charter Rates'!$G$22:$G$1021=_xlfn.IFS(AHT58="Handysize",Main!AJY58,AHT58="Supramax",AJR58,AHT58="Panamax",AJK58,AHT58="NeoPanamax",AJD58,AHT58="Suezmax",AIW58,AHT58="Capesize",AIP58,AHT58="VLOC",AII58))*('Ship Time Charter Rates'!$E$22:$E$1021&lt;=Main!$C58)*(NOT(ISBLANK('Ship Time Charter Rates'!$H$22:$H$1021)))))))</f>
        <v>#NAME?</v>
      </c>
      <c r="APC58" s="71" t="e">
        <f t="shared" ca="1" si="606"/>
        <v>#NAME?</v>
      </c>
      <c r="APD58" s="70" t="e">
        <f t="shared" ca="1" si="607"/>
        <v>#NAME?</v>
      </c>
      <c r="APE58" s="71" t="e">
        <f t="shared" ca="1" si="608"/>
        <v>#NAME?</v>
      </c>
      <c r="APF58" s="71" t="e">
        <f t="shared" ca="1" si="609"/>
        <v>#NAME?</v>
      </c>
      <c r="APG58" s="72" t="e">
        <f t="shared" ca="1" si="610"/>
        <v>#NAME?</v>
      </c>
      <c r="API58" s="287" t="s">
        <v>39</v>
      </c>
      <c r="APK58" s="289" t="e">
        <f t="shared" ca="1" si="611"/>
        <v>#NAME?</v>
      </c>
      <c r="APL58" s="289" t="e">
        <f t="shared" ca="1" si="612"/>
        <v>#NAME?</v>
      </c>
      <c r="APM58" s="289" t="e">
        <f t="shared" ca="1" si="613"/>
        <v>#NAME?</v>
      </c>
      <c r="APO58" s="287" t="s">
        <v>39</v>
      </c>
    </row>
    <row r="59" spans="2:1107">
      <c r="B59" s="434" t="e">
        <f t="shared" ca="1" si="614"/>
        <v>#NAME?</v>
      </c>
      <c r="C59" s="18">
        <f t="shared" si="615"/>
        <v>43934</v>
      </c>
      <c r="D59" s="7" t="s">
        <v>20</v>
      </c>
      <c r="E59" s="86" t="s">
        <v>456</v>
      </c>
      <c r="F59" s="6">
        <v>45</v>
      </c>
      <c r="G59" s="1" t="s">
        <v>185</v>
      </c>
      <c r="H59" s="1" t="s">
        <v>5</v>
      </c>
      <c r="I59" s="15"/>
      <c r="J59" s="15"/>
      <c r="K59" s="15"/>
      <c r="L59" s="15"/>
      <c r="M59" s="15"/>
      <c r="N59" s="15"/>
      <c r="O59" s="15"/>
      <c r="P59" s="433">
        <v>75000</v>
      </c>
      <c r="Q59" s="98"/>
      <c r="R59" s="7" t="s">
        <v>95</v>
      </c>
      <c r="T59" s="287" t="s">
        <v>39</v>
      </c>
      <c r="V59" s="4"/>
      <c r="W59" s="16" t="str">
        <f t="shared" si="349"/>
        <v>not used yet</v>
      </c>
      <c r="X59" s="16" t="str">
        <f t="shared" si="349"/>
        <v>not used yet</v>
      </c>
      <c r="Y59" s="16" t="str">
        <f t="shared" si="349"/>
        <v>not used yet</v>
      </c>
      <c r="Z59" s="16" t="str">
        <f t="shared" si="349"/>
        <v>not used yet</v>
      </c>
      <c r="AA59" s="16" t="str">
        <f t="shared" si="349"/>
        <v>not used yet</v>
      </c>
      <c r="AB59" s="16" t="str">
        <f t="shared" si="349"/>
        <v>not used yet</v>
      </c>
      <c r="AC59" s="16" t="str">
        <f t="shared" si="349"/>
        <v>not used yet</v>
      </c>
      <c r="AE59" s="88" t="str">
        <f t="shared" si="619"/>
        <v>Malaysia Kuantan washed</v>
      </c>
      <c r="AF59" s="16">
        <f t="shared" si="350"/>
        <v>0.43</v>
      </c>
      <c r="AG59" s="16">
        <f t="shared" si="351"/>
        <v>0.38800000000000001</v>
      </c>
      <c r="AH59" s="61">
        <f t="shared" si="352"/>
        <v>4.2000000000000003E-2</v>
      </c>
      <c r="AI59" s="61">
        <f t="shared" si="353"/>
        <v>3.6999999999999998E-2</v>
      </c>
      <c r="AJ59" s="61">
        <f t="shared" si="354"/>
        <v>5.0000000000000044E-3</v>
      </c>
      <c r="AK59" s="16">
        <f t="shared" si="355"/>
        <v>4.9999999999999836E-3</v>
      </c>
      <c r="AL59" s="16">
        <f t="shared" si="356"/>
        <v>0.17</v>
      </c>
      <c r="AM59" s="24" t="str">
        <f t="shared" si="620"/>
        <v>LT</v>
      </c>
      <c r="AN59" s="427">
        <f t="shared" si="357"/>
        <v>75000</v>
      </c>
      <c r="AO59" s="127" t="str">
        <f t="array" ref="AO59">IFERROR(IF(AND(AN59&gt;'Indices Mines Exporting Ports'!$D$11,MATCH(2,1/(('Indices Mines Exporting Ports'!$B$3:$B$10&lt;=C59)*('Indices Mines Exporting Ports'!$C$3:$C$10=E59)))),"Yes","No"),"No")</f>
        <v>No</v>
      </c>
      <c r="AP59" s="126" t="str">
        <f t="array" ref="AP59">IF(AO59="Yes",INDEX('Indices Mines Exporting Ports'!$D$3:$D$10,MATCH(2,1/(('Indices Mines Exporting Ports'!$B$3:$B$10&lt;=Main!C59)*('Indices Mines Exporting Ports'!$C$3:$C$10=Main!AE59)))),IF(NOT(ISBLANK(Q59)),Q59,IP59))</f>
        <v>Kuantan_wharf</v>
      </c>
      <c r="AQ59" s="262">
        <f t="array" ref="AQ59">IF(AO59="no",0,INDEX('Indices Mines Exporting Ports'!$E$3:$E$10,MATCH(2,1/(('Indices Mines Exporting Ports'!$B$3:$B$10&lt;=Main!$C59)*('Indices Mines Exporting Ports'!$D$3:$D$10=Main!$AP59)))))</f>
        <v>0</v>
      </c>
      <c r="AR59" s="267">
        <f t="array" ref="AR59">IF(AO59="No",0,AN59/ROUND(AN59/INDEX('Indices Mines Exporting Ports'!$F$3:$F$10,MATCH(2,1/(('Indices Mines Exporting Ports'!$B$3:$B$10&lt;=Main!C59)*('Indices Mines Exporting Ports'!$C$3:$C$10=Main!AE59)))),0))</f>
        <v>0</v>
      </c>
      <c r="AS59" s="127" t="str">
        <f t="shared" si="621"/>
        <v>Qingdao</v>
      </c>
      <c r="AT59" s="100" t="str">
        <f t="shared" si="358"/>
        <v>CBIX LT</v>
      </c>
      <c r="AU59" s="100" t="str">
        <f t="shared" si="359"/>
        <v>CBIX LT</v>
      </c>
      <c r="AV59" s="242" t="s">
        <v>4</v>
      </c>
      <c r="AW59" s="242" t="s">
        <v>5</v>
      </c>
      <c r="AX59" s="292" t="e">
        <f t="shared" ca="1" si="622"/>
        <v>#NAME?</v>
      </c>
      <c r="AY59" s="291" t="e">
        <f t="shared" ca="1" si="360"/>
        <v>#NAME?</v>
      </c>
      <c r="AZ59" s="292" t="e">
        <f t="shared" ca="1" si="623"/>
        <v>#NAME?</v>
      </c>
      <c r="BA59" s="102">
        <f t="shared" si="624"/>
        <v>1.17</v>
      </c>
      <c r="BB59" s="12"/>
      <c r="BC59" s="306" t="s">
        <v>403</v>
      </c>
      <c r="BD59" s="407">
        <f t="shared" si="361"/>
        <v>0</v>
      </c>
      <c r="BE59" s="407">
        <f t="shared" si="361"/>
        <v>0</v>
      </c>
      <c r="BF59" s="407">
        <f t="shared" si="361"/>
        <v>0</v>
      </c>
      <c r="BG59" s="407" t="e">
        <f t="shared" ca="1" si="362"/>
        <v>#NAME?</v>
      </c>
      <c r="BH59" s="407">
        <f t="shared" si="363"/>
        <v>0</v>
      </c>
      <c r="BI59" s="263" t="e">
        <f t="shared" ca="1" si="364"/>
        <v>#NAME?</v>
      </c>
      <c r="BK59" s="287" t="s">
        <v>39</v>
      </c>
      <c r="BM59" s="291" t="e">
        <f t="shared" ca="1" si="365"/>
        <v>#NAME?</v>
      </c>
      <c r="BN59" s="298">
        <f t="shared" si="366"/>
        <v>0.43</v>
      </c>
      <c r="BO59" s="298">
        <f t="shared" si="367"/>
        <v>0.38800000000000001</v>
      </c>
      <c r="BP59" s="298">
        <f t="shared" si="368"/>
        <v>4.2000000000000003E-2</v>
      </c>
      <c r="BQ59" s="298">
        <f t="shared" si="369"/>
        <v>3.6999999999999998E-2</v>
      </c>
      <c r="BR59" s="298">
        <f t="shared" si="370"/>
        <v>5.0000000000000044E-3</v>
      </c>
      <c r="BS59" s="298">
        <f t="shared" si="371"/>
        <v>4.9999999999999836E-3</v>
      </c>
      <c r="BT59" s="298">
        <f t="shared" si="372"/>
        <v>0.17</v>
      </c>
      <c r="BU59" s="307" t="str">
        <f t="shared" si="373"/>
        <v>LT</v>
      </c>
      <c r="BV59" s="291">
        <f t="shared" si="374"/>
        <v>1.17</v>
      </c>
      <c r="BX59" s="300">
        <f t="array" ref="BX59">INDEX('Processing Factors'!$D$8:$D$29,MATCH(2,1/(('Processing Factors'!$B$8:$B$29&lt;=Main!$C59)*('Processing Factors'!$C$8:$C$29=Main!BU59))))</f>
        <v>0</v>
      </c>
      <c r="BY59" s="299">
        <f t="array" ref="BY59">INDEX('Processing Factors'!$E$8:$E$29,MATCH(2,1/(('Processing Factors'!$B$8:$B$29&lt;=Main!$C59)*('Processing Factors'!$C$8:$C$29=Main!BU59))))</f>
        <v>1</v>
      </c>
      <c r="BZ59" s="299">
        <f t="array" ref="BZ59">INDEX('Processing Factors'!$F$8:$F$29,MATCH(2,1/(('Processing Factors'!$B$8:$B$29&lt;=Main!$C59)*('Processing Factors'!$C$8:$C$29=Main!BU59))))</f>
        <v>0.9</v>
      </c>
      <c r="CA59" s="299">
        <f t="array" ref="CA59">INDEX('Processing Factors'!$G$8:$G$29,MATCH(2,1/(('Processing Factors'!$B$8:$B$29&lt;=Main!$C59)*('Processing Factors'!$C$8:$C$29=Main!BU59))))</f>
        <v>3.5999999999999997E-2</v>
      </c>
      <c r="CB59" s="299">
        <f t="array" ref="CB59">INDEX('Processing Factors'!$H$8:$H$29,MATCH(2,1/(('Processing Factors'!$B$8:$B$29&lt;=Main!$C59)*('Processing Factors'!$C$8:$C$29=Main!BU59))))</f>
        <v>12.15</v>
      </c>
      <c r="CC59" s="300">
        <f t="array" ref="CC59">INDEX('Processing Factors'!$I$8:$I$29,MATCH(2,1/(('Processing Factors'!$B$8:$B$29&lt;=Main!$C59)*('Processing Factors'!$C$8:$C$29=Main!BU59))))</f>
        <v>0</v>
      </c>
      <c r="CD59" s="300">
        <f t="array" ref="CD59">INDEX('Processing Factors'!$J$8:$J$29,MATCH(2,1/(('Processing Factors'!$B$8:$B$29&lt;=Main!$C59)*('Processing Factors'!$C$8:$C$29=Main!BU59))))</f>
        <v>0.9</v>
      </c>
      <c r="CE59" s="299">
        <f t="array" ref="CE59">INDEX('Processing Factors'!$K$8:$K$29,MATCH(2,1/(('Processing Factors'!$B$8:$B$29&lt;=Main!$C59)*('Processing Factors'!$C$8:$C$29=Main!BU59))))</f>
        <v>3.5000000000000003E-2</v>
      </c>
      <c r="CG59" s="302">
        <f t="shared" si="375"/>
        <v>0.42499999999999999</v>
      </c>
      <c r="CH59" s="302">
        <f t="shared" si="376"/>
        <v>3.6999999999999998E-2</v>
      </c>
      <c r="CI59" s="302">
        <f t="shared" si="377"/>
        <v>0.38800000000000001</v>
      </c>
      <c r="CJ59" s="299">
        <f t="shared" si="378"/>
        <v>2.8636884306987396</v>
      </c>
      <c r="CK59" s="281" t="e">
        <f t="shared" ca="1" si="617"/>
        <v>#NAME?</v>
      </c>
      <c r="CL59" s="299">
        <f t="shared" si="379"/>
        <v>0.13036082474226801</v>
      </c>
      <c r="CM59" s="281">
        <f t="shared" si="625"/>
        <v>31.286215142100232</v>
      </c>
      <c r="CN59" s="281">
        <f t="shared" si="626"/>
        <v>50.321396655852695</v>
      </c>
      <c r="CO59" s="281">
        <f t="shared" si="627"/>
        <v>1.2197497818850218</v>
      </c>
      <c r="CP59" s="299">
        <f t="shared" si="380"/>
        <v>2.0300492554410074</v>
      </c>
      <c r="CQ59" s="281">
        <f t="shared" si="628"/>
        <v>8.5977504740972908</v>
      </c>
      <c r="CR59" s="281" t="e">
        <f t="shared" ca="1" si="381"/>
        <v>#NAME?</v>
      </c>
      <c r="CT59" s="287" t="s">
        <v>39</v>
      </c>
      <c r="CV59" s="305" t="e">
        <f t="shared" ca="1" si="382"/>
        <v>#NAME?</v>
      </c>
      <c r="CW59" s="61">
        <f t="array" ref="CW59">INDEX('Indices Mines Exporting Ports'!E$20:E$51, MATCH(2,1/(('Indices Mines Exporting Ports'!$C$20:$C$51=$AT59)*('Indices Mines Exporting Ports'!$D$20:$D$51&lt;=$C59))))</f>
        <v>0.5</v>
      </c>
      <c r="CX59" s="61">
        <f t="array" ref="CX59">INDEX('Indices Mines Exporting Ports'!F$20:F$51, MATCH(2,1/(('Indices Mines Exporting Ports'!$C$20:$C$51=$AT59)*('Indices Mines Exporting Ports'!$D$20:$D$51&lt;=$C59))))</f>
        <v>0.45</v>
      </c>
      <c r="CY59" s="61">
        <f t="array" ref="CY59">INDEX('Indices Mines Exporting Ports'!G$20:G$51, MATCH(2,1/(('Indices Mines Exporting Ports'!$C$20:$C$51=$AT59)*('Indices Mines Exporting Ports'!$D$20:$D$51&lt;=$C59))))</f>
        <v>0.05</v>
      </c>
      <c r="CZ59" s="61">
        <f t="array" ref="CZ59">INDEX('Indices Mines Exporting Ports'!H$20:H$51, MATCH(2,1/(('Indices Mines Exporting Ports'!$C$20:$C$51=$AT59)*('Indices Mines Exporting Ports'!$D$20:$D$51&lt;=$C59))))</f>
        <v>0.05</v>
      </c>
      <c r="DA59" s="61">
        <f t="array" ref="DA59">INDEX('Indices Mines Exporting Ports'!I$20:I$51, MATCH(2,1/(('Indices Mines Exporting Ports'!$C$20:$C$51=$AT59)*('Indices Mines Exporting Ports'!$D$20:$D$51&lt;=$C59))))</f>
        <v>0</v>
      </c>
      <c r="DB59" s="61">
        <f t="array" ref="DB59">INDEX('Indices Mines Exporting Ports'!J$20:J$51, MATCH(2,1/(('Indices Mines Exporting Ports'!$C$20:$C$51=$AT59)*('Indices Mines Exporting Ports'!$D$20:$D$51&lt;=$C59))))</f>
        <v>0</v>
      </c>
      <c r="DC59" s="61">
        <f t="array" ref="DC59">INDEX('Indices Mines Exporting Ports'!K$20:K$51, MATCH(2,1/(('Indices Mines Exporting Ports'!$C$20:$C$51=$AT59)*('Indices Mines Exporting Ports'!$D$20:$D$51&lt;=$C59))))</f>
        <v>0.1</v>
      </c>
      <c r="DD59" s="103" t="str">
        <f t="array" ref="DD59">INDEX('Indices Mines Exporting Ports'!L$20:L$51, MATCH(2,1/(('Indices Mines Exporting Ports'!$C$20:$C$51=$AT59)*('Indices Mines Exporting Ports'!$D$20:$D$51&lt;=$C59))))</f>
        <v>LT</v>
      </c>
      <c r="DE59" s="243">
        <f t="array" ref="DE59">INDEX('Indices Mines Exporting Ports'!M$20:M$51, MATCH(2,1/(('Indices Mines Exporting Ports'!$C$20:$C$51=$AT59)*('Indices Mines Exporting Ports'!$D$20:$D$51&lt;=$C59))))</f>
        <v>0</v>
      </c>
      <c r="DG59" s="300">
        <f t="array" ref="DG59">INDEX('Processing Factors'!$D$8:$D$29,MATCH(2,1/(('Processing Factors'!$B$8:$B$29&lt;=Main!$C59)*('Processing Factors'!$C$8:$C$29=Main!DD59))))</f>
        <v>0</v>
      </c>
      <c r="DH59" s="299">
        <f t="array" ref="DH59">INDEX('Processing Factors'!$E$8:$E$29,MATCH(2,1/(('Processing Factors'!$B$8:$B$29&lt;=Main!$C59)*('Processing Factors'!$C$8:$C$29=Main!DD59))))</f>
        <v>1</v>
      </c>
      <c r="DI59" s="299">
        <f t="array" ref="DI59">INDEX('Processing Factors'!$F$8:$F$29,MATCH(2,1/(('Processing Factors'!$B$8:$B$29&lt;=Main!$C59)*('Processing Factors'!$C$8:$C$29=Main!DD59))))</f>
        <v>0.9</v>
      </c>
      <c r="DJ59" s="299">
        <f t="array" ref="DJ59">INDEX('Processing Factors'!$G$8:$G$29,MATCH(2,1/(('Processing Factors'!$B$8:$B$29&lt;=Main!$C59)*('Processing Factors'!$C$8:$C$29=Main!DD59))))</f>
        <v>3.5999999999999997E-2</v>
      </c>
      <c r="DK59" s="299">
        <f t="array" ref="DK59">INDEX('Processing Factors'!$H$8:$H$29,MATCH(2,1/(('Processing Factors'!$B$8:$B$29&lt;=Main!$C59)*('Processing Factors'!$C$8:$C$29=Main!DD59))))</f>
        <v>12.15</v>
      </c>
      <c r="DL59" s="300">
        <f t="array" ref="DL59">INDEX('Processing Factors'!$I$8:$I$29,MATCH(2,1/(('Processing Factors'!$B$8:$B$29&lt;=Main!$C59)*('Processing Factors'!$C$8:$C$29=Main!DD59))))</f>
        <v>0</v>
      </c>
      <c r="DM59" s="300">
        <f t="array" ref="DM59">INDEX('Processing Factors'!$J$8:$J$29,MATCH(2,1/(('Processing Factors'!$B$8:$B$29&lt;=Main!$C59)*('Processing Factors'!$C$8:$C$29=Main!DD59))))</f>
        <v>0.9</v>
      </c>
      <c r="DN59" s="299">
        <f t="array" ref="DN59">INDEX('Processing Factors'!$K$8:$K$29,MATCH(2,1/(('Processing Factors'!$B$8:$B$29&lt;=Main!$C59)*('Processing Factors'!$C$8:$C$29=Main!DD59))))</f>
        <v>3.5000000000000003E-2</v>
      </c>
      <c r="DP59" s="302">
        <f t="shared" si="383"/>
        <v>0.5</v>
      </c>
      <c r="DQ59" s="302">
        <f t="shared" si="384"/>
        <v>0.05</v>
      </c>
      <c r="DR59" s="302">
        <f t="shared" si="385"/>
        <v>0.45</v>
      </c>
      <c r="DS59" s="299">
        <f t="shared" si="386"/>
        <v>2.4691358024691357</v>
      </c>
      <c r="DT59" s="304">
        <v>0</v>
      </c>
      <c r="DU59" s="299">
        <f t="shared" si="387"/>
        <v>0.14611111111111114</v>
      </c>
      <c r="DV59" s="281">
        <f t="shared" si="629"/>
        <v>35.06623762093578</v>
      </c>
      <c r="DW59" s="281">
        <f t="shared" si="630"/>
        <v>50.321396655852695</v>
      </c>
      <c r="DX59" s="281">
        <f t="shared" si="631"/>
        <v>1.2197497818850218</v>
      </c>
      <c r="DY59" s="299">
        <f t="shared" si="388"/>
        <v>1.6512469135802468</v>
      </c>
      <c r="DZ59" s="281">
        <f t="shared" si="632"/>
        <v>6.9934307731868799</v>
      </c>
      <c r="EA59" s="281">
        <f t="shared" si="389"/>
        <v>93.60081483186039</v>
      </c>
      <c r="EC59" s="287" t="s">
        <v>39</v>
      </c>
      <c r="EE59" s="305" t="e">
        <f t="shared" ca="1" si="390"/>
        <v>#NAME?</v>
      </c>
      <c r="EF59" s="16">
        <f t="array" ref="EF59">INDEX('Indices Mines Exporting Ports'!E$20:E$51, MATCH(2,1/(('Indices Mines Exporting Ports'!$C$20:$C$51=$AU59)*('Indices Mines Exporting Ports'!$D$20:$D$51&lt;=$C59))))</f>
        <v>0.5</v>
      </c>
      <c r="EG59" s="16">
        <f t="array" ref="EG59">INDEX('Indices Mines Exporting Ports'!F$20:F$51, MATCH(2,1/(('Indices Mines Exporting Ports'!$C$20:$C$51=$AU59)*('Indices Mines Exporting Ports'!$D$20:$D$51&lt;=$C59))))</f>
        <v>0.45</v>
      </c>
      <c r="EH59" s="16">
        <f t="array" ref="EH59">INDEX('Indices Mines Exporting Ports'!G$20:G$51, MATCH(2,1/(('Indices Mines Exporting Ports'!$C$20:$C$51=$AU59)*('Indices Mines Exporting Ports'!$D$20:$D$51&lt;=$C59))))</f>
        <v>0.05</v>
      </c>
      <c r="EI59" s="16">
        <f t="array" ref="EI59">INDEX('Indices Mines Exporting Ports'!H$20:H$51, MATCH(2,1/(('Indices Mines Exporting Ports'!$C$20:$C$51=$AU59)*('Indices Mines Exporting Ports'!$D$20:$D$51&lt;=$C59))))</f>
        <v>0.05</v>
      </c>
      <c r="EJ59" s="16">
        <f t="array" ref="EJ59">INDEX('Indices Mines Exporting Ports'!I$20:I$51, MATCH(2,1/(('Indices Mines Exporting Ports'!$C$20:$C$51=$AU59)*('Indices Mines Exporting Ports'!$D$20:$D$51&lt;=$C59))))</f>
        <v>0</v>
      </c>
      <c r="EK59" s="16">
        <f t="array" ref="EK59">INDEX('Indices Mines Exporting Ports'!J$20:J$51, MATCH(2,1/(('Indices Mines Exporting Ports'!$C$20:$C$51=$AU59)*('Indices Mines Exporting Ports'!$D$20:$D$51&lt;=$C59))))</f>
        <v>0</v>
      </c>
      <c r="EL59" s="16">
        <f t="array" ref="EL59">INDEX('Indices Mines Exporting Ports'!K$20:K$51, MATCH(2,1/(('Indices Mines Exporting Ports'!$C$20:$C$51=$AU59)*('Indices Mines Exporting Ports'!$D$20:$D$51&lt;=$C59))))</f>
        <v>0.1</v>
      </c>
      <c r="EM59" s="103" t="str">
        <f t="array" ref="EM59">INDEX('Indices Mines Exporting Ports'!L$20:L$51, MATCH(2,1/(('Indices Mines Exporting Ports'!$C$20:$C$51=$AU59)*('Indices Mines Exporting Ports'!$D$20:$D$51&lt;=$C59))))</f>
        <v>LT</v>
      </c>
      <c r="EN59" s="243">
        <f t="array" ref="EN59">INDEX('Indices Mines Exporting Ports'!M$20:M$51, MATCH(2,1/(('Indices Mines Exporting Ports'!$C$20:$C$51=$AU59)*('Indices Mines Exporting Ports'!$D$20:$D$51&lt;=$C59))))</f>
        <v>0</v>
      </c>
      <c r="EP59" s="300">
        <f t="array" ref="EP59">INDEX('Processing Factors'!$D$8:$D$29,MATCH(2,1/(('Processing Factors'!$B$8:$B$29&lt;=Main!$C59)*('Processing Factors'!$C$8:$C$29=Main!EM59))))</f>
        <v>0</v>
      </c>
      <c r="EQ59" s="299">
        <f t="array" ref="EQ59">INDEX('Processing Factors'!$E$8:$E$29,MATCH(2,1/(('Processing Factors'!$B$8:$B$29&lt;=Main!$C59)*('Processing Factors'!$C$8:$C$29=Main!EM59))))</f>
        <v>1</v>
      </c>
      <c r="ER59" s="299">
        <f t="array" ref="ER59">INDEX('Processing Factors'!$F$8:$F$29,MATCH(2,1/(('Processing Factors'!$B$8:$B$29&lt;=Main!$C59)*('Processing Factors'!$C$8:$C$29=Main!EM59))))</f>
        <v>0.9</v>
      </c>
      <c r="ES59" s="299">
        <f t="array" ref="ES59">INDEX('Processing Factors'!$G$8:$G$29,MATCH(2,1/(('Processing Factors'!$B$8:$B$29&lt;=Main!$C59)*('Processing Factors'!$C$8:$C$29=Main!EM59))))</f>
        <v>3.5999999999999997E-2</v>
      </c>
      <c r="ET59" s="299">
        <f t="array" ref="ET59">INDEX('Processing Factors'!$H$8:$H$29,MATCH(2,1/(('Processing Factors'!$B$8:$B$29&lt;=Main!$C59)*('Processing Factors'!$C$8:$C$29=Main!EM59))))</f>
        <v>12.15</v>
      </c>
      <c r="EU59" s="300">
        <f t="array" ref="EU59">INDEX('Processing Factors'!$I$8:$I$29,MATCH(2,1/(('Processing Factors'!$B$8:$B$29&lt;=Main!$C59)*('Processing Factors'!$C$8:$C$29=Main!EM59))))</f>
        <v>0</v>
      </c>
      <c r="EV59" s="300">
        <f t="array" ref="EV59">INDEX('Processing Factors'!$J$8:$J$29,MATCH(2,1/(('Processing Factors'!$B$8:$B$29&lt;=Main!$C59)*('Processing Factors'!$C$8:$C$29=Main!EM59))))</f>
        <v>0.9</v>
      </c>
      <c r="EW59" s="299">
        <f t="array" ref="EW59">INDEX('Processing Factors'!$K$8:$K$29,MATCH(2,1/(('Processing Factors'!$B$8:$B$29&lt;=Main!$C59)*('Processing Factors'!$C$8:$C$29=Main!EM59))))</f>
        <v>3.5000000000000003E-2</v>
      </c>
      <c r="EY59" s="302">
        <f t="shared" si="391"/>
        <v>0.5</v>
      </c>
      <c r="EZ59" s="302">
        <f t="shared" si="392"/>
        <v>0.05</v>
      </c>
      <c r="FA59" s="302">
        <f t="shared" si="393"/>
        <v>0.45</v>
      </c>
      <c r="FB59" s="299">
        <f t="shared" si="394"/>
        <v>2.4691358024691357</v>
      </c>
      <c r="FC59" s="304">
        <v>0</v>
      </c>
      <c r="FD59" s="299">
        <f t="shared" si="395"/>
        <v>0.14611111111111114</v>
      </c>
      <c r="FE59" s="281">
        <f t="shared" si="633"/>
        <v>35.06623762093578</v>
      </c>
      <c r="FF59" s="281">
        <f t="shared" si="634"/>
        <v>50.321396655852695</v>
      </c>
      <c r="FG59" s="281">
        <f t="shared" si="635"/>
        <v>1.2197497818850218</v>
      </c>
      <c r="FH59" s="299">
        <f t="shared" si="396"/>
        <v>1.6512469135802468</v>
      </c>
      <c r="FI59" s="281">
        <f t="shared" si="636"/>
        <v>6.9934307731868799</v>
      </c>
      <c r="FJ59" s="281">
        <f t="shared" si="397"/>
        <v>93.60081483186039</v>
      </c>
      <c r="FL59" s="287" t="s">
        <v>39</v>
      </c>
      <c r="FN59" s="315" t="e">
        <f t="shared" ca="1" si="398"/>
        <v>#NAME?</v>
      </c>
      <c r="FO59" s="316">
        <f t="shared" si="399"/>
        <v>0.43</v>
      </c>
      <c r="FP59" s="316">
        <f t="shared" si="400"/>
        <v>0.38800000000000001</v>
      </c>
      <c r="FQ59" s="316">
        <f t="shared" si="401"/>
        <v>4.2000000000000003E-2</v>
      </c>
      <c r="FR59" s="316">
        <f t="shared" si="402"/>
        <v>3.6999999999999998E-2</v>
      </c>
      <c r="FS59" s="316">
        <f t="shared" si="403"/>
        <v>5.0000000000000044E-3</v>
      </c>
      <c r="FT59" s="316">
        <f t="shared" si="404"/>
        <v>4.9999999999999836E-3</v>
      </c>
      <c r="FU59" s="316">
        <f t="shared" si="405"/>
        <v>0.17</v>
      </c>
      <c r="FV59" s="317" t="str">
        <f t="shared" si="406"/>
        <v>LT</v>
      </c>
      <c r="FW59" s="318">
        <v>0</v>
      </c>
      <c r="FX59" s="237"/>
      <c r="FY59" s="319">
        <f t="array" ref="FY59">INDEX('Processing Factors'!$D$8:$D$29,MATCH(2,1/(('Processing Factors'!$B$8:$B$29&lt;=Main!$C59)*('Processing Factors'!$C$8:$C$29=Main!FV59))))</f>
        <v>0</v>
      </c>
      <c r="FZ59" s="320">
        <f t="array" ref="FZ59">INDEX('Processing Factors'!$E$8:$E$29,MATCH(2,1/(('Processing Factors'!$B$8:$B$29&lt;=Main!$C59)*('Processing Factors'!$C$8:$C$29=Main!FV59))))</f>
        <v>1</v>
      </c>
      <c r="GA59" s="320">
        <f t="array" ref="GA59">INDEX('Processing Factors'!$F$8:$F$29,MATCH(2,1/(('Processing Factors'!$B$8:$B$29&lt;=Main!$C59)*('Processing Factors'!$C$8:$C$29=Main!FV59))))</f>
        <v>0.9</v>
      </c>
      <c r="GB59" s="320">
        <f t="array" ref="GB59">INDEX('Processing Factors'!$G$8:$G$29,MATCH(2,1/(('Processing Factors'!$B$8:$B$29&lt;=Main!$C59)*('Processing Factors'!$C$8:$C$29=Main!FV59))))</f>
        <v>3.5999999999999997E-2</v>
      </c>
      <c r="GC59" s="320">
        <f t="array" ref="GC59">INDEX('Processing Factors'!$H$8:$H$29,MATCH(2,1/(('Processing Factors'!$B$8:$B$29&lt;=Main!$C59)*('Processing Factors'!$C$8:$C$29=Main!FV59))))</f>
        <v>12.15</v>
      </c>
      <c r="GD59" s="319">
        <f t="array" ref="GD59">INDEX('Processing Factors'!$I$8:$I$29,MATCH(2,1/(('Processing Factors'!$B$8:$B$29&lt;=Main!$C59)*('Processing Factors'!$C$8:$C$29=Main!FV59))))</f>
        <v>0</v>
      </c>
      <c r="GE59" s="321">
        <v>0.92</v>
      </c>
      <c r="GF59" s="320">
        <f t="array" ref="GF59">INDEX('Processing Factors'!$K$8:$K$29,MATCH(2,1/(('Processing Factors'!$B$8:$B$29&lt;=Main!$C59)*('Processing Factors'!$C$8:$C$29=Main!FV59))))</f>
        <v>3.5000000000000003E-2</v>
      </c>
      <c r="GG59" s="237"/>
      <c r="GH59" s="322">
        <f t="shared" si="407"/>
        <v>0.42499999999999999</v>
      </c>
      <c r="GI59" s="322">
        <f t="shared" si="408"/>
        <v>3.6999999999999998E-2</v>
      </c>
      <c r="GJ59" s="322">
        <f t="shared" si="409"/>
        <v>0.38800000000000001</v>
      </c>
      <c r="GK59" s="320">
        <f t="shared" si="410"/>
        <v>2.8014343343792016</v>
      </c>
      <c r="GL59" s="323" t="e">
        <f t="shared" ca="1" si="618"/>
        <v>#NAME?</v>
      </c>
      <c r="GM59" s="320">
        <f t="shared" si="411"/>
        <v>0.12828776333482739</v>
      </c>
      <c r="GN59" s="323">
        <f t="shared" si="637"/>
        <v>30.788686491723851</v>
      </c>
      <c r="GO59" s="323">
        <f t="shared" si="638"/>
        <v>50.321396655852695</v>
      </c>
      <c r="GP59" s="323">
        <f t="shared" si="639"/>
        <v>1.2197497818850218</v>
      </c>
      <c r="GQ59" s="320">
        <f t="shared" si="412"/>
        <v>1.9657220977140291</v>
      </c>
      <c r="GR59" s="323">
        <f t="shared" si="640"/>
        <v>8.3253093747682456</v>
      </c>
      <c r="GS59" s="323" t="e">
        <f t="shared" ca="1" si="413"/>
        <v>#NAME?</v>
      </c>
      <c r="GT59" s="237"/>
      <c r="GU59" s="324" t="e">
        <f t="shared" ca="1" si="414"/>
        <v>#NAME?</v>
      </c>
      <c r="GV59" s="325">
        <f t="array" ref="GV59">INDEX('Indices Mines Exporting Ports'!E$20:E$51, MATCH(2,1/(('Indices Mines Exporting Ports'!$C$20:$C$51=$BC59)*('Indices Mines Exporting Ports'!$D$20:$D$51&lt;=$C59))))</f>
        <v>0.5</v>
      </c>
      <c r="GW59" s="325">
        <f t="array" ref="GW59">INDEX('Indices Mines Exporting Ports'!F$20:F$51, MATCH(2,1/(('Indices Mines Exporting Ports'!$C$20:$C$51=$BC59)*('Indices Mines Exporting Ports'!$D$20:$D$51&lt;=$C59))))</f>
        <v>0.45</v>
      </c>
      <c r="GX59" s="325">
        <f t="array" ref="GX59">INDEX('Indices Mines Exporting Ports'!G$20:G$51, MATCH(2,1/(('Indices Mines Exporting Ports'!$C$20:$C$51=$BC59)*('Indices Mines Exporting Ports'!$D$20:$D$51&lt;=$C59))))</f>
        <v>0.05</v>
      </c>
      <c r="GY59" s="325">
        <f t="array" ref="GY59">INDEX('Indices Mines Exporting Ports'!H$20:H$51, MATCH(2,1/(('Indices Mines Exporting Ports'!$C$20:$C$51=$BC59)*('Indices Mines Exporting Ports'!$D$20:$D$51&lt;=$C59))))</f>
        <v>0.05</v>
      </c>
      <c r="GZ59" s="325">
        <f t="array" ref="GZ59">INDEX('Indices Mines Exporting Ports'!I$20:I$51, MATCH(2,1/(('Indices Mines Exporting Ports'!$C$20:$C$51=$BC59)*('Indices Mines Exporting Ports'!$D$20:$D$51&lt;=$C59))))</f>
        <v>0</v>
      </c>
      <c r="HA59" s="325">
        <f t="array" ref="HA59">INDEX('Indices Mines Exporting Ports'!J$20:J$51, MATCH(2,1/(('Indices Mines Exporting Ports'!$C$20:$C$51=$BC59)*('Indices Mines Exporting Ports'!$D$20:$D$51&lt;=$C59))))</f>
        <v>0</v>
      </c>
      <c r="HB59" s="325">
        <f t="array" ref="HB59">INDEX('Indices Mines Exporting Ports'!K$20:K$51, MATCH(2,1/(('Indices Mines Exporting Ports'!$C$20:$C$51=$BC59)*('Indices Mines Exporting Ports'!$D$20:$D$51&lt;=$C59))))</f>
        <v>0.1</v>
      </c>
      <c r="HC59" s="326" t="str">
        <f t="array" ref="HC59">INDEX('Indices Mines Exporting Ports'!L$20:L$51, MATCH(2,1/(('Indices Mines Exporting Ports'!$C$20:$C$51=$BC59)*('Indices Mines Exporting Ports'!$D$20:$D$51&lt;=$C59))))</f>
        <v>LT</v>
      </c>
      <c r="HD59" s="262">
        <f t="array" ref="HD59">INDEX('Indices Mines Exporting Ports'!M$20:M$51, MATCH(2,1/(('Indices Mines Exporting Ports'!$C$20:$C$51=$BC59)*('Indices Mines Exporting Ports'!$D$20:$D$51&lt;=$C59))))</f>
        <v>0</v>
      </c>
      <c r="HE59" s="237"/>
      <c r="HF59" s="319">
        <f t="array" ref="HF59">INDEX('Processing Factors'!$D$8:$D$29,MATCH(2,1/(('Processing Factors'!$B$8:$B$29&lt;=Main!$C59)*('Processing Factors'!$C$8:$C$29=Main!HC59))))</f>
        <v>0</v>
      </c>
      <c r="HG59" s="320">
        <f t="array" ref="HG59">INDEX('Processing Factors'!$E$8:$E$29,MATCH(2,1/(('Processing Factors'!$B$8:$B$29&lt;=Main!$C59)*('Processing Factors'!$C$8:$C$29=Main!HC59))))</f>
        <v>1</v>
      </c>
      <c r="HH59" s="320">
        <f t="array" ref="HH59">INDEX('Processing Factors'!$F$8:$F$29,MATCH(2,1/(('Processing Factors'!$B$8:$B$29&lt;=Main!$C59)*('Processing Factors'!$C$8:$C$29=Main!HC59))))</f>
        <v>0.9</v>
      </c>
      <c r="HI59" s="320">
        <f t="array" ref="HI59">INDEX('Processing Factors'!$G$8:$G$29,MATCH(2,1/(('Processing Factors'!$B$8:$B$29&lt;=Main!$C59)*('Processing Factors'!$C$8:$C$29=Main!HC59))))</f>
        <v>3.5999999999999997E-2</v>
      </c>
      <c r="HJ59" s="320">
        <f t="array" ref="HJ59">INDEX('Processing Factors'!$H$8:$H$29,MATCH(2,1/(('Processing Factors'!$B$8:$B$29&lt;=Main!$C59)*('Processing Factors'!$C$8:$C$29=Main!HC59))))</f>
        <v>12.15</v>
      </c>
      <c r="HK59" s="319">
        <f t="array" ref="HK59">INDEX('Processing Factors'!$I$8:$I$29,MATCH(2,1/(('Processing Factors'!$B$8:$B$29&lt;=Main!$C59)*('Processing Factors'!$C$8:$C$29=Main!HC59))))</f>
        <v>0</v>
      </c>
      <c r="HL59" s="321">
        <v>0.92</v>
      </c>
      <c r="HM59" s="320">
        <f t="array" ref="HM59">INDEX('Processing Factors'!$K$8:$K$29,MATCH(2,1/(('Processing Factors'!$B$8:$B$29&lt;=Main!$C59)*('Processing Factors'!$C$8:$C$29=Main!HC59))))</f>
        <v>3.5000000000000003E-2</v>
      </c>
      <c r="HN59" s="237"/>
      <c r="HO59" s="322">
        <f t="shared" si="415"/>
        <v>0.5</v>
      </c>
      <c r="HP59" s="322">
        <f t="shared" si="416"/>
        <v>0.05</v>
      </c>
      <c r="HQ59" s="322">
        <f t="shared" si="417"/>
        <v>0.45</v>
      </c>
      <c r="HR59" s="320">
        <f t="shared" si="418"/>
        <v>2.4154589371980677</v>
      </c>
      <c r="HS59" s="263">
        <v>0</v>
      </c>
      <c r="HT59" s="320">
        <f t="shared" si="419"/>
        <v>0.14369565217391306</v>
      </c>
      <c r="HU59" s="323">
        <f t="shared" si="641"/>
        <v>34.486534568845585</v>
      </c>
      <c r="HV59" s="323">
        <f t="shared" si="642"/>
        <v>50.321396655852695</v>
      </c>
      <c r="HW59" s="323">
        <f t="shared" si="643"/>
        <v>1.2197497818850218</v>
      </c>
      <c r="HX59" s="320">
        <f t="shared" si="420"/>
        <v>1.5951545893719807</v>
      </c>
      <c r="HY59" s="323">
        <f t="shared" si="644"/>
        <v>6.755866189095018</v>
      </c>
      <c r="HZ59" s="323">
        <f t="shared" si="421"/>
        <v>92.783547195678324</v>
      </c>
      <c r="IB59" s="287" t="s">
        <v>39</v>
      </c>
      <c r="ID59" s="89" t="str">
        <f t="shared" si="645"/>
        <v>Malaysia Kuantan washed</v>
      </c>
      <c r="IE59" s="18">
        <f t="shared" si="646"/>
        <v>43934</v>
      </c>
      <c r="IF59" s="94">
        <f t="array" ref="IF59">INDEX('Indices Mines Exporting Ports'!E$20:E$51, MATCH(2,1/(('Indices Mines Exporting Ports'!$C$20:$C$51=$ID59)*('Indices Mines Exporting Ports'!$D$20:$D$51&lt;=$IE59))))</f>
        <v>0.43</v>
      </c>
      <c r="IG59" s="94">
        <f t="array" ref="IG59">INDEX('Indices Mines Exporting Ports'!F$20:F$51, MATCH(2,1/(('Indices Mines Exporting Ports'!$C$20:$C$51=$ID59)*('Indices Mines Exporting Ports'!$D$20:$D$51&lt;=$IE59))))</f>
        <v>0.38800000000000001</v>
      </c>
      <c r="IH59" s="95">
        <f t="array" ref="IH59">INDEX('Indices Mines Exporting Ports'!G$20:G$51, MATCH(2,1/(('Indices Mines Exporting Ports'!$C$20:$C$51=$ID59)*('Indices Mines Exporting Ports'!$D$20:$D$51&lt;=$IE59))))</f>
        <v>4.2000000000000003E-2</v>
      </c>
      <c r="II59" s="95">
        <f t="array" ref="II59">INDEX('Indices Mines Exporting Ports'!H$20:H$51, MATCH(2,1/(('Indices Mines Exporting Ports'!$C$20:$C$51=$ID59)*('Indices Mines Exporting Ports'!$D$20:$D$51&lt;=$IE59))))</f>
        <v>3.6999999999999998E-2</v>
      </c>
      <c r="IJ59" s="95">
        <f t="array" ref="IJ59">INDEX('Indices Mines Exporting Ports'!I$20:I$51, MATCH(2,1/(('Indices Mines Exporting Ports'!$C$20:$C$51=$ID59)*('Indices Mines Exporting Ports'!$D$20:$D$51&lt;=$IE59))))</f>
        <v>5.0000000000000044E-3</v>
      </c>
      <c r="IK59" s="94">
        <f t="array" ref="IK59">INDEX('Indices Mines Exporting Ports'!J$20:J$51, MATCH(2,1/(('Indices Mines Exporting Ports'!$C$20:$C$51=$ID59)*('Indices Mines Exporting Ports'!$D$20:$D$51&lt;=$IE59))))</f>
        <v>4.9999999999999836E-3</v>
      </c>
      <c r="IL59" s="94">
        <f t="array" ref="IL59">INDEX('Indices Mines Exporting Ports'!K$20:K$51, MATCH(2,1/(('Indices Mines Exporting Ports'!$C$20:$C$51=$ID59)*('Indices Mines Exporting Ports'!$D$20:$D$51&lt;=$IE59))))</f>
        <v>0.17</v>
      </c>
      <c r="IM59" s="93" t="str">
        <f t="array" ref="IM59">INDEX('Indices Mines Exporting Ports'!L$20:L$51, MATCH(2,1/(('Indices Mines Exporting Ports'!$C$20:$C$51=$ID59)*('Indices Mines Exporting Ports'!$D$20:$D$51&lt;=$IE59))))</f>
        <v>LT</v>
      </c>
      <c r="IN59" s="101">
        <f t="array" ref="IN59">INDEX('Indices Mines Exporting Ports'!M$20:M$51, MATCH(2,1/(('Indices Mines Exporting Ports'!$C$20:$C$51=$ID59)*('Indices Mines Exporting Ports'!$D$20:$D$51&lt;=$IE59))))</f>
        <v>1.17</v>
      </c>
      <c r="IO59" s="96">
        <f t="array" ref="IO59">INDEX('Indices Mines Exporting Ports'!N$20:N$51, MATCH(2,1/(('Indices Mines Exporting Ports'!$C$20:$C$51=$ID59)*('Indices Mines Exporting Ports'!$D$20:$D$51&lt;=$IE59))))</f>
        <v>55000</v>
      </c>
      <c r="IP59" s="95" t="str">
        <f t="array" ref="IP59">INDEX('Indices Mines Exporting Ports'!Q$20:Q$51, MATCH(2,1/(('Indices Mines Exporting Ports'!$C$20:$C$51=$ID59)*('Indices Mines Exporting Ports'!$D$20:$D$51&lt;=$IE59))))</f>
        <v>Kuantan_wharf</v>
      </c>
      <c r="IQ59" s="95" t="str">
        <f t="array" ref="IQ59">INDEX('Indices Mines Exporting Ports'!O$20:O$51, MATCH(2,1/(('Indices Mines Exporting Ports'!$C$20:$C$51=$ID59)*('Indices Mines Exporting Ports'!$D$20:$D$51&lt;=$IE59))))</f>
        <v>CBIX LT</v>
      </c>
      <c r="IR59" s="95" t="str">
        <f t="array" ref="IR59">INDEX('Indices Mines Exporting Ports'!P$20:P$51, MATCH(2,1/(('Indices Mines Exporting Ports'!$C$20:$C$51=$ID59)*('Indices Mines Exporting Ports'!$D$20:$D$51&lt;=$IE59))))</f>
        <v>CBIX LT</v>
      </c>
      <c r="IT59" s="287" t="s">
        <v>39</v>
      </c>
      <c r="IV59" s="292">
        <f>VLOOKUP($C59,'China Price Series'!$C$10:$D$1009,2,TRUE)/$JA59/(VLOOKUP($C59,'China Price Series'!$C$10:$E$1009,3,TRUE)*$JG59/$JF59)</f>
        <v>4.1416787371072177</v>
      </c>
      <c r="IW59" s="292">
        <f>VLOOKUP($C59,'China Price Series'!$G$10:$H$1009,2,TRUE)/$JA59/(VLOOKUP($C59,'China Price Series'!$G$10:$I$1009,3,TRUE))</f>
        <v>239.99706356533991</v>
      </c>
      <c r="IX59" s="292">
        <f>VLOOKUP($C59,'China Price Series'!$K$10:$L$1009,2,TRUE)/$JA59</f>
        <v>33.881938385695051</v>
      </c>
      <c r="IY59" s="292">
        <f>VLOOKUP($C59,'China Price Series'!$N$10:$O$1009,2,TRUE)/$JA59</f>
        <v>4.2352422982118814</v>
      </c>
      <c r="JA59" s="277">
        <f t="array" ref="JA59">INDEX('FX rates'!E$10:E$1009,MATCH(2,1/(('FX rates'!$D$10:$D$1009&lt;=Main!$C59)*(NOT(ISBLANK('FX rates'!E$10:E$1009))))))</f>
        <v>7.0834199999999994</v>
      </c>
      <c r="JB59" s="277">
        <f t="array" ref="JB59">INDEX('FX rates'!F$10:F$1009,MATCH(2,1/(('FX rates'!$D$10:$D$1009&lt;=Main!$C59)*(NOT(ISBLANK('FX rates'!F$10:F$1009))))))</f>
        <v>0.61160022139928016</v>
      </c>
      <c r="JC59" s="277">
        <f t="array" ref="JC59">INDEX('FX rates'!G$10:G$1009,MATCH(2,1/(('FX rates'!$D$10:$D$1009&lt;=Main!$C59)*(NOT(ISBLANK('FX rates'!G$10:G$1009))))))</f>
        <v>1</v>
      </c>
      <c r="JD59" s="277">
        <f t="array" ref="JD59">INDEX('FX rates'!H$10:H$1009,MATCH(2,1/(('FX rates'!$D$10:$D$1009&lt;=Main!$C59)*(NOT(ISBLANK('FX rates'!H$10:H$1009))))))</f>
        <v>1.35</v>
      </c>
      <c r="JF59" s="111">
        <f t="array" ref="JF59">INDEX('Global factors'!C$5:C$23,MATCH(2,1/(('Global factors'!$B$5:$B$23&lt;=Main!$C59)*(NOT(ISBLANK('Global factors'!C$5:C$23))))))</f>
        <v>239000</v>
      </c>
      <c r="JG59" s="112">
        <f t="array" ref="JG59">INDEX('Global factors'!D$5:D$23,MATCH(2,1/(('Global factors'!$B$5:$B$23&lt;=Main!$C59)*(NOT(ISBLANK('Global factors'!D$5:D$23))))))</f>
        <v>1000</v>
      </c>
      <c r="JH59" s="112">
        <f t="array" ref="JH59">INDEX('Global factors'!E$5:E$23,MATCH(2,1/(('Global factors'!$B$5:$B$23&lt;=Main!$C59)*(NOT(ISBLANK('Global factors'!E$5:E$23))))))</f>
        <v>24</v>
      </c>
      <c r="JI59" s="112">
        <f t="array" ref="JI59">INDEX('Global factors'!F$5:F$23,MATCH(2,1/(('Global factors'!$B$5:$B$23&lt;=Main!$C59)*(NOT(ISBLANK('Global factors'!F$5:F$23))))))</f>
        <v>2</v>
      </c>
      <c r="JJ59" s="117">
        <f t="array" ref="JJ59">INDEX('Global factors'!G$5:G$23,MATCH(2,1/(('Global factors'!$B$5:$B$23&lt;=Main!$C59)*(NOT(ISBLANK('Global factors'!G$5:G$23))))))</f>
        <v>0.08</v>
      </c>
      <c r="JK59" s="113">
        <f t="array" ref="JK59">INDEX('Global factors'!H$5:H$23,MATCH(2,1/(('Global factors'!$B$5:$B$23&lt;=Main!$C59)*(NOT(ISBLANK('Global factors'!H$5:H$23))))))</f>
        <v>101.96</v>
      </c>
      <c r="JL59" s="113">
        <f t="array" ref="JL59">INDEX('Global factors'!I$5:I$23,MATCH(2,1/(('Global factors'!$B$5:$B$23&lt;=Main!$C59)*(NOT(ISBLANK('Global factors'!I$5:I$23))))))</f>
        <v>60.08</v>
      </c>
      <c r="JM59" s="114">
        <f t="array" ref="JM59">INDEX('Global factors'!J$5:J$23,MATCH(2,1/(('Global factors'!$B$5:$B$23&lt;=Main!$C59)*(NOT(ISBLANK('Global factors'!J$5:J$23))))))</f>
        <v>0.84853528628495334</v>
      </c>
      <c r="JN59" s="115">
        <f t="array" ref="JN59">INDEX('Global factors'!K$5:K$23,MATCH(2,1/(('Global factors'!$B$5:$B$23&lt;=Main!$C59)*(NOT(ISBLANK('Global factors'!K$5:K$23))))))</f>
        <v>0.97499999999999998</v>
      </c>
      <c r="JO59" s="116">
        <f t="array" ref="JO59">INDEX('Global factors'!L$5:L$23,MATCH(2,1/(('Global factors'!$B$5:$B$23&lt;=Main!$C59)*(NOT(ISBLANK('Global factors'!L$5:L$23))))))</f>
        <v>8.7299999999999997E-4</v>
      </c>
      <c r="JP59" s="116">
        <f t="array" ref="JP59">INDEX('Global factors'!M$5:M$23,MATCH(2,1/(('Global factors'!$B$5:$B$23&lt;=Main!$C59)*(NOT(ISBLANK('Global factors'!M$5:M$23))))))</f>
        <v>145.88999999999999</v>
      </c>
      <c r="JQ59" s="116">
        <f t="array" ref="JQ59">INDEX('Global factors'!N$5:N$23,MATCH(2,1/(('Global factors'!$B$5:$B$23&lt;=Main!$C59)*(NOT(ISBLANK('Global factors'!N$5:N$23))))))</f>
        <v>0.40339999999999998</v>
      </c>
      <c r="JR59" s="116">
        <f t="array" ref="JR59">INDEX('Global factors'!O$5:O$23,MATCH(2,1/(('Global factors'!$B$5:$B$23&lt;=Main!$C59)*(NOT(ISBLANK('Global factors'!O$5:O$23))))))</f>
        <v>0</v>
      </c>
      <c r="JS59" s="116">
        <f t="array" ref="JS59">INDEX('Global factors'!P$5:P$23,MATCH(2,1/(('Global factors'!$B$5:$B$23&lt;=Main!$C59)*(NOT(ISBLANK('Global factors'!P$5:P$23))))))</f>
        <v>0.51890000000000003</v>
      </c>
      <c r="JT59" s="116">
        <f t="array" ref="JT59">INDEX('Global factors'!Q$5:Q$23,MATCH(2,1/(('Global factors'!$B$5:$B$23&lt;=Main!$C59)*(NOT(ISBLANK('Global factors'!Q$5:Q$23))))))</f>
        <v>4797</v>
      </c>
      <c r="JU59" s="116">
        <f t="array" ref="JU59">INDEX('Global factors'!R$5:R$23,MATCH(2,1/(('Global factors'!$B$5:$B$23&lt;=Main!$C59)*(NOT(ISBLANK('Global factors'!R$5:R$23))))))</f>
        <v>7</v>
      </c>
      <c r="JV59" s="115">
        <f t="array" ref="JV59">INDEX('Global factors'!S$5:S$23,MATCH(2,1/(('Global factors'!$B$5:$B$23&lt;=Main!$C59)*(NOT(ISBLANK('Global factors'!S$5:S$23))))))</f>
        <v>0.12</v>
      </c>
      <c r="JW59" s="115">
        <f t="array" ref="JW59">INDEX('Global factors'!T$5:T$23,MATCH(2,1/(('Global factors'!$B$5:$B$23&lt;=Main!$C59)*(NOT(ISBLANK('Global factors'!T$5:T$23))))))</f>
        <v>0.5</v>
      </c>
      <c r="JX59" s="116">
        <f t="array" ref="JX59">INDEX('Global factors'!U$5:U$23,MATCH(2,1/(('Global factors'!$B$5:$B$23&lt;=Main!$C59)*(NOT(ISBLANK('Global factors'!U$5:U$23))))))</f>
        <v>0.5</v>
      </c>
      <c r="JY59" s="116">
        <f t="array" ref="JY59">INDEX('Global factors'!V$5:V$23,MATCH(2,1/(('Global factors'!$B$5:$B$23&lt;=Main!$C59)*(NOT(ISBLANK('Global factors'!V$5:V$23))))))</f>
        <v>10000</v>
      </c>
      <c r="JZ59" s="116">
        <f t="array" ref="JZ59">INDEX('Global factors'!W$5:W$23,MATCH(2,1/(('Global factors'!$B$5:$B$23&lt;=Main!$C59)*(NOT(ISBLANK('Global factors'!W$5:W$23))))))</f>
        <v>0.10680000000000001</v>
      </c>
      <c r="KA59" s="116">
        <f t="array" ref="KA59">INDEX('Global factors'!X$5:X$23,MATCH(2,1/(('Global factors'!$B$5:$B$23&lt;=Main!$C59)*(NOT(ISBLANK('Global factors'!X$5:X$23))))))</f>
        <v>1.2</v>
      </c>
      <c r="KB59" s="116">
        <v>0</v>
      </c>
      <c r="KC59" s="272">
        <f t="array" ref="KC59">INDEX('Global factors'!Y$5:Y$23,MATCH(2,1/(('Global factors'!$B$5:$B$23&lt;=Main!$C59)*(NOT(ISBLANK('Global factors'!Y$5:Y$23))))))</f>
        <v>23643.7088248818</v>
      </c>
      <c r="KD59" s="273">
        <f t="array" ref="KD59">INDEX('Global factors'!Z$5:Z$23,MATCH(2,1/(('Global factors'!$B$5:$B$23&lt;=Main!$C59)*(NOT(ISBLANK('Global factors'!Z$5:Z$23))))))</f>
        <v>0.62802869915581405</v>
      </c>
      <c r="KE59" s="273">
        <v>0</v>
      </c>
      <c r="KF59" s="273">
        <v>0</v>
      </c>
      <c r="KG59" s="116">
        <v>0</v>
      </c>
      <c r="KH59" s="116">
        <f t="array" ref="KH59">INDEX('Global factors'!AB$5:AB$23,MATCH(2,1/(('Global factors'!$B$5:$B$23&lt;=Main!$C59)*(NOT(ISBLANK('Global factors'!AB$5:AB$23))))))</f>
        <v>6.2556361557795204E-2</v>
      </c>
      <c r="KI59" s="116">
        <f t="array" ref="KI59">INDEX('Global factors'!AC$5:AC$23,MATCH(2,1/(('Global factors'!$B$5:$B$23&lt;=Main!$C59)*(NOT(ISBLANK('Global factors'!AC$5:AC$23))))))</f>
        <v>8.6923129044225601E-4</v>
      </c>
      <c r="KJ59" s="116">
        <f t="array" ref="KJ59">INDEX('Global factors'!AD$5:AD$23,MATCH(2,1/(('Global factors'!$B$5:$B$23&lt;=Main!$C59)*(NOT(ISBLANK('Global factors'!AD$5:AD$23))))))</f>
        <v>1.1499999999999999</v>
      </c>
      <c r="KK59" s="116" t="str">
        <f t="array" ref="KK59">INDEX('Global factors'!AE$5:AE$23,MATCH(2,1/(('Global factors'!$B$5:$B$23&lt;=Main!$C59)*(NOT(ISBLANK('Global factors'!AE$5:AE$23))))))</f>
        <v>Qingdao</v>
      </c>
      <c r="KL59" s="290">
        <f t="array" ref="KL59">INDEX('Global factors'!AF$5:AF$23,MATCH(2,1/(('Global factors'!$B$5:$B$23&lt;=Main!$C59)*(NOT(ISBLANK('Global factors'!AF$5:AF$23))))))</f>
        <v>3.0000000000000001E-3</v>
      </c>
      <c r="KM59" s="290"/>
      <c r="KO59" s="287" t="s">
        <v>39</v>
      </c>
      <c r="KQ59" s="25">
        <f t="shared" si="647"/>
        <v>92678.40593141799</v>
      </c>
      <c r="KR59" s="4" t="str">
        <f>VLOOKUP(KQ59,'Ship Time Charter Rates'!$F$10:$G$17,2,TRUE)</f>
        <v>Panamax</v>
      </c>
      <c r="KS59" s="4" t="str">
        <f>VLOOKUP(KQ59,Canals!$E$5:$F$12,2,TRUE)</f>
        <v>Panamax</v>
      </c>
      <c r="KT59" s="25">
        <f t="shared" si="648"/>
        <v>226.79824837812788</v>
      </c>
      <c r="KU59" s="25">
        <f t="shared" si="649"/>
        <v>37386.468952734016</v>
      </c>
      <c r="KV59" s="25">
        <f t="shared" si="650"/>
        <v>52887.824837812797</v>
      </c>
      <c r="KX59" s="75">
        <f t="array" ref="KX59">INDEX('Indices Mines Exporting Ports'!$R$20:$R$51,MATCH(2,1/(('Indices Mines Exporting Ports'!$D$20:$D$51&lt;=Main!$C59)*('Indices Mines Exporting Ports'!$Q$20:$Q$51=$AP59))))</f>
        <v>30000</v>
      </c>
      <c r="KY59" s="75">
        <f t="array" ref="KY59">INDEX('Indices Mines Exporting Ports'!$S$20:$S$51,MATCH(2,1/(('Indices Mines Exporting Ports'!$D$20:$D$51&lt;=Main!$C59)*('Indices Mines Exporting Ports'!$Q$20:$Q$51=$AP59))))</f>
        <v>30000</v>
      </c>
      <c r="KZ59" s="75">
        <f t="array" ref="KZ59">INDEX('Indices Mines Exporting Ports'!$T$20:$T$51,MATCH(2,1/(('Indices Mines Exporting Ports'!$D$20:$D$51&lt;=Main!$C59)*('Indices Mines Exporting Ports'!$Q$20:$Q$51=$AP59))))</f>
        <v>30000</v>
      </c>
      <c r="LA59" s="75">
        <f t="array" ref="LA59">INDEX('Indices Mines Exporting Ports'!$U$20:$U$51,MATCH(2,1/(('Indices Mines Exporting Ports'!$D$20:$D$51&lt;=Main!$C59)*('Indices Mines Exporting Ports'!$Q$20:$Q$51=$AP59))))</f>
        <v>30000</v>
      </c>
      <c r="LB59" s="75">
        <f t="array" ref="LB59">INDEX('Indices Mines Exporting Ports'!$V$20:$V$51,MATCH(2,1/(('Indices Mines Exporting Ports'!$D$20:$D$51&lt;=Main!$C59)*('Indices Mines Exporting Ports'!$Q$20:$Q$51=$AP59))))</f>
        <v>30000</v>
      </c>
      <c r="LC59" s="75">
        <f t="array" ref="LC59">INDEX('Indices Mines Exporting Ports'!$W$20:$W$51,MATCH(2,1/(('Indices Mines Exporting Ports'!$D$20:$D$51&lt;=Main!$C59)*('Indices Mines Exporting Ports'!$Q$20:$Q$51=$AP59))))</f>
        <v>30000</v>
      </c>
      <c r="LD59" s="75">
        <f t="array" ref="LD59">INDEX('Indices Mines Exporting Ports'!$X$20:$X$51,MATCH(2,1/(('Indices Mines Exporting Ports'!$D$20:$D$51&lt;=Main!$C59)*('Indices Mines Exporting Ports'!$Q$20:$Q$51=$AP59))))</f>
        <v>30000</v>
      </c>
      <c r="LF59" s="75">
        <f t="array" ref="LF59">INDEX('Port Linkages'!$E$18:$E$157,MATCH(2,1/(('Port Linkages'!$C$18:$C$157=$AP59)*('Port Linkages'!$D$18:$D$157=IF($AO59="Yes",$AQ59,$AS59))*('Port Linkages'!$A$18:$A$157&lt;=$C59))))</f>
        <v>2604</v>
      </c>
      <c r="LG59" s="75">
        <f t="array" ref="LG59">INDEX('Port Linkages'!$F$18:$F$157,MATCH(2,1/(('Port Linkages'!$C$18:$C$157=$AP59)*('Port Linkages'!$D$18:$D$157=IF($AO59="Yes",$AQ59,$AS59))*('Port Linkages'!$A$18:$A$157&lt;=$C59))))</f>
        <v>0</v>
      </c>
      <c r="LH59" s="75" t="str">
        <f t="array" ref="LH59">INDEX('Port Linkages'!$G$18:$G$157,MATCH(2,1/(('Port Linkages'!$C$18:$C$157=$AP59)*('Port Linkages'!$D$18:$D$157=IF($AO59="Yes",$AQ59,$AS59))*('Port Linkages'!$A$18:$A$157&lt;=$C59))))</f>
        <v>VLOC_General</v>
      </c>
      <c r="LI59" s="75" t="str">
        <f t="array" ref="LI59">INDEX('Port Linkages'!$H$18:$H$157,MATCH(2,1/(('Port Linkages'!$C$18:$C$157=$AP59)*('Port Linkages'!$D$18:$D$157=IF($AO59="Yes",$AQ59,$AS59))*('Port Linkages'!$A$18:$A$157&lt;=$C59))))</f>
        <v>Singapore</v>
      </c>
      <c r="LJ59" s="75" t="str">
        <f t="array" ref="LJ59">INDEX('Port Linkages'!$I$18:$I$157,MATCH(2,1/(('Port Linkages'!$C$18:$C$157=$AP59)*('Port Linkages'!$D$18:$D$157=IF($AO59="Yes",$AQ59,$AS59))*('Port Linkages'!$A$18:$A$157&lt;=$C59))))</f>
        <v>VLSFO</v>
      </c>
      <c r="LK59" s="75" t="str">
        <f t="array" ref="LK59">INDEX('Port Linkages'!$J$18:$J$157,MATCH(2,1/(('Port Linkages'!$C$18:$C$157=$AP59)*('Port Linkages'!$D$18:$D$157=IF($AO59="Yes",$AQ59,$AS59))*('Port Linkages'!$A$18:$A$157&lt;=$C59))))</f>
        <v>MGO_Regular</v>
      </c>
      <c r="LL59" s="75" t="str">
        <f t="array" ref="LL59">INDEX('Port Linkages'!$K$18:$K$157,MATCH(2,1/(('Port Linkages'!$C$18:$C$157=$AP59)*('Port Linkages'!$D$18:$D$157=IF($AO59="Yes",$AQ59,$AS59))*('Port Linkages'!$A$18:$A$157&lt;=$C59))))</f>
        <v>none</v>
      </c>
      <c r="LM59" s="75">
        <f t="array" ref="LM59">INDEX('Port Linkages'!$L$18:$L$157,MATCH(2,1/(('Port Linkages'!$C$18:$C$157=$AP59)*('Port Linkages'!$D$18:$D$157=IF($AO59="Yes",$AQ59,$AS59))*('Port Linkages'!$A$18:$A$157&lt;=$C59))))</f>
        <v>2604</v>
      </c>
      <c r="LN59" s="75">
        <f t="array" ref="LN59">INDEX('Port Linkages'!$M$18:$M$157,MATCH(2,1/(('Port Linkages'!$C$18:$C$157=$AP59)*('Port Linkages'!$D$18:$D$157=IF($AO59="Yes",$AQ59,$AS59))*('Port Linkages'!$A$18:$A$157&lt;=$C59))))</f>
        <v>0</v>
      </c>
      <c r="LO59" s="75" t="str">
        <f t="array" ref="LO59">INDEX('Port Linkages'!$N$18:$N$157,MATCH(2,1/(('Port Linkages'!$C$18:$C$157=$AP59)*('Port Linkages'!$D$18:$D$157=IF($AO59="Yes",$AQ59,$AS59))*('Port Linkages'!$A$18:$A$157&lt;=$C59))))</f>
        <v>Capesize_General</v>
      </c>
      <c r="LP59" s="75" t="str">
        <f t="array" ref="LP59">INDEX('Port Linkages'!$O$18:$O$157,MATCH(2,1/(('Port Linkages'!$C$18:$C$157=$AP59)*('Port Linkages'!$D$18:$D$157=IF($AO59="Yes",$AQ59,$AS59))*('Port Linkages'!$A$18:$A$157&lt;=$C59))))</f>
        <v>Singapore</v>
      </c>
      <c r="LQ59" s="75" t="str">
        <f t="array" ref="LQ59">INDEX('Port Linkages'!$P$18:$P$157,MATCH(2,1/(('Port Linkages'!$C$18:$C$157=$AP59)*('Port Linkages'!$D$18:$D$157=IF($AO59="Yes",$AQ59,$AS59))*('Port Linkages'!$A$18:$A$157&lt;=$C59))))</f>
        <v>VLSFO</v>
      </c>
      <c r="LR59" s="75" t="str">
        <f t="array" ref="LR59">INDEX('Port Linkages'!$Q$18:$Q$157,MATCH(2,1/(('Port Linkages'!$C$18:$C$157=$AP59)*('Port Linkages'!$D$18:$D$157=IF($AO59="Yes",$AQ59,$AS59))*('Port Linkages'!$A$18:$A$157&lt;=$C59))))</f>
        <v>MGO_Regular</v>
      </c>
      <c r="LS59" s="75" t="str">
        <f t="array" ref="LS59">INDEX('Port Linkages'!$R$18:$R$157,MATCH(2,1/(('Port Linkages'!$C$18:$C$157=$AP59)*('Port Linkages'!$D$18:$D$157=IF($AO59="Yes",$AQ59,$AS59))*('Port Linkages'!$A$18:$A$157&lt;=$C59))))</f>
        <v>none</v>
      </c>
      <c r="LT59" s="75">
        <f t="array" ref="LT59">INDEX('Port Linkages'!$S$18:$S$157,MATCH(2,1/(('Port Linkages'!$C$18:$C$157=$AP59)*('Port Linkages'!$D$18:$D$157=IF($AO59="Yes",$AQ59,$AS59))*('Port Linkages'!$A$18:$A$157&lt;=$C59))))</f>
        <v>2604</v>
      </c>
      <c r="LU59" s="75">
        <f t="array" ref="LU59">INDEX('Port Linkages'!$T$18:$T$157,MATCH(2,1/(('Port Linkages'!$C$18:$C$157=$AP59)*('Port Linkages'!$D$18:$D$157=IF($AO59="Yes",$AQ59,$AS59))*('Port Linkages'!$A$18:$A$157&lt;=$C59))))</f>
        <v>0</v>
      </c>
      <c r="LV59" s="75" t="str">
        <f t="array" ref="LV59">INDEX('Port Linkages'!$U$18:$U$157,MATCH(2,1/(('Port Linkages'!$C$18:$C$157=$AP59)*('Port Linkages'!$D$18:$D$157=IF($AO59="Yes",$AQ59,$AS59))*('Port Linkages'!$A$18:$A$157&lt;=$C59))))</f>
        <v>Capesize_General</v>
      </c>
      <c r="LW59" s="75" t="str">
        <f t="array" ref="LW59">INDEX('Port Linkages'!$V$18:$V$157,MATCH(2,1/(('Port Linkages'!$C$18:$C$157=$AP59)*('Port Linkages'!$D$18:$D$157=IF($AO59="Yes",$AQ59,$AS59))*('Port Linkages'!$A$18:$A$157&lt;=$C59))))</f>
        <v>Singapore</v>
      </c>
      <c r="LX59" s="75" t="str">
        <f t="array" ref="LX59">INDEX('Port Linkages'!$W$18:$W$157,MATCH(2,1/(('Port Linkages'!$C$18:$C$157=$AP59)*('Port Linkages'!$D$18:$D$157=IF($AO59="Yes",$AQ59,$AS59))*('Port Linkages'!$A$18:$A$157&lt;=$C59))))</f>
        <v>VLSFO</v>
      </c>
      <c r="LY59" s="75" t="str">
        <f t="array" ref="LY59">INDEX('Port Linkages'!$X$18:$X$157,MATCH(2,1/(('Port Linkages'!$C$18:$C$157=$AP59)*('Port Linkages'!$D$18:$D$157=IF($AO59="Yes",$AQ59,$AS59))*('Port Linkages'!$A$18:$A$157&lt;=$C59))))</f>
        <v>MGO_Regular</v>
      </c>
      <c r="LZ59" s="75" t="str">
        <f t="array" ref="LZ59">INDEX('Port Linkages'!$Y$18:$Y$157,MATCH(2,1/(('Port Linkages'!$C$18:$C$157=$AP59)*('Port Linkages'!$D$18:$D$157=IF($AO59="Yes",$AQ59,$AS59))*('Port Linkages'!$A$18:$A$157&lt;=$C59))))</f>
        <v>none</v>
      </c>
      <c r="MA59" s="75">
        <f t="array" ref="MA59">INDEX('Port Linkages'!$Z$18:$Z$157,MATCH(2,1/(('Port Linkages'!$C$18:$C$157=$AP59)*('Port Linkages'!$D$18:$D$157=IF($AO59="Yes",$AQ59,$AS59))*('Port Linkages'!$A$18:$A$157&lt;=$C59))))</f>
        <v>2604</v>
      </c>
      <c r="MB59" s="75">
        <f t="array" ref="MB59">INDEX('Port Linkages'!$AA$18:$AA$157,MATCH(2,1/(('Port Linkages'!$C$18:$C$157=$AP59)*('Port Linkages'!$D$18:$D$157=IF($AO59="Yes",$AQ59,$AS59))*('Port Linkages'!$A$18:$A$157&lt;=$C59))))</f>
        <v>0</v>
      </c>
      <c r="MC59" s="75" t="str">
        <f t="array" ref="MC59">INDEX('Port Linkages'!$AB$18:$AB$157,MATCH(2,1/(('Port Linkages'!$C$18:$C$157=$AP59)*('Port Linkages'!$D$18:$D$157=IF($AO59="Yes",$AQ59,$AS59))*('Port Linkages'!$A$18:$A$157&lt;=$C59))))</f>
        <v>Capesize_General</v>
      </c>
      <c r="MD59" s="75" t="str">
        <f t="array" ref="MD59">INDEX('Port Linkages'!$AC$18:$AC$157,MATCH(2,1/(('Port Linkages'!$C$18:$C$157=$AP59)*('Port Linkages'!$D$18:$D$157=IF($AO59="Yes",$AQ59,$AS59))*('Port Linkages'!$A$18:$A$157&lt;=$C59))))</f>
        <v>Singapore</v>
      </c>
      <c r="ME59" s="75" t="str">
        <f t="array" ref="ME59">INDEX('Port Linkages'!$AD$18:$AD$157,MATCH(2,1/(('Port Linkages'!$C$18:$C$157=$AP59)*('Port Linkages'!$D$18:$D$157=IF($AO59="Yes",$AQ59,$AS59))*('Port Linkages'!$A$18:$A$157&lt;=$C59))))</f>
        <v>VLSFO</v>
      </c>
      <c r="MF59" s="75" t="str">
        <f t="array" ref="MF59">INDEX('Port Linkages'!$AE$18:$AE$157,MATCH(2,1/(('Port Linkages'!$C$18:$C$157=$AP59)*('Port Linkages'!$D$18:$D$157=IF($AO59="Yes",$AQ59,$AS59))*('Port Linkages'!$A$18:$A$157&lt;=$C59))))</f>
        <v>MGO_Regular</v>
      </c>
      <c r="MG59" s="75" t="str">
        <f t="array" ref="MG59">INDEX('Port Linkages'!$AF$18:$AF$157,MATCH(2,1/(('Port Linkages'!$C$18:$C$157=$AP59)*('Port Linkages'!$D$18:$D$157=IF($AO59="Yes",$AQ59,$AS59))*('Port Linkages'!$A$18:$A$157&lt;=$C59))))</f>
        <v>none</v>
      </c>
      <c r="MH59" s="75">
        <f t="array" ref="MH59">INDEX('Port Linkages'!$AG$18:$AG$157,MATCH(2,1/(('Port Linkages'!$C$18:$C$157=$AP59)*('Port Linkages'!$D$18:$D$157=IF($AO59="Yes",$AQ59,$AS59))*('Port Linkages'!$A$18:$A$157&lt;=$C59))))</f>
        <v>2604</v>
      </c>
      <c r="MI59" s="75">
        <f t="array" ref="MI59">INDEX('Port Linkages'!$AH$18:$AH$157,MATCH(2,1/(('Port Linkages'!$C$18:$C$157=$AP59)*('Port Linkages'!$D$18:$D$157=IF($AO59="Yes",$AQ59,$AS59))*('Port Linkages'!$A$18:$A$157&lt;=$C59))))</f>
        <v>0</v>
      </c>
      <c r="MJ59" s="75" t="str">
        <f t="array" ref="MJ59">INDEX('Port Linkages'!$AI$18:$AI$157,MATCH(2,1/(('Port Linkages'!$C$18:$C$157=$AP59)*('Port Linkages'!$D$18:$D$157=IF($AO59="Yes",$AQ59,$AS59))*('Port Linkages'!$A$18:$A$157&lt;=$C59))))</f>
        <v>Panamax_General</v>
      </c>
      <c r="MK59" s="75" t="str">
        <f t="array" ref="MK59">INDEX('Port Linkages'!$AJ$18:$AJ$157,MATCH(2,1/(('Port Linkages'!$C$18:$C$157=$AP59)*('Port Linkages'!$D$18:$D$157=IF($AO59="Yes",$AQ59,$AS59))*('Port Linkages'!$A$18:$A$157&lt;=$C59))))</f>
        <v>Singapore</v>
      </c>
      <c r="ML59" s="75" t="str">
        <f t="array" ref="ML59">INDEX('Port Linkages'!$AK$18:$AK$157,MATCH(2,1/(('Port Linkages'!$C$18:$C$157=$AP59)*('Port Linkages'!$D$18:$D$157=IF($AO59="Yes",$AQ59,$AS59))*('Port Linkages'!$A$18:$A$157&lt;=$C59))))</f>
        <v>VLSFO</v>
      </c>
      <c r="MM59" s="75" t="str">
        <f t="array" ref="MM59">INDEX('Port Linkages'!$AL$18:$AL$157,MATCH(2,1/(('Port Linkages'!$C$18:$C$157=$AP59)*('Port Linkages'!$D$18:$D$157=IF($AO59="Yes",$AQ59,$AS59))*('Port Linkages'!$A$18:$A$157&lt;=$C59))))</f>
        <v>MGO_Regular</v>
      </c>
      <c r="MN59" s="75" t="str">
        <f t="array" ref="MN59">INDEX('Port Linkages'!$AM$18:$AM$157,MATCH(2,1/(('Port Linkages'!$C$18:$C$157=$AP59)*('Port Linkages'!$D$18:$D$157=IF($AO59="Yes",$AQ59,$AS59))*('Port Linkages'!$A$18:$A$157&lt;=$C59))))</f>
        <v>none</v>
      </c>
      <c r="MO59" s="75">
        <f t="array" ref="MO59">INDEX('Port Linkages'!$AN$18:$AN$157,MATCH(2,1/(('Port Linkages'!$C$18:$C$157=$AP59)*('Port Linkages'!$D$18:$D$157=IF($AO59="Yes",$AQ59,$AS59))*('Port Linkages'!$A$18:$A$157&lt;=$C59))))</f>
        <v>2604</v>
      </c>
      <c r="MP59" s="75">
        <f t="array" ref="MP59">INDEX('Port Linkages'!$AO$18:$AO$157,MATCH(2,1/(('Port Linkages'!$C$18:$C$157=$AP59)*('Port Linkages'!$D$18:$D$157=IF($AO59="Yes",$AQ59,$AS59))*('Port Linkages'!$A$18:$A$157&lt;=$C59))))</f>
        <v>0</v>
      </c>
      <c r="MQ59" s="75" t="str">
        <f t="array" ref="MQ59">INDEX('Port Linkages'!$AP$18:$AP$157,MATCH(2,1/(('Port Linkages'!$C$18:$C$157=$AP59)*('Port Linkages'!$D$18:$D$157=IF($AO59="Yes",$AQ59,$AS59))*('Port Linkages'!$A$18:$A$157&lt;=$C59))))</f>
        <v>Supramax_General</v>
      </c>
      <c r="MR59" s="75" t="str">
        <f t="array" ref="MR59">INDEX('Port Linkages'!$AQ$18:$AQ$157,MATCH(2,1/(('Port Linkages'!$C$18:$C$157=$AP59)*('Port Linkages'!$D$18:$D$157=IF($AO59="Yes",$AQ59,$AS59))*('Port Linkages'!$A$18:$A$157&lt;=$C59))))</f>
        <v>Singapore</v>
      </c>
      <c r="MS59" s="75" t="str">
        <f t="array" ref="MS59">INDEX('Port Linkages'!$AR$18:$AR$157,MATCH(2,1/(('Port Linkages'!$C$18:$C$157=$AP59)*('Port Linkages'!$D$18:$D$157=IF($AO59="Yes",$AQ59,$AS59))*('Port Linkages'!$A$18:$A$157&lt;=$C59))))</f>
        <v>VLSFO</v>
      </c>
      <c r="MT59" s="75" t="str">
        <f t="array" ref="MT59">INDEX('Port Linkages'!$AS$18:$AS$157,MATCH(2,1/(('Port Linkages'!$C$18:$C$157=$AP59)*('Port Linkages'!$D$18:$D$157=IF($AO59="Yes",$AQ59,$AS59))*('Port Linkages'!$A$18:$A$157&lt;=$C59))))</f>
        <v>MGO_Regular</v>
      </c>
      <c r="MU59" s="75" t="str">
        <f t="array" ref="MU59">INDEX('Port Linkages'!$AT$18:$AT$157,MATCH(2,1/(('Port Linkages'!$C$18:$C$157=$AP59)*('Port Linkages'!$D$18:$D$157=IF($AO59="Yes",$AQ59,$AS59))*('Port Linkages'!$A$18:$A$157&lt;=$C59))))</f>
        <v>none</v>
      </c>
      <c r="MV59" s="75">
        <f t="array" ref="MV59">INDEX('Port Linkages'!$AU$18:$AU$157,MATCH(2,1/(('Port Linkages'!$C$18:$C$157=$AP59)*('Port Linkages'!$D$18:$D$157=IF($AO59="Yes",$AQ59,$AS59))*('Port Linkages'!$A$18:$A$157&lt;=$C59))))</f>
        <v>2604</v>
      </c>
      <c r="MW59" s="75">
        <f t="array" ref="MW59">INDEX('Port Linkages'!$AV$18:$AV$157,MATCH(2,1/(('Port Linkages'!$C$18:$C$157=$AP59)*('Port Linkages'!$D$18:$D$157=IF($AO59="Yes",$AQ59,$AS59))*('Port Linkages'!$A$18:$A$157&lt;=$C59))))</f>
        <v>0</v>
      </c>
      <c r="MX59" s="75" t="str">
        <f t="array" ref="MX59">INDEX('Port Linkages'!$AW$18:$AW$157,MATCH(2,1/(('Port Linkages'!$C$18:$C$157=$AP59)*('Port Linkages'!$D$18:$D$157=IF($AO59="Yes",$AQ59,$AS59))*('Port Linkages'!$A$18:$A$157&lt;=$C59))))</f>
        <v>Handysize_General</v>
      </c>
      <c r="MY59" s="75" t="str">
        <f t="array" ref="MY59">INDEX('Port Linkages'!$AX$18:$AX$157,MATCH(2,1/(('Port Linkages'!$C$18:$C$157=$AP59)*('Port Linkages'!$D$18:$D$157=IF($AO59="Yes",$AQ59,$AS59))*('Port Linkages'!$A$18:$A$157&lt;=$C59))))</f>
        <v>Singapore</v>
      </c>
      <c r="MZ59" s="75" t="str">
        <f t="array" ref="MZ59">INDEX('Port Linkages'!$AY$18:$AY$157,MATCH(2,1/(('Port Linkages'!$C$18:$C$157=$AP59)*('Port Linkages'!$D$18:$D$157=IF($AO59="Yes",$AQ59,$AS59))*('Port Linkages'!$A$18:$A$157&lt;=$C59))))</f>
        <v>VLSFO</v>
      </c>
      <c r="NA59" s="75" t="str">
        <f t="array" ref="NA59">INDEX('Port Linkages'!$AZ$18:$AZ$157,MATCH(2,1/(('Port Linkages'!$C$18:$C$157=$AP59)*('Port Linkages'!$D$18:$D$157=IF($AO59="Yes",$AQ59,$AS59))*('Port Linkages'!$A$18:$A$157&lt;=$C59))))</f>
        <v>MGO_Regular</v>
      </c>
      <c r="NB59" s="75" t="str">
        <f t="array" ref="NB59">INDEX('Port Linkages'!$BA$18:$BA$157,MATCH(2,1/(('Port Linkages'!$C$18:$C$157=$AP59)*('Port Linkages'!$D$18:$D$157=IF($AO59="Yes",$AQ59,$AS59))*('Port Linkages'!$A$18:$A$157&lt;=$C59))))</f>
        <v>none</v>
      </c>
      <c r="ND59" s="25" t="e">
        <f t="array" aca="1" ref="ND59" ca="1">INDEX('Ship Fuel Prices'!$F$5:$F$1004,MATCH(2,1/(('Ship Fuel Prices'!$E$5:$E$1004=_xlfn.IFS(KS59="Handysize",Main!MY59,KS59="Supramax",MR59,KS59="Panamax",MK59,KS59="NeoPanamax",MD59,KS59="Suezmax",LW59,KS59="Capesize",LP59,KS59="VLOC",LI59))*('Ship Fuel Prices'!$D$5:$D$1004&lt;=Main!$C59))))</f>
        <v>#N/A</v>
      </c>
      <c r="NE59" s="25" t="e">
        <f t="array" aca="1" ref="NE59" ca="1">INDEX('Ship Fuel Prices'!$G$5:$G$1004,MATCH(2,1/(('Ship Fuel Prices'!$E$5:$E$1004=_xlfn.IFS(KS59="Handysize",Main!MY59,KS59="Supramax",MR59,KS59="Panamax",MK59,KS59="NeoPanamax",MD59,KS59="Suezmax",LW59,KS59="Capesize",LP59,KS59="VLOC",LI59))*('Ship Fuel Prices'!$D$5:$D$1004&lt;=Main!$C59))))</f>
        <v>#N/A</v>
      </c>
      <c r="NF59" s="25" t="e">
        <f t="array" aca="1" ref="NF59" ca="1">INDEX('Ship Fuel Prices'!$H$5:$H$1004,MATCH(2,1/(('Ship Fuel Prices'!$E$5:$E$1004=_xlfn.IFS(KS59="Handysize",Main!MY59,KS59="Supramax",MR59,KS59="Panamax",MK59,KS59="NeoPanamax",MD59,KS59="Suezmax",LW59,KS59="Capesize",LP59,KS59="VLOC",LI59))*('Ship Fuel Prices'!$D$5:$D$1004&lt;=Main!$C59))))</f>
        <v>#N/A</v>
      </c>
      <c r="NG59" s="25" t="e">
        <f t="array" aca="1" ref="NG59" ca="1">INDEX('Ship Fuel Prices'!$I$5:$I$1004,MATCH(2,1/(('Ship Fuel Prices'!$E$5:$E$1004=_xlfn.IFS(KS59="Handysize",Main!MY59,KS59="Supramax",MR59,KS59="Panamax",MK59,KS59="NeoPanamax",MD59,KS59="Suezmax",LW59,KS59="Capesize",LP59,KS59="VLOC",LI59))*('Ship Fuel Prices'!$D$5:$D$1004&lt;=Main!$C59))))</f>
        <v>#N/A</v>
      </c>
      <c r="NH59" s="25" t="e">
        <f t="array" aca="1" ref="NH59" ca="1">INDEX('Ship Fuel Prices'!$J$5:$J$1004,MATCH(2,1/(('Ship Fuel Prices'!$E$5:$E$1004=_xlfn.IFS(KS59="Handysize",Main!MY59,KS59="Supramax",MR59,KS59="Panamax",MK59,KS59="NeoPanamax",MD59,KS59="Suezmax",LW59,KS59="Capesize",LP59,KS59="VLOC",LI59))*('Ship Fuel Prices'!$D$5:$D$1004&lt;=Main!$C59))))</f>
        <v>#N/A</v>
      </c>
      <c r="NJ59" s="75">
        <f t="array" ref="NJ59">INDEX('China n Importing Ports'!$E$20:$E$41,MATCH(2,1/(('China n Importing Ports'!$D$20:$D$41&lt;=$C59)*('China n Importing Ports'!$C$20:$C$41=IF($AO59="Yes",$AQ59,$AS59)))))</f>
        <v>42500</v>
      </c>
      <c r="NK59" s="75">
        <f t="array" ref="NK59">INDEX('China n Importing Ports'!$F$20:$F$41,MATCH(2,1/(('China n Importing Ports'!$D$20:$D$41&lt;=$C59)*('China n Importing Ports'!$C$20:$C$41=IF($AO59="Yes",$AQ59,$AS59)))))</f>
        <v>42500</v>
      </c>
      <c r="NL59" s="75">
        <f t="array" ref="NL59">INDEX('China n Importing Ports'!$G$20:$G$41,MATCH(2,1/(('China n Importing Ports'!$D$20:$D$41&lt;=$C59)*('China n Importing Ports'!$C$20:$C$41=IF($AO59="Yes",$AQ59,$AS59)))))</f>
        <v>42500</v>
      </c>
      <c r="NM59" s="75">
        <f t="array" ref="NM59">INDEX('China n Importing Ports'!$H$20:$H$41,MATCH(2,1/(('China n Importing Ports'!$D$20:$D$41&lt;=$C59)*('China n Importing Ports'!$C$20:$C$41=IF($AO59="Yes",$AQ59,$AS59)))))</f>
        <v>42500</v>
      </c>
      <c r="NN59" s="75">
        <f t="array" ref="NN59">INDEX('China n Importing Ports'!$I$20:$I$41,MATCH(2,1/(('China n Importing Ports'!$D$20:$D$41&lt;=$C59)*('China n Importing Ports'!$C$20:$C$41=IF($AO59="Yes",$AQ59,$AS59)))))</f>
        <v>42500</v>
      </c>
      <c r="NO59" s="75">
        <f t="array" ref="NO59">INDEX('China n Importing Ports'!$J$20:$J$41,MATCH(2,1/(('China n Importing Ports'!$D$20:$D$41&lt;=$C59)*('China n Importing Ports'!$C$20:$C$41=IF($AO59="Yes",$AQ59,$AS59)))))</f>
        <v>42500</v>
      </c>
      <c r="NP59" s="75">
        <f t="array" ref="NP59">INDEX('China n Importing Ports'!$K$20:$K$41,MATCH(2,1/(('China n Importing Ports'!$D$20:$D$41&lt;=$C59)*('China n Importing Ports'!$C$20:$C$41=IF($AO59="Yes",$AQ59,$AS59)))))</f>
        <v>42500</v>
      </c>
      <c r="NQ59" s="75" t="str">
        <f t="array" ref="NQ59">INDEX('China n Importing Ports'!$L$20:$L$41,MATCH(2,1/(('China n Importing Ports'!$D$20:$D$41&lt;=$C59)*('China n Importing Ports'!$C$20:$C$41=IF($AO59="Yes",$AQ59,$AS59)))))</f>
        <v>RMB</v>
      </c>
      <c r="NR59" s="75">
        <f t="array" ref="NR59">INDEX('China n Importing Ports'!$M$20:$M$41,MATCH(2,1/(('China n Importing Ports'!$D$20:$D$41&lt;=$C59)*('China n Importing Ports'!$C$20:$C$41=IF($AO59="Yes",$AQ59,$AS59)))))</f>
        <v>12342</v>
      </c>
      <c r="NS59" s="75">
        <f t="array" ref="NS59">INDEX('China n Importing Ports'!$N$20:$N$41,MATCH(2,1/(('China n Importing Ports'!$D$20:$D$41&lt;=$C59)*('China n Importing Ports'!$C$20:$C$41=IF($AO59="Yes",$AQ59,$AS59)))))</f>
        <v>0</v>
      </c>
      <c r="NT59" s="75">
        <f t="array" ref="NT59">INDEX('China n Importing Ports'!$O$20:$O$41,MATCH(2,1/(('China n Importing Ports'!$D$20:$D$41&lt;=$C59)*('China n Importing Ports'!$C$20:$C$41=IF($AO59="Yes",$AQ59,$AS59)))))</f>
        <v>0</v>
      </c>
      <c r="NU59" s="136">
        <f t="array" ref="NU59">INDEX('China n Importing Ports'!$P$20:$P$41,MATCH(2,1/(('China n Importing Ports'!$D$20:$D$41&lt;=$C59)*('China n Importing Ports'!$C$20:$C$41=IF($AO59="Yes",$AQ59,$AS59)))))</f>
        <v>2.64</v>
      </c>
      <c r="NV59" s="136">
        <f t="array" ref="NV59">INDEX('China n Importing Ports'!$Q$20:$Q$41,MATCH(2,1/(('China n Importing Ports'!$D$20:$D$41&lt;=$C59)*('China n Importing Ports'!$C$20:$C$41=IF($AO59="Yes",$AQ59,$AS59)))))</f>
        <v>0</v>
      </c>
      <c r="NW59" s="136">
        <f t="array" ref="NW59">INDEX('China n Importing Ports'!$R$20:$R$41,MATCH(2,1/(('China n Importing Ports'!$D$20:$D$41&lt;=$C59)*('China n Importing Ports'!$C$20:$C$41=IF($AO59="Yes",$AQ59,$AS59)))))</f>
        <v>0</v>
      </c>
      <c r="NX59" s="136">
        <f t="array" ref="NX59">INDEX('China n Importing Ports'!$S$20:$S$41,MATCH(2,1/(('China n Importing Ports'!$D$20:$D$41&lt;=$C59)*('China n Importing Ports'!$C$20:$C$41=IF($AO59="Yes",$AQ59,$AS59)))))</f>
        <v>4.53</v>
      </c>
      <c r="NY59" s="136">
        <f t="array" ref="NY59">INDEX('China n Importing Ports'!$T$20:$T$41,MATCH(2,1/(('China n Importing Ports'!$D$20:$D$41&lt;=$C59)*('China n Importing Ports'!$C$20:$C$41=IF($AO59="Yes",$AQ59,$AS59)))))</f>
        <v>0.36699999999999999</v>
      </c>
      <c r="NZ59" s="136">
        <f t="array" ref="NZ59">INDEX('China n Importing Ports'!$U$20:$U$41,MATCH(2,1/(('China n Importing Ports'!$D$20:$D$41&lt;=$C59)*('China n Importing Ports'!$C$20:$C$41=IF($AO59="Yes",$AQ59,$AS59)))))</f>
        <v>0.05</v>
      </c>
      <c r="OA59" s="136">
        <f t="array" ref="OA59">INDEX('China n Importing Ports'!$V$20:$V$41,MATCH(2,1/(('China n Importing Ports'!$D$20:$D$41&lt;=$C59)*('China n Importing Ports'!$C$20:$C$41=IF($AO59="Yes",$AQ59,$AS59)))))</f>
        <v>0</v>
      </c>
      <c r="OB59" s="136">
        <f t="array" ref="OB59">INDEX('China n Importing Ports'!$W$20:$W$41,MATCH(2,1/(('China n Importing Ports'!$D$20:$D$41&lt;=$C59)*('China n Importing Ports'!$C$20:$C$41=IF($AO59="Yes",$AQ59,$AS59)))))</f>
        <v>0</v>
      </c>
      <c r="OC59" s="136">
        <f t="array" ref="OC59">INDEX('China n Importing Ports'!$X$20:$X$41,MATCH(2,1/(('China n Importing Ports'!$D$20:$D$41&lt;=$C59)*('China n Importing Ports'!$C$20:$C$41=IF($AO59="Yes",$AQ59,$AS59)))))</f>
        <v>0</v>
      </c>
      <c r="OD59" s="136">
        <f t="array" ref="OD59">INDEX('China n Importing Ports'!$Y$20:$Y$41,MATCH(2,1/(('China n Importing Ports'!$D$20:$D$41&lt;=$C59)*('China n Importing Ports'!$C$20:$C$41=IF($AO59="Yes",$AQ59,$AS59)))))</f>
        <v>197</v>
      </c>
      <c r="OE59" s="136">
        <f t="array" ref="OE59">INDEX('China n Importing Ports'!$Z$20:$Z$41,MATCH(2,1/(('China n Importing Ports'!$D$20:$D$41&lt;=$C59)*('China n Importing Ports'!$C$20:$C$41=IF($AO59="Yes",$AQ59,$AS59)))))</f>
        <v>0</v>
      </c>
      <c r="OF59" s="136">
        <f t="array" ref="OF59">INDEX('China n Importing Ports'!$AA$20:$AA$41,MATCH(2,1/(('China n Importing Ports'!$D$20:$D$41&lt;=$C59)*('China n Importing Ports'!$C$20:$C$41=IF($AO59="Yes",$AQ59,$AS59)))))</f>
        <v>0</v>
      </c>
      <c r="OH59" s="75" t="e">
        <f t="array" aca="1" ref="OH59" ca="1">INDEX(Canals!$G$24:$G$29,MATCH(2,1/((Canals!$F$24:$F$29&lt;=$C59)*(Canals!$G$24:$G$29=_xlfn.IFS(KS59="Handysize",Main!NB59,KS59="Supramax",MU59,KS59="Panamax",MN59,KS59="NeoPanamax",MG59,KS59="Suezmax",LZ59,KS59="Capesize",LS59,KS59="VLOC",LL59)))))</f>
        <v>#N/A</v>
      </c>
      <c r="OI59" s="75" t="e">
        <f t="array" aca="1" ref="OI59" ca="1">INDEX(Canals!$H$24:$H$29,MATCH(2,1/((Canals!$F$24:$F$29&lt;=$C59)*(Canals!$G$24:$G$29=_xlfn.IFS(KS59="Handysize",Main!NB59,KS59="Supramax",MU59,KS59="Panamax",MN59,KS59="NeoPanamax",MG59,KS59="Suezmax",LZ59,KS59="Capesize",LS59,KS59="VLOC",LL59)))))</f>
        <v>#N/A</v>
      </c>
      <c r="OJ59" s="75" t="e">
        <f t="array" aca="1" ref="OJ59" ca="1">INDEX(Canals!$I$24:$I$29,MATCH(2,1/((Canals!$F$24:$F$29&lt;=$C59)*(Canals!$G$24:$G$29=_xlfn.IFS(KS59="Handysize",Main!NB59,KS59="Supramax",MU59,KS59="Panamax",MN59,KS59="NeoPanamax",MG59,KS59="Suezmax",LZ59,KS59="Capesize",LS59,KS59="VLOC",LL59)))))</f>
        <v>#N/A</v>
      </c>
      <c r="OK59" s="75" t="e">
        <f t="array" aca="1" ref="OK59" ca="1">INDEX(Canals!$J$24:$J$29,MATCH(2,1/((Canals!$F$24:$F$29&lt;=$C59)*(Canals!$G$24:$G$29=_xlfn.IFS(KS59="Handysize",Main!NB59,KS59="Supramax",MU59,KS59="Panamax",MN59,KS59="NeoPanamax",MG59,KS59="Suezmax",LZ59,KS59="Capesize",LS59,KS59="VLOC",LL59)))))</f>
        <v>#N/A</v>
      </c>
      <c r="OL59" s="75" t="e">
        <f t="array" aca="1" ref="OL59" ca="1">INDEX(Canals!$K$24:$K$29,MATCH(2,1/((Canals!$F$24:$F$29&lt;=$C59)*(Canals!$G$24:$G$29=_xlfn.IFS(KS59="Handysize",Main!NB59,KS59="Supramax",MU59,KS59="Panamax",MN59,KS59="NeoPanamax",MG59,KS59="Suezmax",LZ59,KS59="Capesize",LS59,KS59="VLOC",LL59)))))</f>
        <v>#N/A</v>
      </c>
      <c r="OM59" s="75" t="e">
        <f t="array" aca="1" ref="OM59" ca="1">INDEX(Canals!$L$24:$L$29,MATCH(2,1/((Canals!$F$24:$F$29&lt;=$C59)*(Canals!$G$24:$G$29=_xlfn.IFS(KS59="Handysize",Main!NB59,KS59="Supramax",MU59,KS59="Panamax",MN59,KS59="NeoPanamax",MG59,KS59="Suezmax",LZ59,KS59="Capesize",LS59,KS59="VLOC",LL59)))))</f>
        <v>#N/A</v>
      </c>
      <c r="ON59" s="75" t="e">
        <f t="array" aca="1" ref="ON59" ca="1">INDEX(Canals!$M$24:$M$29,MATCH(2,1/((Canals!$F$24:$F$29&lt;=$C59)*(Canals!$G$24:$G$29=_xlfn.IFS(KS59="Handysize",Main!NB59,KS59="Supramax",MU59,KS59="Panamax",MN59,KS59="NeoPanamax",MG59,KS59="Suezmax",LZ59,KS59="Capesize",LS59,KS59="VLOC",LL59)))))</f>
        <v>#N/A</v>
      </c>
      <c r="OO59" s="75" t="e">
        <f t="array" aca="1" ref="OO59" ca="1">INDEX(Canals!$N$24:$N$29,MATCH(2,1/((Canals!$F$24:$F$29&lt;=$C59)*(Canals!$G$24:$G$29=_xlfn.IFS(KS59="Handysize",Main!NB59,KS59="Supramax",MU59,KS59="Panamax",MN59,KS59="NeoPanamax",MG59,KS59="Suezmax",LZ59,KS59="Capesize",LS59,KS59="VLOC",LL59)))))</f>
        <v>#N/A</v>
      </c>
      <c r="OP59" s="75" t="e">
        <f t="array" aca="1" ref="OP59" ca="1">INDEX(Canals!$O$24:$O$29,MATCH(2,1/((Canals!$F$24:$F$29&lt;=$C59)*(Canals!$G$24:$G$29=_xlfn.IFS(KS59="Handysize",Main!NB59,KS59="Supramax",MU59,KS59="Panamax",MN59,KS59="NeoPanamax",MG59,KS59="Suezmax",LZ59,KS59="Capesize",LS59,KS59="VLOC",LL59)))))</f>
        <v>#N/A</v>
      </c>
      <c r="OQ59" s="75" t="e">
        <f t="array" aca="1" ref="OQ59" ca="1">INDEX(Canals!$P$24:$P$29,MATCH(2,1/((Canals!$F$24:$F$29&lt;=$C59)*(Canals!$G$24:$G$29=_xlfn.IFS(KS59="Handysize",Main!NB59,KS59="Supramax",MU59,KS59="Panamax",MN59,KS59="NeoPanamax",MG59,KS59="Suezmax",LZ59,KS59="Capesize",LS59,KS59="VLOC",LL59)))))</f>
        <v>#N/A</v>
      </c>
      <c r="OR59" s="75" t="e">
        <f t="array" aca="1" ref="OR59" ca="1">INDEX(Canals!$Q$24:$Q$29,MATCH(2,1/((Canals!$F$24:$F$29&lt;=$C59)*(Canals!$G$24:$G$29=_xlfn.IFS(KS59="Handysize",Main!NB59,KS59="Supramax",MU59,KS59="Panamax",MN59,KS59="NeoPanamax",MG59,KS59="Suezmax",LZ59,KS59="Capesize",LS59,KS59="VLOC",LL59)))))</f>
        <v>#N/A</v>
      </c>
      <c r="OS59" s="75" t="e">
        <f t="array" aca="1" ref="OS59" ca="1">INDEX(Canals!$R$24:$R$29,MATCH(2,1/((Canals!$F$24:$F$29&lt;=$C59)*(Canals!$G$24:$G$29=_xlfn.IFS(KS59="Handysize",Main!NB59,KS59="Supramax",MU59,KS59="Panamax",MN59,KS59="NeoPanamax",MG59,KS59="Suezmax",LZ59,KS59="Capesize",LS59,KS59="VLOC",LL59)))))</f>
        <v>#N/A</v>
      </c>
      <c r="OT59" s="136" t="e">
        <f t="array" aca="1" ref="OT59" ca="1">INDEX(Canals!$S$24:$S$29,MATCH(2,1/((Canals!$F$24:$F$29&lt;=$C59)*(Canals!$G$24:$G$29=_xlfn.IFS(KS59="Handysize",Main!NB59,KS59="Supramax",MU59,KS59="Panamax",MN59,KS59="NeoPanamax",MG59,KS59="Suezmax",LZ59,KS59="Capesize",LS59,KS59="VLOC",LL59)))))</f>
        <v>#N/A</v>
      </c>
      <c r="OU59" s="136" t="e">
        <f t="array" aca="1" ref="OU59" ca="1">INDEX(Canals!$T$24:$T$29,MATCH(2,1/((Canals!$F$24:$F$29&lt;=$C59)*(Canals!$G$24:$G$29=_xlfn.IFS(KS59="Handysize",Main!NB59,KS59="Supramax",MU59,KS59="Panamax",MN59,KS59="NeoPanamax",MG59,KS59="Suezmax",LZ59,KS59="Capesize",LS59,KS59="VLOC",LL59)))))</f>
        <v>#N/A</v>
      </c>
      <c r="OV59" s="136" t="e">
        <f t="array" aca="1" ref="OV59" ca="1">INDEX(Canals!$U$24:$U$29,MATCH(2,1/((Canals!$F$24:$F$29&lt;=$C59)*(Canals!$G$24:$G$29=_xlfn.IFS(KS59="Handysize",Main!NB59,KS59="Supramax",MU59,KS59="Panamax",MN59,KS59="NeoPanamax",MG59,KS59="Suezmax",LZ59,KS59="Capesize",LS59,KS59="VLOC",LL59)))))</f>
        <v>#N/A</v>
      </c>
      <c r="OW59" s="136" t="e">
        <f t="array" aca="1" ref="OW59" ca="1">INDEX(Canals!$V$24:$V$29,MATCH(2,1/((Canals!$F$24:$F$29&lt;=$C59)*(Canals!$G$24:$G$29=_xlfn.IFS(KS59="Handysize",Main!NB59,KS59="Supramax",MU59,KS59="Panamax",MN59,KS59="NeoPanamax",MG59,KS59="Suezmax",LZ59,KS59="Capesize",LS59,KS59="VLOC",LL59)))))</f>
        <v>#N/A</v>
      </c>
      <c r="OX59" s="136" t="e">
        <f t="array" aca="1" ref="OX59" ca="1">INDEX(Canals!$W$24:$W$29,MATCH(2,1/((Canals!$F$24:$F$29&lt;=$C59)*(Canals!$G$24:$G$29=_xlfn.IFS(KS59="Handysize",Main!NB59,KS59="Supramax",MU59,KS59="Panamax",MN59,KS59="NeoPanamax",MG59,KS59="Suezmax",LZ59,KS59="Capesize",LS59,KS59="VLOC",LL59)))))</f>
        <v>#N/A</v>
      </c>
      <c r="OY59" s="136" t="e">
        <f t="array" aca="1" ref="OY59" ca="1">INDEX(Canals!$X$24:$X$29,MATCH(2,1/((Canals!$F$24:$F$29&lt;=$C59)*(Canals!$G$24:$G$29=_xlfn.IFS(KS59="Handysize",Main!NB59,KS59="Supramax",MU59,KS59="Panamax",MN59,KS59="NeoPanamax",MG59,KS59="Suezmax",LZ59,KS59="Capesize",LS59,KS59="VLOC",LL59)))))</f>
        <v>#N/A</v>
      </c>
      <c r="OZ59" s="136" t="e">
        <f t="array" aca="1" ref="OZ59" ca="1">INDEX(Canals!$Y$24:$Y$29,MATCH(2,1/((Canals!$F$24:$F$29&lt;=$C59)*(Canals!$G$24:$G$29=_xlfn.IFS(KS59="Handysize",Main!NB59,KS59="Supramax",MU59,KS59="Panamax",MN59,KS59="NeoPanamax",MG59,KS59="Suezmax",LZ59,KS59="Capesize",LS59,KS59="VLOC",LL59)))))</f>
        <v>#N/A</v>
      </c>
      <c r="PA59" s="136" t="e">
        <f t="array" aca="1" ref="PA59" ca="1">INDEX(Canals!$Z$24:$Z$29,MATCH(2,1/((Canals!$F$24:$F$29&lt;=$C59)*(Canals!$G$24:$G$29=_xlfn.IFS(KS59="Handysize",Main!NB59,KS59="Supramax",MU59,KS59="Panamax",MN59,KS59="NeoPanamax",MG59,KS59="Suezmax",LZ59,KS59="Capesize",LS59,KS59="VLOC",LL59)))))</f>
        <v>#N/A</v>
      </c>
      <c r="PB59" s="136" t="e">
        <f t="array" aca="1" ref="PB59" ca="1">INDEX(Canals!$AA$24:$AA$29,MATCH(2,1/((Canals!$F$24:$F$29&lt;=$C59)*(Canals!$G$24:$G$29=_xlfn.IFS(KS59="Handysize",Main!NB59,KS59="Supramax",MU59,KS59="Panamax",MN59,KS59="NeoPanamax",MG59,KS59="Suezmax",LZ59,KS59="Capesize",LS59,KS59="VLOC",LL59)))))</f>
        <v>#N/A</v>
      </c>
      <c r="PC59" s="136" t="e">
        <f t="array" aca="1" ref="PC59" ca="1">INDEX(Canals!$AB$24:$AB$29,MATCH(2,1/((Canals!$F$24:$F$29&lt;=$C59)*(Canals!$G$24:$G$29=_xlfn.IFS(KS59="Handysize",Main!NB59,KS59="Supramax",MU59,KS59="Panamax",MN59,KS59="NeoPanamax",MG59,KS59="Suezmax",LZ59,KS59="Capesize",LS59,KS59="VLOC",LL59)))))</f>
        <v>#N/A</v>
      </c>
      <c r="PD59" s="75" t="e">
        <f t="array" aca="1" ref="PD59" ca="1">INDEX(Canals!$AC$24:$AC$29,MATCH(2,1/((Canals!$F$24:$F$29&lt;=$C59)*(Canals!$G$24:$G$29=_xlfn.IFS(KS59="Handysize",Main!NB59,KS59="Supramax",MU59,KS59="Panamax",MN59,KS59="NeoPanamax",MG59,KS59="Suezmax",LZ59,KS59="Capesize",LS59,KS59="VLOC",LL59)))))</f>
        <v>#N/A</v>
      </c>
      <c r="PE59" s="75" t="e">
        <f t="array" aca="1" ref="PE59" ca="1">INDEX(Canals!$AD$24:$AD$29,MATCH(2,1/((Canals!$F$24:$F$29&lt;=$C59)*(Canals!$G$24:$G$29=_xlfn.IFS(KS59="Handysize",Main!NB59,KS59="Supramax",MU59,KS59="Panamax",MN59,KS59="NeoPanamax",MG59,KS59="Suezmax",LZ59,KS59="Capesize",LS59,KS59="VLOC",LL59)))))</f>
        <v>#N/A</v>
      </c>
      <c r="PF59" s="75" t="e">
        <f t="array" aca="1" ref="PF59" ca="1">INDEX(Canals!$AE$24:$AE$29,MATCH(2,1/((Canals!$F$24:$F$29&lt;=$C59)*(Canals!$G$24:$G$29=_xlfn.IFS(KS59="Handysize",Main!NB59,KS59="Supramax",MU59,KS59="Panamax",MN59,KS59="NeoPanamax",MG59,KS59="Suezmax",LZ59,KS59="Capesize",LS59,KS59="VLOC",LL59)))))</f>
        <v>#N/A</v>
      </c>
      <c r="PG59" s="75" t="e">
        <f t="array" aca="1" ref="PG59" ca="1">INDEX(Canals!$AF$24:$AF$29,MATCH(2,1/((Canals!$F$24:$F$29&lt;=$C59)*(Canals!$G$24:$G$29=_xlfn.IFS(KS59="Handysize",Main!NB59,KS59="Supramax",MU59,KS59="Panamax",MN59,KS59="NeoPanamax",MG59,KS59="Suezmax",LZ59,KS59="Capesize",LS59,KS59="VLOC",LL59)))))</f>
        <v>#N/A</v>
      </c>
      <c r="PH59" s="75" t="e">
        <f t="array" aca="1" ref="PH59" ca="1">INDEX(Canals!$AG$24:$AG$29,MATCH(2,1/((Canals!$F$24:$F$29&lt;=$C59)*(Canals!$G$24:$G$29=_xlfn.IFS(KS59="Handysize",Main!NB59,KS59="Supramax",MU59,KS59="Panamax",MN59,KS59="NeoPanamax",MG59,KS59="Suezmax",LZ59,KS59="Capesize",LS59,KS59="VLOC",LL59)))))</f>
        <v>#N/A</v>
      </c>
      <c r="PI59" s="75" t="e">
        <f t="array" aca="1" ref="PI59" ca="1">INDEX(Canals!$AH$24:$AH$29,MATCH(2,1/((Canals!$F$24:$F$29&lt;=$C59)*(Canals!$G$24:$G$29=_xlfn.IFS(KS59="Handysize",Main!NB59,KS59="Supramax",MU59,KS59="Panamax",MN59,KS59="NeoPanamax",MG59,KS59="Suezmax",LZ59,KS59="Capesize",LS59,KS59="VLOC",LL59)))))</f>
        <v>#N/A</v>
      </c>
      <c r="PJ59" s="75" t="e">
        <f t="array" aca="1" ref="PJ59" ca="1">INDEX(Canals!$AI$24:$AI$29,MATCH(2,1/((Canals!$F$24:$F$29&lt;=$C59)*(Canals!$G$24:$G$29=_xlfn.IFS(KS59="Handysize",Main!NB59,KS59="Supramax",MU59,KS59="Panamax",MN59,KS59="NeoPanamax",MG59,KS59="Suezmax",LZ59,KS59="Capesize",LS59,KS59="VLOC",LL59)))))</f>
        <v>#N/A</v>
      </c>
      <c r="PK59" s="75" t="e">
        <f t="array" aca="1" ref="PK59" ca="1">INDEX(Canals!$AJ$24:$AJ$29,MATCH(2,1/((Canals!$F$24:$F$29&lt;=$C59)*(Canals!$G$24:$G$29=_xlfn.IFS(KS59="Handysize",Main!NB59,KS59="Supramax",MU59,KS59="Panamax",MN59,KS59="NeoPanamax",MG59,KS59="Suezmax",LZ59,KS59="Capesize",LS59,KS59="VLOC",LL59)))))</f>
        <v>#N/A</v>
      </c>
      <c r="PL59" s="75" t="e">
        <f t="array" aca="1" ref="PL59" ca="1">INDEX(Canals!$AK$24:$AK$29,MATCH(2,1/((Canals!$F$24:$F$29&lt;=$C59)*(Canals!$G$24:$G$29=_xlfn.IFS(KS59="Handysize",Main!NB59,KS59="Supramax",MU59,KS59="Panamax",MN59,KS59="NeoPanamax",MG59,KS59="Suezmax",LZ59,KS59="Capesize",LS59,KS59="VLOC",LL59)))))</f>
        <v>#N/A</v>
      </c>
      <c r="PM59" s="136" t="e">
        <f t="array" aca="1" ref="PM59" ca="1">INDEX(Canals!$AL$24:$AL$29,MATCH(2,1/((Canals!$F$24:$F$29&lt;=$C59)*(Canals!$G$24:$G$29=_xlfn.IFS(KS59="Handysize",Main!NB59,KS59="Supramax",MU59,KS59="Panamax",MN59,KS59="NeoPanamax",MG59,KS59="Suezmax",LZ59,KS59="Capesize",LS59,KS59="VLOC",LL59)))))</f>
        <v>#N/A</v>
      </c>
      <c r="PN59" s="136" t="e">
        <f t="array" aca="1" ref="PN59" ca="1">INDEX(Canals!$AM$24:$AM$29,MATCH(2,1/((Canals!$F$24:$F$29&lt;=$C59)*(Canals!$G$24:$G$29=_xlfn.IFS(KS59="Handysize",Main!NB59,KS59="Supramax",MU59,KS59="Panamax",MN59,KS59="NeoPanamax",MG59,KS59="Suezmax",LZ59,KS59="Capesize",LS59,KS59="VLOC",LL59)))))</f>
        <v>#N/A</v>
      </c>
      <c r="PO59" s="136" t="e">
        <f t="array" aca="1" ref="PO59" ca="1">INDEX(Canals!$AN$24:$AN$29,MATCH(2,1/((Canals!$F$24:$F$29&lt;=$C59)*(Canals!$G$24:$G$29=_xlfn.IFS(KS59="Handysize",Main!NB59,KS59="Supramax",MU59,KS59="Panamax",MN59,KS59="NeoPanamax",MG59,KS59="Suezmax",LZ59,KS59="Capesize",LS59,KS59="VLOC",LL59)))))</f>
        <v>#N/A</v>
      </c>
      <c r="PP59" s="136" t="e">
        <f t="array" aca="1" ref="PP59" ca="1">INDEX(Canals!$AO$24:$AO$29,MATCH(2,1/((Canals!$F$24:$F$29&lt;=$C59)*(Canals!$G$24:$G$29=_xlfn.IFS(KS59="Handysize",Main!NB59,KS59="Supramax",MU59,KS59="Panamax",MN59,KS59="NeoPanamax",MG59,KS59="Suezmax",LZ59,KS59="Capesize",LS59,KS59="VLOC",LL59)))))</f>
        <v>#N/A</v>
      </c>
      <c r="PQ59" s="136" t="e">
        <f t="array" aca="1" ref="PQ59" ca="1">INDEX(Canals!$AP$24:$AP$29,MATCH(2,1/((Canals!$F$24:$F$29&lt;=$C59)*(Canals!$G$24:$G$29=_xlfn.IFS(KS59="Handysize",Main!NB59,KS59="Supramax",MU59,KS59="Panamax",MN59,KS59="NeoPanamax",MG59,KS59="Suezmax",LZ59,KS59="Capesize",LS59,KS59="VLOC",LL59)))))</f>
        <v>#N/A</v>
      </c>
      <c r="PR59" s="136" t="e">
        <f t="array" aca="1" ref="PR59" ca="1">INDEX(Canals!$AQ$24:$AQ$29,MATCH(2,1/((Canals!$F$24:$F$29&lt;=$C59)*(Canals!$G$24:$G$29=_xlfn.IFS(KS59="Handysize",Main!NB59,KS59="Supramax",MU59,KS59="Panamax",MN59,KS59="NeoPanamax",MG59,KS59="Suezmax",LZ59,KS59="Capesize",LS59,KS59="VLOC",LL59)))))</f>
        <v>#N/A</v>
      </c>
      <c r="PS59" s="136" t="e">
        <f t="array" aca="1" ref="PS59" ca="1">INDEX(Canals!$AR$24:$AR$29,MATCH(2,1/((Canals!$F$24:$F$29&lt;=$C59)*(Canals!$G$24:$G$29=_xlfn.IFS(KS59="Handysize",Main!NB59,KS59="Supramax",MU59,KS59="Panamax",MN59,KS59="NeoPanamax",MG59,KS59="Suezmax",LZ59,KS59="Capesize",LS59,KS59="VLOC",LL59)))))</f>
        <v>#N/A</v>
      </c>
      <c r="PT59" s="136" t="e">
        <f t="array" aca="1" ref="PT59" ca="1">INDEX(Canals!$AS$24:$AS$29,MATCH(2,1/((Canals!$F$24:$F$29&lt;=$C59)*(Canals!$G$24:$G$29=_xlfn.IFS(KS59="Handysize",Main!NB59,KS59="Supramax",MU59,KS59="Panamax",MN59,KS59="NeoPanamax",MG59,KS59="Suezmax",LZ59,KS59="Capesize",LS59,KS59="VLOC",LL59)))))</f>
        <v>#N/A</v>
      </c>
      <c r="PU59" s="136" t="e">
        <f t="array" aca="1" ref="PU59" ca="1">INDEX(Canals!$AT$24:$AT$29,MATCH(2,1/((Canals!$F$24:$F$29&lt;=$C59)*(Canals!$G$24:$G$29=_xlfn.IFS(KS59="Handysize",Main!NB59,KS59="Supramax",MU59,KS59="Panamax",MN59,KS59="NeoPanamax",MG59,KS59="Suezmax",LZ59,KS59="Capesize",LS59,KS59="VLOC",LL59)))))</f>
        <v>#N/A</v>
      </c>
      <c r="PV59" s="136" t="e">
        <f t="array" aca="1" ref="PV59" ca="1">INDEX(Canals!$AU$24:$AU$29,MATCH(2,1/((Canals!$F$24:$F$29&lt;=$C59)*(Canals!$G$24:$G$29=_xlfn.IFS(KS59="Handysize",Main!NB59,KS59="Supramax",MU59,KS59="Panamax",MN59,KS59="NeoPanamax",MG59,KS59="Suezmax",LZ59,KS59="Capesize",LS59,KS59="VLOC",LL59)))))</f>
        <v>#N/A</v>
      </c>
      <c r="PW59" s="136" t="e">
        <f t="array" aca="1" ref="PW59" ca="1">INDEX(Canals!$AV$24:$AV$29,MATCH(2,1/((Canals!$F$24:$F$29&lt;=$C59)*(Canals!$G$24:$G$29=_xlfn.IFS(KS59="Handysize",Main!NB59,KS59="Supramax",MU59,KS59="Panamax",MN59,KS59="NeoPanamax",MG59,KS59="Suezmax",LZ59,KS59="Capesize",LS59,KS59="VLOC",LL59)))))</f>
        <v>#N/A</v>
      </c>
      <c r="PY59" s="75" t="e">
        <f t="array" aca="1" ref="PY59" ca="1">_xlfn.IFS(OJ59="DWT",KQ59,OJ59="NRT",KU59,OJ59="GRT",KV59)</f>
        <v>#NAME?</v>
      </c>
      <c r="PZ59" s="279" t="e">
        <f t="shared" ca="1" si="422"/>
        <v>#NAME?</v>
      </c>
      <c r="QA59" s="280" t="e">
        <f t="shared" ca="1" si="423"/>
        <v>#NAME?</v>
      </c>
      <c r="QB59" s="280" t="e">
        <f t="shared" ca="1" si="424"/>
        <v>#NAME?</v>
      </c>
      <c r="QC59" s="280" t="e">
        <f t="shared" ca="1" si="425"/>
        <v>#NAME?</v>
      </c>
      <c r="QD59" s="280" t="e">
        <f t="shared" ca="1" si="426"/>
        <v>#NAME?</v>
      </c>
      <c r="QE59" s="280" t="e">
        <f t="shared" ca="1" si="427"/>
        <v>#NAME?</v>
      </c>
      <c r="QF59" s="280" t="e">
        <f t="shared" ca="1" si="428"/>
        <v>#NAME?</v>
      </c>
      <c r="QG59" s="280" t="e">
        <f t="shared" ca="1" si="429"/>
        <v>#NAME?</v>
      </c>
      <c r="QH59" s="280" t="e">
        <f t="shared" ca="1" si="430"/>
        <v>#NAME?</v>
      </c>
      <c r="QI59" s="75">
        <f t="shared" si="431"/>
        <v>90361.445783132542</v>
      </c>
      <c r="QJ59" s="279" t="e">
        <f t="shared" ca="1" si="432"/>
        <v>#N/A</v>
      </c>
      <c r="QK59" s="280" t="e">
        <f t="shared" ca="1" si="433"/>
        <v>#N/A</v>
      </c>
      <c r="QL59" s="280" t="e">
        <f t="shared" ca="1" si="434"/>
        <v>#N/A</v>
      </c>
      <c r="QM59" s="280" t="e">
        <f t="shared" ca="1" si="435"/>
        <v>#N/A</v>
      </c>
      <c r="QN59" s="280" t="e">
        <f t="shared" ca="1" si="436"/>
        <v>#N/A</v>
      </c>
      <c r="QO59" s="280" t="e">
        <f t="shared" ca="1" si="437"/>
        <v>#N/A</v>
      </c>
      <c r="QP59" s="280" t="e">
        <f t="shared" ca="1" si="438"/>
        <v>#N/A</v>
      </c>
      <c r="QQ59" s="280" t="e">
        <f t="shared" ca="1" si="439"/>
        <v>#N/A</v>
      </c>
      <c r="QR59" s="280" t="e">
        <f t="shared" ca="1" si="440"/>
        <v>#N/A</v>
      </c>
      <c r="QT59" s="75" t="e">
        <f t="array" aca="1" ref="QT59" ca="1">_xlfn.IFS(KS59="Handysize",Main!MV59,KS59="Supramax",MO59,KS59="Panamax",MH59,KS59="NeoPanamax",MA59,KS59="Suezmax",LT59,KS59="Capesize",LM59,KS59="VLOC",LF59)*$JI59</f>
        <v>#NAME?</v>
      </c>
      <c r="QU59" s="274" t="e">
        <f t="array" aca="1" ref="QU59" ca="1">_xlfn.IFS(KS59="Handysize",Main!MW59,KS59="Supramax",MP59,KS59="Panamax",MI59,KS59="NeoPanamax",MB59,KS59="Suezmax",LU59,KS59="Capesize",LN59,KS59="VLOC",LG59)*$JI59</f>
        <v>#NAME?</v>
      </c>
      <c r="QV59" s="71" t="e">
        <f t="array" aca="1" ref="QV59" ca="1">_xlfn.IFS(KS59="Handysize",Main!KX59,KS59="Supramax",KY59,KS59="Panamax",KZ59,KS59="NeoPanamax",LA59,KS59="Suezmax",LB59,KS59="Capesize",LC59,KS59="VLOC",LD59)</f>
        <v>#NAME?</v>
      </c>
      <c r="QW59" s="71" t="e">
        <f t="array" aca="1" ref="QW59" ca="1">_xlfn.IFS(KS59="Handysize",Main!NJ59,KS59="Supramax",NK59,KS59="Panamax",NL59,KS59="NeoPanamax",NM59,KS59="Suezmax",NN59,KS59="Capesize",NO59,KS59="VLOC",NP59)</f>
        <v>#NAME?</v>
      </c>
      <c r="QX59" s="70">
        <f t="array" ref="QX59">INDEX('Ship Speeds'!$G$11:$G$1011,MATCH(2,1/(('Ship Speeds'!$E$11:$E$1011&lt;=Main!$C59)*('Ship Speeds'!$F$11:$F$1011=Main!KR59))))</f>
        <v>11</v>
      </c>
      <c r="QY59" s="403">
        <f t="shared" si="441"/>
        <v>23.665325265601165</v>
      </c>
      <c r="QZ59" s="401">
        <f t="shared" si="442"/>
        <v>2.1898053753475439</v>
      </c>
      <c r="RA59" s="70" t="e">
        <f t="shared" ca="1" si="651"/>
        <v>#NAME?</v>
      </c>
      <c r="RB59" s="70" t="e">
        <f t="shared" ca="1" si="443"/>
        <v>#NAME?</v>
      </c>
      <c r="RC59" s="70" t="e">
        <f t="shared" ca="1" si="444"/>
        <v>#NAME?</v>
      </c>
      <c r="RD59" s="70" t="e">
        <f t="shared" ca="1" si="445"/>
        <v>#NAME?</v>
      </c>
      <c r="RE59" s="72" t="e">
        <f t="shared" ca="1" si="652"/>
        <v>#N/A</v>
      </c>
      <c r="RF59" s="70" t="e">
        <f t="shared" ca="1" si="446"/>
        <v>#NAME?</v>
      </c>
      <c r="RG59" s="70" t="e">
        <f t="array" aca="1" ref="RG59" ca="1">INDEX(ND59:NH59,MATCH(_xlfn.IFS(KS59="Handysize",Main!MZ59,KS59="Supramax",MS59,KS59="Panamax",ML59,KS59="NeoPanamax",ME59,KS59="Suezmax",LX59,KS59="Capesize",LQ59,KS59="VLOC",LJ59),$ND$7:$NH$7,0))</f>
        <v>#NAME?</v>
      </c>
      <c r="RH59" s="70" t="e">
        <f t="array" aca="1" ref="RH59" ca="1">INDEX(ND59:NH59,MATCH(_xlfn.IFS(KS59="Handysize",Main!NA59,KS59="Supramax",MT59,KS59="Panamax",MM59,KS59="NeoPanamax",MF59,KS59="Suezmax",LY59,KS59="Capesize",LR59,KS59="VLOC",LK59),$ND$7:$NH$7,0))</f>
        <v>#NAME?</v>
      </c>
      <c r="RI59" s="71" t="e">
        <f t="shared" ca="1" si="447"/>
        <v>#NAME?</v>
      </c>
      <c r="RJ59" s="71" t="e">
        <f t="shared" ca="1" si="448"/>
        <v>#NAME?</v>
      </c>
      <c r="RK59" s="281">
        <f t="shared" si="653"/>
        <v>7.0834199999999994</v>
      </c>
      <c r="RL59" s="71">
        <f t="shared" si="654"/>
        <v>1742.3786814843679</v>
      </c>
      <c r="RM59" s="71" t="e">
        <f t="shared" ca="1" si="655"/>
        <v>#NAME?</v>
      </c>
      <c r="RN59" s="71" t="e">
        <f t="shared" ca="1" si="656"/>
        <v>#NAME?</v>
      </c>
      <c r="RO59" s="71">
        <f t="shared" si="657"/>
        <v>33677.830323130627</v>
      </c>
      <c r="RP59" s="71" t="e">
        <f t="shared" ca="1" si="658"/>
        <v>#NAME?</v>
      </c>
      <c r="RQ59" s="71" t="e">
        <f t="shared" ca="1" si="659"/>
        <v>#NAME?</v>
      </c>
      <c r="RR59" s="71">
        <f t="shared" si="660"/>
        <v>23909.453958100057</v>
      </c>
      <c r="RS59" s="71" t="e">
        <f t="shared" ca="1" si="661"/>
        <v>#NAME?</v>
      </c>
      <c r="RT59" s="71" t="e">
        <f t="shared" ca="1" si="662"/>
        <v>#NAME?</v>
      </c>
      <c r="RU59" s="71">
        <f t="shared" si="663"/>
        <v>0</v>
      </c>
      <c r="RV59" s="71" t="e">
        <f t="shared" ca="1" si="664"/>
        <v>#NAME?</v>
      </c>
      <c r="RW59" s="71" t="e">
        <f t="shared" ca="1" si="665"/>
        <v>#NAME?</v>
      </c>
      <c r="RX59" s="72">
        <f t="shared" si="666"/>
        <v>6307.5823444736016</v>
      </c>
      <c r="RY59" s="72" t="e">
        <f t="shared" ca="1" si="667"/>
        <v>#NAME?</v>
      </c>
      <c r="RZ59" s="71" t="e">
        <f t="shared" ca="1" si="668"/>
        <v>#NAME?</v>
      </c>
      <c r="SA59" s="71" t="e">
        <f t="array" aca="1" ref="SA59" ca="1">INDEX('Ship Time Charter Rates'!$H$22:$H$1021,MATCH(2,1/(('Ship Time Charter Rates'!$G$22:$G$1021=_xlfn.IFS(KS59="Handysize",Main!MX59,KS59="Supramax",MQ59,KS59="Panamax",MJ59,KS59="NeoPanamax",MC59,KS59="Suezmax",LV59,KS59="Capesize",LO59,KS59="VLOC",LH59))*('Ship Time Charter Rates'!$E$22:$E$1021&lt;=Main!$C59)*(NOT(ISBLANK('Ship Time Charter Rates'!$H$22:$H$1021))))))</f>
        <v>#N/A</v>
      </c>
      <c r="SB59" s="71" t="e">
        <f t="shared" ca="1" si="449"/>
        <v>#NAME?</v>
      </c>
      <c r="SC59" s="70" t="e">
        <f t="shared" ca="1" si="669"/>
        <v>#N/A</v>
      </c>
      <c r="SD59" s="71" t="e">
        <f t="shared" ca="1" si="670"/>
        <v>#NAME?</v>
      </c>
      <c r="SE59" s="71" t="e">
        <f t="shared" ca="1" si="450"/>
        <v>#NAME?</v>
      </c>
      <c r="SF59" s="72" t="e">
        <f t="shared" ca="1" si="451"/>
        <v>#NAME?</v>
      </c>
      <c r="SH59" s="25">
        <f t="shared" si="671"/>
        <v>0</v>
      </c>
      <c r="SI59" s="4" t="str">
        <f>VLOOKUP(SH59,'Ship Time Charter Rates'!$F$10:$G$17,2,TRUE)</f>
        <v>Handysize</v>
      </c>
      <c r="SJ59" s="4" t="str">
        <f>VLOOKUP(SH59,Canals!$E$5:$F$12,2,TRUE)</f>
        <v>Handysize</v>
      </c>
      <c r="SK59" s="25">
        <f t="shared" si="452"/>
        <v>145.88999999999999</v>
      </c>
      <c r="SL59" s="25">
        <f t="shared" si="453"/>
        <v>0</v>
      </c>
      <c r="SM59" s="25">
        <f t="shared" si="454"/>
        <v>4797</v>
      </c>
      <c r="SO59" s="75">
        <f t="array" ref="SO59">INDEX('Indices Mines Exporting Ports'!$R$20:$R$51,MATCH(2,1/(('Indices Mines Exporting Ports'!$D$20:$D$51&lt;=Main!$C59)*('Indices Mines Exporting Ports'!$Q$20:$Q$51=$AQ59))))</f>
        <v>0</v>
      </c>
      <c r="SP59" s="75">
        <f t="array" ref="SP59">INDEX('Indices Mines Exporting Ports'!$S$20:$S$51,MATCH(2,1/(('Indices Mines Exporting Ports'!$D$20:$D$51&lt;=Main!$C59)*('Indices Mines Exporting Ports'!$Q$20:$Q$51=$AQ59))))</f>
        <v>0</v>
      </c>
      <c r="SQ59" s="75">
        <f t="array" ref="SQ59">INDEX('Indices Mines Exporting Ports'!$T$20:$T$51,MATCH(2,1/(('Indices Mines Exporting Ports'!$D$20:$D$51&lt;=Main!$C59)*('Indices Mines Exporting Ports'!$Q$20:$Q$51=$AQ59))))</f>
        <v>0</v>
      </c>
      <c r="SR59" s="75">
        <f t="array" ref="SR59">INDEX('Indices Mines Exporting Ports'!$U$20:$U$51,MATCH(2,1/(('Indices Mines Exporting Ports'!$D$20:$D$51&lt;=Main!$C59)*('Indices Mines Exporting Ports'!$Q$20:$Q$51=$AQ59))))</f>
        <v>0</v>
      </c>
      <c r="SS59" s="75">
        <f t="array" ref="SS59">INDEX('Indices Mines Exporting Ports'!$V$20:$V$51,MATCH(2,1/(('Indices Mines Exporting Ports'!$D$20:$D$51&lt;=Main!$C59)*('Indices Mines Exporting Ports'!$Q$20:$Q$51=$AQ59))))</f>
        <v>0</v>
      </c>
      <c r="ST59" s="75">
        <f t="array" ref="ST59">INDEX('Indices Mines Exporting Ports'!$W$20:$W$51,MATCH(2,1/(('Indices Mines Exporting Ports'!$D$20:$D$51&lt;=Main!$C59)*('Indices Mines Exporting Ports'!$Q$20:$Q$51=$AQ59))))</f>
        <v>0</v>
      </c>
      <c r="SU59" s="75">
        <f t="array" ref="SU59">INDEX('Indices Mines Exporting Ports'!$X$20:$X$51,MATCH(2,1/(('Indices Mines Exporting Ports'!$D$20:$D$51&lt;=Main!$C59)*('Indices Mines Exporting Ports'!$Q$20:$Q$51=$AQ59))))</f>
        <v>0</v>
      </c>
      <c r="SW59" s="75">
        <f t="array" ref="SW59">INDEX('Port Linkages'!$E$18:$E$157,MATCH(2,1/(('Port Linkages'!$C$18:$C$157=$AQ59)*('Port Linkages'!$D$18:$D$157=IF($AO59="no",$AQ59,$AS59))*('Port Linkages'!$A$18:$A$157&lt;=$C59))))</f>
        <v>0</v>
      </c>
      <c r="SX59" s="75">
        <f t="array" ref="SX59">INDEX('Port Linkages'!$F$18:$F$157,MATCH(2,1/(('Port Linkages'!$C$18:$C$157=$AQ59)*('Port Linkages'!$D$18:$D$157=IF($AO59="no",$AQ59,$AS59))*('Port Linkages'!$A$18:$A$157&lt;=$C59))))</f>
        <v>0</v>
      </c>
      <c r="SY59" s="75">
        <f t="array" ref="SY59">INDEX('Port Linkages'!$G$18:$G$157,MATCH(2,1/(('Port Linkages'!$C$18:$C$157=$AQ59)*('Port Linkages'!$D$18:$D$157=IF($AO59="no",$AQ59,$AS59))*('Port Linkages'!$A$18:$A$157&lt;=$C59))))</f>
        <v>0</v>
      </c>
      <c r="SZ59" s="75">
        <f t="array" ref="SZ59">INDEX('Port Linkages'!$H$18:$H$157,MATCH(2,1/(('Port Linkages'!$C$18:$C$157=$AQ59)*('Port Linkages'!$D$18:$D$157=IF($AO59="no",$AQ59,$AS59))*('Port Linkages'!$A$18:$A$157&lt;=$C59))))</f>
        <v>0</v>
      </c>
      <c r="TA59" s="75">
        <f t="array" ref="TA59">INDEX('Port Linkages'!$I$18:$I$157,MATCH(2,1/(('Port Linkages'!$C$18:$C$157=$AQ59)*('Port Linkages'!$D$18:$D$157=IF($AO59="no",$AQ59,$AS59))*('Port Linkages'!$A$18:$A$157&lt;=$C59))))</f>
        <v>0</v>
      </c>
      <c r="TB59" s="75">
        <f t="array" ref="TB59">INDEX('Port Linkages'!$J$18:$J$157,MATCH(2,1/(('Port Linkages'!$C$18:$C$157=$AQ59)*('Port Linkages'!$D$18:$D$157=IF($AO59="no",$AQ59,$AS59))*('Port Linkages'!$A$18:$A$157&lt;=$C59))))</f>
        <v>0</v>
      </c>
      <c r="TC59" s="75">
        <f t="array" ref="TC59">INDEX('Port Linkages'!$K$18:$K$157,MATCH(2,1/(('Port Linkages'!$C$18:$C$157=$AQ59)*('Port Linkages'!$D$18:$D$157=IF($AO59="no",$AQ59,$AS59))*('Port Linkages'!$A$18:$A$157&lt;=$C59))))</f>
        <v>0</v>
      </c>
      <c r="TD59" s="75">
        <f t="array" ref="TD59">INDEX('Port Linkages'!$L$18:$L$157,MATCH(2,1/(('Port Linkages'!$C$18:$C$157=$AQ59)*('Port Linkages'!$D$18:$D$157=IF($AO59="no",$AQ59,$AS59))*('Port Linkages'!$A$18:$A$157&lt;=$C59))))</f>
        <v>0</v>
      </c>
      <c r="TE59" s="75">
        <f t="array" ref="TE59">INDEX('Port Linkages'!$M$18:$M$157,MATCH(2,1/(('Port Linkages'!$C$18:$C$157=$AQ59)*('Port Linkages'!$D$18:$D$157=IF($AO59="no",$AQ59,$AS59))*('Port Linkages'!$A$18:$A$157&lt;=$C59))))</f>
        <v>0</v>
      </c>
      <c r="TF59" s="75">
        <f t="array" ref="TF59">INDEX('Port Linkages'!$N$18:$N$157,MATCH(2,1/(('Port Linkages'!$C$18:$C$157=$AQ59)*('Port Linkages'!$D$18:$D$157=IF($AO59="no",$AQ59,$AS59))*('Port Linkages'!$A$18:$A$157&lt;=$C59))))</f>
        <v>0</v>
      </c>
      <c r="TG59" s="75">
        <f t="array" ref="TG59">INDEX('Port Linkages'!$O$18:$O$157,MATCH(2,1/(('Port Linkages'!$C$18:$C$157=$AQ59)*('Port Linkages'!$D$18:$D$157=IF($AO59="no",$AQ59,$AS59))*('Port Linkages'!$A$18:$A$157&lt;=$C59))))</f>
        <v>0</v>
      </c>
      <c r="TH59" s="75">
        <f t="array" ref="TH59">INDEX('Port Linkages'!$P$18:$P$157,MATCH(2,1/(('Port Linkages'!$C$18:$C$157=$AQ59)*('Port Linkages'!$D$18:$D$157=IF($AO59="no",$AQ59,$AS59))*('Port Linkages'!$A$18:$A$157&lt;=$C59))))</f>
        <v>0</v>
      </c>
      <c r="TI59" s="75">
        <f t="array" ref="TI59">INDEX('Port Linkages'!$Q$18:$Q$157,MATCH(2,1/(('Port Linkages'!$C$18:$C$157=$AQ59)*('Port Linkages'!$D$18:$D$157=IF($AO59="no",$AQ59,$AS59))*('Port Linkages'!$A$18:$A$157&lt;=$C59))))</f>
        <v>0</v>
      </c>
      <c r="TJ59" s="75">
        <f t="array" ref="TJ59">INDEX('Port Linkages'!$R$18:$R$157,MATCH(2,1/(('Port Linkages'!$C$18:$C$157=$AQ59)*('Port Linkages'!$D$18:$D$157=IF($AO59="no",$AQ59,$AS59))*('Port Linkages'!$A$18:$A$157&lt;=$C59))))</f>
        <v>0</v>
      </c>
      <c r="TK59" s="75">
        <f t="array" ref="TK59">INDEX('Port Linkages'!$S$18:$S$157,MATCH(2,1/(('Port Linkages'!$C$18:$C$157=$AQ59)*('Port Linkages'!$D$18:$D$157=IF($AO59="no",$AQ59,$AS59))*('Port Linkages'!$A$18:$A$157&lt;=$C59))))</f>
        <v>0</v>
      </c>
      <c r="TL59" s="75">
        <f t="array" ref="TL59">INDEX('Port Linkages'!$T$18:$T$157,MATCH(2,1/(('Port Linkages'!$C$18:$C$157=$AQ59)*('Port Linkages'!$D$18:$D$157=IF($AO59="no",$AQ59,$AS59))*('Port Linkages'!$A$18:$A$157&lt;=$C59))))</f>
        <v>0</v>
      </c>
      <c r="TM59" s="75">
        <f t="array" ref="TM59">INDEX('Port Linkages'!$U$18:$U$157,MATCH(2,1/(('Port Linkages'!$C$18:$C$157=$AQ59)*('Port Linkages'!$D$18:$D$157=IF($AO59="no",$AQ59,$AS59))*('Port Linkages'!$A$18:$A$157&lt;=$C59))))</f>
        <v>0</v>
      </c>
      <c r="TN59" s="75">
        <f t="array" ref="TN59">INDEX('Port Linkages'!$V$18:$V$157,MATCH(2,1/(('Port Linkages'!$C$18:$C$157=$AQ59)*('Port Linkages'!$D$18:$D$157=IF($AO59="no",$AQ59,$AS59))*('Port Linkages'!$A$18:$A$157&lt;=$C59))))</f>
        <v>0</v>
      </c>
      <c r="TO59" s="75">
        <f t="array" ref="TO59">INDEX('Port Linkages'!$W$18:$W$157,MATCH(2,1/(('Port Linkages'!$C$18:$C$157=$AQ59)*('Port Linkages'!$D$18:$D$157=IF($AO59="no",$AQ59,$AS59))*('Port Linkages'!$A$18:$A$157&lt;=$C59))))</f>
        <v>0</v>
      </c>
      <c r="TP59" s="75">
        <f t="array" ref="TP59">INDEX('Port Linkages'!$X$18:$X$157,MATCH(2,1/(('Port Linkages'!$C$18:$C$157=$AQ59)*('Port Linkages'!$D$18:$D$157=IF($AO59="no",$AQ59,$AS59))*('Port Linkages'!$A$18:$A$157&lt;=$C59))))</f>
        <v>0</v>
      </c>
      <c r="TQ59" s="75">
        <f t="array" ref="TQ59">INDEX('Port Linkages'!$Y$18:$Y$157,MATCH(2,1/(('Port Linkages'!$C$18:$C$157=$AQ59)*('Port Linkages'!$D$18:$D$157=IF($AO59="no",$AQ59,$AS59))*('Port Linkages'!$A$18:$A$157&lt;=$C59))))</f>
        <v>0</v>
      </c>
      <c r="TR59" s="75">
        <f t="array" ref="TR59">INDEX('Port Linkages'!$Z$18:$Z$157,MATCH(2,1/(('Port Linkages'!$C$18:$C$157=$AQ59)*('Port Linkages'!$D$18:$D$157=IF($AO59="no",$AQ59,$AS59))*('Port Linkages'!$A$18:$A$157&lt;=$C59))))</f>
        <v>0</v>
      </c>
      <c r="TS59" s="75">
        <f t="array" ref="TS59">INDEX('Port Linkages'!$AA$18:$AA$157,MATCH(2,1/(('Port Linkages'!$C$18:$C$157=$AQ59)*('Port Linkages'!$D$18:$D$157=IF($AO59="no",$AQ59,$AS59))*('Port Linkages'!$A$18:$A$157&lt;=$C59))))</f>
        <v>0</v>
      </c>
      <c r="TT59" s="75">
        <f t="array" ref="TT59">INDEX('Port Linkages'!$AB$18:$AB$157,MATCH(2,1/(('Port Linkages'!$C$18:$C$157=$AQ59)*('Port Linkages'!$D$18:$D$157=IF($AO59="no",$AQ59,$AS59))*('Port Linkages'!$A$18:$A$157&lt;=$C59))))</f>
        <v>0</v>
      </c>
      <c r="TU59" s="75">
        <f t="array" ref="TU59">INDEX('Port Linkages'!$AC$18:$AC$157,MATCH(2,1/(('Port Linkages'!$C$18:$C$157=$AQ59)*('Port Linkages'!$D$18:$D$157=IF($AO59="no",$AQ59,$AS59))*('Port Linkages'!$A$18:$A$157&lt;=$C59))))</f>
        <v>0</v>
      </c>
      <c r="TV59" s="75">
        <f t="array" ref="TV59">INDEX('Port Linkages'!$AD$18:$AD$157,MATCH(2,1/(('Port Linkages'!$C$18:$C$157=$AQ59)*('Port Linkages'!$D$18:$D$157=IF($AO59="no",$AQ59,$AS59))*('Port Linkages'!$A$18:$A$157&lt;=$C59))))</f>
        <v>0</v>
      </c>
      <c r="TW59" s="75">
        <f t="array" ref="TW59">INDEX('Port Linkages'!$AE$18:$AE$157,MATCH(2,1/(('Port Linkages'!$C$18:$C$157=$AQ59)*('Port Linkages'!$D$18:$D$157=IF($AO59="no",$AQ59,$AS59))*('Port Linkages'!$A$18:$A$157&lt;=$C59))))</f>
        <v>0</v>
      </c>
      <c r="TX59" s="75">
        <f t="array" ref="TX59">INDEX('Port Linkages'!$AF$18:$AF$157,MATCH(2,1/(('Port Linkages'!$C$18:$C$157=$AQ59)*('Port Linkages'!$D$18:$D$157=IF($AO59="no",$AQ59,$AS59))*('Port Linkages'!$A$18:$A$157&lt;=$C59))))</f>
        <v>0</v>
      </c>
      <c r="TY59" s="75">
        <f t="array" ref="TY59">INDEX('Port Linkages'!$AG$18:$AG$157,MATCH(2,1/(('Port Linkages'!$C$18:$C$157=$AQ59)*('Port Linkages'!$D$18:$D$157=IF($AO59="no",$AQ59,$AS59))*('Port Linkages'!$A$18:$A$157&lt;=$C59))))</f>
        <v>0</v>
      </c>
      <c r="TZ59" s="75">
        <f t="array" ref="TZ59">INDEX('Port Linkages'!$AH$18:$AH$157,MATCH(2,1/(('Port Linkages'!$C$18:$C$157=$AQ59)*('Port Linkages'!$D$18:$D$157=IF($AO59="no",$AQ59,$AS59))*('Port Linkages'!$A$18:$A$157&lt;=$C59))))</f>
        <v>0</v>
      </c>
      <c r="UA59" s="75">
        <f t="array" ref="UA59">INDEX('Port Linkages'!$AI$18:$AI$157,MATCH(2,1/(('Port Linkages'!$C$18:$C$157=$AQ59)*('Port Linkages'!$D$18:$D$157=IF($AO59="no",$AQ59,$AS59))*('Port Linkages'!$A$18:$A$157&lt;=$C59))))</f>
        <v>0</v>
      </c>
      <c r="UB59" s="75">
        <f t="array" ref="UB59">INDEX('Port Linkages'!$AJ$18:$AJ$157,MATCH(2,1/(('Port Linkages'!$C$18:$C$157=$AQ59)*('Port Linkages'!$D$18:$D$157=IF($AO59="no",$AQ59,$AS59))*('Port Linkages'!$A$18:$A$157&lt;=$C59))))</f>
        <v>0</v>
      </c>
      <c r="UC59" s="75">
        <f t="array" ref="UC59">INDEX('Port Linkages'!$AK$18:$AK$157,MATCH(2,1/(('Port Linkages'!$C$18:$C$157=$AQ59)*('Port Linkages'!$D$18:$D$157=IF($AO59="no",$AQ59,$AS59))*('Port Linkages'!$A$18:$A$157&lt;=$C59))))</f>
        <v>0</v>
      </c>
      <c r="UD59" s="75">
        <f t="array" ref="UD59">INDEX('Port Linkages'!$AL$18:$AL$157,MATCH(2,1/(('Port Linkages'!$C$18:$C$157=$AQ59)*('Port Linkages'!$D$18:$D$157=IF($AO59="no",$AQ59,$AS59))*('Port Linkages'!$A$18:$A$157&lt;=$C59))))</f>
        <v>0</v>
      </c>
      <c r="UE59" s="75">
        <f t="array" ref="UE59">INDEX('Port Linkages'!$AM$18:$AM$157,MATCH(2,1/(('Port Linkages'!$C$18:$C$157=$AQ59)*('Port Linkages'!$D$18:$D$157=IF($AO59="no",$AQ59,$AS59))*('Port Linkages'!$A$18:$A$157&lt;=$C59))))</f>
        <v>0</v>
      </c>
      <c r="UF59" s="75">
        <f t="array" ref="UF59">INDEX('Port Linkages'!$AN$18:$AN$157,MATCH(2,1/(('Port Linkages'!$C$18:$C$157=$AQ59)*('Port Linkages'!$D$18:$D$157=IF($AO59="no",$AQ59,$AS59))*('Port Linkages'!$A$18:$A$157&lt;=$C59))))</f>
        <v>0</v>
      </c>
      <c r="UG59" s="75">
        <f t="array" ref="UG59">INDEX('Port Linkages'!$AO$18:$AO$157,MATCH(2,1/(('Port Linkages'!$C$18:$C$157=$AQ59)*('Port Linkages'!$D$18:$D$157=IF($AO59="no",$AQ59,$AS59))*('Port Linkages'!$A$18:$A$157&lt;=$C59))))</f>
        <v>0</v>
      </c>
      <c r="UH59" s="75">
        <f t="array" ref="UH59">INDEX('Port Linkages'!$AP$18:$AP$157,MATCH(2,1/(('Port Linkages'!$C$18:$C$157=$AQ59)*('Port Linkages'!$D$18:$D$157=IF($AO59="no",$AQ59,$AS59))*('Port Linkages'!$A$18:$A$157&lt;=$C59))))</f>
        <v>0</v>
      </c>
      <c r="UI59" s="75">
        <f t="array" ref="UI59">INDEX('Port Linkages'!$AQ$18:$AQ$157,MATCH(2,1/(('Port Linkages'!$C$18:$C$157=$AQ59)*('Port Linkages'!$D$18:$D$157=IF($AO59="no",$AQ59,$AS59))*('Port Linkages'!$A$18:$A$157&lt;=$C59))))</f>
        <v>0</v>
      </c>
      <c r="UJ59" s="75">
        <f t="array" ref="UJ59">INDEX('Port Linkages'!$AR$18:$AR$157,MATCH(2,1/(('Port Linkages'!$C$18:$C$157=$AQ59)*('Port Linkages'!$D$18:$D$157=IF($AO59="no",$AQ59,$AS59))*('Port Linkages'!$A$18:$A$157&lt;=$C59))))</f>
        <v>0</v>
      </c>
      <c r="UK59" s="75">
        <f t="array" ref="UK59">INDEX('Port Linkages'!$AS$18:$AS$157,MATCH(2,1/(('Port Linkages'!$C$18:$C$157=$AQ59)*('Port Linkages'!$D$18:$D$157=IF($AO59="no",$AQ59,$AS59))*('Port Linkages'!$A$18:$A$157&lt;=$C59))))</f>
        <v>0</v>
      </c>
      <c r="UL59" s="75">
        <f t="array" ref="UL59">INDEX('Port Linkages'!$AT$18:$AT$157,MATCH(2,1/(('Port Linkages'!$C$18:$C$157=$AQ59)*('Port Linkages'!$D$18:$D$157=IF($AO59="no",$AQ59,$AS59))*('Port Linkages'!$A$18:$A$157&lt;=$C59))))</f>
        <v>0</v>
      </c>
      <c r="UM59" s="75">
        <f t="array" ref="UM59">INDEX('Port Linkages'!$AU$18:$AU$157,MATCH(2,1/(('Port Linkages'!$C$18:$C$157=$AQ59)*('Port Linkages'!$D$18:$D$157=IF($AO59="no",$AQ59,$AS59))*('Port Linkages'!$A$18:$A$157&lt;=$C59))))</f>
        <v>0</v>
      </c>
      <c r="UN59" s="75">
        <f t="array" ref="UN59">INDEX('Port Linkages'!$AV$18:$AV$157,MATCH(2,1/(('Port Linkages'!$C$18:$C$157=$AQ59)*('Port Linkages'!$D$18:$D$157=IF($AO59="no",$AQ59,$AS59))*('Port Linkages'!$A$18:$A$157&lt;=$C59))))</f>
        <v>0</v>
      </c>
      <c r="UO59" s="75">
        <f t="array" ref="UO59">INDEX('Port Linkages'!$AW$18:$AW$157,MATCH(2,1/(('Port Linkages'!$C$18:$C$157=$AQ59)*('Port Linkages'!$D$18:$D$157=IF($AO59="no",$AQ59,$AS59))*('Port Linkages'!$A$18:$A$157&lt;=$C59))))</f>
        <v>0</v>
      </c>
      <c r="UP59" s="75">
        <f t="array" ref="UP59">INDEX('Port Linkages'!$AX$18:$AX$157,MATCH(2,1/(('Port Linkages'!$C$18:$C$157=$AQ59)*('Port Linkages'!$D$18:$D$157=IF($AO59="no",$AQ59,$AS59))*('Port Linkages'!$A$18:$A$157&lt;=$C59))))</f>
        <v>0</v>
      </c>
      <c r="UQ59" s="75">
        <f t="array" ref="UQ59">INDEX('Port Linkages'!$AY$18:$AY$157,MATCH(2,1/(('Port Linkages'!$C$18:$C$157=$AQ59)*('Port Linkages'!$D$18:$D$157=IF($AO59="no",$AQ59,$AS59))*('Port Linkages'!$A$18:$A$157&lt;=$C59))))</f>
        <v>0</v>
      </c>
      <c r="UR59" s="75">
        <f t="array" ref="UR59">INDEX('Port Linkages'!$AZ$18:$AZ$157,MATCH(2,1/(('Port Linkages'!$C$18:$C$157=$AQ59)*('Port Linkages'!$D$18:$D$157=IF($AO59="no",$AQ59,$AS59))*('Port Linkages'!$A$18:$A$157&lt;=$C59))))</f>
        <v>0</v>
      </c>
      <c r="US59" s="75">
        <f t="array" ref="US59">INDEX('Port Linkages'!$BA$18:$BA$157,MATCH(2,1/(('Port Linkages'!$C$18:$C$157=$AQ59)*('Port Linkages'!$D$18:$D$157=IF($AO59="no",$AQ59,$AS59))*('Port Linkages'!$A$18:$A$157&lt;=$C59))))</f>
        <v>0</v>
      </c>
      <c r="UU59" s="25" t="e">
        <f t="array" aca="1" ref="UU59" ca="1">INDEX('Ship Fuel Prices'!$F$5:$F$1004,MATCH(2,1/(('Ship Fuel Prices'!$E$5:$E$1004=_xlfn.IFS(SJ59="Handysize",Main!UP59,SJ59="Supramax",UI59,SJ59="Panamax",UB59,SJ59="NeoPanamax",TU59,SJ59="Suezmax",TN59,SJ59="Capesize",TG59,SJ59="VLOC",SZ59))*('Ship Fuel Prices'!$D$5:$D$1004&lt;=Main!$C59))))</f>
        <v>#N/A</v>
      </c>
      <c r="UV59" s="25" t="e">
        <f t="array" aca="1" ref="UV59" ca="1">INDEX('Ship Fuel Prices'!$G$5:$G$1004,MATCH(2,1/(('Ship Fuel Prices'!$E$5:$E$1004=_xlfn.IFS(SJ59="Handysize",Main!UP59,SJ59="Supramax",UI59,SJ59="Panamax",UB59,SJ59="NeoPanamax",TU59,SJ59="Suezmax",TN59,SJ59="Capesize",TG59,SJ59="VLOC",SZ59))*('Ship Fuel Prices'!$D$5:$D$1004&lt;=Main!$C59))))</f>
        <v>#N/A</v>
      </c>
      <c r="UW59" s="25" t="e">
        <f t="array" aca="1" ref="UW59" ca="1">INDEX('Ship Fuel Prices'!$H$5:$H$1004,MATCH(2,1/(('Ship Fuel Prices'!$E$5:$E$1004=_xlfn.IFS(SJ59="Handysize",Main!UP59,SJ59="Supramax",UI59,SJ59="Panamax",UB59,SJ59="NeoPanamax",TU59,SJ59="Suezmax",TN59,SJ59="Capesize",TG59,SJ59="VLOC",SZ59))*('Ship Fuel Prices'!$D$5:$D$1004&lt;=Main!$C59))))</f>
        <v>#N/A</v>
      </c>
      <c r="UX59" s="25" t="e">
        <f t="array" aca="1" ref="UX59" ca="1">INDEX('Ship Fuel Prices'!$I$5:$I$1004,MATCH(2,1/(('Ship Fuel Prices'!$E$5:$E$1004=_xlfn.IFS(SJ59="Handysize",Main!UP59,SJ59="Supramax",UI59,SJ59="Panamax",UB59,SJ59="NeoPanamax",TU59,SJ59="Suezmax",TN59,SJ59="Capesize",TG59,SJ59="VLOC",SZ59))*('Ship Fuel Prices'!$D$5:$D$1004&lt;=Main!$C59))))</f>
        <v>#N/A</v>
      </c>
      <c r="UY59" s="25" t="e">
        <f t="array" aca="1" ref="UY59" ca="1">INDEX('Ship Fuel Prices'!$J$5:$J$1004,MATCH(2,1/(('Ship Fuel Prices'!$E$5:$E$1004=_xlfn.IFS(SJ59="Handysize",Main!UP59,SJ59="Supramax",UI59,SJ59="Panamax",UB59,SJ59="NeoPanamax",TU59,SJ59="Suezmax",TN59,SJ59="Capesize",TG59,SJ59="VLOC",SZ59))*('Ship Fuel Prices'!$D$5:$D$1004&lt;=Main!$C59))))</f>
        <v>#N/A</v>
      </c>
      <c r="VA59" s="75">
        <f t="array" ref="VA59">INDEX('China n Importing Ports'!$E$20:$E$41,MATCH(2,1/(('China n Importing Ports'!$D$20:$D$41&lt;=$C59)*('China n Importing Ports'!$C$20:$C$41=IF($AO59="No",$AQ59,$AS59)))))</f>
        <v>0</v>
      </c>
      <c r="VB59" s="75">
        <f t="array" ref="VB59">INDEX('China n Importing Ports'!$F$20:$F$41,MATCH(2,1/(('China n Importing Ports'!$D$20:$D$41&lt;=$C59)*('China n Importing Ports'!$C$20:$C$41=IF($AO59="No",$AQ59,$AS59)))))</f>
        <v>0</v>
      </c>
      <c r="VC59" s="75">
        <f t="array" ref="VC59">INDEX('China n Importing Ports'!$G$20:$G$41,MATCH(2,1/(('China n Importing Ports'!$D$20:$D$41&lt;=$C59)*('China n Importing Ports'!$C$20:$C$41=IF($AO59="No",$AQ59,$AS59)))))</f>
        <v>0</v>
      </c>
      <c r="VD59" s="75">
        <f t="array" ref="VD59">INDEX('China n Importing Ports'!$H$20:$H$41,MATCH(2,1/(('China n Importing Ports'!$D$20:$D$41&lt;=$C59)*('China n Importing Ports'!$C$20:$C$41=IF($AO59="No",$AQ59,$AS59)))))</f>
        <v>0</v>
      </c>
      <c r="VE59" s="75">
        <f t="array" ref="VE59">INDEX('China n Importing Ports'!$I$20:$I$41,MATCH(2,1/(('China n Importing Ports'!$D$20:$D$41&lt;=$C59)*('China n Importing Ports'!$C$20:$C$41=IF($AO59="No",$AQ59,$AS59)))))</f>
        <v>0</v>
      </c>
      <c r="VF59" s="75">
        <f t="array" ref="VF59">INDEX('China n Importing Ports'!$J$20:$J$41,MATCH(2,1/(('China n Importing Ports'!$D$20:$D$41&lt;=$C59)*('China n Importing Ports'!$C$20:$C$41=IF($AO59="No",$AQ59,$AS59)))))</f>
        <v>0</v>
      </c>
      <c r="VG59" s="75">
        <f t="array" ref="VG59">INDEX('China n Importing Ports'!$K$20:$K$41,MATCH(2,1/(('China n Importing Ports'!$D$20:$D$41&lt;=$C59)*('China n Importing Ports'!$C$20:$C$41=IF($AO59="No",$AQ59,$AS59)))))</f>
        <v>0</v>
      </c>
      <c r="VH59" s="75">
        <f t="array" ref="VH59">INDEX('China n Importing Ports'!$L$20:$L$41,MATCH(2,1/(('China n Importing Ports'!$D$20:$D$41&lt;=$C59)*('China n Importing Ports'!$C$20:$C$41=IF($AO59="No",$AQ59,$AS59)))))</f>
        <v>0</v>
      </c>
      <c r="VI59" s="75">
        <f t="array" ref="VI59">INDEX('China n Importing Ports'!$M$20:$M$41,MATCH(2,1/(('China n Importing Ports'!$D$20:$D$41&lt;=$C59)*('China n Importing Ports'!$C$20:$C$41=IF($AO59="No",$AQ59,$AS59)))))</f>
        <v>0</v>
      </c>
      <c r="VJ59" s="75">
        <f t="array" ref="VJ59">INDEX('China n Importing Ports'!$N$20:$N$41,MATCH(2,1/(('China n Importing Ports'!$D$20:$D$41&lt;=$C59)*('China n Importing Ports'!$C$20:$C$41=IF($AO59="No",$AQ59,$AS59)))))</f>
        <v>0</v>
      </c>
      <c r="VK59" s="75">
        <f t="array" ref="VK59">INDEX('China n Importing Ports'!$O$20:$O$41,MATCH(2,1/(('China n Importing Ports'!$D$20:$D$41&lt;=$C59)*('China n Importing Ports'!$C$20:$C$41=IF($AO59="No",$AQ59,$AS59)))))</f>
        <v>0</v>
      </c>
      <c r="VL59" s="136">
        <f t="array" ref="VL59">INDEX('China n Importing Ports'!$P$20:$P$41,MATCH(2,1/(('China n Importing Ports'!$D$20:$D$41&lt;=$C59)*('China n Importing Ports'!$C$20:$C$41=IF($AO59="No",$AQ59,$AS59)))))</f>
        <v>0</v>
      </c>
      <c r="VM59" s="136">
        <f t="array" ref="VM59">INDEX('China n Importing Ports'!$Q$20:$Q$41,MATCH(2,1/(('China n Importing Ports'!$D$20:$D$41&lt;=$C59)*('China n Importing Ports'!$C$20:$C$41=IF($AO59="No",$AQ59,$AS59)))))</f>
        <v>0</v>
      </c>
      <c r="VN59" s="136">
        <f t="array" ref="VN59">INDEX('China n Importing Ports'!$R$20:$R$41,MATCH(2,1/(('China n Importing Ports'!$D$20:$D$41&lt;=$C59)*('China n Importing Ports'!$C$20:$C$41=IF($AO59="No",$AQ59,$AS59)))))</f>
        <v>0</v>
      </c>
      <c r="VO59" s="136">
        <f t="array" ref="VO59">INDEX('China n Importing Ports'!$S$20:$S$41,MATCH(2,1/(('China n Importing Ports'!$D$20:$D$41&lt;=$C59)*('China n Importing Ports'!$C$20:$C$41=IF($AO59="No",$AQ59,$AS59)))))</f>
        <v>0</v>
      </c>
      <c r="VP59" s="136">
        <f t="array" ref="VP59">INDEX('China n Importing Ports'!$T$20:$T$41,MATCH(2,1/(('China n Importing Ports'!$D$20:$D$41&lt;=$C59)*('China n Importing Ports'!$C$20:$C$41=IF($AO59="No",$AQ59,$AS59)))))</f>
        <v>0</v>
      </c>
      <c r="VQ59" s="136">
        <f t="array" ref="VQ59">INDEX('China n Importing Ports'!$U$20:$U$41,MATCH(2,1/(('China n Importing Ports'!$D$20:$D$41&lt;=$C59)*('China n Importing Ports'!$C$20:$C$41=IF($AO59="No",$AQ59,$AS59)))))</f>
        <v>0</v>
      </c>
      <c r="VR59" s="136">
        <f t="array" ref="VR59">INDEX('China n Importing Ports'!$V$20:$V$41,MATCH(2,1/(('China n Importing Ports'!$D$20:$D$41&lt;=$C59)*('China n Importing Ports'!$C$20:$C$41=IF($AO59="No",$AQ59,$AS59)))))</f>
        <v>0</v>
      </c>
      <c r="VS59" s="136">
        <f t="array" ref="VS59">INDEX('China n Importing Ports'!$W$20:$W$41,MATCH(2,1/(('China n Importing Ports'!$D$20:$D$41&lt;=$C59)*('China n Importing Ports'!$C$20:$C$41=IF($AO59="No",$AQ59,$AS59)))))</f>
        <v>0</v>
      </c>
      <c r="VT59" s="136">
        <f t="array" ref="VT59">INDEX('China n Importing Ports'!$X$20:$X$41,MATCH(2,1/(('China n Importing Ports'!$D$20:$D$41&lt;=$C59)*('China n Importing Ports'!$C$20:$C$41=IF($AO59="No",$AQ59,$AS59)))))</f>
        <v>0</v>
      </c>
      <c r="VU59" s="136">
        <f t="array" ref="VU59">INDEX('China n Importing Ports'!$Y$20:$Y$41,MATCH(2,1/(('China n Importing Ports'!$D$20:$D$41&lt;=$C59)*('China n Importing Ports'!$C$20:$C$41=IF($AO59="No",$AQ59,$AS59)))))</f>
        <v>0</v>
      </c>
      <c r="VV59" s="136">
        <f t="array" ref="VV59">INDEX('China n Importing Ports'!$Z$20:$Z$41,MATCH(2,1/(('China n Importing Ports'!$D$20:$D$41&lt;=$C59)*('China n Importing Ports'!$C$20:$C$41=IF($AO59="No",$AQ59,$AS59)))))</f>
        <v>0</v>
      </c>
      <c r="VW59" s="136">
        <f t="array" ref="VW59">INDEX('China n Importing Ports'!$AA$20:$AA$41,MATCH(2,1/(('China n Importing Ports'!$D$20:$D$41&lt;=$C59)*('China n Importing Ports'!$C$20:$C$41=IF($AO59="No",$AQ59,$AS59)))))</f>
        <v>0</v>
      </c>
      <c r="VY59" s="75" t="e">
        <f t="array" aca="1" ref="VY59" ca="1">INDEX(Canals!$G$24:$G$29,MATCH(2,1/((Canals!$F$24:$F$29&lt;=$C59)*(Canals!$G$24:$G$29=_xlfn.IFS(SJ59="Handysize",US59,SJ59="Supramax",UL59,SJ59="Panamax",UE59,SJ59="NeoPanamax",TX59,SJ59="Suezmax",TQ59,SJ59="Capesize",TJ59,SJ59="VLOC",TC59)))))</f>
        <v>#N/A</v>
      </c>
      <c r="VZ59" s="75" t="e">
        <f t="array" aca="1" ref="VZ59" ca="1">INDEX(Canals!$H$24:$H$29,MATCH(2,1/((Canals!$F$24:$F$29&lt;=$C59)*(Canals!$G$24:$G$29=_xlfn.IFS(SJ59="Handysize",US59,SJ59="Supramax",UL59,SJ59="Panamax",UE59,SJ59="NeoPanamax",TX59,SJ59="Suezmax",TQ59,SJ59="Capesize",TJ59,SJ59="VLOC",TC59)))))</f>
        <v>#N/A</v>
      </c>
      <c r="WA59" s="75" t="e">
        <f t="array" aca="1" ref="WA59" ca="1">INDEX(Canals!$I$24:$I$29,MATCH(2,1/((Canals!$F$24:$F$29&lt;=$C59)*(Canals!$G$24:$G$29=_xlfn.IFS(SJ59="Handysize",US59,SJ59="Supramax",UL59,SJ59="Panamax",UE59,SJ59="NeoPanamax",TX59,SJ59="Suezmax",TQ59,SJ59="Capesize",TJ59,SJ59="VLOC",TC59)))))</f>
        <v>#N/A</v>
      </c>
      <c r="WB59" s="75" t="e">
        <f t="array" aca="1" ref="WB59" ca="1">INDEX(Canals!$J$24:$J$29,MATCH(2,1/((Canals!$F$24:$F$29&lt;=$C59)*(Canals!$G$24:$G$29=_xlfn.IFS(SJ59="Handysize",Main!US59,SJ59="Supramax",UL59,SJ59="Panamax",UE59,SJ59="NeoPanamax",TX59,SJ59="Suezmax",TQ59,SJ59="Capesize",TJ59,SJ59="VLOC",TC59)))))</f>
        <v>#N/A</v>
      </c>
      <c r="WC59" s="75" t="e">
        <f t="array" aca="1" ref="WC59" ca="1">INDEX(Canals!$K$24:$K$29,MATCH(2,1/((Canals!$F$24:$F$29&lt;=$C59)*(Canals!$G$24:$G$29=_xlfn.IFS(SJ59="Handysize",Main!US59,SJ59="Supramax",UL59,SJ59="Panamax",UE59,SJ59="NeoPanamax",TX59,SJ59="Suezmax",TQ59,SJ59="Capesize",TJ59,SJ59="VLOC",TC59)))))</f>
        <v>#N/A</v>
      </c>
      <c r="WD59" s="75" t="e">
        <f t="array" aca="1" ref="WD59" ca="1">INDEX(Canals!$L$24:$L$29,MATCH(2,1/((Canals!$F$24:$F$29&lt;=$C59)*(Canals!$G$24:$G$29=_xlfn.IFS(SJ59="Handysize",Main!US59,SJ59="Supramax",UL59,SJ59="Panamax",UE59,SJ59="NeoPanamax",TX59,SJ59="Suezmax",TQ59,SJ59="Capesize",TJ59,SJ59="VLOC",TC59)))))</f>
        <v>#N/A</v>
      </c>
      <c r="WE59" s="75" t="e">
        <f t="array" aca="1" ref="WE59" ca="1">INDEX(Canals!$M$24:$M$29,MATCH(2,1/((Canals!$F$24:$F$29&lt;=$C59)*(Canals!$G$24:$G$29=_xlfn.IFS(SJ59="Handysize",Main!US59,SJ59="Supramax",UL59,SJ59="Panamax",UE59,SJ59="NeoPanamax",TX59,SJ59="Suezmax",TQ59,SJ59="Capesize",TJ59,SJ59="VLOC",TC59)))))</f>
        <v>#N/A</v>
      </c>
      <c r="WF59" s="75" t="e">
        <f t="array" aca="1" ref="WF59" ca="1">INDEX(Canals!$N$24:$N$29,MATCH(2,1/((Canals!$F$24:$F$29&lt;=$C59)*(Canals!$G$24:$G$29=_xlfn.IFS(SJ59="Handysize",Main!US59,SJ59="Supramax",UL59,SJ59="Panamax",UE59,SJ59="NeoPanamax",TX59,SJ59="Suezmax",TQ59,SJ59="Capesize",TJ59,SJ59="VLOC",TC59)))))</f>
        <v>#N/A</v>
      </c>
      <c r="WG59" s="75" t="e">
        <f t="array" aca="1" ref="WG59" ca="1">INDEX(Canals!$O$24:$O$29,MATCH(2,1/((Canals!$F$24:$F$29&lt;=$C59)*(Canals!$G$24:$G$29=_xlfn.IFS(SJ59="Handysize",Main!US59,SJ59="Supramax",UL59,SJ59="Panamax",UE59,SJ59="NeoPanamax",TX59,SJ59="Suezmax",TQ59,SJ59="Capesize",TJ59,SJ59="VLOC",TC59)))))</f>
        <v>#N/A</v>
      </c>
      <c r="WH59" s="75" t="e">
        <f t="array" aca="1" ref="WH59" ca="1">INDEX(Canals!$P$24:$P$29,MATCH(2,1/((Canals!$F$24:$F$29&lt;=$C59)*(Canals!$G$24:$G$29=_xlfn.IFS(SJ59="Handysize",Main!US59,SJ59="Supramax",UL59,SJ59="Panamax",UE59,SJ59="NeoPanamax",TX59,SJ59="Suezmax",TQ59,SJ59="Capesize",TJ59,SJ59="VLOC",TC59)))))</f>
        <v>#N/A</v>
      </c>
      <c r="WI59" s="75" t="e">
        <f t="array" aca="1" ref="WI59" ca="1">INDEX(Canals!$Q$24:$Q$29,MATCH(2,1/((Canals!$F$24:$F$29&lt;=$C59)*(Canals!$G$24:$G$29=_xlfn.IFS(SJ59="Handysize",Main!US59,SJ59="Supramax",UL59,SJ59="Panamax",UE59,SJ59="NeoPanamax",TX59,SJ59="Suezmax",TQ59,SJ59="Capesize",TJ59,SJ59="VLOC",TC59)))))</f>
        <v>#N/A</v>
      </c>
      <c r="WJ59" s="75" t="e">
        <f t="array" aca="1" ref="WJ59" ca="1">INDEX(Canals!$R$24:$R$29,MATCH(2,1/((Canals!$F$24:$F$29&lt;=$C59)*(Canals!$G$24:$G$29=_xlfn.IFS(SJ59="Handysize",Main!US59,SJ59="Supramax",UL59,SJ59="Panamax",UE59,SJ59="NeoPanamax",TX59,SJ59="Suezmax",TQ59,SJ59="Capesize",TJ59,SJ59="VLOC",TC59)))))</f>
        <v>#N/A</v>
      </c>
      <c r="WK59" s="136" t="e">
        <f t="array" aca="1" ref="WK59" ca="1">INDEX(Canals!$S$24:$S$29,MATCH(2,1/((Canals!$F$24:$F$29&lt;=$C59)*(Canals!$G$24:$G$29=_xlfn.IFS(SJ59="Handysize",Main!US59,SJ59="Supramax",UL59,SJ59="Panamax",UE59,SJ59="NeoPanamax",TX59,SJ59="Suezmax",TQ59,SJ59="Capesize",TJ59,SJ59="VLOC",TC59)))))</f>
        <v>#N/A</v>
      </c>
      <c r="WL59" s="136" t="e">
        <f t="array" aca="1" ref="WL59" ca="1">INDEX(Canals!$T$24:$T$29,MATCH(2,1/((Canals!$F$24:$F$29&lt;=$C59)*(Canals!$G$24:$G$29=_xlfn.IFS(SJ59="Handysize",Main!US59,SJ59="Supramax",UL59,SJ59="Panamax",UE59,SJ59="NeoPanamax",TX59,SJ59="Suezmax",TQ59,SJ59="Capesize",TJ59,SJ59="VLOC",TC59)))))</f>
        <v>#N/A</v>
      </c>
      <c r="WM59" s="136" t="e">
        <f t="array" aca="1" ref="WM59" ca="1">INDEX(Canals!$U$24:$U$29,MATCH(2,1/((Canals!$F$24:$F$29&lt;=$C59)*(Canals!$G$24:$G$29=_xlfn.IFS(SJ59="Handysize",Main!US59,SJ59="Supramax",UL59,SJ59="Panamax",UE59,SJ59="NeoPanamax",TX59,SJ59="Suezmax",TQ59,SJ59="Capesize",TJ59,SJ59="VLOC",TC59)))))</f>
        <v>#N/A</v>
      </c>
      <c r="WN59" s="136" t="e">
        <f t="array" aca="1" ref="WN59" ca="1">INDEX(Canals!$V$24:$V$29,MATCH(2,1/((Canals!$F$24:$F$29&lt;=$C59)*(Canals!$G$24:$G$29=_xlfn.IFS(SJ59="Handysize",Main!US59,SJ59="Supramax",UL59,SJ59="Panamax",UE59,SJ59="NeoPanamax",TX59,SJ59="Suezmax",TQ59,SJ59="Capesize",TJ59,SJ59="VLOC",TC59)))))</f>
        <v>#N/A</v>
      </c>
      <c r="WO59" s="136" t="e">
        <f t="array" aca="1" ref="WO59" ca="1">INDEX(Canals!$W$24:$W$29,MATCH(2,1/((Canals!$F$24:$F$29&lt;=$C59)*(Canals!$G$24:$G$29=_xlfn.IFS(SJ59="Handysize",Main!US59,SJ59="Supramax",UL59,SJ59="Panamax",UE59,SJ59="NeoPanamax",TX59,SJ59="Suezmax",TQ59,SJ59="Capesize",TJ59,SJ59="VLOC",TC59)))))</f>
        <v>#N/A</v>
      </c>
      <c r="WP59" s="136" t="e">
        <f t="array" aca="1" ref="WP59" ca="1">INDEX(Canals!$X$24:$X$29,MATCH(2,1/((Canals!$F$24:$F$29&lt;=$C59)*(Canals!$G$24:$G$29=_xlfn.IFS(SJ59="Handysize",Main!US59,SJ59="Supramax",UL59,SJ59="Panamax",UE59,SJ59="NeoPanamax",TX59,SJ59="Suezmax",TQ59,SJ59="Capesize",TJ59,SJ59="VLOC",TC59)))))</f>
        <v>#N/A</v>
      </c>
      <c r="WQ59" s="136" t="e">
        <f t="array" aca="1" ref="WQ59" ca="1">INDEX(Canals!$Y$24:$Y$29,MATCH(2,1/((Canals!$F$24:$F$29&lt;=$C59)*(Canals!$G$24:$G$29=_xlfn.IFS(SJ59="Handysize",Main!US59,SJ59="Supramax",UL59,SJ59="Panamax",UE59,SJ59="NeoPanamax",TX59,SJ59="Suezmax",TQ59,SJ59="Capesize",TJ59,SJ59="VLOC",TC59)))))</f>
        <v>#N/A</v>
      </c>
      <c r="WR59" s="136" t="e">
        <f t="array" aca="1" ref="WR59" ca="1">INDEX(Canals!$Z$24:$Z$29,MATCH(2,1/((Canals!$F$24:$F$29&lt;=$C59)*(Canals!$G$24:$G$29=_xlfn.IFS(SJ59="Handysize",Main!US59,SJ59="Supramax",UL59,SJ59="Panamax",UE59,SJ59="NeoPanamax",TX59,SJ59="Suezmax",TQ59,SJ59="Capesize",TJ59,SJ59="VLOC",TC59)))))</f>
        <v>#N/A</v>
      </c>
      <c r="WS59" s="136" t="e">
        <f t="array" aca="1" ref="WS59" ca="1">INDEX(Canals!$AA$24:$AA$29,MATCH(2,1/((Canals!$F$24:$F$29&lt;=$C59)*(Canals!$G$24:$G$29=_xlfn.IFS(SJ59="Handysize",Main!US59,SJ59="Supramax",UL59,SJ59="Panamax",UE59,SJ59="NeoPanamax",TX59,SJ59="Suezmax",TQ59,SJ59="Capesize",TJ59,SJ59="VLOC",TC59)))))</f>
        <v>#N/A</v>
      </c>
      <c r="WT59" s="136" t="e">
        <f t="array" aca="1" ref="WT59" ca="1">INDEX(Canals!$AB$24:$AB$29,MATCH(2,1/((Canals!$F$24:$F$29&lt;=$C59)*(Canals!$G$24:$G$29=_xlfn.IFS(SJ59="Handysize",Main!US59,SJ59="Supramax",UL59,SJ59="Panamax",UE59,SJ59="NeoPanamax",TX59,SJ59="Suezmax",TQ59,SJ59="Capesize",TJ59,SJ59="VLOC",TC59)))))</f>
        <v>#N/A</v>
      </c>
      <c r="WU59" s="75" t="e">
        <f t="array" aca="1" ref="WU59" ca="1">INDEX(Canals!$AC$24:$AC$29,MATCH(2,1/((Canals!$F$24:$F$29&lt;=$C59)*(Canals!$G$24:$G$29=_xlfn.IFS(SJ59="Handysize",Main!US59,SJ59="Supramax",UL59,SJ59="Panamax",UE59,SJ59="NeoPanamax",TX59,SJ59="Suezmax",TQ59,SJ59="Capesize",TJ59,SJ59="VLOC",TC59)))))</f>
        <v>#N/A</v>
      </c>
      <c r="WV59" s="75" t="e">
        <f t="array" aca="1" ref="WV59" ca="1">INDEX(Canals!$AD$24:$AD$29,MATCH(2,1/((Canals!$F$24:$F$29&lt;=$C59)*(Canals!$G$24:$G$29=_xlfn.IFS(SJ59="Handysize",Main!US59,SJ59="Supramax",UL59,SJ59="Panamax",UE59,SJ59="NeoPanamax",TX59,SJ59="Suezmax",TQ59,SJ59="Capesize",TJ59,SJ59="VLOC",TC59)))))</f>
        <v>#N/A</v>
      </c>
      <c r="WW59" s="75" t="e">
        <f t="array" aca="1" ref="WW59" ca="1">INDEX(Canals!$AE$24:$AE$29,MATCH(2,1/((Canals!$F$24:$F$29&lt;=$C59)*(Canals!$G$24:$G$29=_xlfn.IFS(SJ59="Handysize",Main!US59,SJ59="Supramax",UL59,SJ59="Panamax",UE59,SJ59="NeoPanamax",TX59,SJ59="Suezmax",TQ59,SJ59="Capesize",TJ59,SJ59="VLOC",TC59)))))</f>
        <v>#N/A</v>
      </c>
      <c r="WX59" s="75" t="e">
        <f t="array" aca="1" ref="WX59" ca="1">INDEX(Canals!$AF$24:$AF$29,MATCH(2,1/((Canals!$F$24:$F$29&lt;=$C59)*(Canals!$G$24:$G$29=_xlfn.IFS(SJ59="Handysize",Main!US59,SJ59="Supramax",UL59,SJ59="Panamax",UE59,SJ59="NeoPanamax",TX59,SJ59="Suezmax",TQ59,SJ59="Capesize",TJ59,SJ59="VLOC",TC59)))))</f>
        <v>#N/A</v>
      </c>
      <c r="WY59" s="75" t="e">
        <f t="array" aca="1" ref="WY59" ca="1">INDEX(Canals!$AG$24:$AG$29,MATCH(2,1/((Canals!$F$24:$F$29&lt;=$C59)*(Canals!$G$24:$G$29=_xlfn.IFS(SJ59="Handysize",Main!US59,SJ59="Supramax",UL59,SJ59="Panamax",UE59,SJ59="NeoPanamax",TX59,SJ59="Suezmax",TQ59,SJ59="Capesize",TJ59,SJ59="VLOC",TC59)))))</f>
        <v>#N/A</v>
      </c>
      <c r="WZ59" s="75" t="e">
        <f t="array" aca="1" ref="WZ59" ca="1">INDEX(Canals!$AH$24:$AH$29,MATCH(2,1/((Canals!$F$24:$F$29&lt;=$C59)*(Canals!$G$24:$G$29=_xlfn.IFS(SJ59="Handysize",Main!US59,SJ59="Supramax",UL59,SJ59="Panamax",UE59,SJ59="NeoPanamax",TX59,SJ59="Suezmax",TQ59,SJ59="Capesize",TJ59,SJ59="VLOC",TC59)))))</f>
        <v>#N/A</v>
      </c>
      <c r="XA59" s="75" t="e">
        <f t="array" aca="1" ref="XA59" ca="1">INDEX(Canals!$AI$24:$AI$29,MATCH(2,1/((Canals!$F$24:$F$29&lt;=$C59)*(Canals!$G$24:$G$29=_xlfn.IFS(SJ59="Handysize",Main!US59,SJ59="Supramax",UL59,SJ59="Panamax",UE59,SJ59="NeoPanamax",TX59,SJ59="Suezmax",TQ59,SJ59="Capesize",TJ59,SJ59="VLOC",TC59)))))</f>
        <v>#N/A</v>
      </c>
      <c r="XB59" s="75" t="e">
        <f t="array" aca="1" ref="XB59" ca="1">INDEX(Canals!$AJ$24:$AJ$29,MATCH(2,1/((Canals!$F$24:$F$29&lt;=$C59)*(Canals!$G$24:$G$29=_xlfn.IFS(SJ59="Handysize",Main!US59,SJ59="Supramax",UL59,SJ59="Panamax",UE59,SJ59="NeoPanamax",TX59,SJ59="Suezmax",TQ59,SJ59="Capesize",TJ59,SJ59="VLOC",TC59)))))</f>
        <v>#N/A</v>
      </c>
      <c r="XC59" s="75" t="e">
        <f t="array" aca="1" ref="XC59" ca="1">INDEX(Canals!$AK$24:$AK$29,MATCH(2,1/((Canals!$F$24:$F$29&lt;=$C59)*(Canals!$G$24:$G$29=_xlfn.IFS(SJ59="Handysize",Main!US59,SJ59="Supramax",UL59,SJ59="Panamax",UE59,SJ59="NeoPanamax",TX59,SJ59="Suezmax",TQ59,SJ59="Capesize",TJ59,SJ59="VLOC",TC59)))))</f>
        <v>#N/A</v>
      </c>
      <c r="XD59" s="136" t="e">
        <f t="array" aca="1" ref="XD59" ca="1">INDEX(Canals!$AL$24:$AL$29,MATCH(2,1/((Canals!$F$24:$F$29&lt;=$C59)*(Canals!$G$24:$G$29=_xlfn.IFS(SJ59="Handysize",Main!US59,SJ59="Supramax",UL59,SJ59="Panamax",UE59,SJ59="NeoPanamax",TX59,SJ59="Suezmax",TQ59,SJ59="Capesize",TJ59,SJ59="VLOC",TC59)))))</f>
        <v>#N/A</v>
      </c>
      <c r="XE59" s="136" t="e">
        <f t="array" aca="1" ref="XE59" ca="1">INDEX(Canals!$AM$24:$AM$29,MATCH(2,1/((Canals!$F$24:$F$29&lt;=$C59)*(Canals!$G$24:$G$29=_xlfn.IFS(SJ59="Handysize",Main!US59,SJ59="Supramax",UL59,SJ59="Panamax",UE59,SJ59="NeoPanamax",TX59,SJ59="Suezmax",TQ59,SJ59="Capesize",TJ59,SJ59="VLOC",TC59)))))</f>
        <v>#N/A</v>
      </c>
      <c r="XF59" s="136" t="e">
        <f t="array" aca="1" ref="XF59" ca="1">INDEX(Canals!$AN$24:$AN$29,MATCH(2,1/((Canals!$F$24:$F$29&lt;=$C59)*(Canals!$G$24:$G$29=_xlfn.IFS(SJ59="Handysize",Main!US59,SJ59="Supramax",UL59,SJ59="Panamax",UE59,SJ59="NeoPanamax",TX59,SJ59="Suezmax",TQ59,SJ59="Capesize",TJ59,SJ59="VLOC",TC59)))))</f>
        <v>#N/A</v>
      </c>
      <c r="XG59" s="136" t="e">
        <f t="array" aca="1" ref="XG59" ca="1">INDEX(Canals!$AO$24:$AO$29,MATCH(2,1/((Canals!$F$24:$F$29&lt;=$C59)*(Canals!$G$24:$G$29=_xlfn.IFS(SJ59="Handysize",Main!US59,SJ59="Supramax",UL59,SJ59="Panamax",UE59,SJ59="NeoPanamax",TX59,SJ59="Suezmax",TQ59,SJ59="Capesize",TJ59,SJ59="VLOC",TC59)))))</f>
        <v>#N/A</v>
      </c>
      <c r="XH59" s="136" t="e">
        <f t="array" aca="1" ref="XH59" ca="1">INDEX(Canals!$AP$24:$AP$29,MATCH(2,1/((Canals!$F$24:$F$29&lt;=$C59)*(Canals!$G$24:$G$29=_xlfn.IFS(SJ59="Handysize",Main!US59,SJ59="Supramax",UL59,SJ59="Panamax",UE59,SJ59="NeoPanamax",TX59,SJ59="Suezmax",TQ59,SJ59="Capesize",TJ59,SJ59="VLOC",TC59)))))</f>
        <v>#N/A</v>
      </c>
      <c r="XI59" s="136" t="e">
        <f t="array" aca="1" ref="XI59" ca="1">INDEX(Canals!$AQ$24:$AQ$29,MATCH(2,1/((Canals!$F$24:$F$29&lt;=$C59)*(Canals!$G$24:$G$29=_xlfn.IFS(SJ59="Handysize",Main!US59,SJ59="Supramax",UL59,SJ59="Panamax",UE59,SJ59="NeoPanamax",TX59,SJ59="Suezmax",TQ59,SJ59="Capesize",TJ59,SJ59="VLOC",TC59)))))</f>
        <v>#N/A</v>
      </c>
      <c r="XJ59" s="136" t="e">
        <f t="array" aca="1" ref="XJ59" ca="1">INDEX(Canals!$AR$24:$AR$29,MATCH(2,1/((Canals!$F$24:$F$29&lt;=$C59)*(Canals!$G$24:$G$29=_xlfn.IFS(SJ59="Handysize",Main!US59,SJ59="Supramax",UL59,SJ59="Panamax",UE59,SJ59="NeoPanamax",TX59,SJ59="Suezmax",TQ59,SJ59="Capesize",TJ59,SJ59="VLOC",TC59)))))</f>
        <v>#N/A</v>
      </c>
      <c r="XK59" s="136" t="e">
        <f t="array" aca="1" ref="XK59" ca="1">INDEX(Canals!$AS$24:$AS$29,MATCH(2,1/((Canals!$F$24:$F$29&lt;=$C59)*(Canals!$G$24:$G$29=_xlfn.IFS(SJ59="Handysize",Main!US59,SJ59="Supramax",UL59,SJ59="Panamax",UE59,SJ59="NeoPanamax",TX59,SJ59="Suezmax",TQ59,SJ59="Capesize",TJ59,SJ59="VLOC",TC59)))))</f>
        <v>#N/A</v>
      </c>
      <c r="XL59" s="136" t="e">
        <f t="array" aca="1" ref="XL59" ca="1">INDEX(Canals!$AT$24:$AT$29,MATCH(2,1/((Canals!$F$24:$F$29&lt;=$C59)*(Canals!$G$24:$G$29=_xlfn.IFS(SJ59="Handysize",Main!US59,SJ59="Supramax",UL59,SJ59="Panamax",UE59,SJ59="NeoPanamax",TX59,SJ59="Suezmax",TQ59,SJ59="Capesize",TJ59,SJ59="VLOC",TC59)))))</f>
        <v>#N/A</v>
      </c>
      <c r="XM59" s="136" t="e">
        <f t="array" aca="1" ref="XM59" ca="1">INDEX(Canals!$AU$24:$AU$29,MATCH(2,1/((Canals!$F$24:$F$29&lt;=$C59)*(Canals!$G$24:$G$29=_xlfn.IFS(SJ59="Handysize",Main!US59,SJ59="Supramax",UL59,SJ59="Panamax",UE59,SJ59="NeoPanamax",TX59,SJ59="Suezmax",TQ59,SJ59="Capesize",TJ59,SJ59="VLOC",TC59)))))</f>
        <v>#N/A</v>
      </c>
      <c r="XN59" s="136" t="e">
        <f t="array" aca="1" ref="XN59" ca="1">INDEX(Canals!$AV$24:$AV$29,MATCH(2,1/((Canals!$F$24:$F$29&lt;=$C59)*(Canals!$G$24:$G$29=_xlfn.IFS(SJ59="Handysize",Main!US59,SJ59="Supramax",UL59,SJ59="Panamax",UE59,SJ59="NeoPanamax",TX59,SJ59="Suezmax",TQ59,SJ59="Capesize",TJ59,SJ59="VLOC",TC59)))))</f>
        <v>#N/A</v>
      </c>
      <c r="XP59" s="75" t="e">
        <f t="array" aca="1" ref="XP59" ca="1">_xlfn.IFS(WA59="DWT",SH59,WA59="NRT",SL59,WA59="GRT",SM59,WA59=0,0)</f>
        <v>#NAME?</v>
      </c>
      <c r="XQ59" s="279" t="e">
        <f t="shared" ca="1" si="455"/>
        <v>#NAME?</v>
      </c>
      <c r="XR59" s="280" t="e">
        <f t="shared" ca="1" si="456"/>
        <v>#NAME?</v>
      </c>
      <c r="XS59" s="280" t="e">
        <f t="shared" ca="1" si="457"/>
        <v>#NAME?</v>
      </c>
      <c r="XT59" s="280" t="e">
        <f t="shared" ca="1" si="458"/>
        <v>#NAME?</v>
      </c>
      <c r="XU59" s="280" t="e">
        <f t="shared" ca="1" si="459"/>
        <v>#NAME?</v>
      </c>
      <c r="XV59" s="280" t="e">
        <f t="shared" ca="1" si="460"/>
        <v>#NAME?</v>
      </c>
      <c r="XW59" s="280" t="e">
        <f t="shared" ca="1" si="461"/>
        <v>#NAME?</v>
      </c>
      <c r="XX59" s="280" t="e">
        <f t="shared" ca="1" si="462"/>
        <v>#NAME?</v>
      </c>
      <c r="XY59" s="280" t="e">
        <f t="shared" ca="1" si="463"/>
        <v>#NAME?</v>
      </c>
      <c r="XZ59" s="75">
        <f t="shared" si="464"/>
        <v>0</v>
      </c>
      <c r="YA59" s="279" t="e">
        <f t="shared" ca="1" si="465"/>
        <v>#N/A</v>
      </c>
      <c r="YB59" s="280" t="e">
        <f t="shared" ca="1" si="466"/>
        <v>#N/A</v>
      </c>
      <c r="YC59" s="280" t="e">
        <f t="shared" ca="1" si="467"/>
        <v>#N/A</v>
      </c>
      <c r="YD59" s="280" t="e">
        <f t="shared" ca="1" si="468"/>
        <v>#N/A</v>
      </c>
      <c r="YE59" s="280" t="e">
        <f t="shared" ca="1" si="469"/>
        <v>#N/A</v>
      </c>
      <c r="YF59" s="280" t="e">
        <f t="shared" ca="1" si="470"/>
        <v>#N/A</v>
      </c>
      <c r="YG59" s="280" t="e">
        <f t="shared" ca="1" si="471"/>
        <v>#N/A</v>
      </c>
      <c r="YH59" s="280" t="e">
        <f t="shared" ca="1" si="472"/>
        <v>#N/A</v>
      </c>
      <c r="YI59" s="280" t="e">
        <f t="shared" ca="1" si="473"/>
        <v>#N/A</v>
      </c>
      <c r="YK59" s="75" t="e">
        <f t="array" aca="1" ref="YK59" ca="1">_xlfn.IFS(SJ59="Handysize",Main!UM59,SJ59="Supramax",UF59,SJ59="Panamax",TY59,SJ59="NeoPanamax",TR59,SJ59="Suezmax",TK59,SJ59="Capesize",TD59,SJ59="VLOC",SW59)*$JI59</f>
        <v>#NAME?</v>
      </c>
      <c r="YL59" s="274" t="e">
        <f t="array" aca="1" ref="YL59" ca="1">_xlfn.IFS(SJ59="Handysize",Main!UN59,SJ59="Supramax",UG59,SJ59="Panamax",TZ59,SJ59="NeoPanamax",TS59,SJ59="Suezmax",TL59,SJ59="Capesize",TE59,SJ59="VLOC",SX59)*$JI59</f>
        <v>#NAME?</v>
      </c>
      <c r="YM59" s="71" t="e">
        <f t="array" aca="1" ref="YM59" ca="1">_xlfn.IFS(SJ59="Handysize",Main!SO59,SJ59="Supramax",SP59,SJ59="Panamax",SQ59,SJ59="NeoPanamax",SR59,SJ59="Suezmax",SS59,SJ59="Capesize",ST59,SJ59="VLOC",SU59)</f>
        <v>#NAME?</v>
      </c>
      <c r="YN59" s="71" t="e">
        <f t="array" aca="1" ref="YN59" ca="1">_xlfn.IFS(SJ59="Handysize",Main!VA59,SJ59="Supramax",VB59,SJ59="Panamax",VC59,SJ59="NeoPanamax",VD59,SJ59="Suezmax",VE59,SJ59="Capesize",VF59,SJ59="VLOC",VG59)</f>
        <v>#NAME?</v>
      </c>
      <c r="YO59" s="70">
        <f t="array" ref="YO59">INDEX('Ship Speeds'!$G$11:$G$1011,MATCH(2,1/(('Ship Speeds'!$E$11:$E$1011&lt;=Main!$C59)*('Ship Speeds'!$F$11:$F$1011=Main!SI59))))</f>
        <v>11</v>
      </c>
      <c r="YP59" s="403">
        <f t="shared" si="474"/>
        <v>0</v>
      </c>
      <c r="YQ59" s="401">
        <f t="shared" si="475"/>
        <v>1.2</v>
      </c>
      <c r="YR59" s="70" t="e">
        <f t="shared" ca="1" si="476"/>
        <v>#NAME?</v>
      </c>
      <c r="YS59" s="70" t="e">
        <f t="shared" ca="1" si="477"/>
        <v>#NAME?</v>
      </c>
      <c r="YT59" s="70" t="e">
        <f t="shared" ca="1" si="478"/>
        <v>#NAME?</v>
      </c>
      <c r="YU59" s="70" t="e">
        <f t="shared" ca="1" si="479"/>
        <v>#NAME?</v>
      </c>
      <c r="YV59" s="72" t="e">
        <f t="shared" ca="1" si="480"/>
        <v>#N/A</v>
      </c>
      <c r="YW59" s="70" t="e">
        <f t="shared" ca="1" si="481"/>
        <v>#NAME?</v>
      </c>
      <c r="YX59" s="70" t="e">
        <f t="array" aca="1" ref="YX59" ca="1">IF(YK59=0,0,INDEX(UU59:UY59,MATCH(_xlfn.IFS(SJ59="Handysize",Main!UQ59,SJ59="Supramax",UJ59,SJ59="Panamax",UC59,SJ59="NeoPanamax",TV59,SJ59="Suezmax",TO59,SJ59="Capesize",TH59,SJ59="VLOC",TA59),$UU$7:$UY$7,0)))</f>
        <v>#NAME?</v>
      </c>
      <c r="YY59" s="70" t="e">
        <f t="array" aca="1" ref="YY59" ca="1">IF(YK59=0,0,INDEX(UU59:UY59,MATCH(_xlfn.IFS(SJ59="Handysize",Main!UR59,SJ59="Supramax",UK59,SJ59="Panamax",UD59,SJ59="NeoPanamax",TW59,SJ59="Suezmax",TP59,SJ59="Capesize",TI59,SJ59="VLOC",TB59),$UU$7:$UY$7,0)))</f>
        <v>#NAME?</v>
      </c>
      <c r="YZ59" s="71" t="e">
        <f t="shared" ca="1" si="482"/>
        <v>#NAME?</v>
      </c>
      <c r="ZA59" s="71" t="e">
        <f t="shared" ca="1" si="483"/>
        <v>#NAME?</v>
      </c>
      <c r="ZB59" s="281" t="e">
        <f t="shared" ca="1" si="484"/>
        <v>#NAME?</v>
      </c>
      <c r="ZC59" s="71" t="e">
        <f t="shared" ca="1" si="485"/>
        <v>#NAME?</v>
      </c>
      <c r="ZD59" s="71" t="e">
        <f t="shared" ca="1" si="486"/>
        <v>#NAME?</v>
      </c>
      <c r="ZE59" s="71" t="e">
        <f t="shared" ca="1" si="487"/>
        <v>#NAME?</v>
      </c>
      <c r="ZF59" s="71" t="e">
        <f t="shared" ca="1" si="488"/>
        <v>#NAME?</v>
      </c>
      <c r="ZG59" s="71" t="e">
        <f t="shared" ca="1" si="489"/>
        <v>#NAME?</v>
      </c>
      <c r="ZH59" s="71" t="e">
        <f t="shared" ca="1" si="490"/>
        <v>#NAME?</v>
      </c>
      <c r="ZI59" s="71" t="e">
        <f t="shared" ca="1" si="491"/>
        <v>#NAME?</v>
      </c>
      <c r="ZJ59" s="71" t="e">
        <f t="shared" ca="1" si="492"/>
        <v>#NAME?</v>
      </c>
      <c r="ZK59" s="71" t="e">
        <f t="shared" ca="1" si="493"/>
        <v>#NAME?</v>
      </c>
      <c r="ZL59" s="71" t="e">
        <f t="shared" ca="1" si="494"/>
        <v>#NAME?</v>
      </c>
      <c r="ZM59" s="71" t="e">
        <f t="shared" ca="1" si="495"/>
        <v>#NAME?</v>
      </c>
      <c r="ZN59" s="71" t="e">
        <f t="shared" ca="1" si="496"/>
        <v>#NAME?</v>
      </c>
      <c r="ZO59" s="72" t="e">
        <f t="shared" ca="1" si="497"/>
        <v>#NAME?</v>
      </c>
      <c r="ZP59" s="72" t="e">
        <f t="shared" ca="1" si="498"/>
        <v>#NAME?</v>
      </c>
      <c r="ZQ59" s="71" t="e">
        <f t="shared" ca="1" si="499"/>
        <v>#NAME?</v>
      </c>
      <c r="ZR59" s="71" t="e">
        <f t="array" aca="1" ref="ZR59" ca="1">IF(YK59=0,0,INDEX('Ship Time Charter Rates'!$H$22:$H$1021,MATCH(2,1/(('Ship Time Charter Rates'!$G$22:$G$1021=_xlfn.IFS(SJ59="Handysize",Main!UO59,SJ59="Supramax",UH59,SJ59="Panamax",UA59,SJ59="NeoPanamax",TT59,SJ59="Suezmax",TM59,SJ59="Capesize",TF59,SJ59="VLOC",SY59))*('Ship Time Charter Rates'!$E$22:$E$1021&lt;=Main!$C59)*(NOT(ISBLANK('Ship Time Charter Rates'!$H$22:$H$1021)))))))</f>
        <v>#NAME?</v>
      </c>
      <c r="ZS59" s="71" t="e">
        <f t="shared" ca="1" si="500"/>
        <v>#NAME?</v>
      </c>
      <c r="ZT59" s="70" t="e">
        <f t="shared" ca="1" si="501"/>
        <v>#NAME?</v>
      </c>
      <c r="ZU59" s="71" t="e">
        <f t="shared" ca="1" si="502"/>
        <v>#NAME?</v>
      </c>
      <c r="ZV59" s="71" t="e">
        <f t="shared" ca="1" si="503"/>
        <v>#NAME?</v>
      </c>
      <c r="ZW59" s="72" t="e">
        <f t="shared" ca="1" si="504"/>
        <v>#NAME?</v>
      </c>
      <c r="ZY59" s="287" t="s">
        <v>39</v>
      </c>
      <c r="AAA59" s="25">
        <f t="shared" si="672"/>
        <v>92678.40593141799</v>
      </c>
      <c r="AAB59" s="4" t="str">
        <f>VLOOKUP(AAA59,'Ship Time Charter Rates'!$F$10:$G$17,2,TRUE)</f>
        <v>Panamax</v>
      </c>
      <c r="AAC59" s="4" t="str">
        <f>VLOOKUP(AAA59,Canals!$E$5:$F$12,2,TRUE)</f>
        <v>Panamax</v>
      </c>
      <c r="AAD59" s="25">
        <f t="shared" si="505"/>
        <v>226.79824837812788</v>
      </c>
      <c r="AAE59" s="25">
        <f t="shared" si="506"/>
        <v>37386.468952734016</v>
      </c>
      <c r="AAF59" s="25">
        <f t="shared" si="507"/>
        <v>52887.824837812797</v>
      </c>
      <c r="AAH59" s="75">
        <f t="array" ref="AAH59">INDEX('Indices Mines Exporting Ports'!$R$20:$R$51,MATCH(2,1/(('Indices Mines Exporting Ports'!$D$20:$D$51&lt;=Main!$C59)*('Indices Mines Exporting Ports'!$Q$20:$Q$51=$AP59))))</f>
        <v>30000</v>
      </c>
      <c r="AAI59" s="75">
        <f t="array" ref="AAI59">INDEX('Indices Mines Exporting Ports'!$S$20:$S$51,MATCH(2,1/(('Indices Mines Exporting Ports'!$D$20:$D$51&lt;=Main!$C59)*('Indices Mines Exporting Ports'!$Q$20:$Q$51=$AP59))))</f>
        <v>30000</v>
      </c>
      <c r="AAJ59" s="75">
        <f t="array" ref="AAJ59">INDEX('Indices Mines Exporting Ports'!$T$20:$T$51,MATCH(2,1/(('Indices Mines Exporting Ports'!$D$20:$D$51&lt;=Main!$C59)*('Indices Mines Exporting Ports'!$Q$20:$Q$51=$AP59))))</f>
        <v>30000</v>
      </c>
      <c r="AAK59" s="75">
        <f t="array" ref="AAK59">INDEX('Indices Mines Exporting Ports'!$U$20:$U$51,MATCH(2,1/(('Indices Mines Exporting Ports'!$D$20:$D$51&lt;=Main!$C59)*('Indices Mines Exporting Ports'!$Q$20:$Q$51=$AP59))))</f>
        <v>30000</v>
      </c>
      <c r="AAL59" s="75">
        <f t="array" ref="AAL59">INDEX('Indices Mines Exporting Ports'!$V$20:$V$51,MATCH(2,1/(('Indices Mines Exporting Ports'!$D$20:$D$51&lt;=Main!$C59)*('Indices Mines Exporting Ports'!$Q$20:$Q$51=$AP59))))</f>
        <v>30000</v>
      </c>
      <c r="AAM59" s="75">
        <f t="array" ref="AAM59">INDEX('Indices Mines Exporting Ports'!$W$20:$W$51,MATCH(2,1/(('Indices Mines Exporting Ports'!$D$20:$D$51&lt;=Main!$C59)*('Indices Mines Exporting Ports'!$Q$20:$Q$51=$AP59))))</f>
        <v>30000</v>
      </c>
      <c r="AAN59" s="75">
        <f t="array" ref="AAN59">INDEX('Indices Mines Exporting Ports'!$X$20:$X$51,MATCH(2,1/(('Indices Mines Exporting Ports'!$D$20:$D$51&lt;=Main!$C59)*('Indices Mines Exporting Ports'!$Q$20:$Q$51=$AP59))))</f>
        <v>30000</v>
      </c>
      <c r="AAP59" s="75">
        <f t="array" ref="AAP59">INDEX('Port Linkages'!$E$18:$E$157,MATCH(2,1/(('Port Linkages'!$C$18:$C$157=$AP59)*('Port Linkages'!$D$18:$D$157=IF($AO59="Yes",$AQ59,$KK59))*('Port Linkages'!$A$18:$A$157&lt;=$C59))))</f>
        <v>2604</v>
      </c>
      <c r="AAQ59" s="75">
        <f t="array" ref="AAQ59">INDEX('Port Linkages'!$F$18:$F$157,MATCH(2,1/(('Port Linkages'!$C$18:$C$157=$AP59)*('Port Linkages'!$D$18:$D$157=IF($AO59="Yes",$AQ59,$KK59))*('Port Linkages'!$A$18:$A$157&lt;=$C59))))</f>
        <v>0</v>
      </c>
      <c r="AAR59" s="75" t="str">
        <f t="array" ref="AAR59">INDEX('Port Linkages'!$G$18:$G$157,MATCH(2,1/(('Port Linkages'!$C$18:$C$157=$AP59)*('Port Linkages'!$D$18:$D$157=IF($AO59="Yes",$AQ59,$KK59))*('Port Linkages'!$A$18:$A$157&lt;=$C59))))</f>
        <v>VLOC_General</v>
      </c>
      <c r="AAS59" s="75" t="str">
        <f t="array" ref="AAS59">INDEX('Port Linkages'!$H$18:$H$157,MATCH(2,1/(('Port Linkages'!$C$18:$C$157=$AP59)*('Port Linkages'!$D$18:$D$157=IF($AO59="Yes",$AQ59,$KK59))*('Port Linkages'!$A$18:$A$157&lt;=$C59))))</f>
        <v>Singapore</v>
      </c>
      <c r="AAT59" s="75" t="str">
        <f t="array" ref="AAT59">INDEX('Port Linkages'!$I$18:$I$157,MATCH(2,1/(('Port Linkages'!$C$18:$C$157=$AP59)*('Port Linkages'!$D$18:$D$157=IF($AO59="Yes",$AQ59,$KK59))*('Port Linkages'!$A$18:$A$157&lt;=$C59))))</f>
        <v>VLSFO</v>
      </c>
      <c r="AAU59" s="75" t="str">
        <f t="array" ref="AAU59">INDEX('Port Linkages'!$J$18:$J$157,MATCH(2,1/(('Port Linkages'!$C$18:$C$157=$AP59)*('Port Linkages'!$D$18:$D$157=IF($AO59="Yes",$AQ59,$KK59))*('Port Linkages'!$A$18:$A$157&lt;=$C59))))</f>
        <v>MGO_Regular</v>
      </c>
      <c r="AAV59" s="75" t="str">
        <f t="array" ref="AAV59">INDEX('Port Linkages'!$K$18:$K$157,MATCH(2,1/(('Port Linkages'!$C$18:$C$157=$AP59)*('Port Linkages'!$D$18:$D$157=IF($AO59="Yes",$AQ59,$KK59))*('Port Linkages'!$A$18:$A$157&lt;=$C59))))</f>
        <v>none</v>
      </c>
      <c r="AAW59" s="75">
        <f t="array" ref="AAW59">INDEX('Port Linkages'!$L$18:$L$157,MATCH(2,1/(('Port Linkages'!$C$18:$C$157=$AP59)*('Port Linkages'!$D$18:$D$157=IF($AO59="Yes",$AQ59,$KK59))*('Port Linkages'!$A$18:$A$157&lt;=$C59))))</f>
        <v>2604</v>
      </c>
      <c r="AAX59" s="75">
        <f t="array" ref="AAX59">INDEX('Port Linkages'!$M$18:$M$157,MATCH(2,1/(('Port Linkages'!$C$18:$C$157=$AP59)*('Port Linkages'!$D$18:$D$157=IF($AO59="Yes",$AQ59,$KK59))*('Port Linkages'!$A$18:$A$157&lt;=$C59))))</f>
        <v>0</v>
      </c>
      <c r="AAY59" s="75" t="str">
        <f t="array" ref="AAY59">INDEX('Port Linkages'!$N$18:$N$157,MATCH(2,1/(('Port Linkages'!$C$18:$C$157=$AP59)*('Port Linkages'!$D$18:$D$157=IF($AO59="Yes",$AQ59,$KK59))*('Port Linkages'!$A$18:$A$157&lt;=$C59))))</f>
        <v>Capesize_General</v>
      </c>
      <c r="AAZ59" s="75" t="str">
        <f t="array" ref="AAZ59">INDEX('Port Linkages'!$O$18:$O$157,MATCH(2,1/(('Port Linkages'!$C$18:$C$157=$AP59)*('Port Linkages'!$D$18:$D$157=IF($AO59="Yes",$AQ59,$KK59))*('Port Linkages'!$A$18:$A$157&lt;=$C59))))</f>
        <v>Singapore</v>
      </c>
      <c r="ABA59" s="75" t="str">
        <f t="array" ref="ABA59">INDEX('Port Linkages'!$P$18:$P$157,MATCH(2,1/(('Port Linkages'!$C$18:$C$157=$AP59)*('Port Linkages'!$D$18:$D$157=IF($AO59="Yes",$AQ59,$KK59))*('Port Linkages'!$A$18:$A$157&lt;=$C59))))</f>
        <v>VLSFO</v>
      </c>
      <c r="ABB59" s="75" t="str">
        <f t="array" ref="ABB59">INDEX('Port Linkages'!$Q$18:$Q$157,MATCH(2,1/(('Port Linkages'!$C$18:$C$157=$AP59)*('Port Linkages'!$D$18:$D$157=IF($AO59="Yes",$AQ59,$KK59))*('Port Linkages'!$A$18:$A$157&lt;=$C59))))</f>
        <v>MGO_Regular</v>
      </c>
      <c r="ABC59" s="75" t="str">
        <f t="array" ref="ABC59">INDEX('Port Linkages'!$R$18:$R$157,MATCH(2,1/(('Port Linkages'!$C$18:$C$157=$AP59)*('Port Linkages'!$D$18:$D$157=IF($AO59="Yes",$AQ59,$KK59))*('Port Linkages'!$A$18:$A$157&lt;=$C59))))</f>
        <v>none</v>
      </c>
      <c r="ABD59" s="75">
        <f t="array" ref="ABD59">INDEX('Port Linkages'!$S$18:$S$157,MATCH(2,1/(('Port Linkages'!$C$18:$C$157=$AP59)*('Port Linkages'!$D$18:$D$157=IF($AO59="Yes",$AQ59,$KK59))*('Port Linkages'!$A$18:$A$157&lt;=$C59))))</f>
        <v>2604</v>
      </c>
      <c r="ABE59" s="75">
        <f t="array" ref="ABE59">INDEX('Port Linkages'!$T$18:$T$157,MATCH(2,1/(('Port Linkages'!$C$18:$C$157=$AP59)*('Port Linkages'!$D$18:$D$157=IF($AO59="Yes",$AQ59,$KK59))*('Port Linkages'!$A$18:$A$157&lt;=$C59))))</f>
        <v>0</v>
      </c>
      <c r="ABF59" s="75" t="str">
        <f t="array" ref="ABF59">INDEX('Port Linkages'!$U$18:$U$157,MATCH(2,1/(('Port Linkages'!$C$18:$C$157=$AP59)*('Port Linkages'!$D$18:$D$157=IF($AO59="Yes",$AQ59,$KK59))*('Port Linkages'!$A$18:$A$157&lt;=$C59))))</f>
        <v>Capesize_General</v>
      </c>
      <c r="ABG59" s="75" t="str">
        <f t="array" ref="ABG59">INDEX('Port Linkages'!$V$18:$V$157,MATCH(2,1/(('Port Linkages'!$C$18:$C$157=$AP59)*('Port Linkages'!$D$18:$D$157=IF($AO59="Yes",$AQ59,$KK59))*('Port Linkages'!$A$18:$A$157&lt;=$C59))))</f>
        <v>Singapore</v>
      </c>
      <c r="ABH59" s="75" t="str">
        <f t="array" ref="ABH59">INDEX('Port Linkages'!$W$18:$W$157,MATCH(2,1/(('Port Linkages'!$C$18:$C$157=$AP59)*('Port Linkages'!$D$18:$D$157=IF($AO59="Yes",$AQ59,$KK59))*('Port Linkages'!$A$18:$A$157&lt;=$C59))))</f>
        <v>VLSFO</v>
      </c>
      <c r="ABI59" s="75" t="str">
        <f t="array" ref="ABI59">INDEX('Port Linkages'!$X$18:$X$157,MATCH(2,1/(('Port Linkages'!$C$18:$C$157=$AP59)*('Port Linkages'!$D$18:$D$157=IF($AO59="Yes",$AQ59,$KK59))*('Port Linkages'!$A$18:$A$157&lt;=$C59))))</f>
        <v>MGO_Regular</v>
      </c>
      <c r="ABJ59" s="75" t="str">
        <f t="array" ref="ABJ59">INDEX('Port Linkages'!$Y$18:$Y$157,MATCH(2,1/(('Port Linkages'!$C$18:$C$157=$AP59)*('Port Linkages'!$D$18:$D$157=IF($AO59="Yes",$AQ59,$KK59))*('Port Linkages'!$A$18:$A$157&lt;=$C59))))</f>
        <v>none</v>
      </c>
      <c r="ABK59" s="75">
        <f t="array" ref="ABK59">INDEX('Port Linkages'!$Z$18:$Z$157,MATCH(2,1/(('Port Linkages'!$C$18:$C$157=$AP59)*('Port Linkages'!$D$18:$D$157=IF($AO59="Yes",$AQ59,$KK59))*('Port Linkages'!$A$18:$A$157&lt;=$C59))))</f>
        <v>2604</v>
      </c>
      <c r="ABL59" s="75">
        <f t="array" ref="ABL59">INDEX('Port Linkages'!$AA$18:$AA$157,MATCH(2,1/(('Port Linkages'!$C$18:$C$157=$AP59)*('Port Linkages'!$D$18:$D$157=IF($AO59="Yes",$AQ59,$KK59))*('Port Linkages'!$A$18:$A$157&lt;=$C59))))</f>
        <v>0</v>
      </c>
      <c r="ABM59" s="75" t="str">
        <f t="array" ref="ABM59">INDEX('Port Linkages'!$AB$18:$AB$157,MATCH(2,1/(('Port Linkages'!$C$18:$C$157=$AP59)*('Port Linkages'!$D$18:$D$157=IF($AO59="Yes",$AQ59,$KK59))*('Port Linkages'!$A$18:$A$157&lt;=$C59))))</f>
        <v>Capesize_General</v>
      </c>
      <c r="ABN59" s="75" t="str">
        <f t="array" ref="ABN59">INDEX('Port Linkages'!$AC$18:$AC$157,MATCH(2,1/(('Port Linkages'!$C$18:$C$157=$AP59)*('Port Linkages'!$D$18:$D$157=IF($AO59="Yes",$AQ59,$KK59))*('Port Linkages'!$A$18:$A$157&lt;=$C59))))</f>
        <v>Singapore</v>
      </c>
      <c r="ABO59" s="75" t="str">
        <f t="array" ref="ABO59">INDEX('Port Linkages'!$AD$18:$AD$157,MATCH(2,1/(('Port Linkages'!$C$18:$C$157=$AP59)*('Port Linkages'!$D$18:$D$157=IF($AO59="Yes",$AQ59,$KK59))*('Port Linkages'!$A$18:$A$157&lt;=$C59))))</f>
        <v>VLSFO</v>
      </c>
      <c r="ABP59" s="75" t="str">
        <f t="array" ref="ABP59">INDEX('Port Linkages'!$AE$18:$AE$157,MATCH(2,1/(('Port Linkages'!$C$18:$C$157=$AP59)*('Port Linkages'!$D$18:$D$157=IF($AO59="Yes",$AQ59,$KK59))*('Port Linkages'!$A$18:$A$157&lt;=$C59))))</f>
        <v>MGO_Regular</v>
      </c>
      <c r="ABQ59" s="75" t="str">
        <f t="array" ref="ABQ59">INDEX('Port Linkages'!$AF$18:$AF$157,MATCH(2,1/(('Port Linkages'!$C$18:$C$157=$AP59)*('Port Linkages'!$D$18:$D$157=IF($AO59="Yes",$AQ59,$KK59))*('Port Linkages'!$A$18:$A$157&lt;=$C59))))</f>
        <v>none</v>
      </c>
      <c r="ABR59" s="75">
        <f t="array" ref="ABR59">INDEX('Port Linkages'!$AG$18:$AG$157,MATCH(2,1/(('Port Linkages'!$C$18:$C$157=$AP59)*('Port Linkages'!$D$18:$D$157=IF($AO59="Yes",$AQ59,$KK59))*('Port Linkages'!$A$18:$A$157&lt;=$C59))))</f>
        <v>2604</v>
      </c>
      <c r="ABS59" s="75">
        <f t="array" ref="ABS59">INDEX('Port Linkages'!$AH$18:$AH$157,MATCH(2,1/(('Port Linkages'!$C$18:$C$157=$AP59)*('Port Linkages'!$D$18:$D$157=IF($AO59="Yes",$AQ59,$KK59))*('Port Linkages'!$A$18:$A$157&lt;=$C59))))</f>
        <v>0</v>
      </c>
      <c r="ABT59" s="75" t="str">
        <f t="array" ref="ABT59">INDEX('Port Linkages'!$AI$18:$AI$157,MATCH(2,1/(('Port Linkages'!$C$18:$C$157=$AP59)*('Port Linkages'!$D$18:$D$157=IF($AO59="Yes",$AQ59,$KK59))*('Port Linkages'!$A$18:$A$157&lt;=$C59))))</f>
        <v>Panamax_General</v>
      </c>
      <c r="ABU59" s="75" t="str">
        <f t="array" ref="ABU59">INDEX('Port Linkages'!$AJ$18:$AJ$157,MATCH(2,1/(('Port Linkages'!$C$18:$C$157=$AP59)*('Port Linkages'!$D$18:$D$157=IF($AO59="Yes",$AQ59,$KK59))*('Port Linkages'!$A$18:$A$157&lt;=$C59))))</f>
        <v>Singapore</v>
      </c>
      <c r="ABV59" s="75" t="str">
        <f t="array" ref="ABV59">INDEX('Port Linkages'!$AK$18:$AK$157,MATCH(2,1/(('Port Linkages'!$C$18:$C$157=$AP59)*('Port Linkages'!$D$18:$D$157=IF($AO59="Yes",$AQ59,$KK59))*('Port Linkages'!$A$18:$A$157&lt;=$C59))))</f>
        <v>VLSFO</v>
      </c>
      <c r="ABW59" s="75" t="str">
        <f t="array" ref="ABW59">INDEX('Port Linkages'!$AL$18:$AL$157,MATCH(2,1/(('Port Linkages'!$C$18:$C$157=$AP59)*('Port Linkages'!$D$18:$D$157=IF($AO59="Yes",$AQ59,$KK59))*('Port Linkages'!$A$18:$A$157&lt;=$C59))))</f>
        <v>MGO_Regular</v>
      </c>
      <c r="ABX59" s="75" t="str">
        <f t="array" ref="ABX59">INDEX('Port Linkages'!$AM$18:$AM$157,MATCH(2,1/(('Port Linkages'!$C$18:$C$157=$AP59)*('Port Linkages'!$D$18:$D$157=IF($AO59="Yes",$AQ59,$KK59))*('Port Linkages'!$A$18:$A$157&lt;=$C59))))</f>
        <v>none</v>
      </c>
      <c r="ABY59" s="75">
        <f t="array" ref="ABY59">INDEX('Port Linkages'!$AN$18:$AN$157,MATCH(2,1/(('Port Linkages'!$C$18:$C$157=$AP59)*('Port Linkages'!$D$18:$D$157=IF($AO59="Yes",$AQ59,$KK59))*('Port Linkages'!$A$18:$A$157&lt;=$C59))))</f>
        <v>2604</v>
      </c>
      <c r="ABZ59" s="75">
        <f t="array" ref="ABZ59">INDEX('Port Linkages'!$AO$18:$AO$157,MATCH(2,1/(('Port Linkages'!$C$18:$C$157=$AP59)*('Port Linkages'!$D$18:$D$157=IF($AO59="Yes",$AQ59,$KK59))*('Port Linkages'!$A$18:$A$157&lt;=$C59))))</f>
        <v>0</v>
      </c>
      <c r="ACA59" s="75" t="str">
        <f t="array" ref="ACA59">INDEX('Port Linkages'!$AP$18:$AP$157,MATCH(2,1/(('Port Linkages'!$C$18:$C$157=$AP59)*('Port Linkages'!$D$18:$D$157=IF($AO59="Yes",$AQ59,$KK59))*('Port Linkages'!$A$18:$A$157&lt;=$C59))))</f>
        <v>Supramax_General</v>
      </c>
      <c r="ACB59" s="75" t="str">
        <f t="array" ref="ACB59">INDEX('Port Linkages'!$AQ$18:$AQ$157,MATCH(2,1/(('Port Linkages'!$C$18:$C$157=$AP59)*('Port Linkages'!$D$18:$D$157=IF($AO59="Yes",$AQ59,$KK59))*('Port Linkages'!$A$18:$A$157&lt;=$C59))))</f>
        <v>Singapore</v>
      </c>
      <c r="ACC59" s="75" t="str">
        <f t="array" ref="ACC59">INDEX('Port Linkages'!$AR$18:$AR$157,MATCH(2,1/(('Port Linkages'!$C$18:$C$157=$AP59)*('Port Linkages'!$D$18:$D$157=IF($AO59="Yes",$AQ59,$KK59))*('Port Linkages'!$A$18:$A$157&lt;=$C59))))</f>
        <v>VLSFO</v>
      </c>
      <c r="ACD59" s="75" t="str">
        <f t="array" ref="ACD59">INDEX('Port Linkages'!$AS$18:$AS$157,MATCH(2,1/(('Port Linkages'!$C$18:$C$157=$AP59)*('Port Linkages'!$D$18:$D$157=IF($AO59="Yes",$AQ59,$KK59))*('Port Linkages'!$A$18:$A$157&lt;=$C59))))</f>
        <v>MGO_Regular</v>
      </c>
      <c r="ACE59" s="75" t="str">
        <f t="array" ref="ACE59">INDEX('Port Linkages'!$AT$18:$AT$157,MATCH(2,1/(('Port Linkages'!$C$18:$C$157=$AP59)*('Port Linkages'!$D$18:$D$157=IF($AO59="Yes",$AQ59,$KK59))*('Port Linkages'!$A$18:$A$157&lt;=$C59))))</f>
        <v>none</v>
      </c>
      <c r="ACF59" s="75">
        <f t="array" ref="ACF59">INDEX('Port Linkages'!$AU$18:$AU$157,MATCH(2,1/(('Port Linkages'!$C$18:$C$157=$AP59)*('Port Linkages'!$D$18:$D$157=IF($AO59="Yes",$AQ59,$KK59))*('Port Linkages'!$A$18:$A$157&lt;=$C59))))</f>
        <v>2604</v>
      </c>
      <c r="ACG59" s="75">
        <f t="array" ref="ACG59">INDEX('Port Linkages'!$AV$18:$AV$157,MATCH(2,1/(('Port Linkages'!$C$18:$C$157=$AP59)*('Port Linkages'!$D$18:$D$157=IF($AO59="Yes",$AQ59,$KK59))*('Port Linkages'!$A$18:$A$157&lt;=$C59))))</f>
        <v>0</v>
      </c>
      <c r="ACH59" s="75" t="str">
        <f t="array" ref="ACH59">INDEX('Port Linkages'!$AW$18:$AW$157,MATCH(2,1/(('Port Linkages'!$C$18:$C$157=$AP59)*('Port Linkages'!$D$18:$D$157=IF($AO59="Yes",$AQ59,$KK59))*('Port Linkages'!$A$18:$A$157&lt;=$C59))))</f>
        <v>Handysize_General</v>
      </c>
      <c r="ACI59" s="75" t="str">
        <f t="array" ref="ACI59">INDEX('Port Linkages'!$AX$18:$AX$157,MATCH(2,1/(('Port Linkages'!$C$18:$C$157=$AP59)*('Port Linkages'!$D$18:$D$157=IF($AO59="Yes",$AQ59,$KK59))*('Port Linkages'!$A$18:$A$157&lt;=$C59))))</f>
        <v>Singapore</v>
      </c>
      <c r="ACJ59" s="75" t="str">
        <f t="array" ref="ACJ59">INDEX('Port Linkages'!$AY$18:$AY$157,MATCH(2,1/(('Port Linkages'!$C$18:$C$157=$AP59)*('Port Linkages'!$D$18:$D$157=IF($AO59="Yes",$AQ59,$KK59))*('Port Linkages'!$A$18:$A$157&lt;=$C59))))</f>
        <v>VLSFO</v>
      </c>
      <c r="ACK59" s="75" t="str">
        <f t="array" ref="ACK59">INDEX('Port Linkages'!$AZ$18:$AZ$157,MATCH(2,1/(('Port Linkages'!$C$18:$C$157=$AP59)*('Port Linkages'!$D$18:$D$157=IF($AO59="Yes",$AQ59,$KK59))*('Port Linkages'!$A$18:$A$157&lt;=$C59))))</f>
        <v>MGO_Regular</v>
      </c>
      <c r="ACL59" s="75" t="str">
        <f t="array" ref="ACL59">INDEX('Port Linkages'!$BA$18:$BA$157,MATCH(2,1/(('Port Linkages'!$C$18:$C$157=$AP59)*('Port Linkages'!$D$18:$D$157=IF($AO59="Yes",$AQ59,$KK59))*('Port Linkages'!$A$18:$A$157&lt;=$C59))))</f>
        <v>none</v>
      </c>
      <c r="ACN59" s="25" t="e">
        <f t="array" aca="1" ref="ACN59" ca="1">INDEX('Ship Fuel Prices'!$F$5:$F$1004,MATCH(2,1/(('Ship Fuel Prices'!$E$5:$E$1004=_xlfn.IFS(AAC59="Handysize",Main!ACI59,AAC59="Supramax",ACB59,AAC59="Panamax",ABU59,AAC59="NeoPanamax",ABN59,AAC59="Suezmax",ABG59,AAC59="Capesize",AAZ59,AAC59="VLOC",AAS59))*('Ship Fuel Prices'!$D$5:$D$1004&lt;=Main!$C59))))</f>
        <v>#N/A</v>
      </c>
      <c r="ACO59" s="25" t="e">
        <f t="array" aca="1" ref="ACO59" ca="1">INDEX('Ship Fuel Prices'!$G$5:$G$1004,MATCH(2,1/(('Ship Fuel Prices'!$E$5:$E$1004=_xlfn.IFS(AAC59="Handysize",Main!ACI59,AAC59="Supramax",ACB59,AAC59="Panamax",ABU59,AAC59="NeoPanamax",ABN59,AAC59="Suezmax",ABG59,AAC59="Capesize",AAZ59,AAC59="VLOC",AAS59))*('Ship Fuel Prices'!$D$5:$D$1004&lt;=Main!$C59))))</f>
        <v>#N/A</v>
      </c>
      <c r="ACP59" s="25" t="e">
        <f t="array" aca="1" ref="ACP59" ca="1">INDEX('Ship Fuel Prices'!$H$5:$H$1004,MATCH(2,1/(('Ship Fuel Prices'!$E$5:$E$1004=_xlfn.IFS(AAC59="Handysize",Main!ACI59,AAC59="Supramax",ACB59,AAC59="Panamax",ABU59,AAC59="NeoPanamax",ABN59,AAC59="Suezmax",ABG59,AAC59="Capesize",AAZ59,AAC59="VLOC",AAS59))*('Ship Fuel Prices'!$D$5:$D$1004&lt;=Main!$C59))))</f>
        <v>#N/A</v>
      </c>
      <c r="ACQ59" s="25" t="e">
        <f t="array" aca="1" ref="ACQ59" ca="1">INDEX('Ship Fuel Prices'!$I$5:$I$1004,MATCH(2,1/(('Ship Fuel Prices'!$E$5:$E$1004=_xlfn.IFS(AAC59="Handysize",Main!ACI59,AAC59="Supramax",ACB59,AAC59="Panamax",ABU59,AAC59="NeoPanamax",ABN59,AAC59="Suezmax",ABG59,AAC59="Capesize",AAZ59,AAC59="VLOC",AAS59))*('Ship Fuel Prices'!$D$5:$D$1004&lt;=Main!$C59))))</f>
        <v>#N/A</v>
      </c>
      <c r="ACR59" s="25" t="e">
        <f t="array" aca="1" ref="ACR59" ca="1">INDEX('Ship Fuel Prices'!$J$5:$J$1004,MATCH(2,1/(('Ship Fuel Prices'!$E$5:$E$1004=_xlfn.IFS(AAC59="Handysize",Main!ACI59,AAC59="Supramax",ACB59,AAC59="Panamax",ABU59,AAC59="NeoPanamax",ABN59,AAC59="Suezmax",ABG59,AAC59="Capesize",AAZ59,AAC59="VLOC",AAS59))*('Ship Fuel Prices'!$D$5:$D$1004&lt;=Main!$C59))))</f>
        <v>#N/A</v>
      </c>
      <c r="ACT59" s="75">
        <f t="array" ref="ACT59">INDEX('China n Importing Ports'!$E$20:$E$41,MATCH(2,1/(('China n Importing Ports'!$D$20:$D$41&lt;=$C59)*('China n Importing Ports'!$C$20:$C$41=IF($AO59="Yes",$AQ59,$KK59)))))</f>
        <v>42500</v>
      </c>
      <c r="ACU59" s="75">
        <f t="array" ref="ACU59">INDEX('China n Importing Ports'!$F$20:$F$41,MATCH(2,1/(('China n Importing Ports'!$D$20:$D$41&lt;=$C59)*('China n Importing Ports'!$C$20:$C$41=IF($AO59="Yes",$AQ59,$KK59)))))</f>
        <v>42500</v>
      </c>
      <c r="ACV59" s="75">
        <f t="array" ref="ACV59">INDEX('China n Importing Ports'!$G$20:$G$41,MATCH(2,1/(('China n Importing Ports'!$D$20:$D$41&lt;=$C59)*('China n Importing Ports'!$C$20:$C$41=IF($AO59="Yes",$AQ59,$KK59)))))</f>
        <v>42500</v>
      </c>
      <c r="ACW59" s="75">
        <f t="array" ref="ACW59">INDEX('China n Importing Ports'!$H$20:$H$41,MATCH(2,1/(('China n Importing Ports'!$D$20:$D$41&lt;=$C59)*('China n Importing Ports'!$C$20:$C$41=IF($AO59="Yes",$AQ59,$KK59)))))</f>
        <v>42500</v>
      </c>
      <c r="ACX59" s="75">
        <f t="array" ref="ACX59">INDEX('China n Importing Ports'!$I$20:$I$41,MATCH(2,1/(('China n Importing Ports'!$D$20:$D$41&lt;=$C59)*('China n Importing Ports'!$C$20:$C$41=IF($AO59="Yes",$AQ59,$KK59)))))</f>
        <v>42500</v>
      </c>
      <c r="ACY59" s="75">
        <f t="array" ref="ACY59">INDEX('China n Importing Ports'!$J$20:$J$41,MATCH(2,1/(('China n Importing Ports'!$D$20:$D$41&lt;=$C59)*('China n Importing Ports'!$C$20:$C$41=IF($AO59="Yes",$AQ59,$KK59)))))</f>
        <v>42500</v>
      </c>
      <c r="ACZ59" s="75">
        <f t="array" ref="ACZ59">INDEX('China n Importing Ports'!$K$20:$K$41,MATCH(2,1/(('China n Importing Ports'!$D$20:$D$41&lt;=$C59)*('China n Importing Ports'!$C$20:$C$41=IF($AO59="Yes",$AQ59,$KK59)))))</f>
        <v>42500</v>
      </c>
      <c r="ADA59" s="75" t="str">
        <f t="array" ref="ADA59">INDEX('China n Importing Ports'!$L$20:$L$41,MATCH(2,1/(('China n Importing Ports'!$D$20:$D$41&lt;=$C59)*('China n Importing Ports'!$C$20:$C$41=IF($AO59="Yes",$AQ59,$KK59)))))</f>
        <v>RMB</v>
      </c>
      <c r="ADB59" s="75">
        <f t="array" ref="ADB59">INDEX('China n Importing Ports'!$M$20:$M$41,MATCH(2,1/(('China n Importing Ports'!$D$20:$D$41&lt;=$C59)*('China n Importing Ports'!$C$20:$C$41=IF($AO59="Yes",$AQ59,$KK59)))))</f>
        <v>12342</v>
      </c>
      <c r="ADC59" s="75">
        <f t="array" ref="ADC59">INDEX('China n Importing Ports'!$N$20:$N$41,MATCH(2,1/(('China n Importing Ports'!$D$20:$D$41&lt;=$C59)*('China n Importing Ports'!$C$20:$C$41=IF($AO59="Yes",$AQ59,$KK59)))))</f>
        <v>0</v>
      </c>
      <c r="ADD59" s="75">
        <f t="array" ref="ADD59">INDEX('China n Importing Ports'!$O$20:$O$41,MATCH(2,1/(('China n Importing Ports'!$D$20:$D$41&lt;=$C59)*('China n Importing Ports'!$C$20:$C$41=IF($AO59="Yes",$AQ59,$KK59)))))</f>
        <v>0</v>
      </c>
      <c r="ADE59" s="136">
        <f t="array" ref="ADE59">INDEX('China n Importing Ports'!$P$20:$P$41,MATCH(2,1/(('China n Importing Ports'!$D$20:$D$41&lt;=$C59)*('China n Importing Ports'!$C$20:$C$41=IF($AO59="Yes",$AQ59,$KK59)))))</f>
        <v>2.64</v>
      </c>
      <c r="ADF59" s="136">
        <f t="array" ref="ADF59">INDEX('China n Importing Ports'!$Q$20:$Q$41,MATCH(2,1/(('China n Importing Ports'!$D$20:$D$41&lt;=$C59)*('China n Importing Ports'!$C$20:$C$41=IF($AO59="Yes",$AQ59,$KK59)))))</f>
        <v>0</v>
      </c>
      <c r="ADG59" s="136">
        <f t="array" ref="ADG59">INDEX('China n Importing Ports'!$R$20:$R$41,MATCH(2,1/(('China n Importing Ports'!$D$20:$D$41&lt;=$C59)*('China n Importing Ports'!$C$20:$C$41=IF($AO59="Yes",$AQ59,$KK59)))))</f>
        <v>0</v>
      </c>
      <c r="ADH59" s="136">
        <f t="array" ref="ADH59">INDEX('China n Importing Ports'!$S$20:$S$41,MATCH(2,1/(('China n Importing Ports'!$D$20:$D$41&lt;=$C59)*('China n Importing Ports'!$C$20:$C$41=IF($AO59="Yes",$AQ59,$KK59)))))</f>
        <v>4.53</v>
      </c>
      <c r="ADI59" s="136">
        <f t="array" ref="ADI59">INDEX('China n Importing Ports'!$T$20:$T$41,MATCH(2,1/(('China n Importing Ports'!$D$20:$D$41&lt;=$C59)*('China n Importing Ports'!$C$20:$C$41=IF($AO59="Yes",$AQ59,$KK59)))))</f>
        <v>0.36699999999999999</v>
      </c>
      <c r="ADJ59" s="136">
        <f t="array" ref="ADJ59">INDEX('China n Importing Ports'!$U$20:$U$41,MATCH(2,1/(('China n Importing Ports'!$D$20:$D$41&lt;=$C59)*('China n Importing Ports'!$C$20:$C$41=IF($AO59="Yes",$AQ59,$KK59)))))</f>
        <v>0.05</v>
      </c>
      <c r="ADK59" s="136">
        <f t="array" ref="ADK59">INDEX('China n Importing Ports'!$V$20:$V$41,MATCH(2,1/(('China n Importing Ports'!$D$20:$D$41&lt;=$C59)*('China n Importing Ports'!$C$20:$C$41=IF($AO59="Yes",$AQ59,$KK59)))))</f>
        <v>0</v>
      </c>
      <c r="ADL59" s="136">
        <f t="array" ref="ADL59">INDEX('China n Importing Ports'!$W$20:$W$41,MATCH(2,1/(('China n Importing Ports'!$D$20:$D$41&lt;=$C59)*('China n Importing Ports'!$C$20:$C$41=IF($AO59="Yes",$AQ59,$KK59)))))</f>
        <v>0</v>
      </c>
      <c r="ADM59" s="136">
        <f t="array" ref="ADM59">INDEX('China n Importing Ports'!$X$20:$X$41,MATCH(2,1/(('China n Importing Ports'!$D$20:$D$41&lt;=$C59)*('China n Importing Ports'!$C$20:$C$41=IF($AO59="Yes",$AQ59,$KK59)))))</f>
        <v>0</v>
      </c>
      <c r="ADN59" s="136">
        <f t="array" ref="ADN59">INDEX('China n Importing Ports'!$Y$20:$Y$41,MATCH(2,1/(('China n Importing Ports'!$D$20:$D$41&lt;=$C59)*('China n Importing Ports'!$C$20:$C$41=IF($AO59="Yes",$AQ59,$KK59)))))</f>
        <v>197</v>
      </c>
      <c r="ADO59" s="136">
        <f t="array" ref="ADO59">INDEX('China n Importing Ports'!$Z$20:$Z$41,MATCH(2,1/(('China n Importing Ports'!$D$20:$D$41&lt;=$C59)*('China n Importing Ports'!$C$20:$C$41=IF($AO59="Yes",$AQ59,$KK59)))))</f>
        <v>0</v>
      </c>
      <c r="ADP59" s="136">
        <f t="array" ref="ADP59">INDEX('China n Importing Ports'!$AA$20:$AA$41,MATCH(2,1/(('China n Importing Ports'!$D$20:$D$41&lt;=$C59)*('China n Importing Ports'!$C$20:$C$41=IF($AO59="Yes",$AQ59,$KK59)))))</f>
        <v>0</v>
      </c>
      <c r="ADR59" s="75" t="e">
        <f t="array" aca="1" ref="ADR59" ca="1">INDEX(Canals!$G$24:$G$29,MATCH(2,1/((Canals!$F$24:$F$29&lt;=$C59)*(Canals!$G$24:$G$29=_xlfn.IFS(AAC59="Handysize",Main!ACL59,AAC59="Supramax",ACE59,AAC59="Panamax",ABX59,AAC59="NeoPanamax",ABQ59,AAC59="Suezmax",ABJ59,AAC59="Capesize",ABC59,AAC59="VLOC",AAV59)))))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S59" s="75" t="e">
        <f t="array" aca="1" ref="ADS59" ca="1">INDEX(Canals!$H$24:$H$29,MATCH(2,1/((Canals!$F$24:$F$29&lt;=$C59)*(Canals!$G$24:$G$29=_xlfn.IFS(AAC59="Handysize",Main!ACL59,AAC59="Supramax",ACE59,AAC59="Panamax",ABX59,AAC59="NeoPanamax",ABQ59,AAC59="Suezmax",ABJ59,AAC59="Capesize",ABC59,AAC59="VLOC",AAV59)))))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T59" s="75" t="e">
        <f t="array" aca="1" ref="ADT59" ca="1">INDEX(Canals!$I$24:$I$29,MATCH(2,1/((Canals!$F$24:$F$29&lt;=$C59)*(Canals!$G$24:$G$29=_xlfn.IFS(AAC59="Handysize",Main!ACL59,AAC59="Supramax",ACE59,AAC59="Panamax",ABX59,AAC59="NeoPanamax",ABQ59,AAC59="Suezmax",ABJ59,AAC59="Capesize",ABC59,AAC59="VLOC",AAV59)))))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U59" s="75" t="e">
        <f t="array" aca="1" ref="ADU59" ca="1">INDEX(Canals!$J$24:$J$29,MATCH(2,1/((Canals!$F$24:$F$29&lt;=$C59)*(Canals!$G$24:$G$29=_xlfn.IFS(AAC59="Handysize",Main!ACL59,AAC59="Supramax",ACE59,AAC59="Panamax",ABX59,AAC59="NeoPanamax",ABQ59,AAC59="Suezmax",ABJ59,AAC59="Capesize",ABC59,AAC59="VLOC",AAV59)))))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V59" s="75" t="e">
        <f t="array" aca="1" ref="ADV59" ca="1">INDEX(Canals!$K$24:$K$29,MATCH(2,1/((Canals!$F$24:$F$29&lt;=$C59)*(Canals!$G$24:$G$29=_xlfn.IFS(AAC59="Handysize",Main!ACL59,AAC59="Supramax",ACE59,AAC59="Panamax",ABX59,AAC59="NeoPanamax",ABQ59,AAC59="Suezmax",ABJ59,AAC59="Capesize",ABC59,AAC59="VLOC",AAV59)))))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W59" s="75" t="e">
        <f t="array" aca="1" ref="ADW59" ca="1">INDEX(Canals!$L$24:$L$29,MATCH(2,1/((Canals!$F$24:$F$29&lt;=$C59)*(Canals!$G$24:$G$29=_xlfn.IFS(AAC59="Handysize",Main!ACL59,AAC59="Supramax",ACE59,AAC59="Panamax",ABX59,AAC59="NeoPanamax",ABQ59,AAC59="Suezmax",ABJ59,AAC59="Capesize",ABC59,AAC59="VLOC",AAV59)))))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X59" s="75" t="e">
        <f t="array" aca="1" ref="ADX59" ca="1">INDEX(Canals!$M$24:$M$29,MATCH(2,1/((Canals!$F$24:$F$29&lt;=$C59)*(Canals!$G$24:$G$29=_xlfn.IFS(AAC59="Handysize",Main!ACL59,AAC59="Supramax",ACE59,AAC59="Panamax",ABX59,AAC59="NeoPanamax",ABQ59,AAC59="Suezmax",ABJ59,AAC59="Capesize",ABC59,AAC59="VLOC",AAV59)))))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Y59" s="75" t="e">
        <f t="array" aca="1" ref="ADY59" ca="1">INDEX(Canals!$N$24:$N$29,MATCH(2,1/((Canals!$F$24:$F$29&lt;=$C59)*(Canals!$G$24:$G$29=_xlfn.IFS(AAC59="Handysize",Main!ACL59,AAC59="Supramax",ACE59,AAC59="Panamax",ABX59,AAC59="NeoPanamax",ABQ59,AAC59="Suezmax",ABJ59,AAC59="Capesize",ABC59,AAC59="VLOC",AAV59)))))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DZ59" s="75" t="e">
        <f t="array" aca="1" ref="ADZ59" ca="1">INDEX(Canals!$O$24:$O$29,MATCH(2,1/((Canals!$F$24:$F$29&lt;=$C59)*(Canals!$G$24:$G$29=_xlfn.IFS(AAC59="Handysize",Main!ACL59,AAC59="Supramax",ACE59,AAC59="Panamax",ABX59,AAC59="NeoPanamax",ABQ59,AAC59="Suezmax",ABJ59,AAC59="Capesize",ABC59,AAC59="VLOC",AAV59)))))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A59" s="75" t="e">
        <f t="array" aca="1" ref="AEA59" ca="1">INDEX(Canals!$P$24:$P$29,MATCH(2,1/((Canals!$F$24:$F$29&lt;=$C59)*(Canals!$G$24:$G$29=_xlfn.IFS(AAC59="Handysize",Main!ACL59,AAC59="Supramax",ACE59,AAC59="Panamax",ABX59,AAC59="NeoPanamax",ABQ59,AAC59="Suezmax",ABJ59,AAC59="Capesize",ABC59,AAC59="VLOC",AAV59)))))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B59" s="75" t="e">
        <f t="array" aca="1" ref="AEB59" ca="1">INDEX(Canals!$Q$24:$Q$29,MATCH(2,1/((Canals!$F$24:$F$29&lt;=$C59)*(Canals!$G$24:$G$29=_xlfn.IFS(AAC59="Handysize",Main!ACL59,AAC59="Supramax",ACE59,AAC59="Panamax",ABX59,AAC59="NeoPanamax",ABQ59,AAC59="Suezmax",ABJ59,AAC59="Capesize",ABC59,AAC59="VLOC",AAV59)))))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C59" s="75" t="e">
        <f t="array" aca="1" ref="AEC59" ca="1">INDEX(Canals!$R$24:$R$29,MATCH(2,1/((Canals!$F$24:$F$29&lt;=$C59)*(Canals!$G$24:$G$29=_xlfn.IFS(AAC59="Handysize",Main!ACL59,AAC59="Supramax",ACE59,AAC59="Panamax",ABX59,AAC59="NeoPanamax",ABQ59,AAC59="Suezmax",ABJ59,AAC59="Capesize",ABC59,AAC59="VLOC",AAV59)))))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D59" s="136" t="e">
        <f t="array" aca="1" ref="AED59" ca="1">INDEX(Canals!$S$24:$S$29,MATCH(2,1/((Canals!$F$24:$F$29&lt;=$C59)*(Canals!$G$24:$G$29=_xlfn.IFS(AAC59="Handysize",Main!ACL59,AAC59="Supramax",ACE59,AAC59="Panamax",ABX59,AAC59="NeoPanamax",ABQ59,AAC59="Suezmax",ABJ59,AAC59="Capesize",ABC59,AAC59="VLOC",AAV59)))))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E59" s="136" t="e">
        <f t="array" aca="1" ref="AEE59" ca="1">INDEX(Canals!$T$24:$T$29,MATCH(2,1/((Canals!$F$24:$F$29&lt;=$C59)*(Canals!$G$24:$G$29=_xlfn.IFS(AAC59="Handysize",Main!ACL59,AAC59="Supramax",ACE59,AAC59="Panamax",ABX59,AAC59="NeoPanamax",ABQ59,AAC59="Suezmax",ABJ59,AAC59="Capesize",ABC59,AAC59="VLOC",AAV59)))))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F59" s="136" t="e">
        <f t="array" aca="1" ref="AEF59" ca="1">INDEX(Canals!$U$24:$U$29,MATCH(2,1/((Canals!$F$24:$F$29&lt;=$C59)*(Canals!$G$24:$G$29=_xlfn.IFS(AAC59="Handysize",Main!ACL59,AAC59="Supramax",ACE59,AAC59="Panamax",ABX59,AAC59="NeoPanamax",ABQ59,AAC59="Suezmax",ABJ59,AAC59="Capesize",ABC59,AAC59="VLOC",AAV59)))))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G59" s="136" t="e">
        <f t="array" aca="1" ref="AEG59" ca="1">INDEX(Canals!$V$24:$V$29,MATCH(2,1/((Canals!$F$24:$F$29&lt;=$C59)*(Canals!$G$24:$G$29=_xlfn.IFS(AAC59="Handysize",Main!ACL59,AAC59="Supramax",ACE59,AAC59="Panamax",ABX59,AAC59="NeoPanamax",ABQ59,AAC59="Suezmax",ABJ59,AAC59="Capesize",ABC59,AAC59="VLOC",AAV59)))))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H59" s="136" t="e">
        <f t="array" aca="1" ref="AEH59" ca="1">INDEX(Canals!$W$24:$W$29,MATCH(2,1/((Canals!$F$24:$F$29&lt;=$C59)*(Canals!$G$24:$G$29=_xlfn.IFS(AAC59="Handysize",Main!ACL59,AAC59="Supramax",ACE59,AAC59="Panamax",ABX59,AAC59="NeoPanamax",ABQ59,AAC59="Suezmax",ABJ59,AAC59="Capesize",ABC59,AAC59="VLOC",AAV59)))))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I59" s="136" t="e">
        <f t="array" aca="1" ref="AEI59" ca="1">INDEX(Canals!$X$24:$X$29,MATCH(2,1/((Canals!$F$24:$F$29&lt;=$C59)*(Canals!$G$24:$G$29=_xlfn.IFS(AAC59="Handysize",Main!ACL59,AAC59="Supramax",ACE59,AAC59="Panamax",ABX59,AAC59="NeoPanamax",ABQ59,AAC59="Suezmax",ABJ59,AAC59="Capesize",ABC59,AAC59="VLOC",AAV59)))))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J59" s="136" t="e">
        <f t="array" aca="1" ref="AEJ59" ca="1">INDEX(Canals!$Y$24:$Y$29,MATCH(2,1/((Canals!$F$24:$F$29&lt;=$C59)*(Canals!$G$24:$G$29=_xlfn.IFS(AAC59="Handysize",Main!ACL59,AAC59="Supramax",ACE59,AAC59="Panamax",ABX59,AAC59="NeoPanamax",ABQ59,AAC59="Suezmax",ABJ59,AAC59="Capesize",ABC59,AAC59="VLOC",AAV59)))))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K59" s="136" t="e">
        <f t="array" aca="1" ref="AEK59" ca="1">INDEX(Canals!$Z$24:$Z$29,MATCH(2,1/((Canals!$F$24:$F$29&lt;=$C59)*(Canals!$G$24:$G$29=_xlfn.IFS(AAC59="Handysize",Main!ACL59,AAC59="Supramax",ACE59,AAC59="Panamax",ABX59,AAC59="NeoPanamax",ABQ59,AAC59="Suezmax",ABJ59,AAC59="Capesize",ABC59,AAC59="VLOC",AAV59)))))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L59" s="136" t="e">
        <f t="array" aca="1" ref="AEL59" ca="1">INDEX(Canals!$AA$24:$AA$29,MATCH(2,1/((Canals!$F$24:$F$29&lt;=$C59)*(Canals!$G$24:$G$29=_xlfn.IFS(AAC59="Handysize",Main!ACL59,AAC59="Supramax",ACE59,AAC59="Panamax",ABX59,AAC59="NeoPanamax",ABQ59,AAC59="Suezmax",ABJ59,AAC59="Capesize",ABC59,AAC59="VLOC",AAV59)))))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M59" s="136" t="e">
        <f t="array" aca="1" ref="AEM59" ca="1">INDEX(Canals!$AB$24:$AB$29,MATCH(2,1/((Canals!$F$24:$F$29&lt;=$C59)*(Canals!$G$24:$G$29=_xlfn.IFS(AAC59="Handysize",Main!ACL59,AAC59="Supramax",ACE59,AAC59="Panamax",ABX59,AAC59="NeoPanamax",ABQ59,AAC59="Suezmax",ABJ59,AAC59="Capesize",ABC59,AAC59="VLOC",AAV59)))))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N59" s="75" t="e">
        <f t="array" aca="1" ref="AEN59" ca="1">INDEX(Canals!$AC$24:$AC$29,MATCH(2,1/((Canals!$F$24:$F$29&lt;=$C59)*(Canals!$G$24:$G$29=_xlfn.IFS(AAC59="Handysize",Main!ACL59,AAC59="Supramax",ACE59,AAC59="Panamax",ABX59,AAC59="NeoPanamax",ABQ59,AAC59="Suezmax",ABJ59,AAC59="Capesize",ABC59,AAC59="VLOC",AAV59)))))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O59" s="75" t="e">
        <f t="array" aca="1" ref="AEO59" ca="1">INDEX(Canals!$AD$24:$AD$29,MATCH(2,1/((Canals!$F$24:$F$29&lt;=$C59)*(Canals!$G$24:$G$29=_xlfn.IFS(AAC59="Handysize",Main!ACL59,AAC59="Supramax",ACE59,AAC59="Panamax",ABX59,AAC59="NeoPanamax",ABQ59,AAC59="Suezmax",ABJ59,AAC59="Capesize",ABC59,AAC59="VLOC",AAV59)))))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P59" s="75" t="e">
        <f t="array" aca="1" ref="AEP59" ca="1">INDEX(Canals!$AE$24:$AE$29,MATCH(2,1/((Canals!$F$24:$F$29&lt;=$C59)*(Canals!$G$24:$G$29=_xlfn.IFS(AAC59="Handysize",Main!ACL59,AAC59="Supramax",ACE59,AAC59="Panamax",ABX59,AAC59="NeoPanamax",ABQ59,AAC59="Suezmax",ABJ59,AAC59="Capesize",ABC59,AAC59="VLOC",AAV59)))))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Q59" s="75" t="e">
        <f t="array" aca="1" ref="AEQ59" ca="1">INDEX(Canals!$AF$24:$AF$29,MATCH(2,1/((Canals!$F$24:$F$29&lt;=$C59)*(Canals!$G$24:$G$29=_xlfn.IFS(AAC59="Handysize",Main!ACL59,AAC59="Supramax",ACE59,AAC59="Panamax",ABX59,AAC59="NeoPanamax",ABQ59,AAC59="Suezmax",ABJ59,AAC59="Capesize",ABC59,AAC59="VLOC",AAV59)))))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R59" s="75" t="e">
        <f t="array" aca="1" ref="AER59" ca="1">INDEX(Canals!$AG$24:$AG$29,MATCH(2,1/((Canals!$F$24:$F$29&lt;=$C59)*(Canals!$G$24:$G$29=_xlfn.IFS(AAC59="Handysize",Main!ACL59,AAC59="Supramax",ACE59,AAC59="Panamax",ABX59,AAC59="NeoPanamax",ABQ59,AAC59="Suezmax",ABJ59,AAC59="Capesize",ABC59,AAC59="VLOC",AAV59)))))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S59" s="75" t="e">
        <f t="array" aca="1" ref="AES59" ca="1">INDEX(Canals!$AH$24:$AH$29,MATCH(2,1/((Canals!$F$24:$F$29&lt;=$C59)*(Canals!$G$24:$G$29=_xlfn.IFS(AAC59="Handysize",Main!ACL59,AAC59="Supramax",ACE59,AAC59="Panamax",ABX59,AAC59="NeoPanamax",ABQ59,AAC59="Suezmax",ABJ59,AAC59="Capesize",ABC59,AAC59="VLOC",AAV59)))))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T59" s="75" t="e">
        <f t="array" aca="1" ref="AET59" ca="1">INDEX(Canals!$AI$24:$AI$29,MATCH(2,1/((Canals!$F$24:$F$29&lt;=$C59)*(Canals!$G$24:$G$29=_xlfn.IFS(AAC59="Handysize",Main!ACL59,AAC59="Supramax",ACE59,AAC59="Panamax",ABX59,AAC59="NeoPanamax",ABQ59,AAC59="Suezmax",ABJ59,AAC59="Capesize",ABC59,AAC59="VLOC",AAV59)))))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U59" s="75" t="e">
        <f t="array" aca="1" ref="AEU59" ca="1">INDEX(Canals!$AJ$24:$AJ$29,MATCH(2,1/((Canals!$F$24:$F$29&lt;=$C59)*(Canals!$G$24:$G$29=_xlfn.IFS(AAC59="Handysize",Main!ACL59,AAC59="Supramax",ACE59,AAC59="Panamax",ABX59,AAC59="NeoPanamax",ABQ59,AAC59="Suezmax",ABJ59,AAC59="Capesize",ABC59,AAC59="VLOC",AAV59)))))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V59" s="75" t="e">
        <f t="array" aca="1" ref="AEV59" ca="1">INDEX(Canals!$AK$24:$AK$29,MATCH(2,1/((Canals!$F$24:$F$29&lt;=$C59)*(Canals!$G$24:$G$29=_xlfn.IFS(AAC59="Handysize",Main!ACL59,AAC59="Supramax",ACE59,AAC59="Panamax",ABX59,AAC59="NeoPanamax",ABQ59,AAC59="Suezmax",ABJ59,AAC59="Capesize",ABC59,AAC59="VLOC",AAV59)))))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W59" s="136" t="e">
        <f t="array" aca="1" ref="AEW59" ca="1">INDEX(Canals!$AL$24:$AL$29,MATCH(2,1/((Canals!$F$24:$F$29&lt;=$C59)*(Canals!$G$24:$G$29=_xlfn.IFS(AAC59="Handysize",Main!ACL59,AAC59="Supramax",ACE59,AAC59="Panamax",ABX59,AAC59="NeoPanamax",ABQ59,AAC59="Suezmax",ABJ59,AAC59="Capesize",ABC59,AAC59="VLOC",AAV59)))))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X59" s="136" t="e">
        <f t="array" aca="1" ref="AEX59" ca="1">INDEX(Canals!$AM$24:$AM$29,MATCH(2,1/((Canals!$F$24:$F$29&lt;=$C59)*(Canals!$G$24:$G$29=_xlfn.IFS(AAC59="Handysize",Main!ACL59,AAC59="Supramax",ACE59,AAC59="Panamax",ABX59,AAC59="NeoPanamax",ABQ59,AAC59="Suezmax",ABJ59,AAC59="Capesize",ABC59,AAC59="VLOC",AAV59)))))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Y59" s="136" t="e">
        <f t="array" aca="1" ref="AEY59" ca="1">INDEX(Canals!$AN$24:$AN$29,MATCH(2,1/((Canals!$F$24:$F$29&lt;=$C59)*(Canals!$G$24:$G$29=_xlfn.IFS(AAC59="Handysize",Main!ACL59,AAC59="Supramax",ACE59,AAC59="Panamax",ABX59,AAC59="NeoPanamax",ABQ59,AAC59="Suezmax",ABJ59,AAC59="Capesize",ABC59,AAC59="VLOC",AAV59)))))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EZ59" s="136" t="e">
        <f t="array" aca="1" ref="AEZ59" ca="1">INDEX(Canals!$AO$24:$AO$29,MATCH(2,1/((Canals!$F$24:$F$29&lt;=$C59)*(Canals!$G$24:$G$29=_xlfn.IFS(AAC59="Handysize",Main!ACL59,AAC59="Supramax",ACE59,AAC59="Panamax",ABX59,AAC59="NeoPanamax",ABQ59,AAC59="Suezmax",ABJ59,AAC59="Capesize",ABC59,AAC59="VLOC",AAV59)))))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A59" s="136" t="e">
        <f t="array" aca="1" ref="AFA59" ca="1">INDEX(Canals!$AP$24:$AP$29,MATCH(2,1/((Canals!$F$24:$F$29&lt;=$C59)*(Canals!$G$24:$G$29=_xlfn.IFS(AAC59="Handysize",Main!ACL59,AAC59="Supramax",ACE59,AAC59="Panamax",ABX59,AAC59="NeoPanamax",ABQ59,AAC59="Suezmax",ABJ59,AAC59="Capesize",ABC59,AAC59="VLOC",AAV59)))))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B59" s="136" t="e">
        <f t="array" aca="1" ref="AFB59" ca="1">INDEX(Canals!$AQ$24:$AQ$29,MATCH(2,1/((Canals!$F$24:$F$29&lt;=$C59)*(Canals!$G$24:$G$29=_xlfn.IFS(AAC59="Handysize",Main!ACL59,AAC59="Supramax",ACE59,AAC59="Panamax",ABX59,AAC59="NeoPanamax",ABQ59,AAC59="Suezmax",ABJ59,AAC59="Capesize",ABC59,AAC59="VLOC",AAV59)))))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C59" s="136" t="e">
        <f t="array" aca="1" ref="AFC59" ca="1">INDEX(Canals!$AR$24:$AR$29,MATCH(2,1/((Canals!$F$24:$F$29&lt;=$C59)*(Canals!$G$24:$G$29=_xlfn.IFS(AAC59="Handysize",Main!ACL59,AAC59="Supramax",ACE59,AAC59="Panamax",ABX59,AAC59="NeoPanamax",ABQ59,AAC59="Suezmax",ABJ59,AAC59="Capesize",ABC59,AAC59="VLOC",AAV59)))))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D59" s="136" t="e">
        <f t="array" aca="1" ref="AFD59" ca="1">INDEX(Canals!$AS$24:$AS$29,MATCH(2,1/((Canals!$F$24:$F$29&lt;=$C59)*(Canals!$G$24:$G$29=_xlfn.IFS(AAC59="Handysize",Main!ACL59,AAC59="Supramax",ACE59,AAC59="Panamax",ABX59,AAC59="NeoPanamax",ABQ59,AAC59="Suezmax",ABJ59,AAC59="Capesize",ABC59,AAC59="VLOC",AAV59)))))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E59" s="136" t="e">
        <f t="array" aca="1" ref="AFE59" ca="1">INDEX(Canals!$AT$24:$AT$29,MATCH(2,1/((Canals!$F$24:$F$29&lt;=$C59)*(Canals!$G$24:$G$29=_xlfn.IFS(AAC59="Handysize",Main!ACL59,AAC59="Supramax",ACE59,AAC59="Panamax",ABX59,AAC59="NeoPanamax",ABQ59,AAC59="Suezmax",ABJ59,AAC59="Capesize",ABC59,AAC59="VLOC",AAV59)))))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F59" s="136" t="e">
        <f t="array" aca="1" ref="AFF59" ca="1">INDEX(Canals!$AU$24:$AU$29,MATCH(2,1/((Canals!$F$24:$F$29&lt;=$C59)*(Canals!$G$24:$G$29=_xlfn.IFS(AAC59="Handysize",Main!ACL59,AAC59="Supramax",ACE59,AAC59="Panamax",ABX59,AAC59="NeoPanamax",ABQ59,AAC59="Suezmax",ABJ59,AAC59="Capesize",ABC59,AAC59="VLOC",AAV59)))))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G59" s="136" t="e">
        <f t="array" aca="1" ref="AFG59" ca="1">INDEX(Canals!$AV$24:$AV$29,MATCH(2,1/((Canals!$F$24:$F$29&lt;=$C59)*(Canals!$G$24:$G$29=_xlfn.IFS(AAC59="Handysize",Main!ACL59,AAC59="Supramax",ACE59,AAC59="Panamax",ABX59,AAC59="NeoPanamax",ABQ59,AAC59="Suezmax",ABJ59,AAC59="Capesize",ABC59,AAC59="VLOC",AAV59)))))</f>
        <v>#N/A</v>
      </c>
      <c r="AFI59" s="75" t="e">
        <f t="array" aca="1" ref="AFI59" ca="1">_xlfn.IFS(ADT59="DWT",AAA59,ADT59="NRT",AAE59,ADT59="GRT",AAF59)</f>
        <v>#NAME?</v>
      </c>
      <c r="AFJ59" s="279" t="e">
        <f t="shared" ca="1" si="508"/>
        <v>#NAME?</v>
      </c>
      <c r="AFK59" s="280" t="e">
        <f t="shared" ca="1" si="509"/>
        <v>#NAME?</v>
      </c>
      <c r="AFL59" s="280" t="e">
        <f t="shared" ca="1" si="510"/>
        <v>#NAME?</v>
      </c>
      <c r="AFM59" s="280" t="e">
        <f t="shared" ca="1" si="511"/>
        <v>#NAME?</v>
      </c>
      <c r="AFN59" s="280" t="e">
        <f t="shared" ca="1" si="512"/>
        <v>#NAME?</v>
      </c>
      <c r="AFO59" s="280" t="e">
        <f t="shared" ca="1" si="513"/>
        <v>#NAME?</v>
      </c>
      <c r="AFP59" s="280" t="e">
        <f t="shared" ca="1" si="514"/>
        <v>#NAME?</v>
      </c>
      <c r="AFQ59" s="280" t="e">
        <f t="shared" ca="1" si="515"/>
        <v>#NAME?</v>
      </c>
      <c r="AFR59" s="280" t="e">
        <f t="shared" ca="1" si="516"/>
        <v>#NAME?</v>
      </c>
      <c r="AFS59" s="75">
        <f t="shared" si="517"/>
        <v>90361.445783132542</v>
      </c>
      <c r="AFT59" s="279" t="e">
        <f t="shared" ca="1" si="518"/>
        <v>#N/A</v>
      </c>
      <c r="AFU59" s="280" t="e">
        <f t="shared" ca="1" si="519"/>
        <v>#N/A</v>
      </c>
      <c r="AFV59" s="280" t="e">
        <f t="shared" ca="1" si="520"/>
        <v>#N/A</v>
      </c>
      <c r="AFW59" s="280" t="e">
        <f t="shared" ca="1" si="521"/>
        <v>#N/A</v>
      </c>
      <c r="AFX59" s="280" t="e">
        <f t="shared" ca="1" si="522"/>
        <v>#N/A</v>
      </c>
      <c r="AFY59" s="280" t="e">
        <f t="shared" ca="1" si="523"/>
        <v>#N/A</v>
      </c>
      <c r="AFZ59" s="280" t="e">
        <f t="shared" ca="1" si="524"/>
        <v>#N/A</v>
      </c>
      <c r="AGA59" s="280" t="e">
        <f t="shared" ca="1" si="525"/>
        <v>#N/A</v>
      </c>
      <c r="AGB59" s="280" t="e">
        <f t="shared" ca="1" si="526"/>
        <v>#N/A</v>
      </c>
      <c r="AGD59" s="75" t="e">
        <f t="array" aca="1" ref="AGD59" ca="1">_xlfn.IFS(AAC59="Handysize",Main!ACF59,AAC59="Supramax",ABY59,AAC59="Panamax",ABR59,AAC59="NeoPanamax",ABK59,AAC59="Suezmax",ABD59,AAC59="Capesize",AAW59,AAC59="VLOC",AAP59)*$JI59</f>
        <v>#NAME?</v>
      </c>
      <c r="AGE59" s="274" t="e">
        <f t="array" aca="1" ref="AGE59" ca="1">_xlfn.IFS(AAC59="Handysize",Main!ACG59,AAC59="Supramax",ABZ59,AAC59="Panamax",ABS59,AAC59="NeoPanamax",ABL59,AAC59="Suezmax",ABE59,AAC59="Capesize",AAX59,AAC59="VLOC",AAQ59)*$JI59</f>
        <v>#NAME?</v>
      </c>
      <c r="AGF59" s="71" t="e">
        <f t="array" aca="1" ref="AGF59" ca="1">_xlfn.IFS(AAC59="Handysize",Main!AAH59,AAC59="Supramax",AAI59,AAC59="Panamax",AAJ59,AAC59="NeoPanamax",AAK59,AAC59="Suezmax",AAL59,AAC59="Capesize",AAM59,AAC59="VLOC",AAN59)</f>
        <v>#NAME?</v>
      </c>
      <c r="AGG59" s="71" t="e">
        <f t="array" aca="1" ref="AGG59" ca="1">_xlfn.IFS(AAC59="Handysize",Main!ACT59,AAC59="Supramax",ACU59,AAC59="Panamax",ACV59,AAC59="NeoPanamax",ACW59,AAC59="Suezmax",ACX59,AAC59="Capesize",ACY59,AAC59="VLOC",ACZ59)</f>
        <v>#NAME?</v>
      </c>
      <c r="AGH59" s="70">
        <f t="array" ref="AGH59">INDEX('Ship Speeds'!$G$11:$G$1011,MATCH(2,1/(('Ship Speeds'!$E$11:$E$1011&lt;=Main!$C59)*('Ship Speeds'!$F$11:$F$1011=Main!AAB59))))</f>
        <v>11</v>
      </c>
      <c r="AGI59" s="403">
        <f t="shared" si="527"/>
        <v>23.665325265601165</v>
      </c>
      <c r="AGJ59" s="401">
        <f t="shared" si="528"/>
        <v>2.1898053753475439</v>
      </c>
      <c r="AGK59" s="70" t="e">
        <f t="shared" ca="1" si="529"/>
        <v>#NAME?</v>
      </c>
      <c r="AGL59" s="70" t="e">
        <f t="shared" ca="1" si="530"/>
        <v>#NAME?</v>
      </c>
      <c r="AGM59" s="70" t="e">
        <f t="shared" ca="1" si="531"/>
        <v>#NAME?</v>
      </c>
      <c r="AGN59" s="70" t="e">
        <f t="shared" ca="1" si="532"/>
        <v>#NAME?</v>
      </c>
      <c r="AGO59" s="72" t="e">
        <f t="shared" ca="1" si="533"/>
        <v>#N/A</v>
      </c>
      <c r="AGP59" s="70" t="e">
        <f t="shared" ca="1" si="534"/>
        <v>#NAME?</v>
      </c>
      <c r="AGQ59" s="70" t="e">
        <f t="array" aca="1" ref="AGQ59" ca="1">INDEX(ACN59:ACR59,MATCH(_xlfn.IFS(AAC59="Handysize",Main!ACJ59,AAC59="Supramax",ACC59,AAC59="Panamax",ABV59,AAC59="NeoPanamax",ABO59,AAC59="Suezmax",ABH59,AAC59="Capesize",ABA59,AAC59="VLOC",AAT59),$ACN$7:$ACR$7,0))</f>
        <v>#NAME?</v>
      </c>
      <c r="AGR59" s="70" t="e">
        <f t="array" aca="1" ref="AGR59" ca="1">INDEX(ACN59:ACR59,MATCH(_xlfn.IFS(AAC59="Handysize",Main!ACK59,AAC59="Supramax",ACD59,AAC59="Panamax",ABW59,AAC59="NeoPanamax",ABP59,AAC59="Suezmax",ABI59,AAC59="Capesize",ABB59,AAC59="VLOC",AAU59),$ACN$7:$ACR$7,0))</f>
        <v>#NAME?</v>
      </c>
      <c r="AGS59" s="71" t="e">
        <f t="shared" ca="1" si="535"/>
        <v>#NAME?</v>
      </c>
      <c r="AGT59" s="71" t="e">
        <f t="shared" ca="1" si="536"/>
        <v>#NAME?</v>
      </c>
      <c r="AGU59" s="281">
        <f t="shared" si="537"/>
        <v>7.0834199999999994</v>
      </c>
      <c r="AGV59" s="71">
        <f t="shared" si="538"/>
        <v>1742.3786814843679</v>
      </c>
      <c r="AGW59" s="71" t="e">
        <f t="shared" ca="1" si="539"/>
        <v>#NAME?</v>
      </c>
      <c r="AGX59" s="71" t="e">
        <f t="shared" ca="1" si="540"/>
        <v>#NAME?</v>
      </c>
      <c r="AGY59" s="71">
        <f t="shared" si="541"/>
        <v>33677.830323130627</v>
      </c>
      <c r="AGZ59" s="71" t="e">
        <f t="shared" ca="1" si="542"/>
        <v>#NAME?</v>
      </c>
      <c r="AHA59" s="71" t="e">
        <f t="shared" ca="1" si="543"/>
        <v>#NAME?</v>
      </c>
      <c r="AHB59" s="71">
        <f t="shared" si="544"/>
        <v>23909.453958100057</v>
      </c>
      <c r="AHC59" s="71" t="e">
        <f t="shared" ca="1" si="545"/>
        <v>#NAME?</v>
      </c>
      <c r="AHD59" s="71" t="e">
        <f t="shared" ca="1" si="546"/>
        <v>#NAME?</v>
      </c>
      <c r="AHE59" s="71">
        <f t="shared" si="547"/>
        <v>0</v>
      </c>
      <c r="AHF59" s="71" t="e">
        <f t="shared" ca="1" si="548"/>
        <v>#NAME?</v>
      </c>
      <c r="AHG59" s="71" t="e">
        <f t="shared" ca="1" si="549"/>
        <v>#NAME?</v>
      </c>
      <c r="AHH59" s="72">
        <f t="shared" si="550"/>
        <v>6307.5823444736016</v>
      </c>
      <c r="AHI59" s="72" t="e">
        <f t="shared" ca="1" si="551"/>
        <v>#NAME?</v>
      </c>
      <c r="AHJ59" s="71" t="e">
        <f t="shared" ca="1" si="552"/>
        <v>#NAME?</v>
      </c>
      <c r="AHK59" s="71" t="e">
        <f t="array" aca="1" ref="AHK59" ca="1">INDEX('Ship Time Charter Rates'!$H$22:$H$1021,MATCH(2,1/(('Ship Time Charter Rates'!$G$22:$G$1021=_xlfn.IFS(AAC59="Handysize",Main!ACH59,AAC59="Supramax",ACA59,AAC59="Panamax",ABT59,AAC59="NeoPanamax",ABM59,AAC59="Suezmax",ABF59,AAC59="Capesize",AAY59,AAC59="VLOC",AAR59))*('Ship Time Charter Rates'!$E$22:$E$1021&lt;=Main!$C59)*(NOT(ISBLANK('Ship Time Charter Rates'!$H$22:$H$1021))))))</f>
        <v>#N/A</v>
      </c>
      <c r="AHL59" s="71" t="e">
        <f t="shared" ca="1" si="553"/>
        <v>#NAME?</v>
      </c>
      <c r="AHM59" s="70" t="e">
        <f t="shared" ca="1" si="554"/>
        <v>#N/A</v>
      </c>
      <c r="AHN59" s="71" t="e">
        <f t="shared" ca="1" si="555"/>
        <v>#NAME?</v>
      </c>
      <c r="AHO59" s="71" t="e">
        <f t="shared" ca="1" si="556"/>
        <v>#NAME?</v>
      </c>
      <c r="AHP59" s="72" t="e">
        <f t="shared" ca="1" si="557"/>
        <v>#NAME?</v>
      </c>
      <c r="AHR59" s="25">
        <f t="shared" si="673"/>
        <v>0</v>
      </c>
      <c r="AHS59" s="4" t="str">
        <f>VLOOKUP(AHR59,'Ship Time Charter Rates'!$F$10:$G$17,2,TRUE)</f>
        <v>Handysize</v>
      </c>
      <c r="AHT59" s="4" t="str">
        <f>VLOOKUP(AHR59,Canals!$E$5:$F$12,2,TRUE)</f>
        <v>Handysize</v>
      </c>
      <c r="AHU59" s="25">
        <f t="shared" si="558"/>
        <v>145.88999999999999</v>
      </c>
      <c r="AHV59" s="25">
        <f t="shared" si="559"/>
        <v>0</v>
      </c>
      <c r="AHW59" s="25">
        <f t="shared" si="560"/>
        <v>4797</v>
      </c>
      <c r="AHY59" s="75">
        <f t="array" ref="AHY59">INDEX('Indices Mines Exporting Ports'!$R$20:$R$51,MATCH(2,1/(('Indices Mines Exporting Ports'!$D$20:$D$51&lt;=Main!$C59)*('Indices Mines Exporting Ports'!$Q$20:$Q$51=$AQ59))))</f>
        <v>0</v>
      </c>
      <c r="AHZ59" s="75">
        <f t="array" ref="AHZ59">INDEX('Indices Mines Exporting Ports'!$S$20:$S$51,MATCH(2,1/(('Indices Mines Exporting Ports'!$D$20:$D$51&lt;=Main!$C59)*('Indices Mines Exporting Ports'!$Q$20:$Q$51=$AQ59))))</f>
        <v>0</v>
      </c>
      <c r="AIA59" s="75">
        <f t="array" ref="AIA59">INDEX('Indices Mines Exporting Ports'!$T$20:$T$51,MATCH(2,1/(('Indices Mines Exporting Ports'!$D$20:$D$51&lt;=Main!$C59)*('Indices Mines Exporting Ports'!$Q$20:$Q$51=$AQ59))))</f>
        <v>0</v>
      </c>
      <c r="AIB59" s="75">
        <f t="array" ref="AIB59">INDEX('Indices Mines Exporting Ports'!$U$20:$U$51,MATCH(2,1/(('Indices Mines Exporting Ports'!$D$20:$D$51&lt;=Main!$C59)*('Indices Mines Exporting Ports'!$Q$20:$Q$51=$AQ59))))</f>
        <v>0</v>
      </c>
      <c r="AIC59" s="75">
        <f t="array" ref="AIC59">INDEX('Indices Mines Exporting Ports'!$V$20:$V$51,MATCH(2,1/(('Indices Mines Exporting Ports'!$D$20:$D$51&lt;=Main!$C59)*('Indices Mines Exporting Ports'!$Q$20:$Q$51=$AQ59))))</f>
        <v>0</v>
      </c>
      <c r="AID59" s="75">
        <f t="array" ref="AID59">INDEX('Indices Mines Exporting Ports'!$W$20:$W$51,MATCH(2,1/(('Indices Mines Exporting Ports'!$D$20:$D$51&lt;=Main!$C59)*('Indices Mines Exporting Ports'!$Q$20:$Q$51=$AQ59))))</f>
        <v>0</v>
      </c>
      <c r="AIE59" s="75">
        <f t="array" ref="AIE59">INDEX('Indices Mines Exporting Ports'!$X$20:$X$51,MATCH(2,1/(('Indices Mines Exporting Ports'!$D$20:$D$51&lt;=Main!$C59)*('Indices Mines Exporting Ports'!$Q$20:$Q$51=$AQ59))))</f>
        <v>0</v>
      </c>
      <c r="AIG59" s="75">
        <f t="array" ref="AIG59">INDEX('Port Linkages'!$E$18:$E$157,MATCH(2,1/(('Port Linkages'!$C$18:$C$157=$AQ59)*('Port Linkages'!$D$18:$D$157=IF($AO59="no",$AQ59,$KK59))*('Port Linkages'!$A$18:$A$157&lt;=$C59))))</f>
        <v>0</v>
      </c>
      <c r="AIH59" s="75">
        <f t="array" ref="AIH59">INDEX('Port Linkages'!$F$18:$F$157,MATCH(2,1/(('Port Linkages'!$C$18:$C$157=$AQ59)*('Port Linkages'!$D$18:$D$157=IF($AO59="no",$AQ59,$KK59))*('Port Linkages'!$A$18:$A$157&lt;=$C59))))</f>
        <v>0</v>
      </c>
      <c r="AII59" s="75">
        <f t="array" ref="AII59">INDEX('Port Linkages'!$G$18:$G$157,MATCH(2,1/(('Port Linkages'!$C$18:$C$157=$AQ59)*('Port Linkages'!$D$18:$D$157=IF($AO59="no",$AQ59,$KK59))*('Port Linkages'!$A$18:$A$157&lt;=$C59))))</f>
        <v>0</v>
      </c>
      <c r="AIJ59" s="75">
        <f t="array" ref="AIJ59">INDEX('Port Linkages'!$H$18:$H$157,MATCH(2,1/(('Port Linkages'!$C$18:$C$157=$AQ59)*('Port Linkages'!$D$18:$D$157=IF($AO59="no",$AQ59,$KK59))*('Port Linkages'!$A$18:$A$157&lt;=$C59))))</f>
        <v>0</v>
      </c>
      <c r="AIK59" s="75">
        <f t="array" ref="AIK59">INDEX('Port Linkages'!$I$18:$I$157,MATCH(2,1/(('Port Linkages'!$C$18:$C$157=$AQ59)*('Port Linkages'!$D$18:$D$157=IF($AO59="no",$AQ59,$KK59))*('Port Linkages'!$A$18:$A$157&lt;=$C59))))</f>
        <v>0</v>
      </c>
      <c r="AIL59" s="75">
        <f t="array" ref="AIL59">INDEX('Port Linkages'!$J$18:$J$157,MATCH(2,1/(('Port Linkages'!$C$18:$C$157=$AQ59)*('Port Linkages'!$D$18:$D$157=IF($AO59="no",$AQ59,$KK59))*('Port Linkages'!$A$18:$A$157&lt;=$C59))))</f>
        <v>0</v>
      </c>
      <c r="AIM59" s="75">
        <f t="array" ref="AIM59">INDEX('Port Linkages'!$K$18:$K$157,MATCH(2,1/(('Port Linkages'!$C$18:$C$157=$AQ59)*('Port Linkages'!$D$18:$D$157=IF($AO59="no",$AQ59,$KK59))*('Port Linkages'!$A$18:$A$157&lt;=$C59))))</f>
        <v>0</v>
      </c>
      <c r="AIN59" s="75">
        <f t="array" ref="AIN59">INDEX('Port Linkages'!$L$18:$L$157,MATCH(2,1/(('Port Linkages'!$C$18:$C$157=$AQ59)*('Port Linkages'!$D$18:$D$157=IF($AO59="no",$AQ59,$KK59))*('Port Linkages'!$A$18:$A$157&lt;=$C59))))</f>
        <v>0</v>
      </c>
      <c r="AIO59" s="75">
        <f t="array" ref="AIO59">INDEX('Port Linkages'!$M$18:$M$157,MATCH(2,1/(('Port Linkages'!$C$18:$C$157=$AQ59)*('Port Linkages'!$D$18:$D$157=IF($AO59="no",$AQ59,$KK59))*('Port Linkages'!$A$18:$A$157&lt;=$C59))))</f>
        <v>0</v>
      </c>
      <c r="AIP59" s="75">
        <f t="array" ref="AIP59">INDEX('Port Linkages'!$N$18:$N$157,MATCH(2,1/(('Port Linkages'!$C$18:$C$157=$AQ59)*('Port Linkages'!$D$18:$D$157=IF($AO59="no",$AQ59,$KK59))*('Port Linkages'!$A$18:$A$157&lt;=$C59))))</f>
        <v>0</v>
      </c>
      <c r="AIQ59" s="75">
        <f t="array" ref="AIQ59">INDEX('Port Linkages'!$O$18:$O$157,MATCH(2,1/(('Port Linkages'!$C$18:$C$157=$AQ59)*('Port Linkages'!$D$18:$D$157=IF($AO59="no",$AQ59,$KK59))*('Port Linkages'!$A$18:$A$157&lt;=$C59))))</f>
        <v>0</v>
      </c>
      <c r="AIR59" s="75">
        <f t="array" ref="AIR59">INDEX('Port Linkages'!$P$18:$P$157,MATCH(2,1/(('Port Linkages'!$C$18:$C$157=$AQ59)*('Port Linkages'!$D$18:$D$157=IF($AO59="no",$AQ59,$KK59))*('Port Linkages'!$A$18:$A$157&lt;=$C59))))</f>
        <v>0</v>
      </c>
      <c r="AIS59" s="75">
        <f t="array" ref="AIS59">INDEX('Port Linkages'!$Q$18:$Q$157,MATCH(2,1/(('Port Linkages'!$C$18:$C$157=$AQ59)*('Port Linkages'!$D$18:$D$157=IF($AO59="no",$AQ59,$KK59))*('Port Linkages'!$A$18:$A$157&lt;=$C59))))</f>
        <v>0</v>
      </c>
      <c r="AIT59" s="75">
        <f t="array" ref="AIT59">INDEX('Port Linkages'!$R$18:$R$157,MATCH(2,1/(('Port Linkages'!$C$18:$C$157=$AQ59)*('Port Linkages'!$D$18:$D$157=IF($AO59="no",$AQ59,$KK59))*('Port Linkages'!$A$18:$A$157&lt;=$C59))))</f>
        <v>0</v>
      </c>
      <c r="AIU59" s="75">
        <f t="array" ref="AIU59">INDEX('Port Linkages'!$S$18:$S$157,MATCH(2,1/(('Port Linkages'!$C$18:$C$157=$AQ59)*('Port Linkages'!$D$18:$D$157=IF($AO59="no",$AQ59,$KK59))*('Port Linkages'!$A$18:$A$157&lt;=$C59))))</f>
        <v>0</v>
      </c>
      <c r="AIV59" s="75">
        <f t="array" ref="AIV59">INDEX('Port Linkages'!$T$18:$T$157,MATCH(2,1/(('Port Linkages'!$C$18:$C$157=$AQ59)*('Port Linkages'!$D$18:$D$157=IF($AO59="no",$AQ59,$KK59))*('Port Linkages'!$A$18:$A$157&lt;=$C59))))</f>
        <v>0</v>
      </c>
      <c r="AIW59" s="75">
        <f t="array" ref="AIW59">INDEX('Port Linkages'!$U$18:$U$157,MATCH(2,1/(('Port Linkages'!$C$18:$C$157=$AQ59)*('Port Linkages'!$D$18:$D$157=IF($AO59="no",$AQ59,$KK59))*('Port Linkages'!$A$18:$A$157&lt;=$C59))))</f>
        <v>0</v>
      </c>
      <c r="AIX59" s="75">
        <f t="array" ref="AIX59">INDEX('Port Linkages'!$V$18:$V$157,MATCH(2,1/(('Port Linkages'!$C$18:$C$157=$AQ59)*('Port Linkages'!$D$18:$D$157=IF($AO59="no",$AQ59,$KK59))*('Port Linkages'!$A$18:$A$157&lt;=$C59))))</f>
        <v>0</v>
      </c>
      <c r="AIY59" s="75">
        <f t="array" ref="AIY59">INDEX('Port Linkages'!$W$18:$W$157,MATCH(2,1/(('Port Linkages'!$C$18:$C$157=$AQ59)*('Port Linkages'!$D$18:$D$157=IF($AO59="no",$AQ59,$KK59))*('Port Linkages'!$A$18:$A$157&lt;=$C59))))</f>
        <v>0</v>
      </c>
      <c r="AIZ59" s="75">
        <f t="array" ref="AIZ59">INDEX('Port Linkages'!$X$18:$X$157,MATCH(2,1/(('Port Linkages'!$C$18:$C$157=$AQ59)*('Port Linkages'!$D$18:$D$157=IF($AO59="no",$AQ59,$KK59))*('Port Linkages'!$A$18:$A$157&lt;=$C59))))</f>
        <v>0</v>
      </c>
      <c r="AJA59" s="75">
        <f t="array" ref="AJA59">INDEX('Port Linkages'!$Y$18:$Y$157,MATCH(2,1/(('Port Linkages'!$C$18:$C$157=$AQ59)*('Port Linkages'!$D$18:$D$157=IF($AO59="no",$AQ59,$KK59))*('Port Linkages'!$A$18:$A$157&lt;=$C59))))</f>
        <v>0</v>
      </c>
      <c r="AJB59" s="75">
        <f t="array" ref="AJB59">INDEX('Port Linkages'!$Z$18:$Z$157,MATCH(2,1/(('Port Linkages'!$C$18:$C$157=$AQ59)*('Port Linkages'!$D$18:$D$157=IF($AO59="no",$AQ59,$KK59))*('Port Linkages'!$A$18:$A$157&lt;=$C59))))</f>
        <v>0</v>
      </c>
      <c r="AJC59" s="75">
        <f t="array" ref="AJC59">INDEX('Port Linkages'!$AA$18:$AA$157,MATCH(2,1/(('Port Linkages'!$C$18:$C$157=$AQ59)*('Port Linkages'!$D$18:$D$157=IF($AO59="no",$AQ59,$KK59))*('Port Linkages'!$A$18:$A$157&lt;=$C59))))</f>
        <v>0</v>
      </c>
      <c r="AJD59" s="75">
        <f t="array" ref="AJD59">INDEX('Port Linkages'!$AB$18:$AB$157,MATCH(2,1/(('Port Linkages'!$C$18:$C$157=$AQ59)*('Port Linkages'!$D$18:$D$157=IF($AO59="no",$AQ59,$KK59))*('Port Linkages'!$A$18:$A$157&lt;=$C59))))</f>
        <v>0</v>
      </c>
      <c r="AJE59" s="75">
        <f t="array" ref="AJE59">INDEX('Port Linkages'!$AC$18:$AC$157,MATCH(2,1/(('Port Linkages'!$C$18:$C$157=$AQ59)*('Port Linkages'!$D$18:$D$157=IF($AO59="no",$AQ59,$KK59))*('Port Linkages'!$A$18:$A$157&lt;=$C59))))</f>
        <v>0</v>
      </c>
      <c r="AJF59" s="75">
        <f t="array" ref="AJF59">INDEX('Port Linkages'!$AD$18:$AD$157,MATCH(2,1/(('Port Linkages'!$C$18:$C$157=$AQ59)*('Port Linkages'!$D$18:$D$157=IF($AO59="no",$AQ59,$KK59))*('Port Linkages'!$A$18:$A$157&lt;=$C59))))</f>
        <v>0</v>
      </c>
      <c r="AJG59" s="75">
        <f t="array" ref="AJG59">INDEX('Port Linkages'!$AE$18:$AE$157,MATCH(2,1/(('Port Linkages'!$C$18:$C$157=$AQ59)*('Port Linkages'!$D$18:$D$157=IF($AO59="no",$AQ59,$KK59))*('Port Linkages'!$A$18:$A$157&lt;=$C59))))</f>
        <v>0</v>
      </c>
      <c r="AJH59" s="75">
        <f t="array" ref="AJH59">INDEX('Port Linkages'!$AF$18:$AF$157,MATCH(2,1/(('Port Linkages'!$C$18:$C$157=$AQ59)*('Port Linkages'!$D$18:$D$157=IF($AO59="no",$AQ59,$KK59))*('Port Linkages'!$A$18:$A$157&lt;=$C59))))</f>
        <v>0</v>
      </c>
      <c r="AJI59" s="75">
        <f t="array" ref="AJI59">INDEX('Port Linkages'!$AG$18:$AG$157,MATCH(2,1/(('Port Linkages'!$C$18:$C$157=$AQ59)*('Port Linkages'!$D$18:$D$157=IF($AO59="no",$AQ59,$KK59))*('Port Linkages'!$A$18:$A$157&lt;=$C59))))</f>
        <v>0</v>
      </c>
      <c r="AJJ59" s="75">
        <f t="array" ref="AJJ59">INDEX('Port Linkages'!$AH$18:$AH$157,MATCH(2,1/(('Port Linkages'!$C$18:$C$157=$AQ59)*('Port Linkages'!$D$18:$D$157=IF($AO59="no",$AQ59,$KK59))*('Port Linkages'!$A$18:$A$157&lt;=$C59))))</f>
        <v>0</v>
      </c>
      <c r="AJK59" s="75">
        <f t="array" ref="AJK59">INDEX('Port Linkages'!$AI$18:$AI$157,MATCH(2,1/(('Port Linkages'!$C$18:$C$157=$AQ59)*('Port Linkages'!$D$18:$D$157=IF($AO59="no",$AQ59,$KK59))*('Port Linkages'!$A$18:$A$157&lt;=$C59))))</f>
        <v>0</v>
      </c>
      <c r="AJL59" s="75">
        <f t="array" ref="AJL59">INDEX('Port Linkages'!$AJ$18:$AJ$157,MATCH(2,1/(('Port Linkages'!$C$18:$C$157=$AQ59)*('Port Linkages'!$D$18:$D$157=IF($AO59="no",$AQ59,$KK59))*('Port Linkages'!$A$18:$A$157&lt;=$C59))))</f>
        <v>0</v>
      </c>
      <c r="AJM59" s="75">
        <f t="array" ref="AJM59">INDEX('Port Linkages'!$AK$18:$AK$157,MATCH(2,1/(('Port Linkages'!$C$18:$C$157=$AQ59)*('Port Linkages'!$D$18:$D$157=IF($AO59="no",$AQ59,$KK59))*('Port Linkages'!$A$18:$A$157&lt;=$C59))))</f>
        <v>0</v>
      </c>
      <c r="AJN59" s="75">
        <f t="array" ref="AJN59">INDEX('Port Linkages'!$AL$18:$AL$157,MATCH(2,1/(('Port Linkages'!$C$18:$C$157=$AQ59)*('Port Linkages'!$D$18:$D$157=IF($AO59="no",$AQ59,$KK59))*('Port Linkages'!$A$18:$A$157&lt;=$C59))))</f>
        <v>0</v>
      </c>
      <c r="AJO59" s="75">
        <f t="array" ref="AJO59">INDEX('Port Linkages'!$AM$18:$AM$157,MATCH(2,1/(('Port Linkages'!$C$18:$C$157=$AQ59)*('Port Linkages'!$D$18:$D$157=IF($AO59="no",$AQ59,$KK59))*('Port Linkages'!$A$18:$A$157&lt;=$C59))))</f>
        <v>0</v>
      </c>
      <c r="AJP59" s="75">
        <f t="array" ref="AJP59">INDEX('Port Linkages'!$AN$18:$AN$157,MATCH(2,1/(('Port Linkages'!$C$18:$C$157=$AQ59)*('Port Linkages'!$D$18:$D$157=IF($AO59="no",$AQ59,$KK59))*('Port Linkages'!$A$18:$A$157&lt;=$C59))))</f>
        <v>0</v>
      </c>
      <c r="AJQ59" s="75">
        <f t="array" ref="AJQ59">INDEX('Port Linkages'!$AO$18:$AO$157,MATCH(2,1/(('Port Linkages'!$C$18:$C$157=$AQ59)*('Port Linkages'!$D$18:$D$157=IF($AO59="no",$AQ59,$KK59))*('Port Linkages'!$A$18:$A$157&lt;=$C59))))</f>
        <v>0</v>
      </c>
      <c r="AJR59" s="75">
        <f t="array" ref="AJR59">INDEX('Port Linkages'!$AP$18:$AP$157,MATCH(2,1/(('Port Linkages'!$C$18:$C$157=$AQ59)*('Port Linkages'!$D$18:$D$157=IF($AO59="no",$AQ59,$KK59))*('Port Linkages'!$A$18:$A$157&lt;=$C59))))</f>
        <v>0</v>
      </c>
      <c r="AJS59" s="75">
        <f t="array" ref="AJS59">INDEX('Port Linkages'!$AQ$18:$AQ$157,MATCH(2,1/(('Port Linkages'!$C$18:$C$157=$AQ59)*('Port Linkages'!$D$18:$D$157=IF($AO59="no",$AQ59,$KK59))*('Port Linkages'!$A$18:$A$157&lt;=$C59))))</f>
        <v>0</v>
      </c>
      <c r="AJT59" s="75">
        <f t="array" ref="AJT59">INDEX('Port Linkages'!$AR$18:$AR$157,MATCH(2,1/(('Port Linkages'!$C$18:$C$157=$AQ59)*('Port Linkages'!$D$18:$D$157=IF($AO59="no",$AQ59,$KK59))*('Port Linkages'!$A$18:$A$157&lt;=$C59))))</f>
        <v>0</v>
      </c>
      <c r="AJU59" s="75">
        <f t="array" ref="AJU59">INDEX('Port Linkages'!$AS$18:$AS$157,MATCH(2,1/(('Port Linkages'!$C$18:$C$157=$AQ59)*('Port Linkages'!$D$18:$D$157=IF($AO59="no",$AQ59,$KK59))*('Port Linkages'!$A$18:$A$157&lt;=$C59))))</f>
        <v>0</v>
      </c>
      <c r="AJV59" s="75">
        <f t="array" ref="AJV59">INDEX('Port Linkages'!$AT$18:$AT$157,MATCH(2,1/(('Port Linkages'!$C$18:$C$157=$AQ59)*('Port Linkages'!$D$18:$D$157=IF($AO59="no",$AQ59,$KK59))*('Port Linkages'!$A$18:$A$157&lt;=$C59))))</f>
        <v>0</v>
      </c>
      <c r="AJW59" s="75">
        <f t="array" ref="AJW59">INDEX('Port Linkages'!$AU$18:$AU$157,MATCH(2,1/(('Port Linkages'!$C$18:$C$157=$AQ59)*('Port Linkages'!$D$18:$D$157=IF($AO59="no",$AQ59,$KK59))*('Port Linkages'!$A$18:$A$157&lt;=$C59))))</f>
        <v>0</v>
      </c>
      <c r="AJX59" s="75">
        <f t="array" ref="AJX59">INDEX('Port Linkages'!$AV$18:$AV$157,MATCH(2,1/(('Port Linkages'!$C$18:$C$157=$AQ59)*('Port Linkages'!$D$18:$D$157=IF($AO59="no",$AQ59,$KK59))*('Port Linkages'!$A$18:$A$157&lt;=$C59))))</f>
        <v>0</v>
      </c>
      <c r="AJY59" s="75">
        <f t="array" ref="AJY59">INDEX('Port Linkages'!$AW$18:$AW$157,MATCH(2,1/(('Port Linkages'!$C$18:$C$157=$AQ59)*('Port Linkages'!$D$18:$D$157=IF($AO59="no",$AQ59,$KK59))*('Port Linkages'!$A$18:$A$157&lt;=$C59))))</f>
        <v>0</v>
      </c>
      <c r="AJZ59" s="75">
        <f t="array" ref="AJZ59">INDEX('Port Linkages'!$AX$18:$AX$157,MATCH(2,1/(('Port Linkages'!$C$18:$C$157=$AQ59)*('Port Linkages'!$D$18:$D$157=IF($AO59="no",$AQ59,$KK59))*('Port Linkages'!$A$18:$A$157&lt;=$C59))))</f>
        <v>0</v>
      </c>
      <c r="AKA59" s="75">
        <f t="array" ref="AKA59">INDEX('Port Linkages'!$AY$18:$AY$157,MATCH(2,1/(('Port Linkages'!$C$18:$C$157=$AQ59)*('Port Linkages'!$D$18:$D$157=IF($AO59="no",$AQ59,$KK59))*('Port Linkages'!$A$18:$A$157&lt;=$C59))))</f>
        <v>0</v>
      </c>
      <c r="AKB59" s="75">
        <f t="array" ref="AKB59">INDEX('Port Linkages'!$AZ$18:$AZ$157,MATCH(2,1/(('Port Linkages'!$C$18:$C$157=$AQ59)*('Port Linkages'!$D$18:$D$157=IF($AO59="no",$AQ59,$KK59))*('Port Linkages'!$A$18:$A$157&lt;=$C59))))</f>
        <v>0</v>
      </c>
      <c r="AKC59" s="75">
        <f t="array" ref="AKC59">INDEX('Port Linkages'!$BA$18:$BA$157,MATCH(2,1/(('Port Linkages'!$C$18:$C$157=$AQ59)*('Port Linkages'!$D$18:$D$157=IF($AO59="no",$AQ59,$KK59))*('Port Linkages'!$A$18:$A$157&lt;=$C59))))</f>
        <v>0</v>
      </c>
      <c r="AKE59" s="25" t="e">
        <f t="array" aca="1" ref="AKE59" ca="1">INDEX('Ship Fuel Prices'!$F$5:$F$1004,MATCH(2,1/(('Ship Fuel Prices'!$E$5:$E$1004=_xlfn.IFS(AHT59="Handysize",Main!AJZ59,AHT59="Supramax",AJS59,AHT59="Panamax",AJL59,AHT59="NeoPanamax",AJE59,AHT59="Suezmax",AIX59,AHT59="Capesize",AIQ59,AHT59="VLOC",AIJ59))*('Ship Fuel Prices'!$D$5:$D$1004&lt;=Main!$C59))))</f>
        <v>#N/A</v>
      </c>
      <c r="AKF59" s="25" t="e">
        <f t="array" aca="1" ref="AKF59" ca="1">INDEX('Ship Fuel Prices'!$G$5:$G$1004,MATCH(2,1/(('Ship Fuel Prices'!$E$5:$E$1004=_xlfn.IFS(AHT59="Handysize",Main!AJZ59,AHT59="Supramax",AJS59,AHT59="Panamax",AJL59,AHT59="NeoPanamax",AJE59,AHT59="Suezmax",AIX59,AHT59="Capesize",AIQ59,AHT59="VLOC",AIJ59))*('Ship Fuel Prices'!$D$5:$D$1004&lt;=Main!$C59))))</f>
        <v>#N/A</v>
      </c>
      <c r="AKG59" s="25" t="e">
        <f t="array" aca="1" ref="AKG59" ca="1">INDEX('Ship Fuel Prices'!$H$5:$H$1004,MATCH(2,1/(('Ship Fuel Prices'!$E$5:$E$1004=_xlfn.IFS(AHT59="Handysize",Main!AJZ59,AHT59="Supramax",AJS59,AHT59="Panamax",AJL59,AHT59="NeoPanamax",AJE59,AHT59="Suezmax",AIX59,AHT59="Capesize",AIQ59,AHT59="VLOC",AIJ59))*('Ship Fuel Prices'!$D$5:$D$1004&lt;=Main!$C59))))</f>
        <v>#N/A</v>
      </c>
      <c r="AKH59" s="25" t="e">
        <f t="array" aca="1" ref="AKH59" ca="1">INDEX('Ship Fuel Prices'!$I$5:$I$1004,MATCH(2,1/(('Ship Fuel Prices'!$E$5:$E$1004=_xlfn.IFS(AHT59="Handysize",Main!AJZ59,AHT59="Supramax",AJS59,AHT59="Panamax",AJL59,AHT59="NeoPanamax",AJE59,AHT59="Suezmax",AIX59,AHT59="Capesize",AIQ59,AHT59="VLOC",AIJ59))*('Ship Fuel Prices'!$D$5:$D$1004&lt;=Main!$C59))))</f>
        <v>#N/A</v>
      </c>
      <c r="AKI59" s="25" t="e">
        <f t="array" aca="1" ref="AKI59" ca="1">INDEX('Ship Fuel Prices'!$J$5:$J$1004,MATCH(2,1/(('Ship Fuel Prices'!$E$5:$E$1004=_xlfn.IFS(AHT59="Handysize",Main!AJZ59,AHT59="Supramax",AJS59,AHT59="Panamax",AJL59,AHT59="NeoPanamax",AJE59,AHT59="Suezmax",AIX59,AHT59="Capesize",AIQ59,AHT59="VLOC",AIJ59))*('Ship Fuel Prices'!$D$5:$D$1004&lt;=Main!$C59))))</f>
        <v>#N/A</v>
      </c>
      <c r="AKK59" s="75">
        <f t="array" ref="AKK59">INDEX('China n Importing Ports'!$E$20:$E$41,MATCH(2,1/(('China n Importing Ports'!$D$20:$D$41&lt;=$C59)*('China n Importing Ports'!$C$20:$C$41=IF($AO59="No",$AQ59,$KK59)))))</f>
        <v>0</v>
      </c>
      <c r="AKL59" s="75">
        <f t="array" ref="AKL59">INDEX('China n Importing Ports'!$F$20:$F$41,MATCH(2,1/(('China n Importing Ports'!$D$20:$D$41&lt;=$C59)*('China n Importing Ports'!$C$20:$C$41=IF($AO59="No",$AQ59,$KK59)))))</f>
        <v>0</v>
      </c>
      <c r="AKM59" s="75">
        <f t="array" ref="AKM59">INDEX('China n Importing Ports'!$G$20:$G$41,MATCH(2,1/(('China n Importing Ports'!$D$20:$D$41&lt;=$C59)*('China n Importing Ports'!$C$20:$C$41=IF($AO59="No",$AQ59,$KK59)))))</f>
        <v>0</v>
      </c>
      <c r="AKN59" s="75">
        <f t="array" ref="AKN59">INDEX('China n Importing Ports'!$H$20:$H$41,MATCH(2,1/(('China n Importing Ports'!$D$20:$D$41&lt;=$C59)*('China n Importing Ports'!$C$20:$C$41=IF($AO59="No",$AQ59,$KK59)))))</f>
        <v>0</v>
      </c>
      <c r="AKO59" s="75">
        <f t="array" ref="AKO59">INDEX('China n Importing Ports'!$I$20:$I$41,MATCH(2,1/(('China n Importing Ports'!$D$20:$D$41&lt;=$C59)*('China n Importing Ports'!$C$20:$C$41=IF($AO59="No",$AQ59,$KK59)))))</f>
        <v>0</v>
      </c>
      <c r="AKP59" s="75">
        <f t="array" ref="AKP59">INDEX('China n Importing Ports'!$J$20:$J$41,MATCH(2,1/(('China n Importing Ports'!$D$20:$D$41&lt;=$C59)*('China n Importing Ports'!$C$20:$C$41=IF($AO59="No",$AQ59,$KK59)))))</f>
        <v>0</v>
      </c>
      <c r="AKQ59" s="75">
        <f t="array" ref="AKQ59">INDEX('China n Importing Ports'!$K$20:$K$41,MATCH(2,1/(('China n Importing Ports'!$D$20:$D$41&lt;=$C59)*('China n Importing Ports'!$C$20:$C$41=IF($AO59="No",$AQ59,$KK59)))))</f>
        <v>0</v>
      </c>
      <c r="AKR59" s="75">
        <f t="array" ref="AKR59">INDEX('China n Importing Ports'!$L$20:$L$41,MATCH(2,1/(('China n Importing Ports'!$D$20:$D$41&lt;=$C59)*('China n Importing Ports'!$C$20:$C$41=IF($AO59="No",$AQ59,$KK59)))))</f>
        <v>0</v>
      </c>
      <c r="AKS59" s="75">
        <f t="array" ref="AKS59">INDEX('China n Importing Ports'!$M$20:$M$41,MATCH(2,1/(('China n Importing Ports'!$D$20:$D$41&lt;=$C59)*('China n Importing Ports'!$C$20:$C$41=IF($AO59="No",$AQ59,$KK59)))))</f>
        <v>0</v>
      </c>
      <c r="AKT59" s="75">
        <f t="array" ref="AKT59">INDEX('China n Importing Ports'!$N$20:$N$41,MATCH(2,1/(('China n Importing Ports'!$D$20:$D$41&lt;=$C59)*('China n Importing Ports'!$C$20:$C$41=IF($AO59="No",$AQ59,$KK59)))))</f>
        <v>0</v>
      </c>
      <c r="AKU59" s="75">
        <f t="array" ref="AKU59">INDEX('China n Importing Ports'!$O$20:$O$41,MATCH(2,1/(('China n Importing Ports'!$D$20:$D$41&lt;=$C59)*('China n Importing Ports'!$C$20:$C$41=IF($AO59="No",$AQ59,$KK59)))))</f>
        <v>0</v>
      </c>
      <c r="AKV59" s="136">
        <f t="array" ref="AKV59">INDEX('China n Importing Ports'!$P$20:$P$41,MATCH(2,1/(('China n Importing Ports'!$D$20:$D$41&lt;=$C59)*('China n Importing Ports'!$C$20:$C$41=IF($AO59="No",$AQ59,$KK59)))))</f>
        <v>0</v>
      </c>
      <c r="AKW59" s="136">
        <f t="array" ref="AKW59">INDEX('China n Importing Ports'!$Q$20:$Q$41,MATCH(2,1/(('China n Importing Ports'!$D$20:$D$41&lt;=$C59)*('China n Importing Ports'!$C$20:$C$41=IF($AO59="No",$AQ59,$KK59)))))</f>
        <v>0</v>
      </c>
      <c r="AKX59" s="136">
        <f t="array" ref="AKX59">INDEX('China n Importing Ports'!$R$20:$R$41,MATCH(2,1/(('China n Importing Ports'!$D$20:$D$41&lt;=$C59)*('China n Importing Ports'!$C$20:$C$41=IF($AO59="No",$AQ59,$KK59)))))</f>
        <v>0</v>
      </c>
      <c r="AKY59" s="136">
        <f t="array" ref="AKY59">INDEX('China n Importing Ports'!$S$20:$S$41,MATCH(2,1/(('China n Importing Ports'!$D$20:$D$41&lt;=$C59)*('China n Importing Ports'!$C$20:$C$41=IF($AO59="No",$AQ59,$KK59)))))</f>
        <v>0</v>
      </c>
      <c r="AKZ59" s="136">
        <f t="array" ref="AKZ59">INDEX('China n Importing Ports'!$T$20:$T$41,MATCH(2,1/(('China n Importing Ports'!$D$20:$D$41&lt;=$C59)*('China n Importing Ports'!$C$20:$C$41=IF($AO59="No",$AQ59,$KK59)))))</f>
        <v>0</v>
      </c>
      <c r="ALA59" s="136">
        <f t="array" ref="ALA59">INDEX('China n Importing Ports'!$U$20:$U$41,MATCH(2,1/(('China n Importing Ports'!$D$20:$D$41&lt;=$C59)*('China n Importing Ports'!$C$20:$C$41=IF($AO59="No",$AQ59,$KK59)))))</f>
        <v>0</v>
      </c>
      <c r="ALB59" s="136">
        <f t="array" ref="ALB59">INDEX('China n Importing Ports'!$V$20:$V$41,MATCH(2,1/(('China n Importing Ports'!$D$20:$D$41&lt;=$C59)*('China n Importing Ports'!$C$20:$C$41=IF($AO59="No",$AQ59,$KK59)))))</f>
        <v>0</v>
      </c>
      <c r="ALC59" s="136">
        <f t="array" ref="ALC59">INDEX('China n Importing Ports'!$W$20:$W$41,MATCH(2,1/(('China n Importing Ports'!$D$20:$D$41&lt;=$C59)*('China n Importing Ports'!$C$20:$C$41=IF($AO59="No",$AQ59,$KK59)))))</f>
        <v>0</v>
      </c>
      <c r="ALD59" s="136">
        <f t="array" ref="ALD59">INDEX('China n Importing Ports'!$X$20:$X$41,MATCH(2,1/(('China n Importing Ports'!$D$20:$D$41&lt;=$C59)*('China n Importing Ports'!$C$20:$C$41=IF($AO59="No",$AQ59,$KK59)))))</f>
        <v>0</v>
      </c>
      <c r="ALE59" s="136">
        <f t="array" ref="ALE59">INDEX('China n Importing Ports'!$Y$20:$Y$41,MATCH(2,1/(('China n Importing Ports'!$D$20:$D$41&lt;=$C59)*('China n Importing Ports'!$C$20:$C$41=IF($AO59="No",$AQ59,$KK59)))))</f>
        <v>0</v>
      </c>
      <c r="ALF59" s="136">
        <f t="array" ref="ALF59">INDEX('China n Importing Ports'!$Z$20:$Z$41,MATCH(2,1/(('China n Importing Ports'!$D$20:$D$41&lt;=$C59)*('China n Importing Ports'!$C$20:$C$41=IF($AO59="No",$AQ59,$KK59)))))</f>
        <v>0</v>
      </c>
      <c r="ALG59" s="136">
        <f t="array" ref="ALG59">INDEX('China n Importing Ports'!$AA$20:$AA$41,MATCH(2,1/(('China n Importing Ports'!$D$20:$D$41&lt;=$C59)*('China n Importing Ports'!$C$20:$C$41=IF($AO59="No",$AQ59,$KK59)))))</f>
        <v>0</v>
      </c>
      <c r="ALI59" s="75" t="e">
        <f t="array" aca="1" ref="ALI59" ca="1">INDEX(Canals!$G$24:$G$29,MATCH(2,1/((Canals!$F$24:$F$29&lt;=$C59)*(Canals!$G$24:$G$29=_xlfn.IFS(AHT59="Handysize",AKC59,AHT59="Supramax",AJV59,AHT59="Panamax",AJO59,AHT59="NeoPanamax",AJH59,AHT59="Suezmax",AJA59,AHT59="Capesize",AIT59,AHT59="VLOC",AIM59)))))</f>
        <v>#N/A</v>
      </c>
      <c r="ALJ59" s="75" t="e">
        <f t="array" aca="1" ref="ALJ59" ca="1">INDEX(Canals!$H$24:$H$29,MATCH(2,1/((Canals!$F$24:$F$29&lt;=$C59)*(Canals!$G$24:$G$29=_xlfn.IFS(AHT59="Handysize",AKC59,AHT59="Supramax",AJV59,AHT59="Panamax",AJO59,AHT59="NeoPanamax",AJH59,AHT59="Suezmax",AJA59,AHT59="Capesize",AIT59,AHT59="VLOC",AIM59)))))</f>
        <v>#N/A</v>
      </c>
      <c r="ALK59" s="75" t="e">
        <f t="array" aca="1" ref="ALK59" ca="1">INDEX(Canals!$I$24:$I$29,MATCH(2,1/((Canals!$F$24:$F$29&lt;=$C59)*(Canals!$G$24:$G$29=_xlfn.IFS(AHT59="Handysize",AKC59,AHT59="Supramax",AJV59,AHT59="Panamax",AJO59,AHT59="NeoPanamax",AJH59,AHT59="Suezmax",AJA59,AHT59="Capesize",AIT59,AHT59="VLOC",AIM59)))))</f>
        <v>#N/A</v>
      </c>
      <c r="ALL59" s="75" t="e">
        <f t="array" aca="1" ref="ALL59" ca="1">INDEX(Canals!$J$24:$J$29,MATCH(2,1/((Canals!$F$24:$F$29&lt;=$C59)*(Canals!$G$24:$G$29=_xlfn.IFS(AHT59="Handysize",Main!AKC59,AHT59="Supramax",AJV59,AHT59="Panamax",AJO59,AHT59="NeoPanamax",AJH59,AHT59="Suezmax",AJA59,AHT59="Capesize",AIT59,AHT59="VLOC",AIM59)))))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M59" s="75" t="e">
        <f t="array" aca="1" ref="ALM59" ca="1">INDEX(Canals!$K$24:$K$29,MATCH(2,1/((Canals!$F$24:$F$29&lt;=$C59)*(Canals!$G$24:$G$29=_xlfn.IFS(AHT59="Handysize",Main!AKC59,AHT59="Supramax",AJV59,AHT59="Panamax",AJO59,AHT59="NeoPanamax",AJH59,AHT59="Suezmax",AJA59,AHT59="Capesize",AIT59,AHT59="VLOC",AIM59)))))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N59" s="75" t="e">
        <f t="array" aca="1" ref="ALN59" ca="1">INDEX(Canals!$L$24:$L$29,MATCH(2,1/((Canals!$F$24:$F$29&lt;=$C59)*(Canals!$G$24:$G$29=_xlfn.IFS(AHT59="Handysize",Main!AKC59,AHT59="Supramax",AJV59,AHT59="Panamax",AJO59,AHT59="NeoPanamax",AJH59,AHT59="Suezmax",AJA59,AHT59="Capesize",AIT59,AHT59="VLOC",AIM59)))))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O59" s="75" t="e">
        <f t="array" aca="1" ref="ALO59" ca="1">INDEX(Canals!$M$24:$M$29,MATCH(2,1/((Canals!$F$24:$F$29&lt;=$C59)*(Canals!$G$24:$G$29=_xlfn.IFS(AHT59="Handysize",Main!AKC59,AHT59="Supramax",AJV59,AHT59="Panamax",AJO59,AHT59="NeoPanamax",AJH59,AHT59="Suezmax",AJA59,AHT59="Capesize",AIT59,AHT59="VLOC",AIM59)))))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P59" s="75" t="e">
        <f t="array" aca="1" ref="ALP59" ca="1">INDEX(Canals!$N$24:$N$29,MATCH(2,1/((Canals!$F$24:$F$29&lt;=$C59)*(Canals!$G$24:$G$29=_xlfn.IFS(AHT59="Handysize",Main!AKC59,AHT59="Supramax",AJV59,AHT59="Panamax",AJO59,AHT59="NeoPanamax",AJH59,AHT59="Suezmax",AJA59,AHT59="Capesize",AIT59,AHT59="VLOC",AIM59)))))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Q59" s="75" t="e">
        <f t="array" aca="1" ref="ALQ59" ca="1">INDEX(Canals!$O$24:$O$29,MATCH(2,1/((Canals!$F$24:$F$29&lt;=$C59)*(Canals!$G$24:$G$29=_xlfn.IFS(AHT59="Handysize",Main!AKC59,AHT59="Supramax",AJV59,AHT59="Panamax",AJO59,AHT59="NeoPanamax",AJH59,AHT59="Suezmax",AJA59,AHT59="Capesize",AIT59,AHT59="VLOC",AIM59)))))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R59" s="75" t="e">
        <f t="array" aca="1" ref="ALR59" ca="1">INDEX(Canals!$P$24:$P$29,MATCH(2,1/((Canals!$F$24:$F$29&lt;=$C59)*(Canals!$G$24:$G$29=_xlfn.IFS(AHT59="Handysize",Main!AKC59,AHT59="Supramax",AJV59,AHT59="Panamax",AJO59,AHT59="NeoPanamax",AJH59,AHT59="Suezmax",AJA59,AHT59="Capesize",AIT59,AHT59="VLOC",AIM59)))))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S59" s="75" t="e">
        <f t="array" aca="1" ref="ALS59" ca="1">INDEX(Canals!$Q$24:$Q$29,MATCH(2,1/((Canals!$F$24:$F$29&lt;=$C59)*(Canals!$G$24:$G$29=_xlfn.IFS(AHT59="Handysize",Main!AKC59,AHT59="Supramax",AJV59,AHT59="Panamax",AJO59,AHT59="NeoPanamax",AJH59,AHT59="Suezmax",AJA59,AHT59="Capesize",AIT59,AHT59="VLOC",AIM59)))))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T59" s="75" t="e">
        <f t="array" aca="1" ref="ALT59" ca="1">INDEX(Canals!$R$24:$R$29,MATCH(2,1/((Canals!$F$24:$F$29&lt;=$C59)*(Canals!$G$24:$G$29=_xlfn.IFS(AHT59="Handysize",Main!AKC59,AHT59="Supramax",AJV59,AHT59="Panamax",AJO59,AHT59="NeoPanamax",AJH59,AHT59="Suezmax",AJA59,AHT59="Capesize",AIT59,AHT59="VLOC",AIM59)))))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U59" s="136" t="e">
        <f t="array" aca="1" ref="ALU59" ca="1">INDEX(Canals!$S$24:$S$29,MATCH(2,1/((Canals!$F$24:$F$29&lt;=$C59)*(Canals!$G$24:$G$29=_xlfn.IFS(AHT59="Handysize",Main!AKC59,AHT59="Supramax",AJV59,AHT59="Panamax",AJO59,AHT59="NeoPanamax",AJH59,AHT59="Suezmax",AJA59,AHT59="Capesize",AIT59,AHT59="VLOC",AIM59)))))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V59" s="136" t="e">
        <f t="array" aca="1" ref="ALV59" ca="1">INDEX(Canals!$T$24:$T$29,MATCH(2,1/((Canals!$F$24:$F$29&lt;=$C59)*(Canals!$G$24:$G$29=_xlfn.IFS(AHT59="Handysize",Main!AKC59,AHT59="Supramax",AJV59,AHT59="Panamax",AJO59,AHT59="NeoPanamax",AJH59,AHT59="Suezmax",AJA59,AHT59="Capesize",AIT59,AHT59="VLOC",AIM59)))))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W59" s="136" t="e">
        <f t="array" aca="1" ref="ALW59" ca="1">INDEX(Canals!$U$24:$U$29,MATCH(2,1/((Canals!$F$24:$F$29&lt;=$C59)*(Canals!$G$24:$G$29=_xlfn.IFS(AHT59="Handysize",Main!AKC59,AHT59="Supramax",AJV59,AHT59="Panamax",AJO59,AHT59="NeoPanamax",AJH59,AHT59="Suezmax",AJA59,AHT59="Capesize",AIT59,AHT59="VLOC",AIM59)))))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X59" s="136" t="e">
        <f t="array" aca="1" ref="ALX59" ca="1">INDEX(Canals!$V$24:$V$29,MATCH(2,1/((Canals!$F$24:$F$29&lt;=$C59)*(Canals!$G$24:$G$29=_xlfn.IFS(AHT59="Handysize",Main!AKC59,AHT59="Supramax",AJV59,AHT59="Panamax",AJO59,AHT59="NeoPanamax",AJH59,AHT59="Suezmax",AJA59,AHT59="Capesize",AIT59,AHT59="VLOC",AIM59)))))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Y59" s="136" t="e">
        <f t="array" aca="1" ref="ALY59" ca="1">INDEX(Canals!$W$24:$W$29,MATCH(2,1/((Canals!$F$24:$F$29&lt;=$C59)*(Canals!$G$24:$G$29=_xlfn.IFS(AHT59="Handysize",Main!AKC59,AHT59="Supramax",AJV59,AHT59="Panamax",AJO59,AHT59="NeoPanamax",AJH59,AHT59="Suezmax",AJA59,AHT59="Capesize",AIT59,AHT59="VLOC",AIM59)))))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LZ59" s="136" t="e">
        <f t="array" aca="1" ref="ALZ59" ca="1">INDEX(Canals!$X$24:$X$29,MATCH(2,1/((Canals!$F$24:$F$29&lt;=$C59)*(Canals!$G$24:$G$29=_xlfn.IFS(AHT59="Handysize",Main!AKC59,AHT59="Supramax",AJV59,AHT59="Panamax",AJO59,AHT59="NeoPanamax",AJH59,AHT59="Suezmax",AJA59,AHT59="Capesize",AIT59,AHT59="VLOC",AIM59)))))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A59" s="136" t="e">
        <f t="array" aca="1" ref="AMA59" ca="1">INDEX(Canals!$Y$24:$Y$29,MATCH(2,1/((Canals!$F$24:$F$29&lt;=$C59)*(Canals!$G$24:$G$29=_xlfn.IFS(AHT59="Handysize",Main!AKC59,AHT59="Supramax",AJV59,AHT59="Panamax",AJO59,AHT59="NeoPanamax",AJH59,AHT59="Suezmax",AJA59,AHT59="Capesize",AIT59,AHT59="VLOC",AIM59)))))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B59" s="136" t="e">
        <f t="array" aca="1" ref="AMB59" ca="1">INDEX(Canals!$Z$24:$Z$29,MATCH(2,1/((Canals!$F$24:$F$29&lt;=$C59)*(Canals!$G$24:$G$29=_xlfn.IFS(AHT59="Handysize",Main!AKC59,AHT59="Supramax",AJV59,AHT59="Panamax",AJO59,AHT59="NeoPanamax",AJH59,AHT59="Suezmax",AJA59,AHT59="Capesize",AIT59,AHT59="VLOC",AIM59)))))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C59" s="136" t="e">
        <f t="array" aca="1" ref="AMC59" ca="1">INDEX(Canals!$AA$24:$AA$29,MATCH(2,1/((Canals!$F$24:$F$29&lt;=$C59)*(Canals!$G$24:$G$29=_xlfn.IFS(AHT59="Handysize",Main!AKC59,AHT59="Supramax",AJV59,AHT59="Panamax",AJO59,AHT59="NeoPanamax",AJH59,AHT59="Suezmax",AJA59,AHT59="Capesize",AIT59,AHT59="VLOC",AIM59)))))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D59" s="136" t="e">
        <f t="array" aca="1" ref="AMD59" ca="1">INDEX(Canals!$AB$24:$AB$29,MATCH(2,1/((Canals!$F$24:$F$29&lt;=$C59)*(Canals!$G$24:$G$29=_xlfn.IFS(AHT59="Handysize",Main!AKC59,AHT59="Supramax",AJV59,AHT59="Panamax",AJO59,AHT59="NeoPanamax",AJH59,AHT59="Suezmax",AJA59,AHT59="Capesize",AIT59,AHT59="VLOC",AIM59)))))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E59" s="75" t="e">
        <f t="array" aca="1" ref="AME59" ca="1">INDEX(Canals!$AC$24:$AC$29,MATCH(2,1/((Canals!$F$24:$F$29&lt;=$C59)*(Canals!$G$24:$G$29=_xlfn.IFS(AHT59="Handysize",Main!AKC59,AHT59="Supramax",AJV59,AHT59="Panamax",AJO59,AHT59="NeoPanamax",AJH59,AHT59="Suezmax",AJA59,AHT59="Capesize",AIT59,AHT59="VLOC",AIM59)))))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F59" s="75" t="e">
        <f t="array" aca="1" ref="AMF59" ca="1">INDEX(Canals!$AD$24:$AD$29,MATCH(2,1/((Canals!$F$24:$F$29&lt;=$C59)*(Canals!$G$24:$G$29=_xlfn.IFS(AHT59="Handysize",Main!AKC59,AHT59="Supramax",AJV59,AHT59="Panamax",AJO59,AHT59="NeoPanamax",AJH59,AHT59="Suezmax",AJA59,AHT59="Capesize",AIT59,AHT59="VLOC",AIM59)))))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G59" s="75" t="e">
        <f t="array" aca="1" ref="AMG59" ca="1">INDEX(Canals!$AE$24:$AE$29,MATCH(2,1/((Canals!$F$24:$F$29&lt;=$C59)*(Canals!$G$24:$G$29=_xlfn.IFS(AHT59="Handysize",Main!AKC59,AHT59="Supramax",AJV59,AHT59="Panamax",AJO59,AHT59="NeoPanamax",AJH59,AHT59="Suezmax",AJA59,AHT59="Capesize",AIT59,AHT59="VLOC",AIM59)))))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H59" s="75" t="e">
        <f t="array" aca="1" ref="AMH59" ca="1">INDEX(Canals!$AF$24:$AF$29,MATCH(2,1/((Canals!$F$24:$F$29&lt;=$C59)*(Canals!$G$24:$G$29=_xlfn.IFS(AHT59="Handysize",Main!AKC59,AHT59="Supramax",AJV59,AHT59="Panamax",AJO59,AHT59="NeoPanamax",AJH59,AHT59="Suezmax",AJA59,AHT59="Capesize",AIT59,AHT59="VLOC",AIM59)))))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I59" s="75" t="e">
        <f t="array" aca="1" ref="AMI59" ca="1">INDEX(Canals!$AG$24:$AG$29,MATCH(2,1/((Canals!$F$24:$F$29&lt;=$C59)*(Canals!$G$24:$G$29=_xlfn.IFS(AHT59="Handysize",Main!AKC59,AHT59="Supramax",AJV59,AHT59="Panamax",AJO59,AHT59="NeoPanamax",AJH59,AHT59="Suezmax",AJA59,AHT59="Capesize",AIT59,AHT59="VLOC",AIM59)))))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J59" s="75" t="e">
        <f t="array" aca="1" ref="AMJ59" ca="1">INDEX(Canals!$AH$24:$AH$29,MATCH(2,1/((Canals!$F$24:$F$29&lt;=$C59)*(Canals!$G$24:$G$29=_xlfn.IFS(AHT59="Handysize",Main!AKC59,AHT59="Supramax",AJV59,AHT59="Panamax",AJO59,AHT59="NeoPanamax",AJH59,AHT59="Suezmax",AJA59,AHT59="Capesize",AIT59,AHT59="VLOC",AIM59)))))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K59" s="75" t="e">
        <f t="array" aca="1" ref="AMK59" ca="1">INDEX(Canals!$AI$24:$AI$29,MATCH(2,1/((Canals!$F$24:$F$29&lt;=$C59)*(Canals!$G$24:$G$29=_xlfn.IFS(AHT59="Handysize",Main!AKC59,AHT59="Supramax",AJV59,AHT59="Panamax",AJO59,AHT59="NeoPanamax",AJH59,AHT59="Suezmax",AJA59,AHT59="Capesize",AIT59,AHT59="VLOC",AIM59)))))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L59" s="75" t="e">
        <f t="array" aca="1" ref="AML59" ca="1">INDEX(Canals!$AJ$24:$AJ$29,MATCH(2,1/((Canals!$F$24:$F$29&lt;=$C59)*(Canals!$G$24:$G$29=_xlfn.IFS(AHT59="Handysize",Main!AKC59,AHT59="Supramax",AJV59,AHT59="Panamax",AJO59,AHT59="NeoPanamax",AJH59,AHT59="Suezmax",AJA59,AHT59="Capesize",AIT59,AHT59="VLOC",AIM59)))))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M59" s="75" t="e">
        <f t="array" aca="1" ref="AMM59" ca="1">INDEX(Canals!$AK$24:$AK$29,MATCH(2,1/((Canals!$F$24:$F$29&lt;=$C59)*(Canals!$G$24:$G$29=_xlfn.IFS(AHT59="Handysize",Main!AKC59,AHT59="Supramax",AJV59,AHT59="Panamax",AJO59,AHT59="NeoPanamax",AJH59,AHT59="Suezmax",AJA59,AHT59="Capesize",AIT59,AHT59="VLOC",AIM59)))))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N59" s="136" t="e">
        <f t="array" aca="1" ref="AMN59" ca="1">INDEX(Canals!$AL$24:$AL$29,MATCH(2,1/((Canals!$F$24:$F$29&lt;=$C59)*(Canals!$G$24:$G$29=_xlfn.IFS(AHT59="Handysize",Main!AKC59,AHT59="Supramax",AJV59,AHT59="Panamax",AJO59,AHT59="NeoPanamax",AJH59,AHT59="Suezmax",AJA59,AHT59="Capesize",AIT59,AHT59="VLOC",AIM59)))))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O59" s="136" t="e">
        <f t="array" aca="1" ref="AMO59" ca="1">INDEX(Canals!$AM$24:$AM$29,MATCH(2,1/((Canals!$F$24:$F$29&lt;=$C59)*(Canals!$G$24:$G$29=_xlfn.IFS(AHT59="Handysize",Main!AKC59,AHT59="Supramax",AJV59,AHT59="Panamax",AJO59,AHT59="NeoPanamax",AJH59,AHT59="Suezmax",AJA59,AHT59="Capesize",AIT59,AHT59="VLOC",AIM59)))))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P59" s="136" t="e">
        <f t="array" aca="1" ref="AMP59" ca="1">INDEX(Canals!$AN$24:$AN$29,MATCH(2,1/((Canals!$F$24:$F$29&lt;=$C59)*(Canals!$G$24:$G$29=_xlfn.IFS(AHT59="Handysize",Main!AKC59,AHT59="Supramax",AJV59,AHT59="Panamax",AJO59,AHT59="NeoPanamax",AJH59,AHT59="Suezmax",AJA59,AHT59="Capesize",AIT59,AHT59="VLOC",AIM59)))))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Q59" s="136" t="e">
        <f t="array" aca="1" ref="AMQ59" ca="1">INDEX(Canals!$AO$24:$AO$29,MATCH(2,1/((Canals!$F$24:$F$29&lt;=$C59)*(Canals!$G$24:$G$29=_xlfn.IFS(AHT59="Handysize",Main!AKC59,AHT59="Supramax",AJV59,AHT59="Panamax",AJO59,AHT59="NeoPanamax",AJH59,AHT59="Suezmax",AJA59,AHT59="Capesize",AIT59,AHT59="VLOC",AIM59)))))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R59" s="136" t="e">
        <f t="array" aca="1" ref="AMR59" ca="1">INDEX(Canals!$AP$24:$AP$29,MATCH(2,1/((Canals!$F$24:$F$29&lt;=$C59)*(Canals!$G$24:$G$29=_xlfn.IFS(AHT59="Handysize",Main!AKC59,AHT59="Supramax",AJV59,AHT59="Panamax",AJO59,AHT59="NeoPanamax",AJH59,AHT59="Suezmax",AJA59,AHT59="Capesize",AIT59,AHT59="VLOC",AIM59)))))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S59" s="136" t="e">
        <f t="array" aca="1" ref="AMS59" ca="1">INDEX(Canals!$AQ$24:$AQ$29,MATCH(2,1/((Canals!$F$24:$F$29&lt;=$C59)*(Canals!$G$24:$G$29=_xlfn.IFS(AHT59="Handysize",Main!AKC59,AHT59="Supramax",AJV59,AHT59="Panamax",AJO59,AHT59="NeoPanamax",AJH59,AHT59="Suezmax",AJA59,AHT59="Capesize",AIT59,AHT59="VLOC",AIM59)))))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T59" s="136" t="e">
        <f t="array" aca="1" ref="AMT59" ca="1">INDEX(Canals!$AR$24:$AR$29,MATCH(2,1/((Canals!$F$24:$F$29&lt;=$C59)*(Canals!$G$24:$G$29=_xlfn.IFS(AHT59="Handysize",Main!AKC59,AHT59="Supramax",AJV59,AHT59="Panamax",AJO59,AHT59="NeoPanamax",AJH59,AHT59="Suezmax",AJA59,AHT59="Capesize",AIT59,AHT59="VLOC",AIM59)))))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U59" s="136" t="e">
        <f t="array" aca="1" ref="AMU59" ca="1">INDEX(Canals!$AS$24:$AS$29,MATCH(2,1/((Canals!$F$24:$F$29&lt;=$C59)*(Canals!$G$24:$G$29=_xlfn.IFS(AHT59="Handysize",Main!AKC59,AHT59="Supramax",AJV59,AHT59="Panamax",AJO59,AHT59="NeoPanamax",AJH59,AHT59="Suezmax",AJA59,AHT59="Capesize",AIT59,AHT59="VLOC",AIM59)))))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V59" s="136" t="e">
        <f t="array" aca="1" ref="AMV59" ca="1">INDEX(Canals!$AT$24:$AT$29,MATCH(2,1/((Canals!$F$24:$F$29&lt;=$C59)*(Canals!$G$24:$G$29=_xlfn.IFS(AHT59="Handysize",Main!AKC59,AHT59="Supramax",AJV59,AHT59="Panamax",AJO59,AHT59="NeoPanamax",AJH59,AHT59="Suezmax",AJA59,AHT59="Capesize",AIT59,AHT59="VLOC",AIM59)))))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W59" s="136" t="e">
        <f t="array" aca="1" ref="AMW59" ca="1">INDEX(Canals!$AU$24:$AU$29,MATCH(2,1/((Canals!$F$24:$F$29&lt;=$C59)*(Canals!$G$24:$G$29=_xlfn.IFS(AHT59="Handysize",Main!AKC59,AHT59="Supramax",AJV59,AHT59="Panamax",AJO59,AHT59="NeoPanamax",AJH59,AHT59="Suezmax",AJA59,AHT59="Capesize",AIT59,AHT59="VLOC",AIM59)))))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X59" s="136" t="e">
        <f t="array" aca="1" ref="AMX59" ca="1">INDEX(Canals!$AV$24:$AV$29,MATCH(2,1/((Canals!$F$24:$F$29&lt;=$C59)*(Canals!$G$24:$G$29=_xlfn.IFS(AHT59="Handysize",Main!AKC59,AHT59="Supramax",AJV59,AHT59="Panamax",AJO59,AHT59="NeoPanamax",AJH59,AHT59="Suezmax",AJA59,AHT59="Capesize",AIT59,AHT59="VLOC",AIM59)))))</f>
        <v>#N/A</v>
      </c>
      <c r="AMZ59" s="75" t="e">
        <f t="array" aca="1" ref="AMZ59" ca="1">_xlfn.IFS(ALK59="DWT",AHR59,ALK59="NRT",AHV59,ALK59="GRT",AHW59,ALK59=0,0)</f>
        <v>#NAME?</v>
      </c>
      <c r="ANA59" s="279" t="e">
        <f t="shared" ca="1" si="561"/>
        <v>#NAME?</v>
      </c>
      <c r="ANB59" s="280" t="e">
        <f t="shared" ca="1" si="562"/>
        <v>#NAME?</v>
      </c>
      <c r="ANC59" s="280" t="e">
        <f t="shared" ca="1" si="563"/>
        <v>#NAME?</v>
      </c>
      <c r="AND59" s="280" t="e">
        <f t="shared" ca="1" si="564"/>
        <v>#NAME?</v>
      </c>
      <c r="ANE59" s="280" t="e">
        <f t="shared" ca="1" si="565"/>
        <v>#NAME?</v>
      </c>
      <c r="ANF59" s="280" t="e">
        <f t="shared" ca="1" si="566"/>
        <v>#NAME?</v>
      </c>
      <c r="ANG59" s="280" t="e">
        <f t="shared" ca="1" si="567"/>
        <v>#NAME?</v>
      </c>
      <c r="ANH59" s="280" t="e">
        <f t="shared" ca="1" si="568"/>
        <v>#NAME?</v>
      </c>
      <c r="ANI59" s="280" t="e">
        <f t="shared" ca="1" si="569"/>
        <v>#NAME?</v>
      </c>
      <c r="ANJ59" s="75">
        <f t="shared" si="570"/>
        <v>0</v>
      </c>
      <c r="ANK59" s="279" t="e">
        <f t="shared" ca="1" si="571"/>
        <v>#N/A</v>
      </c>
      <c r="ANL59" s="280" t="e">
        <f t="shared" ca="1" si="572"/>
        <v>#N/A</v>
      </c>
      <c r="ANM59" s="280" t="e">
        <f t="shared" ca="1" si="573"/>
        <v>#N/A</v>
      </c>
      <c r="ANN59" s="280" t="e">
        <f t="shared" ca="1" si="574"/>
        <v>#N/A</v>
      </c>
      <c r="ANO59" s="280" t="e">
        <f t="shared" ca="1" si="575"/>
        <v>#N/A</v>
      </c>
      <c r="ANP59" s="280" t="e">
        <f t="shared" ca="1" si="576"/>
        <v>#N/A</v>
      </c>
      <c r="ANQ59" s="280" t="e">
        <f t="shared" ca="1" si="577"/>
        <v>#N/A</v>
      </c>
      <c r="ANR59" s="280" t="e">
        <f t="shared" ca="1" si="578"/>
        <v>#N/A</v>
      </c>
      <c r="ANS59" s="280" t="e">
        <f t="shared" ca="1" si="579"/>
        <v>#N/A</v>
      </c>
      <c r="ANU59" s="75" t="e">
        <f t="array" aca="1" ref="ANU59" ca="1">_xlfn.IFS(AHT59="Handysize",Main!AJW59,AHT59="Supramax",AJP59,AHT59="Panamax",AJI59,AHT59="NeoPanamax",AJB59,AHT59="Suezmax",AIU59,AHT59="Capesize",AIN59,AHT59="VLOC",AIG59)*$JI59</f>
        <v>#NAME?</v>
      </c>
      <c r="ANV59" s="274" t="e">
        <f t="array" aca="1" ref="ANV59" ca="1">_xlfn.IFS(AHT59="Handysize",Main!AJX59,AHT59="Supramax",AJQ59,AHT59="Panamax",AJJ59,AHT59="NeoPanamax",AJC59,AHT59="Suezmax",AIV59,AHT59="Capesize",AIO59,AHT59="VLOC",AIH59)*$JI59</f>
        <v>#NAME?</v>
      </c>
      <c r="ANW59" s="71" t="e">
        <f t="array" aca="1" ref="ANW59" ca="1">_xlfn.IFS(AHT59="Handysize",Main!AHY59,AHT59="Supramax",AHZ59,AHT59="Panamax",AIA59,AHT59="NeoPanamax",AIB59,AHT59="Suezmax",AIC59,AHT59="Capesize",AID59,AHT59="VLOC",AIE59)</f>
        <v>#NAME?</v>
      </c>
      <c r="ANX59" s="71" t="e">
        <f t="array" aca="1" ref="ANX59" ca="1">_xlfn.IFS(AHT59="Handysize",Main!AKK59,AHT59="Supramax",AKL59,AHT59="Panamax",AKM59,AHT59="NeoPanamax",AKN59,AHT59="Suezmax",AKO59,AHT59="Capesize",AKP59,AHT59="VLOC",AKQ59)</f>
        <v>#NAME?</v>
      </c>
      <c r="ANY59" s="70">
        <f t="array" ref="ANY59">INDEX('Ship Speeds'!$G$11:$G$1011,MATCH(2,1/(('Ship Speeds'!$E$11:$E$1011&lt;=Main!$C59)*('Ship Speeds'!$F$11:$F$1011=Main!AHS59))))</f>
        <v>11</v>
      </c>
      <c r="ANZ59" s="403">
        <f t="shared" si="580"/>
        <v>0</v>
      </c>
      <c r="AOA59" s="401">
        <f t="shared" si="581"/>
        <v>1.2</v>
      </c>
      <c r="AOB59" s="70" t="e">
        <f t="shared" ca="1" si="582"/>
        <v>#NAME?</v>
      </c>
      <c r="AOC59" s="70" t="e">
        <f t="shared" ca="1" si="583"/>
        <v>#NAME?</v>
      </c>
      <c r="AOD59" s="70" t="e">
        <f t="shared" ca="1" si="584"/>
        <v>#NAME?</v>
      </c>
      <c r="AOE59" s="70" t="e">
        <f t="shared" ca="1" si="585"/>
        <v>#NAME?</v>
      </c>
      <c r="AOF59" s="72" t="e">
        <f t="shared" ca="1" si="586"/>
        <v>#N/A</v>
      </c>
      <c r="AOG59" s="70" t="e">
        <f t="shared" ca="1" si="587"/>
        <v>#NAME?</v>
      </c>
      <c r="AOH59" s="70" t="e">
        <f t="array" aca="1" ref="AOH59" ca="1">IF(ANU59=0,0,INDEX(AKE59:AKI59,MATCH(_xlfn.IFS(AHT59="Handysize",Main!AKA59,AHT59="Supramax",AJT59,AHT59="Panamax",AJM59,AHT59="NeoPanamax",AJF59,AHT59="Suezmax",AIY59,AHT59="Capesize",AIR59,AHT59="VLOC",AIK59),$AKE$7:$AKI$7,0)))</f>
        <v>#NAME?</v>
      </c>
      <c r="AOI59" s="70" t="e">
        <f t="array" aca="1" ref="AOI59" ca="1">IF(ANU59=0,0,INDEX(AKE59:AKI59,MATCH(_xlfn.IFS(AHT59="Handysize",Main!AKB59,AHT59="Supramax",AJU59,AHT59="Panamax",AJN59,AHT59="NeoPanamax",AJG59,AHT59="Suezmax",AIZ59,AHT59="Capesize",AIS59,AHT59="VLOC",AIL59),$AKE$7:$AKI$7,0)))</f>
        <v>#NAME?</v>
      </c>
      <c r="AOJ59" s="71" t="e">
        <f t="shared" ca="1" si="588"/>
        <v>#NAME?</v>
      </c>
      <c r="AOK59" s="71" t="e">
        <f t="shared" ca="1" si="589"/>
        <v>#NAME?</v>
      </c>
      <c r="AOL59" s="281" t="e">
        <f t="shared" ca="1" si="590"/>
        <v>#NAME?</v>
      </c>
      <c r="AOM59" s="71" t="e">
        <f t="shared" ca="1" si="591"/>
        <v>#NAME?</v>
      </c>
      <c r="AON59" s="71" t="e">
        <f t="shared" ca="1" si="592"/>
        <v>#NAME?</v>
      </c>
      <c r="AOO59" s="71" t="e">
        <f t="shared" ca="1" si="593"/>
        <v>#NAME?</v>
      </c>
      <c r="AOP59" s="71" t="e">
        <f t="shared" ca="1" si="594"/>
        <v>#NAME?</v>
      </c>
      <c r="AOQ59" s="71" t="e">
        <f t="shared" ca="1" si="595"/>
        <v>#NAME?</v>
      </c>
      <c r="AOR59" s="71" t="e">
        <f t="shared" ca="1" si="596"/>
        <v>#NAME?</v>
      </c>
      <c r="AOS59" s="71" t="e">
        <f t="shared" ca="1" si="597"/>
        <v>#NAME?</v>
      </c>
      <c r="AOT59" s="71" t="e">
        <f t="shared" ca="1" si="598"/>
        <v>#NAME?</v>
      </c>
      <c r="AOU59" s="71" t="e">
        <f t="shared" ca="1" si="599"/>
        <v>#NAME?</v>
      </c>
      <c r="AOV59" s="71" t="e">
        <f t="shared" ca="1" si="600"/>
        <v>#NAME?</v>
      </c>
      <c r="AOW59" s="71" t="e">
        <f t="shared" ca="1" si="601"/>
        <v>#NAME?</v>
      </c>
      <c r="AOX59" s="71" t="e">
        <f t="shared" ca="1" si="602"/>
        <v>#NAME?</v>
      </c>
      <c r="AOY59" s="72" t="e">
        <f t="shared" ca="1" si="603"/>
        <v>#NAME?</v>
      </c>
      <c r="AOZ59" s="72" t="e">
        <f t="shared" ca="1" si="604"/>
        <v>#NAME?</v>
      </c>
      <c r="APA59" s="71" t="e">
        <f t="shared" ca="1" si="605"/>
        <v>#NAME?</v>
      </c>
      <c r="APB59" s="71" t="e">
        <f t="array" aca="1" ref="APB59" ca="1">IF(ANU59=0,0,INDEX('Ship Time Charter Rates'!$H$22:$H$1021,MATCH(2,1/(('Ship Time Charter Rates'!$G$22:$G$1021=_xlfn.IFS(AHT59="Handysize",Main!AJY59,AHT59="Supramax",AJR59,AHT59="Panamax",AJK59,AHT59="NeoPanamax",AJD59,AHT59="Suezmax",AIW59,AHT59="Capesize",AIP59,AHT59="VLOC",AII59))*('Ship Time Charter Rates'!$E$22:$E$1021&lt;=Main!$C59)*(NOT(ISBLANK('Ship Time Charter Rates'!$H$22:$H$1021)))))))</f>
        <v>#NAME?</v>
      </c>
      <c r="APC59" s="71" t="e">
        <f t="shared" ca="1" si="606"/>
        <v>#NAME?</v>
      </c>
      <c r="APD59" s="70" t="e">
        <f t="shared" ca="1" si="607"/>
        <v>#NAME?</v>
      </c>
      <c r="APE59" s="71" t="e">
        <f t="shared" ca="1" si="608"/>
        <v>#NAME?</v>
      </c>
      <c r="APF59" s="71" t="e">
        <f t="shared" ca="1" si="609"/>
        <v>#NAME?</v>
      </c>
      <c r="APG59" s="72" t="e">
        <f t="shared" ca="1" si="610"/>
        <v>#NAME?</v>
      </c>
      <c r="API59" s="287" t="s">
        <v>39</v>
      </c>
      <c r="APK59" s="289" t="e">
        <f t="shared" ca="1" si="611"/>
        <v>#NAME?</v>
      </c>
      <c r="APL59" s="289" t="e">
        <f t="shared" ca="1" si="612"/>
        <v>#NAME?</v>
      </c>
      <c r="APM59" s="289" t="e">
        <f t="shared" ca="1" si="613"/>
        <v>#NAME?</v>
      </c>
      <c r="APO59" s="287" t="s">
        <v>39</v>
      </c>
    </row>
    <row r="60" spans="2:1107">
      <c r="B60" s="434" t="e">
        <f t="shared" ca="1" si="614"/>
        <v>#NAME?</v>
      </c>
      <c r="C60" s="18">
        <f t="shared" si="615"/>
        <v>43934</v>
      </c>
      <c r="D60" s="7" t="s">
        <v>20</v>
      </c>
      <c r="E60" s="86" t="s">
        <v>455</v>
      </c>
      <c r="F60" s="6">
        <v>45</v>
      </c>
      <c r="G60" s="1" t="s">
        <v>185</v>
      </c>
      <c r="H60" s="1" t="s">
        <v>5</v>
      </c>
      <c r="I60" s="15"/>
      <c r="J60" s="15"/>
      <c r="K60" s="15"/>
      <c r="L60" s="15"/>
      <c r="M60" s="15"/>
      <c r="N60" s="15"/>
      <c r="O60" s="15"/>
      <c r="P60" s="433">
        <v>151000</v>
      </c>
      <c r="Q60" s="98"/>
      <c r="R60" s="7" t="s">
        <v>95</v>
      </c>
      <c r="T60" s="287" t="s">
        <v>39</v>
      </c>
      <c r="V60" s="4"/>
      <c r="W60" s="16" t="str">
        <f t="shared" si="349"/>
        <v>not used yet</v>
      </c>
      <c r="X60" s="16" t="str">
        <f t="shared" si="349"/>
        <v>not used yet</v>
      </c>
      <c r="Y60" s="16" t="str">
        <f t="shared" si="349"/>
        <v>not used yet</v>
      </c>
      <c r="Z60" s="16" t="str">
        <f t="shared" si="349"/>
        <v>not used yet</v>
      </c>
      <c r="AA60" s="16" t="str">
        <f t="shared" si="349"/>
        <v>not used yet</v>
      </c>
      <c r="AB60" s="16" t="str">
        <f t="shared" si="349"/>
        <v>not used yet</v>
      </c>
      <c r="AC60" s="16" t="str">
        <f t="shared" si="349"/>
        <v>not used yet</v>
      </c>
      <c r="AE60" s="88" t="str">
        <f t="shared" si="619"/>
        <v>India Gujarat</v>
      </c>
      <c r="AF60" s="16">
        <f t="shared" si="350"/>
        <v>0.48</v>
      </c>
      <c r="AG60" s="16">
        <f t="shared" si="351"/>
        <v>0.40500000000000003</v>
      </c>
      <c r="AH60" s="61">
        <f t="shared" si="352"/>
        <v>7.0000000000000007E-2</v>
      </c>
      <c r="AI60" s="61">
        <f t="shared" si="353"/>
        <v>5.2499999999999998E-2</v>
      </c>
      <c r="AJ60" s="61">
        <f t="shared" si="354"/>
        <v>1.7500000000000009E-2</v>
      </c>
      <c r="AK60" s="16">
        <f t="shared" si="355"/>
        <v>2.2499999999999958E-2</v>
      </c>
      <c r="AL60" s="16">
        <f t="shared" si="356"/>
        <v>7.0000000000000007E-2</v>
      </c>
      <c r="AM60" s="24" t="str">
        <f t="shared" si="620"/>
        <v>LT</v>
      </c>
      <c r="AN60" s="427">
        <f t="shared" si="357"/>
        <v>151000</v>
      </c>
      <c r="AO60" s="127" t="str">
        <f t="array" ref="AO60">IFERROR(IF(AND(AN60&gt;'Indices Mines Exporting Ports'!$D$11,MATCH(2,1/(('Indices Mines Exporting Ports'!$B$3:$B$10&lt;=C60)*('Indices Mines Exporting Ports'!$C$3:$C$10=E60)))),"Yes","No"),"No")</f>
        <v>No</v>
      </c>
      <c r="AP60" s="126" t="str">
        <f t="array" ref="AP60">IF(AO60="Yes",INDEX('Indices Mines Exporting Ports'!$D$3:$D$10,MATCH(2,1/(('Indices Mines Exporting Ports'!$B$3:$B$10&lt;=Main!C60)*('Indices Mines Exporting Ports'!$C$3:$C$10=Main!AE60)))),IF(NOT(ISBLANK(Q60)),Q60,IP60))</f>
        <v>Gujarat_wharf</v>
      </c>
      <c r="AQ60" s="262">
        <f t="array" ref="AQ60">IF(AO60="no",0,INDEX('Indices Mines Exporting Ports'!$E$3:$E$10,MATCH(2,1/(('Indices Mines Exporting Ports'!$B$3:$B$10&lt;=Main!$C60)*('Indices Mines Exporting Ports'!$D$3:$D$10=Main!$AP60)))))</f>
        <v>0</v>
      </c>
      <c r="AR60" s="267">
        <f t="array" ref="AR60">IF(AO60="No",0,AN60/ROUND(AN60/INDEX('Indices Mines Exporting Ports'!$F$3:$F$10,MATCH(2,1/(('Indices Mines Exporting Ports'!$B$3:$B$10&lt;=Main!C60)*('Indices Mines Exporting Ports'!$C$3:$C$10=Main!AE60)))),0))</f>
        <v>0</v>
      </c>
      <c r="AS60" s="127" t="str">
        <f t="shared" si="621"/>
        <v>Qingdao</v>
      </c>
      <c r="AT60" s="100" t="str">
        <f t="shared" si="358"/>
        <v>CBIX LT</v>
      </c>
      <c r="AU60" s="100" t="str">
        <f t="shared" si="359"/>
        <v>CBIX LT</v>
      </c>
      <c r="AV60" s="242" t="s">
        <v>4</v>
      </c>
      <c r="AW60" s="242" t="s">
        <v>5</v>
      </c>
      <c r="AX60" s="292" t="e">
        <f t="shared" ca="1" si="622"/>
        <v>#NAME?</v>
      </c>
      <c r="AY60" s="291" t="e">
        <f t="shared" ca="1" si="360"/>
        <v>#NAME?</v>
      </c>
      <c r="AZ60" s="292" t="e">
        <f t="shared" ca="1" si="623"/>
        <v>#NAME?</v>
      </c>
      <c r="BA60" s="102">
        <f t="shared" si="624"/>
        <v>0.83000000000000007</v>
      </c>
      <c r="BB60" s="12"/>
      <c r="BC60" s="306" t="s">
        <v>403</v>
      </c>
      <c r="BD60" s="407">
        <f t="shared" si="361"/>
        <v>0</v>
      </c>
      <c r="BE60" s="407">
        <f t="shared" si="361"/>
        <v>0</v>
      </c>
      <c r="BF60" s="407">
        <f t="shared" si="361"/>
        <v>0</v>
      </c>
      <c r="BG60" s="407" t="e">
        <f t="shared" ca="1" si="362"/>
        <v>#NAME?</v>
      </c>
      <c r="BH60" s="407">
        <f t="shared" si="363"/>
        <v>0</v>
      </c>
      <c r="BI60" s="263" t="e">
        <f t="shared" ca="1" si="364"/>
        <v>#NAME?</v>
      </c>
      <c r="BK60" s="287" t="s">
        <v>39</v>
      </c>
      <c r="BM60" s="291" t="e">
        <f t="shared" ca="1" si="365"/>
        <v>#NAME?</v>
      </c>
      <c r="BN60" s="298">
        <f t="shared" si="366"/>
        <v>0.48</v>
      </c>
      <c r="BO60" s="298">
        <f t="shared" si="367"/>
        <v>0.40500000000000003</v>
      </c>
      <c r="BP60" s="298">
        <f t="shared" si="368"/>
        <v>7.0000000000000007E-2</v>
      </c>
      <c r="BQ60" s="298">
        <f t="shared" si="369"/>
        <v>5.2499999999999998E-2</v>
      </c>
      <c r="BR60" s="298">
        <f t="shared" si="370"/>
        <v>1.7500000000000009E-2</v>
      </c>
      <c r="BS60" s="298">
        <f t="shared" si="371"/>
        <v>2.2499999999999958E-2</v>
      </c>
      <c r="BT60" s="298">
        <f t="shared" si="372"/>
        <v>7.0000000000000007E-2</v>
      </c>
      <c r="BU60" s="307" t="str">
        <f t="shared" si="373"/>
        <v>LT</v>
      </c>
      <c r="BV60" s="291">
        <f t="shared" si="374"/>
        <v>0.83000000000000007</v>
      </c>
      <c r="BX60" s="300">
        <f t="array" ref="BX60">INDEX('Processing Factors'!$D$8:$D$29,MATCH(2,1/(('Processing Factors'!$B$8:$B$29&lt;=Main!$C60)*('Processing Factors'!$C$8:$C$29=Main!BU60))))</f>
        <v>0</v>
      </c>
      <c r="BY60" s="299">
        <f t="array" ref="BY60">INDEX('Processing Factors'!$E$8:$E$29,MATCH(2,1/(('Processing Factors'!$B$8:$B$29&lt;=Main!$C60)*('Processing Factors'!$C$8:$C$29=Main!BU60))))</f>
        <v>1</v>
      </c>
      <c r="BZ60" s="299">
        <f t="array" ref="BZ60">INDEX('Processing Factors'!$F$8:$F$29,MATCH(2,1/(('Processing Factors'!$B$8:$B$29&lt;=Main!$C60)*('Processing Factors'!$C$8:$C$29=Main!BU60))))</f>
        <v>0.9</v>
      </c>
      <c r="CA60" s="299">
        <f t="array" ref="CA60">INDEX('Processing Factors'!$G$8:$G$29,MATCH(2,1/(('Processing Factors'!$B$8:$B$29&lt;=Main!$C60)*('Processing Factors'!$C$8:$C$29=Main!BU60))))</f>
        <v>3.5999999999999997E-2</v>
      </c>
      <c r="CB60" s="299">
        <f t="array" ref="CB60">INDEX('Processing Factors'!$H$8:$H$29,MATCH(2,1/(('Processing Factors'!$B$8:$B$29&lt;=Main!$C60)*('Processing Factors'!$C$8:$C$29=Main!BU60))))</f>
        <v>12.15</v>
      </c>
      <c r="CC60" s="300">
        <f t="array" ref="CC60">INDEX('Processing Factors'!$I$8:$I$29,MATCH(2,1/(('Processing Factors'!$B$8:$B$29&lt;=Main!$C60)*('Processing Factors'!$C$8:$C$29=Main!BU60))))</f>
        <v>0</v>
      </c>
      <c r="CD60" s="300">
        <f t="array" ref="CD60">INDEX('Processing Factors'!$J$8:$J$29,MATCH(2,1/(('Processing Factors'!$B$8:$B$29&lt;=Main!$C60)*('Processing Factors'!$C$8:$C$29=Main!BU60))))</f>
        <v>0.9</v>
      </c>
      <c r="CE60" s="299">
        <f t="array" ref="CE60">INDEX('Processing Factors'!$K$8:$K$29,MATCH(2,1/(('Processing Factors'!$B$8:$B$29&lt;=Main!$C60)*('Processing Factors'!$C$8:$C$29=Main!BU60))))</f>
        <v>3.5000000000000003E-2</v>
      </c>
      <c r="CG60" s="302">
        <f t="shared" si="375"/>
        <v>0.45750000000000002</v>
      </c>
      <c r="CH60" s="302">
        <f t="shared" si="376"/>
        <v>5.2499999999999998E-2</v>
      </c>
      <c r="CI60" s="302">
        <f t="shared" si="377"/>
        <v>0.40500000000000003</v>
      </c>
      <c r="CJ60" s="299">
        <f t="shared" si="378"/>
        <v>2.7434842249657061</v>
      </c>
      <c r="CK60" s="281" t="e">
        <f t="shared" ca="1" si="617"/>
        <v>#NAME?</v>
      </c>
      <c r="CL60" s="299">
        <f t="shared" si="379"/>
        <v>0.16462962962962963</v>
      </c>
      <c r="CM60" s="281">
        <f t="shared" si="625"/>
        <v>39.510627686960589</v>
      </c>
      <c r="CN60" s="281">
        <f t="shared" si="626"/>
        <v>50.321396655852695</v>
      </c>
      <c r="CO60" s="281">
        <f t="shared" si="627"/>
        <v>1.2197497818850218</v>
      </c>
      <c r="CP60" s="299">
        <f t="shared" si="380"/>
        <v>1.9441138545953358</v>
      </c>
      <c r="CQ60" s="281">
        <f t="shared" si="628"/>
        <v>8.2337932295219094</v>
      </c>
      <c r="CR60" s="281" t="e">
        <f t="shared" ca="1" si="381"/>
        <v>#NAME?</v>
      </c>
      <c r="CT60" s="287" t="s">
        <v>39</v>
      </c>
      <c r="CV60" s="305" t="e">
        <f t="shared" ca="1" si="382"/>
        <v>#NAME?</v>
      </c>
      <c r="CW60" s="61">
        <f t="array" ref="CW60">INDEX('Indices Mines Exporting Ports'!E$20:E$51, MATCH(2,1/(('Indices Mines Exporting Ports'!$C$20:$C$51=$AT60)*('Indices Mines Exporting Ports'!$D$20:$D$51&lt;=$C60))))</f>
        <v>0.5</v>
      </c>
      <c r="CX60" s="61">
        <f t="array" ref="CX60">INDEX('Indices Mines Exporting Ports'!F$20:F$51, MATCH(2,1/(('Indices Mines Exporting Ports'!$C$20:$C$51=$AT60)*('Indices Mines Exporting Ports'!$D$20:$D$51&lt;=$C60))))</f>
        <v>0.45</v>
      </c>
      <c r="CY60" s="61">
        <f t="array" ref="CY60">INDEX('Indices Mines Exporting Ports'!G$20:G$51, MATCH(2,1/(('Indices Mines Exporting Ports'!$C$20:$C$51=$AT60)*('Indices Mines Exporting Ports'!$D$20:$D$51&lt;=$C60))))</f>
        <v>0.05</v>
      </c>
      <c r="CZ60" s="61">
        <f t="array" ref="CZ60">INDEX('Indices Mines Exporting Ports'!H$20:H$51, MATCH(2,1/(('Indices Mines Exporting Ports'!$C$20:$C$51=$AT60)*('Indices Mines Exporting Ports'!$D$20:$D$51&lt;=$C60))))</f>
        <v>0.05</v>
      </c>
      <c r="DA60" s="61">
        <f t="array" ref="DA60">INDEX('Indices Mines Exporting Ports'!I$20:I$51, MATCH(2,1/(('Indices Mines Exporting Ports'!$C$20:$C$51=$AT60)*('Indices Mines Exporting Ports'!$D$20:$D$51&lt;=$C60))))</f>
        <v>0</v>
      </c>
      <c r="DB60" s="61">
        <f t="array" ref="DB60">INDEX('Indices Mines Exporting Ports'!J$20:J$51, MATCH(2,1/(('Indices Mines Exporting Ports'!$C$20:$C$51=$AT60)*('Indices Mines Exporting Ports'!$D$20:$D$51&lt;=$C60))))</f>
        <v>0</v>
      </c>
      <c r="DC60" s="61">
        <f t="array" ref="DC60">INDEX('Indices Mines Exporting Ports'!K$20:K$51, MATCH(2,1/(('Indices Mines Exporting Ports'!$C$20:$C$51=$AT60)*('Indices Mines Exporting Ports'!$D$20:$D$51&lt;=$C60))))</f>
        <v>0.1</v>
      </c>
      <c r="DD60" s="103" t="str">
        <f t="array" ref="DD60">INDEX('Indices Mines Exporting Ports'!L$20:L$51, MATCH(2,1/(('Indices Mines Exporting Ports'!$C$20:$C$51=$AT60)*('Indices Mines Exporting Ports'!$D$20:$D$51&lt;=$C60))))</f>
        <v>LT</v>
      </c>
      <c r="DE60" s="243">
        <f t="array" ref="DE60">INDEX('Indices Mines Exporting Ports'!M$20:M$51, MATCH(2,1/(('Indices Mines Exporting Ports'!$C$20:$C$51=$AT60)*('Indices Mines Exporting Ports'!$D$20:$D$51&lt;=$C60))))</f>
        <v>0</v>
      </c>
      <c r="DG60" s="300">
        <f t="array" ref="DG60">INDEX('Processing Factors'!$D$8:$D$29,MATCH(2,1/(('Processing Factors'!$B$8:$B$29&lt;=Main!$C60)*('Processing Factors'!$C$8:$C$29=Main!DD60))))</f>
        <v>0</v>
      </c>
      <c r="DH60" s="299">
        <f t="array" ref="DH60">INDEX('Processing Factors'!$E$8:$E$29,MATCH(2,1/(('Processing Factors'!$B$8:$B$29&lt;=Main!$C60)*('Processing Factors'!$C$8:$C$29=Main!DD60))))</f>
        <v>1</v>
      </c>
      <c r="DI60" s="299">
        <f t="array" ref="DI60">INDEX('Processing Factors'!$F$8:$F$29,MATCH(2,1/(('Processing Factors'!$B$8:$B$29&lt;=Main!$C60)*('Processing Factors'!$C$8:$C$29=Main!DD60))))</f>
        <v>0.9</v>
      </c>
      <c r="DJ60" s="299">
        <f t="array" ref="DJ60">INDEX('Processing Factors'!$G$8:$G$29,MATCH(2,1/(('Processing Factors'!$B$8:$B$29&lt;=Main!$C60)*('Processing Factors'!$C$8:$C$29=Main!DD60))))</f>
        <v>3.5999999999999997E-2</v>
      </c>
      <c r="DK60" s="299">
        <f t="array" ref="DK60">INDEX('Processing Factors'!$H$8:$H$29,MATCH(2,1/(('Processing Factors'!$B$8:$B$29&lt;=Main!$C60)*('Processing Factors'!$C$8:$C$29=Main!DD60))))</f>
        <v>12.15</v>
      </c>
      <c r="DL60" s="300">
        <f t="array" ref="DL60">INDEX('Processing Factors'!$I$8:$I$29,MATCH(2,1/(('Processing Factors'!$B$8:$B$29&lt;=Main!$C60)*('Processing Factors'!$C$8:$C$29=Main!DD60))))</f>
        <v>0</v>
      </c>
      <c r="DM60" s="300">
        <f t="array" ref="DM60">INDEX('Processing Factors'!$J$8:$J$29,MATCH(2,1/(('Processing Factors'!$B$8:$B$29&lt;=Main!$C60)*('Processing Factors'!$C$8:$C$29=Main!DD60))))</f>
        <v>0.9</v>
      </c>
      <c r="DN60" s="299">
        <f t="array" ref="DN60">INDEX('Processing Factors'!$K$8:$K$29,MATCH(2,1/(('Processing Factors'!$B$8:$B$29&lt;=Main!$C60)*('Processing Factors'!$C$8:$C$29=Main!DD60))))</f>
        <v>3.5000000000000003E-2</v>
      </c>
      <c r="DP60" s="302">
        <f t="shared" si="383"/>
        <v>0.5</v>
      </c>
      <c r="DQ60" s="302">
        <f t="shared" si="384"/>
        <v>0.05</v>
      </c>
      <c r="DR60" s="302">
        <f t="shared" si="385"/>
        <v>0.45</v>
      </c>
      <c r="DS60" s="299">
        <f t="shared" si="386"/>
        <v>2.4691358024691357</v>
      </c>
      <c r="DT60" s="304">
        <v>0</v>
      </c>
      <c r="DU60" s="299">
        <f t="shared" si="387"/>
        <v>0.14611111111111114</v>
      </c>
      <c r="DV60" s="281">
        <f t="shared" si="629"/>
        <v>35.06623762093578</v>
      </c>
      <c r="DW60" s="281">
        <f t="shared" si="630"/>
        <v>50.321396655852695</v>
      </c>
      <c r="DX60" s="281">
        <f t="shared" si="631"/>
        <v>1.2197497818850218</v>
      </c>
      <c r="DY60" s="299">
        <f t="shared" si="388"/>
        <v>1.6512469135802468</v>
      </c>
      <c r="DZ60" s="281">
        <f t="shared" si="632"/>
        <v>6.9934307731868799</v>
      </c>
      <c r="EA60" s="281">
        <f t="shared" si="389"/>
        <v>93.60081483186039</v>
      </c>
      <c r="EC60" s="287" t="s">
        <v>39</v>
      </c>
      <c r="EE60" s="305" t="e">
        <f t="shared" ca="1" si="390"/>
        <v>#NAME?</v>
      </c>
      <c r="EF60" s="16">
        <f t="array" ref="EF60">INDEX('Indices Mines Exporting Ports'!E$20:E$51, MATCH(2,1/(('Indices Mines Exporting Ports'!$C$20:$C$51=$AU60)*('Indices Mines Exporting Ports'!$D$20:$D$51&lt;=$C60))))</f>
        <v>0.5</v>
      </c>
      <c r="EG60" s="16">
        <f t="array" ref="EG60">INDEX('Indices Mines Exporting Ports'!F$20:F$51, MATCH(2,1/(('Indices Mines Exporting Ports'!$C$20:$C$51=$AU60)*('Indices Mines Exporting Ports'!$D$20:$D$51&lt;=$C60))))</f>
        <v>0.45</v>
      </c>
      <c r="EH60" s="16">
        <f t="array" ref="EH60">INDEX('Indices Mines Exporting Ports'!G$20:G$51, MATCH(2,1/(('Indices Mines Exporting Ports'!$C$20:$C$51=$AU60)*('Indices Mines Exporting Ports'!$D$20:$D$51&lt;=$C60))))</f>
        <v>0.05</v>
      </c>
      <c r="EI60" s="16">
        <f t="array" ref="EI60">INDEX('Indices Mines Exporting Ports'!H$20:H$51, MATCH(2,1/(('Indices Mines Exporting Ports'!$C$20:$C$51=$AU60)*('Indices Mines Exporting Ports'!$D$20:$D$51&lt;=$C60))))</f>
        <v>0.05</v>
      </c>
      <c r="EJ60" s="16">
        <f t="array" ref="EJ60">INDEX('Indices Mines Exporting Ports'!I$20:I$51, MATCH(2,1/(('Indices Mines Exporting Ports'!$C$20:$C$51=$AU60)*('Indices Mines Exporting Ports'!$D$20:$D$51&lt;=$C60))))</f>
        <v>0</v>
      </c>
      <c r="EK60" s="16">
        <f t="array" ref="EK60">INDEX('Indices Mines Exporting Ports'!J$20:J$51, MATCH(2,1/(('Indices Mines Exporting Ports'!$C$20:$C$51=$AU60)*('Indices Mines Exporting Ports'!$D$20:$D$51&lt;=$C60))))</f>
        <v>0</v>
      </c>
      <c r="EL60" s="16">
        <f t="array" ref="EL60">INDEX('Indices Mines Exporting Ports'!K$20:K$51, MATCH(2,1/(('Indices Mines Exporting Ports'!$C$20:$C$51=$AU60)*('Indices Mines Exporting Ports'!$D$20:$D$51&lt;=$C60))))</f>
        <v>0.1</v>
      </c>
      <c r="EM60" s="103" t="str">
        <f t="array" ref="EM60">INDEX('Indices Mines Exporting Ports'!L$20:L$51, MATCH(2,1/(('Indices Mines Exporting Ports'!$C$20:$C$51=$AU60)*('Indices Mines Exporting Ports'!$D$20:$D$51&lt;=$C60))))</f>
        <v>LT</v>
      </c>
      <c r="EN60" s="243">
        <f t="array" ref="EN60">INDEX('Indices Mines Exporting Ports'!M$20:M$51, MATCH(2,1/(('Indices Mines Exporting Ports'!$C$20:$C$51=$AU60)*('Indices Mines Exporting Ports'!$D$20:$D$51&lt;=$C60))))</f>
        <v>0</v>
      </c>
      <c r="EP60" s="300">
        <f t="array" ref="EP60">INDEX('Processing Factors'!$D$8:$D$29,MATCH(2,1/(('Processing Factors'!$B$8:$B$29&lt;=Main!$C60)*('Processing Factors'!$C$8:$C$29=Main!EM60))))</f>
        <v>0</v>
      </c>
      <c r="EQ60" s="299">
        <f t="array" ref="EQ60">INDEX('Processing Factors'!$E$8:$E$29,MATCH(2,1/(('Processing Factors'!$B$8:$B$29&lt;=Main!$C60)*('Processing Factors'!$C$8:$C$29=Main!EM60))))</f>
        <v>1</v>
      </c>
      <c r="ER60" s="299">
        <f t="array" ref="ER60">INDEX('Processing Factors'!$F$8:$F$29,MATCH(2,1/(('Processing Factors'!$B$8:$B$29&lt;=Main!$C60)*('Processing Factors'!$C$8:$C$29=Main!EM60))))</f>
        <v>0.9</v>
      </c>
      <c r="ES60" s="299">
        <f t="array" ref="ES60">INDEX('Processing Factors'!$G$8:$G$29,MATCH(2,1/(('Processing Factors'!$B$8:$B$29&lt;=Main!$C60)*('Processing Factors'!$C$8:$C$29=Main!EM60))))</f>
        <v>3.5999999999999997E-2</v>
      </c>
      <c r="ET60" s="299">
        <f t="array" ref="ET60">INDEX('Processing Factors'!$H$8:$H$29,MATCH(2,1/(('Processing Factors'!$B$8:$B$29&lt;=Main!$C60)*('Processing Factors'!$C$8:$C$29=Main!EM60))))</f>
        <v>12.15</v>
      </c>
      <c r="EU60" s="300">
        <f t="array" ref="EU60">INDEX('Processing Factors'!$I$8:$I$29,MATCH(2,1/(('Processing Factors'!$B$8:$B$29&lt;=Main!$C60)*('Processing Factors'!$C$8:$C$29=Main!EM60))))</f>
        <v>0</v>
      </c>
      <c r="EV60" s="300">
        <f t="array" ref="EV60">INDEX('Processing Factors'!$J$8:$J$29,MATCH(2,1/(('Processing Factors'!$B$8:$B$29&lt;=Main!$C60)*('Processing Factors'!$C$8:$C$29=Main!EM60))))</f>
        <v>0.9</v>
      </c>
      <c r="EW60" s="299">
        <f t="array" ref="EW60">INDEX('Processing Factors'!$K$8:$K$29,MATCH(2,1/(('Processing Factors'!$B$8:$B$29&lt;=Main!$C60)*('Processing Factors'!$C$8:$C$29=Main!EM60))))</f>
        <v>3.5000000000000003E-2</v>
      </c>
      <c r="EY60" s="302">
        <f t="shared" si="391"/>
        <v>0.5</v>
      </c>
      <c r="EZ60" s="302">
        <f t="shared" si="392"/>
        <v>0.05</v>
      </c>
      <c r="FA60" s="302">
        <f t="shared" si="393"/>
        <v>0.45</v>
      </c>
      <c r="FB60" s="299">
        <f t="shared" si="394"/>
        <v>2.4691358024691357</v>
      </c>
      <c r="FC60" s="304">
        <v>0</v>
      </c>
      <c r="FD60" s="299">
        <f t="shared" si="395"/>
        <v>0.14611111111111114</v>
      </c>
      <c r="FE60" s="281">
        <f t="shared" si="633"/>
        <v>35.06623762093578</v>
      </c>
      <c r="FF60" s="281">
        <f t="shared" si="634"/>
        <v>50.321396655852695</v>
      </c>
      <c r="FG60" s="281">
        <f t="shared" si="635"/>
        <v>1.2197497818850218</v>
      </c>
      <c r="FH60" s="299">
        <f t="shared" si="396"/>
        <v>1.6512469135802468</v>
      </c>
      <c r="FI60" s="281">
        <f t="shared" si="636"/>
        <v>6.9934307731868799</v>
      </c>
      <c r="FJ60" s="281">
        <f t="shared" si="397"/>
        <v>93.60081483186039</v>
      </c>
      <c r="FL60" s="287" t="s">
        <v>39</v>
      </c>
      <c r="FN60" s="315" t="e">
        <f t="shared" ca="1" si="398"/>
        <v>#NAME?</v>
      </c>
      <c r="FO60" s="316">
        <f t="shared" si="399"/>
        <v>0.48</v>
      </c>
      <c r="FP60" s="316">
        <f t="shared" si="400"/>
        <v>0.40500000000000003</v>
      </c>
      <c r="FQ60" s="316">
        <f t="shared" si="401"/>
        <v>7.0000000000000007E-2</v>
      </c>
      <c r="FR60" s="316">
        <f t="shared" si="402"/>
        <v>5.2499999999999998E-2</v>
      </c>
      <c r="FS60" s="316">
        <f t="shared" si="403"/>
        <v>1.7500000000000009E-2</v>
      </c>
      <c r="FT60" s="316">
        <f t="shared" si="404"/>
        <v>2.2499999999999958E-2</v>
      </c>
      <c r="FU60" s="316">
        <f t="shared" si="405"/>
        <v>7.0000000000000007E-2</v>
      </c>
      <c r="FV60" s="317" t="str">
        <f t="shared" si="406"/>
        <v>LT</v>
      </c>
      <c r="FW60" s="318">
        <v>0</v>
      </c>
      <c r="FX60" s="237"/>
      <c r="FY60" s="319">
        <f t="array" ref="FY60">INDEX('Processing Factors'!$D$8:$D$29,MATCH(2,1/(('Processing Factors'!$B$8:$B$29&lt;=Main!$C60)*('Processing Factors'!$C$8:$C$29=Main!FV60))))</f>
        <v>0</v>
      </c>
      <c r="FZ60" s="320">
        <f t="array" ref="FZ60">INDEX('Processing Factors'!$E$8:$E$29,MATCH(2,1/(('Processing Factors'!$B$8:$B$29&lt;=Main!$C60)*('Processing Factors'!$C$8:$C$29=Main!FV60))))</f>
        <v>1</v>
      </c>
      <c r="GA60" s="320">
        <f t="array" ref="GA60">INDEX('Processing Factors'!$F$8:$F$29,MATCH(2,1/(('Processing Factors'!$B$8:$B$29&lt;=Main!$C60)*('Processing Factors'!$C$8:$C$29=Main!FV60))))</f>
        <v>0.9</v>
      </c>
      <c r="GB60" s="320">
        <f t="array" ref="GB60">INDEX('Processing Factors'!$G$8:$G$29,MATCH(2,1/(('Processing Factors'!$B$8:$B$29&lt;=Main!$C60)*('Processing Factors'!$C$8:$C$29=Main!FV60))))</f>
        <v>3.5999999999999997E-2</v>
      </c>
      <c r="GC60" s="320">
        <f t="array" ref="GC60">INDEX('Processing Factors'!$H$8:$H$29,MATCH(2,1/(('Processing Factors'!$B$8:$B$29&lt;=Main!$C60)*('Processing Factors'!$C$8:$C$29=Main!FV60))))</f>
        <v>12.15</v>
      </c>
      <c r="GD60" s="319">
        <f t="array" ref="GD60">INDEX('Processing Factors'!$I$8:$I$29,MATCH(2,1/(('Processing Factors'!$B$8:$B$29&lt;=Main!$C60)*('Processing Factors'!$C$8:$C$29=Main!FV60))))</f>
        <v>0</v>
      </c>
      <c r="GE60" s="321">
        <v>0.92</v>
      </c>
      <c r="GF60" s="320">
        <f t="array" ref="GF60">INDEX('Processing Factors'!$K$8:$K$29,MATCH(2,1/(('Processing Factors'!$B$8:$B$29&lt;=Main!$C60)*('Processing Factors'!$C$8:$C$29=Main!FV60))))</f>
        <v>3.5000000000000003E-2</v>
      </c>
      <c r="GG60" s="237"/>
      <c r="GH60" s="322">
        <f t="shared" si="407"/>
        <v>0.45750000000000002</v>
      </c>
      <c r="GI60" s="322">
        <f t="shared" si="408"/>
        <v>5.2499999999999998E-2</v>
      </c>
      <c r="GJ60" s="322">
        <f t="shared" si="409"/>
        <v>0.40500000000000003</v>
      </c>
      <c r="GK60" s="320">
        <f t="shared" si="410"/>
        <v>2.6838432635534084</v>
      </c>
      <c r="GL60" s="323" t="e">
        <f t="shared" ca="1" si="618"/>
        <v>#NAME?</v>
      </c>
      <c r="GM60" s="320">
        <f t="shared" si="411"/>
        <v>0.16181159420289856</v>
      </c>
      <c r="GN60" s="323">
        <f t="shared" si="637"/>
        <v>38.834307459522037</v>
      </c>
      <c r="GO60" s="323">
        <f t="shared" si="638"/>
        <v>50.321396655852695</v>
      </c>
      <c r="GP60" s="323">
        <f t="shared" si="639"/>
        <v>1.2197497818850218</v>
      </c>
      <c r="GQ60" s="320">
        <f t="shared" si="412"/>
        <v>1.881654857756307</v>
      </c>
      <c r="GR60" s="323">
        <f t="shared" si="640"/>
        <v>7.9692642442053723</v>
      </c>
      <c r="GS60" s="323" t="e">
        <f t="shared" ca="1" si="413"/>
        <v>#NAME?</v>
      </c>
      <c r="GT60" s="237"/>
      <c r="GU60" s="324" t="e">
        <f t="shared" ca="1" si="414"/>
        <v>#NAME?</v>
      </c>
      <c r="GV60" s="325">
        <f t="array" ref="GV60">INDEX('Indices Mines Exporting Ports'!E$20:E$51, MATCH(2,1/(('Indices Mines Exporting Ports'!$C$20:$C$51=$BC60)*('Indices Mines Exporting Ports'!$D$20:$D$51&lt;=$C60))))</f>
        <v>0.5</v>
      </c>
      <c r="GW60" s="325">
        <f t="array" ref="GW60">INDEX('Indices Mines Exporting Ports'!F$20:F$51, MATCH(2,1/(('Indices Mines Exporting Ports'!$C$20:$C$51=$BC60)*('Indices Mines Exporting Ports'!$D$20:$D$51&lt;=$C60))))</f>
        <v>0.45</v>
      </c>
      <c r="GX60" s="325">
        <f t="array" ref="GX60">INDEX('Indices Mines Exporting Ports'!G$20:G$51, MATCH(2,1/(('Indices Mines Exporting Ports'!$C$20:$C$51=$BC60)*('Indices Mines Exporting Ports'!$D$20:$D$51&lt;=$C60))))</f>
        <v>0.05</v>
      </c>
      <c r="GY60" s="325">
        <f t="array" ref="GY60">INDEX('Indices Mines Exporting Ports'!H$20:H$51, MATCH(2,1/(('Indices Mines Exporting Ports'!$C$20:$C$51=$BC60)*('Indices Mines Exporting Ports'!$D$20:$D$51&lt;=$C60))))</f>
        <v>0.05</v>
      </c>
      <c r="GZ60" s="325">
        <f t="array" ref="GZ60">INDEX('Indices Mines Exporting Ports'!I$20:I$51, MATCH(2,1/(('Indices Mines Exporting Ports'!$C$20:$C$51=$BC60)*('Indices Mines Exporting Ports'!$D$20:$D$51&lt;=$C60))))</f>
        <v>0</v>
      </c>
      <c r="HA60" s="325">
        <f t="array" ref="HA60">INDEX('Indices Mines Exporting Ports'!J$20:J$51, MATCH(2,1/(('Indices Mines Exporting Ports'!$C$20:$C$51=$BC60)*('Indices Mines Exporting Ports'!$D$20:$D$51&lt;=$C60))))</f>
        <v>0</v>
      </c>
      <c r="HB60" s="325">
        <f t="array" ref="HB60">INDEX('Indices Mines Exporting Ports'!K$20:K$51, MATCH(2,1/(('Indices Mines Exporting Ports'!$C$20:$C$51=$BC60)*('Indices Mines Exporting Ports'!$D$20:$D$51&lt;=$C60))))</f>
        <v>0.1</v>
      </c>
      <c r="HC60" s="326" t="str">
        <f t="array" ref="HC60">INDEX('Indices Mines Exporting Ports'!L$20:L$51, MATCH(2,1/(('Indices Mines Exporting Ports'!$C$20:$C$51=$BC60)*('Indices Mines Exporting Ports'!$D$20:$D$51&lt;=$C60))))</f>
        <v>LT</v>
      </c>
      <c r="HD60" s="262">
        <f t="array" ref="HD60">INDEX('Indices Mines Exporting Ports'!M$20:M$51, MATCH(2,1/(('Indices Mines Exporting Ports'!$C$20:$C$51=$BC60)*('Indices Mines Exporting Ports'!$D$20:$D$51&lt;=$C60))))</f>
        <v>0</v>
      </c>
      <c r="HE60" s="237"/>
      <c r="HF60" s="319">
        <f t="array" ref="HF60">INDEX('Processing Factors'!$D$8:$D$29,MATCH(2,1/(('Processing Factors'!$B$8:$B$29&lt;=Main!$C60)*('Processing Factors'!$C$8:$C$29=Main!HC60))))</f>
        <v>0</v>
      </c>
      <c r="HG60" s="320">
        <f t="array" ref="HG60">INDEX('Processing Factors'!$E$8:$E$29,MATCH(2,1/(('Processing Factors'!$B$8:$B$29&lt;=Main!$C60)*('Processing Factors'!$C$8:$C$29=Main!HC60))))</f>
        <v>1</v>
      </c>
      <c r="HH60" s="320">
        <f t="array" ref="HH60">INDEX('Processing Factors'!$F$8:$F$29,MATCH(2,1/(('Processing Factors'!$B$8:$B$29&lt;=Main!$C60)*('Processing Factors'!$C$8:$C$29=Main!HC60))))</f>
        <v>0.9</v>
      </c>
      <c r="HI60" s="320">
        <f t="array" ref="HI60">INDEX('Processing Factors'!$G$8:$G$29,MATCH(2,1/(('Processing Factors'!$B$8:$B$29&lt;=Main!$C60)*('Processing Factors'!$C$8:$C$29=Main!HC60))))</f>
        <v>3.5999999999999997E-2</v>
      </c>
      <c r="HJ60" s="320">
        <f t="array" ref="HJ60">INDEX('Processing Factors'!$H$8:$H$29,MATCH(2,1/(('Processing Factors'!$B$8:$B$29&lt;=Main!$C60)*('Processing Factors'!$C$8:$C$29=Main!HC60))))</f>
        <v>12.15</v>
      </c>
      <c r="HK60" s="319">
        <f t="array" ref="HK60">INDEX('Processing Factors'!$I$8:$I$29,MATCH(2,1/(('Processing Factors'!$B$8:$B$29&lt;=Main!$C60)*('Processing Factors'!$C$8:$C$29=Main!HC60))))</f>
        <v>0</v>
      </c>
      <c r="HL60" s="321">
        <v>0.92</v>
      </c>
      <c r="HM60" s="320">
        <f t="array" ref="HM60">INDEX('Processing Factors'!$K$8:$K$29,MATCH(2,1/(('Processing Factors'!$B$8:$B$29&lt;=Main!$C60)*('Processing Factors'!$C$8:$C$29=Main!HC60))))</f>
        <v>3.5000000000000003E-2</v>
      </c>
      <c r="HN60" s="237"/>
      <c r="HO60" s="322">
        <f t="shared" si="415"/>
        <v>0.5</v>
      </c>
      <c r="HP60" s="322">
        <f t="shared" si="416"/>
        <v>0.05</v>
      </c>
      <c r="HQ60" s="322">
        <f t="shared" si="417"/>
        <v>0.45</v>
      </c>
      <c r="HR60" s="320">
        <f t="shared" si="418"/>
        <v>2.4154589371980677</v>
      </c>
      <c r="HS60" s="263">
        <v>0</v>
      </c>
      <c r="HT60" s="320">
        <f t="shared" si="419"/>
        <v>0.14369565217391306</v>
      </c>
      <c r="HU60" s="323">
        <f t="shared" si="641"/>
        <v>34.486534568845585</v>
      </c>
      <c r="HV60" s="323">
        <f t="shared" si="642"/>
        <v>50.321396655852695</v>
      </c>
      <c r="HW60" s="323">
        <f t="shared" si="643"/>
        <v>1.2197497818850218</v>
      </c>
      <c r="HX60" s="320">
        <f t="shared" si="420"/>
        <v>1.5951545893719807</v>
      </c>
      <c r="HY60" s="323">
        <f t="shared" si="644"/>
        <v>6.755866189095018</v>
      </c>
      <c r="HZ60" s="323">
        <f t="shared" si="421"/>
        <v>92.783547195678324</v>
      </c>
      <c r="IB60" s="287" t="s">
        <v>39</v>
      </c>
      <c r="ID60" s="89" t="str">
        <f t="shared" si="645"/>
        <v>India Gujarat</v>
      </c>
      <c r="IE60" s="18">
        <f t="shared" si="646"/>
        <v>43934</v>
      </c>
      <c r="IF60" s="94">
        <f t="array" ref="IF60">INDEX('Indices Mines Exporting Ports'!E$20:E$51, MATCH(2,1/(('Indices Mines Exporting Ports'!$C$20:$C$51=$ID60)*('Indices Mines Exporting Ports'!$D$20:$D$51&lt;=$IE60))))</f>
        <v>0.48</v>
      </c>
      <c r="IG60" s="94">
        <f t="array" ref="IG60">INDEX('Indices Mines Exporting Ports'!F$20:F$51, MATCH(2,1/(('Indices Mines Exporting Ports'!$C$20:$C$51=$ID60)*('Indices Mines Exporting Ports'!$D$20:$D$51&lt;=$IE60))))</f>
        <v>0.40500000000000003</v>
      </c>
      <c r="IH60" s="95">
        <f t="array" ref="IH60">INDEX('Indices Mines Exporting Ports'!G$20:G$51, MATCH(2,1/(('Indices Mines Exporting Ports'!$C$20:$C$51=$ID60)*('Indices Mines Exporting Ports'!$D$20:$D$51&lt;=$IE60))))</f>
        <v>7.0000000000000007E-2</v>
      </c>
      <c r="II60" s="95">
        <f t="array" ref="II60">INDEX('Indices Mines Exporting Ports'!H$20:H$51, MATCH(2,1/(('Indices Mines Exporting Ports'!$C$20:$C$51=$ID60)*('Indices Mines Exporting Ports'!$D$20:$D$51&lt;=$IE60))))</f>
        <v>5.2499999999999998E-2</v>
      </c>
      <c r="IJ60" s="95">
        <f t="array" ref="IJ60">INDEX('Indices Mines Exporting Ports'!I$20:I$51, MATCH(2,1/(('Indices Mines Exporting Ports'!$C$20:$C$51=$ID60)*('Indices Mines Exporting Ports'!$D$20:$D$51&lt;=$IE60))))</f>
        <v>1.7500000000000009E-2</v>
      </c>
      <c r="IK60" s="94">
        <f t="array" ref="IK60">INDEX('Indices Mines Exporting Ports'!J$20:J$51, MATCH(2,1/(('Indices Mines Exporting Ports'!$C$20:$C$51=$ID60)*('Indices Mines Exporting Ports'!$D$20:$D$51&lt;=$IE60))))</f>
        <v>2.2499999999999958E-2</v>
      </c>
      <c r="IL60" s="94">
        <f t="array" ref="IL60">INDEX('Indices Mines Exporting Ports'!K$20:K$51, MATCH(2,1/(('Indices Mines Exporting Ports'!$C$20:$C$51=$ID60)*('Indices Mines Exporting Ports'!$D$20:$D$51&lt;=$IE60))))</f>
        <v>7.0000000000000007E-2</v>
      </c>
      <c r="IM60" s="93" t="str">
        <f t="array" ref="IM60">INDEX('Indices Mines Exporting Ports'!L$20:L$51, MATCH(2,1/(('Indices Mines Exporting Ports'!$C$20:$C$51=$ID60)*('Indices Mines Exporting Ports'!$D$20:$D$51&lt;=$IE60))))</f>
        <v>LT</v>
      </c>
      <c r="IN60" s="101">
        <f t="array" ref="IN60">INDEX('Indices Mines Exporting Ports'!M$20:M$51, MATCH(2,1/(('Indices Mines Exporting Ports'!$C$20:$C$51=$ID60)*('Indices Mines Exporting Ports'!$D$20:$D$51&lt;=$IE60))))</f>
        <v>0.83000000000000007</v>
      </c>
      <c r="IO60" s="96">
        <f t="array" ref="IO60">INDEX('Indices Mines Exporting Ports'!N$20:N$51, MATCH(2,1/(('Indices Mines Exporting Ports'!$C$20:$C$51=$ID60)*('Indices Mines Exporting Ports'!$D$20:$D$51&lt;=$IE60))))</f>
        <v>60000</v>
      </c>
      <c r="IP60" s="95" t="str">
        <f t="array" ref="IP60">INDEX('Indices Mines Exporting Ports'!Q$20:Q$51, MATCH(2,1/(('Indices Mines Exporting Ports'!$C$20:$C$51=$ID60)*('Indices Mines Exporting Ports'!$D$20:$D$51&lt;=$IE60))))</f>
        <v>Gujarat_wharf</v>
      </c>
      <c r="IQ60" s="95" t="str">
        <f t="array" ref="IQ60">INDEX('Indices Mines Exporting Ports'!O$20:O$51, MATCH(2,1/(('Indices Mines Exporting Ports'!$C$20:$C$51=$ID60)*('Indices Mines Exporting Ports'!$D$20:$D$51&lt;=$IE60))))</f>
        <v>CBIX LT</v>
      </c>
      <c r="IR60" s="95" t="str">
        <f t="array" ref="IR60">INDEX('Indices Mines Exporting Ports'!P$20:P$51, MATCH(2,1/(('Indices Mines Exporting Ports'!$C$20:$C$51=$ID60)*('Indices Mines Exporting Ports'!$D$20:$D$51&lt;=$IE60))))</f>
        <v>CBIX LT</v>
      </c>
      <c r="IT60" s="287" t="s">
        <v>39</v>
      </c>
      <c r="IV60" s="292">
        <f>VLOOKUP($C60,'China Price Series'!$C$10:$D$1009,2,TRUE)/$JA60/(VLOOKUP($C60,'China Price Series'!$C$10:$E$1009,3,TRUE)*$JG60/$JF60)</f>
        <v>4.1416787371072177</v>
      </c>
      <c r="IW60" s="292">
        <f>VLOOKUP($C60,'China Price Series'!$G$10:$H$1009,2,TRUE)/$JA60/(VLOOKUP($C60,'China Price Series'!$G$10:$I$1009,3,TRUE))</f>
        <v>239.99706356533991</v>
      </c>
      <c r="IX60" s="292">
        <f>VLOOKUP($C60,'China Price Series'!$K$10:$L$1009,2,TRUE)/$JA60</f>
        <v>33.881938385695051</v>
      </c>
      <c r="IY60" s="292">
        <f>VLOOKUP($C60,'China Price Series'!$N$10:$O$1009,2,TRUE)/$JA60</f>
        <v>4.2352422982118814</v>
      </c>
      <c r="JA60" s="277">
        <f t="array" ref="JA60">INDEX('FX rates'!E$10:E$1009,MATCH(2,1/(('FX rates'!$D$10:$D$1009&lt;=Main!$C60)*(NOT(ISBLANK('FX rates'!E$10:E$1009))))))</f>
        <v>7.0834199999999994</v>
      </c>
      <c r="JB60" s="277">
        <f t="array" ref="JB60">INDEX('FX rates'!F$10:F$1009,MATCH(2,1/(('FX rates'!$D$10:$D$1009&lt;=Main!$C60)*(NOT(ISBLANK('FX rates'!F$10:F$1009))))))</f>
        <v>0.61160022139928016</v>
      </c>
      <c r="JC60" s="277">
        <f t="array" ref="JC60">INDEX('FX rates'!G$10:G$1009,MATCH(2,1/(('FX rates'!$D$10:$D$1009&lt;=Main!$C60)*(NOT(ISBLANK('FX rates'!G$10:G$1009))))))</f>
        <v>1</v>
      </c>
      <c r="JD60" s="277">
        <f t="array" ref="JD60">INDEX('FX rates'!H$10:H$1009,MATCH(2,1/(('FX rates'!$D$10:$D$1009&lt;=Main!$C60)*(NOT(ISBLANK('FX rates'!H$10:H$1009))))))</f>
        <v>1.35</v>
      </c>
      <c r="JF60" s="111">
        <f t="array" ref="JF60">INDEX('Global factors'!C$5:C$23,MATCH(2,1/(('Global factors'!$B$5:$B$23&lt;=Main!$C60)*(NOT(ISBLANK('Global factors'!C$5:C$23))))))</f>
        <v>239000</v>
      </c>
      <c r="JG60" s="112">
        <f t="array" ref="JG60">INDEX('Global factors'!D$5:D$23,MATCH(2,1/(('Global factors'!$B$5:$B$23&lt;=Main!$C60)*(NOT(ISBLANK('Global factors'!D$5:D$23))))))</f>
        <v>1000</v>
      </c>
      <c r="JH60" s="112">
        <f t="array" ref="JH60">INDEX('Global factors'!E$5:E$23,MATCH(2,1/(('Global factors'!$B$5:$B$23&lt;=Main!$C60)*(NOT(ISBLANK('Global factors'!E$5:E$23))))))</f>
        <v>24</v>
      </c>
      <c r="JI60" s="112">
        <f t="array" ref="JI60">INDEX('Global factors'!F$5:F$23,MATCH(2,1/(('Global factors'!$B$5:$B$23&lt;=Main!$C60)*(NOT(ISBLANK('Global factors'!F$5:F$23))))))</f>
        <v>2</v>
      </c>
      <c r="JJ60" s="117">
        <f t="array" ref="JJ60">INDEX('Global factors'!G$5:G$23,MATCH(2,1/(('Global factors'!$B$5:$B$23&lt;=Main!$C60)*(NOT(ISBLANK('Global factors'!G$5:G$23))))))</f>
        <v>0.08</v>
      </c>
      <c r="JK60" s="113">
        <f t="array" ref="JK60">INDEX('Global factors'!H$5:H$23,MATCH(2,1/(('Global factors'!$B$5:$B$23&lt;=Main!$C60)*(NOT(ISBLANK('Global factors'!H$5:H$23))))))</f>
        <v>101.96</v>
      </c>
      <c r="JL60" s="113">
        <f t="array" ref="JL60">INDEX('Global factors'!I$5:I$23,MATCH(2,1/(('Global factors'!$B$5:$B$23&lt;=Main!$C60)*(NOT(ISBLANK('Global factors'!I$5:I$23))))))</f>
        <v>60.08</v>
      </c>
      <c r="JM60" s="114">
        <f t="array" ref="JM60">INDEX('Global factors'!J$5:J$23,MATCH(2,1/(('Global factors'!$B$5:$B$23&lt;=Main!$C60)*(NOT(ISBLANK('Global factors'!J$5:J$23))))))</f>
        <v>0.84853528628495334</v>
      </c>
      <c r="JN60" s="115">
        <f t="array" ref="JN60">INDEX('Global factors'!K$5:K$23,MATCH(2,1/(('Global factors'!$B$5:$B$23&lt;=Main!$C60)*(NOT(ISBLANK('Global factors'!K$5:K$23))))))</f>
        <v>0.97499999999999998</v>
      </c>
      <c r="JO60" s="116">
        <f t="array" ref="JO60">INDEX('Global factors'!L$5:L$23,MATCH(2,1/(('Global factors'!$B$5:$B$23&lt;=Main!$C60)*(NOT(ISBLANK('Global factors'!L$5:L$23))))))</f>
        <v>8.7299999999999997E-4</v>
      </c>
      <c r="JP60" s="116">
        <f t="array" ref="JP60">INDEX('Global factors'!M$5:M$23,MATCH(2,1/(('Global factors'!$B$5:$B$23&lt;=Main!$C60)*(NOT(ISBLANK('Global factors'!M$5:M$23))))))</f>
        <v>145.88999999999999</v>
      </c>
      <c r="JQ60" s="116">
        <f t="array" ref="JQ60">INDEX('Global factors'!N$5:N$23,MATCH(2,1/(('Global factors'!$B$5:$B$23&lt;=Main!$C60)*(NOT(ISBLANK('Global factors'!N$5:N$23))))))</f>
        <v>0.40339999999999998</v>
      </c>
      <c r="JR60" s="116">
        <f t="array" ref="JR60">INDEX('Global factors'!O$5:O$23,MATCH(2,1/(('Global factors'!$B$5:$B$23&lt;=Main!$C60)*(NOT(ISBLANK('Global factors'!O$5:O$23))))))</f>
        <v>0</v>
      </c>
      <c r="JS60" s="116">
        <f t="array" ref="JS60">INDEX('Global factors'!P$5:P$23,MATCH(2,1/(('Global factors'!$B$5:$B$23&lt;=Main!$C60)*(NOT(ISBLANK('Global factors'!P$5:P$23))))))</f>
        <v>0.51890000000000003</v>
      </c>
      <c r="JT60" s="116">
        <f t="array" ref="JT60">INDEX('Global factors'!Q$5:Q$23,MATCH(2,1/(('Global factors'!$B$5:$B$23&lt;=Main!$C60)*(NOT(ISBLANK('Global factors'!Q$5:Q$23))))))</f>
        <v>4797</v>
      </c>
      <c r="JU60" s="116">
        <f t="array" ref="JU60">INDEX('Global factors'!R$5:R$23,MATCH(2,1/(('Global factors'!$B$5:$B$23&lt;=Main!$C60)*(NOT(ISBLANK('Global factors'!R$5:R$23))))))</f>
        <v>7</v>
      </c>
      <c r="JV60" s="115">
        <f t="array" ref="JV60">INDEX('Global factors'!S$5:S$23,MATCH(2,1/(('Global factors'!$B$5:$B$23&lt;=Main!$C60)*(NOT(ISBLANK('Global factors'!S$5:S$23))))))</f>
        <v>0.12</v>
      </c>
      <c r="JW60" s="115">
        <f t="array" ref="JW60">INDEX('Global factors'!T$5:T$23,MATCH(2,1/(('Global factors'!$B$5:$B$23&lt;=Main!$C60)*(NOT(ISBLANK('Global factors'!T$5:T$23))))))</f>
        <v>0.5</v>
      </c>
      <c r="JX60" s="116">
        <f t="array" ref="JX60">INDEX('Global factors'!U$5:U$23,MATCH(2,1/(('Global factors'!$B$5:$B$23&lt;=Main!$C60)*(NOT(ISBLANK('Global factors'!U$5:U$23))))))</f>
        <v>0.5</v>
      </c>
      <c r="JY60" s="116">
        <f t="array" ref="JY60">INDEX('Global factors'!V$5:V$23,MATCH(2,1/(('Global factors'!$B$5:$B$23&lt;=Main!$C60)*(NOT(ISBLANK('Global factors'!V$5:V$23))))))</f>
        <v>10000</v>
      </c>
      <c r="JZ60" s="116">
        <f t="array" ref="JZ60">INDEX('Global factors'!W$5:W$23,MATCH(2,1/(('Global factors'!$B$5:$B$23&lt;=Main!$C60)*(NOT(ISBLANK('Global factors'!W$5:W$23))))))</f>
        <v>0.10680000000000001</v>
      </c>
      <c r="KA60" s="116">
        <f t="array" ref="KA60">INDEX('Global factors'!X$5:X$23,MATCH(2,1/(('Global factors'!$B$5:$B$23&lt;=Main!$C60)*(NOT(ISBLANK('Global factors'!X$5:X$23))))))</f>
        <v>1.2</v>
      </c>
      <c r="KB60" s="116">
        <v>0</v>
      </c>
      <c r="KC60" s="272">
        <f t="array" ref="KC60">INDEX('Global factors'!Y$5:Y$23,MATCH(2,1/(('Global factors'!$B$5:$B$23&lt;=Main!$C60)*(NOT(ISBLANK('Global factors'!Y$5:Y$23))))))</f>
        <v>23643.7088248818</v>
      </c>
      <c r="KD60" s="273">
        <f t="array" ref="KD60">INDEX('Global factors'!Z$5:Z$23,MATCH(2,1/(('Global factors'!$B$5:$B$23&lt;=Main!$C60)*(NOT(ISBLANK('Global factors'!Z$5:Z$23))))))</f>
        <v>0.62802869915581405</v>
      </c>
      <c r="KE60" s="273">
        <v>0</v>
      </c>
      <c r="KF60" s="273">
        <v>0</v>
      </c>
      <c r="KG60" s="116">
        <v>0</v>
      </c>
      <c r="KH60" s="116">
        <f t="array" ref="KH60">INDEX('Global factors'!AB$5:AB$23,MATCH(2,1/(('Global factors'!$B$5:$B$23&lt;=Main!$C60)*(NOT(ISBLANK('Global factors'!AB$5:AB$23))))))</f>
        <v>6.2556361557795204E-2</v>
      </c>
      <c r="KI60" s="116">
        <f t="array" ref="KI60">INDEX('Global factors'!AC$5:AC$23,MATCH(2,1/(('Global factors'!$B$5:$B$23&lt;=Main!$C60)*(NOT(ISBLANK('Global factors'!AC$5:AC$23))))))</f>
        <v>8.6923129044225601E-4</v>
      </c>
      <c r="KJ60" s="116">
        <f t="array" ref="KJ60">INDEX('Global factors'!AD$5:AD$23,MATCH(2,1/(('Global factors'!$B$5:$B$23&lt;=Main!$C60)*(NOT(ISBLANK('Global factors'!AD$5:AD$23))))))</f>
        <v>1.1499999999999999</v>
      </c>
      <c r="KK60" s="116" t="str">
        <f t="array" ref="KK60">INDEX('Global factors'!AE$5:AE$23,MATCH(2,1/(('Global factors'!$B$5:$B$23&lt;=Main!$C60)*(NOT(ISBLANK('Global factors'!AE$5:AE$23))))))</f>
        <v>Qingdao</v>
      </c>
      <c r="KL60" s="290">
        <f t="array" ref="KL60">INDEX('Global factors'!AF$5:AF$23,MATCH(2,1/(('Global factors'!$B$5:$B$23&lt;=Main!$C60)*(NOT(ISBLANK('Global factors'!AF$5:AF$23))))))</f>
        <v>3.0000000000000001E-3</v>
      </c>
      <c r="KM60" s="290"/>
      <c r="KO60" s="287" t="s">
        <v>39</v>
      </c>
      <c r="KQ60" s="25">
        <f t="shared" si="647"/>
        <v>166528.81169010201</v>
      </c>
      <c r="KR60" s="4" t="str">
        <f>VLOOKUP(KQ60,'Ship Time Charter Rates'!$F$10:$G$17,2,TRUE)</f>
        <v>Capesize</v>
      </c>
      <c r="KS60" s="4" t="str">
        <f>VLOOKUP(KQ60,Canals!$E$5:$F$12,2,TRUE)</f>
        <v>Capesize</v>
      </c>
      <c r="KT60" s="25">
        <f t="shared" si="648"/>
        <v>291.26965260545904</v>
      </c>
      <c r="KU60" s="25">
        <f t="shared" si="649"/>
        <v>67177.722635787155</v>
      </c>
      <c r="KV60" s="25">
        <f t="shared" si="650"/>
        <v>91208.800385993934</v>
      </c>
      <c r="KX60" s="75">
        <f t="array" ref="KX60">INDEX('Indices Mines Exporting Ports'!$R$20:$R$51,MATCH(2,1/(('Indices Mines Exporting Ports'!$D$20:$D$51&lt;=Main!$C60)*('Indices Mines Exporting Ports'!$Q$20:$Q$51=$AP60))))</f>
        <v>30000</v>
      </c>
      <c r="KY60" s="75">
        <f t="array" ref="KY60">INDEX('Indices Mines Exporting Ports'!$S$20:$S$51,MATCH(2,1/(('Indices Mines Exporting Ports'!$D$20:$D$51&lt;=Main!$C60)*('Indices Mines Exporting Ports'!$Q$20:$Q$51=$AP60))))</f>
        <v>30000</v>
      </c>
      <c r="KZ60" s="75">
        <f t="array" ref="KZ60">INDEX('Indices Mines Exporting Ports'!$T$20:$T$51,MATCH(2,1/(('Indices Mines Exporting Ports'!$D$20:$D$51&lt;=Main!$C60)*('Indices Mines Exporting Ports'!$Q$20:$Q$51=$AP60))))</f>
        <v>30000</v>
      </c>
      <c r="LA60" s="75">
        <f t="array" ref="LA60">INDEX('Indices Mines Exporting Ports'!$U$20:$U$51,MATCH(2,1/(('Indices Mines Exporting Ports'!$D$20:$D$51&lt;=Main!$C60)*('Indices Mines Exporting Ports'!$Q$20:$Q$51=$AP60))))</f>
        <v>30000</v>
      </c>
      <c r="LB60" s="75">
        <f t="array" ref="LB60">INDEX('Indices Mines Exporting Ports'!$V$20:$V$51,MATCH(2,1/(('Indices Mines Exporting Ports'!$D$20:$D$51&lt;=Main!$C60)*('Indices Mines Exporting Ports'!$Q$20:$Q$51=$AP60))))</f>
        <v>30000</v>
      </c>
      <c r="LC60" s="75">
        <f t="array" ref="LC60">INDEX('Indices Mines Exporting Ports'!$W$20:$W$51,MATCH(2,1/(('Indices Mines Exporting Ports'!$D$20:$D$51&lt;=Main!$C60)*('Indices Mines Exporting Ports'!$Q$20:$Q$51=$AP60))))</f>
        <v>30000</v>
      </c>
      <c r="LD60" s="75">
        <f t="array" ref="LD60">INDEX('Indices Mines Exporting Ports'!$X$20:$X$51,MATCH(2,1/(('Indices Mines Exporting Ports'!$D$20:$D$51&lt;=Main!$C60)*('Indices Mines Exporting Ports'!$Q$20:$Q$51=$AP60))))</f>
        <v>30000</v>
      </c>
      <c r="LF60" s="75">
        <f t="array" ref="LF60">INDEX('Port Linkages'!$E$18:$E$157,MATCH(2,1/(('Port Linkages'!$C$18:$C$157=$AP60)*('Port Linkages'!$D$18:$D$157=IF($AO60="Yes",$AQ60,$AS60))*('Port Linkages'!$A$18:$A$157&lt;=$C60))))</f>
        <v>5100</v>
      </c>
      <c r="LG60" s="75">
        <f t="array" ref="LG60">INDEX('Port Linkages'!$F$18:$F$157,MATCH(2,1/(('Port Linkages'!$C$18:$C$157=$AP60)*('Port Linkages'!$D$18:$D$157=IF($AO60="Yes",$AQ60,$AS60))*('Port Linkages'!$A$18:$A$157&lt;=$C60))))</f>
        <v>0</v>
      </c>
      <c r="LH60" s="75" t="str">
        <f t="array" ref="LH60">INDEX('Port Linkages'!$G$18:$G$157,MATCH(2,1/(('Port Linkages'!$C$18:$C$157=$AP60)*('Port Linkages'!$D$18:$D$157=IF($AO60="Yes",$AQ60,$AS60))*('Port Linkages'!$A$18:$A$157&lt;=$C60))))</f>
        <v>VLOC_General</v>
      </c>
      <c r="LI60" s="75" t="str">
        <f t="array" ref="LI60">INDEX('Port Linkages'!$H$18:$H$157,MATCH(2,1/(('Port Linkages'!$C$18:$C$157=$AP60)*('Port Linkages'!$D$18:$D$157=IF($AO60="Yes",$AQ60,$AS60))*('Port Linkages'!$A$18:$A$157&lt;=$C60))))</f>
        <v>Singapore</v>
      </c>
      <c r="LJ60" s="75" t="str">
        <f t="array" ref="LJ60">INDEX('Port Linkages'!$I$18:$I$157,MATCH(2,1/(('Port Linkages'!$C$18:$C$157=$AP60)*('Port Linkages'!$D$18:$D$157=IF($AO60="Yes",$AQ60,$AS60))*('Port Linkages'!$A$18:$A$157&lt;=$C60))))</f>
        <v>VLSFO</v>
      </c>
      <c r="LK60" s="75" t="str">
        <f t="array" ref="LK60">INDEX('Port Linkages'!$J$18:$J$157,MATCH(2,1/(('Port Linkages'!$C$18:$C$157=$AP60)*('Port Linkages'!$D$18:$D$157=IF($AO60="Yes",$AQ60,$AS60))*('Port Linkages'!$A$18:$A$157&lt;=$C60))))</f>
        <v>MGO_Regular</v>
      </c>
      <c r="LL60" s="75" t="str">
        <f t="array" ref="LL60">INDEX('Port Linkages'!$K$18:$K$157,MATCH(2,1/(('Port Linkages'!$C$18:$C$157=$AP60)*('Port Linkages'!$D$18:$D$157=IF($AO60="Yes",$AQ60,$AS60))*('Port Linkages'!$A$18:$A$157&lt;=$C60))))</f>
        <v>none</v>
      </c>
      <c r="LM60" s="75">
        <f t="array" ref="LM60">INDEX('Port Linkages'!$L$18:$L$157,MATCH(2,1/(('Port Linkages'!$C$18:$C$157=$AP60)*('Port Linkages'!$D$18:$D$157=IF($AO60="Yes",$AQ60,$AS60))*('Port Linkages'!$A$18:$A$157&lt;=$C60))))</f>
        <v>5100</v>
      </c>
      <c r="LN60" s="75">
        <f t="array" ref="LN60">INDEX('Port Linkages'!$M$18:$M$157,MATCH(2,1/(('Port Linkages'!$C$18:$C$157=$AP60)*('Port Linkages'!$D$18:$D$157=IF($AO60="Yes",$AQ60,$AS60))*('Port Linkages'!$A$18:$A$157&lt;=$C60))))</f>
        <v>0</v>
      </c>
      <c r="LO60" s="75" t="str">
        <f t="array" ref="LO60">INDEX('Port Linkages'!$N$18:$N$157,MATCH(2,1/(('Port Linkages'!$C$18:$C$157=$AP60)*('Port Linkages'!$D$18:$D$157=IF($AO60="Yes",$AQ60,$AS60))*('Port Linkages'!$A$18:$A$157&lt;=$C60))))</f>
        <v>Capesize_General</v>
      </c>
      <c r="LP60" s="75" t="str">
        <f t="array" ref="LP60">INDEX('Port Linkages'!$O$18:$O$157,MATCH(2,1/(('Port Linkages'!$C$18:$C$157=$AP60)*('Port Linkages'!$D$18:$D$157=IF($AO60="Yes",$AQ60,$AS60))*('Port Linkages'!$A$18:$A$157&lt;=$C60))))</f>
        <v>Singapore</v>
      </c>
      <c r="LQ60" s="75" t="str">
        <f t="array" ref="LQ60">INDEX('Port Linkages'!$P$18:$P$157,MATCH(2,1/(('Port Linkages'!$C$18:$C$157=$AP60)*('Port Linkages'!$D$18:$D$157=IF($AO60="Yes",$AQ60,$AS60))*('Port Linkages'!$A$18:$A$157&lt;=$C60))))</f>
        <v>VLSFO</v>
      </c>
      <c r="LR60" s="75" t="str">
        <f t="array" ref="LR60">INDEX('Port Linkages'!$Q$18:$Q$157,MATCH(2,1/(('Port Linkages'!$C$18:$C$157=$AP60)*('Port Linkages'!$D$18:$D$157=IF($AO60="Yes",$AQ60,$AS60))*('Port Linkages'!$A$18:$A$157&lt;=$C60))))</f>
        <v>MGO_Regular</v>
      </c>
      <c r="LS60" s="75" t="str">
        <f t="array" ref="LS60">INDEX('Port Linkages'!$R$18:$R$157,MATCH(2,1/(('Port Linkages'!$C$18:$C$157=$AP60)*('Port Linkages'!$D$18:$D$157=IF($AO60="Yes",$AQ60,$AS60))*('Port Linkages'!$A$18:$A$157&lt;=$C60))))</f>
        <v>none</v>
      </c>
      <c r="LT60" s="75">
        <f t="array" ref="LT60">INDEX('Port Linkages'!$S$18:$S$157,MATCH(2,1/(('Port Linkages'!$C$18:$C$157=$AP60)*('Port Linkages'!$D$18:$D$157=IF($AO60="Yes",$AQ60,$AS60))*('Port Linkages'!$A$18:$A$157&lt;=$C60))))</f>
        <v>5100</v>
      </c>
      <c r="LU60" s="75">
        <f t="array" ref="LU60">INDEX('Port Linkages'!$T$18:$T$157,MATCH(2,1/(('Port Linkages'!$C$18:$C$157=$AP60)*('Port Linkages'!$D$18:$D$157=IF($AO60="Yes",$AQ60,$AS60))*('Port Linkages'!$A$18:$A$157&lt;=$C60))))</f>
        <v>0</v>
      </c>
      <c r="LV60" s="75" t="str">
        <f t="array" ref="LV60">INDEX('Port Linkages'!$U$18:$U$157,MATCH(2,1/(('Port Linkages'!$C$18:$C$157=$AP60)*('Port Linkages'!$D$18:$D$157=IF($AO60="Yes",$AQ60,$AS60))*('Port Linkages'!$A$18:$A$157&lt;=$C60))))</f>
        <v>Capesize_General</v>
      </c>
      <c r="LW60" s="75" t="str">
        <f t="array" ref="LW60">INDEX('Port Linkages'!$V$18:$V$157,MATCH(2,1/(('Port Linkages'!$C$18:$C$157=$AP60)*('Port Linkages'!$D$18:$D$157=IF($AO60="Yes",$AQ60,$AS60))*('Port Linkages'!$A$18:$A$157&lt;=$C60))))</f>
        <v>Singapore</v>
      </c>
      <c r="LX60" s="75" t="str">
        <f t="array" ref="LX60">INDEX('Port Linkages'!$W$18:$W$157,MATCH(2,1/(('Port Linkages'!$C$18:$C$157=$AP60)*('Port Linkages'!$D$18:$D$157=IF($AO60="Yes",$AQ60,$AS60))*('Port Linkages'!$A$18:$A$157&lt;=$C60))))</f>
        <v>VLSFO</v>
      </c>
      <c r="LY60" s="75" t="str">
        <f t="array" ref="LY60">INDEX('Port Linkages'!$X$18:$X$157,MATCH(2,1/(('Port Linkages'!$C$18:$C$157=$AP60)*('Port Linkages'!$D$18:$D$157=IF($AO60="Yes",$AQ60,$AS60))*('Port Linkages'!$A$18:$A$157&lt;=$C60))))</f>
        <v>MGO_Regular</v>
      </c>
      <c r="LZ60" s="75" t="str">
        <f t="array" ref="LZ60">INDEX('Port Linkages'!$Y$18:$Y$157,MATCH(2,1/(('Port Linkages'!$C$18:$C$157=$AP60)*('Port Linkages'!$D$18:$D$157=IF($AO60="Yes",$AQ60,$AS60))*('Port Linkages'!$A$18:$A$157&lt;=$C60))))</f>
        <v>none</v>
      </c>
      <c r="MA60" s="75">
        <f t="array" ref="MA60">INDEX('Port Linkages'!$Z$18:$Z$157,MATCH(2,1/(('Port Linkages'!$C$18:$C$157=$AP60)*('Port Linkages'!$D$18:$D$157=IF($AO60="Yes",$AQ60,$AS60))*('Port Linkages'!$A$18:$A$157&lt;=$C60))))</f>
        <v>5100</v>
      </c>
      <c r="MB60" s="75">
        <f t="array" ref="MB60">INDEX('Port Linkages'!$AA$18:$AA$157,MATCH(2,1/(('Port Linkages'!$C$18:$C$157=$AP60)*('Port Linkages'!$D$18:$D$157=IF($AO60="Yes",$AQ60,$AS60))*('Port Linkages'!$A$18:$A$157&lt;=$C60))))</f>
        <v>0</v>
      </c>
      <c r="MC60" s="75" t="str">
        <f t="array" ref="MC60">INDEX('Port Linkages'!$AB$18:$AB$157,MATCH(2,1/(('Port Linkages'!$C$18:$C$157=$AP60)*('Port Linkages'!$D$18:$D$157=IF($AO60="Yes",$AQ60,$AS60))*('Port Linkages'!$A$18:$A$157&lt;=$C60))))</f>
        <v>Capesize_General</v>
      </c>
      <c r="MD60" s="75" t="str">
        <f t="array" ref="MD60">INDEX('Port Linkages'!$AC$18:$AC$157,MATCH(2,1/(('Port Linkages'!$C$18:$C$157=$AP60)*('Port Linkages'!$D$18:$D$157=IF($AO60="Yes",$AQ60,$AS60))*('Port Linkages'!$A$18:$A$157&lt;=$C60))))</f>
        <v>Singapore</v>
      </c>
      <c r="ME60" s="75" t="str">
        <f t="array" ref="ME60">INDEX('Port Linkages'!$AD$18:$AD$157,MATCH(2,1/(('Port Linkages'!$C$18:$C$157=$AP60)*('Port Linkages'!$D$18:$D$157=IF($AO60="Yes",$AQ60,$AS60))*('Port Linkages'!$A$18:$A$157&lt;=$C60))))</f>
        <v>VLSFO</v>
      </c>
      <c r="MF60" s="75" t="str">
        <f t="array" ref="MF60">INDEX('Port Linkages'!$AE$18:$AE$157,MATCH(2,1/(('Port Linkages'!$C$18:$C$157=$AP60)*('Port Linkages'!$D$18:$D$157=IF($AO60="Yes",$AQ60,$AS60))*('Port Linkages'!$A$18:$A$157&lt;=$C60))))</f>
        <v>MGO_Regular</v>
      </c>
      <c r="MG60" s="75" t="str">
        <f t="array" ref="MG60">INDEX('Port Linkages'!$AF$18:$AF$157,MATCH(2,1/(('Port Linkages'!$C$18:$C$157=$AP60)*('Port Linkages'!$D$18:$D$157=IF($AO60="Yes",$AQ60,$AS60))*('Port Linkages'!$A$18:$A$157&lt;=$C60))))</f>
        <v>none</v>
      </c>
      <c r="MH60" s="75">
        <f t="array" ref="MH60">INDEX('Port Linkages'!$AG$18:$AG$157,MATCH(2,1/(('Port Linkages'!$C$18:$C$157=$AP60)*('Port Linkages'!$D$18:$D$157=IF($AO60="Yes",$AQ60,$AS60))*('Port Linkages'!$A$18:$A$157&lt;=$C60))))</f>
        <v>5100</v>
      </c>
      <c r="MI60" s="75">
        <f t="array" ref="MI60">INDEX('Port Linkages'!$AH$18:$AH$157,MATCH(2,1/(('Port Linkages'!$C$18:$C$157=$AP60)*('Port Linkages'!$D$18:$D$157=IF($AO60="Yes",$AQ60,$AS60))*('Port Linkages'!$A$18:$A$157&lt;=$C60))))</f>
        <v>0</v>
      </c>
      <c r="MJ60" s="75" t="str">
        <f t="array" ref="MJ60">INDEX('Port Linkages'!$AI$18:$AI$157,MATCH(2,1/(('Port Linkages'!$C$18:$C$157=$AP60)*('Port Linkages'!$D$18:$D$157=IF($AO60="Yes",$AQ60,$AS60))*('Port Linkages'!$A$18:$A$157&lt;=$C60))))</f>
        <v>Panamax_General</v>
      </c>
      <c r="MK60" s="75" t="str">
        <f t="array" ref="MK60">INDEX('Port Linkages'!$AJ$18:$AJ$157,MATCH(2,1/(('Port Linkages'!$C$18:$C$157=$AP60)*('Port Linkages'!$D$18:$D$157=IF($AO60="Yes",$AQ60,$AS60))*('Port Linkages'!$A$18:$A$157&lt;=$C60))))</f>
        <v>Singapore</v>
      </c>
      <c r="ML60" s="75" t="str">
        <f t="array" ref="ML60">INDEX('Port Linkages'!$AK$18:$AK$157,MATCH(2,1/(('Port Linkages'!$C$18:$C$157=$AP60)*('Port Linkages'!$D$18:$D$157=IF($AO60="Yes",$AQ60,$AS60))*('Port Linkages'!$A$18:$A$157&lt;=$C60))))</f>
        <v>VLSFO</v>
      </c>
      <c r="MM60" s="75" t="str">
        <f t="array" ref="MM60">INDEX('Port Linkages'!$AL$18:$AL$157,MATCH(2,1/(('Port Linkages'!$C$18:$C$157=$AP60)*('Port Linkages'!$D$18:$D$157=IF($AO60="Yes",$AQ60,$AS60))*('Port Linkages'!$A$18:$A$157&lt;=$C60))))</f>
        <v>MGO_Regular</v>
      </c>
      <c r="MN60" s="75" t="str">
        <f t="array" ref="MN60">INDEX('Port Linkages'!$AM$18:$AM$157,MATCH(2,1/(('Port Linkages'!$C$18:$C$157=$AP60)*('Port Linkages'!$D$18:$D$157=IF($AO60="Yes",$AQ60,$AS60))*('Port Linkages'!$A$18:$A$157&lt;=$C60))))</f>
        <v>none</v>
      </c>
      <c r="MO60" s="75">
        <f t="array" ref="MO60">INDEX('Port Linkages'!$AN$18:$AN$157,MATCH(2,1/(('Port Linkages'!$C$18:$C$157=$AP60)*('Port Linkages'!$D$18:$D$157=IF($AO60="Yes",$AQ60,$AS60))*('Port Linkages'!$A$18:$A$157&lt;=$C60))))</f>
        <v>5100</v>
      </c>
      <c r="MP60" s="75">
        <f t="array" ref="MP60">INDEX('Port Linkages'!$AO$18:$AO$157,MATCH(2,1/(('Port Linkages'!$C$18:$C$157=$AP60)*('Port Linkages'!$D$18:$D$157=IF($AO60="Yes",$AQ60,$AS60))*('Port Linkages'!$A$18:$A$157&lt;=$C60))))</f>
        <v>0</v>
      </c>
      <c r="MQ60" s="75" t="str">
        <f t="array" ref="MQ60">INDEX('Port Linkages'!$AP$18:$AP$157,MATCH(2,1/(('Port Linkages'!$C$18:$C$157=$AP60)*('Port Linkages'!$D$18:$D$157=IF($AO60="Yes",$AQ60,$AS60))*('Port Linkages'!$A$18:$A$157&lt;=$C60))))</f>
        <v>Supramax_General</v>
      </c>
      <c r="MR60" s="75" t="str">
        <f t="array" ref="MR60">INDEX('Port Linkages'!$AQ$18:$AQ$157,MATCH(2,1/(('Port Linkages'!$C$18:$C$157=$AP60)*('Port Linkages'!$D$18:$D$157=IF($AO60="Yes",$AQ60,$AS60))*('Port Linkages'!$A$18:$A$157&lt;=$C60))))</f>
        <v>Singapore</v>
      </c>
      <c r="MS60" s="75" t="str">
        <f t="array" ref="MS60">INDEX('Port Linkages'!$AR$18:$AR$157,MATCH(2,1/(('Port Linkages'!$C$18:$C$157=$AP60)*('Port Linkages'!$D$18:$D$157=IF($AO60="Yes",$AQ60,$AS60))*('Port Linkages'!$A$18:$A$157&lt;=$C60))))</f>
        <v>VLSFO</v>
      </c>
      <c r="MT60" s="75" t="str">
        <f t="array" ref="MT60">INDEX('Port Linkages'!$AS$18:$AS$157,MATCH(2,1/(('Port Linkages'!$C$18:$C$157=$AP60)*('Port Linkages'!$D$18:$D$157=IF($AO60="Yes",$AQ60,$AS60))*('Port Linkages'!$A$18:$A$157&lt;=$C60))))</f>
        <v>MGO_Regular</v>
      </c>
      <c r="MU60" s="75" t="str">
        <f t="array" ref="MU60">INDEX('Port Linkages'!$AT$18:$AT$157,MATCH(2,1/(('Port Linkages'!$C$18:$C$157=$AP60)*('Port Linkages'!$D$18:$D$157=IF($AO60="Yes",$AQ60,$AS60))*('Port Linkages'!$A$18:$A$157&lt;=$C60))))</f>
        <v>none</v>
      </c>
      <c r="MV60" s="75">
        <f t="array" ref="MV60">INDEX('Port Linkages'!$AU$18:$AU$157,MATCH(2,1/(('Port Linkages'!$C$18:$C$157=$AP60)*('Port Linkages'!$D$18:$D$157=IF($AO60="Yes",$AQ60,$AS60))*('Port Linkages'!$A$18:$A$157&lt;=$C60))))</f>
        <v>5100</v>
      </c>
      <c r="MW60" s="75">
        <f t="array" ref="MW60">INDEX('Port Linkages'!$AV$18:$AV$157,MATCH(2,1/(('Port Linkages'!$C$18:$C$157=$AP60)*('Port Linkages'!$D$18:$D$157=IF($AO60="Yes",$AQ60,$AS60))*('Port Linkages'!$A$18:$A$157&lt;=$C60))))</f>
        <v>0</v>
      </c>
      <c r="MX60" s="75" t="str">
        <f t="array" ref="MX60">INDEX('Port Linkages'!$AW$18:$AW$157,MATCH(2,1/(('Port Linkages'!$C$18:$C$157=$AP60)*('Port Linkages'!$D$18:$D$157=IF($AO60="Yes",$AQ60,$AS60))*('Port Linkages'!$A$18:$A$157&lt;=$C60))))</f>
        <v>Handysize_General</v>
      </c>
      <c r="MY60" s="75" t="str">
        <f t="array" ref="MY60">INDEX('Port Linkages'!$AX$18:$AX$157,MATCH(2,1/(('Port Linkages'!$C$18:$C$157=$AP60)*('Port Linkages'!$D$18:$D$157=IF($AO60="Yes",$AQ60,$AS60))*('Port Linkages'!$A$18:$A$157&lt;=$C60))))</f>
        <v>Singapore</v>
      </c>
      <c r="MZ60" s="75" t="str">
        <f t="array" ref="MZ60">INDEX('Port Linkages'!$AY$18:$AY$157,MATCH(2,1/(('Port Linkages'!$C$18:$C$157=$AP60)*('Port Linkages'!$D$18:$D$157=IF($AO60="Yes",$AQ60,$AS60))*('Port Linkages'!$A$18:$A$157&lt;=$C60))))</f>
        <v>VLSFO</v>
      </c>
      <c r="NA60" s="75" t="str">
        <f t="array" ref="NA60">INDEX('Port Linkages'!$AZ$18:$AZ$157,MATCH(2,1/(('Port Linkages'!$C$18:$C$157=$AP60)*('Port Linkages'!$D$18:$D$157=IF($AO60="Yes",$AQ60,$AS60))*('Port Linkages'!$A$18:$A$157&lt;=$C60))))</f>
        <v>MGO_Regular</v>
      </c>
      <c r="NB60" s="75" t="str">
        <f t="array" ref="NB60">INDEX('Port Linkages'!$BA$18:$BA$157,MATCH(2,1/(('Port Linkages'!$C$18:$C$157=$AP60)*('Port Linkages'!$D$18:$D$157=IF($AO60="Yes",$AQ60,$AS60))*('Port Linkages'!$A$18:$A$157&lt;=$C60))))</f>
        <v>none</v>
      </c>
      <c r="ND60" s="25" t="e">
        <f t="array" aca="1" ref="ND60" ca="1">INDEX('Ship Fuel Prices'!$F$5:$F$1004,MATCH(2,1/(('Ship Fuel Prices'!$E$5:$E$1004=_xlfn.IFS(KS60="Handysize",Main!MY60,KS60="Supramax",MR60,KS60="Panamax",MK60,KS60="NeoPanamax",MD60,KS60="Suezmax",LW60,KS60="Capesize",LP60,KS60="VLOC",LI60))*('Ship Fuel Prices'!$D$5:$D$1004&lt;=Main!$C60))))</f>
        <v>#N/A</v>
      </c>
      <c r="NE60" s="25" t="e">
        <f t="array" aca="1" ref="NE60" ca="1">INDEX('Ship Fuel Prices'!$G$5:$G$1004,MATCH(2,1/(('Ship Fuel Prices'!$E$5:$E$1004=_xlfn.IFS(KS60="Handysize",Main!MY60,KS60="Supramax",MR60,KS60="Panamax",MK60,KS60="NeoPanamax",MD60,KS60="Suezmax",LW60,KS60="Capesize",LP60,KS60="VLOC",LI60))*('Ship Fuel Prices'!$D$5:$D$1004&lt;=Main!$C60))))</f>
        <v>#N/A</v>
      </c>
      <c r="NF60" s="25" t="e">
        <f t="array" aca="1" ref="NF60" ca="1">INDEX('Ship Fuel Prices'!$H$5:$H$1004,MATCH(2,1/(('Ship Fuel Prices'!$E$5:$E$1004=_xlfn.IFS(KS60="Handysize",Main!MY60,KS60="Supramax",MR60,KS60="Panamax",MK60,KS60="NeoPanamax",MD60,KS60="Suezmax",LW60,KS60="Capesize",LP60,KS60="VLOC",LI60))*('Ship Fuel Prices'!$D$5:$D$1004&lt;=Main!$C60))))</f>
        <v>#N/A</v>
      </c>
      <c r="NG60" s="25" t="e">
        <f t="array" aca="1" ref="NG60" ca="1">INDEX('Ship Fuel Prices'!$I$5:$I$1004,MATCH(2,1/(('Ship Fuel Prices'!$E$5:$E$1004=_xlfn.IFS(KS60="Handysize",Main!MY60,KS60="Supramax",MR60,KS60="Panamax",MK60,KS60="NeoPanamax",MD60,KS60="Suezmax",LW60,KS60="Capesize",LP60,KS60="VLOC",LI60))*('Ship Fuel Prices'!$D$5:$D$1004&lt;=Main!$C60))))</f>
        <v>#N/A</v>
      </c>
      <c r="NH60" s="25" t="e">
        <f t="array" aca="1" ref="NH60" ca="1">INDEX('Ship Fuel Prices'!$J$5:$J$1004,MATCH(2,1/(('Ship Fuel Prices'!$E$5:$E$1004=_xlfn.IFS(KS60="Handysize",Main!MY60,KS60="Supramax",MR60,KS60="Panamax",MK60,KS60="NeoPanamax",MD60,KS60="Suezmax",LW60,KS60="Capesize",LP60,KS60="VLOC",LI60))*('Ship Fuel Prices'!$D$5:$D$1004&lt;=Main!$C60))))</f>
        <v>#N/A</v>
      </c>
      <c r="NJ60" s="75">
        <f t="array" ref="NJ60">INDEX('China n Importing Ports'!$E$20:$E$41,MATCH(2,1/(('China n Importing Ports'!$D$20:$D$41&lt;=$C60)*('China n Importing Ports'!$C$20:$C$41=IF($AO60="Yes",$AQ60,$AS60)))))</f>
        <v>42500</v>
      </c>
      <c r="NK60" s="75">
        <f t="array" ref="NK60">INDEX('China n Importing Ports'!$F$20:$F$41,MATCH(2,1/(('China n Importing Ports'!$D$20:$D$41&lt;=$C60)*('China n Importing Ports'!$C$20:$C$41=IF($AO60="Yes",$AQ60,$AS60)))))</f>
        <v>42500</v>
      </c>
      <c r="NL60" s="75">
        <f t="array" ref="NL60">INDEX('China n Importing Ports'!$G$20:$G$41,MATCH(2,1/(('China n Importing Ports'!$D$20:$D$41&lt;=$C60)*('China n Importing Ports'!$C$20:$C$41=IF($AO60="Yes",$AQ60,$AS60)))))</f>
        <v>42500</v>
      </c>
      <c r="NM60" s="75">
        <f t="array" ref="NM60">INDEX('China n Importing Ports'!$H$20:$H$41,MATCH(2,1/(('China n Importing Ports'!$D$20:$D$41&lt;=$C60)*('China n Importing Ports'!$C$20:$C$41=IF($AO60="Yes",$AQ60,$AS60)))))</f>
        <v>42500</v>
      </c>
      <c r="NN60" s="75">
        <f t="array" ref="NN60">INDEX('China n Importing Ports'!$I$20:$I$41,MATCH(2,1/(('China n Importing Ports'!$D$20:$D$41&lt;=$C60)*('China n Importing Ports'!$C$20:$C$41=IF($AO60="Yes",$AQ60,$AS60)))))</f>
        <v>42500</v>
      </c>
      <c r="NO60" s="75">
        <f t="array" ref="NO60">INDEX('China n Importing Ports'!$J$20:$J$41,MATCH(2,1/(('China n Importing Ports'!$D$20:$D$41&lt;=$C60)*('China n Importing Ports'!$C$20:$C$41=IF($AO60="Yes",$AQ60,$AS60)))))</f>
        <v>42500</v>
      </c>
      <c r="NP60" s="75">
        <f t="array" ref="NP60">INDEX('China n Importing Ports'!$K$20:$K$41,MATCH(2,1/(('China n Importing Ports'!$D$20:$D$41&lt;=$C60)*('China n Importing Ports'!$C$20:$C$41=IF($AO60="Yes",$AQ60,$AS60)))))</f>
        <v>42500</v>
      </c>
      <c r="NQ60" s="75" t="str">
        <f t="array" ref="NQ60">INDEX('China n Importing Ports'!$L$20:$L$41,MATCH(2,1/(('China n Importing Ports'!$D$20:$D$41&lt;=$C60)*('China n Importing Ports'!$C$20:$C$41=IF($AO60="Yes",$AQ60,$AS60)))))</f>
        <v>RMB</v>
      </c>
      <c r="NR60" s="75">
        <f t="array" ref="NR60">INDEX('China n Importing Ports'!$M$20:$M$41,MATCH(2,1/(('China n Importing Ports'!$D$20:$D$41&lt;=$C60)*('China n Importing Ports'!$C$20:$C$41=IF($AO60="Yes",$AQ60,$AS60)))))</f>
        <v>12342</v>
      </c>
      <c r="NS60" s="75">
        <f t="array" ref="NS60">INDEX('China n Importing Ports'!$N$20:$N$41,MATCH(2,1/(('China n Importing Ports'!$D$20:$D$41&lt;=$C60)*('China n Importing Ports'!$C$20:$C$41=IF($AO60="Yes",$AQ60,$AS60)))))</f>
        <v>0</v>
      </c>
      <c r="NT60" s="75">
        <f t="array" ref="NT60">INDEX('China n Importing Ports'!$O$20:$O$41,MATCH(2,1/(('China n Importing Ports'!$D$20:$D$41&lt;=$C60)*('China n Importing Ports'!$C$20:$C$41=IF($AO60="Yes",$AQ60,$AS60)))))</f>
        <v>0</v>
      </c>
      <c r="NU60" s="136">
        <f t="array" ref="NU60">INDEX('China n Importing Ports'!$P$20:$P$41,MATCH(2,1/(('China n Importing Ports'!$D$20:$D$41&lt;=$C60)*('China n Importing Ports'!$C$20:$C$41=IF($AO60="Yes",$AQ60,$AS60)))))</f>
        <v>2.64</v>
      </c>
      <c r="NV60" s="136">
        <f t="array" ref="NV60">INDEX('China n Importing Ports'!$Q$20:$Q$41,MATCH(2,1/(('China n Importing Ports'!$D$20:$D$41&lt;=$C60)*('China n Importing Ports'!$C$20:$C$41=IF($AO60="Yes",$AQ60,$AS60)))))</f>
        <v>0</v>
      </c>
      <c r="NW60" s="136">
        <f t="array" ref="NW60">INDEX('China n Importing Ports'!$R$20:$R$41,MATCH(2,1/(('China n Importing Ports'!$D$20:$D$41&lt;=$C60)*('China n Importing Ports'!$C$20:$C$41=IF($AO60="Yes",$AQ60,$AS60)))))</f>
        <v>0</v>
      </c>
      <c r="NX60" s="136">
        <f t="array" ref="NX60">INDEX('China n Importing Ports'!$S$20:$S$41,MATCH(2,1/(('China n Importing Ports'!$D$20:$D$41&lt;=$C60)*('China n Importing Ports'!$C$20:$C$41=IF($AO60="Yes",$AQ60,$AS60)))))</f>
        <v>4.53</v>
      </c>
      <c r="NY60" s="136">
        <f t="array" ref="NY60">INDEX('China n Importing Ports'!$T$20:$T$41,MATCH(2,1/(('China n Importing Ports'!$D$20:$D$41&lt;=$C60)*('China n Importing Ports'!$C$20:$C$41=IF($AO60="Yes",$AQ60,$AS60)))))</f>
        <v>0.36699999999999999</v>
      </c>
      <c r="NZ60" s="136">
        <f t="array" ref="NZ60">INDEX('China n Importing Ports'!$U$20:$U$41,MATCH(2,1/(('China n Importing Ports'!$D$20:$D$41&lt;=$C60)*('China n Importing Ports'!$C$20:$C$41=IF($AO60="Yes",$AQ60,$AS60)))))</f>
        <v>0.05</v>
      </c>
      <c r="OA60" s="136">
        <f t="array" ref="OA60">INDEX('China n Importing Ports'!$V$20:$V$41,MATCH(2,1/(('China n Importing Ports'!$D$20:$D$41&lt;=$C60)*('China n Importing Ports'!$C$20:$C$41=IF($AO60="Yes",$AQ60,$AS60)))))</f>
        <v>0</v>
      </c>
      <c r="OB60" s="136">
        <f t="array" ref="OB60">INDEX('China n Importing Ports'!$W$20:$W$41,MATCH(2,1/(('China n Importing Ports'!$D$20:$D$41&lt;=$C60)*('China n Importing Ports'!$C$20:$C$41=IF($AO60="Yes",$AQ60,$AS60)))))</f>
        <v>0</v>
      </c>
      <c r="OC60" s="136">
        <f t="array" ref="OC60">INDEX('China n Importing Ports'!$X$20:$X$41,MATCH(2,1/(('China n Importing Ports'!$D$20:$D$41&lt;=$C60)*('China n Importing Ports'!$C$20:$C$41=IF($AO60="Yes",$AQ60,$AS60)))))</f>
        <v>0</v>
      </c>
      <c r="OD60" s="136">
        <f t="array" ref="OD60">INDEX('China n Importing Ports'!$Y$20:$Y$41,MATCH(2,1/(('China n Importing Ports'!$D$20:$D$41&lt;=$C60)*('China n Importing Ports'!$C$20:$C$41=IF($AO60="Yes",$AQ60,$AS60)))))</f>
        <v>197</v>
      </c>
      <c r="OE60" s="136">
        <f t="array" ref="OE60">INDEX('China n Importing Ports'!$Z$20:$Z$41,MATCH(2,1/(('China n Importing Ports'!$D$20:$D$41&lt;=$C60)*('China n Importing Ports'!$C$20:$C$41=IF($AO60="Yes",$AQ60,$AS60)))))</f>
        <v>0</v>
      </c>
      <c r="OF60" s="136">
        <f t="array" ref="OF60">INDEX('China n Importing Ports'!$AA$20:$AA$41,MATCH(2,1/(('China n Importing Ports'!$D$20:$D$41&lt;=$C60)*('China n Importing Ports'!$C$20:$C$41=IF($AO60="Yes",$AQ60,$AS60)))))</f>
        <v>0</v>
      </c>
      <c r="OH60" s="75" t="e">
        <f t="array" aca="1" ref="OH60" ca="1">INDEX(Canals!$G$24:$G$29,MATCH(2,1/((Canals!$F$24:$F$29&lt;=$C60)*(Canals!$G$24:$G$29=_xlfn.IFS(KS60="Handysize",Main!NB60,KS60="Supramax",MU60,KS60="Panamax",MN60,KS60="NeoPanamax",MG60,KS60="Suezmax",LZ60,KS60="Capesize",LS60,KS60="VLOC",LL60)))))</f>
        <v>#N/A</v>
      </c>
      <c r="OI60" s="75" t="e">
        <f t="array" aca="1" ref="OI60" ca="1">INDEX(Canals!$H$24:$H$29,MATCH(2,1/((Canals!$F$24:$F$29&lt;=$C60)*(Canals!$G$24:$G$29=_xlfn.IFS(KS60="Handysize",Main!NB60,KS60="Supramax",MU60,KS60="Panamax",MN60,KS60="NeoPanamax",MG60,KS60="Suezmax",LZ60,KS60="Capesize",LS60,KS60="VLOC",LL60)))))</f>
        <v>#N/A</v>
      </c>
      <c r="OJ60" s="75" t="e">
        <f t="array" aca="1" ref="OJ60" ca="1">INDEX(Canals!$I$24:$I$29,MATCH(2,1/((Canals!$F$24:$F$29&lt;=$C60)*(Canals!$G$24:$G$29=_xlfn.IFS(KS60="Handysize",Main!NB60,KS60="Supramax",MU60,KS60="Panamax",MN60,KS60="NeoPanamax",MG60,KS60="Suezmax",LZ60,KS60="Capesize",LS60,KS60="VLOC",LL60)))))</f>
        <v>#N/A</v>
      </c>
      <c r="OK60" s="75" t="e">
        <f t="array" aca="1" ref="OK60" ca="1">INDEX(Canals!$J$24:$J$29,MATCH(2,1/((Canals!$F$24:$F$29&lt;=$C60)*(Canals!$G$24:$G$29=_xlfn.IFS(KS60="Handysize",Main!NB60,KS60="Supramax",MU60,KS60="Panamax",MN60,KS60="NeoPanamax",MG60,KS60="Suezmax",LZ60,KS60="Capesize",LS60,KS60="VLOC",LL60)))))</f>
        <v>#N/A</v>
      </c>
      <c r="OL60" s="75" t="e">
        <f t="array" aca="1" ref="OL60" ca="1">INDEX(Canals!$K$24:$K$29,MATCH(2,1/((Canals!$F$24:$F$29&lt;=$C60)*(Canals!$G$24:$G$29=_xlfn.IFS(KS60="Handysize",Main!NB60,KS60="Supramax",MU60,KS60="Panamax",MN60,KS60="NeoPanamax",MG60,KS60="Suezmax",LZ60,KS60="Capesize",LS60,KS60="VLOC",LL60)))))</f>
        <v>#N/A</v>
      </c>
      <c r="OM60" s="75" t="e">
        <f t="array" aca="1" ref="OM60" ca="1">INDEX(Canals!$L$24:$L$29,MATCH(2,1/((Canals!$F$24:$F$29&lt;=$C60)*(Canals!$G$24:$G$29=_xlfn.IFS(KS60="Handysize",Main!NB60,KS60="Supramax",MU60,KS60="Panamax",MN60,KS60="NeoPanamax",MG60,KS60="Suezmax",LZ60,KS60="Capesize",LS60,KS60="VLOC",LL60)))))</f>
        <v>#N/A</v>
      </c>
      <c r="ON60" s="75" t="e">
        <f t="array" aca="1" ref="ON60" ca="1">INDEX(Canals!$M$24:$M$29,MATCH(2,1/((Canals!$F$24:$F$29&lt;=$C60)*(Canals!$G$24:$G$29=_xlfn.IFS(KS60="Handysize",Main!NB60,KS60="Supramax",MU60,KS60="Panamax",MN60,KS60="NeoPanamax",MG60,KS60="Suezmax",LZ60,KS60="Capesize",LS60,KS60="VLOC",LL60)))))</f>
        <v>#N/A</v>
      </c>
      <c r="OO60" s="75" t="e">
        <f t="array" aca="1" ref="OO60" ca="1">INDEX(Canals!$N$24:$N$29,MATCH(2,1/((Canals!$F$24:$F$29&lt;=$C60)*(Canals!$G$24:$G$29=_xlfn.IFS(KS60="Handysize",Main!NB60,KS60="Supramax",MU60,KS60="Panamax",MN60,KS60="NeoPanamax",MG60,KS60="Suezmax",LZ60,KS60="Capesize",LS60,KS60="VLOC",LL60)))))</f>
        <v>#N/A</v>
      </c>
      <c r="OP60" s="75" t="e">
        <f t="array" aca="1" ref="OP60" ca="1">INDEX(Canals!$O$24:$O$29,MATCH(2,1/((Canals!$F$24:$F$29&lt;=$C60)*(Canals!$G$24:$G$29=_xlfn.IFS(KS60="Handysize",Main!NB60,KS60="Supramax",MU60,KS60="Panamax",MN60,KS60="NeoPanamax",MG60,KS60="Suezmax",LZ60,KS60="Capesize",LS60,KS60="VLOC",LL60)))))</f>
        <v>#N/A</v>
      </c>
      <c r="OQ60" s="75" t="e">
        <f t="array" aca="1" ref="OQ60" ca="1">INDEX(Canals!$P$24:$P$29,MATCH(2,1/((Canals!$F$24:$F$29&lt;=$C60)*(Canals!$G$24:$G$29=_xlfn.IFS(KS60="Handysize",Main!NB60,KS60="Supramax",MU60,KS60="Panamax",MN60,KS60="NeoPanamax",MG60,KS60="Suezmax",LZ60,KS60="Capesize",LS60,KS60="VLOC",LL60)))))</f>
        <v>#N/A</v>
      </c>
      <c r="OR60" s="75" t="e">
        <f t="array" aca="1" ref="OR60" ca="1">INDEX(Canals!$Q$24:$Q$29,MATCH(2,1/((Canals!$F$24:$F$29&lt;=$C60)*(Canals!$G$24:$G$29=_xlfn.IFS(KS60="Handysize",Main!NB60,KS60="Supramax",MU60,KS60="Panamax",MN60,KS60="NeoPanamax",MG60,KS60="Suezmax",LZ60,KS60="Capesize",LS60,KS60="VLOC",LL60)))))</f>
        <v>#N/A</v>
      </c>
      <c r="OS60" s="75" t="e">
        <f t="array" aca="1" ref="OS60" ca="1">INDEX(Canals!$R$24:$R$29,MATCH(2,1/((Canals!$F$24:$F$29&lt;=$C60)*(Canals!$G$24:$G$29=_xlfn.IFS(KS60="Handysize",Main!NB60,KS60="Supramax",MU60,KS60="Panamax",MN60,KS60="NeoPanamax",MG60,KS60="Suezmax",LZ60,KS60="Capesize",LS60,KS60="VLOC",LL60)))))</f>
        <v>#N/A</v>
      </c>
      <c r="OT60" s="136" t="e">
        <f t="array" aca="1" ref="OT60" ca="1">INDEX(Canals!$S$24:$S$29,MATCH(2,1/((Canals!$F$24:$F$29&lt;=$C60)*(Canals!$G$24:$G$29=_xlfn.IFS(KS60="Handysize",Main!NB60,KS60="Supramax",MU60,KS60="Panamax",MN60,KS60="NeoPanamax",MG60,KS60="Suezmax",LZ60,KS60="Capesize",LS60,KS60="VLOC",LL60)))))</f>
        <v>#N/A</v>
      </c>
      <c r="OU60" s="136" t="e">
        <f t="array" aca="1" ref="OU60" ca="1">INDEX(Canals!$T$24:$T$29,MATCH(2,1/((Canals!$F$24:$F$29&lt;=$C60)*(Canals!$G$24:$G$29=_xlfn.IFS(KS60="Handysize",Main!NB60,KS60="Supramax",MU60,KS60="Panamax",MN60,KS60="NeoPanamax",MG60,KS60="Suezmax",LZ60,KS60="Capesize",LS60,KS60="VLOC",LL60)))))</f>
        <v>#N/A</v>
      </c>
      <c r="OV60" s="136" t="e">
        <f t="array" aca="1" ref="OV60" ca="1">INDEX(Canals!$U$24:$U$29,MATCH(2,1/((Canals!$F$24:$F$29&lt;=$C60)*(Canals!$G$24:$G$29=_xlfn.IFS(KS60="Handysize",Main!NB60,KS60="Supramax",MU60,KS60="Panamax",MN60,KS60="NeoPanamax",MG60,KS60="Suezmax",LZ60,KS60="Capesize",LS60,KS60="VLOC",LL60)))))</f>
        <v>#N/A</v>
      </c>
      <c r="OW60" s="136" t="e">
        <f t="array" aca="1" ref="OW60" ca="1">INDEX(Canals!$V$24:$V$29,MATCH(2,1/((Canals!$F$24:$F$29&lt;=$C60)*(Canals!$G$24:$G$29=_xlfn.IFS(KS60="Handysize",Main!NB60,KS60="Supramax",MU60,KS60="Panamax",MN60,KS60="NeoPanamax",MG60,KS60="Suezmax",LZ60,KS60="Capesize",LS60,KS60="VLOC",LL60)))))</f>
        <v>#N/A</v>
      </c>
      <c r="OX60" s="136" t="e">
        <f t="array" aca="1" ref="OX60" ca="1">INDEX(Canals!$W$24:$W$29,MATCH(2,1/((Canals!$F$24:$F$29&lt;=$C60)*(Canals!$G$24:$G$29=_xlfn.IFS(KS60="Handysize",Main!NB60,KS60="Supramax",MU60,KS60="Panamax",MN60,KS60="NeoPanamax",MG60,KS60="Suezmax",LZ60,KS60="Capesize",LS60,KS60="VLOC",LL60)))))</f>
        <v>#N/A</v>
      </c>
      <c r="OY60" s="136" t="e">
        <f t="array" aca="1" ref="OY60" ca="1">INDEX(Canals!$X$24:$X$29,MATCH(2,1/((Canals!$F$24:$F$29&lt;=$C60)*(Canals!$G$24:$G$29=_xlfn.IFS(KS60="Handysize",Main!NB60,KS60="Supramax",MU60,KS60="Panamax",MN60,KS60="NeoPanamax",MG60,KS60="Suezmax",LZ60,KS60="Capesize",LS60,KS60="VLOC",LL60)))))</f>
        <v>#N/A</v>
      </c>
      <c r="OZ60" s="136" t="e">
        <f t="array" aca="1" ref="OZ60" ca="1">INDEX(Canals!$Y$24:$Y$29,MATCH(2,1/((Canals!$F$24:$F$29&lt;=$C60)*(Canals!$G$24:$G$29=_xlfn.IFS(KS60="Handysize",Main!NB60,KS60="Supramax",MU60,KS60="Panamax",MN60,KS60="NeoPanamax",MG60,KS60="Suezmax",LZ60,KS60="Capesize",LS60,KS60="VLOC",LL60)))))</f>
        <v>#N/A</v>
      </c>
      <c r="PA60" s="136" t="e">
        <f t="array" aca="1" ref="PA60" ca="1">INDEX(Canals!$Z$24:$Z$29,MATCH(2,1/((Canals!$F$24:$F$29&lt;=$C60)*(Canals!$G$24:$G$29=_xlfn.IFS(KS60="Handysize",Main!NB60,KS60="Supramax",MU60,KS60="Panamax",MN60,KS60="NeoPanamax",MG60,KS60="Suezmax",LZ60,KS60="Capesize",LS60,KS60="VLOC",LL60)))))</f>
        <v>#N/A</v>
      </c>
      <c r="PB60" s="136" t="e">
        <f t="array" aca="1" ref="PB60" ca="1">INDEX(Canals!$AA$24:$AA$29,MATCH(2,1/((Canals!$F$24:$F$29&lt;=$C60)*(Canals!$G$24:$G$29=_xlfn.IFS(KS60="Handysize",Main!NB60,KS60="Supramax",MU60,KS60="Panamax",MN60,KS60="NeoPanamax",MG60,KS60="Suezmax",LZ60,KS60="Capesize",LS60,KS60="VLOC",LL60)))))</f>
        <v>#N/A</v>
      </c>
      <c r="PC60" s="136" t="e">
        <f t="array" aca="1" ref="PC60" ca="1">INDEX(Canals!$AB$24:$AB$29,MATCH(2,1/((Canals!$F$24:$F$29&lt;=$C60)*(Canals!$G$24:$G$29=_xlfn.IFS(KS60="Handysize",Main!NB60,KS60="Supramax",MU60,KS60="Panamax",MN60,KS60="NeoPanamax",MG60,KS60="Suezmax",LZ60,KS60="Capesize",LS60,KS60="VLOC",LL60)))))</f>
        <v>#N/A</v>
      </c>
      <c r="PD60" s="75" t="e">
        <f t="array" aca="1" ref="PD60" ca="1">INDEX(Canals!$AC$24:$AC$29,MATCH(2,1/((Canals!$F$24:$F$29&lt;=$C60)*(Canals!$G$24:$G$29=_xlfn.IFS(KS60="Handysize",Main!NB60,KS60="Supramax",MU60,KS60="Panamax",MN60,KS60="NeoPanamax",MG60,KS60="Suezmax",LZ60,KS60="Capesize",LS60,KS60="VLOC",LL60)))))</f>
        <v>#N/A</v>
      </c>
      <c r="PE60" s="75" t="e">
        <f t="array" aca="1" ref="PE60" ca="1">INDEX(Canals!$AD$24:$AD$29,MATCH(2,1/((Canals!$F$24:$F$29&lt;=$C60)*(Canals!$G$24:$G$29=_xlfn.IFS(KS60="Handysize",Main!NB60,KS60="Supramax",MU60,KS60="Panamax",MN60,KS60="NeoPanamax",MG60,KS60="Suezmax",LZ60,KS60="Capesize",LS60,KS60="VLOC",LL60)))))</f>
        <v>#N/A</v>
      </c>
      <c r="PF60" s="75" t="e">
        <f t="array" aca="1" ref="PF60" ca="1">INDEX(Canals!$AE$24:$AE$29,MATCH(2,1/((Canals!$F$24:$F$29&lt;=$C60)*(Canals!$G$24:$G$29=_xlfn.IFS(KS60="Handysize",Main!NB60,KS60="Supramax",MU60,KS60="Panamax",MN60,KS60="NeoPanamax",MG60,KS60="Suezmax",LZ60,KS60="Capesize",LS60,KS60="VLOC",LL60)))))</f>
        <v>#N/A</v>
      </c>
      <c r="PG60" s="75" t="e">
        <f t="array" aca="1" ref="PG60" ca="1">INDEX(Canals!$AF$24:$AF$29,MATCH(2,1/((Canals!$F$24:$F$29&lt;=$C60)*(Canals!$G$24:$G$29=_xlfn.IFS(KS60="Handysize",Main!NB60,KS60="Supramax",MU60,KS60="Panamax",MN60,KS60="NeoPanamax",MG60,KS60="Suezmax",LZ60,KS60="Capesize",LS60,KS60="VLOC",LL60)))))</f>
        <v>#N/A</v>
      </c>
      <c r="PH60" s="75" t="e">
        <f t="array" aca="1" ref="PH60" ca="1">INDEX(Canals!$AG$24:$AG$29,MATCH(2,1/((Canals!$F$24:$F$29&lt;=$C60)*(Canals!$G$24:$G$29=_xlfn.IFS(KS60="Handysize",Main!NB60,KS60="Supramax",MU60,KS60="Panamax",MN60,KS60="NeoPanamax",MG60,KS60="Suezmax",LZ60,KS60="Capesize",LS60,KS60="VLOC",LL60)))))</f>
        <v>#N/A</v>
      </c>
      <c r="PI60" s="75" t="e">
        <f t="array" aca="1" ref="PI60" ca="1">INDEX(Canals!$AH$24:$AH$29,MATCH(2,1/((Canals!$F$24:$F$29&lt;=$C60)*(Canals!$G$24:$G$29=_xlfn.IFS(KS60="Handysize",Main!NB60,KS60="Supramax",MU60,KS60="Panamax",MN60,KS60="NeoPanamax",MG60,KS60="Suezmax",LZ60,KS60="Capesize",LS60,KS60="VLOC",LL60)))))</f>
        <v>#N/A</v>
      </c>
      <c r="PJ60" s="75" t="e">
        <f t="array" aca="1" ref="PJ60" ca="1">INDEX(Canals!$AI$24:$AI$29,MATCH(2,1/((Canals!$F$24:$F$29&lt;=$C60)*(Canals!$G$24:$G$29=_xlfn.IFS(KS60="Handysize",Main!NB60,KS60="Supramax",MU60,KS60="Panamax",MN60,KS60="NeoPanamax",MG60,KS60="Suezmax",LZ60,KS60="Capesize",LS60,KS60="VLOC",LL60)))))</f>
        <v>#N/A</v>
      </c>
      <c r="PK60" s="75" t="e">
        <f t="array" aca="1" ref="PK60" ca="1">INDEX(Canals!$AJ$24:$AJ$29,MATCH(2,1/((Canals!$F$24:$F$29&lt;=$C60)*(Canals!$G$24:$G$29=_xlfn.IFS(KS60="Handysize",Main!NB60,KS60="Supramax",MU60,KS60="Panamax",MN60,KS60="NeoPanamax",MG60,KS60="Suezmax",LZ60,KS60="Capesize",LS60,KS60="VLOC",LL60)))))</f>
        <v>#N/A</v>
      </c>
      <c r="PL60" s="75" t="e">
        <f t="array" aca="1" ref="PL60" ca="1">INDEX(Canals!$AK$24:$AK$29,MATCH(2,1/((Canals!$F$24:$F$29&lt;=$C60)*(Canals!$G$24:$G$29=_xlfn.IFS(KS60="Handysize",Main!NB60,KS60="Supramax",MU60,KS60="Panamax",MN60,KS60="NeoPanamax",MG60,KS60="Suezmax",LZ60,KS60="Capesize",LS60,KS60="VLOC",LL60)))))</f>
        <v>#N/A</v>
      </c>
      <c r="PM60" s="136" t="e">
        <f t="array" aca="1" ref="PM60" ca="1">INDEX(Canals!$AL$24:$AL$29,MATCH(2,1/((Canals!$F$24:$F$29&lt;=$C60)*(Canals!$G$24:$G$29=_xlfn.IFS(KS60="Handysize",Main!NB60,KS60="Supramax",MU60,KS60="Panamax",MN60,KS60="NeoPanamax",MG60,KS60="Suezmax",LZ60,KS60="Capesize",LS60,KS60="VLOC",LL60)))))</f>
        <v>#N/A</v>
      </c>
      <c r="PN60" s="136" t="e">
        <f t="array" aca="1" ref="PN60" ca="1">INDEX(Canals!$AM$24:$AM$29,MATCH(2,1/((Canals!$F$24:$F$29&lt;=$C60)*(Canals!$G$24:$G$29=_xlfn.IFS(KS60="Handysize",Main!NB60,KS60="Supramax",MU60,KS60="Panamax",MN60,KS60="NeoPanamax",MG60,KS60="Suezmax",LZ60,KS60="Capesize",LS60,KS60="VLOC",LL60)))))</f>
        <v>#N/A</v>
      </c>
      <c r="PO60" s="136" t="e">
        <f t="array" aca="1" ref="PO60" ca="1">INDEX(Canals!$AN$24:$AN$29,MATCH(2,1/((Canals!$F$24:$F$29&lt;=$C60)*(Canals!$G$24:$G$29=_xlfn.IFS(KS60="Handysize",Main!NB60,KS60="Supramax",MU60,KS60="Panamax",MN60,KS60="NeoPanamax",MG60,KS60="Suezmax",LZ60,KS60="Capesize",LS60,KS60="VLOC",LL60)))))</f>
        <v>#N/A</v>
      </c>
      <c r="PP60" s="136" t="e">
        <f t="array" aca="1" ref="PP60" ca="1">INDEX(Canals!$AO$24:$AO$29,MATCH(2,1/((Canals!$F$24:$F$29&lt;=$C60)*(Canals!$G$24:$G$29=_xlfn.IFS(KS60="Handysize",Main!NB60,KS60="Supramax",MU60,KS60="Panamax",MN60,KS60="NeoPanamax",MG60,KS60="Suezmax",LZ60,KS60="Capesize",LS60,KS60="VLOC",LL60)))))</f>
        <v>#N/A</v>
      </c>
      <c r="PQ60" s="136" t="e">
        <f t="array" aca="1" ref="PQ60" ca="1">INDEX(Canals!$AP$24:$AP$29,MATCH(2,1/((Canals!$F$24:$F$29&lt;=$C60)*(Canals!$G$24:$G$29=_xlfn.IFS(KS60="Handysize",Main!NB60,KS60="Supramax",MU60,KS60="Panamax",MN60,KS60="NeoPanamax",MG60,KS60="Suezmax",LZ60,KS60="Capesize",LS60,KS60="VLOC",LL60)))))</f>
        <v>#N/A</v>
      </c>
      <c r="PR60" s="136" t="e">
        <f t="array" aca="1" ref="PR60" ca="1">INDEX(Canals!$AQ$24:$AQ$29,MATCH(2,1/((Canals!$F$24:$F$29&lt;=$C60)*(Canals!$G$24:$G$29=_xlfn.IFS(KS60="Handysize",Main!NB60,KS60="Supramax",MU60,KS60="Panamax",MN60,KS60="NeoPanamax",MG60,KS60="Suezmax",LZ60,KS60="Capesize",LS60,KS60="VLOC",LL60)))))</f>
        <v>#N/A</v>
      </c>
      <c r="PS60" s="136" t="e">
        <f t="array" aca="1" ref="PS60" ca="1">INDEX(Canals!$AR$24:$AR$29,MATCH(2,1/((Canals!$F$24:$F$29&lt;=$C60)*(Canals!$G$24:$G$29=_xlfn.IFS(KS60="Handysize",Main!NB60,KS60="Supramax",MU60,KS60="Panamax",MN60,KS60="NeoPanamax",MG60,KS60="Suezmax",LZ60,KS60="Capesize",LS60,KS60="VLOC",LL60)))))</f>
        <v>#N/A</v>
      </c>
      <c r="PT60" s="136" t="e">
        <f t="array" aca="1" ref="PT60" ca="1">INDEX(Canals!$AS$24:$AS$29,MATCH(2,1/((Canals!$F$24:$F$29&lt;=$C60)*(Canals!$G$24:$G$29=_xlfn.IFS(KS60="Handysize",Main!NB60,KS60="Supramax",MU60,KS60="Panamax",MN60,KS60="NeoPanamax",MG60,KS60="Suezmax",LZ60,KS60="Capesize",LS60,KS60="VLOC",LL60)))))</f>
        <v>#N/A</v>
      </c>
      <c r="PU60" s="136" t="e">
        <f t="array" aca="1" ref="PU60" ca="1">INDEX(Canals!$AT$24:$AT$29,MATCH(2,1/((Canals!$F$24:$F$29&lt;=$C60)*(Canals!$G$24:$G$29=_xlfn.IFS(KS60="Handysize",Main!NB60,KS60="Supramax",MU60,KS60="Panamax",MN60,KS60="NeoPanamax",MG60,KS60="Suezmax",LZ60,KS60="Capesize",LS60,KS60="VLOC",LL60)))))</f>
        <v>#N/A</v>
      </c>
      <c r="PV60" s="136" t="e">
        <f t="array" aca="1" ref="PV60" ca="1">INDEX(Canals!$AU$24:$AU$29,MATCH(2,1/((Canals!$F$24:$F$29&lt;=$C60)*(Canals!$G$24:$G$29=_xlfn.IFS(KS60="Handysize",Main!NB60,KS60="Supramax",MU60,KS60="Panamax",MN60,KS60="NeoPanamax",MG60,KS60="Suezmax",LZ60,KS60="Capesize",LS60,KS60="VLOC",LL60)))))</f>
        <v>#N/A</v>
      </c>
      <c r="PW60" s="136" t="e">
        <f t="array" aca="1" ref="PW60" ca="1">INDEX(Canals!$AV$24:$AV$29,MATCH(2,1/((Canals!$F$24:$F$29&lt;=$C60)*(Canals!$G$24:$G$29=_xlfn.IFS(KS60="Handysize",Main!NB60,KS60="Supramax",MU60,KS60="Panamax",MN60,KS60="NeoPanamax",MG60,KS60="Suezmax",LZ60,KS60="Capesize",LS60,KS60="VLOC",LL60)))))</f>
        <v>#N/A</v>
      </c>
      <c r="PY60" s="75" t="e">
        <f t="array" aca="1" ref="PY60" ca="1">_xlfn.IFS(OJ60="DWT",KQ60,OJ60="NRT",KU60,OJ60="GRT",KV60)</f>
        <v>#NAME?</v>
      </c>
      <c r="PZ60" s="279" t="e">
        <f t="shared" ca="1" si="422"/>
        <v>#NAME?</v>
      </c>
      <c r="QA60" s="280" t="e">
        <f t="shared" ca="1" si="423"/>
        <v>#NAME?</v>
      </c>
      <c r="QB60" s="280" t="e">
        <f t="shared" ca="1" si="424"/>
        <v>#NAME?</v>
      </c>
      <c r="QC60" s="280" t="e">
        <f t="shared" ca="1" si="425"/>
        <v>#NAME?</v>
      </c>
      <c r="QD60" s="280" t="e">
        <f t="shared" ca="1" si="426"/>
        <v>#NAME?</v>
      </c>
      <c r="QE60" s="280" t="e">
        <f t="shared" ca="1" si="427"/>
        <v>#NAME?</v>
      </c>
      <c r="QF60" s="280" t="e">
        <f t="shared" ca="1" si="428"/>
        <v>#NAME?</v>
      </c>
      <c r="QG60" s="280" t="e">
        <f t="shared" ca="1" si="429"/>
        <v>#NAME?</v>
      </c>
      <c r="QH60" s="280" t="e">
        <f t="shared" ca="1" si="430"/>
        <v>#NAME?</v>
      </c>
      <c r="QI60" s="75">
        <f t="shared" si="431"/>
        <v>162365.59139784946</v>
      </c>
      <c r="QJ60" s="279" t="e">
        <f t="shared" ca="1" si="432"/>
        <v>#N/A</v>
      </c>
      <c r="QK60" s="280" t="e">
        <f t="shared" ca="1" si="433"/>
        <v>#N/A</v>
      </c>
      <c r="QL60" s="280" t="e">
        <f t="shared" ca="1" si="434"/>
        <v>#N/A</v>
      </c>
      <c r="QM60" s="280" t="e">
        <f t="shared" ca="1" si="435"/>
        <v>#N/A</v>
      </c>
      <c r="QN60" s="280" t="e">
        <f t="shared" ca="1" si="436"/>
        <v>#N/A</v>
      </c>
      <c r="QO60" s="280" t="e">
        <f t="shared" ca="1" si="437"/>
        <v>#N/A</v>
      </c>
      <c r="QP60" s="280" t="e">
        <f t="shared" ca="1" si="438"/>
        <v>#N/A</v>
      </c>
      <c r="QQ60" s="280" t="e">
        <f t="shared" ca="1" si="439"/>
        <v>#N/A</v>
      </c>
      <c r="QR60" s="280" t="e">
        <f t="shared" ca="1" si="440"/>
        <v>#N/A</v>
      </c>
      <c r="QT60" s="75" t="e">
        <f t="array" aca="1" ref="QT60" ca="1">_xlfn.IFS(KS60="Handysize",Main!MV60,KS60="Supramax",MO60,KS60="Panamax",MH60,KS60="NeoPanamax",MA60,KS60="Suezmax",LT60,KS60="Capesize",LM60,KS60="VLOC",LF60)*$JI60</f>
        <v>#NAME?</v>
      </c>
      <c r="QU60" s="274" t="e">
        <f t="array" aca="1" ref="QU60" ca="1">_xlfn.IFS(KS60="Handysize",Main!MW60,KS60="Supramax",MP60,KS60="Panamax",MI60,KS60="NeoPanamax",MB60,KS60="Suezmax",LU60,KS60="Capesize",LN60,KS60="VLOC",LG60)*$JI60</f>
        <v>#NAME?</v>
      </c>
      <c r="QV60" s="71" t="e">
        <f t="array" aca="1" ref="QV60" ca="1">_xlfn.IFS(KS60="Handysize",Main!KX60,KS60="Supramax",KY60,KS60="Panamax",KZ60,KS60="NeoPanamax",LA60,KS60="Suezmax",LB60,KS60="Capesize",LC60,KS60="VLOC",LD60)</f>
        <v>#NAME?</v>
      </c>
      <c r="QW60" s="71" t="e">
        <f t="array" aca="1" ref="QW60" ca="1">_xlfn.IFS(KS60="Handysize",Main!NJ60,KS60="Supramax",NK60,KS60="Panamax",NL60,KS60="NeoPanamax",NM60,KS60="Suezmax",NN60,KS60="Capesize",NO60,KS60="VLOC",NP60)</f>
        <v>#NAME?</v>
      </c>
      <c r="QX60" s="70">
        <f t="array" ref="QX60">INDEX('Ship Speeds'!$G$11:$G$1011,MATCH(2,1/(('Ship Speeds'!$E$11:$E$1011&lt;=Main!$C60)*('Ship Speeds'!$F$11:$F$1011=Main!KR60))))</f>
        <v>11</v>
      </c>
      <c r="QY60" s="403">
        <f t="shared" si="441"/>
        <v>34.194210588857487</v>
      </c>
      <c r="QZ60" s="401">
        <f t="shared" si="442"/>
        <v>2.9785277088502893</v>
      </c>
      <c r="RA60" s="70" t="e">
        <f t="shared" ca="1" si="651"/>
        <v>#NAME?</v>
      </c>
      <c r="RB60" s="70" t="e">
        <f t="shared" ca="1" si="443"/>
        <v>#NAME?</v>
      </c>
      <c r="RC60" s="70" t="e">
        <f t="shared" ca="1" si="444"/>
        <v>#NAME?</v>
      </c>
      <c r="RD60" s="70" t="e">
        <f t="shared" ca="1" si="445"/>
        <v>#NAME?</v>
      </c>
      <c r="RE60" s="72" t="e">
        <f t="shared" ca="1" si="652"/>
        <v>#N/A</v>
      </c>
      <c r="RF60" s="70" t="e">
        <f t="shared" ca="1" si="446"/>
        <v>#NAME?</v>
      </c>
      <c r="RG60" s="70" t="e">
        <f t="array" aca="1" ref="RG60" ca="1">INDEX(ND60:NH60,MATCH(_xlfn.IFS(KS60="Handysize",Main!MZ60,KS60="Supramax",MS60,KS60="Panamax",ML60,KS60="NeoPanamax",ME60,KS60="Suezmax",LX60,KS60="Capesize",LQ60,KS60="VLOC",LJ60),$ND$7:$NH$7,0))</f>
        <v>#NAME?</v>
      </c>
      <c r="RH60" s="70" t="e">
        <f t="array" aca="1" ref="RH60" ca="1">INDEX(ND60:NH60,MATCH(_xlfn.IFS(KS60="Handysize",Main!NA60,KS60="Supramax",MT60,KS60="Panamax",MM60,KS60="NeoPanamax",MF60,KS60="Suezmax",LY60,KS60="Capesize",LR60,KS60="VLOC",LK60),$ND$7:$NH$7,0))</f>
        <v>#NAME?</v>
      </c>
      <c r="RI60" s="71" t="e">
        <f t="shared" ca="1" si="447"/>
        <v>#NAME?</v>
      </c>
      <c r="RJ60" s="71" t="e">
        <f t="shared" ca="1" si="448"/>
        <v>#NAME?</v>
      </c>
      <c r="RK60" s="281">
        <f t="shared" si="653"/>
        <v>7.0834199999999994</v>
      </c>
      <c r="RL60" s="71">
        <f t="shared" si="654"/>
        <v>1742.3786814843679</v>
      </c>
      <c r="RM60" s="71" t="e">
        <f t="shared" ca="1" si="655"/>
        <v>#NAME?</v>
      </c>
      <c r="RN60" s="71" t="e">
        <f t="shared" ca="1" si="656"/>
        <v>#NAME?</v>
      </c>
      <c r="RO60" s="71">
        <f t="shared" si="657"/>
        <v>60513.870600687609</v>
      </c>
      <c r="RP60" s="71" t="e">
        <f t="shared" ca="1" si="658"/>
        <v>#NAME?</v>
      </c>
      <c r="RQ60" s="71" t="e">
        <f t="shared" ca="1" si="659"/>
        <v>#NAME?</v>
      </c>
      <c r="RR60" s="71">
        <f t="shared" si="660"/>
        <v>42961.603793099363</v>
      </c>
      <c r="RS60" s="71" t="e">
        <f t="shared" ca="1" si="661"/>
        <v>#NAME?</v>
      </c>
      <c r="RT60" s="71" t="e">
        <f t="shared" ca="1" si="662"/>
        <v>#NAME?</v>
      </c>
      <c r="RU60" s="71">
        <f t="shared" si="663"/>
        <v>0</v>
      </c>
      <c r="RV60" s="71" t="e">
        <f t="shared" ca="1" si="664"/>
        <v>#NAME?</v>
      </c>
      <c r="RW60" s="71" t="e">
        <f t="shared" ca="1" si="665"/>
        <v>#NAME?</v>
      </c>
      <c r="RX60" s="72">
        <f t="shared" si="666"/>
        <v>8100.6239307107917</v>
      </c>
      <c r="RY60" s="72" t="e">
        <f t="shared" ca="1" si="667"/>
        <v>#NAME?</v>
      </c>
      <c r="RZ60" s="71" t="e">
        <f t="shared" ca="1" si="668"/>
        <v>#NAME?</v>
      </c>
      <c r="SA60" s="71" t="e">
        <f t="array" aca="1" ref="SA60" ca="1">INDEX('Ship Time Charter Rates'!$H$22:$H$1021,MATCH(2,1/(('Ship Time Charter Rates'!$G$22:$G$1021=_xlfn.IFS(KS60="Handysize",Main!MX60,KS60="Supramax",MQ60,KS60="Panamax",MJ60,KS60="NeoPanamax",MC60,KS60="Suezmax",LV60,KS60="Capesize",LO60,KS60="VLOC",LH60))*('Ship Time Charter Rates'!$E$22:$E$1021&lt;=Main!$C60)*(NOT(ISBLANK('Ship Time Charter Rates'!$H$22:$H$1021))))))</f>
        <v>#N/A</v>
      </c>
      <c r="SB60" s="71" t="e">
        <f t="shared" ca="1" si="449"/>
        <v>#NAME?</v>
      </c>
      <c r="SC60" s="70" t="e">
        <f t="shared" ca="1" si="669"/>
        <v>#N/A</v>
      </c>
      <c r="SD60" s="71" t="e">
        <f t="shared" ca="1" si="670"/>
        <v>#NAME?</v>
      </c>
      <c r="SE60" s="71" t="e">
        <f t="shared" ca="1" si="450"/>
        <v>#NAME?</v>
      </c>
      <c r="SF60" s="72" t="e">
        <f t="shared" ca="1" si="451"/>
        <v>#NAME?</v>
      </c>
      <c r="SH60" s="25">
        <f t="shared" si="671"/>
        <v>0</v>
      </c>
      <c r="SI60" s="4" t="str">
        <f>VLOOKUP(SH60,'Ship Time Charter Rates'!$F$10:$G$17,2,TRUE)</f>
        <v>Handysize</v>
      </c>
      <c r="SJ60" s="4" t="str">
        <f>VLOOKUP(SH60,Canals!$E$5:$F$12,2,TRUE)</f>
        <v>Handysize</v>
      </c>
      <c r="SK60" s="25">
        <f t="shared" si="452"/>
        <v>145.88999999999999</v>
      </c>
      <c r="SL60" s="25">
        <f t="shared" si="453"/>
        <v>0</v>
      </c>
      <c r="SM60" s="25">
        <f t="shared" si="454"/>
        <v>4797</v>
      </c>
      <c r="SO60" s="75">
        <f t="array" ref="SO60">INDEX('Indices Mines Exporting Ports'!$R$20:$R$51,MATCH(2,1/(('Indices Mines Exporting Ports'!$D$20:$D$51&lt;=Main!$C60)*('Indices Mines Exporting Ports'!$Q$20:$Q$51=$AQ60))))</f>
        <v>0</v>
      </c>
      <c r="SP60" s="75">
        <f t="array" ref="SP60">INDEX('Indices Mines Exporting Ports'!$S$20:$S$51,MATCH(2,1/(('Indices Mines Exporting Ports'!$D$20:$D$51&lt;=Main!$C60)*('Indices Mines Exporting Ports'!$Q$20:$Q$51=$AQ60))))</f>
        <v>0</v>
      </c>
      <c r="SQ60" s="75">
        <f t="array" ref="SQ60">INDEX('Indices Mines Exporting Ports'!$T$20:$T$51,MATCH(2,1/(('Indices Mines Exporting Ports'!$D$20:$D$51&lt;=Main!$C60)*('Indices Mines Exporting Ports'!$Q$20:$Q$51=$AQ60))))</f>
        <v>0</v>
      </c>
      <c r="SR60" s="75">
        <f t="array" ref="SR60">INDEX('Indices Mines Exporting Ports'!$U$20:$U$51,MATCH(2,1/(('Indices Mines Exporting Ports'!$D$20:$D$51&lt;=Main!$C60)*('Indices Mines Exporting Ports'!$Q$20:$Q$51=$AQ60))))</f>
        <v>0</v>
      </c>
      <c r="SS60" s="75">
        <f t="array" ref="SS60">INDEX('Indices Mines Exporting Ports'!$V$20:$V$51,MATCH(2,1/(('Indices Mines Exporting Ports'!$D$20:$D$51&lt;=Main!$C60)*('Indices Mines Exporting Ports'!$Q$20:$Q$51=$AQ60))))</f>
        <v>0</v>
      </c>
      <c r="ST60" s="75">
        <f t="array" ref="ST60">INDEX('Indices Mines Exporting Ports'!$W$20:$W$51,MATCH(2,1/(('Indices Mines Exporting Ports'!$D$20:$D$51&lt;=Main!$C60)*('Indices Mines Exporting Ports'!$Q$20:$Q$51=$AQ60))))</f>
        <v>0</v>
      </c>
      <c r="SU60" s="75">
        <f t="array" ref="SU60">INDEX('Indices Mines Exporting Ports'!$X$20:$X$51,MATCH(2,1/(('Indices Mines Exporting Ports'!$D$20:$D$51&lt;=Main!$C60)*('Indices Mines Exporting Ports'!$Q$20:$Q$51=$AQ60))))</f>
        <v>0</v>
      </c>
      <c r="SW60" s="75">
        <f t="array" ref="SW60">INDEX('Port Linkages'!$E$18:$E$157,MATCH(2,1/(('Port Linkages'!$C$18:$C$157=$AQ60)*('Port Linkages'!$D$18:$D$157=IF($AO60="no",$AQ60,$AS60))*('Port Linkages'!$A$18:$A$157&lt;=$C60))))</f>
        <v>0</v>
      </c>
      <c r="SX60" s="75">
        <f t="array" ref="SX60">INDEX('Port Linkages'!$F$18:$F$157,MATCH(2,1/(('Port Linkages'!$C$18:$C$157=$AQ60)*('Port Linkages'!$D$18:$D$157=IF($AO60="no",$AQ60,$AS60))*('Port Linkages'!$A$18:$A$157&lt;=$C60))))</f>
        <v>0</v>
      </c>
      <c r="SY60" s="75">
        <f t="array" ref="SY60">INDEX('Port Linkages'!$G$18:$G$157,MATCH(2,1/(('Port Linkages'!$C$18:$C$157=$AQ60)*('Port Linkages'!$D$18:$D$157=IF($AO60="no",$AQ60,$AS60))*('Port Linkages'!$A$18:$A$157&lt;=$C60))))</f>
        <v>0</v>
      </c>
      <c r="SZ60" s="75">
        <f t="array" ref="SZ60">INDEX('Port Linkages'!$H$18:$H$157,MATCH(2,1/(('Port Linkages'!$C$18:$C$157=$AQ60)*('Port Linkages'!$D$18:$D$157=IF($AO60="no",$AQ60,$AS60))*('Port Linkages'!$A$18:$A$157&lt;=$C60))))</f>
        <v>0</v>
      </c>
      <c r="TA60" s="75">
        <f t="array" ref="TA60">INDEX('Port Linkages'!$I$18:$I$157,MATCH(2,1/(('Port Linkages'!$C$18:$C$157=$AQ60)*('Port Linkages'!$D$18:$D$157=IF($AO60="no",$AQ60,$AS60))*('Port Linkages'!$A$18:$A$157&lt;=$C60))))</f>
        <v>0</v>
      </c>
      <c r="TB60" s="75">
        <f t="array" ref="TB60">INDEX('Port Linkages'!$J$18:$J$157,MATCH(2,1/(('Port Linkages'!$C$18:$C$157=$AQ60)*('Port Linkages'!$D$18:$D$157=IF($AO60="no",$AQ60,$AS60))*('Port Linkages'!$A$18:$A$157&lt;=$C60))))</f>
        <v>0</v>
      </c>
      <c r="TC60" s="75">
        <f t="array" ref="TC60">INDEX('Port Linkages'!$K$18:$K$157,MATCH(2,1/(('Port Linkages'!$C$18:$C$157=$AQ60)*('Port Linkages'!$D$18:$D$157=IF($AO60="no",$AQ60,$AS60))*('Port Linkages'!$A$18:$A$157&lt;=$C60))))</f>
        <v>0</v>
      </c>
      <c r="TD60" s="75">
        <f t="array" ref="TD60">INDEX('Port Linkages'!$L$18:$L$157,MATCH(2,1/(('Port Linkages'!$C$18:$C$157=$AQ60)*('Port Linkages'!$D$18:$D$157=IF($AO60="no",$AQ60,$AS60))*('Port Linkages'!$A$18:$A$157&lt;=$C60))))</f>
        <v>0</v>
      </c>
      <c r="TE60" s="75">
        <f t="array" ref="TE60">INDEX('Port Linkages'!$M$18:$M$157,MATCH(2,1/(('Port Linkages'!$C$18:$C$157=$AQ60)*('Port Linkages'!$D$18:$D$157=IF($AO60="no",$AQ60,$AS60))*('Port Linkages'!$A$18:$A$157&lt;=$C60))))</f>
        <v>0</v>
      </c>
      <c r="TF60" s="75">
        <f t="array" ref="TF60">INDEX('Port Linkages'!$N$18:$N$157,MATCH(2,1/(('Port Linkages'!$C$18:$C$157=$AQ60)*('Port Linkages'!$D$18:$D$157=IF($AO60="no",$AQ60,$AS60))*('Port Linkages'!$A$18:$A$157&lt;=$C60))))</f>
        <v>0</v>
      </c>
      <c r="TG60" s="75">
        <f t="array" ref="TG60">INDEX('Port Linkages'!$O$18:$O$157,MATCH(2,1/(('Port Linkages'!$C$18:$C$157=$AQ60)*('Port Linkages'!$D$18:$D$157=IF($AO60="no",$AQ60,$AS60))*('Port Linkages'!$A$18:$A$157&lt;=$C60))))</f>
        <v>0</v>
      </c>
      <c r="TH60" s="75">
        <f t="array" ref="TH60">INDEX('Port Linkages'!$P$18:$P$157,MATCH(2,1/(('Port Linkages'!$C$18:$C$157=$AQ60)*('Port Linkages'!$D$18:$D$157=IF($AO60="no",$AQ60,$AS60))*('Port Linkages'!$A$18:$A$157&lt;=$C60))))</f>
        <v>0</v>
      </c>
      <c r="TI60" s="75">
        <f t="array" ref="TI60">INDEX('Port Linkages'!$Q$18:$Q$157,MATCH(2,1/(('Port Linkages'!$C$18:$C$157=$AQ60)*('Port Linkages'!$D$18:$D$157=IF($AO60="no",$AQ60,$AS60))*('Port Linkages'!$A$18:$A$157&lt;=$C60))))</f>
        <v>0</v>
      </c>
      <c r="TJ60" s="75">
        <f t="array" ref="TJ60">INDEX('Port Linkages'!$R$18:$R$157,MATCH(2,1/(('Port Linkages'!$C$18:$C$157=$AQ60)*('Port Linkages'!$D$18:$D$157=IF($AO60="no",$AQ60,$AS60))*('Port Linkages'!$A$18:$A$157&lt;=$C60))))</f>
        <v>0</v>
      </c>
      <c r="TK60" s="75">
        <f t="array" ref="TK60">INDEX('Port Linkages'!$S$18:$S$157,MATCH(2,1/(('Port Linkages'!$C$18:$C$157=$AQ60)*('Port Linkages'!$D$18:$D$157=IF($AO60="no",$AQ60,$AS60))*('Port Linkages'!$A$18:$A$157&lt;=$C60))))</f>
        <v>0</v>
      </c>
      <c r="TL60" s="75">
        <f t="array" ref="TL60">INDEX('Port Linkages'!$T$18:$T$157,MATCH(2,1/(('Port Linkages'!$C$18:$C$157=$AQ60)*('Port Linkages'!$D$18:$D$157=IF($AO60="no",$AQ60,$AS60))*('Port Linkages'!$A$18:$A$157&lt;=$C60))))</f>
        <v>0</v>
      </c>
      <c r="TM60" s="75">
        <f t="array" ref="TM60">INDEX('Port Linkages'!$U$18:$U$157,MATCH(2,1/(('Port Linkages'!$C$18:$C$157=$AQ60)*('Port Linkages'!$D$18:$D$157=IF($AO60="no",$AQ60,$AS60))*('Port Linkages'!$A$18:$A$157&lt;=$C60))))</f>
        <v>0</v>
      </c>
      <c r="TN60" s="75">
        <f t="array" ref="TN60">INDEX('Port Linkages'!$V$18:$V$157,MATCH(2,1/(('Port Linkages'!$C$18:$C$157=$AQ60)*('Port Linkages'!$D$18:$D$157=IF($AO60="no",$AQ60,$AS60))*('Port Linkages'!$A$18:$A$157&lt;=$C60))))</f>
        <v>0</v>
      </c>
      <c r="TO60" s="75">
        <f t="array" ref="TO60">INDEX('Port Linkages'!$W$18:$W$157,MATCH(2,1/(('Port Linkages'!$C$18:$C$157=$AQ60)*('Port Linkages'!$D$18:$D$157=IF($AO60="no",$AQ60,$AS60))*('Port Linkages'!$A$18:$A$157&lt;=$C60))))</f>
        <v>0</v>
      </c>
      <c r="TP60" s="75">
        <f t="array" ref="TP60">INDEX('Port Linkages'!$X$18:$X$157,MATCH(2,1/(('Port Linkages'!$C$18:$C$157=$AQ60)*('Port Linkages'!$D$18:$D$157=IF($AO60="no",$AQ60,$AS60))*('Port Linkages'!$A$18:$A$157&lt;=$C60))))</f>
        <v>0</v>
      </c>
      <c r="TQ60" s="75">
        <f t="array" ref="TQ60">INDEX('Port Linkages'!$Y$18:$Y$157,MATCH(2,1/(('Port Linkages'!$C$18:$C$157=$AQ60)*('Port Linkages'!$D$18:$D$157=IF($AO60="no",$AQ60,$AS60))*('Port Linkages'!$A$18:$A$157&lt;=$C60))))</f>
        <v>0</v>
      </c>
      <c r="TR60" s="75">
        <f t="array" ref="TR60">INDEX('Port Linkages'!$Z$18:$Z$157,MATCH(2,1/(('Port Linkages'!$C$18:$C$157=$AQ60)*('Port Linkages'!$D$18:$D$157=IF($AO60="no",$AQ60,$AS60))*('Port Linkages'!$A$18:$A$157&lt;=$C60))))</f>
        <v>0</v>
      </c>
      <c r="TS60" s="75">
        <f t="array" ref="TS60">INDEX('Port Linkages'!$AA$18:$AA$157,MATCH(2,1/(('Port Linkages'!$C$18:$C$157=$AQ60)*('Port Linkages'!$D$18:$D$157=IF($AO60="no",$AQ60,$AS60))*('Port Linkages'!$A$18:$A$157&lt;=$C60))))</f>
        <v>0</v>
      </c>
      <c r="TT60" s="75">
        <f t="array" ref="TT60">INDEX('Port Linkages'!$AB$18:$AB$157,MATCH(2,1/(('Port Linkages'!$C$18:$C$157=$AQ60)*('Port Linkages'!$D$18:$D$157=IF($AO60="no",$AQ60,$AS60))*('Port Linkages'!$A$18:$A$157&lt;=$C60))))</f>
        <v>0</v>
      </c>
      <c r="TU60" s="75">
        <f t="array" ref="TU60">INDEX('Port Linkages'!$AC$18:$AC$157,MATCH(2,1/(('Port Linkages'!$C$18:$C$157=$AQ60)*('Port Linkages'!$D$18:$D$157=IF($AO60="no",$AQ60,$AS60))*('Port Linkages'!$A$18:$A$157&lt;=$C60))))</f>
        <v>0</v>
      </c>
      <c r="TV60" s="75">
        <f t="array" ref="TV60">INDEX('Port Linkages'!$AD$18:$AD$157,MATCH(2,1/(('Port Linkages'!$C$18:$C$157=$AQ60)*('Port Linkages'!$D$18:$D$157=IF($AO60="no",$AQ60,$AS60))*('Port Linkages'!$A$18:$A$157&lt;=$C60))))</f>
        <v>0</v>
      </c>
      <c r="TW60" s="75">
        <f t="array" ref="TW60">INDEX('Port Linkages'!$AE$18:$AE$157,MATCH(2,1/(('Port Linkages'!$C$18:$C$157=$AQ60)*('Port Linkages'!$D$18:$D$157=IF($AO60="no",$AQ60,$AS60))*('Port Linkages'!$A$18:$A$157&lt;=$C60))))</f>
        <v>0</v>
      </c>
      <c r="TX60" s="75">
        <f t="array" ref="TX60">INDEX('Port Linkages'!$AF$18:$AF$157,MATCH(2,1/(('Port Linkages'!$C$18:$C$157=$AQ60)*('Port Linkages'!$D$18:$D$157=IF($AO60="no",$AQ60,$AS60))*('Port Linkages'!$A$18:$A$157&lt;=$C60))))</f>
        <v>0</v>
      </c>
      <c r="TY60" s="75">
        <f t="array" ref="TY60">INDEX('Port Linkages'!$AG$18:$AG$157,MATCH(2,1/(('Port Linkages'!$C$18:$C$157=$AQ60)*('Port Linkages'!$D$18:$D$157=IF($AO60="no",$AQ60,$AS60))*('Port Linkages'!$A$18:$A$157&lt;=$C60))))</f>
        <v>0</v>
      </c>
      <c r="TZ60" s="75">
        <f t="array" ref="TZ60">INDEX('Port Linkages'!$AH$18:$AH$157,MATCH(2,1/(('Port Linkages'!$C$18:$C$157=$AQ60)*('Port Linkages'!$D$18:$D$157=IF($AO60="no",$AQ60,$AS60))*('Port Linkages'!$A$18:$A$157&lt;=$C60))))</f>
        <v>0</v>
      </c>
      <c r="UA60" s="75">
        <f t="array" ref="UA60">INDEX('Port Linkages'!$AI$18:$AI$157,MATCH(2,1/(('Port Linkages'!$C$18:$C$157=$AQ60)*('Port Linkages'!$D$18:$D$157=IF($AO60="no",$AQ60,$AS60))*('Port Linkages'!$A$18:$A$157&lt;=$C60))))</f>
        <v>0</v>
      </c>
      <c r="UB60" s="75">
        <f t="array" ref="UB60">INDEX('Port Linkages'!$AJ$18:$AJ$157,MATCH(2,1/(('Port Linkages'!$C$18:$C$157=$AQ60)*('Port Linkages'!$D$18:$D$157=IF($AO60="no",$AQ60,$AS60))*('Port Linkages'!$A$18:$A$157&lt;=$C60))))</f>
        <v>0</v>
      </c>
      <c r="UC60" s="75">
        <f t="array" ref="UC60">INDEX('Port Linkages'!$AK$18:$AK$157,MATCH(2,1/(('Port Linkages'!$C$18:$C$157=$AQ60)*('Port Linkages'!$D$18:$D$157=IF($AO60="no",$AQ60,$AS60))*('Port Linkages'!$A$18:$A$157&lt;=$C60))))</f>
        <v>0</v>
      </c>
      <c r="UD60" s="75">
        <f t="array" ref="UD60">INDEX('Port Linkages'!$AL$18:$AL$157,MATCH(2,1/(('Port Linkages'!$C$18:$C$157=$AQ60)*('Port Linkages'!$D$18:$D$157=IF($AO60="no",$AQ60,$AS60))*('Port Linkages'!$A$18:$A$157&lt;=$C60))))</f>
        <v>0</v>
      </c>
      <c r="UE60" s="75">
        <f t="array" ref="UE60">INDEX('Port Linkages'!$AM$18:$AM$157,MATCH(2,1/(('Port Linkages'!$C$18:$C$157=$AQ60)*('Port Linkages'!$D$18:$D$157=IF($AO60="no",$AQ60,$AS60))*('Port Linkages'!$A$18:$A$157&lt;=$C60))))</f>
        <v>0</v>
      </c>
      <c r="UF60" s="75">
        <f t="array" ref="UF60">INDEX('Port Linkages'!$AN$18:$AN$157,MATCH(2,1/(('Port Linkages'!$C$18:$C$157=$AQ60)*('Port Linkages'!$D$18:$D$157=IF($AO60="no",$AQ60,$AS60))*('Port Linkages'!$A$18:$A$157&lt;=$C60))))</f>
        <v>0</v>
      </c>
      <c r="UG60" s="75">
        <f t="array" ref="UG60">INDEX('Port Linkages'!$AO$18:$AO$157,MATCH(2,1/(('Port Linkages'!$C$18:$C$157=$AQ60)*('Port Linkages'!$D$18:$D$157=IF($AO60="no",$AQ60,$AS60))*('Port Linkages'!$A$18:$A$157&lt;=$C60))))</f>
        <v>0</v>
      </c>
      <c r="UH60" s="75">
        <f t="array" ref="UH60">INDEX('Port Linkages'!$AP$18:$AP$157,MATCH(2,1/(('Port Linkages'!$C$18:$C$157=$AQ60)*('Port Linkages'!$D$18:$D$157=IF($AO60="no",$AQ60,$AS60))*('Port Linkages'!$A$18:$A$157&lt;=$C60))))</f>
        <v>0</v>
      </c>
      <c r="UI60" s="75">
        <f t="array" ref="UI60">INDEX('Port Linkages'!$AQ$18:$AQ$157,MATCH(2,1/(('Port Linkages'!$C$18:$C$157=$AQ60)*('Port Linkages'!$D$18:$D$157=IF($AO60="no",$AQ60,$AS60))*('Port Linkages'!$A$18:$A$157&lt;=$C60))))</f>
        <v>0</v>
      </c>
      <c r="UJ60" s="75">
        <f t="array" ref="UJ60">INDEX('Port Linkages'!$AR$18:$AR$157,MATCH(2,1/(('Port Linkages'!$C$18:$C$157=$AQ60)*('Port Linkages'!$D$18:$D$157=IF($AO60="no",$AQ60,$AS60))*('Port Linkages'!$A$18:$A$157&lt;=$C60))))</f>
        <v>0</v>
      </c>
      <c r="UK60" s="75">
        <f t="array" ref="UK60">INDEX('Port Linkages'!$AS$18:$AS$157,MATCH(2,1/(('Port Linkages'!$C$18:$C$157=$AQ60)*('Port Linkages'!$D$18:$D$157=IF($AO60="no",$AQ60,$AS60))*('Port Linkages'!$A$18:$A$157&lt;=$C60))))</f>
        <v>0</v>
      </c>
      <c r="UL60" s="75">
        <f t="array" ref="UL60">INDEX('Port Linkages'!$AT$18:$AT$157,MATCH(2,1/(('Port Linkages'!$C$18:$C$157=$AQ60)*('Port Linkages'!$D$18:$D$157=IF($AO60="no",$AQ60,$AS60))*('Port Linkages'!$A$18:$A$157&lt;=$C60))))</f>
        <v>0</v>
      </c>
      <c r="UM60" s="75">
        <f t="array" ref="UM60">INDEX('Port Linkages'!$AU$18:$AU$157,MATCH(2,1/(('Port Linkages'!$C$18:$C$157=$AQ60)*('Port Linkages'!$D$18:$D$157=IF($AO60="no",$AQ60,$AS60))*('Port Linkages'!$A$18:$A$157&lt;=$C60))))</f>
        <v>0</v>
      </c>
      <c r="UN60" s="75">
        <f t="array" ref="UN60">INDEX('Port Linkages'!$AV$18:$AV$157,MATCH(2,1/(('Port Linkages'!$C$18:$C$157=$AQ60)*('Port Linkages'!$D$18:$D$157=IF($AO60="no",$AQ60,$AS60))*('Port Linkages'!$A$18:$A$157&lt;=$C60))))</f>
        <v>0</v>
      </c>
      <c r="UO60" s="75">
        <f t="array" ref="UO60">INDEX('Port Linkages'!$AW$18:$AW$157,MATCH(2,1/(('Port Linkages'!$C$18:$C$157=$AQ60)*('Port Linkages'!$D$18:$D$157=IF($AO60="no",$AQ60,$AS60))*('Port Linkages'!$A$18:$A$157&lt;=$C60))))</f>
        <v>0</v>
      </c>
      <c r="UP60" s="75">
        <f t="array" ref="UP60">INDEX('Port Linkages'!$AX$18:$AX$157,MATCH(2,1/(('Port Linkages'!$C$18:$C$157=$AQ60)*('Port Linkages'!$D$18:$D$157=IF($AO60="no",$AQ60,$AS60))*('Port Linkages'!$A$18:$A$157&lt;=$C60))))</f>
        <v>0</v>
      </c>
      <c r="UQ60" s="75">
        <f t="array" ref="UQ60">INDEX('Port Linkages'!$AY$18:$AY$157,MATCH(2,1/(('Port Linkages'!$C$18:$C$157=$AQ60)*('Port Linkages'!$D$18:$D$157=IF($AO60="no",$AQ60,$AS60))*('Port Linkages'!$A$18:$A$157&lt;=$C60))))</f>
        <v>0</v>
      </c>
      <c r="UR60" s="75">
        <f t="array" ref="UR60">INDEX('Port Linkages'!$AZ$18:$AZ$157,MATCH(2,1/(('Port Linkages'!$C$18:$C$157=$AQ60)*('Port Linkages'!$D$18:$D$157=IF($AO60="no",$AQ60,$AS60))*('Port Linkages'!$A$18:$A$157&lt;=$C60))))</f>
        <v>0</v>
      </c>
      <c r="US60" s="75">
        <f t="array" ref="US60">INDEX('Port Linkages'!$BA$18:$BA$157,MATCH(2,1/(('Port Linkages'!$C$18:$C$157=$AQ60)*('Port Linkages'!$D$18:$D$157=IF($AO60="no",$AQ60,$AS60))*('Port Linkages'!$A$18:$A$157&lt;=$C60))))</f>
        <v>0</v>
      </c>
      <c r="UU60" s="25" t="e">
        <f t="array" aca="1" ref="UU60" ca="1">INDEX('Ship Fuel Prices'!$F$5:$F$1004,MATCH(2,1/(('Ship Fuel Prices'!$E$5:$E$1004=_xlfn.IFS(SJ60="Handysize",Main!UP60,SJ60="Supramax",UI60,SJ60="Panamax",UB60,SJ60="NeoPanamax",TU60,SJ60="Suezmax",TN60,SJ60="Capesize",TG60,SJ60="VLOC",SZ60))*('Ship Fuel Prices'!$D$5:$D$1004&lt;=Main!$C60))))</f>
        <v>#N/A</v>
      </c>
      <c r="UV60" s="25" t="e">
        <f t="array" aca="1" ref="UV60" ca="1">INDEX('Ship Fuel Prices'!$G$5:$G$1004,MATCH(2,1/(('Ship Fuel Prices'!$E$5:$E$1004=_xlfn.IFS(SJ60="Handysize",Main!UP60,SJ60="Supramax",UI60,SJ60="Panamax",UB60,SJ60="NeoPanamax",TU60,SJ60="Suezmax",TN60,SJ60="Capesize",TG60,SJ60="VLOC",SZ60))*('Ship Fuel Prices'!$D$5:$D$1004&lt;=Main!$C60))))</f>
        <v>#N/A</v>
      </c>
      <c r="UW60" s="25" t="e">
        <f t="array" aca="1" ref="UW60" ca="1">INDEX('Ship Fuel Prices'!$H$5:$H$1004,MATCH(2,1/(('Ship Fuel Prices'!$E$5:$E$1004=_xlfn.IFS(SJ60="Handysize",Main!UP60,SJ60="Supramax",UI60,SJ60="Panamax",UB60,SJ60="NeoPanamax",TU60,SJ60="Suezmax",TN60,SJ60="Capesize",TG60,SJ60="VLOC",SZ60))*('Ship Fuel Prices'!$D$5:$D$1004&lt;=Main!$C60))))</f>
        <v>#N/A</v>
      </c>
      <c r="UX60" s="25" t="e">
        <f t="array" aca="1" ref="UX60" ca="1">INDEX('Ship Fuel Prices'!$I$5:$I$1004,MATCH(2,1/(('Ship Fuel Prices'!$E$5:$E$1004=_xlfn.IFS(SJ60="Handysize",Main!UP60,SJ60="Supramax",UI60,SJ60="Panamax",UB60,SJ60="NeoPanamax",TU60,SJ60="Suezmax",TN60,SJ60="Capesize",TG60,SJ60="VLOC",SZ60))*('Ship Fuel Prices'!$D$5:$D$1004&lt;=Main!$C60))))</f>
        <v>#N/A</v>
      </c>
      <c r="UY60" s="25" t="e">
        <f t="array" aca="1" ref="UY60" ca="1">INDEX('Ship Fuel Prices'!$J$5:$J$1004,MATCH(2,1/(('Ship Fuel Prices'!$E$5:$E$1004=_xlfn.IFS(SJ60="Handysize",Main!UP60,SJ60="Supramax",UI60,SJ60="Panamax",UB60,SJ60="NeoPanamax",TU60,SJ60="Suezmax",TN60,SJ60="Capesize",TG60,SJ60="VLOC",SZ60))*('Ship Fuel Prices'!$D$5:$D$1004&lt;=Main!$C60))))</f>
        <v>#N/A</v>
      </c>
      <c r="VA60" s="75">
        <f t="array" ref="VA60">INDEX('China n Importing Ports'!$E$20:$E$41,MATCH(2,1/(('China n Importing Ports'!$D$20:$D$41&lt;=$C60)*('China n Importing Ports'!$C$20:$C$41=IF($AO60="No",$AQ60,$AS60)))))</f>
        <v>0</v>
      </c>
      <c r="VB60" s="75">
        <f t="array" ref="VB60">INDEX('China n Importing Ports'!$F$20:$F$41,MATCH(2,1/(('China n Importing Ports'!$D$20:$D$41&lt;=$C60)*('China n Importing Ports'!$C$20:$C$41=IF($AO60="No",$AQ60,$AS60)))))</f>
        <v>0</v>
      </c>
      <c r="VC60" s="75">
        <f t="array" ref="VC60">INDEX('China n Importing Ports'!$G$20:$G$41,MATCH(2,1/(('China n Importing Ports'!$D$20:$D$41&lt;=$C60)*('China n Importing Ports'!$C$20:$C$41=IF($AO60="No",$AQ60,$AS60)))))</f>
        <v>0</v>
      </c>
      <c r="VD60" s="75">
        <f t="array" ref="VD60">INDEX('China n Importing Ports'!$H$20:$H$41,MATCH(2,1/(('China n Importing Ports'!$D$20:$D$41&lt;=$C60)*('China n Importing Ports'!$C$20:$C$41=IF($AO60="No",$AQ60,$AS60)))))</f>
        <v>0</v>
      </c>
      <c r="VE60" s="75">
        <f t="array" ref="VE60">INDEX('China n Importing Ports'!$I$20:$I$41,MATCH(2,1/(('China n Importing Ports'!$D$20:$D$41&lt;=$C60)*('China n Importing Ports'!$C$20:$C$41=IF($AO60="No",$AQ60,$AS60)))))</f>
        <v>0</v>
      </c>
      <c r="VF60" s="75">
        <f t="array" ref="VF60">INDEX('China n Importing Ports'!$J$20:$J$41,MATCH(2,1/(('China n Importing Ports'!$D$20:$D$41&lt;=$C60)*('China n Importing Ports'!$C$20:$C$41=IF($AO60="No",$AQ60,$AS60)))))</f>
        <v>0</v>
      </c>
      <c r="VG60" s="75">
        <f t="array" ref="VG60">INDEX('China n Importing Ports'!$K$20:$K$41,MATCH(2,1/(('China n Importing Ports'!$D$20:$D$41&lt;=$C60)*('China n Importing Ports'!$C$20:$C$41=IF($AO60="No",$AQ60,$AS60)))))</f>
        <v>0</v>
      </c>
      <c r="VH60" s="75">
        <f t="array" ref="VH60">INDEX('China n Importing Ports'!$L$20:$L$41,MATCH(2,1/(('China n Importing Ports'!$D$20:$D$41&lt;=$C60)*('China n Importing Ports'!$C$20:$C$41=IF($AO60="No",$AQ60,$AS60)))))</f>
        <v>0</v>
      </c>
      <c r="VI60" s="75">
        <f t="array" ref="VI60">INDEX('China n Importing Ports'!$M$20:$M$41,MATCH(2,1/(('China n Importing Ports'!$D$20:$D$41&lt;=$C60)*('China n Importing Ports'!$C$20:$C$41=IF($AO60="No",$AQ60,$AS60)))))</f>
        <v>0</v>
      </c>
      <c r="VJ60" s="75">
        <f t="array" ref="VJ60">INDEX('China n Importing Ports'!$N$20:$N$41,MATCH(2,1/(('China n Importing Ports'!$D$20:$D$41&lt;=$C60)*('China n Importing Ports'!$C$20:$C$41=IF($AO60="No",$AQ60,$AS60)))))</f>
        <v>0</v>
      </c>
      <c r="VK60" s="75">
        <f t="array" ref="VK60">INDEX('China n Importing Ports'!$O$20:$O$41,MATCH(2,1/(('China n Importing Ports'!$D$20:$D$41&lt;=$C60)*('China n Importing Ports'!$C$20:$C$41=IF($AO60="No",$AQ60,$AS60)))))</f>
        <v>0</v>
      </c>
      <c r="VL60" s="136">
        <f t="array" ref="VL60">INDEX('China n Importing Ports'!$P$20:$P$41,MATCH(2,1/(('China n Importing Ports'!$D$20:$D$41&lt;=$C60)*('China n Importing Ports'!$C$20:$C$41=IF($AO60="No",$AQ60,$AS60)))))</f>
        <v>0</v>
      </c>
      <c r="VM60" s="136">
        <f t="array" ref="VM60">INDEX('China n Importing Ports'!$Q$20:$Q$41,MATCH(2,1/(('China n Importing Ports'!$D$20:$D$41&lt;=$C60)*('China n Importing Ports'!$C$20:$C$41=IF($AO60="No",$AQ60,$AS60)))))</f>
        <v>0</v>
      </c>
      <c r="VN60" s="136">
        <f t="array" ref="VN60">INDEX('China n Importing Ports'!$R$20:$R$41,MATCH(2,1/(('China n Importing Ports'!$D$20:$D$41&lt;=$C60)*('China n Importing Ports'!$C$20:$C$41=IF($AO60="No",$AQ60,$AS60)))))</f>
        <v>0</v>
      </c>
      <c r="VO60" s="136">
        <f t="array" ref="VO60">INDEX('China n Importing Ports'!$S$20:$S$41,MATCH(2,1/(('China n Importing Ports'!$D$20:$D$41&lt;=$C60)*('China n Importing Ports'!$C$20:$C$41=IF($AO60="No",$AQ60,$AS60)))))</f>
        <v>0</v>
      </c>
      <c r="VP60" s="136">
        <f t="array" ref="VP60">INDEX('China n Importing Ports'!$T$20:$T$41,MATCH(2,1/(('China n Importing Ports'!$D$20:$D$41&lt;=$C60)*('China n Importing Ports'!$C$20:$C$41=IF($AO60="No",$AQ60,$AS60)))))</f>
        <v>0</v>
      </c>
      <c r="VQ60" s="136">
        <f t="array" ref="VQ60">INDEX('China n Importing Ports'!$U$20:$U$41,MATCH(2,1/(('China n Importing Ports'!$D$20:$D$41&lt;=$C60)*('China n Importing Ports'!$C$20:$C$41=IF($AO60="No",$AQ60,$AS60)))))</f>
        <v>0</v>
      </c>
      <c r="VR60" s="136">
        <f t="array" ref="VR60">INDEX('China n Importing Ports'!$V$20:$V$41,MATCH(2,1/(('China n Importing Ports'!$D$20:$D$41&lt;=$C60)*('China n Importing Ports'!$C$20:$C$41=IF($AO60="No",$AQ60,$AS60)))))</f>
        <v>0</v>
      </c>
      <c r="VS60" s="136">
        <f t="array" ref="VS60">INDEX('China n Importing Ports'!$W$20:$W$41,MATCH(2,1/(('China n Importing Ports'!$D$20:$D$41&lt;=$C60)*('China n Importing Ports'!$C$20:$C$41=IF($AO60="No",$AQ60,$AS60)))))</f>
        <v>0</v>
      </c>
      <c r="VT60" s="136">
        <f t="array" ref="VT60">INDEX('China n Importing Ports'!$X$20:$X$41,MATCH(2,1/(('China n Importing Ports'!$D$20:$D$41&lt;=$C60)*('China n Importing Ports'!$C$20:$C$41=IF($AO60="No",$AQ60,$AS60)))))</f>
        <v>0</v>
      </c>
      <c r="VU60" s="136">
        <f t="array" ref="VU60">INDEX('China n Importing Ports'!$Y$20:$Y$41,MATCH(2,1/(('China n Importing Ports'!$D$20:$D$41&lt;=$C60)*('China n Importing Ports'!$C$20:$C$41=IF($AO60="No",$AQ60,$AS60)))))</f>
        <v>0</v>
      </c>
      <c r="VV60" s="136">
        <f t="array" ref="VV60">INDEX('China n Importing Ports'!$Z$20:$Z$41,MATCH(2,1/(('China n Importing Ports'!$D$20:$D$41&lt;=$C60)*('China n Importing Ports'!$C$20:$C$41=IF($AO60="No",$AQ60,$AS60)))))</f>
        <v>0</v>
      </c>
      <c r="VW60" s="136">
        <f t="array" ref="VW60">INDEX('China n Importing Ports'!$AA$20:$AA$41,MATCH(2,1/(('China n Importing Ports'!$D$20:$D$41&lt;=$C60)*('China n Importing Ports'!$C$20:$C$41=IF($AO60="No",$AQ60,$AS60)))))</f>
        <v>0</v>
      </c>
      <c r="VY60" s="75" t="e">
        <f t="array" aca="1" ref="VY60" ca="1">INDEX(Canals!$G$24:$G$29,MATCH(2,1/((Canals!$F$24:$F$29&lt;=$C60)*(Canals!$G$24:$G$29=_xlfn.IFS(SJ60="Handysize",US60,SJ60="Supramax",UL60,SJ60="Panamax",UE60,SJ60="NeoPanamax",TX60,SJ60="Suezmax",TQ60,SJ60="Capesize",TJ60,SJ60="VLOC",TC60)))))</f>
        <v>#N/A</v>
      </c>
      <c r="VZ60" s="75" t="e">
        <f t="array" aca="1" ref="VZ60" ca="1">INDEX(Canals!$H$24:$H$29,MATCH(2,1/((Canals!$F$24:$F$29&lt;=$C60)*(Canals!$G$24:$G$29=_xlfn.IFS(SJ60="Handysize",US60,SJ60="Supramax",UL60,SJ60="Panamax",UE60,SJ60="NeoPanamax",TX60,SJ60="Suezmax",TQ60,SJ60="Capesize",TJ60,SJ60="VLOC",TC60)))))</f>
        <v>#N/A</v>
      </c>
      <c r="WA60" s="75" t="e">
        <f t="array" aca="1" ref="WA60" ca="1">INDEX(Canals!$I$24:$I$29,MATCH(2,1/((Canals!$F$24:$F$29&lt;=$C60)*(Canals!$G$24:$G$29=_xlfn.IFS(SJ60="Handysize",US60,SJ60="Supramax",UL60,SJ60="Panamax",UE60,SJ60="NeoPanamax",TX60,SJ60="Suezmax",TQ60,SJ60="Capesize",TJ60,SJ60="VLOC",TC60)))))</f>
        <v>#N/A</v>
      </c>
      <c r="WB60" s="75" t="e">
        <f t="array" aca="1" ref="WB60" ca="1">INDEX(Canals!$J$24:$J$29,MATCH(2,1/((Canals!$F$24:$F$29&lt;=$C60)*(Canals!$G$24:$G$29=_xlfn.IFS(SJ60="Handysize",Main!US60,SJ60="Supramax",UL60,SJ60="Panamax",UE60,SJ60="NeoPanamax",TX60,SJ60="Suezmax",TQ60,SJ60="Capesize",TJ60,SJ60="VLOC",TC60)))))</f>
        <v>#N/A</v>
      </c>
      <c r="WC60" s="75" t="e">
        <f t="array" aca="1" ref="WC60" ca="1">INDEX(Canals!$K$24:$K$29,MATCH(2,1/((Canals!$F$24:$F$29&lt;=$C60)*(Canals!$G$24:$G$29=_xlfn.IFS(SJ60="Handysize",Main!US60,SJ60="Supramax",UL60,SJ60="Panamax",UE60,SJ60="NeoPanamax",TX60,SJ60="Suezmax",TQ60,SJ60="Capesize",TJ60,SJ60="VLOC",TC60)))))</f>
        <v>#N/A</v>
      </c>
      <c r="WD60" s="75" t="e">
        <f t="array" aca="1" ref="WD60" ca="1">INDEX(Canals!$L$24:$L$29,MATCH(2,1/((Canals!$F$24:$F$29&lt;=$C60)*(Canals!$G$24:$G$29=_xlfn.IFS(SJ60="Handysize",Main!US60,SJ60="Supramax",UL60,SJ60="Panamax",UE60,SJ60="NeoPanamax",TX60,SJ60="Suezmax",TQ60,SJ60="Capesize",TJ60,SJ60="VLOC",TC60)))))</f>
        <v>#N/A</v>
      </c>
      <c r="WE60" s="75" t="e">
        <f t="array" aca="1" ref="WE60" ca="1">INDEX(Canals!$M$24:$M$29,MATCH(2,1/((Canals!$F$24:$F$29&lt;=$C60)*(Canals!$G$24:$G$29=_xlfn.IFS(SJ60="Handysize",Main!US60,SJ60="Supramax",UL60,SJ60="Panamax",UE60,SJ60="NeoPanamax",TX60,SJ60="Suezmax",TQ60,SJ60="Capesize",TJ60,SJ60="VLOC",TC60)))))</f>
        <v>#N/A</v>
      </c>
      <c r="WF60" s="75" t="e">
        <f t="array" aca="1" ref="WF60" ca="1">INDEX(Canals!$N$24:$N$29,MATCH(2,1/((Canals!$F$24:$F$29&lt;=$C60)*(Canals!$G$24:$G$29=_xlfn.IFS(SJ60="Handysize",Main!US60,SJ60="Supramax",UL60,SJ60="Panamax",UE60,SJ60="NeoPanamax",TX60,SJ60="Suezmax",TQ60,SJ60="Capesize",TJ60,SJ60="VLOC",TC60)))))</f>
        <v>#N/A</v>
      </c>
      <c r="WG60" s="75" t="e">
        <f t="array" aca="1" ref="WG60" ca="1">INDEX(Canals!$O$24:$O$29,MATCH(2,1/((Canals!$F$24:$F$29&lt;=$C60)*(Canals!$G$24:$G$29=_xlfn.IFS(SJ60="Handysize",Main!US60,SJ60="Supramax",UL60,SJ60="Panamax",UE60,SJ60="NeoPanamax",TX60,SJ60="Suezmax",TQ60,SJ60="Capesize",TJ60,SJ60="VLOC",TC60)))))</f>
        <v>#N/A</v>
      </c>
      <c r="WH60" s="75" t="e">
        <f t="array" aca="1" ref="WH60" ca="1">INDEX(Canals!$P$24:$P$29,MATCH(2,1/((Canals!$F$24:$F$29&lt;=$C60)*(Canals!$G$24:$G$29=_xlfn.IFS(SJ60="Handysize",Main!US60,SJ60="Supramax",UL60,SJ60="Panamax",UE60,SJ60="NeoPanamax",TX60,SJ60="Suezmax",TQ60,SJ60="Capesize",TJ60,SJ60="VLOC",TC60)))))</f>
        <v>#N/A</v>
      </c>
      <c r="WI60" s="75" t="e">
        <f t="array" aca="1" ref="WI60" ca="1">INDEX(Canals!$Q$24:$Q$29,MATCH(2,1/((Canals!$F$24:$F$29&lt;=$C60)*(Canals!$G$24:$G$29=_xlfn.IFS(SJ60="Handysize",Main!US60,SJ60="Supramax",UL60,SJ60="Panamax",UE60,SJ60="NeoPanamax",TX60,SJ60="Suezmax",TQ60,SJ60="Capesize",TJ60,SJ60="VLOC",TC60)))))</f>
        <v>#N/A</v>
      </c>
      <c r="WJ60" s="75" t="e">
        <f t="array" aca="1" ref="WJ60" ca="1">INDEX(Canals!$R$24:$R$29,MATCH(2,1/((Canals!$F$24:$F$29&lt;=$C60)*(Canals!$G$24:$G$29=_xlfn.IFS(SJ60="Handysize",Main!US60,SJ60="Supramax",UL60,SJ60="Panamax",UE60,SJ60="NeoPanamax",TX60,SJ60="Suezmax",TQ60,SJ60="Capesize",TJ60,SJ60="VLOC",TC60)))))</f>
        <v>#N/A</v>
      </c>
      <c r="WK60" s="136" t="e">
        <f t="array" aca="1" ref="WK60" ca="1">INDEX(Canals!$S$24:$S$29,MATCH(2,1/((Canals!$F$24:$F$29&lt;=$C60)*(Canals!$G$24:$G$29=_xlfn.IFS(SJ60="Handysize",Main!US60,SJ60="Supramax",UL60,SJ60="Panamax",UE60,SJ60="NeoPanamax",TX60,SJ60="Suezmax",TQ60,SJ60="Capesize",TJ60,SJ60="VLOC",TC60)))))</f>
        <v>#N/A</v>
      </c>
      <c r="WL60" s="136" t="e">
        <f t="array" aca="1" ref="WL60" ca="1">INDEX(Canals!$T$24:$T$29,MATCH(2,1/((Canals!$F$24:$F$29&lt;=$C60)*(Canals!$G$24:$G$29=_xlfn.IFS(SJ60="Handysize",Main!US60,SJ60="Supramax",UL60,SJ60="Panamax",UE60,SJ60="NeoPanamax",TX60,SJ60="Suezmax",TQ60,SJ60="Capesize",TJ60,SJ60="VLOC",TC60)))))</f>
        <v>#N/A</v>
      </c>
      <c r="WM60" s="136" t="e">
        <f t="array" aca="1" ref="WM60" ca="1">INDEX(Canals!$U$24:$U$29,MATCH(2,1/((Canals!$F$24:$F$29&lt;=$C60)*(Canals!$G$24:$G$29=_xlfn.IFS(SJ60="Handysize",Main!US60,SJ60="Supramax",UL60,SJ60="Panamax",UE60,SJ60="NeoPanamax",TX60,SJ60="Suezmax",TQ60,SJ60="Capesize",TJ60,SJ60="VLOC",TC60)))))</f>
        <v>#N/A</v>
      </c>
      <c r="WN60" s="136" t="e">
        <f t="array" aca="1" ref="WN60" ca="1">INDEX(Canals!$V$24:$V$29,MATCH(2,1/((Canals!$F$24:$F$29&lt;=$C60)*(Canals!$G$24:$G$29=_xlfn.IFS(SJ60="Handysize",Main!US60,SJ60="Supramax",UL60,SJ60="Panamax",UE60,SJ60="NeoPanamax",TX60,SJ60="Suezmax",TQ60,SJ60="Capesize",TJ60,SJ60="VLOC",TC60)))))</f>
        <v>#N/A</v>
      </c>
      <c r="WO60" s="136" t="e">
        <f t="array" aca="1" ref="WO60" ca="1">INDEX(Canals!$W$24:$W$29,MATCH(2,1/((Canals!$F$24:$F$29&lt;=$C60)*(Canals!$G$24:$G$29=_xlfn.IFS(SJ60="Handysize",Main!US60,SJ60="Supramax",UL60,SJ60="Panamax",UE60,SJ60="NeoPanamax",TX60,SJ60="Suezmax",TQ60,SJ60="Capesize",TJ60,SJ60="VLOC",TC60)))))</f>
        <v>#N/A</v>
      </c>
      <c r="WP60" s="136" t="e">
        <f t="array" aca="1" ref="WP60" ca="1">INDEX(Canals!$X$24:$X$29,MATCH(2,1/((Canals!$F$24:$F$29&lt;=$C60)*(Canals!$G$24:$G$29=_xlfn.IFS(SJ60="Handysize",Main!US60,SJ60="Supramax",UL60,SJ60="Panamax",UE60,SJ60="NeoPanamax",TX60,SJ60="Suezmax",TQ60,SJ60="Capesize",TJ60,SJ60="VLOC",TC60)))))</f>
        <v>#N/A</v>
      </c>
      <c r="WQ60" s="136" t="e">
        <f t="array" aca="1" ref="WQ60" ca="1">INDEX(Canals!$Y$24:$Y$29,MATCH(2,1/((Canals!$F$24:$F$29&lt;=$C60)*(Canals!$G$24:$G$29=_xlfn.IFS(SJ60="Handysize",Main!US60,SJ60="Supramax",UL60,SJ60="Panamax",UE60,SJ60="NeoPanamax",TX60,SJ60="Suezmax",TQ60,SJ60="Capesize",TJ60,SJ60="VLOC",TC60)))))</f>
        <v>#N/A</v>
      </c>
      <c r="WR60" s="136" t="e">
        <f t="array" aca="1" ref="WR60" ca="1">INDEX(Canals!$Z$24:$Z$29,MATCH(2,1/((Canals!$F$24:$F$29&lt;=$C60)*(Canals!$G$24:$G$29=_xlfn.IFS(SJ60="Handysize",Main!US60,SJ60="Supramax",UL60,SJ60="Panamax",UE60,SJ60="NeoPanamax",TX60,SJ60="Suezmax",TQ60,SJ60="Capesize",TJ60,SJ60="VLOC",TC60)))))</f>
        <v>#N/A</v>
      </c>
      <c r="WS60" s="136" t="e">
        <f t="array" aca="1" ref="WS60" ca="1">INDEX(Canals!$AA$24:$AA$29,MATCH(2,1/((Canals!$F$24:$F$29&lt;=$C60)*(Canals!$G$24:$G$29=_xlfn.IFS(SJ60="Handysize",Main!US60,SJ60="Supramax",UL60,SJ60="Panamax",UE60,SJ60="NeoPanamax",TX60,SJ60="Suezmax",TQ60,SJ60="Capesize",TJ60,SJ60="VLOC",TC60)))))</f>
        <v>#N/A</v>
      </c>
      <c r="WT60" s="136" t="e">
        <f t="array" aca="1" ref="WT60" ca="1">INDEX(Canals!$AB$24:$AB$29,MATCH(2,1/((Canals!$F$24:$F$29&lt;=$C60)*(Canals!$G$24:$G$29=_xlfn.IFS(SJ60="Handysize",Main!US60,SJ60="Supramax",UL60,SJ60="Panamax",UE60,SJ60="NeoPanamax",TX60,SJ60="Suezmax",TQ60,SJ60="Capesize",TJ60,SJ60="VLOC",TC60)))))</f>
        <v>#N/A</v>
      </c>
      <c r="WU60" s="75" t="e">
        <f t="array" aca="1" ref="WU60" ca="1">INDEX(Canals!$AC$24:$AC$29,MATCH(2,1/((Canals!$F$24:$F$29&lt;=$C60)*(Canals!$G$24:$G$29=_xlfn.IFS(SJ60="Handysize",Main!US60,SJ60="Supramax",UL60,SJ60="Panamax",UE60,SJ60="NeoPanamax",TX60,SJ60="Suezmax",TQ60,SJ60="Capesize",TJ60,SJ60="VLOC",TC60)))))</f>
        <v>#N/A</v>
      </c>
      <c r="WV60" s="75" t="e">
        <f t="array" aca="1" ref="WV60" ca="1">INDEX(Canals!$AD$24:$AD$29,MATCH(2,1/((Canals!$F$24:$F$29&lt;=$C60)*(Canals!$G$24:$G$29=_xlfn.IFS(SJ60="Handysize",Main!US60,SJ60="Supramax",UL60,SJ60="Panamax",UE60,SJ60="NeoPanamax",TX60,SJ60="Suezmax",TQ60,SJ60="Capesize",TJ60,SJ60="VLOC",TC60)))))</f>
        <v>#N/A</v>
      </c>
      <c r="WW60" s="75" t="e">
        <f t="array" aca="1" ref="WW60" ca="1">INDEX(Canals!$AE$24:$AE$29,MATCH(2,1/((Canals!$F$24:$F$29&lt;=$C60)*(Canals!$G$24:$G$29=_xlfn.IFS(SJ60="Handysize",Main!US60,SJ60="Supramax",UL60,SJ60="Panamax",UE60,SJ60="NeoPanamax",TX60,SJ60="Suezmax",TQ60,SJ60="Capesize",TJ60,SJ60="VLOC",TC60)))))</f>
        <v>#N/A</v>
      </c>
      <c r="WX60" s="75" t="e">
        <f t="array" aca="1" ref="WX60" ca="1">INDEX(Canals!$AF$24:$AF$29,MATCH(2,1/((Canals!$F$24:$F$29&lt;=$C60)*(Canals!$G$24:$G$29=_xlfn.IFS(SJ60="Handysize",Main!US60,SJ60="Supramax",UL60,SJ60="Panamax",UE60,SJ60="NeoPanamax",TX60,SJ60="Suezmax",TQ60,SJ60="Capesize",TJ60,SJ60="VLOC",TC60)))))</f>
        <v>#N/A</v>
      </c>
      <c r="WY60" s="75" t="e">
        <f t="array" aca="1" ref="WY60" ca="1">INDEX(Canals!$AG$24:$AG$29,MATCH(2,1/((Canals!$F$24:$F$29&lt;=$C60)*(Canals!$G$24:$G$29=_xlfn.IFS(SJ60="Handysize",Main!US60,SJ60="Supramax",UL60,SJ60="Panamax",UE60,SJ60="NeoPanamax",TX60,SJ60="Suezmax",TQ60,SJ60="Capesize",TJ60,SJ60="VLOC",TC60)))))</f>
        <v>#N/A</v>
      </c>
      <c r="WZ60" s="75" t="e">
        <f t="array" aca="1" ref="WZ60" ca="1">INDEX(Canals!$AH$24:$AH$29,MATCH(2,1/((Canals!$F$24:$F$29&lt;=$C60)*(Canals!$G$24:$G$29=_xlfn.IFS(SJ60="Handysize",Main!US60,SJ60="Supramax",UL60,SJ60="Panamax",UE60,SJ60="NeoPanamax",TX60,SJ60="Suezmax",TQ60,SJ60="Capesize",TJ60,SJ60="VLOC",TC60)))))</f>
        <v>#N/A</v>
      </c>
      <c r="XA60" s="75" t="e">
        <f t="array" aca="1" ref="XA60" ca="1">INDEX(Canals!$AI$24:$AI$29,MATCH(2,1/((Canals!$F$24:$F$29&lt;=$C60)*(Canals!$G$24:$G$29=_xlfn.IFS(SJ60="Handysize",Main!US60,SJ60="Supramax",UL60,SJ60="Panamax",UE60,SJ60="NeoPanamax",TX60,SJ60="Suezmax",TQ60,SJ60="Capesize",TJ60,SJ60="VLOC",TC60)))))</f>
        <v>#N/A</v>
      </c>
      <c r="XB60" s="75" t="e">
        <f t="array" aca="1" ref="XB60" ca="1">INDEX(Canals!$AJ$24:$AJ$29,MATCH(2,1/((Canals!$F$24:$F$29&lt;=$C60)*(Canals!$G$24:$G$29=_xlfn.IFS(SJ60="Handysize",Main!US60,SJ60="Supramax",UL60,SJ60="Panamax",UE60,SJ60="NeoPanamax",TX60,SJ60="Suezmax",TQ60,SJ60="Capesize",TJ60,SJ60="VLOC",TC60)))))</f>
        <v>#N/A</v>
      </c>
      <c r="XC60" s="75" t="e">
        <f t="array" aca="1" ref="XC60" ca="1">INDEX(Canals!$AK$24:$AK$29,MATCH(2,1/((Canals!$F$24:$F$29&lt;=$C60)*(Canals!$G$24:$G$29=_xlfn.IFS(SJ60="Handysize",Main!US60,SJ60="Supramax",UL60,SJ60="Panamax",UE60,SJ60="NeoPanamax",TX60,SJ60="Suezmax",TQ60,SJ60="Capesize",TJ60,SJ60="VLOC",TC60)))))</f>
        <v>#N/A</v>
      </c>
      <c r="XD60" s="136" t="e">
        <f t="array" aca="1" ref="XD60" ca="1">INDEX(Canals!$AL$24:$AL$29,MATCH(2,1/((Canals!$F$24:$F$29&lt;=$C60)*(Canals!$G$24:$G$29=_xlfn.IFS(SJ60="Handysize",Main!US60,SJ60="Supramax",UL60,SJ60="Panamax",UE60,SJ60="NeoPanamax",TX60,SJ60="Suezmax",TQ60,SJ60="Capesize",TJ60,SJ60="VLOC",TC60)))))</f>
        <v>#N/A</v>
      </c>
      <c r="XE60" s="136" t="e">
        <f t="array" aca="1" ref="XE60" ca="1">INDEX(Canals!$AM$24:$AM$29,MATCH(2,1/((Canals!$F$24:$F$29&lt;=$C60)*(Canals!$G$24:$G$29=_xlfn.IFS(SJ60="Handysize",Main!US60,SJ60="Supramax",UL60,SJ60="Panamax",UE60,SJ60="NeoPanamax",TX60,SJ60="Suezmax",TQ60,SJ60="Capesize",TJ60,SJ60="VLOC",TC60)))))</f>
        <v>#N/A</v>
      </c>
      <c r="XF60" s="136" t="e">
        <f t="array" aca="1" ref="XF60" ca="1">INDEX(Canals!$AN$24:$AN$29,MATCH(2,1/((Canals!$F$24:$F$29&lt;=$C60)*(Canals!$G$24:$G$29=_xlfn.IFS(SJ60="Handysize",Main!US60,SJ60="Supramax",UL60,SJ60="Panamax",UE60,SJ60="NeoPanamax",TX60,SJ60="Suezmax",TQ60,SJ60="Capesize",TJ60,SJ60="VLOC",TC60)))))</f>
        <v>#N/A</v>
      </c>
      <c r="XG60" s="136" t="e">
        <f t="array" aca="1" ref="XG60" ca="1">INDEX(Canals!$AO$24:$AO$29,MATCH(2,1/((Canals!$F$24:$F$29&lt;=$C60)*(Canals!$G$24:$G$29=_xlfn.IFS(SJ60="Handysize",Main!US60,SJ60="Supramax",UL60,SJ60="Panamax",UE60,SJ60="NeoPanamax",TX60,SJ60="Suezmax",TQ60,SJ60="Capesize",TJ60,SJ60="VLOC",TC60)))))</f>
        <v>#N/A</v>
      </c>
      <c r="XH60" s="136" t="e">
        <f t="array" aca="1" ref="XH60" ca="1">INDEX(Canals!$AP$24:$AP$29,MATCH(2,1/((Canals!$F$24:$F$29&lt;=$C60)*(Canals!$G$24:$G$29=_xlfn.IFS(SJ60="Handysize",Main!US60,SJ60="Supramax",UL60,SJ60="Panamax",UE60,SJ60="NeoPanamax",TX60,SJ60="Suezmax",TQ60,SJ60="Capesize",TJ60,SJ60="VLOC",TC60)))))</f>
        <v>#N/A</v>
      </c>
      <c r="XI60" s="136" t="e">
        <f t="array" aca="1" ref="XI60" ca="1">INDEX(Canals!$AQ$24:$AQ$29,MATCH(2,1/((Canals!$F$24:$F$29&lt;=$C60)*(Canals!$G$24:$G$29=_xlfn.IFS(SJ60="Handysize",Main!US60,SJ60="Supramax",UL60,SJ60="Panamax",UE60,SJ60="NeoPanamax",TX60,SJ60="Suezmax",TQ60,SJ60="Capesize",TJ60,SJ60="VLOC",TC60)))))</f>
        <v>#N/A</v>
      </c>
      <c r="XJ60" s="136" t="e">
        <f t="array" aca="1" ref="XJ60" ca="1">INDEX(Canals!$AR$24:$AR$29,MATCH(2,1/((Canals!$F$24:$F$29&lt;=$C60)*(Canals!$G$24:$G$29=_xlfn.IFS(SJ60="Handysize",Main!US60,SJ60="Supramax",UL60,SJ60="Panamax",UE60,SJ60="NeoPanamax",TX60,SJ60="Suezmax",TQ60,SJ60="Capesize",TJ60,SJ60="VLOC",TC60)))))</f>
        <v>#N/A</v>
      </c>
      <c r="XK60" s="136" t="e">
        <f t="array" aca="1" ref="XK60" ca="1">INDEX(Canals!$AS$24:$AS$29,MATCH(2,1/((Canals!$F$24:$F$29&lt;=$C60)*(Canals!$G$24:$G$29=_xlfn.IFS(SJ60="Handysize",Main!US60,SJ60="Supramax",UL60,SJ60="Panamax",UE60,SJ60="NeoPanamax",TX60,SJ60="Suezmax",TQ60,SJ60="Capesize",TJ60,SJ60="VLOC",TC60)))))</f>
        <v>#N/A</v>
      </c>
      <c r="XL60" s="136" t="e">
        <f t="array" aca="1" ref="XL60" ca="1">INDEX(Canals!$AT$24:$AT$29,MATCH(2,1/((Canals!$F$24:$F$29&lt;=$C60)*(Canals!$G$24:$G$29=_xlfn.IFS(SJ60="Handysize",Main!US60,SJ60="Supramax",UL60,SJ60="Panamax",UE60,SJ60="NeoPanamax",TX60,SJ60="Suezmax",TQ60,SJ60="Capesize",TJ60,SJ60="VLOC",TC60)))))</f>
        <v>#N/A</v>
      </c>
      <c r="XM60" s="136" t="e">
        <f t="array" aca="1" ref="XM60" ca="1">INDEX(Canals!$AU$24:$AU$29,MATCH(2,1/((Canals!$F$24:$F$29&lt;=$C60)*(Canals!$G$24:$G$29=_xlfn.IFS(SJ60="Handysize",Main!US60,SJ60="Supramax",UL60,SJ60="Panamax",UE60,SJ60="NeoPanamax",TX60,SJ60="Suezmax",TQ60,SJ60="Capesize",TJ60,SJ60="VLOC",TC60)))))</f>
        <v>#N/A</v>
      </c>
      <c r="XN60" s="136" t="e">
        <f t="array" aca="1" ref="XN60" ca="1">INDEX(Canals!$AV$24:$AV$29,MATCH(2,1/((Canals!$F$24:$F$29&lt;=$C60)*(Canals!$G$24:$G$29=_xlfn.IFS(SJ60="Handysize",Main!US60,SJ60="Supramax",UL60,SJ60="Panamax",UE60,SJ60="NeoPanamax",TX60,SJ60="Suezmax",TQ60,SJ60="Capesize",TJ60,SJ60="VLOC",TC60)))))</f>
        <v>#N/A</v>
      </c>
      <c r="XP60" s="75" t="e">
        <f t="array" aca="1" ref="XP60" ca="1">_xlfn.IFS(WA60="DWT",SH60,WA60="NRT",SL60,WA60="GRT",SM60,WA60=0,0)</f>
        <v>#NAME?</v>
      </c>
      <c r="XQ60" s="279" t="e">
        <f t="shared" ca="1" si="455"/>
        <v>#NAME?</v>
      </c>
      <c r="XR60" s="280" t="e">
        <f t="shared" ca="1" si="456"/>
        <v>#NAME?</v>
      </c>
      <c r="XS60" s="280" t="e">
        <f t="shared" ca="1" si="457"/>
        <v>#NAME?</v>
      </c>
      <c r="XT60" s="280" t="e">
        <f t="shared" ca="1" si="458"/>
        <v>#NAME?</v>
      </c>
      <c r="XU60" s="280" t="e">
        <f t="shared" ca="1" si="459"/>
        <v>#NAME?</v>
      </c>
      <c r="XV60" s="280" t="e">
        <f t="shared" ca="1" si="460"/>
        <v>#NAME?</v>
      </c>
      <c r="XW60" s="280" t="e">
        <f t="shared" ca="1" si="461"/>
        <v>#NAME?</v>
      </c>
      <c r="XX60" s="280" t="e">
        <f t="shared" ca="1" si="462"/>
        <v>#NAME?</v>
      </c>
      <c r="XY60" s="280" t="e">
        <f t="shared" ca="1" si="463"/>
        <v>#NAME?</v>
      </c>
      <c r="XZ60" s="75">
        <f t="shared" si="464"/>
        <v>0</v>
      </c>
      <c r="YA60" s="279" t="e">
        <f t="shared" ca="1" si="465"/>
        <v>#N/A</v>
      </c>
      <c r="YB60" s="280" t="e">
        <f t="shared" ca="1" si="466"/>
        <v>#N/A</v>
      </c>
      <c r="YC60" s="280" t="e">
        <f t="shared" ca="1" si="467"/>
        <v>#N/A</v>
      </c>
      <c r="YD60" s="280" t="e">
        <f t="shared" ca="1" si="468"/>
        <v>#N/A</v>
      </c>
      <c r="YE60" s="280" t="e">
        <f t="shared" ca="1" si="469"/>
        <v>#N/A</v>
      </c>
      <c r="YF60" s="280" t="e">
        <f t="shared" ca="1" si="470"/>
        <v>#N/A</v>
      </c>
      <c r="YG60" s="280" t="e">
        <f t="shared" ca="1" si="471"/>
        <v>#N/A</v>
      </c>
      <c r="YH60" s="280" t="e">
        <f t="shared" ca="1" si="472"/>
        <v>#N/A</v>
      </c>
      <c r="YI60" s="280" t="e">
        <f t="shared" ca="1" si="473"/>
        <v>#N/A</v>
      </c>
      <c r="YK60" s="75" t="e">
        <f t="array" aca="1" ref="YK60" ca="1">_xlfn.IFS(SJ60="Handysize",Main!UM60,SJ60="Supramax",UF60,SJ60="Panamax",TY60,SJ60="NeoPanamax",TR60,SJ60="Suezmax",TK60,SJ60="Capesize",TD60,SJ60="VLOC",SW60)*$JI60</f>
        <v>#NAME?</v>
      </c>
      <c r="YL60" s="274" t="e">
        <f t="array" aca="1" ref="YL60" ca="1">_xlfn.IFS(SJ60="Handysize",Main!UN60,SJ60="Supramax",UG60,SJ60="Panamax",TZ60,SJ60="NeoPanamax",TS60,SJ60="Suezmax",TL60,SJ60="Capesize",TE60,SJ60="VLOC",SX60)*$JI60</f>
        <v>#NAME?</v>
      </c>
      <c r="YM60" s="71" t="e">
        <f t="array" aca="1" ref="YM60" ca="1">_xlfn.IFS(SJ60="Handysize",Main!SO60,SJ60="Supramax",SP60,SJ60="Panamax",SQ60,SJ60="NeoPanamax",SR60,SJ60="Suezmax",SS60,SJ60="Capesize",ST60,SJ60="VLOC",SU60)</f>
        <v>#NAME?</v>
      </c>
      <c r="YN60" s="71" t="e">
        <f t="array" aca="1" ref="YN60" ca="1">_xlfn.IFS(SJ60="Handysize",Main!VA60,SJ60="Supramax",VB60,SJ60="Panamax",VC60,SJ60="NeoPanamax",VD60,SJ60="Suezmax",VE60,SJ60="Capesize",VF60,SJ60="VLOC",VG60)</f>
        <v>#NAME?</v>
      </c>
      <c r="YO60" s="70">
        <f t="array" ref="YO60">INDEX('Ship Speeds'!$G$11:$G$1011,MATCH(2,1/(('Ship Speeds'!$E$11:$E$1011&lt;=Main!$C60)*('Ship Speeds'!$F$11:$F$1011=Main!SI60))))</f>
        <v>11</v>
      </c>
      <c r="YP60" s="403">
        <f t="shared" si="474"/>
        <v>0</v>
      </c>
      <c r="YQ60" s="401">
        <f t="shared" si="475"/>
        <v>1.2</v>
      </c>
      <c r="YR60" s="70" t="e">
        <f t="shared" ca="1" si="476"/>
        <v>#NAME?</v>
      </c>
      <c r="YS60" s="70" t="e">
        <f t="shared" ca="1" si="477"/>
        <v>#NAME?</v>
      </c>
      <c r="YT60" s="70" t="e">
        <f t="shared" ca="1" si="478"/>
        <v>#NAME?</v>
      </c>
      <c r="YU60" s="70" t="e">
        <f t="shared" ca="1" si="479"/>
        <v>#NAME?</v>
      </c>
      <c r="YV60" s="72" t="e">
        <f t="shared" ca="1" si="480"/>
        <v>#N/A</v>
      </c>
      <c r="YW60" s="70" t="e">
        <f t="shared" ca="1" si="481"/>
        <v>#NAME?</v>
      </c>
      <c r="YX60" s="70" t="e">
        <f t="array" aca="1" ref="YX60" ca="1">IF(YK60=0,0,INDEX(UU60:UY60,MATCH(_xlfn.IFS(SJ60="Handysize",Main!UQ60,SJ60="Supramax",UJ60,SJ60="Panamax",UC60,SJ60="NeoPanamax",TV60,SJ60="Suezmax",TO60,SJ60="Capesize",TH60,SJ60="VLOC",TA60),$UU$7:$UY$7,0)))</f>
        <v>#NAME?</v>
      </c>
      <c r="YY60" s="70" t="e">
        <f t="array" aca="1" ref="YY60" ca="1">IF(YK60=0,0,INDEX(UU60:UY60,MATCH(_xlfn.IFS(SJ60="Handysize",Main!UR60,SJ60="Supramax",UK60,SJ60="Panamax",UD60,SJ60="NeoPanamax",TW60,SJ60="Suezmax",TP60,SJ60="Capesize",TI60,SJ60="VLOC",TB60),$UU$7:$UY$7,0)))</f>
        <v>#NAME?</v>
      </c>
      <c r="YZ60" s="71" t="e">
        <f t="shared" ca="1" si="482"/>
        <v>#NAME?</v>
      </c>
      <c r="ZA60" s="71" t="e">
        <f t="shared" ca="1" si="483"/>
        <v>#NAME?</v>
      </c>
      <c r="ZB60" s="281" t="e">
        <f t="shared" ca="1" si="484"/>
        <v>#NAME?</v>
      </c>
      <c r="ZC60" s="71" t="e">
        <f t="shared" ca="1" si="485"/>
        <v>#NAME?</v>
      </c>
      <c r="ZD60" s="71" t="e">
        <f t="shared" ca="1" si="486"/>
        <v>#NAME?</v>
      </c>
      <c r="ZE60" s="71" t="e">
        <f t="shared" ca="1" si="487"/>
        <v>#NAME?</v>
      </c>
      <c r="ZF60" s="71" t="e">
        <f t="shared" ca="1" si="488"/>
        <v>#NAME?</v>
      </c>
      <c r="ZG60" s="71" t="e">
        <f t="shared" ca="1" si="489"/>
        <v>#NAME?</v>
      </c>
      <c r="ZH60" s="71" t="e">
        <f t="shared" ca="1" si="490"/>
        <v>#NAME?</v>
      </c>
      <c r="ZI60" s="71" t="e">
        <f t="shared" ca="1" si="491"/>
        <v>#NAME?</v>
      </c>
      <c r="ZJ60" s="71" t="e">
        <f t="shared" ca="1" si="492"/>
        <v>#NAME?</v>
      </c>
      <c r="ZK60" s="71" t="e">
        <f t="shared" ca="1" si="493"/>
        <v>#NAME?</v>
      </c>
      <c r="ZL60" s="71" t="e">
        <f t="shared" ca="1" si="494"/>
        <v>#NAME?</v>
      </c>
      <c r="ZM60" s="71" t="e">
        <f t="shared" ca="1" si="495"/>
        <v>#NAME?</v>
      </c>
      <c r="ZN60" s="71" t="e">
        <f t="shared" ca="1" si="496"/>
        <v>#NAME?</v>
      </c>
      <c r="ZO60" s="72" t="e">
        <f t="shared" ca="1" si="497"/>
        <v>#NAME?</v>
      </c>
      <c r="ZP60" s="72" t="e">
        <f t="shared" ca="1" si="498"/>
        <v>#NAME?</v>
      </c>
      <c r="ZQ60" s="71" t="e">
        <f t="shared" ca="1" si="499"/>
        <v>#NAME?</v>
      </c>
      <c r="ZR60" s="71" t="e">
        <f t="array" aca="1" ref="ZR60" ca="1">IF(YK60=0,0,INDEX('Ship Time Charter Rates'!$H$22:$H$1021,MATCH(2,1/(('Ship Time Charter Rates'!$G$22:$G$1021=_xlfn.IFS(SJ60="Handysize",Main!UO60,SJ60="Supramax",UH60,SJ60="Panamax",UA60,SJ60="NeoPanamax",TT60,SJ60="Suezmax",TM60,SJ60="Capesize",TF60,SJ60="VLOC",SY60))*('Ship Time Charter Rates'!$E$22:$E$1021&lt;=Main!$C60)*(NOT(ISBLANK('Ship Time Charter Rates'!$H$22:$H$1021)))))))</f>
        <v>#NAME?</v>
      </c>
      <c r="ZS60" s="71" t="e">
        <f t="shared" ca="1" si="500"/>
        <v>#NAME?</v>
      </c>
      <c r="ZT60" s="70" t="e">
        <f t="shared" ca="1" si="501"/>
        <v>#NAME?</v>
      </c>
      <c r="ZU60" s="71" t="e">
        <f t="shared" ca="1" si="502"/>
        <v>#NAME?</v>
      </c>
      <c r="ZV60" s="71" t="e">
        <f t="shared" ca="1" si="503"/>
        <v>#NAME?</v>
      </c>
      <c r="ZW60" s="72" t="e">
        <f t="shared" ca="1" si="504"/>
        <v>#NAME?</v>
      </c>
      <c r="ZY60" s="287" t="s">
        <v>39</v>
      </c>
      <c r="AAA60" s="25">
        <f t="shared" si="672"/>
        <v>166528.81169010201</v>
      </c>
      <c r="AAB60" s="4" t="str">
        <f>VLOOKUP(AAA60,'Ship Time Charter Rates'!$F$10:$G$17,2,TRUE)</f>
        <v>Capesize</v>
      </c>
      <c r="AAC60" s="4" t="str">
        <f>VLOOKUP(AAA60,Canals!$E$5:$F$12,2,TRUE)</f>
        <v>Capesize</v>
      </c>
      <c r="AAD60" s="25">
        <f t="shared" si="505"/>
        <v>291.26965260545904</v>
      </c>
      <c r="AAE60" s="25">
        <f t="shared" si="506"/>
        <v>67177.722635787155</v>
      </c>
      <c r="AAF60" s="25">
        <f t="shared" si="507"/>
        <v>91208.800385993934</v>
      </c>
      <c r="AAH60" s="75">
        <f t="array" ref="AAH60">INDEX('Indices Mines Exporting Ports'!$R$20:$R$51,MATCH(2,1/(('Indices Mines Exporting Ports'!$D$20:$D$51&lt;=Main!$C60)*('Indices Mines Exporting Ports'!$Q$20:$Q$51=$AP60))))</f>
        <v>30000</v>
      </c>
      <c r="AAI60" s="75">
        <f t="array" ref="AAI60">INDEX('Indices Mines Exporting Ports'!$S$20:$S$51,MATCH(2,1/(('Indices Mines Exporting Ports'!$D$20:$D$51&lt;=Main!$C60)*('Indices Mines Exporting Ports'!$Q$20:$Q$51=$AP60))))</f>
        <v>30000</v>
      </c>
      <c r="AAJ60" s="75">
        <f t="array" ref="AAJ60">INDEX('Indices Mines Exporting Ports'!$T$20:$T$51,MATCH(2,1/(('Indices Mines Exporting Ports'!$D$20:$D$51&lt;=Main!$C60)*('Indices Mines Exporting Ports'!$Q$20:$Q$51=$AP60))))</f>
        <v>30000</v>
      </c>
      <c r="AAK60" s="75">
        <f t="array" ref="AAK60">INDEX('Indices Mines Exporting Ports'!$U$20:$U$51,MATCH(2,1/(('Indices Mines Exporting Ports'!$D$20:$D$51&lt;=Main!$C60)*('Indices Mines Exporting Ports'!$Q$20:$Q$51=$AP60))))</f>
        <v>30000</v>
      </c>
      <c r="AAL60" s="75">
        <f t="array" ref="AAL60">INDEX('Indices Mines Exporting Ports'!$V$20:$V$51,MATCH(2,1/(('Indices Mines Exporting Ports'!$D$20:$D$51&lt;=Main!$C60)*('Indices Mines Exporting Ports'!$Q$20:$Q$51=$AP60))))</f>
        <v>30000</v>
      </c>
      <c r="AAM60" s="75">
        <f t="array" ref="AAM60">INDEX('Indices Mines Exporting Ports'!$W$20:$W$51,MATCH(2,1/(('Indices Mines Exporting Ports'!$D$20:$D$51&lt;=Main!$C60)*('Indices Mines Exporting Ports'!$Q$20:$Q$51=$AP60))))</f>
        <v>30000</v>
      </c>
      <c r="AAN60" s="75">
        <f t="array" ref="AAN60">INDEX('Indices Mines Exporting Ports'!$X$20:$X$51,MATCH(2,1/(('Indices Mines Exporting Ports'!$D$20:$D$51&lt;=Main!$C60)*('Indices Mines Exporting Ports'!$Q$20:$Q$51=$AP60))))</f>
        <v>30000</v>
      </c>
      <c r="AAP60" s="75">
        <f t="array" ref="AAP60">INDEX('Port Linkages'!$E$18:$E$157,MATCH(2,1/(('Port Linkages'!$C$18:$C$157=$AP60)*('Port Linkages'!$D$18:$D$157=IF($AO60="Yes",$AQ60,$KK60))*('Port Linkages'!$A$18:$A$157&lt;=$C60))))</f>
        <v>5100</v>
      </c>
      <c r="AAQ60" s="75">
        <f t="array" ref="AAQ60">INDEX('Port Linkages'!$F$18:$F$157,MATCH(2,1/(('Port Linkages'!$C$18:$C$157=$AP60)*('Port Linkages'!$D$18:$D$157=IF($AO60="Yes",$AQ60,$KK60))*('Port Linkages'!$A$18:$A$157&lt;=$C60))))</f>
        <v>0</v>
      </c>
      <c r="AAR60" s="75" t="str">
        <f t="array" ref="AAR60">INDEX('Port Linkages'!$G$18:$G$157,MATCH(2,1/(('Port Linkages'!$C$18:$C$157=$AP60)*('Port Linkages'!$D$18:$D$157=IF($AO60="Yes",$AQ60,$KK60))*('Port Linkages'!$A$18:$A$157&lt;=$C60))))</f>
        <v>VLOC_General</v>
      </c>
      <c r="AAS60" s="75" t="str">
        <f t="array" ref="AAS60">INDEX('Port Linkages'!$H$18:$H$157,MATCH(2,1/(('Port Linkages'!$C$18:$C$157=$AP60)*('Port Linkages'!$D$18:$D$157=IF($AO60="Yes",$AQ60,$KK60))*('Port Linkages'!$A$18:$A$157&lt;=$C60))))</f>
        <v>Singapore</v>
      </c>
      <c r="AAT60" s="75" t="str">
        <f t="array" ref="AAT60">INDEX('Port Linkages'!$I$18:$I$157,MATCH(2,1/(('Port Linkages'!$C$18:$C$157=$AP60)*('Port Linkages'!$D$18:$D$157=IF($AO60="Yes",$AQ60,$KK60))*('Port Linkages'!$A$18:$A$157&lt;=$C60))))</f>
        <v>VLSFO</v>
      </c>
      <c r="AAU60" s="75" t="str">
        <f t="array" ref="AAU60">INDEX('Port Linkages'!$J$18:$J$157,MATCH(2,1/(('Port Linkages'!$C$18:$C$157=$AP60)*('Port Linkages'!$D$18:$D$157=IF($AO60="Yes",$AQ60,$KK60))*('Port Linkages'!$A$18:$A$157&lt;=$C60))))</f>
        <v>MGO_Regular</v>
      </c>
      <c r="AAV60" s="75" t="str">
        <f t="array" ref="AAV60">INDEX('Port Linkages'!$K$18:$K$157,MATCH(2,1/(('Port Linkages'!$C$18:$C$157=$AP60)*('Port Linkages'!$D$18:$D$157=IF($AO60="Yes",$AQ60,$KK60))*('Port Linkages'!$A$18:$A$157&lt;=$C60))))</f>
        <v>none</v>
      </c>
      <c r="AAW60" s="75">
        <f t="array" ref="AAW60">INDEX('Port Linkages'!$L$18:$L$157,MATCH(2,1/(('Port Linkages'!$C$18:$C$157=$AP60)*('Port Linkages'!$D$18:$D$157=IF($AO60="Yes",$AQ60,$KK60))*('Port Linkages'!$A$18:$A$157&lt;=$C60))))</f>
        <v>5100</v>
      </c>
      <c r="AAX60" s="75">
        <f t="array" ref="AAX60">INDEX('Port Linkages'!$M$18:$M$157,MATCH(2,1/(('Port Linkages'!$C$18:$C$157=$AP60)*('Port Linkages'!$D$18:$D$157=IF($AO60="Yes",$AQ60,$KK60))*('Port Linkages'!$A$18:$A$157&lt;=$C60))))</f>
        <v>0</v>
      </c>
      <c r="AAY60" s="75" t="str">
        <f t="array" ref="AAY60">INDEX('Port Linkages'!$N$18:$N$157,MATCH(2,1/(('Port Linkages'!$C$18:$C$157=$AP60)*('Port Linkages'!$D$18:$D$157=IF($AO60="Yes",$AQ60,$KK60))*('Port Linkages'!$A$18:$A$157&lt;=$C60))))</f>
        <v>Capesize_General</v>
      </c>
      <c r="AAZ60" s="75" t="str">
        <f t="array" ref="AAZ60">INDEX('Port Linkages'!$O$18:$O$157,MATCH(2,1/(('Port Linkages'!$C$18:$C$157=$AP60)*('Port Linkages'!$D$18:$D$157=IF($AO60="Yes",$AQ60,$KK60))*('Port Linkages'!$A$18:$A$157&lt;=$C60))))</f>
        <v>Singapore</v>
      </c>
      <c r="ABA60" s="75" t="str">
        <f t="array" ref="ABA60">INDEX('Port Linkages'!$P$18:$P$157,MATCH(2,1/(('Port Linkages'!$C$18:$C$157=$AP60)*('Port Linkages'!$D$18:$D$157=IF($AO60="Yes",$AQ60,$KK60))*('Port Linkages'!$A$18:$A$157&lt;=$C60))))</f>
        <v>VLSFO</v>
      </c>
      <c r="ABB60" s="75" t="str">
        <f t="array" ref="ABB60">INDEX('Port Linkages'!$Q$18:$Q$157,MATCH(2,1/(('Port Linkages'!$C$18:$C$157=$AP60)*('Port Linkages'!$D$18:$D$157=IF($AO60="Yes",$AQ60,$KK60))*('Port Linkages'!$A$18:$A$157&lt;=$C60))))</f>
        <v>MGO_Regular</v>
      </c>
      <c r="ABC60" s="75" t="str">
        <f t="array" ref="ABC60">INDEX('Port Linkages'!$R$18:$R$157,MATCH(2,1/(('Port Linkages'!$C$18:$C$157=$AP60)*('Port Linkages'!$D$18:$D$157=IF($AO60="Yes",$AQ60,$KK60))*('Port Linkages'!$A$18:$A$157&lt;=$C60))))</f>
        <v>none</v>
      </c>
      <c r="ABD60" s="75">
        <f t="array" ref="ABD60">INDEX('Port Linkages'!$S$18:$S$157,MATCH(2,1/(('Port Linkages'!$C$18:$C$157=$AP60)*('Port Linkages'!$D$18:$D$157=IF($AO60="Yes",$AQ60,$KK60))*('Port Linkages'!$A$18:$A$157&lt;=$C60))))</f>
        <v>5100</v>
      </c>
      <c r="ABE60" s="75">
        <f t="array" ref="ABE60">INDEX('Port Linkages'!$T$18:$T$157,MATCH(2,1/(('Port Linkages'!$C$18:$C$157=$AP60)*('Port Linkages'!$D$18:$D$157=IF($AO60="Yes",$AQ60,$KK60))*('Port Linkages'!$A$18:$A$157&lt;=$C60))))</f>
        <v>0</v>
      </c>
      <c r="ABF60" s="75" t="str">
        <f t="array" ref="ABF60">INDEX('Port Linkages'!$U$18:$U$157,MATCH(2,1/(('Port Linkages'!$C$18:$C$157=$AP60)*('Port Linkages'!$D$18:$D$157=IF($AO60="Yes",$AQ60,$KK60))*('Port Linkages'!$A$18:$A$157&lt;=$C60))))</f>
        <v>Capesize_General</v>
      </c>
      <c r="ABG60" s="75" t="str">
        <f t="array" ref="ABG60">INDEX('Port Linkages'!$V$18:$V$157,MATCH(2,1/(('Port Linkages'!$C$18:$C$157=$AP60)*('Port Linkages'!$D$18:$D$157=IF($AO60="Yes",$AQ60,$KK60))*('Port Linkages'!$A$18:$A$157&lt;=$C60))))</f>
        <v>Singapore</v>
      </c>
      <c r="ABH60" s="75" t="str">
        <f t="array" ref="ABH60">INDEX('Port Linkages'!$W$18:$W$157,MATCH(2,1/(('Port Linkages'!$C$18:$C$157=$AP60)*('Port Linkages'!$D$18:$D$157=IF($AO60="Yes",$AQ60,$KK60))*('Port Linkages'!$A$18:$A$157&lt;=$C60))))</f>
        <v>VLSFO</v>
      </c>
      <c r="ABI60" s="75" t="str">
        <f t="array" ref="ABI60">INDEX('Port Linkages'!$X$18:$X$157,MATCH(2,1/(('Port Linkages'!$C$18:$C$157=$AP60)*('Port Linkages'!$D$18:$D$157=IF($AO60="Yes",$AQ60,$KK60))*('Port Linkages'!$A$18:$A$157&lt;=$C60))))</f>
        <v>MGO_Regular</v>
      </c>
      <c r="ABJ60" s="75" t="str">
        <f t="array" ref="ABJ60">INDEX('Port Linkages'!$Y$18:$Y$157,MATCH(2,1/(('Port Linkages'!$C$18:$C$157=$AP60)*('Port Linkages'!$D$18:$D$157=IF($AO60="Yes",$AQ60,$KK60))*('Port Linkages'!$A$18:$A$157&lt;=$C60))))</f>
        <v>none</v>
      </c>
      <c r="ABK60" s="75">
        <f t="array" ref="ABK60">INDEX('Port Linkages'!$Z$18:$Z$157,MATCH(2,1/(('Port Linkages'!$C$18:$C$157=$AP60)*('Port Linkages'!$D$18:$D$157=IF($AO60="Yes",$AQ60,$KK60))*('Port Linkages'!$A$18:$A$157&lt;=$C60))))</f>
        <v>5100</v>
      </c>
      <c r="ABL60" s="75">
        <f t="array" ref="ABL60">INDEX('Port Linkages'!$AA$18:$AA$157,MATCH(2,1/(('Port Linkages'!$C$18:$C$157=$AP60)*('Port Linkages'!$D$18:$D$157=IF($AO60="Yes",$AQ60,$KK60))*('Port Linkages'!$A$18:$A$157&lt;=$C60))))</f>
        <v>0</v>
      </c>
      <c r="ABM60" s="75" t="str">
        <f t="array" ref="ABM60">INDEX('Port Linkages'!$AB$18:$AB$157,MATCH(2,1/(('Port Linkages'!$C$18:$C$157=$AP60)*('Port Linkages'!$D$18:$D$157=IF($AO60="Yes",$AQ60,$KK60))*('Port Linkages'!$A$18:$A$157&lt;=$C60))))</f>
        <v>Capesize_General</v>
      </c>
      <c r="ABN60" s="75" t="str">
        <f t="array" ref="ABN60">INDEX('Port Linkages'!$AC$18:$AC$157,MATCH(2,1/(('Port Linkages'!$C$18:$C$157=$AP60)*('Port Linkages'!$D$18:$D$157=IF($AO60="Yes",$AQ60,$KK60))*('Port Linkages'!$A$18:$A$157&lt;=$C60))))</f>
        <v>Singapore</v>
      </c>
      <c r="ABO60" s="75" t="str">
        <f t="array" ref="ABO60">INDEX('Port Linkages'!$AD$18:$AD$157,MATCH(2,1/(('Port Linkages'!$C$18:$C$157=$AP60)*('Port Linkages'!$D$18:$D$157=IF($AO60="Yes",$AQ60,$KK60))*('Port Linkages'!$A$18:$A$157&lt;=$C60))))</f>
        <v>VLSFO</v>
      </c>
      <c r="ABP60" s="75" t="str">
        <f t="array" ref="ABP60">INDEX('Port Linkages'!$AE$18:$AE$157,MATCH(2,1/(('Port Linkages'!$C$18:$C$157=$AP60)*('Port Linkages'!$D$18:$D$157=IF($AO60="Yes",$AQ60,$KK60))*('Port Linkages'!$A$18:$A$157&lt;=$C60))))</f>
        <v>MGO_Regular</v>
      </c>
      <c r="ABQ60" s="75" t="str">
        <f t="array" ref="ABQ60">INDEX('Port Linkages'!$AF$18:$AF$157,MATCH(2,1/(('Port Linkages'!$C$18:$C$157=$AP60)*('Port Linkages'!$D$18:$D$157=IF($AO60="Yes",$AQ60,$KK60))*('Port Linkages'!$A$18:$A$157&lt;=$C60))))</f>
        <v>none</v>
      </c>
      <c r="ABR60" s="75">
        <f t="array" ref="ABR60">INDEX('Port Linkages'!$AG$18:$AG$157,MATCH(2,1/(('Port Linkages'!$C$18:$C$157=$AP60)*('Port Linkages'!$D$18:$D$157=IF($AO60="Yes",$AQ60,$KK60))*('Port Linkages'!$A$18:$A$157&lt;=$C60))))</f>
        <v>5100</v>
      </c>
      <c r="ABS60" s="75">
        <f t="array" ref="ABS60">INDEX('Port Linkages'!$AH$18:$AH$157,MATCH(2,1/(('Port Linkages'!$C$18:$C$157=$AP60)*('Port Linkages'!$D$18:$D$157=IF($AO60="Yes",$AQ60,$KK60))*('Port Linkages'!$A$18:$A$157&lt;=$C60))))</f>
        <v>0</v>
      </c>
      <c r="ABT60" s="75" t="str">
        <f t="array" ref="ABT60">INDEX('Port Linkages'!$AI$18:$AI$157,MATCH(2,1/(('Port Linkages'!$C$18:$C$157=$AP60)*('Port Linkages'!$D$18:$D$157=IF($AO60="Yes",$AQ60,$KK60))*('Port Linkages'!$A$18:$A$157&lt;=$C60))))</f>
        <v>Panamax_General</v>
      </c>
      <c r="ABU60" s="75" t="str">
        <f t="array" ref="ABU60">INDEX('Port Linkages'!$AJ$18:$AJ$157,MATCH(2,1/(('Port Linkages'!$C$18:$C$157=$AP60)*('Port Linkages'!$D$18:$D$157=IF($AO60="Yes",$AQ60,$KK60))*('Port Linkages'!$A$18:$A$157&lt;=$C60))))</f>
        <v>Singapore</v>
      </c>
      <c r="ABV60" s="75" t="str">
        <f t="array" ref="ABV60">INDEX('Port Linkages'!$AK$18:$AK$157,MATCH(2,1/(('Port Linkages'!$C$18:$C$157=$AP60)*('Port Linkages'!$D$18:$D$157=IF($AO60="Yes",$AQ60,$KK60))*('Port Linkages'!$A$18:$A$157&lt;=$C60))))</f>
        <v>VLSFO</v>
      </c>
      <c r="ABW60" s="75" t="str">
        <f t="array" ref="ABW60">INDEX('Port Linkages'!$AL$18:$AL$157,MATCH(2,1/(('Port Linkages'!$C$18:$C$157=$AP60)*('Port Linkages'!$D$18:$D$157=IF($AO60="Yes",$AQ60,$KK60))*('Port Linkages'!$A$18:$A$157&lt;=$C60))))</f>
        <v>MGO_Regular</v>
      </c>
      <c r="ABX60" s="75" t="str">
        <f t="array" ref="ABX60">INDEX('Port Linkages'!$AM$18:$AM$157,MATCH(2,1/(('Port Linkages'!$C$18:$C$157=$AP60)*('Port Linkages'!$D$18:$D$157=IF($AO60="Yes",$AQ60,$KK60))*('Port Linkages'!$A$18:$A$157&lt;=$C60))))</f>
        <v>none</v>
      </c>
      <c r="ABY60" s="75">
        <f t="array" ref="ABY60">INDEX('Port Linkages'!$AN$18:$AN$157,MATCH(2,1/(('Port Linkages'!$C$18:$C$157=$AP60)*('Port Linkages'!$D$18:$D$157=IF($AO60="Yes",$AQ60,$KK60))*('Port Linkages'!$A$18:$A$157&lt;=$C60))))</f>
        <v>5100</v>
      </c>
      <c r="ABZ60" s="75">
        <f t="array" ref="ABZ60">INDEX('Port Linkages'!$AO$18:$AO$157,MATCH(2,1/(('Port Linkages'!$C$18:$C$157=$AP60)*('Port Linkages'!$D$18:$D$157=IF($AO60="Yes",$AQ60,$KK60))*('Port Linkages'!$A$18:$A$157&lt;=$C60))))</f>
        <v>0</v>
      </c>
      <c r="ACA60" s="75" t="str">
        <f t="array" ref="ACA60">INDEX('Port Linkages'!$AP$18:$AP$157,MATCH(2,1/(('Port Linkages'!$C$18:$C$157=$AP60)*('Port Linkages'!$D$18:$D$157=IF($AO60="Yes",$AQ60,$KK60))*('Port Linkages'!$A$18:$A$157&lt;=$C60))))</f>
        <v>Supramax_General</v>
      </c>
      <c r="ACB60" s="75" t="str">
        <f t="array" ref="ACB60">INDEX('Port Linkages'!$AQ$18:$AQ$157,MATCH(2,1/(('Port Linkages'!$C$18:$C$157=$AP60)*('Port Linkages'!$D$18:$D$157=IF($AO60="Yes",$AQ60,$KK60))*('Port Linkages'!$A$18:$A$157&lt;=$C60))))</f>
        <v>Singapore</v>
      </c>
      <c r="ACC60" s="75" t="str">
        <f t="array" ref="ACC60">INDEX('Port Linkages'!$AR$18:$AR$157,MATCH(2,1/(('Port Linkages'!$C$18:$C$157=$AP60)*('Port Linkages'!$D$18:$D$157=IF($AO60="Yes",$AQ60,$KK60))*('Port Linkages'!$A$18:$A$157&lt;=$C60))))</f>
        <v>VLSFO</v>
      </c>
      <c r="ACD60" s="75" t="str">
        <f t="array" ref="ACD60">INDEX('Port Linkages'!$AS$18:$AS$157,MATCH(2,1/(('Port Linkages'!$C$18:$C$157=$AP60)*('Port Linkages'!$D$18:$D$157=IF($AO60="Yes",$AQ60,$KK60))*('Port Linkages'!$A$18:$A$157&lt;=$C60))))</f>
        <v>MGO_Regular</v>
      </c>
      <c r="ACE60" s="75" t="str">
        <f t="array" ref="ACE60">INDEX('Port Linkages'!$AT$18:$AT$157,MATCH(2,1/(('Port Linkages'!$C$18:$C$157=$AP60)*('Port Linkages'!$D$18:$D$157=IF($AO60="Yes",$AQ60,$KK60))*('Port Linkages'!$A$18:$A$157&lt;=$C60))))</f>
        <v>none</v>
      </c>
      <c r="ACF60" s="75">
        <f t="array" ref="ACF60">INDEX('Port Linkages'!$AU$18:$AU$157,MATCH(2,1/(('Port Linkages'!$C$18:$C$157=$AP60)*('Port Linkages'!$D$18:$D$157=IF($AO60="Yes",$AQ60,$KK60))*('Port Linkages'!$A$18:$A$157&lt;=$C60))))</f>
        <v>5100</v>
      </c>
      <c r="ACG60" s="75">
        <f t="array" ref="ACG60">INDEX('Port Linkages'!$AV$18:$AV$157,MATCH(2,1/(('Port Linkages'!$C$18:$C$157=$AP60)*('Port Linkages'!$D$18:$D$157=IF($AO60="Yes",$AQ60,$KK60))*('Port Linkages'!$A$18:$A$157&lt;=$C60))))</f>
        <v>0</v>
      </c>
      <c r="ACH60" s="75" t="str">
        <f t="array" ref="ACH60">INDEX('Port Linkages'!$AW$18:$AW$157,MATCH(2,1/(('Port Linkages'!$C$18:$C$157=$AP60)*('Port Linkages'!$D$18:$D$157=IF($AO60="Yes",$AQ60,$KK60))*('Port Linkages'!$A$18:$A$157&lt;=$C60))))</f>
        <v>Handysize_General</v>
      </c>
      <c r="ACI60" s="75" t="str">
        <f t="array" ref="ACI60">INDEX('Port Linkages'!$AX$18:$AX$157,MATCH(2,1/(('Port Linkages'!$C$18:$C$157=$AP60)*('Port Linkages'!$D$18:$D$157=IF($AO60="Yes",$AQ60,$KK60))*('Port Linkages'!$A$18:$A$157&lt;=$C60))))</f>
        <v>Singapore</v>
      </c>
      <c r="ACJ60" s="75" t="str">
        <f t="array" ref="ACJ60">INDEX('Port Linkages'!$AY$18:$AY$157,MATCH(2,1/(('Port Linkages'!$C$18:$C$157=$AP60)*('Port Linkages'!$D$18:$D$157=IF($AO60="Yes",$AQ60,$KK60))*('Port Linkages'!$A$18:$A$157&lt;=$C60))))</f>
        <v>VLSFO</v>
      </c>
      <c r="ACK60" s="75" t="str">
        <f t="array" ref="ACK60">INDEX('Port Linkages'!$AZ$18:$AZ$157,MATCH(2,1/(('Port Linkages'!$C$18:$C$157=$AP60)*('Port Linkages'!$D$18:$D$157=IF($AO60="Yes",$AQ60,$KK60))*('Port Linkages'!$A$18:$A$157&lt;=$C60))))</f>
        <v>MGO_Regular</v>
      </c>
      <c r="ACL60" s="75" t="str">
        <f t="array" ref="ACL60">INDEX('Port Linkages'!$BA$18:$BA$157,MATCH(2,1/(('Port Linkages'!$C$18:$C$157=$AP60)*('Port Linkages'!$D$18:$D$157=IF($AO60="Yes",$AQ60,$KK60))*('Port Linkages'!$A$18:$A$157&lt;=$C60))))</f>
        <v>none</v>
      </c>
      <c r="ACN60" s="25" t="e">
        <f t="array" aca="1" ref="ACN60" ca="1">INDEX('Ship Fuel Prices'!$F$5:$F$1004,MATCH(2,1/(('Ship Fuel Prices'!$E$5:$E$1004=_xlfn.IFS(AAC60="Handysize",Main!ACI60,AAC60="Supramax",ACB60,AAC60="Panamax",ABU60,AAC60="NeoPanamax",ABN60,AAC60="Suezmax",ABG60,AAC60="Capesize",AAZ60,AAC60="VLOC",AAS60))*('Ship Fuel Prices'!$D$5:$D$1004&lt;=Main!$C60))))</f>
        <v>#N/A</v>
      </c>
      <c r="ACO60" s="25" t="e">
        <f t="array" aca="1" ref="ACO60" ca="1">INDEX('Ship Fuel Prices'!$G$5:$G$1004,MATCH(2,1/(('Ship Fuel Prices'!$E$5:$E$1004=_xlfn.IFS(AAC60="Handysize",Main!ACI60,AAC60="Supramax",ACB60,AAC60="Panamax",ABU60,AAC60="NeoPanamax",ABN60,AAC60="Suezmax",ABG60,AAC60="Capesize",AAZ60,AAC60="VLOC",AAS60))*('Ship Fuel Prices'!$D$5:$D$1004&lt;=Main!$C60))))</f>
        <v>#N/A</v>
      </c>
      <c r="ACP60" s="25" t="e">
        <f t="array" aca="1" ref="ACP60" ca="1">INDEX('Ship Fuel Prices'!$H$5:$H$1004,MATCH(2,1/(('Ship Fuel Prices'!$E$5:$E$1004=_xlfn.IFS(AAC60="Handysize",Main!ACI60,AAC60="Supramax",ACB60,AAC60="Panamax",ABU60,AAC60="NeoPanamax",ABN60,AAC60="Suezmax",ABG60,AAC60="Capesize",AAZ60,AAC60="VLOC",AAS60))*('Ship Fuel Prices'!$D$5:$D$1004&lt;=Main!$C60))))</f>
        <v>#N/A</v>
      </c>
      <c r="ACQ60" s="25" t="e">
        <f t="array" aca="1" ref="ACQ60" ca="1">INDEX('Ship Fuel Prices'!$I$5:$I$1004,MATCH(2,1/(('Ship Fuel Prices'!$E$5:$E$1004=_xlfn.IFS(AAC60="Handysize",Main!ACI60,AAC60="Supramax",ACB60,AAC60="Panamax",ABU60,AAC60="NeoPanamax",ABN60,AAC60="Suezmax",ABG60,AAC60="Capesize",AAZ60,AAC60="VLOC",AAS60))*('Ship Fuel Prices'!$D$5:$D$1004&lt;=Main!$C60))))</f>
        <v>#N/A</v>
      </c>
      <c r="ACR60" s="25" t="e">
        <f t="array" aca="1" ref="ACR60" ca="1">INDEX('Ship Fuel Prices'!$J$5:$J$1004,MATCH(2,1/(('Ship Fuel Prices'!$E$5:$E$1004=_xlfn.IFS(AAC60="Handysize",Main!ACI60,AAC60="Supramax",ACB60,AAC60="Panamax",ABU60,AAC60="NeoPanamax",ABN60,AAC60="Suezmax",ABG60,AAC60="Capesize",AAZ60,AAC60="VLOC",AAS60))*('Ship Fuel Prices'!$D$5:$D$1004&lt;=Main!$C60))))</f>
        <v>#N/A</v>
      </c>
      <c r="ACT60" s="75">
        <f t="array" ref="ACT60">INDEX('China n Importing Ports'!$E$20:$E$41,MATCH(2,1/(('China n Importing Ports'!$D$20:$D$41&lt;=$C60)*('China n Importing Ports'!$C$20:$C$41=IF($AO60="Yes",$AQ60,$KK60)))))</f>
        <v>42500</v>
      </c>
      <c r="ACU60" s="75">
        <f t="array" ref="ACU60">INDEX('China n Importing Ports'!$F$20:$F$41,MATCH(2,1/(('China n Importing Ports'!$D$20:$D$41&lt;=$C60)*('China n Importing Ports'!$C$20:$C$41=IF($AO60="Yes",$AQ60,$KK60)))))</f>
        <v>42500</v>
      </c>
      <c r="ACV60" s="75">
        <f t="array" ref="ACV60">INDEX('China n Importing Ports'!$G$20:$G$41,MATCH(2,1/(('China n Importing Ports'!$D$20:$D$41&lt;=$C60)*('China n Importing Ports'!$C$20:$C$41=IF($AO60="Yes",$AQ60,$KK60)))))</f>
        <v>42500</v>
      </c>
      <c r="ACW60" s="75">
        <f t="array" ref="ACW60">INDEX('China n Importing Ports'!$H$20:$H$41,MATCH(2,1/(('China n Importing Ports'!$D$20:$D$41&lt;=$C60)*('China n Importing Ports'!$C$20:$C$41=IF($AO60="Yes",$AQ60,$KK60)))))</f>
        <v>42500</v>
      </c>
      <c r="ACX60" s="75">
        <f t="array" ref="ACX60">INDEX('China n Importing Ports'!$I$20:$I$41,MATCH(2,1/(('China n Importing Ports'!$D$20:$D$41&lt;=$C60)*('China n Importing Ports'!$C$20:$C$41=IF($AO60="Yes",$AQ60,$KK60)))))</f>
        <v>42500</v>
      </c>
      <c r="ACY60" s="75">
        <f t="array" ref="ACY60">INDEX('China n Importing Ports'!$J$20:$J$41,MATCH(2,1/(('China n Importing Ports'!$D$20:$D$41&lt;=$C60)*('China n Importing Ports'!$C$20:$C$41=IF($AO60="Yes",$AQ60,$KK60)))))</f>
        <v>42500</v>
      </c>
      <c r="ACZ60" s="75">
        <f t="array" ref="ACZ60">INDEX('China n Importing Ports'!$K$20:$K$41,MATCH(2,1/(('China n Importing Ports'!$D$20:$D$41&lt;=$C60)*('China n Importing Ports'!$C$20:$C$41=IF($AO60="Yes",$AQ60,$KK60)))))</f>
        <v>42500</v>
      </c>
      <c r="ADA60" s="75" t="str">
        <f t="array" ref="ADA60">INDEX('China n Importing Ports'!$L$20:$L$41,MATCH(2,1/(('China n Importing Ports'!$D$20:$D$41&lt;=$C60)*('China n Importing Ports'!$C$20:$C$41=IF($AO60="Yes",$AQ60,$KK60)))))</f>
        <v>RMB</v>
      </c>
      <c r="ADB60" s="75">
        <f t="array" ref="ADB60">INDEX('China n Importing Ports'!$M$20:$M$41,MATCH(2,1/(('China n Importing Ports'!$D$20:$D$41&lt;=$C60)*('China n Importing Ports'!$C$20:$C$41=IF($AO60="Yes",$AQ60,$KK60)))))</f>
        <v>12342</v>
      </c>
      <c r="ADC60" s="75">
        <f t="array" ref="ADC60">INDEX('China n Importing Ports'!$N$20:$N$41,MATCH(2,1/(('China n Importing Ports'!$D$20:$D$41&lt;=$C60)*('China n Importing Ports'!$C$20:$C$41=IF($AO60="Yes",$AQ60,$KK60)))))</f>
        <v>0</v>
      </c>
      <c r="ADD60" s="75">
        <f t="array" ref="ADD60">INDEX('China n Importing Ports'!$O$20:$O$41,MATCH(2,1/(('China n Importing Ports'!$D$20:$D$41&lt;=$C60)*('China n Importing Ports'!$C$20:$C$41=IF($AO60="Yes",$AQ60,$KK60)))))</f>
        <v>0</v>
      </c>
      <c r="ADE60" s="136">
        <f t="array" ref="ADE60">INDEX('China n Importing Ports'!$P$20:$P$41,MATCH(2,1/(('China n Importing Ports'!$D$20:$D$41&lt;=$C60)*('China n Importing Ports'!$C$20:$C$41=IF($AO60="Yes",$AQ60,$KK60)))))</f>
        <v>2.64</v>
      </c>
      <c r="ADF60" s="136">
        <f t="array" ref="ADF60">INDEX('China n Importing Ports'!$Q$20:$Q$41,MATCH(2,1/(('China n Importing Ports'!$D$20:$D$41&lt;=$C60)*('China n Importing Ports'!$C$20:$C$41=IF($AO60="Yes",$AQ60,$KK60)))))</f>
        <v>0</v>
      </c>
      <c r="ADG60" s="136">
        <f t="array" ref="ADG60">INDEX('China n Importing Ports'!$R$20:$R$41,MATCH(2,1/(('China n Importing Ports'!$D$20:$D$41&lt;=$C60)*('China n Importing Ports'!$C$20:$C$41=IF($AO60="Yes",$AQ60,$KK60)))))</f>
        <v>0</v>
      </c>
      <c r="ADH60" s="136">
        <f t="array" ref="ADH60">INDEX('China n Importing Ports'!$S$20:$S$41,MATCH(2,1/(('China n Importing Ports'!$D$20:$D$41&lt;=$C60)*('China n Importing Ports'!$C$20:$C$41=IF($AO60="Yes",$AQ60,$KK60)))))</f>
        <v>4.53</v>
      </c>
      <c r="ADI60" s="136">
        <f t="array" ref="ADI60">INDEX('China n Importing Ports'!$T$20:$T$41,MATCH(2,1/(('China n Importing Ports'!$D$20:$D$41&lt;=$C60)*('China n Importing Ports'!$C$20:$C$41=IF($AO60="Yes",$AQ60,$KK60)))))</f>
        <v>0.36699999999999999</v>
      </c>
      <c r="ADJ60" s="136">
        <f t="array" ref="ADJ60">INDEX('China n Importing Ports'!$U$20:$U$41,MATCH(2,1/(('China n Importing Ports'!$D$20:$D$41&lt;=$C60)*('China n Importing Ports'!$C$20:$C$41=IF($AO60="Yes",$AQ60,$KK60)))))</f>
        <v>0.05</v>
      </c>
      <c r="ADK60" s="136">
        <f t="array" ref="ADK60">INDEX('China n Importing Ports'!$V$20:$V$41,MATCH(2,1/(('China n Importing Ports'!$D$20:$D$41&lt;=$C60)*('China n Importing Ports'!$C$20:$C$41=IF($AO60="Yes",$AQ60,$KK60)))))</f>
        <v>0</v>
      </c>
      <c r="ADL60" s="136">
        <f t="array" ref="ADL60">INDEX('China n Importing Ports'!$W$20:$W$41,MATCH(2,1/(('China n Importing Ports'!$D$20:$D$41&lt;=$C60)*('China n Importing Ports'!$C$20:$C$41=IF($AO60="Yes",$AQ60,$KK60)))))</f>
        <v>0</v>
      </c>
      <c r="ADM60" s="136">
        <f t="array" ref="ADM60">INDEX('China n Importing Ports'!$X$20:$X$41,MATCH(2,1/(('China n Importing Ports'!$D$20:$D$41&lt;=$C60)*('China n Importing Ports'!$C$20:$C$41=IF($AO60="Yes",$AQ60,$KK60)))))</f>
        <v>0</v>
      </c>
      <c r="ADN60" s="136">
        <f t="array" ref="ADN60">INDEX('China n Importing Ports'!$Y$20:$Y$41,MATCH(2,1/(('China n Importing Ports'!$D$20:$D$41&lt;=$C60)*('China n Importing Ports'!$C$20:$C$41=IF($AO60="Yes",$AQ60,$KK60)))))</f>
        <v>197</v>
      </c>
      <c r="ADO60" s="136">
        <f t="array" ref="ADO60">INDEX('China n Importing Ports'!$Z$20:$Z$41,MATCH(2,1/(('China n Importing Ports'!$D$20:$D$41&lt;=$C60)*('China n Importing Ports'!$C$20:$C$41=IF($AO60="Yes",$AQ60,$KK60)))))</f>
        <v>0</v>
      </c>
      <c r="ADP60" s="136">
        <f t="array" ref="ADP60">INDEX('China n Importing Ports'!$AA$20:$AA$41,MATCH(2,1/(('China n Importing Ports'!$D$20:$D$41&lt;=$C60)*('China n Importing Ports'!$C$20:$C$41=IF($AO60="Yes",$AQ60,$KK60)))))</f>
        <v>0</v>
      </c>
      <c r="ADR60" s="75" t="e">
        <f t="array" aca="1" ref="ADR60" ca="1">INDEX(Canals!$G$24:$G$29,MATCH(2,1/((Canals!$F$24:$F$29&lt;=$C60)*(Canals!$G$24:$G$29=_xlfn.IFS(AAC60="Handysize",Main!ACL60,AAC60="Supramax",ACE60,AAC60="Panamax",ABX60,AAC60="NeoPanamax",ABQ60,AAC60="Suezmax",ABJ60,AAC60="Capesize",ABC60,AAC60="VLOC",AAV60)))))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S60" s="75" t="e">
        <f t="array" aca="1" ref="ADS60" ca="1">INDEX(Canals!$H$24:$H$29,MATCH(2,1/((Canals!$F$24:$F$29&lt;=$C60)*(Canals!$G$24:$G$29=_xlfn.IFS(AAC60="Handysize",Main!ACL60,AAC60="Supramax",ACE60,AAC60="Panamax",ABX60,AAC60="NeoPanamax",ABQ60,AAC60="Suezmax",ABJ60,AAC60="Capesize",ABC60,AAC60="VLOC",AAV60)))))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T60" s="75" t="e">
        <f t="array" aca="1" ref="ADT60" ca="1">INDEX(Canals!$I$24:$I$29,MATCH(2,1/((Canals!$F$24:$F$29&lt;=$C60)*(Canals!$G$24:$G$29=_xlfn.IFS(AAC60="Handysize",Main!ACL60,AAC60="Supramax",ACE60,AAC60="Panamax",ABX60,AAC60="NeoPanamax",ABQ60,AAC60="Suezmax",ABJ60,AAC60="Capesize",ABC60,AAC60="VLOC",AAV60)))))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U60" s="75" t="e">
        <f t="array" aca="1" ref="ADU60" ca="1">INDEX(Canals!$J$24:$J$29,MATCH(2,1/((Canals!$F$24:$F$29&lt;=$C60)*(Canals!$G$24:$G$29=_xlfn.IFS(AAC60="Handysize",Main!ACL60,AAC60="Supramax",ACE60,AAC60="Panamax",ABX60,AAC60="NeoPanamax",ABQ60,AAC60="Suezmax",ABJ60,AAC60="Capesize",ABC60,AAC60="VLOC",AAV60)))))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V60" s="75" t="e">
        <f t="array" aca="1" ref="ADV60" ca="1">INDEX(Canals!$K$24:$K$29,MATCH(2,1/((Canals!$F$24:$F$29&lt;=$C60)*(Canals!$G$24:$G$29=_xlfn.IFS(AAC60="Handysize",Main!ACL60,AAC60="Supramax",ACE60,AAC60="Panamax",ABX60,AAC60="NeoPanamax",ABQ60,AAC60="Suezmax",ABJ60,AAC60="Capesize",ABC60,AAC60="VLOC",AAV60)))))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W60" s="75" t="e">
        <f t="array" aca="1" ref="ADW60" ca="1">INDEX(Canals!$L$24:$L$29,MATCH(2,1/((Canals!$F$24:$F$29&lt;=$C60)*(Canals!$G$24:$G$29=_xlfn.IFS(AAC60="Handysize",Main!ACL60,AAC60="Supramax",ACE60,AAC60="Panamax",ABX60,AAC60="NeoPanamax",ABQ60,AAC60="Suezmax",ABJ60,AAC60="Capesize",ABC60,AAC60="VLOC",AAV60)))))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X60" s="75" t="e">
        <f t="array" aca="1" ref="ADX60" ca="1">INDEX(Canals!$M$24:$M$29,MATCH(2,1/((Canals!$F$24:$F$29&lt;=$C60)*(Canals!$G$24:$G$29=_xlfn.IFS(AAC60="Handysize",Main!ACL60,AAC60="Supramax",ACE60,AAC60="Panamax",ABX60,AAC60="NeoPanamax",ABQ60,AAC60="Suezmax",ABJ60,AAC60="Capesize",ABC60,AAC60="VLOC",AAV60)))))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Y60" s="75" t="e">
        <f t="array" aca="1" ref="ADY60" ca="1">INDEX(Canals!$N$24:$N$29,MATCH(2,1/((Canals!$F$24:$F$29&lt;=$C60)*(Canals!$G$24:$G$29=_xlfn.IFS(AAC60="Handysize",Main!ACL60,AAC60="Supramax",ACE60,AAC60="Panamax",ABX60,AAC60="NeoPanamax",ABQ60,AAC60="Suezmax",ABJ60,AAC60="Capesize",ABC60,AAC60="VLOC",AAV60)))))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DZ60" s="75" t="e">
        <f t="array" aca="1" ref="ADZ60" ca="1">INDEX(Canals!$O$24:$O$29,MATCH(2,1/((Canals!$F$24:$F$29&lt;=$C60)*(Canals!$G$24:$G$29=_xlfn.IFS(AAC60="Handysize",Main!ACL60,AAC60="Supramax",ACE60,AAC60="Panamax",ABX60,AAC60="NeoPanamax",ABQ60,AAC60="Suezmax",ABJ60,AAC60="Capesize",ABC60,AAC60="VLOC",AAV60)))))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A60" s="75" t="e">
        <f t="array" aca="1" ref="AEA60" ca="1">INDEX(Canals!$P$24:$P$29,MATCH(2,1/((Canals!$F$24:$F$29&lt;=$C60)*(Canals!$G$24:$G$29=_xlfn.IFS(AAC60="Handysize",Main!ACL60,AAC60="Supramax",ACE60,AAC60="Panamax",ABX60,AAC60="NeoPanamax",ABQ60,AAC60="Suezmax",ABJ60,AAC60="Capesize",ABC60,AAC60="VLOC",AAV60)))))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B60" s="75" t="e">
        <f t="array" aca="1" ref="AEB60" ca="1">INDEX(Canals!$Q$24:$Q$29,MATCH(2,1/((Canals!$F$24:$F$29&lt;=$C60)*(Canals!$G$24:$G$29=_xlfn.IFS(AAC60="Handysize",Main!ACL60,AAC60="Supramax",ACE60,AAC60="Panamax",ABX60,AAC60="NeoPanamax",ABQ60,AAC60="Suezmax",ABJ60,AAC60="Capesize",ABC60,AAC60="VLOC",AAV60)))))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C60" s="75" t="e">
        <f t="array" aca="1" ref="AEC60" ca="1">INDEX(Canals!$R$24:$R$29,MATCH(2,1/((Canals!$F$24:$F$29&lt;=$C60)*(Canals!$G$24:$G$29=_xlfn.IFS(AAC60="Handysize",Main!ACL60,AAC60="Supramax",ACE60,AAC60="Panamax",ABX60,AAC60="NeoPanamax",ABQ60,AAC60="Suezmax",ABJ60,AAC60="Capesize",ABC60,AAC60="VLOC",AAV60)))))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D60" s="136" t="e">
        <f t="array" aca="1" ref="AED60" ca="1">INDEX(Canals!$S$24:$S$29,MATCH(2,1/((Canals!$F$24:$F$29&lt;=$C60)*(Canals!$G$24:$G$29=_xlfn.IFS(AAC60="Handysize",Main!ACL60,AAC60="Supramax",ACE60,AAC60="Panamax",ABX60,AAC60="NeoPanamax",ABQ60,AAC60="Suezmax",ABJ60,AAC60="Capesize",ABC60,AAC60="VLOC",AAV60)))))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E60" s="136" t="e">
        <f t="array" aca="1" ref="AEE60" ca="1">INDEX(Canals!$T$24:$T$29,MATCH(2,1/((Canals!$F$24:$F$29&lt;=$C60)*(Canals!$G$24:$G$29=_xlfn.IFS(AAC60="Handysize",Main!ACL60,AAC60="Supramax",ACE60,AAC60="Panamax",ABX60,AAC60="NeoPanamax",ABQ60,AAC60="Suezmax",ABJ60,AAC60="Capesize",ABC60,AAC60="VLOC",AAV60)))))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F60" s="136" t="e">
        <f t="array" aca="1" ref="AEF60" ca="1">INDEX(Canals!$U$24:$U$29,MATCH(2,1/((Canals!$F$24:$F$29&lt;=$C60)*(Canals!$G$24:$G$29=_xlfn.IFS(AAC60="Handysize",Main!ACL60,AAC60="Supramax",ACE60,AAC60="Panamax",ABX60,AAC60="NeoPanamax",ABQ60,AAC60="Suezmax",ABJ60,AAC60="Capesize",ABC60,AAC60="VLOC",AAV60)))))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G60" s="136" t="e">
        <f t="array" aca="1" ref="AEG60" ca="1">INDEX(Canals!$V$24:$V$29,MATCH(2,1/((Canals!$F$24:$F$29&lt;=$C60)*(Canals!$G$24:$G$29=_xlfn.IFS(AAC60="Handysize",Main!ACL60,AAC60="Supramax",ACE60,AAC60="Panamax",ABX60,AAC60="NeoPanamax",ABQ60,AAC60="Suezmax",ABJ60,AAC60="Capesize",ABC60,AAC60="VLOC",AAV60)))))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H60" s="136" t="e">
        <f t="array" aca="1" ref="AEH60" ca="1">INDEX(Canals!$W$24:$W$29,MATCH(2,1/((Canals!$F$24:$F$29&lt;=$C60)*(Canals!$G$24:$G$29=_xlfn.IFS(AAC60="Handysize",Main!ACL60,AAC60="Supramax",ACE60,AAC60="Panamax",ABX60,AAC60="NeoPanamax",ABQ60,AAC60="Suezmax",ABJ60,AAC60="Capesize",ABC60,AAC60="VLOC",AAV60)))))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I60" s="136" t="e">
        <f t="array" aca="1" ref="AEI60" ca="1">INDEX(Canals!$X$24:$X$29,MATCH(2,1/((Canals!$F$24:$F$29&lt;=$C60)*(Canals!$G$24:$G$29=_xlfn.IFS(AAC60="Handysize",Main!ACL60,AAC60="Supramax",ACE60,AAC60="Panamax",ABX60,AAC60="NeoPanamax",ABQ60,AAC60="Suezmax",ABJ60,AAC60="Capesize",ABC60,AAC60="VLOC",AAV60)))))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J60" s="136" t="e">
        <f t="array" aca="1" ref="AEJ60" ca="1">INDEX(Canals!$Y$24:$Y$29,MATCH(2,1/((Canals!$F$24:$F$29&lt;=$C60)*(Canals!$G$24:$G$29=_xlfn.IFS(AAC60="Handysize",Main!ACL60,AAC60="Supramax",ACE60,AAC60="Panamax",ABX60,AAC60="NeoPanamax",ABQ60,AAC60="Suezmax",ABJ60,AAC60="Capesize",ABC60,AAC60="VLOC",AAV60)))))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K60" s="136" t="e">
        <f t="array" aca="1" ref="AEK60" ca="1">INDEX(Canals!$Z$24:$Z$29,MATCH(2,1/((Canals!$F$24:$F$29&lt;=$C60)*(Canals!$G$24:$G$29=_xlfn.IFS(AAC60="Handysize",Main!ACL60,AAC60="Supramax",ACE60,AAC60="Panamax",ABX60,AAC60="NeoPanamax",ABQ60,AAC60="Suezmax",ABJ60,AAC60="Capesize",ABC60,AAC60="VLOC",AAV60)))))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L60" s="136" t="e">
        <f t="array" aca="1" ref="AEL60" ca="1">INDEX(Canals!$AA$24:$AA$29,MATCH(2,1/((Canals!$F$24:$F$29&lt;=$C60)*(Canals!$G$24:$G$29=_xlfn.IFS(AAC60="Handysize",Main!ACL60,AAC60="Supramax",ACE60,AAC60="Panamax",ABX60,AAC60="NeoPanamax",ABQ60,AAC60="Suezmax",ABJ60,AAC60="Capesize",ABC60,AAC60="VLOC",AAV60)))))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M60" s="136" t="e">
        <f t="array" aca="1" ref="AEM60" ca="1">INDEX(Canals!$AB$24:$AB$29,MATCH(2,1/((Canals!$F$24:$F$29&lt;=$C60)*(Canals!$G$24:$G$29=_xlfn.IFS(AAC60="Handysize",Main!ACL60,AAC60="Supramax",ACE60,AAC60="Panamax",ABX60,AAC60="NeoPanamax",ABQ60,AAC60="Suezmax",ABJ60,AAC60="Capesize",ABC60,AAC60="VLOC",AAV60)))))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N60" s="75" t="e">
        <f t="array" aca="1" ref="AEN60" ca="1">INDEX(Canals!$AC$24:$AC$29,MATCH(2,1/((Canals!$F$24:$F$29&lt;=$C60)*(Canals!$G$24:$G$29=_xlfn.IFS(AAC60="Handysize",Main!ACL60,AAC60="Supramax",ACE60,AAC60="Panamax",ABX60,AAC60="NeoPanamax",ABQ60,AAC60="Suezmax",ABJ60,AAC60="Capesize",ABC60,AAC60="VLOC",AAV60)))))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O60" s="75" t="e">
        <f t="array" aca="1" ref="AEO60" ca="1">INDEX(Canals!$AD$24:$AD$29,MATCH(2,1/((Canals!$F$24:$F$29&lt;=$C60)*(Canals!$G$24:$G$29=_xlfn.IFS(AAC60="Handysize",Main!ACL60,AAC60="Supramax",ACE60,AAC60="Panamax",ABX60,AAC60="NeoPanamax",ABQ60,AAC60="Suezmax",ABJ60,AAC60="Capesize",ABC60,AAC60="VLOC",AAV60)))))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P60" s="75" t="e">
        <f t="array" aca="1" ref="AEP60" ca="1">INDEX(Canals!$AE$24:$AE$29,MATCH(2,1/((Canals!$F$24:$F$29&lt;=$C60)*(Canals!$G$24:$G$29=_xlfn.IFS(AAC60="Handysize",Main!ACL60,AAC60="Supramax",ACE60,AAC60="Panamax",ABX60,AAC60="NeoPanamax",ABQ60,AAC60="Suezmax",ABJ60,AAC60="Capesize",ABC60,AAC60="VLOC",AAV60)))))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Q60" s="75" t="e">
        <f t="array" aca="1" ref="AEQ60" ca="1">INDEX(Canals!$AF$24:$AF$29,MATCH(2,1/((Canals!$F$24:$F$29&lt;=$C60)*(Canals!$G$24:$G$29=_xlfn.IFS(AAC60="Handysize",Main!ACL60,AAC60="Supramax",ACE60,AAC60="Panamax",ABX60,AAC60="NeoPanamax",ABQ60,AAC60="Suezmax",ABJ60,AAC60="Capesize",ABC60,AAC60="VLOC",AAV60)))))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R60" s="75" t="e">
        <f t="array" aca="1" ref="AER60" ca="1">INDEX(Canals!$AG$24:$AG$29,MATCH(2,1/((Canals!$F$24:$F$29&lt;=$C60)*(Canals!$G$24:$G$29=_xlfn.IFS(AAC60="Handysize",Main!ACL60,AAC60="Supramax",ACE60,AAC60="Panamax",ABX60,AAC60="NeoPanamax",ABQ60,AAC60="Suezmax",ABJ60,AAC60="Capesize",ABC60,AAC60="VLOC",AAV60)))))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S60" s="75" t="e">
        <f t="array" aca="1" ref="AES60" ca="1">INDEX(Canals!$AH$24:$AH$29,MATCH(2,1/((Canals!$F$24:$F$29&lt;=$C60)*(Canals!$G$24:$G$29=_xlfn.IFS(AAC60="Handysize",Main!ACL60,AAC60="Supramax",ACE60,AAC60="Panamax",ABX60,AAC60="NeoPanamax",ABQ60,AAC60="Suezmax",ABJ60,AAC60="Capesize",ABC60,AAC60="VLOC",AAV60)))))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T60" s="75" t="e">
        <f t="array" aca="1" ref="AET60" ca="1">INDEX(Canals!$AI$24:$AI$29,MATCH(2,1/((Canals!$F$24:$F$29&lt;=$C60)*(Canals!$G$24:$G$29=_xlfn.IFS(AAC60="Handysize",Main!ACL60,AAC60="Supramax",ACE60,AAC60="Panamax",ABX60,AAC60="NeoPanamax",ABQ60,AAC60="Suezmax",ABJ60,AAC60="Capesize",ABC60,AAC60="VLOC",AAV60)))))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U60" s="75" t="e">
        <f t="array" aca="1" ref="AEU60" ca="1">INDEX(Canals!$AJ$24:$AJ$29,MATCH(2,1/((Canals!$F$24:$F$29&lt;=$C60)*(Canals!$G$24:$G$29=_xlfn.IFS(AAC60="Handysize",Main!ACL60,AAC60="Supramax",ACE60,AAC60="Panamax",ABX60,AAC60="NeoPanamax",ABQ60,AAC60="Suezmax",ABJ60,AAC60="Capesize",ABC60,AAC60="VLOC",AAV60)))))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V60" s="75" t="e">
        <f t="array" aca="1" ref="AEV60" ca="1">INDEX(Canals!$AK$24:$AK$29,MATCH(2,1/((Canals!$F$24:$F$29&lt;=$C60)*(Canals!$G$24:$G$29=_xlfn.IFS(AAC60="Handysize",Main!ACL60,AAC60="Supramax",ACE60,AAC60="Panamax",ABX60,AAC60="NeoPanamax",ABQ60,AAC60="Suezmax",ABJ60,AAC60="Capesize",ABC60,AAC60="VLOC",AAV60)))))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W60" s="136" t="e">
        <f t="array" aca="1" ref="AEW60" ca="1">INDEX(Canals!$AL$24:$AL$29,MATCH(2,1/((Canals!$F$24:$F$29&lt;=$C60)*(Canals!$G$24:$G$29=_xlfn.IFS(AAC60="Handysize",Main!ACL60,AAC60="Supramax",ACE60,AAC60="Panamax",ABX60,AAC60="NeoPanamax",ABQ60,AAC60="Suezmax",ABJ60,AAC60="Capesize",ABC60,AAC60="VLOC",AAV60)))))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X60" s="136" t="e">
        <f t="array" aca="1" ref="AEX60" ca="1">INDEX(Canals!$AM$24:$AM$29,MATCH(2,1/((Canals!$F$24:$F$29&lt;=$C60)*(Canals!$G$24:$G$29=_xlfn.IFS(AAC60="Handysize",Main!ACL60,AAC60="Supramax",ACE60,AAC60="Panamax",ABX60,AAC60="NeoPanamax",ABQ60,AAC60="Suezmax",ABJ60,AAC60="Capesize",ABC60,AAC60="VLOC",AAV60)))))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Y60" s="136" t="e">
        <f t="array" aca="1" ref="AEY60" ca="1">INDEX(Canals!$AN$24:$AN$29,MATCH(2,1/((Canals!$F$24:$F$29&lt;=$C60)*(Canals!$G$24:$G$29=_xlfn.IFS(AAC60="Handysize",Main!ACL60,AAC60="Supramax",ACE60,AAC60="Panamax",ABX60,AAC60="NeoPanamax",ABQ60,AAC60="Suezmax",ABJ60,AAC60="Capesize",ABC60,AAC60="VLOC",AAV60)))))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EZ60" s="136" t="e">
        <f t="array" aca="1" ref="AEZ60" ca="1">INDEX(Canals!$AO$24:$AO$29,MATCH(2,1/((Canals!$F$24:$F$29&lt;=$C60)*(Canals!$G$24:$G$29=_xlfn.IFS(AAC60="Handysize",Main!ACL60,AAC60="Supramax",ACE60,AAC60="Panamax",ABX60,AAC60="NeoPanamax",ABQ60,AAC60="Suezmax",ABJ60,AAC60="Capesize",ABC60,AAC60="VLOC",AAV60)))))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A60" s="136" t="e">
        <f t="array" aca="1" ref="AFA60" ca="1">INDEX(Canals!$AP$24:$AP$29,MATCH(2,1/((Canals!$F$24:$F$29&lt;=$C60)*(Canals!$G$24:$G$29=_xlfn.IFS(AAC60="Handysize",Main!ACL60,AAC60="Supramax",ACE60,AAC60="Panamax",ABX60,AAC60="NeoPanamax",ABQ60,AAC60="Suezmax",ABJ60,AAC60="Capesize",ABC60,AAC60="VLOC",AAV60)))))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B60" s="136" t="e">
        <f t="array" aca="1" ref="AFB60" ca="1">INDEX(Canals!$AQ$24:$AQ$29,MATCH(2,1/((Canals!$F$24:$F$29&lt;=$C60)*(Canals!$G$24:$G$29=_xlfn.IFS(AAC60="Handysize",Main!ACL60,AAC60="Supramax",ACE60,AAC60="Panamax",ABX60,AAC60="NeoPanamax",ABQ60,AAC60="Suezmax",ABJ60,AAC60="Capesize",ABC60,AAC60="VLOC",AAV60)))))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C60" s="136" t="e">
        <f t="array" aca="1" ref="AFC60" ca="1">INDEX(Canals!$AR$24:$AR$29,MATCH(2,1/((Canals!$F$24:$F$29&lt;=$C60)*(Canals!$G$24:$G$29=_xlfn.IFS(AAC60="Handysize",Main!ACL60,AAC60="Supramax",ACE60,AAC60="Panamax",ABX60,AAC60="NeoPanamax",ABQ60,AAC60="Suezmax",ABJ60,AAC60="Capesize",ABC60,AAC60="VLOC",AAV60)))))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D60" s="136" t="e">
        <f t="array" aca="1" ref="AFD60" ca="1">INDEX(Canals!$AS$24:$AS$29,MATCH(2,1/((Canals!$F$24:$F$29&lt;=$C60)*(Canals!$G$24:$G$29=_xlfn.IFS(AAC60="Handysize",Main!ACL60,AAC60="Supramax",ACE60,AAC60="Panamax",ABX60,AAC60="NeoPanamax",ABQ60,AAC60="Suezmax",ABJ60,AAC60="Capesize",ABC60,AAC60="VLOC",AAV60)))))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E60" s="136" t="e">
        <f t="array" aca="1" ref="AFE60" ca="1">INDEX(Canals!$AT$24:$AT$29,MATCH(2,1/((Canals!$F$24:$F$29&lt;=$C60)*(Canals!$G$24:$G$29=_xlfn.IFS(AAC60="Handysize",Main!ACL60,AAC60="Supramax",ACE60,AAC60="Panamax",ABX60,AAC60="NeoPanamax",ABQ60,AAC60="Suezmax",ABJ60,AAC60="Capesize",ABC60,AAC60="VLOC",AAV60)))))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F60" s="136" t="e">
        <f t="array" aca="1" ref="AFF60" ca="1">INDEX(Canals!$AU$24:$AU$29,MATCH(2,1/((Canals!$F$24:$F$29&lt;=$C60)*(Canals!$G$24:$G$29=_xlfn.IFS(AAC60="Handysize",Main!ACL60,AAC60="Supramax",ACE60,AAC60="Panamax",ABX60,AAC60="NeoPanamax",ABQ60,AAC60="Suezmax",ABJ60,AAC60="Capesize",ABC60,AAC60="VLOC",AAV60)))))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G60" s="136" t="e">
        <f t="array" aca="1" ref="AFG60" ca="1">INDEX(Canals!$AV$24:$AV$29,MATCH(2,1/((Canals!$F$24:$F$29&lt;=$C60)*(Canals!$G$24:$G$29=_xlfn.IFS(AAC60="Handysize",Main!ACL60,AAC60="Supramax",ACE60,AAC60="Panamax",ABX60,AAC60="NeoPanamax",ABQ60,AAC60="Suezmax",ABJ60,AAC60="Capesize",ABC60,AAC60="VLOC",AAV60)))))</f>
        <v>#N/A</v>
      </c>
      <c r="AFI60" s="75" t="e">
        <f t="array" aca="1" ref="AFI60" ca="1">_xlfn.IFS(ADT60="DWT",AAA60,ADT60="NRT",AAE60,ADT60="GRT",AAF60)</f>
        <v>#NAME?</v>
      </c>
      <c r="AFJ60" s="279" t="e">
        <f t="shared" ca="1" si="508"/>
        <v>#NAME?</v>
      </c>
      <c r="AFK60" s="280" t="e">
        <f t="shared" ca="1" si="509"/>
        <v>#NAME?</v>
      </c>
      <c r="AFL60" s="280" t="e">
        <f t="shared" ca="1" si="510"/>
        <v>#NAME?</v>
      </c>
      <c r="AFM60" s="280" t="e">
        <f t="shared" ca="1" si="511"/>
        <v>#NAME?</v>
      </c>
      <c r="AFN60" s="280" t="e">
        <f t="shared" ca="1" si="512"/>
        <v>#NAME?</v>
      </c>
      <c r="AFO60" s="280" t="e">
        <f t="shared" ca="1" si="513"/>
        <v>#NAME?</v>
      </c>
      <c r="AFP60" s="280" t="e">
        <f t="shared" ca="1" si="514"/>
        <v>#NAME?</v>
      </c>
      <c r="AFQ60" s="280" t="e">
        <f t="shared" ca="1" si="515"/>
        <v>#NAME?</v>
      </c>
      <c r="AFR60" s="280" t="e">
        <f t="shared" ca="1" si="516"/>
        <v>#NAME?</v>
      </c>
      <c r="AFS60" s="75">
        <f t="shared" si="517"/>
        <v>162365.59139784946</v>
      </c>
      <c r="AFT60" s="279" t="e">
        <f t="shared" ca="1" si="518"/>
        <v>#N/A</v>
      </c>
      <c r="AFU60" s="280" t="e">
        <f t="shared" ca="1" si="519"/>
        <v>#N/A</v>
      </c>
      <c r="AFV60" s="280" t="e">
        <f t="shared" ca="1" si="520"/>
        <v>#N/A</v>
      </c>
      <c r="AFW60" s="280" t="e">
        <f t="shared" ca="1" si="521"/>
        <v>#N/A</v>
      </c>
      <c r="AFX60" s="280" t="e">
        <f t="shared" ca="1" si="522"/>
        <v>#N/A</v>
      </c>
      <c r="AFY60" s="280" t="e">
        <f t="shared" ca="1" si="523"/>
        <v>#N/A</v>
      </c>
      <c r="AFZ60" s="280" t="e">
        <f t="shared" ca="1" si="524"/>
        <v>#N/A</v>
      </c>
      <c r="AGA60" s="280" t="e">
        <f t="shared" ca="1" si="525"/>
        <v>#N/A</v>
      </c>
      <c r="AGB60" s="280" t="e">
        <f t="shared" ca="1" si="526"/>
        <v>#N/A</v>
      </c>
      <c r="AGD60" s="75" t="e">
        <f t="array" aca="1" ref="AGD60" ca="1">_xlfn.IFS(AAC60="Handysize",Main!ACF60,AAC60="Supramax",ABY60,AAC60="Panamax",ABR60,AAC60="NeoPanamax",ABK60,AAC60="Suezmax",ABD60,AAC60="Capesize",AAW60,AAC60="VLOC",AAP60)*$JI60</f>
        <v>#NAME?</v>
      </c>
      <c r="AGE60" s="274" t="e">
        <f t="array" aca="1" ref="AGE60" ca="1">_xlfn.IFS(AAC60="Handysize",Main!ACG60,AAC60="Supramax",ABZ60,AAC60="Panamax",ABS60,AAC60="NeoPanamax",ABL60,AAC60="Suezmax",ABE60,AAC60="Capesize",AAX60,AAC60="VLOC",AAQ60)*$JI60</f>
        <v>#NAME?</v>
      </c>
      <c r="AGF60" s="71" t="e">
        <f t="array" aca="1" ref="AGF60" ca="1">_xlfn.IFS(AAC60="Handysize",Main!AAH60,AAC60="Supramax",AAI60,AAC60="Panamax",AAJ60,AAC60="NeoPanamax",AAK60,AAC60="Suezmax",AAL60,AAC60="Capesize",AAM60,AAC60="VLOC",AAN60)</f>
        <v>#NAME?</v>
      </c>
      <c r="AGG60" s="71" t="e">
        <f t="array" aca="1" ref="AGG60" ca="1">_xlfn.IFS(AAC60="Handysize",Main!ACT60,AAC60="Supramax",ACU60,AAC60="Panamax",ACV60,AAC60="NeoPanamax",ACW60,AAC60="Suezmax",ACX60,AAC60="Capesize",ACY60,AAC60="VLOC",ACZ60)</f>
        <v>#NAME?</v>
      </c>
      <c r="AGH60" s="70">
        <f t="array" ref="AGH60">INDEX('Ship Speeds'!$G$11:$G$1011,MATCH(2,1/(('Ship Speeds'!$E$11:$E$1011&lt;=Main!$C60)*('Ship Speeds'!$F$11:$F$1011=Main!AAB60))))</f>
        <v>11</v>
      </c>
      <c r="AGI60" s="403">
        <f t="shared" si="527"/>
        <v>34.194210588857487</v>
      </c>
      <c r="AGJ60" s="401">
        <f t="shared" si="528"/>
        <v>2.9785277088502893</v>
      </c>
      <c r="AGK60" s="70" t="e">
        <f t="shared" ca="1" si="529"/>
        <v>#NAME?</v>
      </c>
      <c r="AGL60" s="70" t="e">
        <f t="shared" ca="1" si="530"/>
        <v>#NAME?</v>
      </c>
      <c r="AGM60" s="70" t="e">
        <f t="shared" ca="1" si="531"/>
        <v>#NAME?</v>
      </c>
      <c r="AGN60" s="70" t="e">
        <f t="shared" ca="1" si="532"/>
        <v>#NAME?</v>
      </c>
      <c r="AGO60" s="72" t="e">
        <f t="shared" ca="1" si="533"/>
        <v>#N/A</v>
      </c>
      <c r="AGP60" s="70" t="e">
        <f t="shared" ca="1" si="534"/>
        <v>#NAME?</v>
      </c>
      <c r="AGQ60" s="70" t="e">
        <f t="array" aca="1" ref="AGQ60" ca="1">INDEX(ACN60:ACR60,MATCH(_xlfn.IFS(AAC60="Handysize",Main!ACJ60,AAC60="Supramax",ACC60,AAC60="Panamax",ABV60,AAC60="NeoPanamax",ABO60,AAC60="Suezmax",ABH60,AAC60="Capesize",ABA60,AAC60="VLOC",AAT60),$ACN$7:$ACR$7,0))</f>
        <v>#NAME?</v>
      </c>
      <c r="AGR60" s="70" t="e">
        <f t="array" aca="1" ref="AGR60" ca="1">INDEX(ACN60:ACR60,MATCH(_xlfn.IFS(AAC60="Handysize",Main!ACK60,AAC60="Supramax",ACD60,AAC60="Panamax",ABW60,AAC60="NeoPanamax",ABP60,AAC60="Suezmax",ABI60,AAC60="Capesize",ABB60,AAC60="VLOC",AAU60),$ACN$7:$ACR$7,0))</f>
        <v>#NAME?</v>
      </c>
      <c r="AGS60" s="71" t="e">
        <f t="shared" ca="1" si="535"/>
        <v>#NAME?</v>
      </c>
      <c r="AGT60" s="71" t="e">
        <f t="shared" ca="1" si="536"/>
        <v>#NAME?</v>
      </c>
      <c r="AGU60" s="281">
        <f t="shared" si="537"/>
        <v>7.0834199999999994</v>
      </c>
      <c r="AGV60" s="71">
        <f t="shared" si="538"/>
        <v>1742.3786814843679</v>
      </c>
      <c r="AGW60" s="71" t="e">
        <f t="shared" ca="1" si="539"/>
        <v>#NAME?</v>
      </c>
      <c r="AGX60" s="71" t="e">
        <f t="shared" ca="1" si="540"/>
        <v>#NAME?</v>
      </c>
      <c r="AGY60" s="71">
        <f t="shared" si="541"/>
        <v>60513.870600687609</v>
      </c>
      <c r="AGZ60" s="71" t="e">
        <f t="shared" ca="1" si="542"/>
        <v>#NAME?</v>
      </c>
      <c r="AHA60" s="71" t="e">
        <f t="shared" ca="1" si="543"/>
        <v>#NAME?</v>
      </c>
      <c r="AHB60" s="71">
        <f t="shared" si="544"/>
        <v>42961.603793099363</v>
      </c>
      <c r="AHC60" s="71" t="e">
        <f t="shared" ca="1" si="545"/>
        <v>#NAME?</v>
      </c>
      <c r="AHD60" s="71" t="e">
        <f t="shared" ca="1" si="546"/>
        <v>#NAME?</v>
      </c>
      <c r="AHE60" s="71">
        <f t="shared" si="547"/>
        <v>0</v>
      </c>
      <c r="AHF60" s="71" t="e">
        <f t="shared" ca="1" si="548"/>
        <v>#NAME?</v>
      </c>
      <c r="AHG60" s="71" t="e">
        <f t="shared" ca="1" si="549"/>
        <v>#NAME?</v>
      </c>
      <c r="AHH60" s="72">
        <f t="shared" si="550"/>
        <v>8100.6239307107917</v>
      </c>
      <c r="AHI60" s="72" t="e">
        <f t="shared" ca="1" si="551"/>
        <v>#NAME?</v>
      </c>
      <c r="AHJ60" s="71" t="e">
        <f t="shared" ca="1" si="552"/>
        <v>#NAME?</v>
      </c>
      <c r="AHK60" s="71" t="e">
        <f t="array" aca="1" ref="AHK60" ca="1">INDEX('Ship Time Charter Rates'!$H$22:$H$1021,MATCH(2,1/(('Ship Time Charter Rates'!$G$22:$G$1021=_xlfn.IFS(AAC60="Handysize",Main!ACH60,AAC60="Supramax",ACA60,AAC60="Panamax",ABT60,AAC60="NeoPanamax",ABM60,AAC60="Suezmax",ABF60,AAC60="Capesize",AAY60,AAC60="VLOC",AAR60))*('Ship Time Charter Rates'!$E$22:$E$1021&lt;=Main!$C60)*(NOT(ISBLANK('Ship Time Charter Rates'!$H$22:$H$1021))))))</f>
        <v>#N/A</v>
      </c>
      <c r="AHL60" s="71" t="e">
        <f t="shared" ca="1" si="553"/>
        <v>#NAME?</v>
      </c>
      <c r="AHM60" s="70" t="e">
        <f t="shared" ca="1" si="554"/>
        <v>#N/A</v>
      </c>
      <c r="AHN60" s="71" t="e">
        <f t="shared" ca="1" si="555"/>
        <v>#NAME?</v>
      </c>
      <c r="AHO60" s="71" t="e">
        <f t="shared" ca="1" si="556"/>
        <v>#NAME?</v>
      </c>
      <c r="AHP60" s="72" t="e">
        <f t="shared" ca="1" si="557"/>
        <v>#NAME?</v>
      </c>
      <c r="AHR60" s="25">
        <f t="shared" si="673"/>
        <v>0</v>
      </c>
      <c r="AHS60" s="4" t="str">
        <f>VLOOKUP(AHR60,'Ship Time Charter Rates'!$F$10:$G$17,2,TRUE)</f>
        <v>Handysize</v>
      </c>
      <c r="AHT60" s="4" t="str">
        <f>VLOOKUP(AHR60,Canals!$E$5:$F$12,2,TRUE)</f>
        <v>Handysize</v>
      </c>
      <c r="AHU60" s="25">
        <f t="shared" si="558"/>
        <v>145.88999999999999</v>
      </c>
      <c r="AHV60" s="25">
        <f t="shared" si="559"/>
        <v>0</v>
      </c>
      <c r="AHW60" s="25">
        <f t="shared" si="560"/>
        <v>4797</v>
      </c>
      <c r="AHY60" s="75">
        <f t="array" ref="AHY60">INDEX('Indices Mines Exporting Ports'!$R$20:$R$51,MATCH(2,1/(('Indices Mines Exporting Ports'!$D$20:$D$51&lt;=Main!$C60)*('Indices Mines Exporting Ports'!$Q$20:$Q$51=$AQ60))))</f>
        <v>0</v>
      </c>
      <c r="AHZ60" s="75">
        <f t="array" ref="AHZ60">INDEX('Indices Mines Exporting Ports'!$S$20:$S$51,MATCH(2,1/(('Indices Mines Exporting Ports'!$D$20:$D$51&lt;=Main!$C60)*('Indices Mines Exporting Ports'!$Q$20:$Q$51=$AQ60))))</f>
        <v>0</v>
      </c>
      <c r="AIA60" s="75">
        <f t="array" ref="AIA60">INDEX('Indices Mines Exporting Ports'!$T$20:$T$51,MATCH(2,1/(('Indices Mines Exporting Ports'!$D$20:$D$51&lt;=Main!$C60)*('Indices Mines Exporting Ports'!$Q$20:$Q$51=$AQ60))))</f>
        <v>0</v>
      </c>
      <c r="AIB60" s="75">
        <f t="array" ref="AIB60">INDEX('Indices Mines Exporting Ports'!$U$20:$U$51,MATCH(2,1/(('Indices Mines Exporting Ports'!$D$20:$D$51&lt;=Main!$C60)*('Indices Mines Exporting Ports'!$Q$20:$Q$51=$AQ60))))</f>
        <v>0</v>
      </c>
      <c r="AIC60" s="75">
        <f t="array" ref="AIC60">INDEX('Indices Mines Exporting Ports'!$V$20:$V$51,MATCH(2,1/(('Indices Mines Exporting Ports'!$D$20:$D$51&lt;=Main!$C60)*('Indices Mines Exporting Ports'!$Q$20:$Q$51=$AQ60))))</f>
        <v>0</v>
      </c>
      <c r="AID60" s="75">
        <f t="array" ref="AID60">INDEX('Indices Mines Exporting Ports'!$W$20:$W$51,MATCH(2,1/(('Indices Mines Exporting Ports'!$D$20:$D$51&lt;=Main!$C60)*('Indices Mines Exporting Ports'!$Q$20:$Q$51=$AQ60))))</f>
        <v>0</v>
      </c>
      <c r="AIE60" s="75">
        <f t="array" ref="AIE60">INDEX('Indices Mines Exporting Ports'!$X$20:$X$51,MATCH(2,1/(('Indices Mines Exporting Ports'!$D$20:$D$51&lt;=Main!$C60)*('Indices Mines Exporting Ports'!$Q$20:$Q$51=$AQ60))))</f>
        <v>0</v>
      </c>
      <c r="AIG60" s="75">
        <f t="array" ref="AIG60">INDEX('Port Linkages'!$E$18:$E$157,MATCH(2,1/(('Port Linkages'!$C$18:$C$157=$AQ60)*('Port Linkages'!$D$18:$D$157=IF($AO60="no",$AQ60,$KK60))*('Port Linkages'!$A$18:$A$157&lt;=$C60))))</f>
        <v>0</v>
      </c>
      <c r="AIH60" s="75">
        <f t="array" ref="AIH60">INDEX('Port Linkages'!$F$18:$F$157,MATCH(2,1/(('Port Linkages'!$C$18:$C$157=$AQ60)*('Port Linkages'!$D$18:$D$157=IF($AO60="no",$AQ60,$KK60))*('Port Linkages'!$A$18:$A$157&lt;=$C60))))</f>
        <v>0</v>
      </c>
      <c r="AII60" s="75">
        <f t="array" ref="AII60">INDEX('Port Linkages'!$G$18:$G$157,MATCH(2,1/(('Port Linkages'!$C$18:$C$157=$AQ60)*('Port Linkages'!$D$18:$D$157=IF($AO60="no",$AQ60,$KK60))*('Port Linkages'!$A$18:$A$157&lt;=$C60))))</f>
        <v>0</v>
      </c>
      <c r="AIJ60" s="75">
        <f t="array" ref="AIJ60">INDEX('Port Linkages'!$H$18:$H$157,MATCH(2,1/(('Port Linkages'!$C$18:$C$157=$AQ60)*('Port Linkages'!$D$18:$D$157=IF($AO60="no",$AQ60,$KK60))*('Port Linkages'!$A$18:$A$157&lt;=$C60))))</f>
        <v>0</v>
      </c>
      <c r="AIK60" s="75">
        <f t="array" ref="AIK60">INDEX('Port Linkages'!$I$18:$I$157,MATCH(2,1/(('Port Linkages'!$C$18:$C$157=$AQ60)*('Port Linkages'!$D$18:$D$157=IF($AO60="no",$AQ60,$KK60))*('Port Linkages'!$A$18:$A$157&lt;=$C60))))</f>
        <v>0</v>
      </c>
      <c r="AIL60" s="75">
        <f t="array" ref="AIL60">INDEX('Port Linkages'!$J$18:$J$157,MATCH(2,1/(('Port Linkages'!$C$18:$C$157=$AQ60)*('Port Linkages'!$D$18:$D$157=IF($AO60="no",$AQ60,$KK60))*('Port Linkages'!$A$18:$A$157&lt;=$C60))))</f>
        <v>0</v>
      </c>
      <c r="AIM60" s="75">
        <f t="array" ref="AIM60">INDEX('Port Linkages'!$K$18:$K$157,MATCH(2,1/(('Port Linkages'!$C$18:$C$157=$AQ60)*('Port Linkages'!$D$18:$D$157=IF($AO60="no",$AQ60,$KK60))*('Port Linkages'!$A$18:$A$157&lt;=$C60))))</f>
        <v>0</v>
      </c>
      <c r="AIN60" s="75">
        <f t="array" ref="AIN60">INDEX('Port Linkages'!$L$18:$L$157,MATCH(2,1/(('Port Linkages'!$C$18:$C$157=$AQ60)*('Port Linkages'!$D$18:$D$157=IF($AO60="no",$AQ60,$KK60))*('Port Linkages'!$A$18:$A$157&lt;=$C60))))</f>
        <v>0</v>
      </c>
      <c r="AIO60" s="75">
        <f t="array" ref="AIO60">INDEX('Port Linkages'!$M$18:$M$157,MATCH(2,1/(('Port Linkages'!$C$18:$C$157=$AQ60)*('Port Linkages'!$D$18:$D$157=IF($AO60="no",$AQ60,$KK60))*('Port Linkages'!$A$18:$A$157&lt;=$C60))))</f>
        <v>0</v>
      </c>
      <c r="AIP60" s="75">
        <f t="array" ref="AIP60">INDEX('Port Linkages'!$N$18:$N$157,MATCH(2,1/(('Port Linkages'!$C$18:$C$157=$AQ60)*('Port Linkages'!$D$18:$D$157=IF($AO60="no",$AQ60,$KK60))*('Port Linkages'!$A$18:$A$157&lt;=$C60))))</f>
        <v>0</v>
      </c>
      <c r="AIQ60" s="75">
        <f t="array" ref="AIQ60">INDEX('Port Linkages'!$O$18:$O$157,MATCH(2,1/(('Port Linkages'!$C$18:$C$157=$AQ60)*('Port Linkages'!$D$18:$D$157=IF($AO60="no",$AQ60,$KK60))*('Port Linkages'!$A$18:$A$157&lt;=$C60))))</f>
        <v>0</v>
      </c>
      <c r="AIR60" s="75">
        <f t="array" ref="AIR60">INDEX('Port Linkages'!$P$18:$P$157,MATCH(2,1/(('Port Linkages'!$C$18:$C$157=$AQ60)*('Port Linkages'!$D$18:$D$157=IF($AO60="no",$AQ60,$KK60))*('Port Linkages'!$A$18:$A$157&lt;=$C60))))</f>
        <v>0</v>
      </c>
      <c r="AIS60" s="75">
        <f t="array" ref="AIS60">INDEX('Port Linkages'!$Q$18:$Q$157,MATCH(2,1/(('Port Linkages'!$C$18:$C$157=$AQ60)*('Port Linkages'!$D$18:$D$157=IF($AO60="no",$AQ60,$KK60))*('Port Linkages'!$A$18:$A$157&lt;=$C60))))</f>
        <v>0</v>
      </c>
      <c r="AIT60" s="75">
        <f t="array" ref="AIT60">INDEX('Port Linkages'!$R$18:$R$157,MATCH(2,1/(('Port Linkages'!$C$18:$C$157=$AQ60)*('Port Linkages'!$D$18:$D$157=IF($AO60="no",$AQ60,$KK60))*('Port Linkages'!$A$18:$A$157&lt;=$C60))))</f>
        <v>0</v>
      </c>
      <c r="AIU60" s="75">
        <f t="array" ref="AIU60">INDEX('Port Linkages'!$S$18:$S$157,MATCH(2,1/(('Port Linkages'!$C$18:$C$157=$AQ60)*('Port Linkages'!$D$18:$D$157=IF($AO60="no",$AQ60,$KK60))*('Port Linkages'!$A$18:$A$157&lt;=$C60))))</f>
        <v>0</v>
      </c>
      <c r="AIV60" s="75">
        <f t="array" ref="AIV60">INDEX('Port Linkages'!$T$18:$T$157,MATCH(2,1/(('Port Linkages'!$C$18:$C$157=$AQ60)*('Port Linkages'!$D$18:$D$157=IF($AO60="no",$AQ60,$KK60))*('Port Linkages'!$A$18:$A$157&lt;=$C60))))</f>
        <v>0</v>
      </c>
      <c r="AIW60" s="75">
        <f t="array" ref="AIW60">INDEX('Port Linkages'!$U$18:$U$157,MATCH(2,1/(('Port Linkages'!$C$18:$C$157=$AQ60)*('Port Linkages'!$D$18:$D$157=IF($AO60="no",$AQ60,$KK60))*('Port Linkages'!$A$18:$A$157&lt;=$C60))))</f>
        <v>0</v>
      </c>
      <c r="AIX60" s="75">
        <f t="array" ref="AIX60">INDEX('Port Linkages'!$V$18:$V$157,MATCH(2,1/(('Port Linkages'!$C$18:$C$157=$AQ60)*('Port Linkages'!$D$18:$D$157=IF($AO60="no",$AQ60,$KK60))*('Port Linkages'!$A$18:$A$157&lt;=$C60))))</f>
        <v>0</v>
      </c>
      <c r="AIY60" s="75">
        <f t="array" ref="AIY60">INDEX('Port Linkages'!$W$18:$W$157,MATCH(2,1/(('Port Linkages'!$C$18:$C$157=$AQ60)*('Port Linkages'!$D$18:$D$157=IF($AO60="no",$AQ60,$KK60))*('Port Linkages'!$A$18:$A$157&lt;=$C60))))</f>
        <v>0</v>
      </c>
      <c r="AIZ60" s="75">
        <f t="array" ref="AIZ60">INDEX('Port Linkages'!$X$18:$X$157,MATCH(2,1/(('Port Linkages'!$C$18:$C$157=$AQ60)*('Port Linkages'!$D$18:$D$157=IF($AO60="no",$AQ60,$KK60))*('Port Linkages'!$A$18:$A$157&lt;=$C60))))</f>
        <v>0</v>
      </c>
      <c r="AJA60" s="75">
        <f t="array" ref="AJA60">INDEX('Port Linkages'!$Y$18:$Y$157,MATCH(2,1/(('Port Linkages'!$C$18:$C$157=$AQ60)*('Port Linkages'!$D$18:$D$157=IF($AO60="no",$AQ60,$KK60))*('Port Linkages'!$A$18:$A$157&lt;=$C60))))</f>
        <v>0</v>
      </c>
      <c r="AJB60" s="75">
        <f t="array" ref="AJB60">INDEX('Port Linkages'!$Z$18:$Z$157,MATCH(2,1/(('Port Linkages'!$C$18:$C$157=$AQ60)*('Port Linkages'!$D$18:$D$157=IF($AO60="no",$AQ60,$KK60))*('Port Linkages'!$A$18:$A$157&lt;=$C60))))</f>
        <v>0</v>
      </c>
      <c r="AJC60" s="75">
        <f t="array" ref="AJC60">INDEX('Port Linkages'!$AA$18:$AA$157,MATCH(2,1/(('Port Linkages'!$C$18:$C$157=$AQ60)*('Port Linkages'!$D$18:$D$157=IF($AO60="no",$AQ60,$KK60))*('Port Linkages'!$A$18:$A$157&lt;=$C60))))</f>
        <v>0</v>
      </c>
      <c r="AJD60" s="75">
        <f t="array" ref="AJD60">INDEX('Port Linkages'!$AB$18:$AB$157,MATCH(2,1/(('Port Linkages'!$C$18:$C$157=$AQ60)*('Port Linkages'!$D$18:$D$157=IF($AO60="no",$AQ60,$KK60))*('Port Linkages'!$A$18:$A$157&lt;=$C60))))</f>
        <v>0</v>
      </c>
      <c r="AJE60" s="75">
        <f t="array" ref="AJE60">INDEX('Port Linkages'!$AC$18:$AC$157,MATCH(2,1/(('Port Linkages'!$C$18:$C$157=$AQ60)*('Port Linkages'!$D$18:$D$157=IF($AO60="no",$AQ60,$KK60))*('Port Linkages'!$A$18:$A$157&lt;=$C60))))</f>
        <v>0</v>
      </c>
      <c r="AJF60" s="75">
        <f t="array" ref="AJF60">INDEX('Port Linkages'!$AD$18:$AD$157,MATCH(2,1/(('Port Linkages'!$C$18:$C$157=$AQ60)*('Port Linkages'!$D$18:$D$157=IF($AO60="no",$AQ60,$KK60))*('Port Linkages'!$A$18:$A$157&lt;=$C60))))</f>
        <v>0</v>
      </c>
      <c r="AJG60" s="75">
        <f t="array" ref="AJG60">INDEX('Port Linkages'!$AE$18:$AE$157,MATCH(2,1/(('Port Linkages'!$C$18:$C$157=$AQ60)*('Port Linkages'!$D$18:$D$157=IF($AO60="no",$AQ60,$KK60))*('Port Linkages'!$A$18:$A$157&lt;=$C60))))</f>
        <v>0</v>
      </c>
      <c r="AJH60" s="75">
        <f t="array" ref="AJH60">INDEX('Port Linkages'!$AF$18:$AF$157,MATCH(2,1/(('Port Linkages'!$C$18:$C$157=$AQ60)*('Port Linkages'!$D$18:$D$157=IF($AO60="no",$AQ60,$KK60))*('Port Linkages'!$A$18:$A$157&lt;=$C60))))</f>
        <v>0</v>
      </c>
      <c r="AJI60" s="75">
        <f t="array" ref="AJI60">INDEX('Port Linkages'!$AG$18:$AG$157,MATCH(2,1/(('Port Linkages'!$C$18:$C$157=$AQ60)*('Port Linkages'!$D$18:$D$157=IF($AO60="no",$AQ60,$KK60))*('Port Linkages'!$A$18:$A$157&lt;=$C60))))</f>
        <v>0</v>
      </c>
      <c r="AJJ60" s="75">
        <f t="array" ref="AJJ60">INDEX('Port Linkages'!$AH$18:$AH$157,MATCH(2,1/(('Port Linkages'!$C$18:$C$157=$AQ60)*('Port Linkages'!$D$18:$D$157=IF($AO60="no",$AQ60,$KK60))*('Port Linkages'!$A$18:$A$157&lt;=$C60))))</f>
        <v>0</v>
      </c>
      <c r="AJK60" s="75">
        <f t="array" ref="AJK60">INDEX('Port Linkages'!$AI$18:$AI$157,MATCH(2,1/(('Port Linkages'!$C$18:$C$157=$AQ60)*('Port Linkages'!$D$18:$D$157=IF($AO60="no",$AQ60,$KK60))*('Port Linkages'!$A$18:$A$157&lt;=$C60))))</f>
        <v>0</v>
      </c>
      <c r="AJL60" s="75">
        <f t="array" ref="AJL60">INDEX('Port Linkages'!$AJ$18:$AJ$157,MATCH(2,1/(('Port Linkages'!$C$18:$C$157=$AQ60)*('Port Linkages'!$D$18:$D$157=IF($AO60="no",$AQ60,$KK60))*('Port Linkages'!$A$18:$A$157&lt;=$C60))))</f>
        <v>0</v>
      </c>
      <c r="AJM60" s="75">
        <f t="array" ref="AJM60">INDEX('Port Linkages'!$AK$18:$AK$157,MATCH(2,1/(('Port Linkages'!$C$18:$C$157=$AQ60)*('Port Linkages'!$D$18:$D$157=IF($AO60="no",$AQ60,$KK60))*('Port Linkages'!$A$18:$A$157&lt;=$C60))))</f>
        <v>0</v>
      </c>
      <c r="AJN60" s="75">
        <f t="array" ref="AJN60">INDEX('Port Linkages'!$AL$18:$AL$157,MATCH(2,1/(('Port Linkages'!$C$18:$C$157=$AQ60)*('Port Linkages'!$D$18:$D$157=IF($AO60="no",$AQ60,$KK60))*('Port Linkages'!$A$18:$A$157&lt;=$C60))))</f>
        <v>0</v>
      </c>
      <c r="AJO60" s="75">
        <f t="array" ref="AJO60">INDEX('Port Linkages'!$AM$18:$AM$157,MATCH(2,1/(('Port Linkages'!$C$18:$C$157=$AQ60)*('Port Linkages'!$D$18:$D$157=IF($AO60="no",$AQ60,$KK60))*('Port Linkages'!$A$18:$A$157&lt;=$C60))))</f>
        <v>0</v>
      </c>
      <c r="AJP60" s="75">
        <f t="array" ref="AJP60">INDEX('Port Linkages'!$AN$18:$AN$157,MATCH(2,1/(('Port Linkages'!$C$18:$C$157=$AQ60)*('Port Linkages'!$D$18:$D$157=IF($AO60="no",$AQ60,$KK60))*('Port Linkages'!$A$18:$A$157&lt;=$C60))))</f>
        <v>0</v>
      </c>
      <c r="AJQ60" s="75">
        <f t="array" ref="AJQ60">INDEX('Port Linkages'!$AO$18:$AO$157,MATCH(2,1/(('Port Linkages'!$C$18:$C$157=$AQ60)*('Port Linkages'!$D$18:$D$157=IF($AO60="no",$AQ60,$KK60))*('Port Linkages'!$A$18:$A$157&lt;=$C60))))</f>
        <v>0</v>
      </c>
      <c r="AJR60" s="75">
        <f t="array" ref="AJR60">INDEX('Port Linkages'!$AP$18:$AP$157,MATCH(2,1/(('Port Linkages'!$C$18:$C$157=$AQ60)*('Port Linkages'!$D$18:$D$157=IF($AO60="no",$AQ60,$KK60))*('Port Linkages'!$A$18:$A$157&lt;=$C60))))</f>
        <v>0</v>
      </c>
      <c r="AJS60" s="75">
        <f t="array" ref="AJS60">INDEX('Port Linkages'!$AQ$18:$AQ$157,MATCH(2,1/(('Port Linkages'!$C$18:$C$157=$AQ60)*('Port Linkages'!$D$18:$D$157=IF($AO60="no",$AQ60,$KK60))*('Port Linkages'!$A$18:$A$157&lt;=$C60))))</f>
        <v>0</v>
      </c>
      <c r="AJT60" s="75">
        <f t="array" ref="AJT60">INDEX('Port Linkages'!$AR$18:$AR$157,MATCH(2,1/(('Port Linkages'!$C$18:$C$157=$AQ60)*('Port Linkages'!$D$18:$D$157=IF($AO60="no",$AQ60,$KK60))*('Port Linkages'!$A$18:$A$157&lt;=$C60))))</f>
        <v>0</v>
      </c>
      <c r="AJU60" s="75">
        <f t="array" ref="AJU60">INDEX('Port Linkages'!$AS$18:$AS$157,MATCH(2,1/(('Port Linkages'!$C$18:$C$157=$AQ60)*('Port Linkages'!$D$18:$D$157=IF($AO60="no",$AQ60,$KK60))*('Port Linkages'!$A$18:$A$157&lt;=$C60))))</f>
        <v>0</v>
      </c>
      <c r="AJV60" s="75">
        <f t="array" ref="AJV60">INDEX('Port Linkages'!$AT$18:$AT$157,MATCH(2,1/(('Port Linkages'!$C$18:$C$157=$AQ60)*('Port Linkages'!$D$18:$D$157=IF($AO60="no",$AQ60,$KK60))*('Port Linkages'!$A$18:$A$157&lt;=$C60))))</f>
        <v>0</v>
      </c>
      <c r="AJW60" s="75">
        <f t="array" ref="AJW60">INDEX('Port Linkages'!$AU$18:$AU$157,MATCH(2,1/(('Port Linkages'!$C$18:$C$157=$AQ60)*('Port Linkages'!$D$18:$D$157=IF($AO60="no",$AQ60,$KK60))*('Port Linkages'!$A$18:$A$157&lt;=$C60))))</f>
        <v>0</v>
      </c>
      <c r="AJX60" s="75">
        <f t="array" ref="AJX60">INDEX('Port Linkages'!$AV$18:$AV$157,MATCH(2,1/(('Port Linkages'!$C$18:$C$157=$AQ60)*('Port Linkages'!$D$18:$D$157=IF($AO60="no",$AQ60,$KK60))*('Port Linkages'!$A$18:$A$157&lt;=$C60))))</f>
        <v>0</v>
      </c>
      <c r="AJY60" s="75">
        <f t="array" ref="AJY60">INDEX('Port Linkages'!$AW$18:$AW$157,MATCH(2,1/(('Port Linkages'!$C$18:$C$157=$AQ60)*('Port Linkages'!$D$18:$D$157=IF($AO60="no",$AQ60,$KK60))*('Port Linkages'!$A$18:$A$157&lt;=$C60))))</f>
        <v>0</v>
      </c>
      <c r="AJZ60" s="75">
        <f t="array" ref="AJZ60">INDEX('Port Linkages'!$AX$18:$AX$157,MATCH(2,1/(('Port Linkages'!$C$18:$C$157=$AQ60)*('Port Linkages'!$D$18:$D$157=IF($AO60="no",$AQ60,$KK60))*('Port Linkages'!$A$18:$A$157&lt;=$C60))))</f>
        <v>0</v>
      </c>
      <c r="AKA60" s="75">
        <f t="array" ref="AKA60">INDEX('Port Linkages'!$AY$18:$AY$157,MATCH(2,1/(('Port Linkages'!$C$18:$C$157=$AQ60)*('Port Linkages'!$D$18:$D$157=IF($AO60="no",$AQ60,$KK60))*('Port Linkages'!$A$18:$A$157&lt;=$C60))))</f>
        <v>0</v>
      </c>
      <c r="AKB60" s="75">
        <f t="array" ref="AKB60">INDEX('Port Linkages'!$AZ$18:$AZ$157,MATCH(2,1/(('Port Linkages'!$C$18:$C$157=$AQ60)*('Port Linkages'!$D$18:$D$157=IF($AO60="no",$AQ60,$KK60))*('Port Linkages'!$A$18:$A$157&lt;=$C60))))</f>
        <v>0</v>
      </c>
      <c r="AKC60" s="75">
        <f t="array" ref="AKC60">INDEX('Port Linkages'!$BA$18:$BA$157,MATCH(2,1/(('Port Linkages'!$C$18:$C$157=$AQ60)*('Port Linkages'!$D$18:$D$157=IF($AO60="no",$AQ60,$KK60))*('Port Linkages'!$A$18:$A$157&lt;=$C60))))</f>
        <v>0</v>
      </c>
      <c r="AKE60" s="25" t="e">
        <f t="array" aca="1" ref="AKE60" ca="1">INDEX('Ship Fuel Prices'!$F$5:$F$1004,MATCH(2,1/(('Ship Fuel Prices'!$E$5:$E$1004=_xlfn.IFS(AHT60="Handysize",Main!AJZ60,AHT60="Supramax",AJS60,AHT60="Panamax",AJL60,AHT60="NeoPanamax",AJE60,AHT60="Suezmax",AIX60,AHT60="Capesize",AIQ60,AHT60="VLOC",AIJ60))*('Ship Fuel Prices'!$D$5:$D$1004&lt;=Main!$C60))))</f>
        <v>#N/A</v>
      </c>
      <c r="AKF60" s="25" t="e">
        <f t="array" aca="1" ref="AKF60" ca="1">INDEX('Ship Fuel Prices'!$G$5:$G$1004,MATCH(2,1/(('Ship Fuel Prices'!$E$5:$E$1004=_xlfn.IFS(AHT60="Handysize",Main!AJZ60,AHT60="Supramax",AJS60,AHT60="Panamax",AJL60,AHT60="NeoPanamax",AJE60,AHT60="Suezmax",AIX60,AHT60="Capesize",AIQ60,AHT60="VLOC",AIJ60))*('Ship Fuel Prices'!$D$5:$D$1004&lt;=Main!$C60))))</f>
        <v>#N/A</v>
      </c>
      <c r="AKG60" s="25" t="e">
        <f t="array" aca="1" ref="AKG60" ca="1">INDEX('Ship Fuel Prices'!$H$5:$H$1004,MATCH(2,1/(('Ship Fuel Prices'!$E$5:$E$1004=_xlfn.IFS(AHT60="Handysize",Main!AJZ60,AHT60="Supramax",AJS60,AHT60="Panamax",AJL60,AHT60="NeoPanamax",AJE60,AHT60="Suezmax",AIX60,AHT60="Capesize",AIQ60,AHT60="VLOC",AIJ60))*('Ship Fuel Prices'!$D$5:$D$1004&lt;=Main!$C60))))</f>
        <v>#N/A</v>
      </c>
      <c r="AKH60" s="25" t="e">
        <f t="array" aca="1" ref="AKH60" ca="1">INDEX('Ship Fuel Prices'!$I$5:$I$1004,MATCH(2,1/(('Ship Fuel Prices'!$E$5:$E$1004=_xlfn.IFS(AHT60="Handysize",Main!AJZ60,AHT60="Supramax",AJS60,AHT60="Panamax",AJL60,AHT60="NeoPanamax",AJE60,AHT60="Suezmax",AIX60,AHT60="Capesize",AIQ60,AHT60="VLOC",AIJ60))*('Ship Fuel Prices'!$D$5:$D$1004&lt;=Main!$C60))))</f>
        <v>#N/A</v>
      </c>
      <c r="AKI60" s="25" t="e">
        <f t="array" aca="1" ref="AKI60" ca="1">INDEX('Ship Fuel Prices'!$J$5:$J$1004,MATCH(2,1/(('Ship Fuel Prices'!$E$5:$E$1004=_xlfn.IFS(AHT60="Handysize",Main!AJZ60,AHT60="Supramax",AJS60,AHT60="Panamax",AJL60,AHT60="NeoPanamax",AJE60,AHT60="Suezmax",AIX60,AHT60="Capesize",AIQ60,AHT60="VLOC",AIJ60))*('Ship Fuel Prices'!$D$5:$D$1004&lt;=Main!$C60))))</f>
        <v>#N/A</v>
      </c>
      <c r="AKK60" s="75">
        <f t="array" ref="AKK60">INDEX('China n Importing Ports'!$E$20:$E$41,MATCH(2,1/(('China n Importing Ports'!$D$20:$D$41&lt;=$C60)*('China n Importing Ports'!$C$20:$C$41=IF($AO60="No",$AQ60,$KK60)))))</f>
        <v>0</v>
      </c>
      <c r="AKL60" s="75">
        <f t="array" ref="AKL60">INDEX('China n Importing Ports'!$F$20:$F$41,MATCH(2,1/(('China n Importing Ports'!$D$20:$D$41&lt;=$C60)*('China n Importing Ports'!$C$20:$C$41=IF($AO60="No",$AQ60,$KK60)))))</f>
        <v>0</v>
      </c>
      <c r="AKM60" s="75">
        <f t="array" ref="AKM60">INDEX('China n Importing Ports'!$G$20:$G$41,MATCH(2,1/(('China n Importing Ports'!$D$20:$D$41&lt;=$C60)*('China n Importing Ports'!$C$20:$C$41=IF($AO60="No",$AQ60,$KK60)))))</f>
        <v>0</v>
      </c>
      <c r="AKN60" s="75">
        <f t="array" ref="AKN60">INDEX('China n Importing Ports'!$H$20:$H$41,MATCH(2,1/(('China n Importing Ports'!$D$20:$D$41&lt;=$C60)*('China n Importing Ports'!$C$20:$C$41=IF($AO60="No",$AQ60,$KK60)))))</f>
        <v>0</v>
      </c>
      <c r="AKO60" s="75">
        <f t="array" ref="AKO60">INDEX('China n Importing Ports'!$I$20:$I$41,MATCH(2,1/(('China n Importing Ports'!$D$20:$D$41&lt;=$C60)*('China n Importing Ports'!$C$20:$C$41=IF($AO60="No",$AQ60,$KK60)))))</f>
        <v>0</v>
      </c>
      <c r="AKP60" s="75">
        <f t="array" ref="AKP60">INDEX('China n Importing Ports'!$J$20:$J$41,MATCH(2,1/(('China n Importing Ports'!$D$20:$D$41&lt;=$C60)*('China n Importing Ports'!$C$20:$C$41=IF($AO60="No",$AQ60,$KK60)))))</f>
        <v>0</v>
      </c>
      <c r="AKQ60" s="75">
        <f t="array" ref="AKQ60">INDEX('China n Importing Ports'!$K$20:$K$41,MATCH(2,1/(('China n Importing Ports'!$D$20:$D$41&lt;=$C60)*('China n Importing Ports'!$C$20:$C$41=IF($AO60="No",$AQ60,$KK60)))))</f>
        <v>0</v>
      </c>
      <c r="AKR60" s="75">
        <f t="array" ref="AKR60">INDEX('China n Importing Ports'!$L$20:$L$41,MATCH(2,1/(('China n Importing Ports'!$D$20:$D$41&lt;=$C60)*('China n Importing Ports'!$C$20:$C$41=IF($AO60="No",$AQ60,$KK60)))))</f>
        <v>0</v>
      </c>
      <c r="AKS60" s="75">
        <f t="array" ref="AKS60">INDEX('China n Importing Ports'!$M$20:$M$41,MATCH(2,1/(('China n Importing Ports'!$D$20:$D$41&lt;=$C60)*('China n Importing Ports'!$C$20:$C$41=IF($AO60="No",$AQ60,$KK60)))))</f>
        <v>0</v>
      </c>
      <c r="AKT60" s="75">
        <f t="array" ref="AKT60">INDEX('China n Importing Ports'!$N$20:$N$41,MATCH(2,1/(('China n Importing Ports'!$D$20:$D$41&lt;=$C60)*('China n Importing Ports'!$C$20:$C$41=IF($AO60="No",$AQ60,$KK60)))))</f>
        <v>0</v>
      </c>
      <c r="AKU60" s="75">
        <f t="array" ref="AKU60">INDEX('China n Importing Ports'!$O$20:$O$41,MATCH(2,1/(('China n Importing Ports'!$D$20:$D$41&lt;=$C60)*('China n Importing Ports'!$C$20:$C$41=IF($AO60="No",$AQ60,$KK60)))))</f>
        <v>0</v>
      </c>
      <c r="AKV60" s="136">
        <f t="array" ref="AKV60">INDEX('China n Importing Ports'!$P$20:$P$41,MATCH(2,1/(('China n Importing Ports'!$D$20:$D$41&lt;=$C60)*('China n Importing Ports'!$C$20:$C$41=IF($AO60="No",$AQ60,$KK60)))))</f>
        <v>0</v>
      </c>
      <c r="AKW60" s="136">
        <f t="array" ref="AKW60">INDEX('China n Importing Ports'!$Q$20:$Q$41,MATCH(2,1/(('China n Importing Ports'!$D$20:$D$41&lt;=$C60)*('China n Importing Ports'!$C$20:$C$41=IF($AO60="No",$AQ60,$KK60)))))</f>
        <v>0</v>
      </c>
      <c r="AKX60" s="136">
        <f t="array" ref="AKX60">INDEX('China n Importing Ports'!$R$20:$R$41,MATCH(2,1/(('China n Importing Ports'!$D$20:$D$41&lt;=$C60)*('China n Importing Ports'!$C$20:$C$41=IF($AO60="No",$AQ60,$KK60)))))</f>
        <v>0</v>
      </c>
      <c r="AKY60" s="136">
        <f t="array" ref="AKY60">INDEX('China n Importing Ports'!$S$20:$S$41,MATCH(2,1/(('China n Importing Ports'!$D$20:$D$41&lt;=$C60)*('China n Importing Ports'!$C$20:$C$41=IF($AO60="No",$AQ60,$KK60)))))</f>
        <v>0</v>
      </c>
      <c r="AKZ60" s="136">
        <f t="array" ref="AKZ60">INDEX('China n Importing Ports'!$T$20:$T$41,MATCH(2,1/(('China n Importing Ports'!$D$20:$D$41&lt;=$C60)*('China n Importing Ports'!$C$20:$C$41=IF($AO60="No",$AQ60,$KK60)))))</f>
        <v>0</v>
      </c>
      <c r="ALA60" s="136">
        <f t="array" ref="ALA60">INDEX('China n Importing Ports'!$U$20:$U$41,MATCH(2,1/(('China n Importing Ports'!$D$20:$D$41&lt;=$C60)*('China n Importing Ports'!$C$20:$C$41=IF($AO60="No",$AQ60,$KK60)))))</f>
        <v>0</v>
      </c>
      <c r="ALB60" s="136">
        <f t="array" ref="ALB60">INDEX('China n Importing Ports'!$V$20:$V$41,MATCH(2,1/(('China n Importing Ports'!$D$20:$D$41&lt;=$C60)*('China n Importing Ports'!$C$20:$C$41=IF($AO60="No",$AQ60,$KK60)))))</f>
        <v>0</v>
      </c>
      <c r="ALC60" s="136">
        <f t="array" ref="ALC60">INDEX('China n Importing Ports'!$W$20:$W$41,MATCH(2,1/(('China n Importing Ports'!$D$20:$D$41&lt;=$C60)*('China n Importing Ports'!$C$20:$C$41=IF($AO60="No",$AQ60,$KK60)))))</f>
        <v>0</v>
      </c>
      <c r="ALD60" s="136">
        <f t="array" ref="ALD60">INDEX('China n Importing Ports'!$X$20:$X$41,MATCH(2,1/(('China n Importing Ports'!$D$20:$D$41&lt;=$C60)*('China n Importing Ports'!$C$20:$C$41=IF($AO60="No",$AQ60,$KK60)))))</f>
        <v>0</v>
      </c>
      <c r="ALE60" s="136">
        <f t="array" ref="ALE60">INDEX('China n Importing Ports'!$Y$20:$Y$41,MATCH(2,1/(('China n Importing Ports'!$D$20:$D$41&lt;=$C60)*('China n Importing Ports'!$C$20:$C$41=IF($AO60="No",$AQ60,$KK60)))))</f>
        <v>0</v>
      </c>
      <c r="ALF60" s="136">
        <f t="array" ref="ALF60">INDEX('China n Importing Ports'!$Z$20:$Z$41,MATCH(2,1/(('China n Importing Ports'!$D$20:$D$41&lt;=$C60)*('China n Importing Ports'!$C$20:$C$41=IF($AO60="No",$AQ60,$KK60)))))</f>
        <v>0</v>
      </c>
      <c r="ALG60" s="136">
        <f t="array" ref="ALG60">INDEX('China n Importing Ports'!$AA$20:$AA$41,MATCH(2,1/(('China n Importing Ports'!$D$20:$D$41&lt;=$C60)*('China n Importing Ports'!$C$20:$C$41=IF($AO60="No",$AQ60,$KK60)))))</f>
        <v>0</v>
      </c>
      <c r="ALI60" s="75" t="e">
        <f t="array" aca="1" ref="ALI60" ca="1">INDEX(Canals!$G$24:$G$29,MATCH(2,1/((Canals!$F$24:$F$29&lt;=$C60)*(Canals!$G$24:$G$29=_xlfn.IFS(AHT60="Handysize",AKC60,AHT60="Supramax",AJV60,AHT60="Panamax",AJO60,AHT60="NeoPanamax",AJH60,AHT60="Suezmax",AJA60,AHT60="Capesize",AIT60,AHT60="VLOC",AIM60)))))</f>
        <v>#N/A</v>
      </c>
      <c r="ALJ60" s="75" t="e">
        <f t="array" aca="1" ref="ALJ60" ca="1">INDEX(Canals!$H$24:$H$29,MATCH(2,1/((Canals!$F$24:$F$29&lt;=$C60)*(Canals!$G$24:$G$29=_xlfn.IFS(AHT60="Handysize",AKC60,AHT60="Supramax",AJV60,AHT60="Panamax",AJO60,AHT60="NeoPanamax",AJH60,AHT60="Suezmax",AJA60,AHT60="Capesize",AIT60,AHT60="VLOC",AIM60)))))</f>
        <v>#N/A</v>
      </c>
      <c r="ALK60" s="75" t="e">
        <f t="array" aca="1" ref="ALK60" ca="1">INDEX(Canals!$I$24:$I$29,MATCH(2,1/((Canals!$F$24:$F$29&lt;=$C60)*(Canals!$G$24:$G$29=_xlfn.IFS(AHT60="Handysize",AKC60,AHT60="Supramax",AJV60,AHT60="Panamax",AJO60,AHT60="NeoPanamax",AJH60,AHT60="Suezmax",AJA60,AHT60="Capesize",AIT60,AHT60="VLOC",AIM60)))))</f>
        <v>#N/A</v>
      </c>
      <c r="ALL60" s="75" t="e">
        <f t="array" aca="1" ref="ALL60" ca="1">INDEX(Canals!$J$24:$J$29,MATCH(2,1/((Canals!$F$24:$F$29&lt;=$C60)*(Canals!$G$24:$G$29=_xlfn.IFS(AHT60="Handysize",Main!AKC60,AHT60="Supramax",AJV60,AHT60="Panamax",AJO60,AHT60="NeoPanamax",AJH60,AHT60="Suezmax",AJA60,AHT60="Capesize",AIT60,AHT60="VLOC",AIM60)))))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M60" s="75" t="e">
        <f t="array" aca="1" ref="ALM60" ca="1">INDEX(Canals!$K$24:$K$29,MATCH(2,1/((Canals!$F$24:$F$29&lt;=$C60)*(Canals!$G$24:$G$29=_xlfn.IFS(AHT60="Handysize",Main!AKC60,AHT60="Supramax",AJV60,AHT60="Panamax",AJO60,AHT60="NeoPanamax",AJH60,AHT60="Suezmax",AJA60,AHT60="Capesize",AIT60,AHT60="VLOC",AIM60)))))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N60" s="75" t="e">
        <f t="array" aca="1" ref="ALN60" ca="1">INDEX(Canals!$L$24:$L$29,MATCH(2,1/((Canals!$F$24:$F$29&lt;=$C60)*(Canals!$G$24:$G$29=_xlfn.IFS(AHT60="Handysize",Main!AKC60,AHT60="Supramax",AJV60,AHT60="Panamax",AJO60,AHT60="NeoPanamax",AJH60,AHT60="Suezmax",AJA60,AHT60="Capesize",AIT60,AHT60="VLOC",AIM60)))))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O60" s="75" t="e">
        <f t="array" aca="1" ref="ALO60" ca="1">INDEX(Canals!$M$24:$M$29,MATCH(2,1/((Canals!$F$24:$F$29&lt;=$C60)*(Canals!$G$24:$G$29=_xlfn.IFS(AHT60="Handysize",Main!AKC60,AHT60="Supramax",AJV60,AHT60="Panamax",AJO60,AHT60="NeoPanamax",AJH60,AHT60="Suezmax",AJA60,AHT60="Capesize",AIT60,AHT60="VLOC",AIM60)))))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P60" s="75" t="e">
        <f t="array" aca="1" ref="ALP60" ca="1">INDEX(Canals!$N$24:$N$29,MATCH(2,1/((Canals!$F$24:$F$29&lt;=$C60)*(Canals!$G$24:$G$29=_xlfn.IFS(AHT60="Handysize",Main!AKC60,AHT60="Supramax",AJV60,AHT60="Panamax",AJO60,AHT60="NeoPanamax",AJH60,AHT60="Suezmax",AJA60,AHT60="Capesize",AIT60,AHT60="VLOC",AIM60)))))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Q60" s="75" t="e">
        <f t="array" aca="1" ref="ALQ60" ca="1">INDEX(Canals!$O$24:$O$29,MATCH(2,1/((Canals!$F$24:$F$29&lt;=$C60)*(Canals!$G$24:$G$29=_xlfn.IFS(AHT60="Handysize",Main!AKC60,AHT60="Supramax",AJV60,AHT60="Panamax",AJO60,AHT60="NeoPanamax",AJH60,AHT60="Suezmax",AJA60,AHT60="Capesize",AIT60,AHT60="VLOC",AIM60)))))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R60" s="75" t="e">
        <f t="array" aca="1" ref="ALR60" ca="1">INDEX(Canals!$P$24:$P$29,MATCH(2,1/((Canals!$F$24:$F$29&lt;=$C60)*(Canals!$G$24:$G$29=_xlfn.IFS(AHT60="Handysize",Main!AKC60,AHT60="Supramax",AJV60,AHT60="Panamax",AJO60,AHT60="NeoPanamax",AJH60,AHT60="Suezmax",AJA60,AHT60="Capesize",AIT60,AHT60="VLOC",AIM60)))))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S60" s="75" t="e">
        <f t="array" aca="1" ref="ALS60" ca="1">INDEX(Canals!$Q$24:$Q$29,MATCH(2,1/((Canals!$F$24:$F$29&lt;=$C60)*(Canals!$G$24:$G$29=_xlfn.IFS(AHT60="Handysize",Main!AKC60,AHT60="Supramax",AJV60,AHT60="Panamax",AJO60,AHT60="NeoPanamax",AJH60,AHT60="Suezmax",AJA60,AHT60="Capesize",AIT60,AHT60="VLOC",AIM60)))))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T60" s="75" t="e">
        <f t="array" aca="1" ref="ALT60" ca="1">INDEX(Canals!$R$24:$R$29,MATCH(2,1/((Canals!$F$24:$F$29&lt;=$C60)*(Canals!$G$24:$G$29=_xlfn.IFS(AHT60="Handysize",Main!AKC60,AHT60="Supramax",AJV60,AHT60="Panamax",AJO60,AHT60="NeoPanamax",AJH60,AHT60="Suezmax",AJA60,AHT60="Capesize",AIT60,AHT60="VLOC",AIM60)))))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U60" s="136" t="e">
        <f t="array" aca="1" ref="ALU60" ca="1">INDEX(Canals!$S$24:$S$29,MATCH(2,1/((Canals!$F$24:$F$29&lt;=$C60)*(Canals!$G$24:$G$29=_xlfn.IFS(AHT60="Handysize",Main!AKC60,AHT60="Supramax",AJV60,AHT60="Panamax",AJO60,AHT60="NeoPanamax",AJH60,AHT60="Suezmax",AJA60,AHT60="Capesize",AIT60,AHT60="VLOC",AIM60)))))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V60" s="136" t="e">
        <f t="array" aca="1" ref="ALV60" ca="1">INDEX(Canals!$T$24:$T$29,MATCH(2,1/((Canals!$F$24:$F$29&lt;=$C60)*(Canals!$G$24:$G$29=_xlfn.IFS(AHT60="Handysize",Main!AKC60,AHT60="Supramax",AJV60,AHT60="Panamax",AJO60,AHT60="NeoPanamax",AJH60,AHT60="Suezmax",AJA60,AHT60="Capesize",AIT60,AHT60="VLOC",AIM60)))))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W60" s="136" t="e">
        <f t="array" aca="1" ref="ALW60" ca="1">INDEX(Canals!$U$24:$U$29,MATCH(2,1/((Canals!$F$24:$F$29&lt;=$C60)*(Canals!$G$24:$G$29=_xlfn.IFS(AHT60="Handysize",Main!AKC60,AHT60="Supramax",AJV60,AHT60="Panamax",AJO60,AHT60="NeoPanamax",AJH60,AHT60="Suezmax",AJA60,AHT60="Capesize",AIT60,AHT60="VLOC",AIM60)))))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X60" s="136" t="e">
        <f t="array" aca="1" ref="ALX60" ca="1">INDEX(Canals!$V$24:$V$29,MATCH(2,1/((Canals!$F$24:$F$29&lt;=$C60)*(Canals!$G$24:$G$29=_xlfn.IFS(AHT60="Handysize",Main!AKC60,AHT60="Supramax",AJV60,AHT60="Panamax",AJO60,AHT60="NeoPanamax",AJH60,AHT60="Suezmax",AJA60,AHT60="Capesize",AIT60,AHT60="VLOC",AIM60)))))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Y60" s="136" t="e">
        <f t="array" aca="1" ref="ALY60" ca="1">INDEX(Canals!$W$24:$W$29,MATCH(2,1/((Canals!$F$24:$F$29&lt;=$C60)*(Canals!$G$24:$G$29=_xlfn.IFS(AHT60="Handysize",Main!AKC60,AHT60="Supramax",AJV60,AHT60="Panamax",AJO60,AHT60="NeoPanamax",AJH60,AHT60="Suezmax",AJA60,AHT60="Capesize",AIT60,AHT60="VLOC",AIM60)))))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LZ60" s="136" t="e">
        <f t="array" aca="1" ref="ALZ60" ca="1">INDEX(Canals!$X$24:$X$29,MATCH(2,1/((Canals!$F$24:$F$29&lt;=$C60)*(Canals!$G$24:$G$29=_xlfn.IFS(AHT60="Handysize",Main!AKC60,AHT60="Supramax",AJV60,AHT60="Panamax",AJO60,AHT60="NeoPanamax",AJH60,AHT60="Suezmax",AJA60,AHT60="Capesize",AIT60,AHT60="VLOC",AIM60)))))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A60" s="136" t="e">
        <f t="array" aca="1" ref="AMA60" ca="1">INDEX(Canals!$Y$24:$Y$29,MATCH(2,1/((Canals!$F$24:$F$29&lt;=$C60)*(Canals!$G$24:$G$29=_xlfn.IFS(AHT60="Handysize",Main!AKC60,AHT60="Supramax",AJV60,AHT60="Panamax",AJO60,AHT60="NeoPanamax",AJH60,AHT60="Suezmax",AJA60,AHT60="Capesize",AIT60,AHT60="VLOC",AIM60)))))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B60" s="136" t="e">
        <f t="array" aca="1" ref="AMB60" ca="1">INDEX(Canals!$Z$24:$Z$29,MATCH(2,1/((Canals!$F$24:$F$29&lt;=$C60)*(Canals!$G$24:$G$29=_xlfn.IFS(AHT60="Handysize",Main!AKC60,AHT60="Supramax",AJV60,AHT60="Panamax",AJO60,AHT60="NeoPanamax",AJH60,AHT60="Suezmax",AJA60,AHT60="Capesize",AIT60,AHT60="VLOC",AIM60)))))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C60" s="136" t="e">
        <f t="array" aca="1" ref="AMC60" ca="1">INDEX(Canals!$AA$24:$AA$29,MATCH(2,1/((Canals!$F$24:$F$29&lt;=$C60)*(Canals!$G$24:$G$29=_xlfn.IFS(AHT60="Handysize",Main!AKC60,AHT60="Supramax",AJV60,AHT60="Panamax",AJO60,AHT60="NeoPanamax",AJH60,AHT60="Suezmax",AJA60,AHT60="Capesize",AIT60,AHT60="VLOC",AIM60)))))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D60" s="136" t="e">
        <f t="array" aca="1" ref="AMD60" ca="1">INDEX(Canals!$AB$24:$AB$29,MATCH(2,1/((Canals!$F$24:$F$29&lt;=$C60)*(Canals!$G$24:$G$29=_xlfn.IFS(AHT60="Handysize",Main!AKC60,AHT60="Supramax",AJV60,AHT60="Panamax",AJO60,AHT60="NeoPanamax",AJH60,AHT60="Suezmax",AJA60,AHT60="Capesize",AIT60,AHT60="VLOC",AIM60)))))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E60" s="75" t="e">
        <f t="array" aca="1" ref="AME60" ca="1">INDEX(Canals!$AC$24:$AC$29,MATCH(2,1/((Canals!$F$24:$F$29&lt;=$C60)*(Canals!$G$24:$G$29=_xlfn.IFS(AHT60="Handysize",Main!AKC60,AHT60="Supramax",AJV60,AHT60="Panamax",AJO60,AHT60="NeoPanamax",AJH60,AHT60="Suezmax",AJA60,AHT60="Capesize",AIT60,AHT60="VLOC",AIM60)))))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F60" s="75" t="e">
        <f t="array" aca="1" ref="AMF60" ca="1">INDEX(Canals!$AD$24:$AD$29,MATCH(2,1/((Canals!$F$24:$F$29&lt;=$C60)*(Canals!$G$24:$G$29=_xlfn.IFS(AHT60="Handysize",Main!AKC60,AHT60="Supramax",AJV60,AHT60="Panamax",AJO60,AHT60="NeoPanamax",AJH60,AHT60="Suezmax",AJA60,AHT60="Capesize",AIT60,AHT60="VLOC",AIM60)))))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G60" s="75" t="e">
        <f t="array" aca="1" ref="AMG60" ca="1">INDEX(Canals!$AE$24:$AE$29,MATCH(2,1/((Canals!$F$24:$F$29&lt;=$C60)*(Canals!$G$24:$G$29=_xlfn.IFS(AHT60="Handysize",Main!AKC60,AHT60="Supramax",AJV60,AHT60="Panamax",AJO60,AHT60="NeoPanamax",AJH60,AHT60="Suezmax",AJA60,AHT60="Capesize",AIT60,AHT60="VLOC",AIM60)))))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H60" s="75" t="e">
        <f t="array" aca="1" ref="AMH60" ca="1">INDEX(Canals!$AF$24:$AF$29,MATCH(2,1/((Canals!$F$24:$F$29&lt;=$C60)*(Canals!$G$24:$G$29=_xlfn.IFS(AHT60="Handysize",Main!AKC60,AHT60="Supramax",AJV60,AHT60="Panamax",AJO60,AHT60="NeoPanamax",AJH60,AHT60="Suezmax",AJA60,AHT60="Capesize",AIT60,AHT60="VLOC",AIM60)))))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I60" s="75" t="e">
        <f t="array" aca="1" ref="AMI60" ca="1">INDEX(Canals!$AG$24:$AG$29,MATCH(2,1/((Canals!$F$24:$F$29&lt;=$C60)*(Canals!$G$24:$G$29=_xlfn.IFS(AHT60="Handysize",Main!AKC60,AHT60="Supramax",AJV60,AHT60="Panamax",AJO60,AHT60="NeoPanamax",AJH60,AHT60="Suezmax",AJA60,AHT60="Capesize",AIT60,AHT60="VLOC",AIM60)))))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J60" s="75" t="e">
        <f t="array" aca="1" ref="AMJ60" ca="1">INDEX(Canals!$AH$24:$AH$29,MATCH(2,1/((Canals!$F$24:$F$29&lt;=$C60)*(Canals!$G$24:$G$29=_xlfn.IFS(AHT60="Handysize",Main!AKC60,AHT60="Supramax",AJV60,AHT60="Panamax",AJO60,AHT60="NeoPanamax",AJH60,AHT60="Suezmax",AJA60,AHT60="Capesize",AIT60,AHT60="VLOC",AIM60)))))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K60" s="75" t="e">
        <f t="array" aca="1" ref="AMK60" ca="1">INDEX(Canals!$AI$24:$AI$29,MATCH(2,1/((Canals!$F$24:$F$29&lt;=$C60)*(Canals!$G$24:$G$29=_xlfn.IFS(AHT60="Handysize",Main!AKC60,AHT60="Supramax",AJV60,AHT60="Panamax",AJO60,AHT60="NeoPanamax",AJH60,AHT60="Suezmax",AJA60,AHT60="Capesize",AIT60,AHT60="VLOC",AIM60)))))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L60" s="75" t="e">
        <f t="array" aca="1" ref="AML60" ca="1">INDEX(Canals!$AJ$24:$AJ$29,MATCH(2,1/((Canals!$F$24:$F$29&lt;=$C60)*(Canals!$G$24:$G$29=_xlfn.IFS(AHT60="Handysize",Main!AKC60,AHT60="Supramax",AJV60,AHT60="Panamax",AJO60,AHT60="NeoPanamax",AJH60,AHT60="Suezmax",AJA60,AHT60="Capesize",AIT60,AHT60="VLOC",AIM60)))))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M60" s="75" t="e">
        <f t="array" aca="1" ref="AMM60" ca="1">INDEX(Canals!$AK$24:$AK$29,MATCH(2,1/((Canals!$F$24:$F$29&lt;=$C60)*(Canals!$G$24:$G$29=_xlfn.IFS(AHT60="Handysize",Main!AKC60,AHT60="Supramax",AJV60,AHT60="Panamax",AJO60,AHT60="NeoPanamax",AJH60,AHT60="Suezmax",AJA60,AHT60="Capesize",AIT60,AHT60="VLOC",AIM60)))))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N60" s="136" t="e">
        <f t="array" aca="1" ref="AMN60" ca="1">INDEX(Canals!$AL$24:$AL$29,MATCH(2,1/((Canals!$F$24:$F$29&lt;=$C60)*(Canals!$G$24:$G$29=_xlfn.IFS(AHT60="Handysize",Main!AKC60,AHT60="Supramax",AJV60,AHT60="Panamax",AJO60,AHT60="NeoPanamax",AJH60,AHT60="Suezmax",AJA60,AHT60="Capesize",AIT60,AHT60="VLOC",AIM60)))))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O60" s="136" t="e">
        <f t="array" aca="1" ref="AMO60" ca="1">INDEX(Canals!$AM$24:$AM$29,MATCH(2,1/((Canals!$F$24:$F$29&lt;=$C60)*(Canals!$G$24:$G$29=_xlfn.IFS(AHT60="Handysize",Main!AKC60,AHT60="Supramax",AJV60,AHT60="Panamax",AJO60,AHT60="NeoPanamax",AJH60,AHT60="Suezmax",AJA60,AHT60="Capesize",AIT60,AHT60="VLOC",AIM60)))))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P60" s="136" t="e">
        <f t="array" aca="1" ref="AMP60" ca="1">INDEX(Canals!$AN$24:$AN$29,MATCH(2,1/((Canals!$F$24:$F$29&lt;=$C60)*(Canals!$G$24:$G$29=_xlfn.IFS(AHT60="Handysize",Main!AKC60,AHT60="Supramax",AJV60,AHT60="Panamax",AJO60,AHT60="NeoPanamax",AJH60,AHT60="Suezmax",AJA60,AHT60="Capesize",AIT60,AHT60="VLOC",AIM60)))))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Q60" s="136" t="e">
        <f t="array" aca="1" ref="AMQ60" ca="1">INDEX(Canals!$AO$24:$AO$29,MATCH(2,1/((Canals!$F$24:$F$29&lt;=$C60)*(Canals!$G$24:$G$29=_xlfn.IFS(AHT60="Handysize",Main!AKC60,AHT60="Supramax",AJV60,AHT60="Panamax",AJO60,AHT60="NeoPanamax",AJH60,AHT60="Suezmax",AJA60,AHT60="Capesize",AIT60,AHT60="VLOC",AIM60)))))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R60" s="136" t="e">
        <f t="array" aca="1" ref="AMR60" ca="1">INDEX(Canals!$AP$24:$AP$29,MATCH(2,1/((Canals!$F$24:$F$29&lt;=$C60)*(Canals!$G$24:$G$29=_xlfn.IFS(AHT60="Handysize",Main!AKC60,AHT60="Supramax",AJV60,AHT60="Panamax",AJO60,AHT60="NeoPanamax",AJH60,AHT60="Suezmax",AJA60,AHT60="Capesize",AIT60,AHT60="VLOC",AIM60)))))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S60" s="136" t="e">
        <f t="array" aca="1" ref="AMS60" ca="1">INDEX(Canals!$AQ$24:$AQ$29,MATCH(2,1/((Canals!$F$24:$F$29&lt;=$C60)*(Canals!$G$24:$G$29=_xlfn.IFS(AHT60="Handysize",Main!AKC60,AHT60="Supramax",AJV60,AHT60="Panamax",AJO60,AHT60="NeoPanamax",AJH60,AHT60="Suezmax",AJA60,AHT60="Capesize",AIT60,AHT60="VLOC",AIM60)))))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T60" s="136" t="e">
        <f t="array" aca="1" ref="AMT60" ca="1">INDEX(Canals!$AR$24:$AR$29,MATCH(2,1/((Canals!$F$24:$F$29&lt;=$C60)*(Canals!$G$24:$G$29=_xlfn.IFS(AHT60="Handysize",Main!AKC60,AHT60="Supramax",AJV60,AHT60="Panamax",AJO60,AHT60="NeoPanamax",AJH60,AHT60="Suezmax",AJA60,AHT60="Capesize",AIT60,AHT60="VLOC",AIM60)))))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U60" s="136" t="e">
        <f t="array" aca="1" ref="AMU60" ca="1">INDEX(Canals!$AS$24:$AS$29,MATCH(2,1/((Canals!$F$24:$F$29&lt;=$C60)*(Canals!$G$24:$G$29=_xlfn.IFS(AHT60="Handysize",Main!AKC60,AHT60="Supramax",AJV60,AHT60="Panamax",AJO60,AHT60="NeoPanamax",AJH60,AHT60="Suezmax",AJA60,AHT60="Capesize",AIT60,AHT60="VLOC",AIM60)))))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V60" s="136" t="e">
        <f t="array" aca="1" ref="AMV60" ca="1">INDEX(Canals!$AT$24:$AT$29,MATCH(2,1/((Canals!$F$24:$F$29&lt;=$C60)*(Canals!$G$24:$G$29=_xlfn.IFS(AHT60="Handysize",Main!AKC60,AHT60="Supramax",AJV60,AHT60="Panamax",AJO60,AHT60="NeoPanamax",AJH60,AHT60="Suezmax",AJA60,AHT60="Capesize",AIT60,AHT60="VLOC",AIM60)))))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W60" s="136" t="e">
        <f t="array" aca="1" ref="AMW60" ca="1">INDEX(Canals!$AU$24:$AU$29,MATCH(2,1/((Canals!$F$24:$F$29&lt;=$C60)*(Canals!$G$24:$G$29=_xlfn.IFS(AHT60="Handysize",Main!AKC60,AHT60="Supramax",AJV60,AHT60="Panamax",AJO60,AHT60="NeoPanamax",AJH60,AHT60="Suezmax",AJA60,AHT60="Capesize",AIT60,AHT60="VLOC",AIM60)))))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X60" s="136" t="e">
        <f t="array" aca="1" ref="AMX60" ca="1">INDEX(Canals!$AV$24:$AV$29,MATCH(2,1/((Canals!$F$24:$F$29&lt;=$C60)*(Canals!$G$24:$G$29=_xlfn.IFS(AHT60="Handysize",Main!AKC60,AHT60="Supramax",AJV60,AHT60="Panamax",AJO60,AHT60="NeoPanamax",AJH60,AHT60="Suezmax",AJA60,AHT60="Capesize",AIT60,AHT60="VLOC",AIM60)))))</f>
        <v>#N/A</v>
      </c>
      <c r="AMZ60" s="75" t="e">
        <f t="array" aca="1" ref="AMZ60" ca="1">_xlfn.IFS(ALK60="DWT",AHR60,ALK60="NRT",AHV60,ALK60="GRT",AHW60,ALK60=0,0)</f>
        <v>#NAME?</v>
      </c>
      <c r="ANA60" s="279" t="e">
        <f t="shared" ca="1" si="561"/>
        <v>#NAME?</v>
      </c>
      <c r="ANB60" s="280" t="e">
        <f t="shared" ca="1" si="562"/>
        <v>#NAME?</v>
      </c>
      <c r="ANC60" s="280" t="e">
        <f t="shared" ca="1" si="563"/>
        <v>#NAME?</v>
      </c>
      <c r="AND60" s="280" t="e">
        <f t="shared" ca="1" si="564"/>
        <v>#NAME?</v>
      </c>
      <c r="ANE60" s="280" t="e">
        <f t="shared" ca="1" si="565"/>
        <v>#NAME?</v>
      </c>
      <c r="ANF60" s="280" t="e">
        <f t="shared" ca="1" si="566"/>
        <v>#NAME?</v>
      </c>
      <c r="ANG60" s="280" t="e">
        <f t="shared" ca="1" si="567"/>
        <v>#NAME?</v>
      </c>
      <c r="ANH60" s="280" t="e">
        <f t="shared" ca="1" si="568"/>
        <v>#NAME?</v>
      </c>
      <c r="ANI60" s="280" t="e">
        <f t="shared" ca="1" si="569"/>
        <v>#NAME?</v>
      </c>
      <c r="ANJ60" s="75">
        <f t="shared" si="570"/>
        <v>0</v>
      </c>
      <c r="ANK60" s="279" t="e">
        <f t="shared" ca="1" si="571"/>
        <v>#N/A</v>
      </c>
      <c r="ANL60" s="280" t="e">
        <f t="shared" ca="1" si="572"/>
        <v>#N/A</v>
      </c>
      <c r="ANM60" s="280" t="e">
        <f t="shared" ca="1" si="573"/>
        <v>#N/A</v>
      </c>
      <c r="ANN60" s="280" t="e">
        <f t="shared" ca="1" si="574"/>
        <v>#N/A</v>
      </c>
      <c r="ANO60" s="280" t="e">
        <f t="shared" ca="1" si="575"/>
        <v>#N/A</v>
      </c>
      <c r="ANP60" s="280" t="e">
        <f t="shared" ca="1" si="576"/>
        <v>#N/A</v>
      </c>
      <c r="ANQ60" s="280" t="e">
        <f t="shared" ca="1" si="577"/>
        <v>#N/A</v>
      </c>
      <c r="ANR60" s="280" t="e">
        <f t="shared" ca="1" si="578"/>
        <v>#N/A</v>
      </c>
      <c r="ANS60" s="280" t="e">
        <f t="shared" ca="1" si="579"/>
        <v>#N/A</v>
      </c>
      <c r="ANU60" s="75" t="e">
        <f t="array" aca="1" ref="ANU60" ca="1">_xlfn.IFS(AHT60="Handysize",Main!AJW60,AHT60="Supramax",AJP60,AHT60="Panamax",AJI60,AHT60="NeoPanamax",AJB60,AHT60="Suezmax",AIU60,AHT60="Capesize",AIN60,AHT60="VLOC",AIG60)*$JI60</f>
        <v>#NAME?</v>
      </c>
      <c r="ANV60" s="274" t="e">
        <f t="array" aca="1" ref="ANV60" ca="1">_xlfn.IFS(AHT60="Handysize",Main!AJX60,AHT60="Supramax",AJQ60,AHT60="Panamax",AJJ60,AHT60="NeoPanamax",AJC60,AHT60="Suezmax",AIV60,AHT60="Capesize",AIO60,AHT60="VLOC",AIH60)*$JI60</f>
        <v>#NAME?</v>
      </c>
      <c r="ANW60" s="71" t="e">
        <f t="array" aca="1" ref="ANW60" ca="1">_xlfn.IFS(AHT60="Handysize",Main!AHY60,AHT60="Supramax",AHZ60,AHT60="Panamax",AIA60,AHT60="NeoPanamax",AIB60,AHT60="Suezmax",AIC60,AHT60="Capesize",AID60,AHT60="VLOC",AIE60)</f>
        <v>#NAME?</v>
      </c>
      <c r="ANX60" s="71" t="e">
        <f t="array" aca="1" ref="ANX60" ca="1">_xlfn.IFS(AHT60="Handysize",Main!AKK60,AHT60="Supramax",AKL60,AHT60="Panamax",AKM60,AHT60="NeoPanamax",AKN60,AHT60="Suezmax",AKO60,AHT60="Capesize",AKP60,AHT60="VLOC",AKQ60)</f>
        <v>#NAME?</v>
      </c>
      <c r="ANY60" s="70">
        <f t="array" ref="ANY60">INDEX('Ship Speeds'!$G$11:$G$1011,MATCH(2,1/(('Ship Speeds'!$E$11:$E$1011&lt;=Main!$C60)*('Ship Speeds'!$F$11:$F$1011=Main!AHS60))))</f>
        <v>11</v>
      </c>
      <c r="ANZ60" s="403">
        <f t="shared" si="580"/>
        <v>0</v>
      </c>
      <c r="AOA60" s="401">
        <f t="shared" si="581"/>
        <v>1.2</v>
      </c>
      <c r="AOB60" s="70" t="e">
        <f t="shared" ca="1" si="582"/>
        <v>#NAME?</v>
      </c>
      <c r="AOC60" s="70" t="e">
        <f t="shared" ca="1" si="583"/>
        <v>#NAME?</v>
      </c>
      <c r="AOD60" s="70" t="e">
        <f t="shared" ca="1" si="584"/>
        <v>#NAME?</v>
      </c>
      <c r="AOE60" s="70" t="e">
        <f t="shared" ca="1" si="585"/>
        <v>#NAME?</v>
      </c>
      <c r="AOF60" s="72" t="e">
        <f t="shared" ca="1" si="586"/>
        <v>#N/A</v>
      </c>
      <c r="AOG60" s="70" t="e">
        <f t="shared" ca="1" si="587"/>
        <v>#NAME?</v>
      </c>
      <c r="AOH60" s="70" t="e">
        <f t="array" aca="1" ref="AOH60" ca="1">IF(ANU60=0,0,INDEX(AKE60:AKI60,MATCH(_xlfn.IFS(AHT60="Handysize",Main!AKA60,AHT60="Supramax",AJT60,AHT60="Panamax",AJM60,AHT60="NeoPanamax",AJF60,AHT60="Suezmax",AIY60,AHT60="Capesize",AIR60,AHT60="VLOC",AIK60),$AKE$7:$AKI$7,0)))</f>
        <v>#NAME?</v>
      </c>
      <c r="AOI60" s="70" t="e">
        <f t="array" aca="1" ref="AOI60" ca="1">IF(ANU60=0,0,INDEX(AKE60:AKI60,MATCH(_xlfn.IFS(AHT60="Handysize",Main!AKB60,AHT60="Supramax",AJU60,AHT60="Panamax",AJN60,AHT60="NeoPanamax",AJG60,AHT60="Suezmax",AIZ60,AHT60="Capesize",AIS60,AHT60="VLOC",AIL60),$AKE$7:$AKI$7,0)))</f>
        <v>#NAME?</v>
      </c>
      <c r="AOJ60" s="71" t="e">
        <f t="shared" ca="1" si="588"/>
        <v>#NAME?</v>
      </c>
      <c r="AOK60" s="71" t="e">
        <f t="shared" ca="1" si="589"/>
        <v>#NAME?</v>
      </c>
      <c r="AOL60" s="281" t="e">
        <f t="shared" ca="1" si="590"/>
        <v>#NAME?</v>
      </c>
      <c r="AOM60" s="71" t="e">
        <f t="shared" ca="1" si="591"/>
        <v>#NAME?</v>
      </c>
      <c r="AON60" s="71" t="e">
        <f t="shared" ca="1" si="592"/>
        <v>#NAME?</v>
      </c>
      <c r="AOO60" s="71" t="e">
        <f t="shared" ca="1" si="593"/>
        <v>#NAME?</v>
      </c>
      <c r="AOP60" s="71" t="e">
        <f t="shared" ca="1" si="594"/>
        <v>#NAME?</v>
      </c>
      <c r="AOQ60" s="71" t="e">
        <f t="shared" ca="1" si="595"/>
        <v>#NAME?</v>
      </c>
      <c r="AOR60" s="71" t="e">
        <f t="shared" ca="1" si="596"/>
        <v>#NAME?</v>
      </c>
      <c r="AOS60" s="71" t="e">
        <f t="shared" ca="1" si="597"/>
        <v>#NAME?</v>
      </c>
      <c r="AOT60" s="71" t="e">
        <f t="shared" ca="1" si="598"/>
        <v>#NAME?</v>
      </c>
      <c r="AOU60" s="71" t="e">
        <f t="shared" ca="1" si="599"/>
        <v>#NAME?</v>
      </c>
      <c r="AOV60" s="71" t="e">
        <f t="shared" ca="1" si="600"/>
        <v>#NAME?</v>
      </c>
      <c r="AOW60" s="71" t="e">
        <f t="shared" ca="1" si="601"/>
        <v>#NAME?</v>
      </c>
      <c r="AOX60" s="71" t="e">
        <f t="shared" ca="1" si="602"/>
        <v>#NAME?</v>
      </c>
      <c r="AOY60" s="72" t="e">
        <f t="shared" ca="1" si="603"/>
        <v>#NAME?</v>
      </c>
      <c r="AOZ60" s="72" t="e">
        <f t="shared" ca="1" si="604"/>
        <v>#NAME?</v>
      </c>
      <c r="APA60" s="71" t="e">
        <f t="shared" ca="1" si="605"/>
        <v>#NAME?</v>
      </c>
      <c r="APB60" s="71" t="e">
        <f t="array" aca="1" ref="APB60" ca="1">IF(ANU60=0,0,INDEX('Ship Time Charter Rates'!$H$22:$H$1021,MATCH(2,1/(('Ship Time Charter Rates'!$G$22:$G$1021=_xlfn.IFS(AHT60="Handysize",Main!AJY60,AHT60="Supramax",AJR60,AHT60="Panamax",AJK60,AHT60="NeoPanamax",AJD60,AHT60="Suezmax",AIW60,AHT60="Capesize",AIP60,AHT60="VLOC",AII60))*('Ship Time Charter Rates'!$E$22:$E$1021&lt;=Main!$C60)*(NOT(ISBLANK('Ship Time Charter Rates'!$H$22:$H$1021)))))))</f>
        <v>#NAME?</v>
      </c>
      <c r="APC60" s="71" t="e">
        <f t="shared" ca="1" si="606"/>
        <v>#NAME?</v>
      </c>
      <c r="APD60" s="70" t="e">
        <f t="shared" ca="1" si="607"/>
        <v>#NAME?</v>
      </c>
      <c r="APE60" s="71" t="e">
        <f t="shared" ca="1" si="608"/>
        <v>#NAME?</v>
      </c>
      <c r="APF60" s="71" t="e">
        <f t="shared" ca="1" si="609"/>
        <v>#NAME?</v>
      </c>
      <c r="APG60" s="72" t="e">
        <f t="shared" ca="1" si="610"/>
        <v>#NAME?</v>
      </c>
      <c r="API60" s="287" t="s">
        <v>39</v>
      </c>
      <c r="APK60" s="289" t="e">
        <f t="shared" ca="1" si="611"/>
        <v>#NAME?</v>
      </c>
      <c r="APL60" s="289" t="e">
        <f t="shared" ca="1" si="612"/>
        <v>#NAME?</v>
      </c>
      <c r="APM60" s="289" t="e">
        <f t="shared" ca="1" si="613"/>
        <v>#NAME?</v>
      </c>
      <c r="APO60" s="287" t="s">
        <v>39</v>
      </c>
    </row>
    <row r="61" spans="2:1107">
      <c r="B61" s="434" t="e">
        <f t="shared" ca="1" si="614"/>
        <v>#NAME?</v>
      </c>
      <c r="C61" s="18">
        <f t="shared" si="615"/>
        <v>43934</v>
      </c>
      <c r="D61" s="7" t="s">
        <v>20</v>
      </c>
      <c r="E61" s="86" t="s">
        <v>455</v>
      </c>
      <c r="F61" s="6">
        <v>45</v>
      </c>
      <c r="G61" s="1" t="s">
        <v>185</v>
      </c>
      <c r="H61" s="1" t="s">
        <v>5</v>
      </c>
      <c r="I61" s="15"/>
      <c r="J61" s="15"/>
      <c r="K61" s="15"/>
      <c r="L61" s="15"/>
      <c r="M61" s="15"/>
      <c r="N61" s="15"/>
      <c r="O61" s="15"/>
      <c r="P61" s="433">
        <v>76000</v>
      </c>
      <c r="Q61" s="98"/>
      <c r="R61" s="7" t="s">
        <v>95</v>
      </c>
      <c r="T61" s="287" t="s">
        <v>39</v>
      </c>
      <c r="V61" s="4"/>
      <c r="W61" s="16" t="str">
        <f t="shared" si="349"/>
        <v>not used yet</v>
      </c>
      <c r="X61" s="16" t="str">
        <f t="shared" si="349"/>
        <v>not used yet</v>
      </c>
      <c r="Y61" s="16" t="str">
        <f t="shared" si="349"/>
        <v>not used yet</v>
      </c>
      <c r="Z61" s="16" t="str">
        <f t="shared" si="349"/>
        <v>not used yet</v>
      </c>
      <c r="AA61" s="16" t="str">
        <f t="shared" si="349"/>
        <v>not used yet</v>
      </c>
      <c r="AB61" s="16" t="str">
        <f t="shared" si="349"/>
        <v>not used yet</v>
      </c>
      <c r="AC61" s="16" t="str">
        <f t="shared" si="349"/>
        <v>not used yet</v>
      </c>
      <c r="AE61" s="88" t="str">
        <f t="shared" si="619"/>
        <v>India Gujarat</v>
      </c>
      <c r="AF61" s="16">
        <f t="shared" si="350"/>
        <v>0.48</v>
      </c>
      <c r="AG61" s="16">
        <f t="shared" si="351"/>
        <v>0.40500000000000003</v>
      </c>
      <c r="AH61" s="61">
        <f t="shared" si="352"/>
        <v>7.0000000000000007E-2</v>
      </c>
      <c r="AI61" s="61">
        <f t="shared" si="353"/>
        <v>5.2499999999999998E-2</v>
      </c>
      <c r="AJ61" s="61">
        <f t="shared" si="354"/>
        <v>1.7500000000000009E-2</v>
      </c>
      <c r="AK61" s="16">
        <f t="shared" si="355"/>
        <v>2.2499999999999958E-2</v>
      </c>
      <c r="AL61" s="16">
        <f t="shared" si="356"/>
        <v>7.0000000000000007E-2</v>
      </c>
      <c r="AM61" s="24" t="str">
        <f t="shared" si="620"/>
        <v>LT</v>
      </c>
      <c r="AN61" s="427">
        <f t="shared" si="357"/>
        <v>76000</v>
      </c>
      <c r="AO61" s="127" t="str">
        <f t="array" ref="AO61">IFERROR(IF(AND(AN61&gt;'Indices Mines Exporting Ports'!$D$11,MATCH(2,1/(('Indices Mines Exporting Ports'!$B$3:$B$10&lt;=C61)*('Indices Mines Exporting Ports'!$C$3:$C$10=E61)))),"Yes","No"),"No")</f>
        <v>No</v>
      </c>
      <c r="AP61" s="126" t="str">
        <f t="array" ref="AP61">IF(AO61="Yes",INDEX('Indices Mines Exporting Ports'!$D$3:$D$10,MATCH(2,1/(('Indices Mines Exporting Ports'!$B$3:$B$10&lt;=Main!C61)*('Indices Mines Exporting Ports'!$C$3:$C$10=Main!AE61)))),IF(NOT(ISBLANK(Q61)),Q61,IP61))</f>
        <v>Gujarat_wharf</v>
      </c>
      <c r="AQ61" s="262">
        <f t="array" ref="AQ61">IF(AO61="no",0,INDEX('Indices Mines Exporting Ports'!$E$3:$E$10,MATCH(2,1/(('Indices Mines Exporting Ports'!$B$3:$B$10&lt;=Main!$C61)*('Indices Mines Exporting Ports'!$D$3:$D$10=Main!$AP61)))))</f>
        <v>0</v>
      </c>
      <c r="AR61" s="267">
        <f t="array" ref="AR61">IF(AO61="No",0,AN61/ROUND(AN61/INDEX('Indices Mines Exporting Ports'!$F$3:$F$10,MATCH(2,1/(('Indices Mines Exporting Ports'!$B$3:$B$10&lt;=Main!C61)*('Indices Mines Exporting Ports'!$C$3:$C$10=Main!AE61)))),0))</f>
        <v>0</v>
      </c>
      <c r="AS61" s="127" t="str">
        <f t="shared" si="621"/>
        <v>Qingdao</v>
      </c>
      <c r="AT61" s="100" t="str">
        <f t="shared" si="358"/>
        <v>CBIX LT</v>
      </c>
      <c r="AU61" s="100" t="str">
        <f t="shared" si="359"/>
        <v>CBIX LT</v>
      </c>
      <c r="AV61" s="242" t="s">
        <v>4</v>
      </c>
      <c r="AW61" s="242" t="s">
        <v>5</v>
      </c>
      <c r="AX61" s="292" t="e">
        <f t="shared" ca="1" si="622"/>
        <v>#NAME?</v>
      </c>
      <c r="AY61" s="291" t="e">
        <f t="shared" ca="1" si="360"/>
        <v>#NAME?</v>
      </c>
      <c r="AZ61" s="292" t="e">
        <f t="shared" ca="1" si="623"/>
        <v>#NAME?</v>
      </c>
      <c r="BA61" s="102">
        <f t="shared" si="624"/>
        <v>0.83000000000000007</v>
      </c>
      <c r="BB61" s="12"/>
      <c r="BC61" s="306" t="s">
        <v>403</v>
      </c>
      <c r="BD61" s="407">
        <f t="shared" si="361"/>
        <v>0</v>
      </c>
      <c r="BE61" s="407">
        <f t="shared" si="361"/>
        <v>0</v>
      </c>
      <c r="BF61" s="407">
        <f t="shared" si="361"/>
        <v>0</v>
      </c>
      <c r="BG61" s="407" t="e">
        <f t="shared" ca="1" si="362"/>
        <v>#NAME?</v>
      </c>
      <c r="BH61" s="407">
        <f t="shared" si="363"/>
        <v>0</v>
      </c>
      <c r="BI61" s="263" t="e">
        <f t="shared" ca="1" si="364"/>
        <v>#NAME?</v>
      </c>
      <c r="BK61" s="287" t="s">
        <v>39</v>
      </c>
      <c r="BM61" s="291" t="e">
        <f t="shared" ca="1" si="365"/>
        <v>#NAME?</v>
      </c>
      <c r="BN61" s="298">
        <f t="shared" si="366"/>
        <v>0.48</v>
      </c>
      <c r="BO61" s="298">
        <f t="shared" si="367"/>
        <v>0.40500000000000003</v>
      </c>
      <c r="BP61" s="298">
        <f t="shared" si="368"/>
        <v>7.0000000000000007E-2</v>
      </c>
      <c r="BQ61" s="298">
        <f t="shared" si="369"/>
        <v>5.2499999999999998E-2</v>
      </c>
      <c r="BR61" s="298">
        <f t="shared" si="370"/>
        <v>1.7500000000000009E-2</v>
      </c>
      <c r="BS61" s="298">
        <f t="shared" si="371"/>
        <v>2.2499999999999958E-2</v>
      </c>
      <c r="BT61" s="298">
        <f t="shared" si="372"/>
        <v>7.0000000000000007E-2</v>
      </c>
      <c r="BU61" s="307" t="str">
        <f t="shared" si="373"/>
        <v>LT</v>
      </c>
      <c r="BV61" s="291">
        <f t="shared" si="374"/>
        <v>0.83000000000000007</v>
      </c>
      <c r="BX61" s="300">
        <f t="array" ref="BX61">INDEX('Processing Factors'!$D$8:$D$29,MATCH(2,1/(('Processing Factors'!$B$8:$B$29&lt;=Main!$C61)*('Processing Factors'!$C$8:$C$29=Main!BU61))))</f>
        <v>0</v>
      </c>
      <c r="BY61" s="299">
        <f t="array" ref="BY61">INDEX('Processing Factors'!$E$8:$E$29,MATCH(2,1/(('Processing Factors'!$B$8:$B$29&lt;=Main!$C61)*('Processing Factors'!$C$8:$C$29=Main!BU61))))</f>
        <v>1</v>
      </c>
      <c r="BZ61" s="299">
        <f t="array" ref="BZ61">INDEX('Processing Factors'!$F$8:$F$29,MATCH(2,1/(('Processing Factors'!$B$8:$B$29&lt;=Main!$C61)*('Processing Factors'!$C$8:$C$29=Main!BU61))))</f>
        <v>0.9</v>
      </c>
      <c r="CA61" s="299">
        <f t="array" ref="CA61">INDEX('Processing Factors'!$G$8:$G$29,MATCH(2,1/(('Processing Factors'!$B$8:$B$29&lt;=Main!$C61)*('Processing Factors'!$C$8:$C$29=Main!BU61))))</f>
        <v>3.5999999999999997E-2</v>
      </c>
      <c r="CB61" s="299">
        <f t="array" ref="CB61">INDEX('Processing Factors'!$H$8:$H$29,MATCH(2,1/(('Processing Factors'!$B$8:$B$29&lt;=Main!$C61)*('Processing Factors'!$C$8:$C$29=Main!BU61))))</f>
        <v>12.15</v>
      </c>
      <c r="CC61" s="300">
        <f t="array" ref="CC61">INDEX('Processing Factors'!$I$8:$I$29,MATCH(2,1/(('Processing Factors'!$B$8:$B$29&lt;=Main!$C61)*('Processing Factors'!$C$8:$C$29=Main!BU61))))</f>
        <v>0</v>
      </c>
      <c r="CD61" s="300">
        <f t="array" ref="CD61">INDEX('Processing Factors'!$J$8:$J$29,MATCH(2,1/(('Processing Factors'!$B$8:$B$29&lt;=Main!$C61)*('Processing Factors'!$C$8:$C$29=Main!BU61))))</f>
        <v>0.9</v>
      </c>
      <c r="CE61" s="299">
        <f t="array" ref="CE61">INDEX('Processing Factors'!$K$8:$K$29,MATCH(2,1/(('Processing Factors'!$B$8:$B$29&lt;=Main!$C61)*('Processing Factors'!$C$8:$C$29=Main!BU61))))</f>
        <v>3.5000000000000003E-2</v>
      </c>
      <c r="CG61" s="302">
        <f t="shared" si="375"/>
        <v>0.45750000000000002</v>
      </c>
      <c r="CH61" s="302">
        <f t="shared" si="376"/>
        <v>5.2499999999999998E-2</v>
      </c>
      <c r="CI61" s="302">
        <f t="shared" si="377"/>
        <v>0.40500000000000003</v>
      </c>
      <c r="CJ61" s="299">
        <f t="shared" si="378"/>
        <v>2.7434842249657061</v>
      </c>
      <c r="CK61" s="281" t="e">
        <f t="shared" ca="1" si="617"/>
        <v>#NAME?</v>
      </c>
      <c r="CL61" s="299">
        <f t="shared" si="379"/>
        <v>0.16462962962962963</v>
      </c>
      <c r="CM61" s="281">
        <f t="shared" si="625"/>
        <v>39.510627686960589</v>
      </c>
      <c r="CN61" s="281">
        <f t="shared" si="626"/>
        <v>50.321396655852695</v>
      </c>
      <c r="CO61" s="281">
        <f t="shared" si="627"/>
        <v>1.2197497818850218</v>
      </c>
      <c r="CP61" s="299">
        <f t="shared" si="380"/>
        <v>1.9441138545953358</v>
      </c>
      <c r="CQ61" s="281">
        <f t="shared" si="628"/>
        <v>8.2337932295219094</v>
      </c>
      <c r="CR61" s="281" t="e">
        <f t="shared" ca="1" si="381"/>
        <v>#NAME?</v>
      </c>
      <c r="CT61" s="287" t="s">
        <v>39</v>
      </c>
      <c r="CV61" s="305" t="e">
        <f t="shared" ca="1" si="382"/>
        <v>#NAME?</v>
      </c>
      <c r="CW61" s="61">
        <f t="array" ref="CW61">INDEX('Indices Mines Exporting Ports'!E$20:E$51, MATCH(2,1/(('Indices Mines Exporting Ports'!$C$20:$C$51=$AT61)*('Indices Mines Exporting Ports'!$D$20:$D$51&lt;=$C61))))</f>
        <v>0.5</v>
      </c>
      <c r="CX61" s="61">
        <f t="array" ref="CX61">INDEX('Indices Mines Exporting Ports'!F$20:F$51, MATCH(2,1/(('Indices Mines Exporting Ports'!$C$20:$C$51=$AT61)*('Indices Mines Exporting Ports'!$D$20:$D$51&lt;=$C61))))</f>
        <v>0.45</v>
      </c>
      <c r="CY61" s="61">
        <f t="array" ref="CY61">INDEX('Indices Mines Exporting Ports'!G$20:G$51, MATCH(2,1/(('Indices Mines Exporting Ports'!$C$20:$C$51=$AT61)*('Indices Mines Exporting Ports'!$D$20:$D$51&lt;=$C61))))</f>
        <v>0.05</v>
      </c>
      <c r="CZ61" s="61">
        <f t="array" ref="CZ61">INDEX('Indices Mines Exporting Ports'!H$20:H$51, MATCH(2,1/(('Indices Mines Exporting Ports'!$C$20:$C$51=$AT61)*('Indices Mines Exporting Ports'!$D$20:$D$51&lt;=$C61))))</f>
        <v>0.05</v>
      </c>
      <c r="DA61" s="61">
        <f t="array" ref="DA61">INDEX('Indices Mines Exporting Ports'!I$20:I$51, MATCH(2,1/(('Indices Mines Exporting Ports'!$C$20:$C$51=$AT61)*('Indices Mines Exporting Ports'!$D$20:$D$51&lt;=$C61))))</f>
        <v>0</v>
      </c>
      <c r="DB61" s="61">
        <f t="array" ref="DB61">INDEX('Indices Mines Exporting Ports'!J$20:J$51, MATCH(2,1/(('Indices Mines Exporting Ports'!$C$20:$C$51=$AT61)*('Indices Mines Exporting Ports'!$D$20:$D$51&lt;=$C61))))</f>
        <v>0</v>
      </c>
      <c r="DC61" s="61">
        <f t="array" ref="DC61">INDEX('Indices Mines Exporting Ports'!K$20:K$51, MATCH(2,1/(('Indices Mines Exporting Ports'!$C$20:$C$51=$AT61)*('Indices Mines Exporting Ports'!$D$20:$D$51&lt;=$C61))))</f>
        <v>0.1</v>
      </c>
      <c r="DD61" s="103" t="str">
        <f t="array" ref="DD61">INDEX('Indices Mines Exporting Ports'!L$20:L$51, MATCH(2,1/(('Indices Mines Exporting Ports'!$C$20:$C$51=$AT61)*('Indices Mines Exporting Ports'!$D$20:$D$51&lt;=$C61))))</f>
        <v>LT</v>
      </c>
      <c r="DE61" s="243">
        <f t="array" ref="DE61">INDEX('Indices Mines Exporting Ports'!M$20:M$51, MATCH(2,1/(('Indices Mines Exporting Ports'!$C$20:$C$51=$AT61)*('Indices Mines Exporting Ports'!$D$20:$D$51&lt;=$C61))))</f>
        <v>0</v>
      </c>
      <c r="DG61" s="300">
        <f t="array" ref="DG61">INDEX('Processing Factors'!$D$8:$D$29,MATCH(2,1/(('Processing Factors'!$B$8:$B$29&lt;=Main!$C61)*('Processing Factors'!$C$8:$C$29=Main!DD61))))</f>
        <v>0</v>
      </c>
      <c r="DH61" s="299">
        <f t="array" ref="DH61">INDEX('Processing Factors'!$E$8:$E$29,MATCH(2,1/(('Processing Factors'!$B$8:$B$29&lt;=Main!$C61)*('Processing Factors'!$C$8:$C$29=Main!DD61))))</f>
        <v>1</v>
      </c>
      <c r="DI61" s="299">
        <f t="array" ref="DI61">INDEX('Processing Factors'!$F$8:$F$29,MATCH(2,1/(('Processing Factors'!$B$8:$B$29&lt;=Main!$C61)*('Processing Factors'!$C$8:$C$29=Main!DD61))))</f>
        <v>0.9</v>
      </c>
      <c r="DJ61" s="299">
        <f t="array" ref="DJ61">INDEX('Processing Factors'!$G$8:$G$29,MATCH(2,1/(('Processing Factors'!$B$8:$B$29&lt;=Main!$C61)*('Processing Factors'!$C$8:$C$29=Main!DD61))))</f>
        <v>3.5999999999999997E-2</v>
      </c>
      <c r="DK61" s="299">
        <f t="array" ref="DK61">INDEX('Processing Factors'!$H$8:$H$29,MATCH(2,1/(('Processing Factors'!$B$8:$B$29&lt;=Main!$C61)*('Processing Factors'!$C$8:$C$29=Main!DD61))))</f>
        <v>12.15</v>
      </c>
      <c r="DL61" s="300">
        <f t="array" ref="DL61">INDEX('Processing Factors'!$I$8:$I$29,MATCH(2,1/(('Processing Factors'!$B$8:$B$29&lt;=Main!$C61)*('Processing Factors'!$C$8:$C$29=Main!DD61))))</f>
        <v>0</v>
      </c>
      <c r="DM61" s="300">
        <f t="array" ref="DM61">INDEX('Processing Factors'!$J$8:$J$29,MATCH(2,1/(('Processing Factors'!$B$8:$B$29&lt;=Main!$C61)*('Processing Factors'!$C$8:$C$29=Main!DD61))))</f>
        <v>0.9</v>
      </c>
      <c r="DN61" s="299">
        <f t="array" ref="DN61">INDEX('Processing Factors'!$K$8:$K$29,MATCH(2,1/(('Processing Factors'!$B$8:$B$29&lt;=Main!$C61)*('Processing Factors'!$C$8:$C$29=Main!DD61))))</f>
        <v>3.5000000000000003E-2</v>
      </c>
      <c r="DP61" s="302">
        <f t="shared" si="383"/>
        <v>0.5</v>
      </c>
      <c r="DQ61" s="302">
        <f t="shared" si="384"/>
        <v>0.05</v>
      </c>
      <c r="DR61" s="302">
        <f t="shared" si="385"/>
        <v>0.45</v>
      </c>
      <c r="DS61" s="299">
        <f t="shared" si="386"/>
        <v>2.4691358024691357</v>
      </c>
      <c r="DT61" s="304">
        <v>0</v>
      </c>
      <c r="DU61" s="299">
        <f t="shared" si="387"/>
        <v>0.14611111111111114</v>
      </c>
      <c r="DV61" s="281">
        <f t="shared" si="629"/>
        <v>35.06623762093578</v>
      </c>
      <c r="DW61" s="281">
        <f t="shared" si="630"/>
        <v>50.321396655852695</v>
      </c>
      <c r="DX61" s="281">
        <f t="shared" si="631"/>
        <v>1.2197497818850218</v>
      </c>
      <c r="DY61" s="299">
        <f t="shared" si="388"/>
        <v>1.6512469135802468</v>
      </c>
      <c r="DZ61" s="281">
        <f t="shared" si="632"/>
        <v>6.9934307731868799</v>
      </c>
      <c r="EA61" s="281">
        <f t="shared" si="389"/>
        <v>93.60081483186039</v>
      </c>
      <c r="EC61" s="287" t="s">
        <v>39</v>
      </c>
      <c r="EE61" s="305" t="e">
        <f t="shared" ca="1" si="390"/>
        <v>#NAME?</v>
      </c>
      <c r="EF61" s="16">
        <f t="array" ref="EF61">INDEX('Indices Mines Exporting Ports'!E$20:E$51, MATCH(2,1/(('Indices Mines Exporting Ports'!$C$20:$C$51=$AU61)*('Indices Mines Exporting Ports'!$D$20:$D$51&lt;=$C61))))</f>
        <v>0.5</v>
      </c>
      <c r="EG61" s="16">
        <f t="array" ref="EG61">INDEX('Indices Mines Exporting Ports'!F$20:F$51, MATCH(2,1/(('Indices Mines Exporting Ports'!$C$20:$C$51=$AU61)*('Indices Mines Exporting Ports'!$D$20:$D$51&lt;=$C61))))</f>
        <v>0.45</v>
      </c>
      <c r="EH61" s="16">
        <f t="array" ref="EH61">INDEX('Indices Mines Exporting Ports'!G$20:G$51, MATCH(2,1/(('Indices Mines Exporting Ports'!$C$20:$C$51=$AU61)*('Indices Mines Exporting Ports'!$D$20:$D$51&lt;=$C61))))</f>
        <v>0.05</v>
      </c>
      <c r="EI61" s="16">
        <f t="array" ref="EI61">INDEX('Indices Mines Exporting Ports'!H$20:H$51, MATCH(2,1/(('Indices Mines Exporting Ports'!$C$20:$C$51=$AU61)*('Indices Mines Exporting Ports'!$D$20:$D$51&lt;=$C61))))</f>
        <v>0.05</v>
      </c>
      <c r="EJ61" s="16">
        <f t="array" ref="EJ61">INDEX('Indices Mines Exporting Ports'!I$20:I$51, MATCH(2,1/(('Indices Mines Exporting Ports'!$C$20:$C$51=$AU61)*('Indices Mines Exporting Ports'!$D$20:$D$51&lt;=$C61))))</f>
        <v>0</v>
      </c>
      <c r="EK61" s="16">
        <f t="array" ref="EK61">INDEX('Indices Mines Exporting Ports'!J$20:J$51, MATCH(2,1/(('Indices Mines Exporting Ports'!$C$20:$C$51=$AU61)*('Indices Mines Exporting Ports'!$D$20:$D$51&lt;=$C61))))</f>
        <v>0</v>
      </c>
      <c r="EL61" s="16">
        <f t="array" ref="EL61">INDEX('Indices Mines Exporting Ports'!K$20:K$51, MATCH(2,1/(('Indices Mines Exporting Ports'!$C$20:$C$51=$AU61)*('Indices Mines Exporting Ports'!$D$20:$D$51&lt;=$C61))))</f>
        <v>0.1</v>
      </c>
      <c r="EM61" s="103" t="str">
        <f t="array" ref="EM61">INDEX('Indices Mines Exporting Ports'!L$20:L$51, MATCH(2,1/(('Indices Mines Exporting Ports'!$C$20:$C$51=$AU61)*('Indices Mines Exporting Ports'!$D$20:$D$51&lt;=$C61))))</f>
        <v>LT</v>
      </c>
      <c r="EN61" s="243">
        <f t="array" ref="EN61">INDEX('Indices Mines Exporting Ports'!M$20:M$51, MATCH(2,1/(('Indices Mines Exporting Ports'!$C$20:$C$51=$AU61)*('Indices Mines Exporting Ports'!$D$20:$D$51&lt;=$C61))))</f>
        <v>0</v>
      </c>
      <c r="EP61" s="300">
        <f t="array" ref="EP61">INDEX('Processing Factors'!$D$8:$D$29,MATCH(2,1/(('Processing Factors'!$B$8:$B$29&lt;=Main!$C61)*('Processing Factors'!$C$8:$C$29=Main!EM61))))</f>
        <v>0</v>
      </c>
      <c r="EQ61" s="299">
        <f t="array" ref="EQ61">INDEX('Processing Factors'!$E$8:$E$29,MATCH(2,1/(('Processing Factors'!$B$8:$B$29&lt;=Main!$C61)*('Processing Factors'!$C$8:$C$29=Main!EM61))))</f>
        <v>1</v>
      </c>
      <c r="ER61" s="299">
        <f t="array" ref="ER61">INDEX('Processing Factors'!$F$8:$F$29,MATCH(2,1/(('Processing Factors'!$B$8:$B$29&lt;=Main!$C61)*('Processing Factors'!$C$8:$C$29=Main!EM61))))</f>
        <v>0.9</v>
      </c>
      <c r="ES61" s="299">
        <f t="array" ref="ES61">INDEX('Processing Factors'!$G$8:$G$29,MATCH(2,1/(('Processing Factors'!$B$8:$B$29&lt;=Main!$C61)*('Processing Factors'!$C$8:$C$29=Main!EM61))))</f>
        <v>3.5999999999999997E-2</v>
      </c>
      <c r="ET61" s="299">
        <f t="array" ref="ET61">INDEX('Processing Factors'!$H$8:$H$29,MATCH(2,1/(('Processing Factors'!$B$8:$B$29&lt;=Main!$C61)*('Processing Factors'!$C$8:$C$29=Main!EM61))))</f>
        <v>12.15</v>
      </c>
      <c r="EU61" s="300">
        <f t="array" ref="EU61">INDEX('Processing Factors'!$I$8:$I$29,MATCH(2,1/(('Processing Factors'!$B$8:$B$29&lt;=Main!$C61)*('Processing Factors'!$C$8:$C$29=Main!EM61))))</f>
        <v>0</v>
      </c>
      <c r="EV61" s="300">
        <f t="array" ref="EV61">INDEX('Processing Factors'!$J$8:$J$29,MATCH(2,1/(('Processing Factors'!$B$8:$B$29&lt;=Main!$C61)*('Processing Factors'!$C$8:$C$29=Main!EM61))))</f>
        <v>0.9</v>
      </c>
      <c r="EW61" s="299">
        <f t="array" ref="EW61">INDEX('Processing Factors'!$K$8:$K$29,MATCH(2,1/(('Processing Factors'!$B$8:$B$29&lt;=Main!$C61)*('Processing Factors'!$C$8:$C$29=Main!EM61))))</f>
        <v>3.5000000000000003E-2</v>
      </c>
      <c r="EY61" s="302">
        <f t="shared" si="391"/>
        <v>0.5</v>
      </c>
      <c r="EZ61" s="302">
        <f t="shared" si="392"/>
        <v>0.05</v>
      </c>
      <c r="FA61" s="302">
        <f t="shared" si="393"/>
        <v>0.45</v>
      </c>
      <c r="FB61" s="299">
        <f t="shared" si="394"/>
        <v>2.4691358024691357</v>
      </c>
      <c r="FC61" s="304">
        <v>0</v>
      </c>
      <c r="FD61" s="299">
        <f t="shared" si="395"/>
        <v>0.14611111111111114</v>
      </c>
      <c r="FE61" s="281">
        <f t="shared" si="633"/>
        <v>35.06623762093578</v>
      </c>
      <c r="FF61" s="281">
        <f t="shared" si="634"/>
        <v>50.321396655852695</v>
      </c>
      <c r="FG61" s="281">
        <f t="shared" si="635"/>
        <v>1.2197497818850218</v>
      </c>
      <c r="FH61" s="299">
        <f t="shared" si="396"/>
        <v>1.6512469135802468</v>
      </c>
      <c r="FI61" s="281">
        <f t="shared" si="636"/>
        <v>6.9934307731868799</v>
      </c>
      <c r="FJ61" s="281">
        <f t="shared" si="397"/>
        <v>93.60081483186039</v>
      </c>
      <c r="FL61" s="287" t="s">
        <v>39</v>
      </c>
      <c r="FN61" s="315" t="e">
        <f t="shared" ca="1" si="398"/>
        <v>#NAME?</v>
      </c>
      <c r="FO61" s="316">
        <f t="shared" si="399"/>
        <v>0.48</v>
      </c>
      <c r="FP61" s="316">
        <f t="shared" si="400"/>
        <v>0.40500000000000003</v>
      </c>
      <c r="FQ61" s="316">
        <f t="shared" si="401"/>
        <v>7.0000000000000007E-2</v>
      </c>
      <c r="FR61" s="316">
        <f t="shared" si="402"/>
        <v>5.2499999999999998E-2</v>
      </c>
      <c r="FS61" s="316">
        <f t="shared" si="403"/>
        <v>1.7500000000000009E-2</v>
      </c>
      <c r="FT61" s="316">
        <f t="shared" si="404"/>
        <v>2.2499999999999958E-2</v>
      </c>
      <c r="FU61" s="316">
        <f t="shared" si="405"/>
        <v>7.0000000000000007E-2</v>
      </c>
      <c r="FV61" s="317" t="str">
        <f t="shared" si="406"/>
        <v>LT</v>
      </c>
      <c r="FW61" s="318">
        <v>0</v>
      </c>
      <c r="FX61" s="237"/>
      <c r="FY61" s="319">
        <f t="array" ref="FY61">INDEX('Processing Factors'!$D$8:$D$29,MATCH(2,1/(('Processing Factors'!$B$8:$B$29&lt;=Main!$C61)*('Processing Factors'!$C$8:$C$29=Main!FV61))))</f>
        <v>0</v>
      </c>
      <c r="FZ61" s="320">
        <f t="array" ref="FZ61">INDEX('Processing Factors'!$E$8:$E$29,MATCH(2,1/(('Processing Factors'!$B$8:$B$29&lt;=Main!$C61)*('Processing Factors'!$C$8:$C$29=Main!FV61))))</f>
        <v>1</v>
      </c>
      <c r="GA61" s="320">
        <f t="array" ref="GA61">INDEX('Processing Factors'!$F$8:$F$29,MATCH(2,1/(('Processing Factors'!$B$8:$B$29&lt;=Main!$C61)*('Processing Factors'!$C$8:$C$29=Main!FV61))))</f>
        <v>0.9</v>
      </c>
      <c r="GB61" s="320">
        <f t="array" ref="GB61">INDEX('Processing Factors'!$G$8:$G$29,MATCH(2,1/(('Processing Factors'!$B$8:$B$29&lt;=Main!$C61)*('Processing Factors'!$C$8:$C$29=Main!FV61))))</f>
        <v>3.5999999999999997E-2</v>
      </c>
      <c r="GC61" s="320">
        <f t="array" ref="GC61">INDEX('Processing Factors'!$H$8:$H$29,MATCH(2,1/(('Processing Factors'!$B$8:$B$29&lt;=Main!$C61)*('Processing Factors'!$C$8:$C$29=Main!FV61))))</f>
        <v>12.15</v>
      </c>
      <c r="GD61" s="319">
        <f t="array" ref="GD61">INDEX('Processing Factors'!$I$8:$I$29,MATCH(2,1/(('Processing Factors'!$B$8:$B$29&lt;=Main!$C61)*('Processing Factors'!$C$8:$C$29=Main!FV61))))</f>
        <v>0</v>
      </c>
      <c r="GE61" s="321">
        <v>0.92</v>
      </c>
      <c r="GF61" s="320">
        <f t="array" ref="GF61">INDEX('Processing Factors'!$K$8:$K$29,MATCH(2,1/(('Processing Factors'!$B$8:$B$29&lt;=Main!$C61)*('Processing Factors'!$C$8:$C$29=Main!FV61))))</f>
        <v>3.5000000000000003E-2</v>
      </c>
      <c r="GG61" s="237"/>
      <c r="GH61" s="322">
        <f t="shared" si="407"/>
        <v>0.45750000000000002</v>
      </c>
      <c r="GI61" s="322">
        <f t="shared" si="408"/>
        <v>5.2499999999999998E-2</v>
      </c>
      <c r="GJ61" s="322">
        <f t="shared" si="409"/>
        <v>0.40500000000000003</v>
      </c>
      <c r="GK61" s="320">
        <f t="shared" si="410"/>
        <v>2.6838432635534084</v>
      </c>
      <c r="GL61" s="323" t="e">
        <f t="shared" ca="1" si="618"/>
        <v>#NAME?</v>
      </c>
      <c r="GM61" s="320">
        <f t="shared" si="411"/>
        <v>0.16181159420289856</v>
      </c>
      <c r="GN61" s="323">
        <f t="shared" si="637"/>
        <v>38.834307459522037</v>
      </c>
      <c r="GO61" s="323">
        <f t="shared" si="638"/>
        <v>50.321396655852695</v>
      </c>
      <c r="GP61" s="323">
        <f t="shared" si="639"/>
        <v>1.2197497818850218</v>
      </c>
      <c r="GQ61" s="320">
        <f t="shared" si="412"/>
        <v>1.881654857756307</v>
      </c>
      <c r="GR61" s="323">
        <f t="shared" si="640"/>
        <v>7.9692642442053723</v>
      </c>
      <c r="GS61" s="323" t="e">
        <f t="shared" ca="1" si="413"/>
        <v>#NAME?</v>
      </c>
      <c r="GT61" s="237"/>
      <c r="GU61" s="324" t="e">
        <f t="shared" ca="1" si="414"/>
        <v>#NAME?</v>
      </c>
      <c r="GV61" s="325">
        <f t="array" ref="GV61">INDEX('Indices Mines Exporting Ports'!E$20:E$51, MATCH(2,1/(('Indices Mines Exporting Ports'!$C$20:$C$51=$BC61)*('Indices Mines Exporting Ports'!$D$20:$D$51&lt;=$C61))))</f>
        <v>0.5</v>
      </c>
      <c r="GW61" s="325">
        <f t="array" ref="GW61">INDEX('Indices Mines Exporting Ports'!F$20:F$51, MATCH(2,1/(('Indices Mines Exporting Ports'!$C$20:$C$51=$BC61)*('Indices Mines Exporting Ports'!$D$20:$D$51&lt;=$C61))))</f>
        <v>0.45</v>
      </c>
      <c r="GX61" s="325">
        <f t="array" ref="GX61">INDEX('Indices Mines Exporting Ports'!G$20:G$51, MATCH(2,1/(('Indices Mines Exporting Ports'!$C$20:$C$51=$BC61)*('Indices Mines Exporting Ports'!$D$20:$D$51&lt;=$C61))))</f>
        <v>0.05</v>
      </c>
      <c r="GY61" s="325">
        <f t="array" ref="GY61">INDEX('Indices Mines Exporting Ports'!H$20:H$51, MATCH(2,1/(('Indices Mines Exporting Ports'!$C$20:$C$51=$BC61)*('Indices Mines Exporting Ports'!$D$20:$D$51&lt;=$C61))))</f>
        <v>0.05</v>
      </c>
      <c r="GZ61" s="325">
        <f t="array" ref="GZ61">INDEX('Indices Mines Exporting Ports'!I$20:I$51, MATCH(2,1/(('Indices Mines Exporting Ports'!$C$20:$C$51=$BC61)*('Indices Mines Exporting Ports'!$D$20:$D$51&lt;=$C61))))</f>
        <v>0</v>
      </c>
      <c r="HA61" s="325">
        <f t="array" ref="HA61">INDEX('Indices Mines Exporting Ports'!J$20:J$51, MATCH(2,1/(('Indices Mines Exporting Ports'!$C$20:$C$51=$BC61)*('Indices Mines Exporting Ports'!$D$20:$D$51&lt;=$C61))))</f>
        <v>0</v>
      </c>
      <c r="HB61" s="325">
        <f t="array" ref="HB61">INDEX('Indices Mines Exporting Ports'!K$20:K$51, MATCH(2,1/(('Indices Mines Exporting Ports'!$C$20:$C$51=$BC61)*('Indices Mines Exporting Ports'!$D$20:$D$51&lt;=$C61))))</f>
        <v>0.1</v>
      </c>
      <c r="HC61" s="326" t="str">
        <f t="array" ref="HC61">INDEX('Indices Mines Exporting Ports'!L$20:L$51, MATCH(2,1/(('Indices Mines Exporting Ports'!$C$20:$C$51=$BC61)*('Indices Mines Exporting Ports'!$D$20:$D$51&lt;=$C61))))</f>
        <v>LT</v>
      </c>
      <c r="HD61" s="262">
        <f t="array" ref="HD61">INDEX('Indices Mines Exporting Ports'!M$20:M$51, MATCH(2,1/(('Indices Mines Exporting Ports'!$C$20:$C$51=$BC61)*('Indices Mines Exporting Ports'!$D$20:$D$51&lt;=$C61))))</f>
        <v>0</v>
      </c>
      <c r="HE61" s="237"/>
      <c r="HF61" s="319">
        <f t="array" ref="HF61">INDEX('Processing Factors'!$D$8:$D$29,MATCH(2,1/(('Processing Factors'!$B$8:$B$29&lt;=Main!$C61)*('Processing Factors'!$C$8:$C$29=Main!HC61))))</f>
        <v>0</v>
      </c>
      <c r="HG61" s="320">
        <f t="array" ref="HG61">INDEX('Processing Factors'!$E$8:$E$29,MATCH(2,1/(('Processing Factors'!$B$8:$B$29&lt;=Main!$C61)*('Processing Factors'!$C$8:$C$29=Main!HC61))))</f>
        <v>1</v>
      </c>
      <c r="HH61" s="320">
        <f t="array" ref="HH61">INDEX('Processing Factors'!$F$8:$F$29,MATCH(2,1/(('Processing Factors'!$B$8:$B$29&lt;=Main!$C61)*('Processing Factors'!$C$8:$C$29=Main!HC61))))</f>
        <v>0.9</v>
      </c>
      <c r="HI61" s="320">
        <f t="array" ref="HI61">INDEX('Processing Factors'!$G$8:$G$29,MATCH(2,1/(('Processing Factors'!$B$8:$B$29&lt;=Main!$C61)*('Processing Factors'!$C$8:$C$29=Main!HC61))))</f>
        <v>3.5999999999999997E-2</v>
      </c>
      <c r="HJ61" s="320">
        <f t="array" ref="HJ61">INDEX('Processing Factors'!$H$8:$H$29,MATCH(2,1/(('Processing Factors'!$B$8:$B$29&lt;=Main!$C61)*('Processing Factors'!$C$8:$C$29=Main!HC61))))</f>
        <v>12.15</v>
      </c>
      <c r="HK61" s="319">
        <f t="array" ref="HK61">INDEX('Processing Factors'!$I$8:$I$29,MATCH(2,1/(('Processing Factors'!$B$8:$B$29&lt;=Main!$C61)*('Processing Factors'!$C$8:$C$29=Main!HC61))))</f>
        <v>0</v>
      </c>
      <c r="HL61" s="321">
        <v>0.92</v>
      </c>
      <c r="HM61" s="320">
        <f t="array" ref="HM61">INDEX('Processing Factors'!$K$8:$K$29,MATCH(2,1/(('Processing Factors'!$B$8:$B$29&lt;=Main!$C61)*('Processing Factors'!$C$8:$C$29=Main!HC61))))</f>
        <v>3.5000000000000003E-2</v>
      </c>
      <c r="HN61" s="237"/>
      <c r="HO61" s="322">
        <f t="shared" si="415"/>
        <v>0.5</v>
      </c>
      <c r="HP61" s="322">
        <f t="shared" si="416"/>
        <v>0.05</v>
      </c>
      <c r="HQ61" s="322">
        <f t="shared" si="417"/>
        <v>0.45</v>
      </c>
      <c r="HR61" s="320">
        <f t="shared" si="418"/>
        <v>2.4154589371980677</v>
      </c>
      <c r="HS61" s="263">
        <v>0</v>
      </c>
      <c r="HT61" s="320">
        <f t="shared" si="419"/>
        <v>0.14369565217391306</v>
      </c>
      <c r="HU61" s="323">
        <f t="shared" si="641"/>
        <v>34.486534568845585</v>
      </c>
      <c r="HV61" s="323">
        <f t="shared" si="642"/>
        <v>50.321396655852695</v>
      </c>
      <c r="HW61" s="323">
        <f t="shared" si="643"/>
        <v>1.2197497818850218</v>
      </c>
      <c r="HX61" s="320">
        <f t="shared" si="420"/>
        <v>1.5951545893719807</v>
      </c>
      <c r="HY61" s="323">
        <f t="shared" si="644"/>
        <v>6.755866189095018</v>
      </c>
      <c r="HZ61" s="323">
        <f t="shared" si="421"/>
        <v>92.783547195678324</v>
      </c>
      <c r="IB61" s="287" t="s">
        <v>39</v>
      </c>
      <c r="ID61" s="89" t="str">
        <f t="shared" si="645"/>
        <v>India Gujarat</v>
      </c>
      <c r="IE61" s="18">
        <f t="shared" si="646"/>
        <v>43934</v>
      </c>
      <c r="IF61" s="94">
        <f t="array" ref="IF61">INDEX('Indices Mines Exporting Ports'!E$20:E$51, MATCH(2,1/(('Indices Mines Exporting Ports'!$C$20:$C$51=$ID61)*('Indices Mines Exporting Ports'!$D$20:$D$51&lt;=$IE61))))</f>
        <v>0.48</v>
      </c>
      <c r="IG61" s="94">
        <f t="array" ref="IG61">INDEX('Indices Mines Exporting Ports'!F$20:F$51, MATCH(2,1/(('Indices Mines Exporting Ports'!$C$20:$C$51=$ID61)*('Indices Mines Exporting Ports'!$D$20:$D$51&lt;=$IE61))))</f>
        <v>0.40500000000000003</v>
      </c>
      <c r="IH61" s="95">
        <f t="array" ref="IH61">INDEX('Indices Mines Exporting Ports'!G$20:G$51, MATCH(2,1/(('Indices Mines Exporting Ports'!$C$20:$C$51=$ID61)*('Indices Mines Exporting Ports'!$D$20:$D$51&lt;=$IE61))))</f>
        <v>7.0000000000000007E-2</v>
      </c>
      <c r="II61" s="95">
        <f t="array" ref="II61">INDEX('Indices Mines Exporting Ports'!H$20:H$51, MATCH(2,1/(('Indices Mines Exporting Ports'!$C$20:$C$51=$ID61)*('Indices Mines Exporting Ports'!$D$20:$D$51&lt;=$IE61))))</f>
        <v>5.2499999999999998E-2</v>
      </c>
      <c r="IJ61" s="95">
        <f t="array" ref="IJ61">INDEX('Indices Mines Exporting Ports'!I$20:I$51, MATCH(2,1/(('Indices Mines Exporting Ports'!$C$20:$C$51=$ID61)*('Indices Mines Exporting Ports'!$D$20:$D$51&lt;=$IE61))))</f>
        <v>1.7500000000000009E-2</v>
      </c>
      <c r="IK61" s="94">
        <f t="array" ref="IK61">INDEX('Indices Mines Exporting Ports'!J$20:J$51, MATCH(2,1/(('Indices Mines Exporting Ports'!$C$20:$C$51=$ID61)*('Indices Mines Exporting Ports'!$D$20:$D$51&lt;=$IE61))))</f>
        <v>2.2499999999999958E-2</v>
      </c>
      <c r="IL61" s="94">
        <f t="array" ref="IL61">INDEX('Indices Mines Exporting Ports'!K$20:K$51, MATCH(2,1/(('Indices Mines Exporting Ports'!$C$20:$C$51=$ID61)*('Indices Mines Exporting Ports'!$D$20:$D$51&lt;=$IE61))))</f>
        <v>7.0000000000000007E-2</v>
      </c>
      <c r="IM61" s="93" t="str">
        <f t="array" ref="IM61">INDEX('Indices Mines Exporting Ports'!L$20:L$51, MATCH(2,1/(('Indices Mines Exporting Ports'!$C$20:$C$51=$ID61)*('Indices Mines Exporting Ports'!$D$20:$D$51&lt;=$IE61))))</f>
        <v>LT</v>
      </c>
      <c r="IN61" s="101">
        <f t="array" ref="IN61">INDEX('Indices Mines Exporting Ports'!M$20:M$51, MATCH(2,1/(('Indices Mines Exporting Ports'!$C$20:$C$51=$ID61)*('Indices Mines Exporting Ports'!$D$20:$D$51&lt;=$IE61))))</f>
        <v>0.83000000000000007</v>
      </c>
      <c r="IO61" s="96">
        <f t="array" ref="IO61">INDEX('Indices Mines Exporting Ports'!N$20:N$51, MATCH(2,1/(('Indices Mines Exporting Ports'!$C$20:$C$51=$ID61)*('Indices Mines Exporting Ports'!$D$20:$D$51&lt;=$IE61))))</f>
        <v>60000</v>
      </c>
      <c r="IP61" s="95" t="str">
        <f t="array" ref="IP61">INDEX('Indices Mines Exporting Ports'!Q$20:Q$51, MATCH(2,1/(('Indices Mines Exporting Ports'!$C$20:$C$51=$ID61)*('Indices Mines Exporting Ports'!$D$20:$D$51&lt;=$IE61))))</f>
        <v>Gujarat_wharf</v>
      </c>
      <c r="IQ61" s="95" t="str">
        <f t="array" ref="IQ61">INDEX('Indices Mines Exporting Ports'!O$20:O$51, MATCH(2,1/(('Indices Mines Exporting Ports'!$C$20:$C$51=$ID61)*('Indices Mines Exporting Ports'!$D$20:$D$51&lt;=$IE61))))</f>
        <v>CBIX LT</v>
      </c>
      <c r="IR61" s="95" t="str">
        <f t="array" ref="IR61">INDEX('Indices Mines Exporting Ports'!P$20:P$51, MATCH(2,1/(('Indices Mines Exporting Ports'!$C$20:$C$51=$ID61)*('Indices Mines Exporting Ports'!$D$20:$D$51&lt;=$IE61))))</f>
        <v>CBIX LT</v>
      </c>
      <c r="IT61" s="287" t="s">
        <v>39</v>
      </c>
      <c r="IV61" s="292">
        <f>VLOOKUP($C61,'China Price Series'!$C$10:$D$1009,2,TRUE)/$JA61/(VLOOKUP($C61,'China Price Series'!$C$10:$E$1009,3,TRUE)*$JG61/$JF61)</f>
        <v>4.1416787371072177</v>
      </c>
      <c r="IW61" s="292">
        <f>VLOOKUP($C61,'China Price Series'!$G$10:$H$1009,2,TRUE)/$JA61/(VLOOKUP($C61,'China Price Series'!$G$10:$I$1009,3,TRUE))</f>
        <v>239.99706356533991</v>
      </c>
      <c r="IX61" s="292">
        <f>VLOOKUP($C61,'China Price Series'!$K$10:$L$1009,2,TRUE)/$JA61</f>
        <v>33.881938385695051</v>
      </c>
      <c r="IY61" s="292">
        <f>VLOOKUP($C61,'China Price Series'!$N$10:$O$1009,2,TRUE)/$JA61</f>
        <v>4.2352422982118814</v>
      </c>
      <c r="JA61" s="277">
        <f t="array" ref="JA61">INDEX('FX rates'!E$10:E$1009,MATCH(2,1/(('FX rates'!$D$10:$D$1009&lt;=Main!$C61)*(NOT(ISBLANK('FX rates'!E$10:E$1009))))))</f>
        <v>7.0834199999999994</v>
      </c>
      <c r="JB61" s="277">
        <f t="array" ref="JB61">INDEX('FX rates'!F$10:F$1009,MATCH(2,1/(('FX rates'!$D$10:$D$1009&lt;=Main!$C61)*(NOT(ISBLANK('FX rates'!F$10:F$1009))))))</f>
        <v>0.61160022139928016</v>
      </c>
      <c r="JC61" s="277">
        <f t="array" ref="JC61">INDEX('FX rates'!G$10:G$1009,MATCH(2,1/(('FX rates'!$D$10:$D$1009&lt;=Main!$C61)*(NOT(ISBLANK('FX rates'!G$10:G$1009))))))</f>
        <v>1</v>
      </c>
      <c r="JD61" s="277">
        <f t="array" ref="JD61">INDEX('FX rates'!H$10:H$1009,MATCH(2,1/(('FX rates'!$D$10:$D$1009&lt;=Main!$C61)*(NOT(ISBLANK('FX rates'!H$10:H$1009))))))</f>
        <v>1.35</v>
      </c>
      <c r="JF61" s="111">
        <f t="array" ref="JF61">INDEX('Global factors'!C$5:C$23,MATCH(2,1/(('Global factors'!$B$5:$B$23&lt;=Main!$C61)*(NOT(ISBLANK('Global factors'!C$5:C$23))))))</f>
        <v>239000</v>
      </c>
      <c r="JG61" s="112">
        <f t="array" ref="JG61">INDEX('Global factors'!D$5:D$23,MATCH(2,1/(('Global factors'!$B$5:$B$23&lt;=Main!$C61)*(NOT(ISBLANK('Global factors'!D$5:D$23))))))</f>
        <v>1000</v>
      </c>
      <c r="JH61" s="112">
        <f t="array" ref="JH61">INDEX('Global factors'!E$5:E$23,MATCH(2,1/(('Global factors'!$B$5:$B$23&lt;=Main!$C61)*(NOT(ISBLANK('Global factors'!E$5:E$23))))))</f>
        <v>24</v>
      </c>
      <c r="JI61" s="112">
        <f t="array" ref="JI61">INDEX('Global factors'!F$5:F$23,MATCH(2,1/(('Global factors'!$B$5:$B$23&lt;=Main!$C61)*(NOT(ISBLANK('Global factors'!F$5:F$23))))))</f>
        <v>2</v>
      </c>
      <c r="JJ61" s="117">
        <f t="array" ref="JJ61">INDEX('Global factors'!G$5:G$23,MATCH(2,1/(('Global factors'!$B$5:$B$23&lt;=Main!$C61)*(NOT(ISBLANK('Global factors'!G$5:G$23))))))</f>
        <v>0.08</v>
      </c>
      <c r="JK61" s="113">
        <f t="array" ref="JK61">INDEX('Global factors'!H$5:H$23,MATCH(2,1/(('Global factors'!$B$5:$B$23&lt;=Main!$C61)*(NOT(ISBLANK('Global factors'!H$5:H$23))))))</f>
        <v>101.96</v>
      </c>
      <c r="JL61" s="113">
        <f t="array" ref="JL61">INDEX('Global factors'!I$5:I$23,MATCH(2,1/(('Global factors'!$B$5:$B$23&lt;=Main!$C61)*(NOT(ISBLANK('Global factors'!I$5:I$23))))))</f>
        <v>60.08</v>
      </c>
      <c r="JM61" s="114">
        <f t="array" ref="JM61">INDEX('Global factors'!J$5:J$23,MATCH(2,1/(('Global factors'!$B$5:$B$23&lt;=Main!$C61)*(NOT(ISBLANK('Global factors'!J$5:J$23))))))</f>
        <v>0.84853528628495334</v>
      </c>
      <c r="JN61" s="115">
        <f t="array" ref="JN61">INDEX('Global factors'!K$5:K$23,MATCH(2,1/(('Global factors'!$B$5:$B$23&lt;=Main!$C61)*(NOT(ISBLANK('Global factors'!K$5:K$23))))))</f>
        <v>0.97499999999999998</v>
      </c>
      <c r="JO61" s="116">
        <f t="array" ref="JO61">INDEX('Global factors'!L$5:L$23,MATCH(2,1/(('Global factors'!$B$5:$B$23&lt;=Main!$C61)*(NOT(ISBLANK('Global factors'!L$5:L$23))))))</f>
        <v>8.7299999999999997E-4</v>
      </c>
      <c r="JP61" s="116">
        <f t="array" ref="JP61">INDEX('Global factors'!M$5:M$23,MATCH(2,1/(('Global factors'!$B$5:$B$23&lt;=Main!$C61)*(NOT(ISBLANK('Global factors'!M$5:M$23))))))</f>
        <v>145.88999999999999</v>
      </c>
      <c r="JQ61" s="116">
        <f t="array" ref="JQ61">INDEX('Global factors'!N$5:N$23,MATCH(2,1/(('Global factors'!$B$5:$B$23&lt;=Main!$C61)*(NOT(ISBLANK('Global factors'!N$5:N$23))))))</f>
        <v>0.40339999999999998</v>
      </c>
      <c r="JR61" s="116">
        <f t="array" ref="JR61">INDEX('Global factors'!O$5:O$23,MATCH(2,1/(('Global factors'!$B$5:$B$23&lt;=Main!$C61)*(NOT(ISBLANK('Global factors'!O$5:O$23))))))</f>
        <v>0</v>
      </c>
      <c r="JS61" s="116">
        <f t="array" ref="JS61">INDEX('Global factors'!P$5:P$23,MATCH(2,1/(('Global factors'!$B$5:$B$23&lt;=Main!$C61)*(NOT(ISBLANK('Global factors'!P$5:P$23))))))</f>
        <v>0.51890000000000003</v>
      </c>
      <c r="JT61" s="116">
        <f t="array" ref="JT61">INDEX('Global factors'!Q$5:Q$23,MATCH(2,1/(('Global factors'!$B$5:$B$23&lt;=Main!$C61)*(NOT(ISBLANK('Global factors'!Q$5:Q$23))))))</f>
        <v>4797</v>
      </c>
      <c r="JU61" s="116">
        <f t="array" ref="JU61">INDEX('Global factors'!R$5:R$23,MATCH(2,1/(('Global factors'!$B$5:$B$23&lt;=Main!$C61)*(NOT(ISBLANK('Global factors'!R$5:R$23))))))</f>
        <v>7</v>
      </c>
      <c r="JV61" s="115">
        <f t="array" ref="JV61">INDEX('Global factors'!S$5:S$23,MATCH(2,1/(('Global factors'!$B$5:$B$23&lt;=Main!$C61)*(NOT(ISBLANK('Global factors'!S$5:S$23))))))</f>
        <v>0.12</v>
      </c>
      <c r="JW61" s="115">
        <f t="array" ref="JW61">INDEX('Global factors'!T$5:T$23,MATCH(2,1/(('Global factors'!$B$5:$B$23&lt;=Main!$C61)*(NOT(ISBLANK('Global factors'!T$5:T$23))))))</f>
        <v>0.5</v>
      </c>
      <c r="JX61" s="116">
        <f t="array" ref="JX61">INDEX('Global factors'!U$5:U$23,MATCH(2,1/(('Global factors'!$B$5:$B$23&lt;=Main!$C61)*(NOT(ISBLANK('Global factors'!U$5:U$23))))))</f>
        <v>0.5</v>
      </c>
      <c r="JY61" s="116">
        <f t="array" ref="JY61">INDEX('Global factors'!V$5:V$23,MATCH(2,1/(('Global factors'!$B$5:$B$23&lt;=Main!$C61)*(NOT(ISBLANK('Global factors'!V$5:V$23))))))</f>
        <v>10000</v>
      </c>
      <c r="JZ61" s="116">
        <f t="array" ref="JZ61">INDEX('Global factors'!W$5:W$23,MATCH(2,1/(('Global factors'!$B$5:$B$23&lt;=Main!$C61)*(NOT(ISBLANK('Global factors'!W$5:W$23))))))</f>
        <v>0.10680000000000001</v>
      </c>
      <c r="KA61" s="116">
        <f t="array" ref="KA61">INDEX('Global factors'!X$5:X$23,MATCH(2,1/(('Global factors'!$B$5:$B$23&lt;=Main!$C61)*(NOT(ISBLANK('Global factors'!X$5:X$23))))))</f>
        <v>1.2</v>
      </c>
      <c r="KB61" s="116">
        <v>0</v>
      </c>
      <c r="KC61" s="272">
        <f t="array" ref="KC61">INDEX('Global factors'!Y$5:Y$23,MATCH(2,1/(('Global factors'!$B$5:$B$23&lt;=Main!$C61)*(NOT(ISBLANK('Global factors'!Y$5:Y$23))))))</f>
        <v>23643.7088248818</v>
      </c>
      <c r="KD61" s="273">
        <f t="array" ref="KD61">INDEX('Global factors'!Z$5:Z$23,MATCH(2,1/(('Global factors'!$B$5:$B$23&lt;=Main!$C61)*(NOT(ISBLANK('Global factors'!Z$5:Z$23))))))</f>
        <v>0.62802869915581405</v>
      </c>
      <c r="KE61" s="273">
        <v>0</v>
      </c>
      <c r="KF61" s="273">
        <v>0</v>
      </c>
      <c r="KG61" s="116">
        <v>0</v>
      </c>
      <c r="KH61" s="116">
        <f t="array" ref="KH61">INDEX('Global factors'!AB$5:AB$23,MATCH(2,1/(('Global factors'!$B$5:$B$23&lt;=Main!$C61)*(NOT(ISBLANK('Global factors'!AB$5:AB$23))))))</f>
        <v>6.2556361557795204E-2</v>
      </c>
      <c r="KI61" s="116">
        <f t="array" ref="KI61">INDEX('Global factors'!AC$5:AC$23,MATCH(2,1/(('Global factors'!$B$5:$B$23&lt;=Main!$C61)*(NOT(ISBLANK('Global factors'!AC$5:AC$23))))))</f>
        <v>8.6923129044225601E-4</v>
      </c>
      <c r="KJ61" s="116">
        <f t="array" ref="KJ61">INDEX('Global factors'!AD$5:AD$23,MATCH(2,1/(('Global factors'!$B$5:$B$23&lt;=Main!$C61)*(NOT(ISBLANK('Global factors'!AD$5:AD$23))))))</f>
        <v>1.1499999999999999</v>
      </c>
      <c r="KK61" s="116" t="str">
        <f t="array" ref="KK61">INDEX('Global factors'!AE$5:AE$23,MATCH(2,1/(('Global factors'!$B$5:$B$23&lt;=Main!$C61)*(NOT(ISBLANK('Global factors'!AE$5:AE$23))))))</f>
        <v>Qingdao</v>
      </c>
      <c r="KL61" s="290">
        <f t="array" ref="KL61">INDEX('Global factors'!AF$5:AF$23,MATCH(2,1/(('Global factors'!$B$5:$B$23&lt;=Main!$C61)*(NOT(ISBLANK('Global factors'!AF$5:AF$23))))))</f>
        <v>3.0000000000000001E-3</v>
      </c>
      <c r="KM61" s="290"/>
      <c r="KO61" s="287" t="s">
        <v>39</v>
      </c>
      <c r="KQ61" s="25">
        <f t="shared" si="647"/>
        <v>83815.825751309632</v>
      </c>
      <c r="KR61" s="4" t="str">
        <f>VLOOKUP(KQ61,'Ship Time Charter Rates'!$F$10:$G$17,2,TRUE)</f>
        <v>Panamax</v>
      </c>
      <c r="KS61" s="4" t="str">
        <f>VLOOKUP(KQ61,Canals!$E$5:$F$12,2,TRUE)</f>
        <v>Panamax</v>
      </c>
      <c r="KT61" s="25">
        <f t="shared" si="648"/>
        <v>219.06121588089329</v>
      </c>
      <c r="KU61" s="25">
        <f t="shared" si="649"/>
        <v>33811.3041080783</v>
      </c>
      <c r="KV61" s="25">
        <f t="shared" si="650"/>
        <v>48289.031982354572</v>
      </c>
      <c r="KX61" s="75">
        <f t="array" ref="KX61">INDEX('Indices Mines Exporting Ports'!$R$20:$R$51,MATCH(2,1/(('Indices Mines Exporting Ports'!$D$20:$D$51&lt;=Main!$C61)*('Indices Mines Exporting Ports'!$Q$20:$Q$51=$AP61))))</f>
        <v>30000</v>
      </c>
      <c r="KY61" s="75">
        <f t="array" ref="KY61">INDEX('Indices Mines Exporting Ports'!$S$20:$S$51,MATCH(2,1/(('Indices Mines Exporting Ports'!$D$20:$D$51&lt;=Main!$C61)*('Indices Mines Exporting Ports'!$Q$20:$Q$51=$AP61))))</f>
        <v>30000</v>
      </c>
      <c r="KZ61" s="75">
        <f t="array" ref="KZ61">INDEX('Indices Mines Exporting Ports'!$T$20:$T$51,MATCH(2,1/(('Indices Mines Exporting Ports'!$D$20:$D$51&lt;=Main!$C61)*('Indices Mines Exporting Ports'!$Q$20:$Q$51=$AP61))))</f>
        <v>30000</v>
      </c>
      <c r="LA61" s="75">
        <f t="array" ref="LA61">INDEX('Indices Mines Exporting Ports'!$U$20:$U$51,MATCH(2,1/(('Indices Mines Exporting Ports'!$D$20:$D$51&lt;=Main!$C61)*('Indices Mines Exporting Ports'!$Q$20:$Q$51=$AP61))))</f>
        <v>30000</v>
      </c>
      <c r="LB61" s="75">
        <f t="array" ref="LB61">INDEX('Indices Mines Exporting Ports'!$V$20:$V$51,MATCH(2,1/(('Indices Mines Exporting Ports'!$D$20:$D$51&lt;=Main!$C61)*('Indices Mines Exporting Ports'!$Q$20:$Q$51=$AP61))))</f>
        <v>30000</v>
      </c>
      <c r="LC61" s="75">
        <f t="array" ref="LC61">INDEX('Indices Mines Exporting Ports'!$W$20:$W$51,MATCH(2,1/(('Indices Mines Exporting Ports'!$D$20:$D$51&lt;=Main!$C61)*('Indices Mines Exporting Ports'!$Q$20:$Q$51=$AP61))))</f>
        <v>30000</v>
      </c>
      <c r="LD61" s="75">
        <f t="array" ref="LD61">INDEX('Indices Mines Exporting Ports'!$X$20:$X$51,MATCH(2,1/(('Indices Mines Exporting Ports'!$D$20:$D$51&lt;=Main!$C61)*('Indices Mines Exporting Ports'!$Q$20:$Q$51=$AP61))))</f>
        <v>30000</v>
      </c>
      <c r="LF61" s="75">
        <f t="array" ref="LF61">INDEX('Port Linkages'!$E$18:$E$157,MATCH(2,1/(('Port Linkages'!$C$18:$C$157=$AP61)*('Port Linkages'!$D$18:$D$157=IF($AO61="Yes",$AQ61,$AS61))*('Port Linkages'!$A$18:$A$157&lt;=$C61))))</f>
        <v>5100</v>
      </c>
      <c r="LG61" s="75">
        <f t="array" ref="LG61">INDEX('Port Linkages'!$F$18:$F$157,MATCH(2,1/(('Port Linkages'!$C$18:$C$157=$AP61)*('Port Linkages'!$D$18:$D$157=IF($AO61="Yes",$AQ61,$AS61))*('Port Linkages'!$A$18:$A$157&lt;=$C61))))</f>
        <v>0</v>
      </c>
      <c r="LH61" s="75" t="str">
        <f t="array" ref="LH61">INDEX('Port Linkages'!$G$18:$G$157,MATCH(2,1/(('Port Linkages'!$C$18:$C$157=$AP61)*('Port Linkages'!$D$18:$D$157=IF($AO61="Yes",$AQ61,$AS61))*('Port Linkages'!$A$18:$A$157&lt;=$C61))))</f>
        <v>VLOC_General</v>
      </c>
      <c r="LI61" s="75" t="str">
        <f t="array" ref="LI61">INDEX('Port Linkages'!$H$18:$H$157,MATCH(2,1/(('Port Linkages'!$C$18:$C$157=$AP61)*('Port Linkages'!$D$18:$D$157=IF($AO61="Yes",$AQ61,$AS61))*('Port Linkages'!$A$18:$A$157&lt;=$C61))))</f>
        <v>Singapore</v>
      </c>
      <c r="LJ61" s="75" t="str">
        <f t="array" ref="LJ61">INDEX('Port Linkages'!$I$18:$I$157,MATCH(2,1/(('Port Linkages'!$C$18:$C$157=$AP61)*('Port Linkages'!$D$18:$D$157=IF($AO61="Yes",$AQ61,$AS61))*('Port Linkages'!$A$18:$A$157&lt;=$C61))))</f>
        <v>VLSFO</v>
      </c>
      <c r="LK61" s="75" t="str">
        <f t="array" ref="LK61">INDEX('Port Linkages'!$J$18:$J$157,MATCH(2,1/(('Port Linkages'!$C$18:$C$157=$AP61)*('Port Linkages'!$D$18:$D$157=IF($AO61="Yes",$AQ61,$AS61))*('Port Linkages'!$A$18:$A$157&lt;=$C61))))</f>
        <v>MGO_Regular</v>
      </c>
      <c r="LL61" s="75" t="str">
        <f t="array" ref="LL61">INDEX('Port Linkages'!$K$18:$K$157,MATCH(2,1/(('Port Linkages'!$C$18:$C$157=$AP61)*('Port Linkages'!$D$18:$D$157=IF($AO61="Yes",$AQ61,$AS61))*('Port Linkages'!$A$18:$A$157&lt;=$C61))))</f>
        <v>none</v>
      </c>
      <c r="LM61" s="75">
        <f t="array" ref="LM61">INDEX('Port Linkages'!$L$18:$L$157,MATCH(2,1/(('Port Linkages'!$C$18:$C$157=$AP61)*('Port Linkages'!$D$18:$D$157=IF($AO61="Yes",$AQ61,$AS61))*('Port Linkages'!$A$18:$A$157&lt;=$C61))))</f>
        <v>5100</v>
      </c>
      <c r="LN61" s="75">
        <f t="array" ref="LN61">INDEX('Port Linkages'!$M$18:$M$157,MATCH(2,1/(('Port Linkages'!$C$18:$C$157=$AP61)*('Port Linkages'!$D$18:$D$157=IF($AO61="Yes",$AQ61,$AS61))*('Port Linkages'!$A$18:$A$157&lt;=$C61))))</f>
        <v>0</v>
      </c>
      <c r="LO61" s="75" t="str">
        <f t="array" ref="LO61">INDEX('Port Linkages'!$N$18:$N$157,MATCH(2,1/(('Port Linkages'!$C$18:$C$157=$AP61)*('Port Linkages'!$D$18:$D$157=IF($AO61="Yes",$AQ61,$AS61))*('Port Linkages'!$A$18:$A$157&lt;=$C61))))</f>
        <v>Capesize_General</v>
      </c>
      <c r="LP61" s="75" t="str">
        <f t="array" ref="LP61">INDEX('Port Linkages'!$O$18:$O$157,MATCH(2,1/(('Port Linkages'!$C$18:$C$157=$AP61)*('Port Linkages'!$D$18:$D$157=IF($AO61="Yes",$AQ61,$AS61))*('Port Linkages'!$A$18:$A$157&lt;=$C61))))</f>
        <v>Singapore</v>
      </c>
      <c r="LQ61" s="75" t="str">
        <f t="array" ref="LQ61">INDEX('Port Linkages'!$P$18:$P$157,MATCH(2,1/(('Port Linkages'!$C$18:$C$157=$AP61)*('Port Linkages'!$D$18:$D$157=IF($AO61="Yes",$AQ61,$AS61))*('Port Linkages'!$A$18:$A$157&lt;=$C61))))</f>
        <v>VLSFO</v>
      </c>
      <c r="LR61" s="75" t="str">
        <f t="array" ref="LR61">INDEX('Port Linkages'!$Q$18:$Q$157,MATCH(2,1/(('Port Linkages'!$C$18:$C$157=$AP61)*('Port Linkages'!$D$18:$D$157=IF($AO61="Yes",$AQ61,$AS61))*('Port Linkages'!$A$18:$A$157&lt;=$C61))))</f>
        <v>MGO_Regular</v>
      </c>
      <c r="LS61" s="75" t="str">
        <f t="array" ref="LS61">INDEX('Port Linkages'!$R$18:$R$157,MATCH(2,1/(('Port Linkages'!$C$18:$C$157=$AP61)*('Port Linkages'!$D$18:$D$157=IF($AO61="Yes",$AQ61,$AS61))*('Port Linkages'!$A$18:$A$157&lt;=$C61))))</f>
        <v>none</v>
      </c>
      <c r="LT61" s="75">
        <f t="array" ref="LT61">INDEX('Port Linkages'!$S$18:$S$157,MATCH(2,1/(('Port Linkages'!$C$18:$C$157=$AP61)*('Port Linkages'!$D$18:$D$157=IF($AO61="Yes",$AQ61,$AS61))*('Port Linkages'!$A$18:$A$157&lt;=$C61))))</f>
        <v>5100</v>
      </c>
      <c r="LU61" s="75">
        <f t="array" ref="LU61">INDEX('Port Linkages'!$T$18:$T$157,MATCH(2,1/(('Port Linkages'!$C$18:$C$157=$AP61)*('Port Linkages'!$D$18:$D$157=IF($AO61="Yes",$AQ61,$AS61))*('Port Linkages'!$A$18:$A$157&lt;=$C61))))</f>
        <v>0</v>
      </c>
      <c r="LV61" s="75" t="str">
        <f t="array" ref="LV61">INDEX('Port Linkages'!$U$18:$U$157,MATCH(2,1/(('Port Linkages'!$C$18:$C$157=$AP61)*('Port Linkages'!$D$18:$D$157=IF($AO61="Yes",$AQ61,$AS61))*('Port Linkages'!$A$18:$A$157&lt;=$C61))))</f>
        <v>Capesize_General</v>
      </c>
      <c r="LW61" s="75" t="str">
        <f t="array" ref="LW61">INDEX('Port Linkages'!$V$18:$V$157,MATCH(2,1/(('Port Linkages'!$C$18:$C$157=$AP61)*('Port Linkages'!$D$18:$D$157=IF($AO61="Yes",$AQ61,$AS61))*('Port Linkages'!$A$18:$A$157&lt;=$C61))))</f>
        <v>Singapore</v>
      </c>
      <c r="LX61" s="75" t="str">
        <f t="array" ref="LX61">INDEX('Port Linkages'!$W$18:$W$157,MATCH(2,1/(('Port Linkages'!$C$18:$C$157=$AP61)*('Port Linkages'!$D$18:$D$157=IF($AO61="Yes",$AQ61,$AS61))*('Port Linkages'!$A$18:$A$157&lt;=$C61))))</f>
        <v>VLSFO</v>
      </c>
      <c r="LY61" s="75" t="str">
        <f t="array" ref="LY61">INDEX('Port Linkages'!$X$18:$X$157,MATCH(2,1/(('Port Linkages'!$C$18:$C$157=$AP61)*('Port Linkages'!$D$18:$D$157=IF($AO61="Yes",$AQ61,$AS61))*('Port Linkages'!$A$18:$A$157&lt;=$C61))))</f>
        <v>MGO_Regular</v>
      </c>
      <c r="LZ61" s="75" t="str">
        <f t="array" ref="LZ61">INDEX('Port Linkages'!$Y$18:$Y$157,MATCH(2,1/(('Port Linkages'!$C$18:$C$157=$AP61)*('Port Linkages'!$D$18:$D$157=IF($AO61="Yes",$AQ61,$AS61))*('Port Linkages'!$A$18:$A$157&lt;=$C61))))</f>
        <v>none</v>
      </c>
      <c r="MA61" s="75">
        <f t="array" ref="MA61">INDEX('Port Linkages'!$Z$18:$Z$157,MATCH(2,1/(('Port Linkages'!$C$18:$C$157=$AP61)*('Port Linkages'!$D$18:$D$157=IF($AO61="Yes",$AQ61,$AS61))*('Port Linkages'!$A$18:$A$157&lt;=$C61))))</f>
        <v>5100</v>
      </c>
      <c r="MB61" s="75">
        <f t="array" ref="MB61">INDEX('Port Linkages'!$AA$18:$AA$157,MATCH(2,1/(('Port Linkages'!$C$18:$C$157=$AP61)*('Port Linkages'!$D$18:$D$157=IF($AO61="Yes",$AQ61,$AS61))*('Port Linkages'!$A$18:$A$157&lt;=$C61))))</f>
        <v>0</v>
      </c>
      <c r="MC61" s="75" t="str">
        <f t="array" ref="MC61">INDEX('Port Linkages'!$AB$18:$AB$157,MATCH(2,1/(('Port Linkages'!$C$18:$C$157=$AP61)*('Port Linkages'!$D$18:$D$157=IF($AO61="Yes",$AQ61,$AS61))*('Port Linkages'!$A$18:$A$157&lt;=$C61))))</f>
        <v>Capesize_General</v>
      </c>
      <c r="MD61" s="75" t="str">
        <f t="array" ref="MD61">INDEX('Port Linkages'!$AC$18:$AC$157,MATCH(2,1/(('Port Linkages'!$C$18:$C$157=$AP61)*('Port Linkages'!$D$18:$D$157=IF($AO61="Yes",$AQ61,$AS61))*('Port Linkages'!$A$18:$A$157&lt;=$C61))))</f>
        <v>Singapore</v>
      </c>
      <c r="ME61" s="75" t="str">
        <f t="array" ref="ME61">INDEX('Port Linkages'!$AD$18:$AD$157,MATCH(2,1/(('Port Linkages'!$C$18:$C$157=$AP61)*('Port Linkages'!$D$18:$D$157=IF($AO61="Yes",$AQ61,$AS61))*('Port Linkages'!$A$18:$A$157&lt;=$C61))))</f>
        <v>VLSFO</v>
      </c>
      <c r="MF61" s="75" t="str">
        <f t="array" ref="MF61">INDEX('Port Linkages'!$AE$18:$AE$157,MATCH(2,1/(('Port Linkages'!$C$18:$C$157=$AP61)*('Port Linkages'!$D$18:$D$157=IF($AO61="Yes",$AQ61,$AS61))*('Port Linkages'!$A$18:$A$157&lt;=$C61))))</f>
        <v>MGO_Regular</v>
      </c>
      <c r="MG61" s="75" t="str">
        <f t="array" ref="MG61">INDEX('Port Linkages'!$AF$18:$AF$157,MATCH(2,1/(('Port Linkages'!$C$18:$C$157=$AP61)*('Port Linkages'!$D$18:$D$157=IF($AO61="Yes",$AQ61,$AS61))*('Port Linkages'!$A$18:$A$157&lt;=$C61))))</f>
        <v>none</v>
      </c>
      <c r="MH61" s="75">
        <f t="array" ref="MH61">INDEX('Port Linkages'!$AG$18:$AG$157,MATCH(2,1/(('Port Linkages'!$C$18:$C$157=$AP61)*('Port Linkages'!$D$18:$D$157=IF($AO61="Yes",$AQ61,$AS61))*('Port Linkages'!$A$18:$A$157&lt;=$C61))))</f>
        <v>5100</v>
      </c>
      <c r="MI61" s="75">
        <f t="array" ref="MI61">INDEX('Port Linkages'!$AH$18:$AH$157,MATCH(2,1/(('Port Linkages'!$C$18:$C$157=$AP61)*('Port Linkages'!$D$18:$D$157=IF($AO61="Yes",$AQ61,$AS61))*('Port Linkages'!$A$18:$A$157&lt;=$C61))))</f>
        <v>0</v>
      </c>
      <c r="MJ61" s="75" t="str">
        <f t="array" ref="MJ61">INDEX('Port Linkages'!$AI$18:$AI$157,MATCH(2,1/(('Port Linkages'!$C$18:$C$157=$AP61)*('Port Linkages'!$D$18:$D$157=IF($AO61="Yes",$AQ61,$AS61))*('Port Linkages'!$A$18:$A$157&lt;=$C61))))</f>
        <v>Panamax_General</v>
      </c>
      <c r="MK61" s="75" t="str">
        <f t="array" ref="MK61">INDEX('Port Linkages'!$AJ$18:$AJ$157,MATCH(2,1/(('Port Linkages'!$C$18:$C$157=$AP61)*('Port Linkages'!$D$18:$D$157=IF($AO61="Yes",$AQ61,$AS61))*('Port Linkages'!$A$18:$A$157&lt;=$C61))))</f>
        <v>Singapore</v>
      </c>
      <c r="ML61" s="75" t="str">
        <f t="array" ref="ML61">INDEX('Port Linkages'!$AK$18:$AK$157,MATCH(2,1/(('Port Linkages'!$C$18:$C$157=$AP61)*('Port Linkages'!$D$18:$D$157=IF($AO61="Yes",$AQ61,$AS61))*('Port Linkages'!$A$18:$A$157&lt;=$C61))))</f>
        <v>VLSFO</v>
      </c>
      <c r="MM61" s="75" t="str">
        <f t="array" ref="MM61">INDEX('Port Linkages'!$AL$18:$AL$157,MATCH(2,1/(('Port Linkages'!$C$18:$C$157=$AP61)*('Port Linkages'!$D$18:$D$157=IF($AO61="Yes",$AQ61,$AS61))*('Port Linkages'!$A$18:$A$157&lt;=$C61))))</f>
        <v>MGO_Regular</v>
      </c>
      <c r="MN61" s="75" t="str">
        <f t="array" ref="MN61">INDEX('Port Linkages'!$AM$18:$AM$157,MATCH(2,1/(('Port Linkages'!$C$18:$C$157=$AP61)*('Port Linkages'!$D$18:$D$157=IF($AO61="Yes",$AQ61,$AS61))*('Port Linkages'!$A$18:$A$157&lt;=$C61))))</f>
        <v>none</v>
      </c>
      <c r="MO61" s="75">
        <f t="array" ref="MO61">INDEX('Port Linkages'!$AN$18:$AN$157,MATCH(2,1/(('Port Linkages'!$C$18:$C$157=$AP61)*('Port Linkages'!$D$18:$D$157=IF($AO61="Yes",$AQ61,$AS61))*('Port Linkages'!$A$18:$A$157&lt;=$C61))))</f>
        <v>5100</v>
      </c>
      <c r="MP61" s="75">
        <f t="array" ref="MP61">INDEX('Port Linkages'!$AO$18:$AO$157,MATCH(2,1/(('Port Linkages'!$C$18:$C$157=$AP61)*('Port Linkages'!$D$18:$D$157=IF($AO61="Yes",$AQ61,$AS61))*('Port Linkages'!$A$18:$A$157&lt;=$C61))))</f>
        <v>0</v>
      </c>
      <c r="MQ61" s="75" t="str">
        <f t="array" ref="MQ61">INDEX('Port Linkages'!$AP$18:$AP$157,MATCH(2,1/(('Port Linkages'!$C$18:$C$157=$AP61)*('Port Linkages'!$D$18:$D$157=IF($AO61="Yes",$AQ61,$AS61))*('Port Linkages'!$A$18:$A$157&lt;=$C61))))</f>
        <v>Supramax_General</v>
      </c>
      <c r="MR61" s="75" t="str">
        <f t="array" ref="MR61">INDEX('Port Linkages'!$AQ$18:$AQ$157,MATCH(2,1/(('Port Linkages'!$C$18:$C$157=$AP61)*('Port Linkages'!$D$18:$D$157=IF($AO61="Yes",$AQ61,$AS61))*('Port Linkages'!$A$18:$A$157&lt;=$C61))))</f>
        <v>Singapore</v>
      </c>
      <c r="MS61" s="75" t="str">
        <f t="array" ref="MS61">INDEX('Port Linkages'!$AR$18:$AR$157,MATCH(2,1/(('Port Linkages'!$C$18:$C$157=$AP61)*('Port Linkages'!$D$18:$D$157=IF($AO61="Yes",$AQ61,$AS61))*('Port Linkages'!$A$18:$A$157&lt;=$C61))))</f>
        <v>VLSFO</v>
      </c>
      <c r="MT61" s="75" t="str">
        <f t="array" ref="MT61">INDEX('Port Linkages'!$AS$18:$AS$157,MATCH(2,1/(('Port Linkages'!$C$18:$C$157=$AP61)*('Port Linkages'!$D$18:$D$157=IF($AO61="Yes",$AQ61,$AS61))*('Port Linkages'!$A$18:$A$157&lt;=$C61))))</f>
        <v>MGO_Regular</v>
      </c>
      <c r="MU61" s="75" t="str">
        <f t="array" ref="MU61">INDEX('Port Linkages'!$AT$18:$AT$157,MATCH(2,1/(('Port Linkages'!$C$18:$C$157=$AP61)*('Port Linkages'!$D$18:$D$157=IF($AO61="Yes",$AQ61,$AS61))*('Port Linkages'!$A$18:$A$157&lt;=$C61))))</f>
        <v>none</v>
      </c>
      <c r="MV61" s="75">
        <f t="array" ref="MV61">INDEX('Port Linkages'!$AU$18:$AU$157,MATCH(2,1/(('Port Linkages'!$C$18:$C$157=$AP61)*('Port Linkages'!$D$18:$D$157=IF($AO61="Yes",$AQ61,$AS61))*('Port Linkages'!$A$18:$A$157&lt;=$C61))))</f>
        <v>5100</v>
      </c>
      <c r="MW61" s="75">
        <f t="array" ref="MW61">INDEX('Port Linkages'!$AV$18:$AV$157,MATCH(2,1/(('Port Linkages'!$C$18:$C$157=$AP61)*('Port Linkages'!$D$18:$D$157=IF($AO61="Yes",$AQ61,$AS61))*('Port Linkages'!$A$18:$A$157&lt;=$C61))))</f>
        <v>0</v>
      </c>
      <c r="MX61" s="75" t="str">
        <f t="array" ref="MX61">INDEX('Port Linkages'!$AW$18:$AW$157,MATCH(2,1/(('Port Linkages'!$C$18:$C$157=$AP61)*('Port Linkages'!$D$18:$D$157=IF($AO61="Yes",$AQ61,$AS61))*('Port Linkages'!$A$18:$A$157&lt;=$C61))))</f>
        <v>Handysize_General</v>
      </c>
      <c r="MY61" s="75" t="str">
        <f t="array" ref="MY61">INDEX('Port Linkages'!$AX$18:$AX$157,MATCH(2,1/(('Port Linkages'!$C$18:$C$157=$AP61)*('Port Linkages'!$D$18:$D$157=IF($AO61="Yes",$AQ61,$AS61))*('Port Linkages'!$A$18:$A$157&lt;=$C61))))</f>
        <v>Singapore</v>
      </c>
      <c r="MZ61" s="75" t="str">
        <f t="array" ref="MZ61">INDEX('Port Linkages'!$AY$18:$AY$157,MATCH(2,1/(('Port Linkages'!$C$18:$C$157=$AP61)*('Port Linkages'!$D$18:$D$157=IF($AO61="Yes",$AQ61,$AS61))*('Port Linkages'!$A$18:$A$157&lt;=$C61))))</f>
        <v>VLSFO</v>
      </c>
      <c r="NA61" s="75" t="str">
        <f t="array" ref="NA61">INDEX('Port Linkages'!$AZ$18:$AZ$157,MATCH(2,1/(('Port Linkages'!$C$18:$C$157=$AP61)*('Port Linkages'!$D$18:$D$157=IF($AO61="Yes",$AQ61,$AS61))*('Port Linkages'!$A$18:$A$157&lt;=$C61))))</f>
        <v>MGO_Regular</v>
      </c>
      <c r="NB61" s="75" t="str">
        <f t="array" ref="NB61">INDEX('Port Linkages'!$BA$18:$BA$157,MATCH(2,1/(('Port Linkages'!$C$18:$C$157=$AP61)*('Port Linkages'!$D$18:$D$157=IF($AO61="Yes",$AQ61,$AS61))*('Port Linkages'!$A$18:$A$157&lt;=$C61))))</f>
        <v>none</v>
      </c>
      <c r="ND61" s="25" t="e">
        <f t="array" aca="1" ref="ND61" ca="1">INDEX('Ship Fuel Prices'!$F$5:$F$1004,MATCH(2,1/(('Ship Fuel Prices'!$E$5:$E$1004=_xlfn.IFS(KS61="Handysize",Main!MY61,KS61="Supramax",MR61,KS61="Panamax",MK61,KS61="NeoPanamax",MD61,KS61="Suezmax",LW61,KS61="Capesize",LP61,KS61="VLOC",LI61))*('Ship Fuel Prices'!$D$5:$D$1004&lt;=Main!$C61))))</f>
        <v>#N/A</v>
      </c>
      <c r="NE61" s="25" t="e">
        <f t="array" aca="1" ref="NE61" ca="1">INDEX('Ship Fuel Prices'!$G$5:$G$1004,MATCH(2,1/(('Ship Fuel Prices'!$E$5:$E$1004=_xlfn.IFS(KS61="Handysize",Main!MY61,KS61="Supramax",MR61,KS61="Panamax",MK61,KS61="NeoPanamax",MD61,KS61="Suezmax",LW61,KS61="Capesize",LP61,KS61="VLOC",LI61))*('Ship Fuel Prices'!$D$5:$D$1004&lt;=Main!$C61))))</f>
        <v>#N/A</v>
      </c>
      <c r="NF61" s="25" t="e">
        <f t="array" aca="1" ref="NF61" ca="1">INDEX('Ship Fuel Prices'!$H$5:$H$1004,MATCH(2,1/(('Ship Fuel Prices'!$E$5:$E$1004=_xlfn.IFS(KS61="Handysize",Main!MY61,KS61="Supramax",MR61,KS61="Panamax",MK61,KS61="NeoPanamax",MD61,KS61="Suezmax",LW61,KS61="Capesize",LP61,KS61="VLOC",LI61))*('Ship Fuel Prices'!$D$5:$D$1004&lt;=Main!$C61))))</f>
        <v>#N/A</v>
      </c>
      <c r="NG61" s="25" t="e">
        <f t="array" aca="1" ref="NG61" ca="1">INDEX('Ship Fuel Prices'!$I$5:$I$1004,MATCH(2,1/(('Ship Fuel Prices'!$E$5:$E$1004=_xlfn.IFS(KS61="Handysize",Main!MY61,KS61="Supramax",MR61,KS61="Panamax",MK61,KS61="NeoPanamax",MD61,KS61="Suezmax",LW61,KS61="Capesize",LP61,KS61="VLOC",LI61))*('Ship Fuel Prices'!$D$5:$D$1004&lt;=Main!$C61))))</f>
        <v>#N/A</v>
      </c>
      <c r="NH61" s="25" t="e">
        <f t="array" aca="1" ref="NH61" ca="1">INDEX('Ship Fuel Prices'!$J$5:$J$1004,MATCH(2,1/(('Ship Fuel Prices'!$E$5:$E$1004=_xlfn.IFS(KS61="Handysize",Main!MY61,KS61="Supramax",MR61,KS61="Panamax",MK61,KS61="NeoPanamax",MD61,KS61="Suezmax",LW61,KS61="Capesize",LP61,KS61="VLOC",LI61))*('Ship Fuel Prices'!$D$5:$D$1004&lt;=Main!$C61))))</f>
        <v>#N/A</v>
      </c>
      <c r="NJ61" s="75">
        <f t="array" ref="NJ61">INDEX('China n Importing Ports'!$E$20:$E$41,MATCH(2,1/(('China n Importing Ports'!$D$20:$D$41&lt;=$C61)*('China n Importing Ports'!$C$20:$C$41=IF($AO61="Yes",$AQ61,$AS61)))))</f>
        <v>42500</v>
      </c>
      <c r="NK61" s="75">
        <f t="array" ref="NK61">INDEX('China n Importing Ports'!$F$20:$F$41,MATCH(2,1/(('China n Importing Ports'!$D$20:$D$41&lt;=$C61)*('China n Importing Ports'!$C$20:$C$41=IF($AO61="Yes",$AQ61,$AS61)))))</f>
        <v>42500</v>
      </c>
      <c r="NL61" s="75">
        <f t="array" ref="NL61">INDEX('China n Importing Ports'!$G$20:$G$41,MATCH(2,1/(('China n Importing Ports'!$D$20:$D$41&lt;=$C61)*('China n Importing Ports'!$C$20:$C$41=IF($AO61="Yes",$AQ61,$AS61)))))</f>
        <v>42500</v>
      </c>
      <c r="NM61" s="75">
        <f t="array" ref="NM61">INDEX('China n Importing Ports'!$H$20:$H$41,MATCH(2,1/(('China n Importing Ports'!$D$20:$D$41&lt;=$C61)*('China n Importing Ports'!$C$20:$C$41=IF($AO61="Yes",$AQ61,$AS61)))))</f>
        <v>42500</v>
      </c>
      <c r="NN61" s="75">
        <f t="array" ref="NN61">INDEX('China n Importing Ports'!$I$20:$I$41,MATCH(2,1/(('China n Importing Ports'!$D$20:$D$41&lt;=$C61)*('China n Importing Ports'!$C$20:$C$41=IF($AO61="Yes",$AQ61,$AS61)))))</f>
        <v>42500</v>
      </c>
      <c r="NO61" s="75">
        <f t="array" ref="NO61">INDEX('China n Importing Ports'!$J$20:$J$41,MATCH(2,1/(('China n Importing Ports'!$D$20:$D$41&lt;=$C61)*('China n Importing Ports'!$C$20:$C$41=IF($AO61="Yes",$AQ61,$AS61)))))</f>
        <v>42500</v>
      </c>
      <c r="NP61" s="75">
        <f t="array" ref="NP61">INDEX('China n Importing Ports'!$K$20:$K$41,MATCH(2,1/(('China n Importing Ports'!$D$20:$D$41&lt;=$C61)*('China n Importing Ports'!$C$20:$C$41=IF($AO61="Yes",$AQ61,$AS61)))))</f>
        <v>42500</v>
      </c>
      <c r="NQ61" s="75" t="str">
        <f t="array" ref="NQ61">INDEX('China n Importing Ports'!$L$20:$L$41,MATCH(2,1/(('China n Importing Ports'!$D$20:$D$41&lt;=$C61)*('China n Importing Ports'!$C$20:$C$41=IF($AO61="Yes",$AQ61,$AS61)))))</f>
        <v>RMB</v>
      </c>
      <c r="NR61" s="75">
        <f t="array" ref="NR61">INDEX('China n Importing Ports'!$M$20:$M$41,MATCH(2,1/(('China n Importing Ports'!$D$20:$D$41&lt;=$C61)*('China n Importing Ports'!$C$20:$C$41=IF($AO61="Yes",$AQ61,$AS61)))))</f>
        <v>12342</v>
      </c>
      <c r="NS61" s="75">
        <f t="array" ref="NS61">INDEX('China n Importing Ports'!$N$20:$N$41,MATCH(2,1/(('China n Importing Ports'!$D$20:$D$41&lt;=$C61)*('China n Importing Ports'!$C$20:$C$41=IF($AO61="Yes",$AQ61,$AS61)))))</f>
        <v>0</v>
      </c>
      <c r="NT61" s="75">
        <f t="array" ref="NT61">INDEX('China n Importing Ports'!$O$20:$O$41,MATCH(2,1/(('China n Importing Ports'!$D$20:$D$41&lt;=$C61)*('China n Importing Ports'!$C$20:$C$41=IF($AO61="Yes",$AQ61,$AS61)))))</f>
        <v>0</v>
      </c>
      <c r="NU61" s="136">
        <f t="array" ref="NU61">INDEX('China n Importing Ports'!$P$20:$P$41,MATCH(2,1/(('China n Importing Ports'!$D$20:$D$41&lt;=$C61)*('China n Importing Ports'!$C$20:$C$41=IF($AO61="Yes",$AQ61,$AS61)))))</f>
        <v>2.64</v>
      </c>
      <c r="NV61" s="136">
        <f t="array" ref="NV61">INDEX('China n Importing Ports'!$Q$20:$Q$41,MATCH(2,1/(('China n Importing Ports'!$D$20:$D$41&lt;=$C61)*('China n Importing Ports'!$C$20:$C$41=IF($AO61="Yes",$AQ61,$AS61)))))</f>
        <v>0</v>
      </c>
      <c r="NW61" s="136">
        <f t="array" ref="NW61">INDEX('China n Importing Ports'!$R$20:$R$41,MATCH(2,1/(('China n Importing Ports'!$D$20:$D$41&lt;=$C61)*('China n Importing Ports'!$C$20:$C$41=IF($AO61="Yes",$AQ61,$AS61)))))</f>
        <v>0</v>
      </c>
      <c r="NX61" s="136">
        <f t="array" ref="NX61">INDEX('China n Importing Ports'!$S$20:$S$41,MATCH(2,1/(('China n Importing Ports'!$D$20:$D$41&lt;=$C61)*('China n Importing Ports'!$C$20:$C$41=IF($AO61="Yes",$AQ61,$AS61)))))</f>
        <v>4.53</v>
      </c>
      <c r="NY61" s="136">
        <f t="array" ref="NY61">INDEX('China n Importing Ports'!$T$20:$T$41,MATCH(2,1/(('China n Importing Ports'!$D$20:$D$41&lt;=$C61)*('China n Importing Ports'!$C$20:$C$41=IF($AO61="Yes",$AQ61,$AS61)))))</f>
        <v>0.36699999999999999</v>
      </c>
      <c r="NZ61" s="136">
        <f t="array" ref="NZ61">INDEX('China n Importing Ports'!$U$20:$U$41,MATCH(2,1/(('China n Importing Ports'!$D$20:$D$41&lt;=$C61)*('China n Importing Ports'!$C$20:$C$41=IF($AO61="Yes",$AQ61,$AS61)))))</f>
        <v>0.05</v>
      </c>
      <c r="OA61" s="136">
        <f t="array" ref="OA61">INDEX('China n Importing Ports'!$V$20:$V$41,MATCH(2,1/(('China n Importing Ports'!$D$20:$D$41&lt;=$C61)*('China n Importing Ports'!$C$20:$C$41=IF($AO61="Yes",$AQ61,$AS61)))))</f>
        <v>0</v>
      </c>
      <c r="OB61" s="136">
        <f t="array" ref="OB61">INDEX('China n Importing Ports'!$W$20:$W$41,MATCH(2,1/(('China n Importing Ports'!$D$20:$D$41&lt;=$C61)*('China n Importing Ports'!$C$20:$C$41=IF($AO61="Yes",$AQ61,$AS61)))))</f>
        <v>0</v>
      </c>
      <c r="OC61" s="136">
        <f t="array" ref="OC61">INDEX('China n Importing Ports'!$X$20:$X$41,MATCH(2,1/(('China n Importing Ports'!$D$20:$D$41&lt;=$C61)*('China n Importing Ports'!$C$20:$C$41=IF($AO61="Yes",$AQ61,$AS61)))))</f>
        <v>0</v>
      </c>
      <c r="OD61" s="136">
        <f t="array" ref="OD61">INDEX('China n Importing Ports'!$Y$20:$Y$41,MATCH(2,1/(('China n Importing Ports'!$D$20:$D$41&lt;=$C61)*('China n Importing Ports'!$C$20:$C$41=IF($AO61="Yes",$AQ61,$AS61)))))</f>
        <v>197</v>
      </c>
      <c r="OE61" s="136">
        <f t="array" ref="OE61">INDEX('China n Importing Ports'!$Z$20:$Z$41,MATCH(2,1/(('China n Importing Ports'!$D$20:$D$41&lt;=$C61)*('China n Importing Ports'!$C$20:$C$41=IF($AO61="Yes",$AQ61,$AS61)))))</f>
        <v>0</v>
      </c>
      <c r="OF61" s="136">
        <f t="array" ref="OF61">INDEX('China n Importing Ports'!$AA$20:$AA$41,MATCH(2,1/(('China n Importing Ports'!$D$20:$D$41&lt;=$C61)*('China n Importing Ports'!$C$20:$C$41=IF($AO61="Yes",$AQ61,$AS61)))))</f>
        <v>0</v>
      </c>
      <c r="OH61" s="75" t="e">
        <f t="array" aca="1" ref="OH61" ca="1">INDEX(Canals!$G$24:$G$29,MATCH(2,1/((Canals!$F$24:$F$29&lt;=$C61)*(Canals!$G$24:$G$29=_xlfn.IFS(KS61="Handysize",Main!NB61,KS61="Supramax",MU61,KS61="Panamax",MN61,KS61="NeoPanamax",MG61,KS61="Suezmax",LZ61,KS61="Capesize",LS61,KS61="VLOC",LL61)))))</f>
        <v>#N/A</v>
      </c>
      <c r="OI61" s="75" t="e">
        <f t="array" aca="1" ref="OI61" ca="1">INDEX(Canals!$H$24:$H$29,MATCH(2,1/((Canals!$F$24:$F$29&lt;=$C61)*(Canals!$G$24:$G$29=_xlfn.IFS(KS61="Handysize",Main!NB61,KS61="Supramax",MU61,KS61="Panamax",MN61,KS61="NeoPanamax",MG61,KS61="Suezmax",LZ61,KS61="Capesize",LS61,KS61="VLOC",LL61)))))</f>
        <v>#N/A</v>
      </c>
      <c r="OJ61" s="75" t="e">
        <f t="array" aca="1" ref="OJ61" ca="1">INDEX(Canals!$I$24:$I$29,MATCH(2,1/((Canals!$F$24:$F$29&lt;=$C61)*(Canals!$G$24:$G$29=_xlfn.IFS(KS61="Handysize",Main!NB61,KS61="Supramax",MU61,KS61="Panamax",MN61,KS61="NeoPanamax",MG61,KS61="Suezmax",LZ61,KS61="Capesize",LS61,KS61="VLOC",LL61)))))</f>
        <v>#N/A</v>
      </c>
      <c r="OK61" s="75" t="e">
        <f t="array" aca="1" ref="OK61" ca="1">INDEX(Canals!$J$24:$J$29,MATCH(2,1/((Canals!$F$24:$F$29&lt;=$C61)*(Canals!$G$24:$G$29=_xlfn.IFS(KS61="Handysize",Main!NB61,KS61="Supramax",MU61,KS61="Panamax",MN61,KS61="NeoPanamax",MG61,KS61="Suezmax",LZ61,KS61="Capesize",LS61,KS61="VLOC",LL61)))))</f>
        <v>#N/A</v>
      </c>
      <c r="OL61" s="75" t="e">
        <f t="array" aca="1" ref="OL61" ca="1">INDEX(Canals!$K$24:$K$29,MATCH(2,1/((Canals!$F$24:$F$29&lt;=$C61)*(Canals!$G$24:$G$29=_xlfn.IFS(KS61="Handysize",Main!NB61,KS61="Supramax",MU61,KS61="Panamax",MN61,KS61="NeoPanamax",MG61,KS61="Suezmax",LZ61,KS61="Capesize",LS61,KS61="VLOC",LL61)))))</f>
        <v>#N/A</v>
      </c>
      <c r="OM61" s="75" t="e">
        <f t="array" aca="1" ref="OM61" ca="1">INDEX(Canals!$L$24:$L$29,MATCH(2,1/((Canals!$F$24:$F$29&lt;=$C61)*(Canals!$G$24:$G$29=_xlfn.IFS(KS61="Handysize",Main!NB61,KS61="Supramax",MU61,KS61="Panamax",MN61,KS61="NeoPanamax",MG61,KS61="Suezmax",LZ61,KS61="Capesize",LS61,KS61="VLOC",LL61)))))</f>
        <v>#N/A</v>
      </c>
      <c r="ON61" s="75" t="e">
        <f t="array" aca="1" ref="ON61" ca="1">INDEX(Canals!$M$24:$M$29,MATCH(2,1/((Canals!$F$24:$F$29&lt;=$C61)*(Canals!$G$24:$G$29=_xlfn.IFS(KS61="Handysize",Main!NB61,KS61="Supramax",MU61,KS61="Panamax",MN61,KS61="NeoPanamax",MG61,KS61="Suezmax",LZ61,KS61="Capesize",LS61,KS61="VLOC",LL61)))))</f>
        <v>#N/A</v>
      </c>
      <c r="OO61" s="75" t="e">
        <f t="array" aca="1" ref="OO61" ca="1">INDEX(Canals!$N$24:$N$29,MATCH(2,1/((Canals!$F$24:$F$29&lt;=$C61)*(Canals!$G$24:$G$29=_xlfn.IFS(KS61="Handysize",Main!NB61,KS61="Supramax",MU61,KS61="Panamax",MN61,KS61="NeoPanamax",MG61,KS61="Suezmax",LZ61,KS61="Capesize",LS61,KS61="VLOC",LL61)))))</f>
        <v>#N/A</v>
      </c>
      <c r="OP61" s="75" t="e">
        <f t="array" aca="1" ref="OP61" ca="1">INDEX(Canals!$O$24:$O$29,MATCH(2,1/((Canals!$F$24:$F$29&lt;=$C61)*(Canals!$G$24:$G$29=_xlfn.IFS(KS61="Handysize",Main!NB61,KS61="Supramax",MU61,KS61="Panamax",MN61,KS61="NeoPanamax",MG61,KS61="Suezmax",LZ61,KS61="Capesize",LS61,KS61="VLOC",LL61)))))</f>
        <v>#N/A</v>
      </c>
      <c r="OQ61" s="75" t="e">
        <f t="array" aca="1" ref="OQ61" ca="1">INDEX(Canals!$P$24:$P$29,MATCH(2,1/((Canals!$F$24:$F$29&lt;=$C61)*(Canals!$G$24:$G$29=_xlfn.IFS(KS61="Handysize",Main!NB61,KS61="Supramax",MU61,KS61="Panamax",MN61,KS61="NeoPanamax",MG61,KS61="Suezmax",LZ61,KS61="Capesize",LS61,KS61="VLOC",LL61)))))</f>
        <v>#N/A</v>
      </c>
      <c r="OR61" s="75" t="e">
        <f t="array" aca="1" ref="OR61" ca="1">INDEX(Canals!$Q$24:$Q$29,MATCH(2,1/((Canals!$F$24:$F$29&lt;=$C61)*(Canals!$G$24:$G$29=_xlfn.IFS(KS61="Handysize",Main!NB61,KS61="Supramax",MU61,KS61="Panamax",MN61,KS61="NeoPanamax",MG61,KS61="Suezmax",LZ61,KS61="Capesize",LS61,KS61="VLOC",LL61)))))</f>
        <v>#N/A</v>
      </c>
      <c r="OS61" s="75" t="e">
        <f t="array" aca="1" ref="OS61" ca="1">INDEX(Canals!$R$24:$R$29,MATCH(2,1/((Canals!$F$24:$F$29&lt;=$C61)*(Canals!$G$24:$G$29=_xlfn.IFS(KS61="Handysize",Main!NB61,KS61="Supramax",MU61,KS61="Panamax",MN61,KS61="NeoPanamax",MG61,KS61="Suezmax",LZ61,KS61="Capesize",LS61,KS61="VLOC",LL61)))))</f>
        <v>#N/A</v>
      </c>
      <c r="OT61" s="136" t="e">
        <f t="array" aca="1" ref="OT61" ca="1">INDEX(Canals!$S$24:$S$29,MATCH(2,1/((Canals!$F$24:$F$29&lt;=$C61)*(Canals!$G$24:$G$29=_xlfn.IFS(KS61="Handysize",Main!NB61,KS61="Supramax",MU61,KS61="Panamax",MN61,KS61="NeoPanamax",MG61,KS61="Suezmax",LZ61,KS61="Capesize",LS61,KS61="VLOC",LL61)))))</f>
        <v>#N/A</v>
      </c>
      <c r="OU61" s="136" t="e">
        <f t="array" aca="1" ref="OU61" ca="1">INDEX(Canals!$T$24:$T$29,MATCH(2,1/((Canals!$F$24:$F$29&lt;=$C61)*(Canals!$G$24:$G$29=_xlfn.IFS(KS61="Handysize",Main!NB61,KS61="Supramax",MU61,KS61="Panamax",MN61,KS61="NeoPanamax",MG61,KS61="Suezmax",LZ61,KS61="Capesize",LS61,KS61="VLOC",LL61)))))</f>
        <v>#N/A</v>
      </c>
      <c r="OV61" s="136" t="e">
        <f t="array" aca="1" ref="OV61" ca="1">INDEX(Canals!$U$24:$U$29,MATCH(2,1/((Canals!$F$24:$F$29&lt;=$C61)*(Canals!$G$24:$G$29=_xlfn.IFS(KS61="Handysize",Main!NB61,KS61="Supramax",MU61,KS61="Panamax",MN61,KS61="NeoPanamax",MG61,KS61="Suezmax",LZ61,KS61="Capesize",LS61,KS61="VLOC",LL61)))))</f>
        <v>#N/A</v>
      </c>
      <c r="OW61" s="136" t="e">
        <f t="array" aca="1" ref="OW61" ca="1">INDEX(Canals!$V$24:$V$29,MATCH(2,1/((Canals!$F$24:$F$29&lt;=$C61)*(Canals!$G$24:$G$29=_xlfn.IFS(KS61="Handysize",Main!NB61,KS61="Supramax",MU61,KS61="Panamax",MN61,KS61="NeoPanamax",MG61,KS61="Suezmax",LZ61,KS61="Capesize",LS61,KS61="VLOC",LL61)))))</f>
        <v>#N/A</v>
      </c>
      <c r="OX61" s="136" t="e">
        <f t="array" aca="1" ref="OX61" ca="1">INDEX(Canals!$W$24:$W$29,MATCH(2,1/((Canals!$F$24:$F$29&lt;=$C61)*(Canals!$G$24:$G$29=_xlfn.IFS(KS61="Handysize",Main!NB61,KS61="Supramax",MU61,KS61="Panamax",MN61,KS61="NeoPanamax",MG61,KS61="Suezmax",LZ61,KS61="Capesize",LS61,KS61="VLOC",LL61)))))</f>
        <v>#N/A</v>
      </c>
      <c r="OY61" s="136" t="e">
        <f t="array" aca="1" ref="OY61" ca="1">INDEX(Canals!$X$24:$X$29,MATCH(2,1/((Canals!$F$24:$F$29&lt;=$C61)*(Canals!$G$24:$G$29=_xlfn.IFS(KS61="Handysize",Main!NB61,KS61="Supramax",MU61,KS61="Panamax",MN61,KS61="NeoPanamax",MG61,KS61="Suezmax",LZ61,KS61="Capesize",LS61,KS61="VLOC",LL61)))))</f>
        <v>#N/A</v>
      </c>
      <c r="OZ61" s="136" t="e">
        <f t="array" aca="1" ref="OZ61" ca="1">INDEX(Canals!$Y$24:$Y$29,MATCH(2,1/((Canals!$F$24:$F$29&lt;=$C61)*(Canals!$G$24:$G$29=_xlfn.IFS(KS61="Handysize",Main!NB61,KS61="Supramax",MU61,KS61="Panamax",MN61,KS61="NeoPanamax",MG61,KS61="Suezmax",LZ61,KS61="Capesize",LS61,KS61="VLOC",LL61)))))</f>
        <v>#N/A</v>
      </c>
      <c r="PA61" s="136" t="e">
        <f t="array" aca="1" ref="PA61" ca="1">INDEX(Canals!$Z$24:$Z$29,MATCH(2,1/((Canals!$F$24:$F$29&lt;=$C61)*(Canals!$G$24:$G$29=_xlfn.IFS(KS61="Handysize",Main!NB61,KS61="Supramax",MU61,KS61="Panamax",MN61,KS61="NeoPanamax",MG61,KS61="Suezmax",LZ61,KS61="Capesize",LS61,KS61="VLOC",LL61)))))</f>
        <v>#N/A</v>
      </c>
      <c r="PB61" s="136" t="e">
        <f t="array" aca="1" ref="PB61" ca="1">INDEX(Canals!$AA$24:$AA$29,MATCH(2,1/((Canals!$F$24:$F$29&lt;=$C61)*(Canals!$G$24:$G$29=_xlfn.IFS(KS61="Handysize",Main!NB61,KS61="Supramax",MU61,KS61="Panamax",MN61,KS61="NeoPanamax",MG61,KS61="Suezmax",LZ61,KS61="Capesize",LS61,KS61="VLOC",LL61)))))</f>
        <v>#N/A</v>
      </c>
      <c r="PC61" s="136" t="e">
        <f t="array" aca="1" ref="PC61" ca="1">INDEX(Canals!$AB$24:$AB$29,MATCH(2,1/((Canals!$F$24:$F$29&lt;=$C61)*(Canals!$G$24:$G$29=_xlfn.IFS(KS61="Handysize",Main!NB61,KS61="Supramax",MU61,KS61="Panamax",MN61,KS61="NeoPanamax",MG61,KS61="Suezmax",LZ61,KS61="Capesize",LS61,KS61="VLOC",LL61)))))</f>
        <v>#N/A</v>
      </c>
      <c r="PD61" s="75" t="e">
        <f t="array" aca="1" ref="PD61" ca="1">INDEX(Canals!$AC$24:$AC$29,MATCH(2,1/((Canals!$F$24:$F$29&lt;=$C61)*(Canals!$G$24:$G$29=_xlfn.IFS(KS61="Handysize",Main!NB61,KS61="Supramax",MU61,KS61="Panamax",MN61,KS61="NeoPanamax",MG61,KS61="Suezmax",LZ61,KS61="Capesize",LS61,KS61="VLOC",LL61)))))</f>
        <v>#N/A</v>
      </c>
      <c r="PE61" s="75" t="e">
        <f t="array" aca="1" ref="PE61" ca="1">INDEX(Canals!$AD$24:$AD$29,MATCH(2,1/((Canals!$F$24:$F$29&lt;=$C61)*(Canals!$G$24:$G$29=_xlfn.IFS(KS61="Handysize",Main!NB61,KS61="Supramax",MU61,KS61="Panamax",MN61,KS61="NeoPanamax",MG61,KS61="Suezmax",LZ61,KS61="Capesize",LS61,KS61="VLOC",LL61)))))</f>
        <v>#N/A</v>
      </c>
      <c r="PF61" s="75" t="e">
        <f t="array" aca="1" ref="PF61" ca="1">INDEX(Canals!$AE$24:$AE$29,MATCH(2,1/((Canals!$F$24:$F$29&lt;=$C61)*(Canals!$G$24:$G$29=_xlfn.IFS(KS61="Handysize",Main!NB61,KS61="Supramax",MU61,KS61="Panamax",MN61,KS61="NeoPanamax",MG61,KS61="Suezmax",LZ61,KS61="Capesize",LS61,KS61="VLOC",LL61)))))</f>
        <v>#N/A</v>
      </c>
      <c r="PG61" s="75" t="e">
        <f t="array" aca="1" ref="PG61" ca="1">INDEX(Canals!$AF$24:$AF$29,MATCH(2,1/((Canals!$F$24:$F$29&lt;=$C61)*(Canals!$G$24:$G$29=_xlfn.IFS(KS61="Handysize",Main!NB61,KS61="Supramax",MU61,KS61="Panamax",MN61,KS61="NeoPanamax",MG61,KS61="Suezmax",LZ61,KS61="Capesize",LS61,KS61="VLOC",LL61)))))</f>
        <v>#N/A</v>
      </c>
      <c r="PH61" s="75" t="e">
        <f t="array" aca="1" ref="PH61" ca="1">INDEX(Canals!$AG$24:$AG$29,MATCH(2,1/((Canals!$F$24:$F$29&lt;=$C61)*(Canals!$G$24:$G$29=_xlfn.IFS(KS61="Handysize",Main!NB61,KS61="Supramax",MU61,KS61="Panamax",MN61,KS61="NeoPanamax",MG61,KS61="Suezmax",LZ61,KS61="Capesize",LS61,KS61="VLOC",LL61)))))</f>
        <v>#N/A</v>
      </c>
      <c r="PI61" s="75" t="e">
        <f t="array" aca="1" ref="PI61" ca="1">INDEX(Canals!$AH$24:$AH$29,MATCH(2,1/((Canals!$F$24:$F$29&lt;=$C61)*(Canals!$G$24:$G$29=_xlfn.IFS(KS61="Handysize",Main!NB61,KS61="Supramax",MU61,KS61="Panamax",MN61,KS61="NeoPanamax",MG61,KS61="Suezmax",LZ61,KS61="Capesize",LS61,KS61="VLOC",LL61)))))</f>
        <v>#N/A</v>
      </c>
      <c r="PJ61" s="75" t="e">
        <f t="array" aca="1" ref="PJ61" ca="1">INDEX(Canals!$AI$24:$AI$29,MATCH(2,1/((Canals!$F$24:$F$29&lt;=$C61)*(Canals!$G$24:$G$29=_xlfn.IFS(KS61="Handysize",Main!NB61,KS61="Supramax",MU61,KS61="Panamax",MN61,KS61="NeoPanamax",MG61,KS61="Suezmax",LZ61,KS61="Capesize",LS61,KS61="VLOC",LL61)))))</f>
        <v>#N/A</v>
      </c>
      <c r="PK61" s="75" t="e">
        <f t="array" aca="1" ref="PK61" ca="1">INDEX(Canals!$AJ$24:$AJ$29,MATCH(2,1/((Canals!$F$24:$F$29&lt;=$C61)*(Canals!$G$24:$G$29=_xlfn.IFS(KS61="Handysize",Main!NB61,KS61="Supramax",MU61,KS61="Panamax",MN61,KS61="NeoPanamax",MG61,KS61="Suezmax",LZ61,KS61="Capesize",LS61,KS61="VLOC",LL61)))))</f>
        <v>#N/A</v>
      </c>
      <c r="PL61" s="75" t="e">
        <f t="array" aca="1" ref="PL61" ca="1">INDEX(Canals!$AK$24:$AK$29,MATCH(2,1/((Canals!$F$24:$F$29&lt;=$C61)*(Canals!$G$24:$G$29=_xlfn.IFS(KS61="Handysize",Main!NB61,KS61="Supramax",MU61,KS61="Panamax",MN61,KS61="NeoPanamax",MG61,KS61="Suezmax",LZ61,KS61="Capesize",LS61,KS61="VLOC",LL61)))))</f>
        <v>#N/A</v>
      </c>
      <c r="PM61" s="136" t="e">
        <f t="array" aca="1" ref="PM61" ca="1">INDEX(Canals!$AL$24:$AL$29,MATCH(2,1/((Canals!$F$24:$F$29&lt;=$C61)*(Canals!$G$24:$G$29=_xlfn.IFS(KS61="Handysize",Main!NB61,KS61="Supramax",MU61,KS61="Panamax",MN61,KS61="NeoPanamax",MG61,KS61="Suezmax",LZ61,KS61="Capesize",LS61,KS61="VLOC",LL61)))))</f>
        <v>#N/A</v>
      </c>
      <c r="PN61" s="136" t="e">
        <f t="array" aca="1" ref="PN61" ca="1">INDEX(Canals!$AM$24:$AM$29,MATCH(2,1/((Canals!$F$24:$F$29&lt;=$C61)*(Canals!$G$24:$G$29=_xlfn.IFS(KS61="Handysize",Main!NB61,KS61="Supramax",MU61,KS61="Panamax",MN61,KS61="NeoPanamax",MG61,KS61="Suezmax",LZ61,KS61="Capesize",LS61,KS61="VLOC",LL61)))))</f>
        <v>#N/A</v>
      </c>
      <c r="PO61" s="136" t="e">
        <f t="array" aca="1" ref="PO61" ca="1">INDEX(Canals!$AN$24:$AN$29,MATCH(2,1/((Canals!$F$24:$F$29&lt;=$C61)*(Canals!$G$24:$G$29=_xlfn.IFS(KS61="Handysize",Main!NB61,KS61="Supramax",MU61,KS61="Panamax",MN61,KS61="NeoPanamax",MG61,KS61="Suezmax",LZ61,KS61="Capesize",LS61,KS61="VLOC",LL61)))))</f>
        <v>#N/A</v>
      </c>
      <c r="PP61" s="136" t="e">
        <f t="array" aca="1" ref="PP61" ca="1">INDEX(Canals!$AO$24:$AO$29,MATCH(2,1/((Canals!$F$24:$F$29&lt;=$C61)*(Canals!$G$24:$G$29=_xlfn.IFS(KS61="Handysize",Main!NB61,KS61="Supramax",MU61,KS61="Panamax",MN61,KS61="NeoPanamax",MG61,KS61="Suezmax",LZ61,KS61="Capesize",LS61,KS61="VLOC",LL61)))))</f>
        <v>#N/A</v>
      </c>
      <c r="PQ61" s="136" t="e">
        <f t="array" aca="1" ref="PQ61" ca="1">INDEX(Canals!$AP$24:$AP$29,MATCH(2,1/((Canals!$F$24:$F$29&lt;=$C61)*(Canals!$G$24:$G$29=_xlfn.IFS(KS61="Handysize",Main!NB61,KS61="Supramax",MU61,KS61="Panamax",MN61,KS61="NeoPanamax",MG61,KS61="Suezmax",LZ61,KS61="Capesize",LS61,KS61="VLOC",LL61)))))</f>
        <v>#N/A</v>
      </c>
      <c r="PR61" s="136" t="e">
        <f t="array" aca="1" ref="PR61" ca="1">INDEX(Canals!$AQ$24:$AQ$29,MATCH(2,1/((Canals!$F$24:$F$29&lt;=$C61)*(Canals!$G$24:$G$29=_xlfn.IFS(KS61="Handysize",Main!NB61,KS61="Supramax",MU61,KS61="Panamax",MN61,KS61="NeoPanamax",MG61,KS61="Suezmax",LZ61,KS61="Capesize",LS61,KS61="VLOC",LL61)))))</f>
        <v>#N/A</v>
      </c>
      <c r="PS61" s="136" t="e">
        <f t="array" aca="1" ref="PS61" ca="1">INDEX(Canals!$AR$24:$AR$29,MATCH(2,1/((Canals!$F$24:$F$29&lt;=$C61)*(Canals!$G$24:$G$29=_xlfn.IFS(KS61="Handysize",Main!NB61,KS61="Supramax",MU61,KS61="Panamax",MN61,KS61="NeoPanamax",MG61,KS61="Suezmax",LZ61,KS61="Capesize",LS61,KS61="VLOC",LL61)))))</f>
        <v>#N/A</v>
      </c>
      <c r="PT61" s="136" t="e">
        <f t="array" aca="1" ref="PT61" ca="1">INDEX(Canals!$AS$24:$AS$29,MATCH(2,1/((Canals!$F$24:$F$29&lt;=$C61)*(Canals!$G$24:$G$29=_xlfn.IFS(KS61="Handysize",Main!NB61,KS61="Supramax",MU61,KS61="Panamax",MN61,KS61="NeoPanamax",MG61,KS61="Suezmax",LZ61,KS61="Capesize",LS61,KS61="VLOC",LL61)))))</f>
        <v>#N/A</v>
      </c>
      <c r="PU61" s="136" t="e">
        <f t="array" aca="1" ref="PU61" ca="1">INDEX(Canals!$AT$24:$AT$29,MATCH(2,1/((Canals!$F$24:$F$29&lt;=$C61)*(Canals!$G$24:$G$29=_xlfn.IFS(KS61="Handysize",Main!NB61,KS61="Supramax",MU61,KS61="Panamax",MN61,KS61="NeoPanamax",MG61,KS61="Suezmax",LZ61,KS61="Capesize",LS61,KS61="VLOC",LL61)))))</f>
        <v>#N/A</v>
      </c>
      <c r="PV61" s="136" t="e">
        <f t="array" aca="1" ref="PV61" ca="1">INDEX(Canals!$AU$24:$AU$29,MATCH(2,1/((Canals!$F$24:$F$29&lt;=$C61)*(Canals!$G$24:$G$29=_xlfn.IFS(KS61="Handysize",Main!NB61,KS61="Supramax",MU61,KS61="Panamax",MN61,KS61="NeoPanamax",MG61,KS61="Suezmax",LZ61,KS61="Capesize",LS61,KS61="VLOC",LL61)))))</f>
        <v>#N/A</v>
      </c>
      <c r="PW61" s="136" t="e">
        <f t="array" aca="1" ref="PW61" ca="1">INDEX(Canals!$AV$24:$AV$29,MATCH(2,1/((Canals!$F$24:$F$29&lt;=$C61)*(Canals!$G$24:$G$29=_xlfn.IFS(KS61="Handysize",Main!NB61,KS61="Supramax",MU61,KS61="Panamax",MN61,KS61="NeoPanamax",MG61,KS61="Suezmax",LZ61,KS61="Capesize",LS61,KS61="VLOC",LL61)))))</f>
        <v>#N/A</v>
      </c>
      <c r="PY61" s="75" t="e">
        <f t="array" aca="1" ref="PY61" ca="1">_xlfn.IFS(OJ61="DWT",KQ61,OJ61="NRT",KU61,OJ61="GRT",KV61)</f>
        <v>#NAME?</v>
      </c>
      <c r="PZ61" s="279" t="e">
        <f t="shared" ca="1" si="422"/>
        <v>#NAME?</v>
      </c>
      <c r="QA61" s="280" t="e">
        <f t="shared" ca="1" si="423"/>
        <v>#NAME?</v>
      </c>
      <c r="QB61" s="280" t="e">
        <f t="shared" ca="1" si="424"/>
        <v>#NAME?</v>
      </c>
      <c r="QC61" s="280" t="e">
        <f t="shared" ca="1" si="425"/>
        <v>#NAME?</v>
      </c>
      <c r="QD61" s="280" t="e">
        <f t="shared" ca="1" si="426"/>
        <v>#NAME?</v>
      </c>
      <c r="QE61" s="280" t="e">
        <f t="shared" ca="1" si="427"/>
        <v>#NAME?</v>
      </c>
      <c r="QF61" s="280" t="e">
        <f t="shared" ca="1" si="428"/>
        <v>#NAME?</v>
      </c>
      <c r="QG61" s="280" t="e">
        <f t="shared" ca="1" si="429"/>
        <v>#NAME?</v>
      </c>
      <c r="QH61" s="280" t="e">
        <f t="shared" ca="1" si="430"/>
        <v>#NAME?</v>
      </c>
      <c r="QI61" s="75">
        <f t="shared" si="431"/>
        <v>81720.430107526889</v>
      </c>
      <c r="QJ61" s="279" t="e">
        <f t="shared" ca="1" si="432"/>
        <v>#N/A</v>
      </c>
      <c r="QK61" s="280" t="e">
        <f t="shared" ca="1" si="433"/>
        <v>#N/A</v>
      </c>
      <c r="QL61" s="280" t="e">
        <f t="shared" ca="1" si="434"/>
        <v>#N/A</v>
      </c>
      <c r="QM61" s="280" t="e">
        <f t="shared" ca="1" si="435"/>
        <v>#N/A</v>
      </c>
      <c r="QN61" s="280" t="e">
        <f t="shared" ca="1" si="436"/>
        <v>#N/A</v>
      </c>
      <c r="QO61" s="280" t="e">
        <f t="shared" ca="1" si="437"/>
        <v>#N/A</v>
      </c>
      <c r="QP61" s="280" t="e">
        <f t="shared" ca="1" si="438"/>
        <v>#N/A</v>
      </c>
      <c r="QQ61" s="280" t="e">
        <f t="shared" ca="1" si="439"/>
        <v>#N/A</v>
      </c>
      <c r="QR61" s="280" t="e">
        <f t="shared" ca="1" si="440"/>
        <v>#N/A</v>
      </c>
      <c r="QT61" s="75" t="e">
        <f t="array" aca="1" ref="QT61" ca="1">_xlfn.IFS(KS61="Handysize",Main!MV61,KS61="Supramax",MO61,KS61="Panamax",MH61,KS61="NeoPanamax",MA61,KS61="Suezmax",LT61,KS61="Capesize",LM61,KS61="VLOC",LF61)*$JI61</f>
        <v>#NAME?</v>
      </c>
      <c r="QU61" s="274" t="e">
        <f t="array" aca="1" ref="QU61" ca="1">_xlfn.IFS(KS61="Handysize",Main!MW61,KS61="Supramax",MP61,KS61="Panamax",MI61,KS61="NeoPanamax",MB61,KS61="Suezmax",LU61,KS61="Capesize",LN61,KS61="VLOC",LG61)*$JI61</f>
        <v>#NAME?</v>
      </c>
      <c r="QV61" s="71" t="e">
        <f t="array" aca="1" ref="QV61" ca="1">_xlfn.IFS(KS61="Handysize",Main!KX61,KS61="Supramax",KY61,KS61="Panamax",KZ61,KS61="NeoPanamax",LA61,KS61="Suezmax",LB61,KS61="Capesize",LC61,KS61="VLOC",LD61)</f>
        <v>#NAME?</v>
      </c>
      <c r="QW61" s="71" t="e">
        <f t="array" aca="1" ref="QW61" ca="1">_xlfn.IFS(KS61="Handysize",Main!NJ61,KS61="Supramax",NK61,KS61="Panamax",NL61,KS61="NeoPanamax",NM61,KS61="Suezmax",NN61,KS61="Capesize",NO61,KS61="VLOC",NP61)</f>
        <v>#NAME?</v>
      </c>
      <c r="QX61" s="70">
        <f t="array" ref="QX61">INDEX('Ship Speeds'!$G$11:$G$1011,MATCH(2,1/(('Ship Speeds'!$E$11:$E$1011&lt;=Main!$C61)*('Ship Speeds'!$F$11:$F$1011=Main!KR61))))</f>
        <v>11</v>
      </c>
      <c r="QY61" s="403">
        <f t="shared" si="441"/>
        <v>22.217615063753399</v>
      </c>
      <c r="QZ61" s="401">
        <f t="shared" si="442"/>
        <v>2.0951530190239867</v>
      </c>
      <c r="RA61" s="70" t="e">
        <f t="shared" ca="1" si="651"/>
        <v>#NAME?</v>
      </c>
      <c r="RB61" s="70" t="e">
        <f t="shared" ca="1" si="443"/>
        <v>#NAME?</v>
      </c>
      <c r="RC61" s="70" t="e">
        <f t="shared" ca="1" si="444"/>
        <v>#NAME?</v>
      </c>
      <c r="RD61" s="70" t="e">
        <f t="shared" ca="1" si="445"/>
        <v>#NAME?</v>
      </c>
      <c r="RE61" s="72" t="e">
        <f t="shared" ca="1" si="652"/>
        <v>#N/A</v>
      </c>
      <c r="RF61" s="70" t="e">
        <f t="shared" ca="1" si="446"/>
        <v>#NAME?</v>
      </c>
      <c r="RG61" s="70" t="e">
        <f t="array" aca="1" ref="RG61" ca="1">INDEX(ND61:NH61,MATCH(_xlfn.IFS(KS61="Handysize",Main!MZ61,KS61="Supramax",MS61,KS61="Panamax",ML61,KS61="NeoPanamax",ME61,KS61="Suezmax",LX61,KS61="Capesize",LQ61,KS61="VLOC",LJ61),$ND$7:$NH$7,0))</f>
        <v>#NAME?</v>
      </c>
      <c r="RH61" s="70" t="e">
        <f t="array" aca="1" ref="RH61" ca="1">INDEX(ND61:NH61,MATCH(_xlfn.IFS(KS61="Handysize",Main!NA61,KS61="Supramax",MT61,KS61="Panamax",MM61,KS61="NeoPanamax",MF61,KS61="Suezmax",LY61,KS61="Capesize",LR61,KS61="VLOC",LK61),$ND$7:$NH$7,0))</f>
        <v>#NAME?</v>
      </c>
      <c r="RI61" s="71" t="e">
        <f t="shared" ca="1" si="447"/>
        <v>#NAME?</v>
      </c>
      <c r="RJ61" s="71" t="e">
        <f t="shared" ca="1" si="448"/>
        <v>#NAME?</v>
      </c>
      <c r="RK61" s="281">
        <f t="shared" si="653"/>
        <v>7.0834199999999994</v>
      </c>
      <c r="RL61" s="71">
        <f t="shared" si="654"/>
        <v>1742.3786814843679</v>
      </c>
      <c r="RM61" s="71" t="e">
        <f t="shared" ca="1" si="655"/>
        <v>#NAME?</v>
      </c>
      <c r="RN61" s="71" t="e">
        <f t="shared" ca="1" si="656"/>
        <v>#NAME?</v>
      </c>
      <c r="RO61" s="71">
        <f t="shared" si="657"/>
        <v>30457.312355312974</v>
      </c>
      <c r="RP61" s="71" t="e">
        <f t="shared" ca="1" si="658"/>
        <v>#NAME?</v>
      </c>
      <c r="RQ61" s="71" t="e">
        <f t="shared" ca="1" si="659"/>
        <v>#NAME?</v>
      </c>
      <c r="RR61" s="71">
        <f t="shared" si="660"/>
        <v>21623.058862751994</v>
      </c>
      <c r="RS61" s="71" t="e">
        <f t="shared" ca="1" si="661"/>
        <v>#NAME?</v>
      </c>
      <c r="RT61" s="71" t="e">
        <f t="shared" ca="1" si="662"/>
        <v>#NAME?</v>
      </c>
      <c r="RU61" s="71">
        <f t="shared" si="663"/>
        <v>0</v>
      </c>
      <c r="RV61" s="71" t="e">
        <f t="shared" ca="1" si="664"/>
        <v>#NAME?</v>
      </c>
      <c r="RW61" s="71" t="e">
        <f t="shared" ca="1" si="665"/>
        <v>#NAME?</v>
      </c>
      <c r="RX61" s="72">
        <f t="shared" si="666"/>
        <v>6092.4044499035745</v>
      </c>
      <c r="RY61" s="72" t="e">
        <f t="shared" ca="1" si="667"/>
        <v>#NAME?</v>
      </c>
      <c r="RZ61" s="71" t="e">
        <f t="shared" ca="1" si="668"/>
        <v>#NAME?</v>
      </c>
      <c r="SA61" s="71" t="e">
        <f t="array" aca="1" ref="SA61" ca="1">INDEX('Ship Time Charter Rates'!$H$22:$H$1021,MATCH(2,1/(('Ship Time Charter Rates'!$G$22:$G$1021=_xlfn.IFS(KS61="Handysize",Main!MX61,KS61="Supramax",MQ61,KS61="Panamax",MJ61,KS61="NeoPanamax",MC61,KS61="Suezmax",LV61,KS61="Capesize",LO61,KS61="VLOC",LH61))*('Ship Time Charter Rates'!$E$22:$E$1021&lt;=Main!$C61)*(NOT(ISBLANK('Ship Time Charter Rates'!$H$22:$H$1021))))))</f>
        <v>#N/A</v>
      </c>
      <c r="SB61" s="71" t="e">
        <f t="shared" ca="1" si="449"/>
        <v>#NAME?</v>
      </c>
      <c r="SC61" s="70" t="e">
        <f t="shared" ca="1" si="669"/>
        <v>#N/A</v>
      </c>
      <c r="SD61" s="71" t="e">
        <f t="shared" ca="1" si="670"/>
        <v>#NAME?</v>
      </c>
      <c r="SE61" s="71" t="e">
        <f t="shared" ca="1" si="450"/>
        <v>#NAME?</v>
      </c>
      <c r="SF61" s="72" t="e">
        <f t="shared" ca="1" si="451"/>
        <v>#NAME?</v>
      </c>
      <c r="SH61" s="25">
        <f t="shared" si="671"/>
        <v>0</v>
      </c>
      <c r="SI61" s="4" t="str">
        <f>VLOOKUP(SH61,'Ship Time Charter Rates'!$F$10:$G$17,2,TRUE)</f>
        <v>Handysize</v>
      </c>
      <c r="SJ61" s="4" t="str">
        <f>VLOOKUP(SH61,Canals!$E$5:$F$12,2,TRUE)</f>
        <v>Handysize</v>
      </c>
      <c r="SK61" s="25">
        <f t="shared" si="452"/>
        <v>145.88999999999999</v>
      </c>
      <c r="SL61" s="25">
        <f t="shared" si="453"/>
        <v>0</v>
      </c>
      <c r="SM61" s="25">
        <f t="shared" si="454"/>
        <v>4797</v>
      </c>
      <c r="SO61" s="75">
        <f t="array" ref="SO61">INDEX('Indices Mines Exporting Ports'!$R$20:$R$51,MATCH(2,1/(('Indices Mines Exporting Ports'!$D$20:$D$51&lt;=Main!$C61)*('Indices Mines Exporting Ports'!$Q$20:$Q$51=$AQ61))))</f>
        <v>0</v>
      </c>
      <c r="SP61" s="75">
        <f t="array" ref="SP61">INDEX('Indices Mines Exporting Ports'!$S$20:$S$51,MATCH(2,1/(('Indices Mines Exporting Ports'!$D$20:$D$51&lt;=Main!$C61)*('Indices Mines Exporting Ports'!$Q$20:$Q$51=$AQ61))))</f>
        <v>0</v>
      </c>
      <c r="SQ61" s="75">
        <f t="array" ref="SQ61">INDEX('Indices Mines Exporting Ports'!$T$20:$T$51,MATCH(2,1/(('Indices Mines Exporting Ports'!$D$20:$D$51&lt;=Main!$C61)*('Indices Mines Exporting Ports'!$Q$20:$Q$51=$AQ61))))</f>
        <v>0</v>
      </c>
      <c r="SR61" s="75">
        <f t="array" ref="SR61">INDEX('Indices Mines Exporting Ports'!$U$20:$U$51,MATCH(2,1/(('Indices Mines Exporting Ports'!$D$20:$D$51&lt;=Main!$C61)*('Indices Mines Exporting Ports'!$Q$20:$Q$51=$AQ61))))</f>
        <v>0</v>
      </c>
      <c r="SS61" s="75">
        <f t="array" ref="SS61">INDEX('Indices Mines Exporting Ports'!$V$20:$V$51,MATCH(2,1/(('Indices Mines Exporting Ports'!$D$20:$D$51&lt;=Main!$C61)*('Indices Mines Exporting Ports'!$Q$20:$Q$51=$AQ61))))</f>
        <v>0</v>
      </c>
      <c r="ST61" s="75">
        <f t="array" ref="ST61">INDEX('Indices Mines Exporting Ports'!$W$20:$W$51,MATCH(2,1/(('Indices Mines Exporting Ports'!$D$20:$D$51&lt;=Main!$C61)*('Indices Mines Exporting Ports'!$Q$20:$Q$51=$AQ61))))</f>
        <v>0</v>
      </c>
      <c r="SU61" s="75">
        <f t="array" ref="SU61">INDEX('Indices Mines Exporting Ports'!$X$20:$X$51,MATCH(2,1/(('Indices Mines Exporting Ports'!$D$20:$D$51&lt;=Main!$C61)*('Indices Mines Exporting Ports'!$Q$20:$Q$51=$AQ61))))</f>
        <v>0</v>
      </c>
      <c r="SW61" s="75">
        <f t="array" ref="SW61">INDEX('Port Linkages'!$E$18:$E$157,MATCH(2,1/(('Port Linkages'!$C$18:$C$157=$AQ61)*('Port Linkages'!$D$18:$D$157=IF($AO61="no",$AQ61,$AS61))*('Port Linkages'!$A$18:$A$157&lt;=$C61))))</f>
        <v>0</v>
      </c>
      <c r="SX61" s="75">
        <f t="array" ref="SX61">INDEX('Port Linkages'!$F$18:$F$157,MATCH(2,1/(('Port Linkages'!$C$18:$C$157=$AQ61)*('Port Linkages'!$D$18:$D$157=IF($AO61="no",$AQ61,$AS61))*('Port Linkages'!$A$18:$A$157&lt;=$C61))))</f>
        <v>0</v>
      </c>
      <c r="SY61" s="75">
        <f t="array" ref="SY61">INDEX('Port Linkages'!$G$18:$G$157,MATCH(2,1/(('Port Linkages'!$C$18:$C$157=$AQ61)*('Port Linkages'!$D$18:$D$157=IF($AO61="no",$AQ61,$AS61))*('Port Linkages'!$A$18:$A$157&lt;=$C61))))</f>
        <v>0</v>
      </c>
      <c r="SZ61" s="75">
        <f t="array" ref="SZ61">INDEX('Port Linkages'!$H$18:$H$157,MATCH(2,1/(('Port Linkages'!$C$18:$C$157=$AQ61)*('Port Linkages'!$D$18:$D$157=IF($AO61="no",$AQ61,$AS61))*('Port Linkages'!$A$18:$A$157&lt;=$C61))))</f>
        <v>0</v>
      </c>
      <c r="TA61" s="75">
        <f t="array" ref="TA61">INDEX('Port Linkages'!$I$18:$I$157,MATCH(2,1/(('Port Linkages'!$C$18:$C$157=$AQ61)*('Port Linkages'!$D$18:$D$157=IF($AO61="no",$AQ61,$AS61))*('Port Linkages'!$A$18:$A$157&lt;=$C61))))</f>
        <v>0</v>
      </c>
      <c r="TB61" s="75">
        <f t="array" ref="TB61">INDEX('Port Linkages'!$J$18:$J$157,MATCH(2,1/(('Port Linkages'!$C$18:$C$157=$AQ61)*('Port Linkages'!$D$18:$D$157=IF($AO61="no",$AQ61,$AS61))*('Port Linkages'!$A$18:$A$157&lt;=$C61))))</f>
        <v>0</v>
      </c>
      <c r="TC61" s="75">
        <f t="array" ref="TC61">INDEX('Port Linkages'!$K$18:$K$157,MATCH(2,1/(('Port Linkages'!$C$18:$C$157=$AQ61)*('Port Linkages'!$D$18:$D$157=IF($AO61="no",$AQ61,$AS61))*('Port Linkages'!$A$18:$A$157&lt;=$C61))))</f>
        <v>0</v>
      </c>
      <c r="TD61" s="75">
        <f t="array" ref="TD61">INDEX('Port Linkages'!$L$18:$L$157,MATCH(2,1/(('Port Linkages'!$C$18:$C$157=$AQ61)*('Port Linkages'!$D$18:$D$157=IF($AO61="no",$AQ61,$AS61))*('Port Linkages'!$A$18:$A$157&lt;=$C61))))</f>
        <v>0</v>
      </c>
      <c r="TE61" s="75">
        <f t="array" ref="TE61">INDEX('Port Linkages'!$M$18:$M$157,MATCH(2,1/(('Port Linkages'!$C$18:$C$157=$AQ61)*('Port Linkages'!$D$18:$D$157=IF($AO61="no",$AQ61,$AS61))*('Port Linkages'!$A$18:$A$157&lt;=$C61))))</f>
        <v>0</v>
      </c>
      <c r="TF61" s="75">
        <f t="array" ref="TF61">INDEX('Port Linkages'!$N$18:$N$157,MATCH(2,1/(('Port Linkages'!$C$18:$C$157=$AQ61)*('Port Linkages'!$D$18:$D$157=IF($AO61="no",$AQ61,$AS61))*('Port Linkages'!$A$18:$A$157&lt;=$C61))))</f>
        <v>0</v>
      </c>
      <c r="TG61" s="75">
        <f t="array" ref="TG61">INDEX('Port Linkages'!$O$18:$O$157,MATCH(2,1/(('Port Linkages'!$C$18:$C$157=$AQ61)*('Port Linkages'!$D$18:$D$157=IF($AO61="no",$AQ61,$AS61))*('Port Linkages'!$A$18:$A$157&lt;=$C61))))</f>
        <v>0</v>
      </c>
      <c r="TH61" s="75">
        <f t="array" ref="TH61">INDEX('Port Linkages'!$P$18:$P$157,MATCH(2,1/(('Port Linkages'!$C$18:$C$157=$AQ61)*('Port Linkages'!$D$18:$D$157=IF($AO61="no",$AQ61,$AS61))*('Port Linkages'!$A$18:$A$157&lt;=$C61))))</f>
        <v>0</v>
      </c>
      <c r="TI61" s="75">
        <f t="array" ref="TI61">INDEX('Port Linkages'!$Q$18:$Q$157,MATCH(2,1/(('Port Linkages'!$C$18:$C$157=$AQ61)*('Port Linkages'!$D$18:$D$157=IF($AO61="no",$AQ61,$AS61))*('Port Linkages'!$A$18:$A$157&lt;=$C61))))</f>
        <v>0</v>
      </c>
      <c r="TJ61" s="75">
        <f t="array" ref="TJ61">INDEX('Port Linkages'!$R$18:$R$157,MATCH(2,1/(('Port Linkages'!$C$18:$C$157=$AQ61)*('Port Linkages'!$D$18:$D$157=IF($AO61="no",$AQ61,$AS61))*('Port Linkages'!$A$18:$A$157&lt;=$C61))))</f>
        <v>0</v>
      </c>
      <c r="TK61" s="75">
        <f t="array" ref="TK61">INDEX('Port Linkages'!$S$18:$S$157,MATCH(2,1/(('Port Linkages'!$C$18:$C$157=$AQ61)*('Port Linkages'!$D$18:$D$157=IF($AO61="no",$AQ61,$AS61))*('Port Linkages'!$A$18:$A$157&lt;=$C61))))</f>
        <v>0</v>
      </c>
      <c r="TL61" s="75">
        <f t="array" ref="TL61">INDEX('Port Linkages'!$T$18:$T$157,MATCH(2,1/(('Port Linkages'!$C$18:$C$157=$AQ61)*('Port Linkages'!$D$18:$D$157=IF($AO61="no",$AQ61,$AS61))*('Port Linkages'!$A$18:$A$157&lt;=$C61))))</f>
        <v>0</v>
      </c>
      <c r="TM61" s="75">
        <f t="array" ref="TM61">INDEX('Port Linkages'!$U$18:$U$157,MATCH(2,1/(('Port Linkages'!$C$18:$C$157=$AQ61)*('Port Linkages'!$D$18:$D$157=IF($AO61="no",$AQ61,$AS61))*('Port Linkages'!$A$18:$A$157&lt;=$C61))))</f>
        <v>0</v>
      </c>
      <c r="TN61" s="75">
        <f t="array" ref="TN61">INDEX('Port Linkages'!$V$18:$V$157,MATCH(2,1/(('Port Linkages'!$C$18:$C$157=$AQ61)*('Port Linkages'!$D$18:$D$157=IF($AO61="no",$AQ61,$AS61))*('Port Linkages'!$A$18:$A$157&lt;=$C61))))</f>
        <v>0</v>
      </c>
      <c r="TO61" s="75">
        <f t="array" ref="TO61">INDEX('Port Linkages'!$W$18:$W$157,MATCH(2,1/(('Port Linkages'!$C$18:$C$157=$AQ61)*('Port Linkages'!$D$18:$D$157=IF($AO61="no",$AQ61,$AS61))*('Port Linkages'!$A$18:$A$157&lt;=$C61))))</f>
        <v>0</v>
      </c>
      <c r="TP61" s="75">
        <f t="array" ref="TP61">INDEX('Port Linkages'!$X$18:$X$157,MATCH(2,1/(('Port Linkages'!$C$18:$C$157=$AQ61)*('Port Linkages'!$D$18:$D$157=IF($AO61="no",$AQ61,$AS61))*('Port Linkages'!$A$18:$A$157&lt;=$C61))))</f>
        <v>0</v>
      </c>
      <c r="TQ61" s="75">
        <f t="array" ref="TQ61">INDEX('Port Linkages'!$Y$18:$Y$157,MATCH(2,1/(('Port Linkages'!$C$18:$C$157=$AQ61)*('Port Linkages'!$D$18:$D$157=IF($AO61="no",$AQ61,$AS61))*('Port Linkages'!$A$18:$A$157&lt;=$C61))))</f>
        <v>0</v>
      </c>
      <c r="TR61" s="75">
        <f t="array" ref="TR61">INDEX('Port Linkages'!$Z$18:$Z$157,MATCH(2,1/(('Port Linkages'!$C$18:$C$157=$AQ61)*('Port Linkages'!$D$18:$D$157=IF($AO61="no",$AQ61,$AS61))*('Port Linkages'!$A$18:$A$157&lt;=$C61))))</f>
        <v>0</v>
      </c>
      <c r="TS61" s="75">
        <f t="array" ref="TS61">INDEX('Port Linkages'!$AA$18:$AA$157,MATCH(2,1/(('Port Linkages'!$C$18:$C$157=$AQ61)*('Port Linkages'!$D$18:$D$157=IF($AO61="no",$AQ61,$AS61))*('Port Linkages'!$A$18:$A$157&lt;=$C61))))</f>
        <v>0</v>
      </c>
      <c r="TT61" s="75">
        <f t="array" ref="TT61">INDEX('Port Linkages'!$AB$18:$AB$157,MATCH(2,1/(('Port Linkages'!$C$18:$C$157=$AQ61)*('Port Linkages'!$D$18:$D$157=IF($AO61="no",$AQ61,$AS61))*('Port Linkages'!$A$18:$A$157&lt;=$C61))))</f>
        <v>0</v>
      </c>
      <c r="TU61" s="75">
        <f t="array" ref="TU61">INDEX('Port Linkages'!$AC$18:$AC$157,MATCH(2,1/(('Port Linkages'!$C$18:$C$157=$AQ61)*('Port Linkages'!$D$18:$D$157=IF($AO61="no",$AQ61,$AS61))*('Port Linkages'!$A$18:$A$157&lt;=$C61))))</f>
        <v>0</v>
      </c>
      <c r="TV61" s="75">
        <f t="array" ref="TV61">INDEX('Port Linkages'!$AD$18:$AD$157,MATCH(2,1/(('Port Linkages'!$C$18:$C$157=$AQ61)*('Port Linkages'!$D$18:$D$157=IF($AO61="no",$AQ61,$AS61))*('Port Linkages'!$A$18:$A$157&lt;=$C61))))</f>
        <v>0</v>
      </c>
      <c r="TW61" s="75">
        <f t="array" ref="TW61">INDEX('Port Linkages'!$AE$18:$AE$157,MATCH(2,1/(('Port Linkages'!$C$18:$C$157=$AQ61)*('Port Linkages'!$D$18:$D$157=IF($AO61="no",$AQ61,$AS61))*('Port Linkages'!$A$18:$A$157&lt;=$C61))))</f>
        <v>0</v>
      </c>
      <c r="TX61" s="75">
        <f t="array" ref="TX61">INDEX('Port Linkages'!$AF$18:$AF$157,MATCH(2,1/(('Port Linkages'!$C$18:$C$157=$AQ61)*('Port Linkages'!$D$18:$D$157=IF($AO61="no",$AQ61,$AS61))*('Port Linkages'!$A$18:$A$157&lt;=$C61))))</f>
        <v>0</v>
      </c>
      <c r="TY61" s="75">
        <f t="array" ref="TY61">INDEX('Port Linkages'!$AG$18:$AG$157,MATCH(2,1/(('Port Linkages'!$C$18:$C$157=$AQ61)*('Port Linkages'!$D$18:$D$157=IF($AO61="no",$AQ61,$AS61))*('Port Linkages'!$A$18:$A$157&lt;=$C61))))</f>
        <v>0</v>
      </c>
      <c r="TZ61" s="75">
        <f t="array" ref="TZ61">INDEX('Port Linkages'!$AH$18:$AH$157,MATCH(2,1/(('Port Linkages'!$C$18:$C$157=$AQ61)*('Port Linkages'!$D$18:$D$157=IF($AO61="no",$AQ61,$AS61))*('Port Linkages'!$A$18:$A$157&lt;=$C61))))</f>
        <v>0</v>
      </c>
      <c r="UA61" s="75">
        <f t="array" ref="UA61">INDEX('Port Linkages'!$AI$18:$AI$157,MATCH(2,1/(('Port Linkages'!$C$18:$C$157=$AQ61)*('Port Linkages'!$D$18:$D$157=IF($AO61="no",$AQ61,$AS61))*('Port Linkages'!$A$18:$A$157&lt;=$C61))))</f>
        <v>0</v>
      </c>
      <c r="UB61" s="75">
        <f t="array" ref="UB61">INDEX('Port Linkages'!$AJ$18:$AJ$157,MATCH(2,1/(('Port Linkages'!$C$18:$C$157=$AQ61)*('Port Linkages'!$D$18:$D$157=IF($AO61="no",$AQ61,$AS61))*('Port Linkages'!$A$18:$A$157&lt;=$C61))))</f>
        <v>0</v>
      </c>
      <c r="UC61" s="75">
        <f t="array" ref="UC61">INDEX('Port Linkages'!$AK$18:$AK$157,MATCH(2,1/(('Port Linkages'!$C$18:$C$157=$AQ61)*('Port Linkages'!$D$18:$D$157=IF($AO61="no",$AQ61,$AS61))*('Port Linkages'!$A$18:$A$157&lt;=$C61))))</f>
        <v>0</v>
      </c>
      <c r="UD61" s="75">
        <f t="array" ref="UD61">INDEX('Port Linkages'!$AL$18:$AL$157,MATCH(2,1/(('Port Linkages'!$C$18:$C$157=$AQ61)*('Port Linkages'!$D$18:$D$157=IF($AO61="no",$AQ61,$AS61))*('Port Linkages'!$A$18:$A$157&lt;=$C61))))</f>
        <v>0</v>
      </c>
      <c r="UE61" s="75">
        <f t="array" ref="UE61">INDEX('Port Linkages'!$AM$18:$AM$157,MATCH(2,1/(('Port Linkages'!$C$18:$C$157=$AQ61)*('Port Linkages'!$D$18:$D$157=IF($AO61="no",$AQ61,$AS61))*('Port Linkages'!$A$18:$A$157&lt;=$C61))))</f>
        <v>0</v>
      </c>
      <c r="UF61" s="75">
        <f t="array" ref="UF61">INDEX('Port Linkages'!$AN$18:$AN$157,MATCH(2,1/(('Port Linkages'!$C$18:$C$157=$AQ61)*('Port Linkages'!$D$18:$D$157=IF($AO61="no",$AQ61,$AS61))*('Port Linkages'!$A$18:$A$157&lt;=$C61))))</f>
        <v>0</v>
      </c>
      <c r="UG61" s="75">
        <f t="array" ref="UG61">INDEX('Port Linkages'!$AO$18:$AO$157,MATCH(2,1/(('Port Linkages'!$C$18:$C$157=$AQ61)*('Port Linkages'!$D$18:$D$157=IF($AO61="no",$AQ61,$AS61))*('Port Linkages'!$A$18:$A$157&lt;=$C61))))</f>
        <v>0</v>
      </c>
      <c r="UH61" s="75">
        <f t="array" ref="UH61">INDEX('Port Linkages'!$AP$18:$AP$157,MATCH(2,1/(('Port Linkages'!$C$18:$C$157=$AQ61)*('Port Linkages'!$D$18:$D$157=IF($AO61="no",$AQ61,$AS61))*('Port Linkages'!$A$18:$A$157&lt;=$C61))))</f>
        <v>0</v>
      </c>
      <c r="UI61" s="75">
        <f t="array" ref="UI61">INDEX('Port Linkages'!$AQ$18:$AQ$157,MATCH(2,1/(('Port Linkages'!$C$18:$C$157=$AQ61)*('Port Linkages'!$D$18:$D$157=IF($AO61="no",$AQ61,$AS61))*('Port Linkages'!$A$18:$A$157&lt;=$C61))))</f>
        <v>0</v>
      </c>
      <c r="UJ61" s="75">
        <f t="array" ref="UJ61">INDEX('Port Linkages'!$AR$18:$AR$157,MATCH(2,1/(('Port Linkages'!$C$18:$C$157=$AQ61)*('Port Linkages'!$D$18:$D$157=IF($AO61="no",$AQ61,$AS61))*('Port Linkages'!$A$18:$A$157&lt;=$C61))))</f>
        <v>0</v>
      </c>
      <c r="UK61" s="75">
        <f t="array" ref="UK61">INDEX('Port Linkages'!$AS$18:$AS$157,MATCH(2,1/(('Port Linkages'!$C$18:$C$157=$AQ61)*('Port Linkages'!$D$18:$D$157=IF($AO61="no",$AQ61,$AS61))*('Port Linkages'!$A$18:$A$157&lt;=$C61))))</f>
        <v>0</v>
      </c>
      <c r="UL61" s="75">
        <f t="array" ref="UL61">INDEX('Port Linkages'!$AT$18:$AT$157,MATCH(2,1/(('Port Linkages'!$C$18:$C$157=$AQ61)*('Port Linkages'!$D$18:$D$157=IF($AO61="no",$AQ61,$AS61))*('Port Linkages'!$A$18:$A$157&lt;=$C61))))</f>
        <v>0</v>
      </c>
      <c r="UM61" s="75">
        <f t="array" ref="UM61">INDEX('Port Linkages'!$AU$18:$AU$157,MATCH(2,1/(('Port Linkages'!$C$18:$C$157=$AQ61)*('Port Linkages'!$D$18:$D$157=IF($AO61="no",$AQ61,$AS61))*('Port Linkages'!$A$18:$A$157&lt;=$C61))))</f>
        <v>0</v>
      </c>
      <c r="UN61" s="75">
        <f t="array" ref="UN61">INDEX('Port Linkages'!$AV$18:$AV$157,MATCH(2,1/(('Port Linkages'!$C$18:$C$157=$AQ61)*('Port Linkages'!$D$18:$D$157=IF($AO61="no",$AQ61,$AS61))*('Port Linkages'!$A$18:$A$157&lt;=$C61))))</f>
        <v>0</v>
      </c>
      <c r="UO61" s="75">
        <f t="array" ref="UO61">INDEX('Port Linkages'!$AW$18:$AW$157,MATCH(2,1/(('Port Linkages'!$C$18:$C$157=$AQ61)*('Port Linkages'!$D$18:$D$157=IF($AO61="no",$AQ61,$AS61))*('Port Linkages'!$A$18:$A$157&lt;=$C61))))</f>
        <v>0</v>
      </c>
      <c r="UP61" s="75">
        <f t="array" ref="UP61">INDEX('Port Linkages'!$AX$18:$AX$157,MATCH(2,1/(('Port Linkages'!$C$18:$C$157=$AQ61)*('Port Linkages'!$D$18:$D$157=IF($AO61="no",$AQ61,$AS61))*('Port Linkages'!$A$18:$A$157&lt;=$C61))))</f>
        <v>0</v>
      </c>
      <c r="UQ61" s="75">
        <f t="array" ref="UQ61">INDEX('Port Linkages'!$AY$18:$AY$157,MATCH(2,1/(('Port Linkages'!$C$18:$C$157=$AQ61)*('Port Linkages'!$D$18:$D$157=IF($AO61="no",$AQ61,$AS61))*('Port Linkages'!$A$18:$A$157&lt;=$C61))))</f>
        <v>0</v>
      </c>
      <c r="UR61" s="75">
        <f t="array" ref="UR61">INDEX('Port Linkages'!$AZ$18:$AZ$157,MATCH(2,1/(('Port Linkages'!$C$18:$C$157=$AQ61)*('Port Linkages'!$D$18:$D$157=IF($AO61="no",$AQ61,$AS61))*('Port Linkages'!$A$18:$A$157&lt;=$C61))))</f>
        <v>0</v>
      </c>
      <c r="US61" s="75">
        <f t="array" ref="US61">INDEX('Port Linkages'!$BA$18:$BA$157,MATCH(2,1/(('Port Linkages'!$C$18:$C$157=$AQ61)*('Port Linkages'!$D$18:$D$157=IF($AO61="no",$AQ61,$AS61))*('Port Linkages'!$A$18:$A$157&lt;=$C61))))</f>
        <v>0</v>
      </c>
      <c r="UU61" s="25" t="e">
        <f t="array" aca="1" ref="UU61" ca="1">INDEX('Ship Fuel Prices'!$F$5:$F$1004,MATCH(2,1/(('Ship Fuel Prices'!$E$5:$E$1004=_xlfn.IFS(SJ61="Handysize",Main!UP61,SJ61="Supramax",UI61,SJ61="Panamax",UB61,SJ61="NeoPanamax",TU61,SJ61="Suezmax",TN61,SJ61="Capesize",TG61,SJ61="VLOC",SZ61))*('Ship Fuel Prices'!$D$5:$D$1004&lt;=Main!$C61))))</f>
        <v>#N/A</v>
      </c>
      <c r="UV61" s="25" t="e">
        <f t="array" aca="1" ref="UV61" ca="1">INDEX('Ship Fuel Prices'!$G$5:$G$1004,MATCH(2,1/(('Ship Fuel Prices'!$E$5:$E$1004=_xlfn.IFS(SJ61="Handysize",Main!UP61,SJ61="Supramax",UI61,SJ61="Panamax",UB61,SJ61="NeoPanamax",TU61,SJ61="Suezmax",TN61,SJ61="Capesize",TG61,SJ61="VLOC",SZ61))*('Ship Fuel Prices'!$D$5:$D$1004&lt;=Main!$C61))))</f>
        <v>#N/A</v>
      </c>
      <c r="UW61" s="25" t="e">
        <f t="array" aca="1" ref="UW61" ca="1">INDEX('Ship Fuel Prices'!$H$5:$H$1004,MATCH(2,1/(('Ship Fuel Prices'!$E$5:$E$1004=_xlfn.IFS(SJ61="Handysize",Main!UP61,SJ61="Supramax",UI61,SJ61="Panamax",UB61,SJ61="NeoPanamax",TU61,SJ61="Suezmax",TN61,SJ61="Capesize",TG61,SJ61="VLOC",SZ61))*('Ship Fuel Prices'!$D$5:$D$1004&lt;=Main!$C61))))</f>
        <v>#N/A</v>
      </c>
      <c r="UX61" s="25" t="e">
        <f t="array" aca="1" ref="UX61" ca="1">INDEX('Ship Fuel Prices'!$I$5:$I$1004,MATCH(2,1/(('Ship Fuel Prices'!$E$5:$E$1004=_xlfn.IFS(SJ61="Handysize",Main!UP61,SJ61="Supramax",UI61,SJ61="Panamax",UB61,SJ61="NeoPanamax",TU61,SJ61="Suezmax",TN61,SJ61="Capesize",TG61,SJ61="VLOC",SZ61))*('Ship Fuel Prices'!$D$5:$D$1004&lt;=Main!$C61))))</f>
        <v>#N/A</v>
      </c>
      <c r="UY61" s="25" t="e">
        <f t="array" aca="1" ref="UY61" ca="1">INDEX('Ship Fuel Prices'!$J$5:$J$1004,MATCH(2,1/(('Ship Fuel Prices'!$E$5:$E$1004=_xlfn.IFS(SJ61="Handysize",Main!UP61,SJ61="Supramax",UI61,SJ61="Panamax",UB61,SJ61="NeoPanamax",TU61,SJ61="Suezmax",TN61,SJ61="Capesize",TG61,SJ61="VLOC",SZ61))*('Ship Fuel Prices'!$D$5:$D$1004&lt;=Main!$C61))))</f>
        <v>#N/A</v>
      </c>
      <c r="VA61" s="75">
        <f t="array" ref="VA61">INDEX('China n Importing Ports'!$E$20:$E$41,MATCH(2,1/(('China n Importing Ports'!$D$20:$D$41&lt;=$C61)*('China n Importing Ports'!$C$20:$C$41=IF($AO61="No",$AQ61,$AS61)))))</f>
        <v>0</v>
      </c>
      <c r="VB61" s="75">
        <f t="array" ref="VB61">INDEX('China n Importing Ports'!$F$20:$F$41,MATCH(2,1/(('China n Importing Ports'!$D$20:$D$41&lt;=$C61)*('China n Importing Ports'!$C$20:$C$41=IF($AO61="No",$AQ61,$AS61)))))</f>
        <v>0</v>
      </c>
      <c r="VC61" s="75">
        <f t="array" ref="VC61">INDEX('China n Importing Ports'!$G$20:$G$41,MATCH(2,1/(('China n Importing Ports'!$D$20:$D$41&lt;=$C61)*('China n Importing Ports'!$C$20:$C$41=IF($AO61="No",$AQ61,$AS61)))))</f>
        <v>0</v>
      </c>
      <c r="VD61" s="75">
        <f t="array" ref="VD61">INDEX('China n Importing Ports'!$H$20:$H$41,MATCH(2,1/(('China n Importing Ports'!$D$20:$D$41&lt;=$C61)*('China n Importing Ports'!$C$20:$C$41=IF($AO61="No",$AQ61,$AS61)))))</f>
        <v>0</v>
      </c>
      <c r="VE61" s="75">
        <f t="array" ref="VE61">INDEX('China n Importing Ports'!$I$20:$I$41,MATCH(2,1/(('China n Importing Ports'!$D$20:$D$41&lt;=$C61)*('China n Importing Ports'!$C$20:$C$41=IF($AO61="No",$AQ61,$AS61)))))</f>
        <v>0</v>
      </c>
      <c r="VF61" s="75">
        <f t="array" ref="VF61">INDEX('China n Importing Ports'!$J$20:$J$41,MATCH(2,1/(('China n Importing Ports'!$D$20:$D$41&lt;=$C61)*('China n Importing Ports'!$C$20:$C$41=IF($AO61="No",$AQ61,$AS61)))))</f>
        <v>0</v>
      </c>
      <c r="VG61" s="75">
        <f t="array" ref="VG61">INDEX('China n Importing Ports'!$K$20:$K$41,MATCH(2,1/(('China n Importing Ports'!$D$20:$D$41&lt;=$C61)*('China n Importing Ports'!$C$20:$C$41=IF($AO61="No",$AQ61,$AS61)))))</f>
        <v>0</v>
      </c>
      <c r="VH61" s="75">
        <f t="array" ref="VH61">INDEX('China n Importing Ports'!$L$20:$L$41,MATCH(2,1/(('China n Importing Ports'!$D$20:$D$41&lt;=$C61)*('China n Importing Ports'!$C$20:$C$41=IF($AO61="No",$AQ61,$AS61)))))</f>
        <v>0</v>
      </c>
      <c r="VI61" s="75">
        <f t="array" ref="VI61">INDEX('China n Importing Ports'!$M$20:$M$41,MATCH(2,1/(('China n Importing Ports'!$D$20:$D$41&lt;=$C61)*('China n Importing Ports'!$C$20:$C$41=IF($AO61="No",$AQ61,$AS61)))))</f>
        <v>0</v>
      </c>
      <c r="VJ61" s="75">
        <f t="array" ref="VJ61">INDEX('China n Importing Ports'!$N$20:$N$41,MATCH(2,1/(('China n Importing Ports'!$D$20:$D$41&lt;=$C61)*('China n Importing Ports'!$C$20:$C$41=IF($AO61="No",$AQ61,$AS61)))))</f>
        <v>0</v>
      </c>
      <c r="VK61" s="75">
        <f t="array" ref="VK61">INDEX('China n Importing Ports'!$O$20:$O$41,MATCH(2,1/(('China n Importing Ports'!$D$20:$D$41&lt;=$C61)*('China n Importing Ports'!$C$20:$C$41=IF($AO61="No",$AQ61,$AS61)))))</f>
        <v>0</v>
      </c>
      <c r="VL61" s="136">
        <f t="array" ref="VL61">INDEX('China n Importing Ports'!$P$20:$P$41,MATCH(2,1/(('China n Importing Ports'!$D$20:$D$41&lt;=$C61)*('China n Importing Ports'!$C$20:$C$41=IF($AO61="No",$AQ61,$AS61)))))</f>
        <v>0</v>
      </c>
      <c r="VM61" s="136">
        <f t="array" ref="VM61">INDEX('China n Importing Ports'!$Q$20:$Q$41,MATCH(2,1/(('China n Importing Ports'!$D$20:$D$41&lt;=$C61)*('China n Importing Ports'!$C$20:$C$41=IF($AO61="No",$AQ61,$AS61)))))</f>
        <v>0</v>
      </c>
      <c r="VN61" s="136">
        <f t="array" ref="VN61">INDEX('China n Importing Ports'!$R$20:$R$41,MATCH(2,1/(('China n Importing Ports'!$D$20:$D$41&lt;=$C61)*('China n Importing Ports'!$C$20:$C$41=IF($AO61="No",$AQ61,$AS61)))))</f>
        <v>0</v>
      </c>
      <c r="VO61" s="136">
        <f t="array" ref="VO61">INDEX('China n Importing Ports'!$S$20:$S$41,MATCH(2,1/(('China n Importing Ports'!$D$20:$D$41&lt;=$C61)*('China n Importing Ports'!$C$20:$C$41=IF($AO61="No",$AQ61,$AS61)))))</f>
        <v>0</v>
      </c>
      <c r="VP61" s="136">
        <f t="array" ref="VP61">INDEX('China n Importing Ports'!$T$20:$T$41,MATCH(2,1/(('China n Importing Ports'!$D$20:$D$41&lt;=$C61)*('China n Importing Ports'!$C$20:$C$41=IF($AO61="No",$AQ61,$AS61)))))</f>
        <v>0</v>
      </c>
      <c r="VQ61" s="136">
        <f t="array" ref="VQ61">INDEX('China n Importing Ports'!$U$20:$U$41,MATCH(2,1/(('China n Importing Ports'!$D$20:$D$41&lt;=$C61)*('China n Importing Ports'!$C$20:$C$41=IF($AO61="No",$AQ61,$AS61)))))</f>
        <v>0</v>
      </c>
      <c r="VR61" s="136">
        <f t="array" ref="VR61">INDEX('China n Importing Ports'!$V$20:$V$41,MATCH(2,1/(('China n Importing Ports'!$D$20:$D$41&lt;=$C61)*('China n Importing Ports'!$C$20:$C$41=IF($AO61="No",$AQ61,$AS61)))))</f>
        <v>0</v>
      </c>
      <c r="VS61" s="136">
        <f t="array" ref="VS61">INDEX('China n Importing Ports'!$W$20:$W$41,MATCH(2,1/(('China n Importing Ports'!$D$20:$D$41&lt;=$C61)*('China n Importing Ports'!$C$20:$C$41=IF($AO61="No",$AQ61,$AS61)))))</f>
        <v>0</v>
      </c>
      <c r="VT61" s="136">
        <f t="array" ref="VT61">INDEX('China n Importing Ports'!$X$20:$X$41,MATCH(2,1/(('China n Importing Ports'!$D$20:$D$41&lt;=$C61)*('China n Importing Ports'!$C$20:$C$41=IF($AO61="No",$AQ61,$AS61)))))</f>
        <v>0</v>
      </c>
      <c r="VU61" s="136">
        <f t="array" ref="VU61">INDEX('China n Importing Ports'!$Y$20:$Y$41,MATCH(2,1/(('China n Importing Ports'!$D$20:$D$41&lt;=$C61)*('China n Importing Ports'!$C$20:$C$41=IF($AO61="No",$AQ61,$AS61)))))</f>
        <v>0</v>
      </c>
      <c r="VV61" s="136">
        <f t="array" ref="VV61">INDEX('China n Importing Ports'!$Z$20:$Z$41,MATCH(2,1/(('China n Importing Ports'!$D$20:$D$41&lt;=$C61)*('China n Importing Ports'!$C$20:$C$41=IF($AO61="No",$AQ61,$AS61)))))</f>
        <v>0</v>
      </c>
      <c r="VW61" s="136">
        <f t="array" ref="VW61">INDEX('China n Importing Ports'!$AA$20:$AA$41,MATCH(2,1/(('China n Importing Ports'!$D$20:$D$41&lt;=$C61)*('China n Importing Ports'!$C$20:$C$41=IF($AO61="No",$AQ61,$AS61)))))</f>
        <v>0</v>
      </c>
      <c r="VY61" s="75" t="e">
        <f t="array" aca="1" ref="VY61" ca="1">INDEX(Canals!$G$24:$G$29,MATCH(2,1/((Canals!$F$24:$F$29&lt;=$C61)*(Canals!$G$24:$G$29=_xlfn.IFS(SJ61="Handysize",US61,SJ61="Supramax",UL61,SJ61="Panamax",UE61,SJ61="NeoPanamax",TX61,SJ61="Suezmax",TQ61,SJ61="Capesize",TJ61,SJ61="VLOC",TC61)))))</f>
        <v>#N/A</v>
      </c>
      <c r="VZ61" s="75" t="e">
        <f t="array" aca="1" ref="VZ61" ca="1">INDEX(Canals!$H$24:$H$29,MATCH(2,1/((Canals!$F$24:$F$29&lt;=$C61)*(Canals!$G$24:$G$29=_xlfn.IFS(SJ61="Handysize",US61,SJ61="Supramax",UL61,SJ61="Panamax",UE61,SJ61="NeoPanamax",TX61,SJ61="Suezmax",TQ61,SJ61="Capesize",TJ61,SJ61="VLOC",TC61)))))</f>
        <v>#N/A</v>
      </c>
      <c r="WA61" s="75" t="e">
        <f t="array" aca="1" ref="WA61" ca="1">INDEX(Canals!$I$24:$I$29,MATCH(2,1/((Canals!$F$24:$F$29&lt;=$C61)*(Canals!$G$24:$G$29=_xlfn.IFS(SJ61="Handysize",US61,SJ61="Supramax",UL61,SJ61="Panamax",UE61,SJ61="NeoPanamax",TX61,SJ61="Suezmax",TQ61,SJ61="Capesize",TJ61,SJ61="VLOC",TC61)))))</f>
        <v>#N/A</v>
      </c>
      <c r="WB61" s="75" t="e">
        <f t="array" aca="1" ref="WB61" ca="1">INDEX(Canals!$J$24:$J$29,MATCH(2,1/((Canals!$F$24:$F$29&lt;=$C61)*(Canals!$G$24:$G$29=_xlfn.IFS(SJ61="Handysize",Main!US61,SJ61="Supramax",UL61,SJ61="Panamax",UE61,SJ61="NeoPanamax",TX61,SJ61="Suezmax",TQ61,SJ61="Capesize",TJ61,SJ61="VLOC",TC61)))))</f>
        <v>#N/A</v>
      </c>
      <c r="WC61" s="75" t="e">
        <f t="array" aca="1" ref="WC61" ca="1">INDEX(Canals!$K$24:$K$29,MATCH(2,1/((Canals!$F$24:$F$29&lt;=$C61)*(Canals!$G$24:$G$29=_xlfn.IFS(SJ61="Handysize",Main!US61,SJ61="Supramax",UL61,SJ61="Panamax",UE61,SJ61="NeoPanamax",TX61,SJ61="Suezmax",TQ61,SJ61="Capesize",TJ61,SJ61="VLOC",TC61)))))</f>
        <v>#N/A</v>
      </c>
      <c r="WD61" s="75" t="e">
        <f t="array" aca="1" ref="WD61" ca="1">INDEX(Canals!$L$24:$L$29,MATCH(2,1/((Canals!$F$24:$F$29&lt;=$C61)*(Canals!$G$24:$G$29=_xlfn.IFS(SJ61="Handysize",Main!US61,SJ61="Supramax",UL61,SJ61="Panamax",UE61,SJ61="NeoPanamax",TX61,SJ61="Suezmax",TQ61,SJ61="Capesize",TJ61,SJ61="VLOC",TC61)))))</f>
        <v>#N/A</v>
      </c>
      <c r="WE61" s="75" t="e">
        <f t="array" aca="1" ref="WE61" ca="1">INDEX(Canals!$M$24:$M$29,MATCH(2,1/((Canals!$F$24:$F$29&lt;=$C61)*(Canals!$G$24:$G$29=_xlfn.IFS(SJ61="Handysize",Main!US61,SJ61="Supramax",UL61,SJ61="Panamax",UE61,SJ61="NeoPanamax",TX61,SJ61="Suezmax",TQ61,SJ61="Capesize",TJ61,SJ61="VLOC",TC61)))))</f>
        <v>#N/A</v>
      </c>
      <c r="WF61" s="75" t="e">
        <f t="array" aca="1" ref="WF61" ca="1">INDEX(Canals!$N$24:$N$29,MATCH(2,1/((Canals!$F$24:$F$29&lt;=$C61)*(Canals!$G$24:$G$29=_xlfn.IFS(SJ61="Handysize",Main!US61,SJ61="Supramax",UL61,SJ61="Panamax",UE61,SJ61="NeoPanamax",TX61,SJ61="Suezmax",TQ61,SJ61="Capesize",TJ61,SJ61="VLOC",TC61)))))</f>
        <v>#N/A</v>
      </c>
      <c r="WG61" s="75" t="e">
        <f t="array" aca="1" ref="WG61" ca="1">INDEX(Canals!$O$24:$O$29,MATCH(2,1/((Canals!$F$24:$F$29&lt;=$C61)*(Canals!$G$24:$G$29=_xlfn.IFS(SJ61="Handysize",Main!US61,SJ61="Supramax",UL61,SJ61="Panamax",UE61,SJ61="NeoPanamax",TX61,SJ61="Suezmax",TQ61,SJ61="Capesize",TJ61,SJ61="VLOC",TC61)))))</f>
        <v>#N/A</v>
      </c>
      <c r="WH61" s="75" t="e">
        <f t="array" aca="1" ref="WH61" ca="1">INDEX(Canals!$P$24:$P$29,MATCH(2,1/((Canals!$F$24:$F$29&lt;=$C61)*(Canals!$G$24:$G$29=_xlfn.IFS(SJ61="Handysize",Main!US61,SJ61="Supramax",UL61,SJ61="Panamax",UE61,SJ61="NeoPanamax",TX61,SJ61="Suezmax",TQ61,SJ61="Capesize",TJ61,SJ61="VLOC",TC61)))))</f>
        <v>#N/A</v>
      </c>
      <c r="WI61" s="75" t="e">
        <f t="array" aca="1" ref="WI61" ca="1">INDEX(Canals!$Q$24:$Q$29,MATCH(2,1/((Canals!$F$24:$F$29&lt;=$C61)*(Canals!$G$24:$G$29=_xlfn.IFS(SJ61="Handysize",Main!US61,SJ61="Supramax",UL61,SJ61="Panamax",UE61,SJ61="NeoPanamax",TX61,SJ61="Suezmax",TQ61,SJ61="Capesize",TJ61,SJ61="VLOC",TC61)))))</f>
        <v>#N/A</v>
      </c>
      <c r="WJ61" s="75" t="e">
        <f t="array" aca="1" ref="WJ61" ca="1">INDEX(Canals!$R$24:$R$29,MATCH(2,1/((Canals!$F$24:$F$29&lt;=$C61)*(Canals!$G$24:$G$29=_xlfn.IFS(SJ61="Handysize",Main!US61,SJ61="Supramax",UL61,SJ61="Panamax",UE61,SJ61="NeoPanamax",TX61,SJ61="Suezmax",TQ61,SJ61="Capesize",TJ61,SJ61="VLOC",TC61)))))</f>
        <v>#N/A</v>
      </c>
      <c r="WK61" s="136" t="e">
        <f t="array" aca="1" ref="WK61" ca="1">INDEX(Canals!$S$24:$S$29,MATCH(2,1/((Canals!$F$24:$F$29&lt;=$C61)*(Canals!$G$24:$G$29=_xlfn.IFS(SJ61="Handysize",Main!US61,SJ61="Supramax",UL61,SJ61="Panamax",UE61,SJ61="NeoPanamax",TX61,SJ61="Suezmax",TQ61,SJ61="Capesize",TJ61,SJ61="VLOC",TC61)))))</f>
        <v>#N/A</v>
      </c>
      <c r="WL61" s="136" t="e">
        <f t="array" aca="1" ref="WL61" ca="1">INDEX(Canals!$T$24:$T$29,MATCH(2,1/((Canals!$F$24:$F$29&lt;=$C61)*(Canals!$G$24:$G$29=_xlfn.IFS(SJ61="Handysize",Main!US61,SJ61="Supramax",UL61,SJ61="Panamax",UE61,SJ61="NeoPanamax",TX61,SJ61="Suezmax",TQ61,SJ61="Capesize",TJ61,SJ61="VLOC",TC61)))))</f>
        <v>#N/A</v>
      </c>
      <c r="WM61" s="136" t="e">
        <f t="array" aca="1" ref="WM61" ca="1">INDEX(Canals!$U$24:$U$29,MATCH(2,1/((Canals!$F$24:$F$29&lt;=$C61)*(Canals!$G$24:$G$29=_xlfn.IFS(SJ61="Handysize",Main!US61,SJ61="Supramax",UL61,SJ61="Panamax",UE61,SJ61="NeoPanamax",TX61,SJ61="Suezmax",TQ61,SJ61="Capesize",TJ61,SJ61="VLOC",TC61)))))</f>
        <v>#N/A</v>
      </c>
      <c r="WN61" s="136" t="e">
        <f t="array" aca="1" ref="WN61" ca="1">INDEX(Canals!$V$24:$V$29,MATCH(2,1/((Canals!$F$24:$F$29&lt;=$C61)*(Canals!$G$24:$G$29=_xlfn.IFS(SJ61="Handysize",Main!US61,SJ61="Supramax",UL61,SJ61="Panamax",UE61,SJ61="NeoPanamax",TX61,SJ61="Suezmax",TQ61,SJ61="Capesize",TJ61,SJ61="VLOC",TC61)))))</f>
        <v>#N/A</v>
      </c>
      <c r="WO61" s="136" t="e">
        <f t="array" aca="1" ref="WO61" ca="1">INDEX(Canals!$W$24:$W$29,MATCH(2,1/((Canals!$F$24:$F$29&lt;=$C61)*(Canals!$G$24:$G$29=_xlfn.IFS(SJ61="Handysize",Main!US61,SJ61="Supramax",UL61,SJ61="Panamax",UE61,SJ61="NeoPanamax",TX61,SJ61="Suezmax",TQ61,SJ61="Capesize",TJ61,SJ61="VLOC",TC61)))))</f>
        <v>#N/A</v>
      </c>
      <c r="WP61" s="136" t="e">
        <f t="array" aca="1" ref="WP61" ca="1">INDEX(Canals!$X$24:$X$29,MATCH(2,1/((Canals!$F$24:$F$29&lt;=$C61)*(Canals!$G$24:$G$29=_xlfn.IFS(SJ61="Handysize",Main!US61,SJ61="Supramax",UL61,SJ61="Panamax",UE61,SJ61="NeoPanamax",TX61,SJ61="Suezmax",TQ61,SJ61="Capesize",TJ61,SJ61="VLOC",TC61)))))</f>
        <v>#N/A</v>
      </c>
      <c r="WQ61" s="136" t="e">
        <f t="array" aca="1" ref="WQ61" ca="1">INDEX(Canals!$Y$24:$Y$29,MATCH(2,1/((Canals!$F$24:$F$29&lt;=$C61)*(Canals!$G$24:$G$29=_xlfn.IFS(SJ61="Handysize",Main!US61,SJ61="Supramax",UL61,SJ61="Panamax",UE61,SJ61="NeoPanamax",TX61,SJ61="Suezmax",TQ61,SJ61="Capesize",TJ61,SJ61="VLOC",TC61)))))</f>
        <v>#N/A</v>
      </c>
      <c r="WR61" s="136" t="e">
        <f t="array" aca="1" ref="WR61" ca="1">INDEX(Canals!$Z$24:$Z$29,MATCH(2,1/((Canals!$F$24:$F$29&lt;=$C61)*(Canals!$G$24:$G$29=_xlfn.IFS(SJ61="Handysize",Main!US61,SJ61="Supramax",UL61,SJ61="Panamax",UE61,SJ61="NeoPanamax",TX61,SJ61="Suezmax",TQ61,SJ61="Capesize",TJ61,SJ61="VLOC",TC61)))))</f>
        <v>#N/A</v>
      </c>
      <c r="WS61" s="136" t="e">
        <f t="array" aca="1" ref="WS61" ca="1">INDEX(Canals!$AA$24:$AA$29,MATCH(2,1/((Canals!$F$24:$F$29&lt;=$C61)*(Canals!$G$24:$G$29=_xlfn.IFS(SJ61="Handysize",Main!US61,SJ61="Supramax",UL61,SJ61="Panamax",UE61,SJ61="NeoPanamax",TX61,SJ61="Suezmax",TQ61,SJ61="Capesize",TJ61,SJ61="VLOC",TC61)))))</f>
        <v>#N/A</v>
      </c>
      <c r="WT61" s="136" t="e">
        <f t="array" aca="1" ref="WT61" ca="1">INDEX(Canals!$AB$24:$AB$29,MATCH(2,1/((Canals!$F$24:$F$29&lt;=$C61)*(Canals!$G$24:$G$29=_xlfn.IFS(SJ61="Handysize",Main!US61,SJ61="Supramax",UL61,SJ61="Panamax",UE61,SJ61="NeoPanamax",TX61,SJ61="Suezmax",TQ61,SJ61="Capesize",TJ61,SJ61="VLOC",TC61)))))</f>
        <v>#N/A</v>
      </c>
      <c r="WU61" s="75" t="e">
        <f t="array" aca="1" ref="WU61" ca="1">INDEX(Canals!$AC$24:$AC$29,MATCH(2,1/((Canals!$F$24:$F$29&lt;=$C61)*(Canals!$G$24:$G$29=_xlfn.IFS(SJ61="Handysize",Main!US61,SJ61="Supramax",UL61,SJ61="Panamax",UE61,SJ61="NeoPanamax",TX61,SJ61="Suezmax",TQ61,SJ61="Capesize",TJ61,SJ61="VLOC",TC61)))))</f>
        <v>#N/A</v>
      </c>
      <c r="WV61" s="75" t="e">
        <f t="array" aca="1" ref="WV61" ca="1">INDEX(Canals!$AD$24:$AD$29,MATCH(2,1/((Canals!$F$24:$F$29&lt;=$C61)*(Canals!$G$24:$G$29=_xlfn.IFS(SJ61="Handysize",Main!US61,SJ61="Supramax",UL61,SJ61="Panamax",UE61,SJ61="NeoPanamax",TX61,SJ61="Suezmax",TQ61,SJ61="Capesize",TJ61,SJ61="VLOC",TC61)))))</f>
        <v>#N/A</v>
      </c>
      <c r="WW61" s="75" t="e">
        <f t="array" aca="1" ref="WW61" ca="1">INDEX(Canals!$AE$24:$AE$29,MATCH(2,1/((Canals!$F$24:$F$29&lt;=$C61)*(Canals!$G$24:$G$29=_xlfn.IFS(SJ61="Handysize",Main!US61,SJ61="Supramax",UL61,SJ61="Panamax",UE61,SJ61="NeoPanamax",TX61,SJ61="Suezmax",TQ61,SJ61="Capesize",TJ61,SJ61="VLOC",TC61)))))</f>
        <v>#N/A</v>
      </c>
      <c r="WX61" s="75" t="e">
        <f t="array" aca="1" ref="WX61" ca="1">INDEX(Canals!$AF$24:$AF$29,MATCH(2,1/((Canals!$F$24:$F$29&lt;=$C61)*(Canals!$G$24:$G$29=_xlfn.IFS(SJ61="Handysize",Main!US61,SJ61="Supramax",UL61,SJ61="Panamax",UE61,SJ61="NeoPanamax",TX61,SJ61="Suezmax",TQ61,SJ61="Capesize",TJ61,SJ61="VLOC",TC61)))))</f>
        <v>#N/A</v>
      </c>
      <c r="WY61" s="75" t="e">
        <f t="array" aca="1" ref="WY61" ca="1">INDEX(Canals!$AG$24:$AG$29,MATCH(2,1/((Canals!$F$24:$F$29&lt;=$C61)*(Canals!$G$24:$G$29=_xlfn.IFS(SJ61="Handysize",Main!US61,SJ61="Supramax",UL61,SJ61="Panamax",UE61,SJ61="NeoPanamax",TX61,SJ61="Suezmax",TQ61,SJ61="Capesize",TJ61,SJ61="VLOC",TC61)))))</f>
        <v>#N/A</v>
      </c>
      <c r="WZ61" s="75" t="e">
        <f t="array" aca="1" ref="WZ61" ca="1">INDEX(Canals!$AH$24:$AH$29,MATCH(2,1/((Canals!$F$24:$F$29&lt;=$C61)*(Canals!$G$24:$G$29=_xlfn.IFS(SJ61="Handysize",Main!US61,SJ61="Supramax",UL61,SJ61="Panamax",UE61,SJ61="NeoPanamax",TX61,SJ61="Suezmax",TQ61,SJ61="Capesize",TJ61,SJ61="VLOC",TC61)))))</f>
        <v>#N/A</v>
      </c>
      <c r="XA61" s="75" t="e">
        <f t="array" aca="1" ref="XA61" ca="1">INDEX(Canals!$AI$24:$AI$29,MATCH(2,1/((Canals!$F$24:$F$29&lt;=$C61)*(Canals!$G$24:$G$29=_xlfn.IFS(SJ61="Handysize",Main!US61,SJ61="Supramax",UL61,SJ61="Panamax",UE61,SJ61="NeoPanamax",TX61,SJ61="Suezmax",TQ61,SJ61="Capesize",TJ61,SJ61="VLOC",TC61)))))</f>
        <v>#N/A</v>
      </c>
      <c r="XB61" s="75" t="e">
        <f t="array" aca="1" ref="XB61" ca="1">INDEX(Canals!$AJ$24:$AJ$29,MATCH(2,1/((Canals!$F$24:$F$29&lt;=$C61)*(Canals!$G$24:$G$29=_xlfn.IFS(SJ61="Handysize",Main!US61,SJ61="Supramax",UL61,SJ61="Panamax",UE61,SJ61="NeoPanamax",TX61,SJ61="Suezmax",TQ61,SJ61="Capesize",TJ61,SJ61="VLOC",TC61)))))</f>
        <v>#N/A</v>
      </c>
      <c r="XC61" s="75" t="e">
        <f t="array" aca="1" ref="XC61" ca="1">INDEX(Canals!$AK$24:$AK$29,MATCH(2,1/((Canals!$F$24:$F$29&lt;=$C61)*(Canals!$G$24:$G$29=_xlfn.IFS(SJ61="Handysize",Main!US61,SJ61="Supramax",UL61,SJ61="Panamax",UE61,SJ61="NeoPanamax",TX61,SJ61="Suezmax",TQ61,SJ61="Capesize",TJ61,SJ61="VLOC",TC61)))))</f>
        <v>#N/A</v>
      </c>
      <c r="XD61" s="136" t="e">
        <f t="array" aca="1" ref="XD61" ca="1">INDEX(Canals!$AL$24:$AL$29,MATCH(2,1/((Canals!$F$24:$F$29&lt;=$C61)*(Canals!$G$24:$G$29=_xlfn.IFS(SJ61="Handysize",Main!US61,SJ61="Supramax",UL61,SJ61="Panamax",UE61,SJ61="NeoPanamax",TX61,SJ61="Suezmax",TQ61,SJ61="Capesize",TJ61,SJ61="VLOC",TC61)))))</f>
        <v>#N/A</v>
      </c>
      <c r="XE61" s="136" t="e">
        <f t="array" aca="1" ref="XE61" ca="1">INDEX(Canals!$AM$24:$AM$29,MATCH(2,1/((Canals!$F$24:$F$29&lt;=$C61)*(Canals!$G$24:$G$29=_xlfn.IFS(SJ61="Handysize",Main!US61,SJ61="Supramax",UL61,SJ61="Panamax",UE61,SJ61="NeoPanamax",TX61,SJ61="Suezmax",TQ61,SJ61="Capesize",TJ61,SJ61="VLOC",TC61)))))</f>
        <v>#N/A</v>
      </c>
      <c r="XF61" s="136" t="e">
        <f t="array" aca="1" ref="XF61" ca="1">INDEX(Canals!$AN$24:$AN$29,MATCH(2,1/((Canals!$F$24:$F$29&lt;=$C61)*(Canals!$G$24:$G$29=_xlfn.IFS(SJ61="Handysize",Main!US61,SJ61="Supramax",UL61,SJ61="Panamax",UE61,SJ61="NeoPanamax",TX61,SJ61="Suezmax",TQ61,SJ61="Capesize",TJ61,SJ61="VLOC",TC61)))))</f>
        <v>#N/A</v>
      </c>
      <c r="XG61" s="136" t="e">
        <f t="array" aca="1" ref="XG61" ca="1">INDEX(Canals!$AO$24:$AO$29,MATCH(2,1/((Canals!$F$24:$F$29&lt;=$C61)*(Canals!$G$24:$G$29=_xlfn.IFS(SJ61="Handysize",Main!US61,SJ61="Supramax",UL61,SJ61="Panamax",UE61,SJ61="NeoPanamax",TX61,SJ61="Suezmax",TQ61,SJ61="Capesize",TJ61,SJ61="VLOC",TC61)))))</f>
        <v>#N/A</v>
      </c>
      <c r="XH61" s="136" t="e">
        <f t="array" aca="1" ref="XH61" ca="1">INDEX(Canals!$AP$24:$AP$29,MATCH(2,1/((Canals!$F$24:$F$29&lt;=$C61)*(Canals!$G$24:$G$29=_xlfn.IFS(SJ61="Handysize",Main!US61,SJ61="Supramax",UL61,SJ61="Panamax",UE61,SJ61="NeoPanamax",TX61,SJ61="Suezmax",TQ61,SJ61="Capesize",TJ61,SJ61="VLOC",TC61)))))</f>
        <v>#N/A</v>
      </c>
      <c r="XI61" s="136" t="e">
        <f t="array" aca="1" ref="XI61" ca="1">INDEX(Canals!$AQ$24:$AQ$29,MATCH(2,1/((Canals!$F$24:$F$29&lt;=$C61)*(Canals!$G$24:$G$29=_xlfn.IFS(SJ61="Handysize",Main!US61,SJ61="Supramax",UL61,SJ61="Panamax",UE61,SJ61="NeoPanamax",TX61,SJ61="Suezmax",TQ61,SJ61="Capesize",TJ61,SJ61="VLOC",TC61)))))</f>
        <v>#N/A</v>
      </c>
      <c r="XJ61" s="136" t="e">
        <f t="array" aca="1" ref="XJ61" ca="1">INDEX(Canals!$AR$24:$AR$29,MATCH(2,1/((Canals!$F$24:$F$29&lt;=$C61)*(Canals!$G$24:$G$29=_xlfn.IFS(SJ61="Handysize",Main!US61,SJ61="Supramax",UL61,SJ61="Panamax",UE61,SJ61="NeoPanamax",TX61,SJ61="Suezmax",TQ61,SJ61="Capesize",TJ61,SJ61="VLOC",TC61)))))</f>
        <v>#N/A</v>
      </c>
      <c r="XK61" s="136" t="e">
        <f t="array" aca="1" ref="XK61" ca="1">INDEX(Canals!$AS$24:$AS$29,MATCH(2,1/((Canals!$F$24:$F$29&lt;=$C61)*(Canals!$G$24:$G$29=_xlfn.IFS(SJ61="Handysize",Main!US61,SJ61="Supramax",UL61,SJ61="Panamax",UE61,SJ61="NeoPanamax",TX61,SJ61="Suezmax",TQ61,SJ61="Capesize",TJ61,SJ61="VLOC",TC61)))))</f>
        <v>#N/A</v>
      </c>
      <c r="XL61" s="136" t="e">
        <f t="array" aca="1" ref="XL61" ca="1">INDEX(Canals!$AT$24:$AT$29,MATCH(2,1/((Canals!$F$24:$F$29&lt;=$C61)*(Canals!$G$24:$G$29=_xlfn.IFS(SJ61="Handysize",Main!US61,SJ61="Supramax",UL61,SJ61="Panamax",UE61,SJ61="NeoPanamax",TX61,SJ61="Suezmax",TQ61,SJ61="Capesize",TJ61,SJ61="VLOC",TC61)))))</f>
        <v>#N/A</v>
      </c>
      <c r="XM61" s="136" t="e">
        <f t="array" aca="1" ref="XM61" ca="1">INDEX(Canals!$AU$24:$AU$29,MATCH(2,1/((Canals!$F$24:$F$29&lt;=$C61)*(Canals!$G$24:$G$29=_xlfn.IFS(SJ61="Handysize",Main!US61,SJ61="Supramax",UL61,SJ61="Panamax",UE61,SJ61="NeoPanamax",TX61,SJ61="Suezmax",TQ61,SJ61="Capesize",TJ61,SJ61="VLOC",TC61)))))</f>
        <v>#N/A</v>
      </c>
      <c r="XN61" s="136" t="e">
        <f t="array" aca="1" ref="XN61" ca="1">INDEX(Canals!$AV$24:$AV$29,MATCH(2,1/((Canals!$F$24:$F$29&lt;=$C61)*(Canals!$G$24:$G$29=_xlfn.IFS(SJ61="Handysize",Main!US61,SJ61="Supramax",UL61,SJ61="Panamax",UE61,SJ61="NeoPanamax",TX61,SJ61="Suezmax",TQ61,SJ61="Capesize",TJ61,SJ61="VLOC",TC61)))))</f>
        <v>#N/A</v>
      </c>
      <c r="XP61" s="75" t="e">
        <f t="array" aca="1" ref="XP61" ca="1">_xlfn.IFS(WA61="DWT",SH61,WA61="NRT",SL61,WA61="GRT",SM61,WA61=0,0)</f>
        <v>#NAME?</v>
      </c>
      <c r="XQ61" s="279" t="e">
        <f t="shared" ca="1" si="455"/>
        <v>#NAME?</v>
      </c>
      <c r="XR61" s="280" t="e">
        <f t="shared" ca="1" si="456"/>
        <v>#NAME?</v>
      </c>
      <c r="XS61" s="280" t="e">
        <f t="shared" ca="1" si="457"/>
        <v>#NAME?</v>
      </c>
      <c r="XT61" s="280" t="e">
        <f t="shared" ca="1" si="458"/>
        <v>#NAME?</v>
      </c>
      <c r="XU61" s="280" t="e">
        <f t="shared" ca="1" si="459"/>
        <v>#NAME?</v>
      </c>
      <c r="XV61" s="280" t="e">
        <f t="shared" ca="1" si="460"/>
        <v>#NAME?</v>
      </c>
      <c r="XW61" s="280" t="e">
        <f t="shared" ca="1" si="461"/>
        <v>#NAME?</v>
      </c>
      <c r="XX61" s="280" t="e">
        <f t="shared" ca="1" si="462"/>
        <v>#NAME?</v>
      </c>
      <c r="XY61" s="280" t="e">
        <f t="shared" ca="1" si="463"/>
        <v>#NAME?</v>
      </c>
      <c r="XZ61" s="75">
        <f t="shared" si="464"/>
        <v>0</v>
      </c>
      <c r="YA61" s="279" t="e">
        <f t="shared" ca="1" si="465"/>
        <v>#N/A</v>
      </c>
      <c r="YB61" s="280" t="e">
        <f t="shared" ca="1" si="466"/>
        <v>#N/A</v>
      </c>
      <c r="YC61" s="280" t="e">
        <f t="shared" ca="1" si="467"/>
        <v>#N/A</v>
      </c>
      <c r="YD61" s="280" t="e">
        <f t="shared" ca="1" si="468"/>
        <v>#N/A</v>
      </c>
      <c r="YE61" s="280" t="e">
        <f t="shared" ca="1" si="469"/>
        <v>#N/A</v>
      </c>
      <c r="YF61" s="280" t="e">
        <f t="shared" ca="1" si="470"/>
        <v>#N/A</v>
      </c>
      <c r="YG61" s="280" t="e">
        <f t="shared" ca="1" si="471"/>
        <v>#N/A</v>
      </c>
      <c r="YH61" s="280" t="e">
        <f t="shared" ca="1" si="472"/>
        <v>#N/A</v>
      </c>
      <c r="YI61" s="280" t="e">
        <f t="shared" ca="1" si="473"/>
        <v>#N/A</v>
      </c>
      <c r="YK61" s="75" t="e">
        <f t="array" aca="1" ref="YK61" ca="1">_xlfn.IFS(SJ61="Handysize",Main!UM61,SJ61="Supramax",UF61,SJ61="Panamax",TY61,SJ61="NeoPanamax",TR61,SJ61="Suezmax",TK61,SJ61="Capesize",TD61,SJ61="VLOC",SW61)*$JI61</f>
        <v>#NAME?</v>
      </c>
      <c r="YL61" s="274" t="e">
        <f t="array" aca="1" ref="YL61" ca="1">_xlfn.IFS(SJ61="Handysize",Main!UN61,SJ61="Supramax",UG61,SJ61="Panamax",TZ61,SJ61="NeoPanamax",TS61,SJ61="Suezmax",TL61,SJ61="Capesize",TE61,SJ61="VLOC",SX61)*$JI61</f>
        <v>#NAME?</v>
      </c>
      <c r="YM61" s="71" t="e">
        <f t="array" aca="1" ref="YM61" ca="1">_xlfn.IFS(SJ61="Handysize",Main!SO61,SJ61="Supramax",SP61,SJ61="Panamax",SQ61,SJ61="NeoPanamax",SR61,SJ61="Suezmax",SS61,SJ61="Capesize",ST61,SJ61="VLOC",SU61)</f>
        <v>#NAME?</v>
      </c>
      <c r="YN61" s="71" t="e">
        <f t="array" aca="1" ref="YN61" ca="1">_xlfn.IFS(SJ61="Handysize",Main!VA61,SJ61="Supramax",VB61,SJ61="Panamax",VC61,SJ61="NeoPanamax",VD61,SJ61="Suezmax",VE61,SJ61="Capesize",VF61,SJ61="VLOC",VG61)</f>
        <v>#NAME?</v>
      </c>
      <c r="YO61" s="70">
        <f t="array" ref="YO61">INDEX('Ship Speeds'!$G$11:$G$1011,MATCH(2,1/(('Ship Speeds'!$E$11:$E$1011&lt;=Main!$C61)*('Ship Speeds'!$F$11:$F$1011=Main!SI61))))</f>
        <v>11</v>
      </c>
      <c r="YP61" s="403">
        <f t="shared" si="474"/>
        <v>0</v>
      </c>
      <c r="YQ61" s="401">
        <f t="shared" si="475"/>
        <v>1.2</v>
      </c>
      <c r="YR61" s="70" t="e">
        <f t="shared" ca="1" si="476"/>
        <v>#NAME?</v>
      </c>
      <c r="YS61" s="70" t="e">
        <f t="shared" ca="1" si="477"/>
        <v>#NAME?</v>
      </c>
      <c r="YT61" s="70" t="e">
        <f t="shared" ca="1" si="478"/>
        <v>#NAME?</v>
      </c>
      <c r="YU61" s="70" t="e">
        <f t="shared" ca="1" si="479"/>
        <v>#NAME?</v>
      </c>
      <c r="YV61" s="72" t="e">
        <f t="shared" ca="1" si="480"/>
        <v>#N/A</v>
      </c>
      <c r="YW61" s="70" t="e">
        <f t="shared" ca="1" si="481"/>
        <v>#NAME?</v>
      </c>
      <c r="YX61" s="70" t="e">
        <f t="array" aca="1" ref="YX61" ca="1">IF(YK61=0,0,INDEX(UU61:UY61,MATCH(_xlfn.IFS(SJ61="Handysize",Main!UQ61,SJ61="Supramax",UJ61,SJ61="Panamax",UC61,SJ61="NeoPanamax",TV61,SJ61="Suezmax",TO61,SJ61="Capesize",TH61,SJ61="VLOC",TA61),$UU$7:$UY$7,0)))</f>
        <v>#NAME?</v>
      </c>
      <c r="YY61" s="70" t="e">
        <f t="array" aca="1" ref="YY61" ca="1">IF(YK61=0,0,INDEX(UU61:UY61,MATCH(_xlfn.IFS(SJ61="Handysize",Main!UR61,SJ61="Supramax",UK61,SJ61="Panamax",UD61,SJ61="NeoPanamax",TW61,SJ61="Suezmax",TP61,SJ61="Capesize",TI61,SJ61="VLOC",TB61),$UU$7:$UY$7,0)))</f>
        <v>#NAME?</v>
      </c>
      <c r="YZ61" s="71" t="e">
        <f t="shared" ca="1" si="482"/>
        <v>#NAME?</v>
      </c>
      <c r="ZA61" s="71" t="e">
        <f t="shared" ca="1" si="483"/>
        <v>#NAME?</v>
      </c>
      <c r="ZB61" s="281" t="e">
        <f t="shared" ca="1" si="484"/>
        <v>#NAME?</v>
      </c>
      <c r="ZC61" s="71" t="e">
        <f t="shared" ca="1" si="485"/>
        <v>#NAME?</v>
      </c>
      <c r="ZD61" s="71" t="e">
        <f t="shared" ca="1" si="486"/>
        <v>#NAME?</v>
      </c>
      <c r="ZE61" s="71" t="e">
        <f t="shared" ca="1" si="487"/>
        <v>#NAME?</v>
      </c>
      <c r="ZF61" s="71" t="e">
        <f t="shared" ca="1" si="488"/>
        <v>#NAME?</v>
      </c>
      <c r="ZG61" s="71" t="e">
        <f t="shared" ca="1" si="489"/>
        <v>#NAME?</v>
      </c>
      <c r="ZH61" s="71" t="e">
        <f t="shared" ca="1" si="490"/>
        <v>#NAME?</v>
      </c>
      <c r="ZI61" s="71" t="e">
        <f t="shared" ca="1" si="491"/>
        <v>#NAME?</v>
      </c>
      <c r="ZJ61" s="71" t="e">
        <f t="shared" ca="1" si="492"/>
        <v>#NAME?</v>
      </c>
      <c r="ZK61" s="71" t="e">
        <f t="shared" ca="1" si="493"/>
        <v>#NAME?</v>
      </c>
      <c r="ZL61" s="71" t="e">
        <f t="shared" ca="1" si="494"/>
        <v>#NAME?</v>
      </c>
      <c r="ZM61" s="71" t="e">
        <f t="shared" ca="1" si="495"/>
        <v>#NAME?</v>
      </c>
      <c r="ZN61" s="71" t="e">
        <f t="shared" ca="1" si="496"/>
        <v>#NAME?</v>
      </c>
      <c r="ZO61" s="72" t="e">
        <f t="shared" ca="1" si="497"/>
        <v>#NAME?</v>
      </c>
      <c r="ZP61" s="72" t="e">
        <f t="shared" ca="1" si="498"/>
        <v>#NAME?</v>
      </c>
      <c r="ZQ61" s="71" t="e">
        <f t="shared" ca="1" si="499"/>
        <v>#NAME?</v>
      </c>
      <c r="ZR61" s="71" t="e">
        <f t="array" aca="1" ref="ZR61" ca="1">IF(YK61=0,0,INDEX('Ship Time Charter Rates'!$H$22:$H$1021,MATCH(2,1/(('Ship Time Charter Rates'!$G$22:$G$1021=_xlfn.IFS(SJ61="Handysize",Main!UO61,SJ61="Supramax",UH61,SJ61="Panamax",UA61,SJ61="NeoPanamax",TT61,SJ61="Suezmax",TM61,SJ61="Capesize",TF61,SJ61="VLOC",SY61))*('Ship Time Charter Rates'!$E$22:$E$1021&lt;=Main!$C61)*(NOT(ISBLANK('Ship Time Charter Rates'!$H$22:$H$1021)))))))</f>
        <v>#NAME?</v>
      </c>
      <c r="ZS61" s="71" t="e">
        <f t="shared" ca="1" si="500"/>
        <v>#NAME?</v>
      </c>
      <c r="ZT61" s="70" t="e">
        <f t="shared" ca="1" si="501"/>
        <v>#NAME?</v>
      </c>
      <c r="ZU61" s="71" t="e">
        <f t="shared" ca="1" si="502"/>
        <v>#NAME?</v>
      </c>
      <c r="ZV61" s="71" t="e">
        <f t="shared" ca="1" si="503"/>
        <v>#NAME?</v>
      </c>
      <c r="ZW61" s="72" t="e">
        <f t="shared" ca="1" si="504"/>
        <v>#NAME?</v>
      </c>
      <c r="ZY61" s="287" t="s">
        <v>39</v>
      </c>
      <c r="AAA61" s="25">
        <f t="shared" si="672"/>
        <v>83815.825751309632</v>
      </c>
      <c r="AAB61" s="4" t="str">
        <f>VLOOKUP(AAA61,'Ship Time Charter Rates'!$F$10:$G$17,2,TRUE)</f>
        <v>Panamax</v>
      </c>
      <c r="AAC61" s="4" t="str">
        <f>VLOOKUP(AAA61,Canals!$E$5:$F$12,2,TRUE)</f>
        <v>Panamax</v>
      </c>
      <c r="AAD61" s="25">
        <f t="shared" si="505"/>
        <v>219.06121588089329</v>
      </c>
      <c r="AAE61" s="25">
        <f t="shared" si="506"/>
        <v>33811.3041080783</v>
      </c>
      <c r="AAF61" s="25">
        <f t="shared" si="507"/>
        <v>48289.031982354572</v>
      </c>
      <c r="AAH61" s="75">
        <f t="array" ref="AAH61">INDEX('Indices Mines Exporting Ports'!$R$20:$R$51,MATCH(2,1/(('Indices Mines Exporting Ports'!$D$20:$D$51&lt;=Main!$C61)*('Indices Mines Exporting Ports'!$Q$20:$Q$51=$AP61))))</f>
        <v>30000</v>
      </c>
      <c r="AAI61" s="75">
        <f t="array" ref="AAI61">INDEX('Indices Mines Exporting Ports'!$S$20:$S$51,MATCH(2,1/(('Indices Mines Exporting Ports'!$D$20:$D$51&lt;=Main!$C61)*('Indices Mines Exporting Ports'!$Q$20:$Q$51=$AP61))))</f>
        <v>30000</v>
      </c>
      <c r="AAJ61" s="75">
        <f t="array" ref="AAJ61">INDEX('Indices Mines Exporting Ports'!$T$20:$T$51,MATCH(2,1/(('Indices Mines Exporting Ports'!$D$20:$D$51&lt;=Main!$C61)*('Indices Mines Exporting Ports'!$Q$20:$Q$51=$AP61))))</f>
        <v>30000</v>
      </c>
      <c r="AAK61" s="75">
        <f t="array" ref="AAK61">INDEX('Indices Mines Exporting Ports'!$U$20:$U$51,MATCH(2,1/(('Indices Mines Exporting Ports'!$D$20:$D$51&lt;=Main!$C61)*('Indices Mines Exporting Ports'!$Q$20:$Q$51=$AP61))))</f>
        <v>30000</v>
      </c>
      <c r="AAL61" s="75">
        <f t="array" ref="AAL61">INDEX('Indices Mines Exporting Ports'!$V$20:$V$51,MATCH(2,1/(('Indices Mines Exporting Ports'!$D$20:$D$51&lt;=Main!$C61)*('Indices Mines Exporting Ports'!$Q$20:$Q$51=$AP61))))</f>
        <v>30000</v>
      </c>
      <c r="AAM61" s="75">
        <f t="array" ref="AAM61">INDEX('Indices Mines Exporting Ports'!$W$20:$W$51,MATCH(2,1/(('Indices Mines Exporting Ports'!$D$20:$D$51&lt;=Main!$C61)*('Indices Mines Exporting Ports'!$Q$20:$Q$51=$AP61))))</f>
        <v>30000</v>
      </c>
      <c r="AAN61" s="75">
        <f t="array" ref="AAN61">INDEX('Indices Mines Exporting Ports'!$X$20:$X$51,MATCH(2,1/(('Indices Mines Exporting Ports'!$D$20:$D$51&lt;=Main!$C61)*('Indices Mines Exporting Ports'!$Q$20:$Q$51=$AP61))))</f>
        <v>30000</v>
      </c>
      <c r="AAP61" s="75">
        <f t="array" ref="AAP61">INDEX('Port Linkages'!$E$18:$E$157,MATCH(2,1/(('Port Linkages'!$C$18:$C$157=$AP61)*('Port Linkages'!$D$18:$D$157=IF($AO61="Yes",$AQ61,$KK61))*('Port Linkages'!$A$18:$A$157&lt;=$C61))))</f>
        <v>5100</v>
      </c>
      <c r="AAQ61" s="75">
        <f t="array" ref="AAQ61">INDEX('Port Linkages'!$F$18:$F$157,MATCH(2,1/(('Port Linkages'!$C$18:$C$157=$AP61)*('Port Linkages'!$D$18:$D$157=IF($AO61="Yes",$AQ61,$KK61))*('Port Linkages'!$A$18:$A$157&lt;=$C61))))</f>
        <v>0</v>
      </c>
      <c r="AAR61" s="75" t="str">
        <f t="array" ref="AAR61">INDEX('Port Linkages'!$G$18:$G$157,MATCH(2,1/(('Port Linkages'!$C$18:$C$157=$AP61)*('Port Linkages'!$D$18:$D$157=IF($AO61="Yes",$AQ61,$KK61))*('Port Linkages'!$A$18:$A$157&lt;=$C61))))</f>
        <v>VLOC_General</v>
      </c>
      <c r="AAS61" s="75" t="str">
        <f t="array" ref="AAS61">INDEX('Port Linkages'!$H$18:$H$157,MATCH(2,1/(('Port Linkages'!$C$18:$C$157=$AP61)*('Port Linkages'!$D$18:$D$157=IF($AO61="Yes",$AQ61,$KK61))*('Port Linkages'!$A$18:$A$157&lt;=$C61))))</f>
        <v>Singapore</v>
      </c>
      <c r="AAT61" s="75" t="str">
        <f t="array" ref="AAT61">INDEX('Port Linkages'!$I$18:$I$157,MATCH(2,1/(('Port Linkages'!$C$18:$C$157=$AP61)*('Port Linkages'!$D$18:$D$157=IF($AO61="Yes",$AQ61,$KK61))*('Port Linkages'!$A$18:$A$157&lt;=$C61))))</f>
        <v>VLSFO</v>
      </c>
      <c r="AAU61" s="75" t="str">
        <f t="array" ref="AAU61">INDEX('Port Linkages'!$J$18:$J$157,MATCH(2,1/(('Port Linkages'!$C$18:$C$157=$AP61)*('Port Linkages'!$D$18:$D$157=IF($AO61="Yes",$AQ61,$KK61))*('Port Linkages'!$A$18:$A$157&lt;=$C61))))</f>
        <v>MGO_Regular</v>
      </c>
      <c r="AAV61" s="75" t="str">
        <f t="array" ref="AAV61">INDEX('Port Linkages'!$K$18:$K$157,MATCH(2,1/(('Port Linkages'!$C$18:$C$157=$AP61)*('Port Linkages'!$D$18:$D$157=IF($AO61="Yes",$AQ61,$KK61))*('Port Linkages'!$A$18:$A$157&lt;=$C61))))</f>
        <v>none</v>
      </c>
      <c r="AAW61" s="75">
        <f t="array" ref="AAW61">INDEX('Port Linkages'!$L$18:$L$157,MATCH(2,1/(('Port Linkages'!$C$18:$C$157=$AP61)*('Port Linkages'!$D$18:$D$157=IF($AO61="Yes",$AQ61,$KK61))*('Port Linkages'!$A$18:$A$157&lt;=$C61))))</f>
        <v>5100</v>
      </c>
      <c r="AAX61" s="75">
        <f t="array" ref="AAX61">INDEX('Port Linkages'!$M$18:$M$157,MATCH(2,1/(('Port Linkages'!$C$18:$C$157=$AP61)*('Port Linkages'!$D$18:$D$157=IF($AO61="Yes",$AQ61,$KK61))*('Port Linkages'!$A$18:$A$157&lt;=$C61))))</f>
        <v>0</v>
      </c>
      <c r="AAY61" s="75" t="str">
        <f t="array" ref="AAY61">INDEX('Port Linkages'!$N$18:$N$157,MATCH(2,1/(('Port Linkages'!$C$18:$C$157=$AP61)*('Port Linkages'!$D$18:$D$157=IF($AO61="Yes",$AQ61,$KK61))*('Port Linkages'!$A$18:$A$157&lt;=$C61))))</f>
        <v>Capesize_General</v>
      </c>
      <c r="AAZ61" s="75" t="str">
        <f t="array" ref="AAZ61">INDEX('Port Linkages'!$O$18:$O$157,MATCH(2,1/(('Port Linkages'!$C$18:$C$157=$AP61)*('Port Linkages'!$D$18:$D$157=IF($AO61="Yes",$AQ61,$KK61))*('Port Linkages'!$A$18:$A$157&lt;=$C61))))</f>
        <v>Singapore</v>
      </c>
      <c r="ABA61" s="75" t="str">
        <f t="array" ref="ABA61">INDEX('Port Linkages'!$P$18:$P$157,MATCH(2,1/(('Port Linkages'!$C$18:$C$157=$AP61)*('Port Linkages'!$D$18:$D$157=IF($AO61="Yes",$AQ61,$KK61))*('Port Linkages'!$A$18:$A$157&lt;=$C61))))</f>
        <v>VLSFO</v>
      </c>
      <c r="ABB61" s="75" t="str">
        <f t="array" ref="ABB61">INDEX('Port Linkages'!$Q$18:$Q$157,MATCH(2,1/(('Port Linkages'!$C$18:$C$157=$AP61)*('Port Linkages'!$D$18:$D$157=IF($AO61="Yes",$AQ61,$KK61))*('Port Linkages'!$A$18:$A$157&lt;=$C61))))</f>
        <v>MGO_Regular</v>
      </c>
      <c r="ABC61" s="75" t="str">
        <f t="array" ref="ABC61">INDEX('Port Linkages'!$R$18:$R$157,MATCH(2,1/(('Port Linkages'!$C$18:$C$157=$AP61)*('Port Linkages'!$D$18:$D$157=IF($AO61="Yes",$AQ61,$KK61))*('Port Linkages'!$A$18:$A$157&lt;=$C61))))</f>
        <v>none</v>
      </c>
      <c r="ABD61" s="75">
        <f t="array" ref="ABD61">INDEX('Port Linkages'!$S$18:$S$157,MATCH(2,1/(('Port Linkages'!$C$18:$C$157=$AP61)*('Port Linkages'!$D$18:$D$157=IF($AO61="Yes",$AQ61,$KK61))*('Port Linkages'!$A$18:$A$157&lt;=$C61))))</f>
        <v>5100</v>
      </c>
      <c r="ABE61" s="75">
        <f t="array" ref="ABE61">INDEX('Port Linkages'!$T$18:$T$157,MATCH(2,1/(('Port Linkages'!$C$18:$C$157=$AP61)*('Port Linkages'!$D$18:$D$157=IF($AO61="Yes",$AQ61,$KK61))*('Port Linkages'!$A$18:$A$157&lt;=$C61))))</f>
        <v>0</v>
      </c>
      <c r="ABF61" s="75" t="str">
        <f t="array" ref="ABF61">INDEX('Port Linkages'!$U$18:$U$157,MATCH(2,1/(('Port Linkages'!$C$18:$C$157=$AP61)*('Port Linkages'!$D$18:$D$157=IF($AO61="Yes",$AQ61,$KK61))*('Port Linkages'!$A$18:$A$157&lt;=$C61))))</f>
        <v>Capesize_General</v>
      </c>
      <c r="ABG61" s="75" t="str">
        <f t="array" ref="ABG61">INDEX('Port Linkages'!$V$18:$V$157,MATCH(2,1/(('Port Linkages'!$C$18:$C$157=$AP61)*('Port Linkages'!$D$18:$D$157=IF($AO61="Yes",$AQ61,$KK61))*('Port Linkages'!$A$18:$A$157&lt;=$C61))))</f>
        <v>Singapore</v>
      </c>
      <c r="ABH61" s="75" t="str">
        <f t="array" ref="ABH61">INDEX('Port Linkages'!$W$18:$W$157,MATCH(2,1/(('Port Linkages'!$C$18:$C$157=$AP61)*('Port Linkages'!$D$18:$D$157=IF($AO61="Yes",$AQ61,$KK61))*('Port Linkages'!$A$18:$A$157&lt;=$C61))))</f>
        <v>VLSFO</v>
      </c>
      <c r="ABI61" s="75" t="str">
        <f t="array" ref="ABI61">INDEX('Port Linkages'!$X$18:$X$157,MATCH(2,1/(('Port Linkages'!$C$18:$C$157=$AP61)*('Port Linkages'!$D$18:$D$157=IF($AO61="Yes",$AQ61,$KK61))*('Port Linkages'!$A$18:$A$157&lt;=$C61))))</f>
        <v>MGO_Regular</v>
      </c>
      <c r="ABJ61" s="75" t="str">
        <f t="array" ref="ABJ61">INDEX('Port Linkages'!$Y$18:$Y$157,MATCH(2,1/(('Port Linkages'!$C$18:$C$157=$AP61)*('Port Linkages'!$D$18:$D$157=IF($AO61="Yes",$AQ61,$KK61))*('Port Linkages'!$A$18:$A$157&lt;=$C61))))</f>
        <v>none</v>
      </c>
      <c r="ABK61" s="75">
        <f t="array" ref="ABK61">INDEX('Port Linkages'!$Z$18:$Z$157,MATCH(2,1/(('Port Linkages'!$C$18:$C$157=$AP61)*('Port Linkages'!$D$18:$D$157=IF($AO61="Yes",$AQ61,$KK61))*('Port Linkages'!$A$18:$A$157&lt;=$C61))))</f>
        <v>5100</v>
      </c>
      <c r="ABL61" s="75">
        <f t="array" ref="ABL61">INDEX('Port Linkages'!$AA$18:$AA$157,MATCH(2,1/(('Port Linkages'!$C$18:$C$157=$AP61)*('Port Linkages'!$D$18:$D$157=IF($AO61="Yes",$AQ61,$KK61))*('Port Linkages'!$A$18:$A$157&lt;=$C61))))</f>
        <v>0</v>
      </c>
      <c r="ABM61" s="75" t="str">
        <f t="array" ref="ABM61">INDEX('Port Linkages'!$AB$18:$AB$157,MATCH(2,1/(('Port Linkages'!$C$18:$C$157=$AP61)*('Port Linkages'!$D$18:$D$157=IF($AO61="Yes",$AQ61,$KK61))*('Port Linkages'!$A$18:$A$157&lt;=$C61))))</f>
        <v>Capesize_General</v>
      </c>
      <c r="ABN61" s="75" t="str">
        <f t="array" ref="ABN61">INDEX('Port Linkages'!$AC$18:$AC$157,MATCH(2,1/(('Port Linkages'!$C$18:$C$157=$AP61)*('Port Linkages'!$D$18:$D$157=IF($AO61="Yes",$AQ61,$KK61))*('Port Linkages'!$A$18:$A$157&lt;=$C61))))</f>
        <v>Singapore</v>
      </c>
      <c r="ABO61" s="75" t="str">
        <f t="array" ref="ABO61">INDEX('Port Linkages'!$AD$18:$AD$157,MATCH(2,1/(('Port Linkages'!$C$18:$C$157=$AP61)*('Port Linkages'!$D$18:$D$157=IF($AO61="Yes",$AQ61,$KK61))*('Port Linkages'!$A$18:$A$157&lt;=$C61))))</f>
        <v>VLSFO</v>
      </c>
      <c r="ABP61" s="75" t="str">
        <f t="array" ref="ABP61">INDEX('Port Linkages'!$AE$18:$AE$157,MATCH(2,1/(('Port Linkages'!$C$18:$C$157=$AP61)*('Port Linkages'!$D$18:$D$157=IF($AO61="Yes",$AQ61,$KK61))*('Port Linkages'!$A$18:$A$157&lt;=$C61))))</f>
        <v>MGO_Regular</v>
      </c>
      <c r="ABQ61" s="75" t="str">
        <f t="array" ref="ABQ61">INDEX('Port Linkages'!$AF$18:$AF$157,MATCH(2,1/(('Port Linkages'!$C$18:$C$157=$AP61)*('Port Linkages'!$D$18:$D$157=IF($AO61="Yes",$AQ61,$KK61))*('Port Linkages'!$A$18:$A$157&lt;=$C61))))</f>
        <v>none</v>
      </c>
      <c r="ABR61" s="75">
        <f t="array" ref="ABR61">INDEX('Port Linkages'!$AG$18:$AG$157,MATCH(2,1/(('Port Linkages'!$C$18:$C$157=$AP61)*('Port Linkages'!$D$18:$D$157=IF($AO61="Yes",$AQ61,$KK61))*('Port Linkages'!$A$18:$A$157&lt;=$C61))))</f>
        <v>5100</v>
      </c>
      <c r="ABS61" s="75">
        <f t="array" ref="ABS61">INDEX('Port Linkages'!$AH$18:$AH$157,MATCH(2,1/(('Port Linkages'!$C$18:$C$157=$AP61)*('Port Linkages'!$D$18:$D$157=IF($AO61="Yes",$AQ61,$KK61))*('Port Linkages'!$A$18:$A$157&lt;=$C61))))</f>
        <v>0</v>
      </c>
      <c r="ABT61" s="75" t="str">
        <f t="array" ref="ABT61">INDEX('Port Linkages'!$AI$18:$AI$157,MATCH(2,1/(('Port Linkages'!$C$18:$C$157=$AP61)*('Port Linkages'!$D$18:$D$157=IF($AO61="Yes",$AQ61,$KK61))*('Port Linkages'!$A$18:$A$157&lt;=$C61))))</f>
        <v>Panamax_General</v>
      </c>
      <c r="ABU61" s="75" t="str">
        <f t="array" ref="ABU61">INDEX('Port Linkages'!$AJ$18:$AJ$157,MATCH(2,1/(('Port Linkages'!$C$18:$C$157=$AP61)*('Port Linkages'!$D$18:$D$157=IF($AO61="Yes",$AQ61,$KK61))*('Port Linkages'!$A$18:$A$157&lt;=$C61))))</f>
        <v>Singapore</v>
      </c>
      <c r="ABV61" s="75" t="str">
        <f t="array" ref="ABV61">INDEX('Port Linkages'!$AK$18:$AK$157,MATCH(2,1/(('Port Linkages'!$C$18:$C$157=$AP61)*('Port Linkages'!$D$18:$D$157=IF($AO61="Yes",$AQ61,$KK61))*('Port Linkages'!$A$18:$A$157&lt;=$C61))))</f>
        <v>VLSFO</v>
      </c>
      <c r="ABW61" s="75" t="str">
        <f t="array" ref="ABW61">INDEX('Port Linkages'!$AL$18:$AL$157,MATCH(2,1/(('Port Linkages'!$C$18:$C$157=$AP61)*('Port Linkages'!$D$18:$D$157=IF($AO61="Yes",$AQ61,$KK61))*('Port Linkages'!$A$18:$A$157&lt;=$C61))))</f>
        <v>MGO_Regular</v>
      </c>
      <c r="ABX61" s="75" t="str">
        <f t="array" ref="ABX61">INDEX('Port Linkages'!$AM$18:$AM$157,MATCH(2,1/(('Port Linkages'!$C$18:$C$157=$AP61)*('Port Linkages'!$D$18:$D$157=IF($AO61="Yes",$AQ61,$KK61))*('Port Linkages'!$A$18:$A$157&lt;=$C61))))</f>
        <v>none</v>
      </c>
      <c r="ABY61" s="75">
        <f t="array" ref="ABY61">INDEX('Port Linkages'!$AN$18:$AN$157,MATCH(2,1/(('Port Linkages'!$C$18:$C$157=$AP61)*('Port Linkages'!$D$18:$D$157=IF($AO61="Yes",$AQ61,$KK61))*('Port Linkages'!$A$18:$A$157&lt;=$C61))))</f>
        <v>5100</v>
      </c>
      <c r="ABZ61" s="75">
        <f t="array" ref="ABZ61">INDEX('Port Linkages'!$AO$18:$AO$157,MATCH(2,1/(('Port Linkages'!$C$18:$C$157=$AP61)*('Port Linkages'!$D$18:$D$157=IF($AO61="Yes",$AQ61,$KK61))*('Port Linkages'!$A$18:$A$157&lt;=$C61))))</f>
        <v>0</v>
      </c>
      <c r="ACA61" s="75" t="str">
        <f t="array" ref="ACA61">INDEX('Port Linkages'!$AP$18:$AP$157,MATCH(2,1/(('Port Linkages'!$C$18:$C$157=$AP61)*('Port Linkages'!$D$18:$D$157=IF($AO61="Yes",$AQ61,$KK61))*('Port Linkages'!$A$18:$A$157&lt;=$C61))))</f>
        <v>Supramax_General</v>
      </c>
      <c r="ACB61" s="75" t="str">
        <f t="array" ref="ACB61">INDEX('Port Linkages'!$AQ$18:$AQ$157,MATCH(2,1/(('Port Linkages'!$C$18:$C$157=$AP61)*('Port Linkages'!$D$18:$D$157=IF($AO61="Yes",$AQ61,$KK61))*('Port Linkages'!$A$18:$A$157&lt;=$C61))))</f>
        <v>Singapore</v>
      </c>
      <c r="ACC61" s="75" t="str">
        <f t="array" ref="ACC61">INDEX('Port Linkages'!$AR$18:$AR$157,MATCH(2,1/(('Port Linkages'!$C$18:$C$157=$AP61)*('Port Linkages'!$D$18:$D$157=IF($AO61="Yes",$AQ61,$KK61))*('Port Linkages'!$A$18:$A$157&lt;=$C61))))</f>
        <v>VLSFO</v>
      </c>
      <c r="ACD61" s="75" t="str">
        <f t="array" ref="ACD61">INDEX('Port Linkages'!$AS$18:$AS$157,MATCH(2,1/(('Port Linkages'!$C$18:$C$157=$AP61)*('Port Linkages'!$D$18:$D$157=IF($AO61="Yes",$AQ61,$KK61))*('Port Linkages'!$A$18:$A$157&lt;=$C61))))</f>
        <v>MGO_Regular</v>
      </c>
      <c r="ACE61" s="75" t="str">
        <f t="array" ref="ACE61">INDEX('Port Linkages'!$AT$18:$AT$157,MATCH(2,1/(('Port Linkages'!$C$18:$C$157=$AP61)*('Port Linkages'!$D$18:$D$157=IF($AO61="Yes",$AQ61,$KK61))*('Port Linkages'!$A$18:$A$157&lt;=$C61))))</f>
        <v>none</v>
      </c>
      <c r="ACF61" s="75">
        <f t="array" ref="ACF61">INDEX('Port Linkages'!$AU$18:$AU$157,MATCH(2,1/(('Port Linkages'!$C$18:$C$157=$AP61)*('Port Linkages'!$D$18:$D$157=IF($AO61="Yes",$AQ61,$KK61))*('Port Linkages'!$A$18:$A$157&lt;=$C61))))</f>
        <v>5100</v>
      </c>
      <c r="ACG61" s="75">
        <f t="array" ref="ACG61">INDEX('Port Linkages'!$AV$18:$AV$157,MATCH(2,1/(('Port Linkages'!$C$18:$C$157=$AP61)*('Port Linkages'!$D$18:$D$157=IF($AO61="Yes",$AQ61,$KK61))*('Port Linkages'!$A$18:$A$157&lt;=$C61))))</f>
        <v>0</v>
      </c>
      <c r="ACH61" s="75" t="str">
        <f t="array" ref="ACH61">INDEX('Port Linkages'!$AW$18:$AW$157,MATCH(2,1/(('Port Linkages'!$C$18:$C$157=$AP61)*('Port Linkages'!$D$18:$D$157=IF($AO61="Yes",$AQ61,$KK61))*('Port Linkages'!$A$18:$A$157&lt;=$C61))))</f>
        <v>Handysize_General</v>
      </c>
      <c r="ACI61" s="75" t="str">
        <f t="array" ref="ACI61">INDEX('Port Linkages'!$AX$18:$AX$157,MATCH(2,1/(('Port Linkages'!$C$18:$C$157=$AP61)*('Port Linkages'!$D$18:$D$157=IF($AO61="Yes",$AQ61,$KK61))*('Port Linkages'!$A$18:$A$157&lt;=$C61))))</f>
        <v>Singapore</v>
      </c>
      <c r="ACJ61" s="75" t="str">
        <f t="array" ref="ACJ61">INDEX('Port Linkages'!$AY$18:$AY$157,MATCH(2,1/(('Port Linkages'!$C$18:$C$157=$AP61)*('Port Linkages'!$D$18:$D$157=IF($AO61="Yes",$AQ61,$KK61))*('Port Linkages'!$A$18:$A$157&lt;=$C61))))</f>
        <v>VLSFO</v>
      </c>
      <c r="ACK61" s="75" t="str">
        <f t="array" ref="ACK61">INDEX('Port Linkages'!$AZ$18:$AZ$157,MATCH(2,1/(('Port Linkages'!$C$18:$C$157=$AP61)*('Port Linkages'!$D$18:$D$157=IF($AO61="Yes",$AQ61,$KK61))*('Port Linkages'!$A$18:$A$157&lt;=$C61))))</f>
        <v>MGO_Regular</v>
      </c>
      <c r="ACL61" s="75" t="str">
        <f t="array" ref="ACL61">INDEX('Port Linkages'!$BA$18:$BA$157,MATCH(2,1/(('Port Linkages'!$C$18:$C$157=$AP61)*('Port Linkages'!$D$18:$D$157=IF($AO61="Yes",$AQ61,$KK61))*('Port Linkages'!$A$18:$A$157&lt;=$C61))))</f>
        <v>none</v>
      </c>
      <c r="ACN61" s="25" t="e">
        <f t="array" aca="1" ref="ACN61" ca="1">INDEX('Ship Fuel Prices'!$F$5:$F$1004,MATCH(2,1/(('Ship Fuel Prices'!$E$5:$E$1004=_xlfn.IFS(AAC61="Handysize",Main!ACI61,AAC61="Supramax",ACB61,AAC61="Panamax",ABU61,AAC61="NeoPanamax",ABN61,AAC61="Suezmax",ABG61,AAC61="Capesize",AAZ61,AAC61="VLOC",AAS61))*('Ship Fuel Prices'!$D$5:$D$1004&lt;=Main!$C61))))</f>
        <v>#N/A</v>
      </c>
      <c r="ACO61" s="25" t="e">
        <f t="array" aca="1" ref="ACO61" ca="1">INDEX('Ship Fuel Prices'!$G$5:$G$1004,MATCH(2,1/(('Ship Fuel Prices'!$E$5:$E$1004=_xlfn.IFS(AAC61="Handysize",Main!ACI61,AAC61="Supramax",ACB61,AAC61="Panamax",ABU61,AAC61="NeoPanamax",ABN61,AAC61="Suezmax",ABG61,AAC61="Capesize",AAZ61,AAC61="VLOC",AAS61))*('Ship Fuel Prices'!$D$5:$D$1004&lt;=Main!$C61))))</f>
        <v>#N/A</v>
      </c>
      <c r="ACP61" s="25" t="e">
        <f t="array" aca="1" ref="ACP61" ca="1">INDEX('Ship Fuel Prices'!$H$5:$H$1004,MATCH(2,1/(('Ship Fuel Prices'!$E$5:$E$1004=_xlfn.IFS(AAC61="Handysize",Main!ACI61,AAC61="Supramax",ACB61,AAC61="Panamax",ABU61,AAC61="NeoPanamax",ABN61,AAC61="Suezmax",ABG61,AAC61="Capesize",AAZ61,AAC61="VLOC",AAS61))*('Ship Fuel Prices'!$D$5:$D$1004&lt;=Main!$C61))))</f>
        <v>#N/A</v>
      </c>
      <c r="ACQ61" s="25" t="e">
        <f t="array" aca="1" ref="ACQ61" ca="1">INDEX('Ship Fuel Prices'!$I$5:$I$1004,MATCH(2,1/(('Ship Fuel Prices'!$E$5:$E$1004=_xlfn.IFS(AAC61="Handysize",Main!ACI61,AAC61="Supramax",ACB61,AAC61="Panamax",ABU61,AAC61="NeoPanamax",ABN61,AAC61="Suezmax",ABG61,AAC61="Capesize",AAZ61,AAC61="VLOC",AAS61))*('Ship Fuel Prices'!$D$5:$D$1004&lt;=Main!$C61))))</f>
        <v>#N/A</v>
      </c>
      <c r="ACR61" s="25" t="e">
        <f t="array" aca="1" ref="ACR61" ca="1">INDEX('Ship Fuel Prices'!$J$5:$J$1004,MATCH(2,1/(('Ship Fuel Prices'!$E$5:$E$1004=_xlfn.IFS(AAC61="Handysize",Main!ACI61,AAC61="Supramax",ACB61,AAC61="Panamax",ABU61,AAC61="NeoPanamax",ABN61,AAC61="Suezmax",ABG61,AAC61="Capesize",AAZ61,AAC61="VLOC",AAS61))*('Ship Fuel Prices'!$D$5:$D$1004&lt;=Main!$C61))))</f>
        <v>#N/A</v>
      </c>
      <c r="ACT61" s="75">
        <f t="array" ref="ACT61">INDEX('China n Importing Ports'!$E$20:$E$41,MATCH(2,1/(('China n Importing Ports'!$D$20:$D$41&lt;=$C61)*('China n Importing Ports'!$C$20:$C$41=IF($AO61="Yes",$AQ61,$KK61)))))</f>
        <v>42500</v>
      </c>
      <c r="ACU61" s="75">
        <f t="array" ref="ACU61">INDEX('China n Importing Ports'!$F$20:$F$41,MATCH(2,1/(('China n Importing Ports'!$D$20:$D$41&lt;=$C61)*('China n Importing Ports'!$C$20:$C$41=IF($AO61="Yes",$AQ61,$KK61)))))</f>
        <v>42500</v>
      </c>
      <c r="ACV61" s="75">
        <f t="array" ref="ACV61">INDEX('China n Importing Ports'!$G$20:$G$41,MATCH(2,1/(('China n Importing Ports'!$D$20:$D$41&lt;=$C61)*('China n Importing Ports'!$C$20:$C$41=IF($AO61="Yes",$AQ61,$KK61)))))</f>
        <v>42500</v>
      </c>
      <c r="ACW61" s="75">
        <f t="array" ref="ACW61">INDEX('China n Importing Ports'!$H$20:$H$41,MATCH(2,1/(('China n Importing Ports'!$D$20:$D$41&lt;=$C61)*('China n Importing Ports'!$C$20:$C$41=IF($AO61="Yes",$AQ61,$KK61)))))</f>
        <v>42500</v>
      </c>
      <c r="ACX61" s="75">
        <f t="array" ref="ACX61">INDEX('China n Importing Ports'!$I$20:$I$41,MATCH(2,1/(('China n Importing Ports'!$D$20:$D$41&lt;=$C61)*('China n Importing Ports'!$C$20:$C$41=IF($AO61="Yes",$AQ61,$KK61)))))</f>
        <v>42500</v>
      </c>
      <c r="ACY61" s="75">
        <f t="array" ref="ACY61">INDEX('China n Importing Ports'!$J$20:$J$41,MATCH(2,1/(('China n Importing Ports'!$D$20:$D$41&lt;=$C61)*('China n Importing Ports'!$C$20:$C$41=IF($AO61="Yes",$AQ61,$KK61)))))</f>
        <v>42500</v>
      </c>
      <c r="ACZ61" s="75">
        <f t="array" ref="ACZ61">INDEX('China n Importing Ports'!$K$20:$K$41,MATCH(2,1/(('China n Importing Ports'!$D$20:$D$41&lt;=$C61)*('China n Importing Ports'!$C$20:$C$41=IF($AO61="Yes",$AQ61,$KK61)))))</f>
        <v>42500</v>
      </c>
      <c r="ADA61" s="75" t="str">
        <f t="array" ref="ADA61">INDEX('China n Importing Ports'!$L$20:$L$41,MATCH(2,1/(('China n Importing Ports'!$D$20:$D$41&lt;=$C61)*('China n Importing Ports'!$C$20:$C$41=IF($AO61="Yes",$AQ61,$KK61)))))</f>
        <v>RMB</v>
      </c>
      <c r="ADB61" s="75">
        <f t="array" ref="ADB61">INDEX('China n Importing Ports'!$M$20:$M$41,MATCH(2,1/(('China n Importing Ports'!$D$20:$D$41&lt;=$C61)*('China n Importing Ports'!$C$20:$C$41=IF($AO61="Yes",$AQ61,$KK61)))))</f>
        <v>12342</v>
      </c>
      <c r="ADC61" s="75">
        <f t="array" ref="ADC61">INDEX('China n Importing Ports'!$N$20:$N$41,MATCH(2,1/(('China n Importing Ports'!$D$20:$D$41&lt;=$C61)*('China n Importing Ports'!$C$20:$C$41=IF($AO61="Yes",$AQ61,$KK61)))))</f>
        <v>0</v>
      </c>
      <c r="ADD61" s="75">
        <f t="array" ref="ADD61">INDEX('China n Importing Ports'!$O$20:$O$41,MATCH(2,1/(('China n Importing Ports'!$D$20:$D$41&lt;=$C61)*('China n Importing Ports'!$C$20:$C$41=IF($AO61="Yes",$AQ61,$KK61)))))</f>
        <v>0</v>
      </c>
      <c r="ADE61" s="136">
        <f t="array" ref="ADE61">INDEX('China n Importing Ports'!$P$20:$P$41,MATCH(2,1/(('China n Importing Ports'!$D$20:$D$41&lt;=$C61)*('China n Importing Ports'!$C$20:$C$41=IF($AO61="Yes",$AQ61,$KK61)))))</f>
        <v>2.64</v>
      </c>
      <c r="ADF61" s="136">
        <f t="array" ref="ADF61">INDEX('China n Importing Ports'!$Q$20:$Q$41,MATCH(2,1/(('China n Importing Ports'!$D$20:$D$41&lt;=$C61)*('China n Importing Ports'!$C$20:$C$41=IF($AO61="Yes",$AQ61,$KK61)))))</f>
        <v>0</v>
      </c>
      <c r="ADG61" s="136">
        <f t="array" ref="ADG61">INDEX('China n Importing Ports'!$R$20:$R$41,MATCH(2,1/(('China n Importing Ports'!$D$20:$D$41&lt;=$C61)*('China n Importing Ports'!$C$20:$C$41=IF($AO61="Yes",$AQ61,$KK61)))))</f>
        <v>0</v>
      </c>
      <c r="ADH61" s="136">
        <f t="array" ref="ADH61">INDEX('China n Importing Ports'!$S$20:$S$41,MATCH(2,1/(('China n Importing Ports'!$D$20:$D$41&lt;=$C61)*('China n Importing Ports'!$C$20:$C$41=IF($AO61="Yes",$AQ61,$KK61)))))</f>
        <v>4.53</v>
      </c>
      <c r="ADI61" s="136">
        <f t="array" ref="ADI61">INDEX('China n Importing Ports'!$T$20:$T$41,MATCH(2,1/(('China n Importing Ports'!$D$20:$D$41&lt;=$C61)*('China n Importing Ports'!$C$20:$C$41=IF($AO61="Yes",$AQ61,$KK61)))))</f>
        <v>0.36699999999999999</v>
      </c>
      <c r="ADJ61" s="136">
        <f t="array" ref="ADJ61">INDEX('China n Importing Ports'!$U$20:$U$41,MATCH(2,1/(('China n Importing Ports'!$D$20:$D$41&lt;=$C61)*('China n Importing Ports'!$C$20:$C$41=IF($AO61="Yes",$AQ61,$KK61)))))</f>
        <v>0.05</v>
      </c>
      <c r="ADK61" s="136">
        <f t="array" ref="ADK61">INDEX('China n Importing Ports'!$V$20:$V$41,MATCH(2,1/(('China n Importing Ports'!$D$20:$D$41&lt;=$C61)*('China n Importing Ports'!$C$20:$C$41=IF($AO61="Yes",$AQ61,$KK61)))))</f>
        <v>0</v>
      </c>
      <c r="ADL61" s="136">
        <f t="array" ref="ADL61">INDEX('China n Importing Ports'!$W$20:$W$41,MATCH(2,1/(('China n Importing Ports'!$D$20:$D$41&lt;=$C61)*('China n Importing Ports'!$C$20:$C$41=IF($AO61="Yes",$AQ61,$KK61)))))</f>
        <v>0</v>
      </c>
      <c r="ADM61" s="136">
        <f t="array" ref="ADM61">INDEX('China n Importing Ports'!$X$20:$X$41,MATCH(2,1/(('China n Importing Ports'!$D$20:$D$41&lt;=$C61)*('China n Importing Ports'!$C$20:$C$41=IF($AO61="Yes",$AQ61,$KK61)))))</f>
        <v>0</v>
      </c>
      <c r="ADN61" s="136">
        <f t="array" ref="ADN61">INDEX('China n Importing Ports'!$Y$20:$Y$41,MATCH(2,1/(('China n Importing Ports'!$D$20:$D$41&lt;=$C61)*('China n Importing Ports'!$C$20:$C$41=IF($AO61="Yes",$AQ61,$KK61)))))</f>
        <v>197</v>
      </c>
      <c r="ADO61" s="136">
        <f t="array" ref="ADO61">INDEX('China n Importing Ports'!$Z$20:$Z$41,MATCH(2,1/(('China n Importing Ports'!$D$20:$D$41&lt;=$C61)*('China n Importing Ports'!$C$20:$C$41=IF($AO61="Yes",$AQ61,$KK61)))))</f>
        <v>0</v>
      </c>
      <c r="ADP61" s="136">
        <f t="array" ref="ADP61">INDEX('China n Importing Ports'!$AA$20:$AA$41,MATCH(2,1/(('China n Importing Ports'!$D$20:$D$41&lt;=$C61)*('China n Importing Ports'!$C$20:$C$41=IF($AO61="Yes",$AQ61,$KK61)))))</f>
        <v>0</v>
      </c>
      <c r="ADR61" s="75" t="e">
        <f t="array" aca="1" ref="ADR61" ca="1">INDEX(Canals!$G$24:$G$29,MATCH(2,1/((Canals!$F$24:$F$29&lt;=$C61)*(Canals!$G$24:$G$29=_xlfn.IFS(AAC61="Handysize",Main!ACL61,AAC61="Supramax",ACE61,AAC61="Panamax",ABX61,AAC61="NeoPanamax",ABQ61,AAC61="Suezmax",ABJ61,AAC61="Capesize",ABC61,AAC61="VLOC",AAV61)))))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S61" s="75" t="e">
        <f t="array" aca="1" ref="ADS61" ca="1">INDEX(Canals!$H$24:$H$29,MATCH(2,1/((Canals!$F$24:$F$29&lt;=$C61)*(Canals!$G$24:$G$29=_xlfn.IFS(AAC61="Handysize",Main!ACL61,AAC61="Supramax",ACE61,AAC61="Panamax",ABX61,AAC61="NeoPanamax",ABQ61,AAC61="Suezmax",ABJ61,AAC61="Capesize",ABC61,AAC61="VLOC",AAV61)))))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T61" s="75" t="e">
        <f t="array" aca="1" ref="ADT61" ca="1">INDEX(Canals!$I$24:$I$29,MATCH(2,1/((Canals!$F$24:$F$29&lt;=$C61)*(Canals!$G$24:$G$29=_xlfn.IFS(AAC61="Handysize",Main!ACL61,AAC61="Supramax",ACE61,AAC61="Panamax",ABX61,AAC61="NeoPanamax",ABQ61,AAC61="Suezmax",ABJ61,AAC61="Capesize",ABC61,AAC61="VLOC",AAV61)))))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U61" s="75" t="e">
        <f t="array" aca="1" ref="ADU61" ca="1">INDEX(Canals!$J$24:$J$29,MATCH(2,1/((Canals!$F$24:$F$29&lt;=$C61)*(Canals!$G$24:$G$29=_xlfn.IFS(AAC61="Handysize",Main!ACL61,AAC61="Supramax",ACE61,AAC61="Panamax",ABX61,AAC61="NeoPanamax",ABQ61,AAC61="Suezmax",ABJ61,AAC61="Capesize",ABC61,AAC61="VLOC",AAV61)))))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V61" s="75" t="e">
        <f t="array" aca="1" ref="ADV61" ca="1">INDEX(Canals!$K$24:$K$29,MATCH(2,1/((Canals!$F$24:$F$29&lt;=$C61)*(Canals!$G$24:$G$29=_xlfn.IFS(AAC61="Handysize",Main!ACL61,AAC61="Supramax",ACE61,AAC61="Panamax",ABX61,AAC61="NeoPanamax",ABQ61,AAC61="Suezmax",ABJ61,AAC61="Capesize",ABC61,AAC61="VLOC",AAV61)))))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W61" s="75" t="e">
        <f t="array" aca="1" ref="ADW61" ca="1">INDEX(Canals!$L$24:$L$29,MATCH(2,1/((Canals!$F$24:$F$29&lt;=$C61)*(Canals!$G$24:$G$29=_xlfn.IFS(AAC61="Handysize",Main!ACL61,AAC61="Supramax",ACE61,AAC61="Panamax",ABX61,AAC61="NeoPanamax",ABQ61,AAC61="Suezmax",ABJ61,AAC61="Capesize",ABC61,AAC61="VLOC",AAV61)))))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X61" s="75" t="e">
        <f t="array" aca="1" ref="ADX61" ca="1">INDEX(Canals!$M$24:$M$29,MATCH(2,1/((Canals!$F$24:$F$29&lt;=$C61)*(Canals!$G$24:$G$29=_xlfn.IFS(AAC61="Handysize",Main!ACL61,AAC61="Supramax",ACE61,AAC61="Panamax",ABX61,AAC61="NeoPanamax",ABQ61,AAC61="Suezmax",ABJ61,AAC61="Capesize",ABC61,AAC61="VLOC",AAV61)))))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Y61" s="75" t="e">
        <f t="array" aca="1" ref="ADY61" ca="1">INDEX(Canals!$N$24:$N$29,MATCH(2,1/((Canals!$F$24:$F$29&lt;=$C61)*(Canals!$G$24:$G$29=_xlfn.IFS(AAC61="Handysize",Main!ACL61,AAC61="Supramax",ACE61,AAC61="Panamax",ABX61,AAC61="NeoPanamax",ABQ61,AAC61="Suezmax",ABJ61,AAC61="Capesize",ABC61,AAC61="VLOC",AAV61)))))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DZ61" s="75" t="e">
        <f t="array" aca="1" ref="ADZ61" ca="1">INDEX(Canals!$O$24:$O$29,MATCH(2,1/((Canals!$F$24:$F$29&lt;=$C61)*(Canals!$G$24:$G$29=_xlfn.IFS(AAC61="Handysize",Main!ACL61,AAC61="Supramax",ACE61,AAC61="Panamax",ABX61,AAC61="NeoPanamax",ABQ61,AAC61="Suezmax",ABJ61,AAC61="Capesize",ABC61,AAC61="VLOC",AAV61)))))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A61" s="75" t="e">
        <f t="array" aca="1" ref="AEA61" ca="1">INDEX(Canals!$P$24:$P$29,MATCH(2,1/((Canals!$F$24:$F$29&lt;=$C61)*(Canals!$G$24:$G$29=_xlfn.IFS(AAC61="Handysize",Main!ACL61,AAC61="Supramax",ACE61,AAC61="Panamax",ABX61,AAC61="NeoPanamax",ABQ61,AAC61="Suezmax",ABJ61,AAC61="Capesize",ABC61,AAC61="VLOC",AAV61)))))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B61" s="75" t="e">
        <f t="array" aca="1" ref="AEB61" ca="1">INDEX(Canals!$Q$24:$Q$29,MATCH(2,1/((Canals!$F$24:$F$29&lt;=$C61)*(Canals!$G$24:$G$29=_xlfn.IFS(AAC61="Handysize",Main!ACL61,AAC61="Supramax",ACE61,AAC61="Panamax",ABX61,AAC61="NeoPanamax",ABQ61,AAC61="Suezmax",ABJ61,AAC61="Capesize",ABC61,AAC61="VLOC",AAV61)))))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C61" s="75" t="e">
        <f t="array" aca="1" ref="AEC61" ca="1">INDEX(Canals!$R$24:$R$29,MATCH(2,1/((Canals!$F$24:$F$29&lt;=$C61)*(Canals!$G$24:$G$29=_xlfn.IFS(AAC61="Handysize",Main!ACL61,AAC61="Supramax",ACE61,AAC61="Panamax",ABX61,AAC61="NeoPanamax",ABQ61,AAC61="Suezmax",ABJ61,AAC61="Capesize",ABC61,AAC61="VLOC",AAV61)))))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D61" s="136" t="e">
        <f t="array" aca="1" ref="AED61" ca="1">INDEX(Canals!$S$24:$S$29,MATCH(2,1/((Canals!$F$24:$F$29&lt;=$C61)*(Canals!$G$24:$G$29=_xlfn.IFS(AAC61="Handysize",Main!ACL61,AAC61="Supramax",ACE61,AAC61="Panamax",ABX61,AAC61="NeoPanamax",ABQ61,AAC61="Suezmax",ABJ61,AAC61="Capesize",ABC61,AAC61="VLOC",AAV61)))))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E61" s="136" t="e">
        <f t="array" aca="1" ref="AEE61" ca="1">INDEX(Canals!$T$24:$T$29,MATCH(2,1/((Canals!$F$24:$F$29&lt;=$C61)*(Canals!$G$24:$G$29=_xlfn.IFS(AAC61="Handysize",Main!ACL61,AAC61="Supramax",ACE61,AAC61="Panamax",ABX61,AAC61="NeoPanamax",ABQ61,AAC61="Suezmax",ABJ61,AAC61="Capesize",ABC61,AAC61="VLOC",AAV61)))))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F61" s="136" t="e">
        <f t="array" aca="1" ref="AEF61" ca="1">INDEX(Canals!$U$24:$U$29,MATCH(2,1/((Canals!$F$24:$F$29&lt;=$C61)*(Canals!$G$24:$G$29=_xlfn.IFS(AAC61="Handysize",Main!ACL61,AAC61="Supramax",ACE61,AAC61="Panamax",ABX61,AAC61="NeoPanamax",ABQ61,AAC61="Suezmax",ABJ61,AAC61="Capesize",ABC61,AAC61="VLOC",AAV61)))))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G61" s="136" t="e">
        <f t="array" aca="1" ref="AEG61" ca="1">INDEX(Canals!$V$24:$V$29,MATCH(2,1/((Canals!$F$24:$F$29&lt;=$C61)*(Canals!$G$24:$G$29=_xlfn.IFS(AAC61="Handysize",Main!ACL61,AAC61="Supramax",ACE61,AAC61="Panamax",ABX61,AAC61="NeoPanamax",ABQ61,AAC61="Suezmax",ABJ61,AAC61="Capesize",ABC61,AAC61="VLOC",AAV61)))))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H61" s="136" t="e">
        <f t="array" aca="1" ref="AEH61" ca="1">INDEX(Canals!$W$24:$W$29,MATCH(2,1/((Canals!$F$24:$F$29&lt;=$C61)*(Canals!$G$24:$G$29=_xlfn.IFS(AAC61="Handysize",Main!ACL61,AAC61="Supramax",ACE61,AAC61="Panamax",ABX61,AAC61="NeoPanamax",ABQ61,AAC61="Suezmax",ABJ61,AAC61="Capesize",ABC61,AAC61="VLOC",AAV61)))))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I61" s="136" t="e">
        <f t="array" aca="1" ref="AEI61" ca="1">INDEX(Canals!$X$24:$X$29,MATCH(2,1/((Canals!$F$24:$F$29&lt;=$C61)*(Canals!$G$24:$G$29=_xlfn.IFS(AAC61="Handysize",Main!ACL61,AAC61="Supramax",ACE61,AAC61="Panamax",ABX61,AAC61="NeoPanamax",ABQ61,AAC61="Suezmax",ABJ61,AAC61="Capesize",ABC61,AAC61="VLOC",AAV61)))))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J61" s="136" t="e">
        <f t="array" aca="1" ref="AEJ61" ca="1">INDEX(Canals!$Y$24:$Y$29,MATCH(2,1/((Canals!$F$24:$F$29&lt;=$C61)*(Canals!$G$24:$G$29=_xlfn.IFS(AAC61="Handysize",Main!ACL61,AAC61="Supramax",ACE61,AAC61="Panamax",ABX61,AAC61="NeoPanamax",ABQ61,AAC61="Suezmax",ABJ61,AAC61="Capesize",ABC61,AAC61="VLOC",AAV61)))))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K61" s="136" t="e">
        <f t="array" aca="1" ref="AEK61" ca="1">INDEX(Canals!$Z$24:$Z$29,MATCH(2,1/((Canals!$F$24:$F$29&lt;=$C61)*(Canals!$G$24:$G$29=_xlfn.IFS(AAC61="Handysize",Main!ACL61,AAC61="Supramax",ACE61,AAC61="Panamax",ABX61,AAC61="NeoPanamax",ABQ61,AAC61="Suezmax",ABJ61,AAC61="Capesize",ABC61,AAC61="VLOC",AAV61)))))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L61" s="136" t="e">
        <f t="array" aca="1" ref="AEL61" ca="1">INDEX(Canals!$AA$24:$AA$29,MATCH(2,1/((Canals!$F$24:$F$29&lt;=$C61)*(Canals!$G$24:$G$29=_xlfn.IFS(AAC61="Handysize",Main!ACL61,AAC61="Supramax",ACE61,AAC61="Panamax",ABX61,AAC61="NeoPanamax",ABQ61,AAC61="Suezmax",ABJ61,AAC61="Capesize",ABC61,AAC61="VLOC",AAV61)))))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M61" s="136" t="e">
        <f t="array" aca="1" ref="AEM61" ca="1">INDEX(Canals!$AB$24:$AB$29,MATCH(2,1/((Canals!$F$24:$F$29&lt;=$C61)*(Canals!$G$24:$G$29=_xlfn.IFS(AAC61="Handysize",Main!ACL61,AAC61="Supramax",ACE61,AAC61="Panamax",ABX61,AAC61="NeoPanamax",ABQ61,AAC61="Suezmax",ABJ61,AAC61="Capesize",ABC61,AAC61="VLOC",AAV61)))))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N61" s="75" t="e">
        <f t="array" aca="1" ref="AEN61" ca="1">INDEX(Canals!$AC$24:$AC$29,MATCH(2,1/((Canals!$F$24:$F$29&lt;=$C61)*(Canals!$G$24:$G$29=_xlfn.IFS(AAC61="Handysize",Main!ACL61,AAC61="Supramax",ACE61,AAC61="Panamax",ABX61,AAC61="NeoPanamax",ABQ61,AAC61="Suezmax",ABJ61,AAC61="Capesize",ABC61,AAC61="VLOC",AAV61)))))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O61" s="75" t="e">
        <f t="array" aca="1" ref="AEO61" ca="1">INDEX(Canals!$AD$24:$AD$29,MATCH(2,1/((Canals!$F$24:$F$29&lt;=$C61)*(Canals!$G$24:$G$29=_xlfn.IFS(AAC61="Handysize",Main!ACL61,AAC61="Supramax",ACE61,AAC61="Panamax",ABX61,AAC61="NeoPanamax",ABQ61,AAC61="Suezmax",ABJ61,AAC61="Capesize",ABC61,AAC61="VLOC",AAV61)))))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P61" s="75" t="e">
        <f t="array" aca="1" ref="AEP61" ca="1">INDEX(Canals!$AE$24:$AE$29,MATCH(2,1/((Canals!$F$24:$F$29&lt;=$C61)*(Canals!$G$24:$G$29=_xlfn.IFS(AAC61="Handysize",Main!ACL61,AAC61="Supramax",ACE61,AAC61="Panamax",ABX61,AAC61="NeoPanamax",ABQ61,AAC61="Suezmax",ABJ61,AAC61="Capesize",ABC61,AAC61="VLOC",AAV61)))))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Q61" s="75" t="e">
        <f t="array" aca="1" ref="AEQ61" ca="1">INDEX(Canals!$AF$24:$AF$29,MATCH(2,1/((Canals!$F$24:$F$29&lt;=$C61)*(Canals!$G$24:$G$29=_xlfn.IFS(AAC61="Handysize",Main!ACL61,AAC61="Supramax",ACE61,AAC61="Panamax",ABX61,AAC61="NeoPanamax",ABQ61,AAC61="Suezmax",ABJ61,AAC61="Capesize",ABC61,AAC61="VLOC",AAV61)))))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R61" s="75" t="e">
        <f t="array" aca="1" ref="AER61" ca="1">INDEX(Canals!$AG$24:$AG$29,MATCH(2,1/((Canals!$F$24:$F$29&lt;=$C61)*(Canals!$G$24:$G$29=_xlfn.IFS(AAC61="Handysize",Main!ACL61,AAC61="Supramax",ACE61,AAC61="Panamax",ABX61,AAC61="NeoPanamax",ABQ61,AAC61="Suezmax",ABJ61,AAC61="Capesize",ABC61,AAC61="VLOC",AAV61)))))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S61" s="75" t="e">
        <f t="array" aca="1" ref="AES61" ca="1">INDEX(Canals!$AH$24:$AH$29,MATCH(2,1/((Canals!$F$24:$F$29&lt;=$C61)*(Canals!$G$24:$G$29=_xlfn.IFS(AAC61="Handysize",Main!ACL61,AAC61="Supramax",ACE61,AAC61="Panamax",ABX61,AAC61="NeoPanamax",ABQ61,AAC61="Suezmax",ABJ61,AAC61="Capesize",ABC61,AAC61="VLOC",AAV61)))))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T61" s="75" t="e">
        <f t="array" aca="1" ref="AET61" ca="1">INDEX(Canals!$AI$24:$AI$29,MATCH(2,1/((Canals!$F$24:$F$29&lt;=$C61)*(Canals!$G$24:$G$29=_xlfn.IFS(AAC61="Handysize",Main!ACL61,AAC61="Supramax",ACE61,AAC61="Panamax",ABX61,AAC61="NeoPanamax",ABQ61,AAC61="Suezmax",ABJ61,AAC61="Capesize",ABC61,AAC61="VLOC",AAV61)))))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U61" s="75" t="e">
        <f t="array" aca="1" ref="AEU61" ca="1">INDEX(Canals!$AJ$24:$AJ$29,MATCH(2,1/((Canals!$F$24:$F$29&lt;=$C61)*(Canals!$G$24:$G$29=_xlfn.IFS(AAC61="Handysize",Main!ACL61,AAC61="Supramax",ACE61,AAC61="Panamax",ABX61,AAC61="NeoPanamax",ABQ61,AAC61="Suezmax",ABJ61,AAC61="Capesize",ABC61,AAC61="VLOC",AAV61)))))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V61" s="75" t="e">
        <f t="array" aca="1" ref="AEV61" ca="1">INDEX(Canals!$AK$24:$AK$29,MATCH(2,1/((Canals!$F$24:$F$29&lt;=$C61)*(Canals!$G$24:$G$29=_xlfn.IFS(AAC61="Handysize",Main!ACL61,AAC61="Supramax",ACE61,AAC61="Panamax",ABX61,AAC61="NeoPanamax",ABQ61,AAC61="Suezmax",ABJ61,AAC61="Capesize",ABC61,AAC61="VLOC",AAV61)))))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W61" s="136" t="e">
        <f t="array" aca="1" ref="AEW61" ca="1">INDEX(Canals!$AL$24:$AL$29,MATCH(2,1/((Canals!$F$24:$F$29&lt;=$C61)*(Canals!$G$24:$G$29=_xlfn.IFS(AAC61="Handysize",Main!ACL61,AAC61="Supramax",ACE61,AAC61="Panamax",ABX61,AAC61="NeoPanamax",ABQ61,AAC61="Suezmax",ABJ61,AAC61="Capesize",ABC61,AAC61="VLOC",AAV61)))))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X61" s="136" t="e">
        <f t="array" aca="1" ref="AEX61" ca="1">INDEX(Canals!$AM$24:$AM$29,MATCH(2,1/((Canals!$F$24:$F$29&lt;=$C61)*(Canals!$G$24:$G$29=_xlfn.IFS(AAC61="Handysize",Main!ACL61,AAC61="Supramax",ACE61,AAC61="Panamax",ABX61,AAC61="NeoPanamax",ABQ61,AAC61="Suezmax",ABJ61,AAC61="Capesize",ABC61,AAC61="VLOC",AAV61)))))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Y61" s="136" t="e">
        <f t="array" aca="1" ref="AEY61" ca="1">INDEX(Canals!$AN$24:$AN$29,MATCH(2,1/((Canals!$F$24:$F$29&lt;=$C61)*(Canals!$G$24:$G$29=_xlfn.IFS(AAC61="Handysize",Main!ACL61,AAC61="Supramax",ACE61,AAC61="Panamax",ABX61,AAC61="NeoPanamax",ABQ61,AAC61="Suezmax",ABJ61,AAC61="Capesize",ABC61,AAC61="VLOC",AAV61)))))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EZ61" s="136" t="e">
        <f t="array" aca="1" ref="AEZ61" ca="1">INDEX(Canals!$AO$24:$AO$29,MATCH(2,1/((Canals!$F$24:$F$29&lt;=$C61)*(Canals!$G$24:$G$29=_xlfn.IFS(AAC61="Handysize",Main!ACL61,AAC61="Supramax",ACE61,AAC61="Panamax",ABX61,AAC61="NeoPanamax",ABQ61,AAC61="Suezmax",ABJ61,AAC61="Capesize",ABC61,AAC61="VLOC",AAV61)))))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A61" s="136" t="e">
        <f t="array" aca="1" ref="AFA61" ca="1">INDEX(Canals!$AP$24:$AP$29,MATCH(2,1/((Canals!$F$24:$F$29&lt;=$C61)*(Canals!$G$24:$G$29=_xlfn.IFS(AAC61="Handysize",Main!ACL61,AAC61="Supramax",ACE61,AAC61="Panamax",ABX61,AAC61="NeoPanamax",ABQ61,AAC61="Suezmax",ABJ61,AAC61="Capesize",ABC61,AAC61="VLOC",AAV61)))))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B61" s="136" t="e">
        <f t="array" aca="1" ref="AFB61" ca="1">INDEX(Canals!$AQ$24:$AQ$29,MATCH(2,1/((Canals!$F$24:$F$29&lt;=$C61)*(Canals!$G$24:$G$29=_xlfn.IFS(AAC61="Handysize",Main!ACL61,AAC61="Supramax",ACE61,AAC61="Panamax",ABX61,AAC61="NeoPanamax",ABQ61,AAC61="Suezmax",ABJ61,AAC61="Capesize",ABC61,AAC61="VLOC",AAV61)))))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C61" s="136" t="e">
        <f t="array" aca="1" ref="AFC61" ca="1">INDEX(Canals!$AR$24:$AR$29,MATCH(2,1/((Canals!$F$24:$F$29&lt;=$C61)*(Canals!$G$24:$G$29=_xlfn.IFS(AAC61="Handysize",Main!ACL61,AAC61="Supramax",ACE61,AAC61="Panamax",ABX61,AAC61="NeoPanamax",ABQ61,AAC61="Suezmax",ABJ61,AAC61="Capesize",ABC61,AAC61="VLOC",AAV61)))))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D61" s="136" t="e">
        <f t="array" aca="1" ref="AFD61" ca="1">INDEX(Canals!$AS$24:$AS$29,MATCH(2,1/((Canals!$F$24:$F$29&lt;=$C61)*(Canals!$G$24:$G$29=_xlfn.IFS(AAC61="Handysize",Main!ACL61,AAC61="Supramax",ACE61,AAC61="Panamax",ABX61,AAC61="NeoPanamax",ABQ61,AAC61="Suezmax",ABJ61,AAC61="Capesize",ABC61,AAC61="VLOC",AAV61)))))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E61" s="136" t="e">
        <f t="array" aca="1" ref="AFE61" ca="1">INDEX(Canals!$AT$24:$AT$29,MATCH(2,1/((Canals!$F$24:$F$29&lt;=$C61)*(Canals!$G$24:$G$29=_xlfn.IFS(AAC61="Handysize",Main!ACL61,AAC61="Supramax",ACE61,AAC61="Panamax",ABX61,AAC61="NeoPanamax",ABQ61,AAC61="Suezmax",ABJ61,AAC61="Capesize",ABC61,AAC61="VLOC",AAV61)))))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F61" s="136" t="e">
        <f t="array" aca="1" ref="AFF61" ca="1">INDEX(Canals!$AU$24:$AU$29,MATCH(2,1/((Canals!$F$24:$F$29&lt;=$C61)*(Canals!$G$24:$G$29=_xlfn.IFS(AAC61="Handysize",Main!ACL61,AAC61="Supramax",ACE61,AAC61="Panamax",ABX61,AAC61="NeoPanamax",ABQ61,AAC61="Suezmax",ABJ61,AAC61="Capesize",ABC61,AAC61="VLOC",AAV61)))))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G61" s="136" t="e">
        <f t="array" aca="1" ref="AFG61" ca="1">INDEX(Canals!$AV$24:$AV$29,MATCH(2,1/((Canals!$F$24:$F$29&lt;=$C61)*(Canals!$G$24:$G$29=_xlfn.IFS(AAC61="Handysize",Main!ACL61,AAC61="Supramax",ACE61,AAC61="Panamax",ABX61,AAC61="NeoPanamax",ABQ61,AAC61="Suezmax",ABJ61,AAC61="Capesize",ABC61,AAC61="VLOC",AAV61)))))</f>
        <v>#N/A</v>
      </c>
      <c r="AFI61" s="75" t="e">
        <f t="array" aca="1" ref="AFI61" ca="1">_xlfn.IFS(ADT61="DWT",AAA61,ADT61="NRT",AAE61,ADT61="GRT",AAF61)</f>
        <v>#NAME?</v>
      </c>
      <c r="AFJ61" s="279" t="e">
        <f t="shared" ca="1" si="508"/>
        <v>#NAME?</v>
      </c>
      <c r="AFK61" s="280" t="e">
        <f t="shared" ca="1" si="509"/>
        <v>#NAME?</v>
      </c>
      <c r="AFL61" s="280" t="e">
        <f t="shared" ca="1" si="510"/>
        <v>#NAME?</v>
      </c>
      <c r="AFM61" s="280" t="e">
        <f t="shared" ca="1" si="511"/>
        <v>#NAME?</v>
      </c>
      <c r="AFN61" s="280" t="e">
        <f t="shared" ca="1" si="512"/>
        <v>#NAME?</v>
      </c>
      <c r="AFO61" s="280" t="e">
        <f t="shared" ca="1" si="513"/>
        <v>#NAME?</v>
      </c>
      <c r="AFP61" s="280" t="e">
        <f t="shared" ca="1" si="514"/>
        <v>#NAME?</v>
      </c>
      <c r="AFQ61" s="280" t="e">
        <f t="shared" ca="1" si="515"/>
        <v>#NAME?</v>
      </c>
      <c r="AFR61" s="280" t="e">
        <f t="shared" ca="1" si="516"/>
        <v>#NAME?</v>
      </c>
      <c r="AFS61" s="75">
        <f t="shared" si="517"/>
        <v>81720.430107526889</v>
      </c>
      <c r="AFT61" s="279" t="e">
        <f t="shared" ca="1" si="518"/>
        <v>#N/A</v>
      </c>
      <c r="AFU61" s="280" t="e">
        <f t="shared" ca="1" si="519"/>
        <v>#N/A</v>
      </c>
      <c r="AFV61" s="280" t="e">
        <f t="shared" ca="1" si="520"/>
        <v>#N/A</v>
      </c>
      <c r="AFW61" s="280" t="e">
        <f t="shared" ca="1" si="521"/>
        <v>#N/A</v>
      </c>
      <c r="AFX61" s="280" t="e">
        <f t="shared" ca="1" si="522"/>
        <v>#N/A</v>
      </c>
      <c r="AFY61" s="280" t="e">
        <f t="shared" ca="1" si="523"/>
        <v>#N/A</v>
      </c>
      <c r="AFZ61" s="280" t="e">
        <f t="shared" ca="1" si="524"/>
        <v>#N/A</v>
      </c>
      <c r="AGA61" s="280" t="e">
        <f t="shared" ca="1" si="525"/>
        <v>#N/A</v>
      </c>
      <c r="AGB61" s="280" t="e">
        <f t="shared" ca="1" si="526"/>
        <v>#N/A</v>
      </c>
      <c r="AGD61" s="75" t="e">
        <f t="array" aca="1" ref="AGD61" ca="1">_xlfn.IFS(AAC61="Handysize",Main!ACF61,AAC61="Supramax",ABY61,AAC61="Panamax",ABR61,AAC61="NeoPanamax",ABK61,AAC61="Suezmax",ABD61,AAC61="Capesize",AAW61,AAC61="VLOC",AAP61)*$JI61</f>
        <v>#NAME?</v>
      </c>
      <c r="AGE61" s="274" t="e">
        <f t="array" aca="1" ref="AGE61" ca="1">_xlfn.IFS(AAC61="Handysize",Main!ACG61,AAC61="Supramax",ABZ61,AAC61="Panamax",ABS61,AAC61="NeoPanamax",ABL61,AAC61="Suezmax",ABE61,AAC61="Capesize",AAX61,AAC61="VLOC",AAQ61)*$JI61</f>
        <v>#NAME?</v>
      </c>
      <c r="AGF61" s="71" t="e">
        <f t="array" aca="1" ref="AGF61" ca="1">_xlfn.IFS(AAC61="Handysize",Main!AAH61,AAC61="Supramax",AAI61,AAC61="Panamax",AAJ61,AAC61="NeoPanamax",AAK61,AAC61="Suezmax",AAL61,AAC61="Capesize",AAM61,AAC61="VLOC",AAN61)</f>
        <v>#NAME?</v>
      </c>
      <c r="AGG61" s="71" t="e">
        <f t="array" aca="1" ref="AGG61" ca="1">_xlfn.IFS(AAC61="Handysize",Main!ACT61,AAC61="Supramax",ACU61,AAC61="Panamax",ACV61,AAC61="NeoPanamax",ACW61,AAC61="Suezmax",ACX61,AAC61="Capesize",ACY61,AAC61="VLOC",ACZ61)</f>
        <v>#NAME?</v>
      </c>
      <c r="AGH61" s="70">
        <f t="array" ref="AGH61">INDEX('Ship Speeds'!$G$11:$G$1011,MATCH(2,1/(('Ship Speeds'!$E$11:$E$1011&lt;=Main!$C61)*('Ship Speeds'!$F$11:$F$1011=Main!AAB61))))</f>
        <v>11</v>
      </c>
      <c r="AGI61" s="403">
        <f t="shared" si="527"/>
        <v>22.217615063753399</v>
      </c>
      <c r="AGJ61" s="401">
        <f t="shared" si="528"/>
        <v>2.0951530190239867</v>
      </c>
      <c r="AGK61" s="70" t="e">
        <f t="shared" ca="1" si="529"/>
        <v>#NAME?</v>
      </c>
      <c r="AGL61" s="70" t="e">
        <f t="shared" ca="1" si="530"/>
        <v>#NAME?</v>
      </c>
      <c r="AGM61" s="70" t="e">
        <f t="shared" ca="1" si="531"/>
        <v>#NAME?</v>
      </c>
      <c r="AGN61" s="70" t="e">
        <f t="shared" ca="1" si="532"/>
        <v>#NAME?</v>
      </c>
      <c r="AGO61" s="72" t="e">
        <f t="shared" ca="1" si="533"/>
        <v>#N/A</v>
      </c>
      <c r="AGP61" s="70" t="e">
        <f t="shared" ca="1" si="534"/>
        <v>#NAME?</v>
      </c>
      <c r="AGQ61" s="70" t="e">
        <f t="array" aca="1" ref="AGQ61" ca="1">INDEX(ACN61:ACR61,MATCH(_xlfn.IFS(AAC61="Handysize",Main!ACJ61,AAC61="Supramax",ACC61,AAC61="Panamax",ABV61,AAC61="NeoPanamax",ABO61,AAC61="Suezmax",ABH61,AAC61="Capesize",ABA61,AAC61="VLOC",AAT61),$ACN$7:$ACR$7,0))</f>
        <v>#NAME?</v>
      </c>
      <c r="AGR61" s="70" t="e">
        <f t="array" aca="1" ref="AGR61" ca="1">INDEX(ACN61:ACR61,MATCH(_xlfn.IFS(AAC61="Handysize",Main!ACK61,AAC61="Supramax",ACD61,AAC61="Panamax",ABW61,AAC61="NeoPanamax",ABP61,AAC61="Suezmax",ABI61,AAC61="Capesize",ABB61,AAC61="VLOC",AAU61),$ACN$7:$ACR$7,0))</f>
        <v>#NAME?</v>
      </c>
      <c r="AGS61" s="71" t="e">
        <f t="shared" ca="1" si="535"/>
        <v>#NAME?</v>
      </c>
      <c r="AGT61" s="71" t="e">
        <f t="shared" ca="1" si="536"/>
        <v>#NAME?</v>
      </c>
      <c r="AGU61" s="281">
        <f t="shared" si="537"/>
        <v>7.0834199999999994</v>
      </c>
      <c r="AGV61" s="71">
        <f t="shared" si="538"/>
        <v>1742.3786814843679</v>
      </c>
      <c r="AGW61" s="71" t="e">
        <f t="shared" ca="1" si="539"/>
        <v>#NAME?</v>
      </c>
      <c r="AGX61" s="71" t="e">
        <f t="shared" ca="1" si="540"/>
        <v>#NAME?</v>
      </c>
      <c r="AGY61" s="71">
        <f t="shared" si="541"/>
        <v>30457.312355312974</v>
      </c>
      <c r="AGZ61" s="71" t="e">
        <f t="shared" ca="1" si="542"/>
        <v>#NAME?</v>
      </c>
      <c r="AHA61" s="71" t="e">
        <f t="shared" ca="1" si="543"/>
        <v>#NAME?</v>
      </c>
      <c r="AHB61" s="71">
        <f t="shared" si="544"/>
        <v>21623.058862751994</v>
      </c>
      <c r="AHC61" s="71" t="e">
        <f t="shared" ca="1" si="545"/>
        <v>#NAME?</v>
      </c>
      <c r="AHD61" s="71" t="e">
        <f t="shared" ca="1" si="546"/>
        <v>#NAME?</v>
      </c>
      <c r="AHE61" s="71">
        <f t="shared" si="547"/>
        <v>0</v>
      </c>
      <c r="AHF61" s="71" t="e">
        <f t="shared" ca="1" si="548"/>
        <v>#NAME?</v>
      </c>
      <c r="AHG61" s="71" t="e">
        <f t="shared" ca="1" si="549"/>
        <v>#NAME?</v>
      </c>
      <c r="AHH61" s="72">
        <f t="shared" si="550"/>
        <v>6092.4044499035745</v>
      </c>
      <c r="AHI61" s="72" t="e">
        <f t="shared" ca="1" si="551"/>
        <v>#NAME?</v>
      </c>
      <c r="AHJ61" s="71" t="e">
        <f t="shared" ca="1" si="552"/>
        <v>#NAME?</v>
      </c>
      <c r="AHK61" s="71" t="e">
        <f t="array" aca="1" ref="AHK61" ca="1">INDEX('Ship Time Charter Rates'!$H$22:$H$1021,MATCH(2,1/(('Ship Time Charter Rates'!$G$22:$G$1021=_xlfn.IFS(AAC61="Handysize",Main!ACH61,AAC61="Supramax",ACA61,AAC61="Panamax",ABT61,AAC61="NeoPanamax",ABM61,AAC61="Suezmax",ABF61,AAC61="Capesize",AAY61,AAC61="VLOC",AAR61))*('Ship Time Charter Rates'!$E$22:$E$1021&lt;=Main!$C61)*(NOT(ISBLANK('Ship Time Charter Rates'!$H$22:$H$1021))))))</f>
        <v>#N/A</v>
      </c>
      <c r="AHL61" s="71" t="e">
        <f t="shared" ca="1" si="553"/>
        <v>#NAME?</v>
      </c>
      <c r="AHM61" s="70" t="e">
        <f t="shared" ca="1" si="554"/>
        <v>#N/A</v>
      </c>
      <c r="AHN61" s="71" t="e">
        <f t="shared" ca="1" si="555"/>
        <v>#NAME?</v>
      </c>
      <c r="AHO61" s="71" t="e">
        <f t="shared" ca="1" si="556"/>
        <v>#NAME?</v>
      </c>
      <c r="AHP61" s="72" t="e">
        <f t="shared" ca="1" si="557"/>
        <v>#NAME?</v>
      </c>
      <c r="AHR61" s="25">
        <f t="shared" si="673"/>
        <v>0</v>
      </c>
      <c r="AHS61" s="4" t="str">
        <f>VLOOKUP(AHR61,'Ship Time Charter Rates'!$F$10:$G$17,2,TRUE)</f>
        <v>Handysize</v>
      </c>
      <c r="AHT61" s="4" t="str">
        <f>VLOOKUP(AHR61,Canals!$E$5:$F$12,2,TRUE)</f>
        <v>Handysize</v>
      </c>
      <c r="AHU61" s="25">
        <f t="shared" si="558"/>
        <v>145.88999999999999</v>
      </c>
      <c r="AHV61" s="25">
        <f t="shared" si="559"/>
        <v>0</v>
      </c>
      <c r="AHW61" s="25">
        <f t="shared" si="560"/>
        <v>4797</v>
      </c>
      <c r="AHY61" s="75">
        <f t="array" ref="AHY61">INDEX('Indices Mines Exporting Ports'!$R$20:$R$51,MATCH(2,1/(('Indices Mines Exporting Ports'!$D$20:$D$51&lt;=Main!$C61)*('Indices Mines Exporting Ports'!$Q$20:$Q$51=$AQ61))))</f>
        <v>0</v>
      </c>
      <c r="AHZ61" s="75">
        <f t="array" ref="AHZ61">INDEX('Indices Mines Exporting Ports'!$S$20:$S$51,MATCH(2,1/(('Indices Mines Exporting Ports'!$D$20:$D$51&lt;=Main!$C61)*('Indices Mines Exporting Ports'!$Q$20:$Q$51=$AQ61))))</f>
        <v>0</v>
      </c>
      <c r="AIA61" s="75">
        <f t="array" ref="AIA61">INDEX('Indices Mines Exporting Ports'!$T$20:$T$51,MATCH(2,1/(('Indices Mines Exporting Ports'!$D$20:$D$51&lt;=Main!$C61)*('Indices Mines Exporting Ports'!$Q$20:$Q$51=$AQ61))))</f>
        <v>0</v>
      </c>
      <c r="AIB61" s="75">
        <f t="array" ref="AIB61">INDEX('Indices Mines Exporting Ports'!$U$20:$U$51,MATCH(2,1/(('Indices Mines Exporting Ports'!$D$20:$D$51&lt;=Main!$C61)*('Indices Mines Exporting Ports'!$Q$20:$Q$51=$AQ61))))</f>
        <v>0</v>
      </c>
      <c r="AIC61" s="75">
        <f t="array" ref="AIC61">INDEX('Indices Mines Exporting Ports'!$V$20:$V$51,MATCH(2,1/(('Indices Mines Exporting Ports'!$D$20:$D$51&lt;=Main!$C61)*('Indices Mines Exporting Ports'!$Q$20:$Q$51=$AQ61))))</f>
        <v>0</v>
      </c>
      <c r="AID61" s="75">
        <f t="array" ref="AID61">INDEX('Indices Mines Exporting Ports'!$W$20:$W$51,MATCH(2,1/(('Indices Mines Exporting Ports'!$D$20:$D$51&lt;=Main!$C61)*('Indices Mines Exporting Ports'!$Q$20:$Q$51=$AQ61))))</f>
        <v>0</v>
      </c>
      <c r="AIE61" s="75">
        <f t="array" ref="AIE61">INDEX('Indices Mines Exporting Ports'!$X$20:$X$51,MATCH(2,1/(('Indices Mines Exporting Ports'!$D$20:$D$51&lt;=Main!$C61)*('Indices Mines Exporting Ports'!$Q$20:$Q$51=$AQ61))))</f>
        <v>0</v>
      </c>
      <c r="AIG61" s="75">
        <f t="array" ref="AIG61">INDEX('Port Linkages'!$E$18:$E$157,MATCH(2,1/(('Port Linkages'!$C$18:$C$157=$AQ61)*('Port Linkages'!$D$18:$D$157=IF($AO61="no",$AQ61,$KK61))*('Port Linkages'!$A$18:$A$157&lt;=$C61))))</f>
        <v>0</v>
      </c>
      <c r="AIH61" s="75">
        <f t="array" ref="AIH61">INDEX('Port Linkages'!$F$18:$F$157,MATCH(2,1/(('Port Linkages'!$C$18:$C$157=$AQ61)*('Port Linkages'!$D$18:$D$157=IF($AO61="no",$AQ61,$KK61))*('Port Linkages'!$A$18:$A$157&lt;=$C61))))</f>
        <v>0</v>
      </c>
      <c r="AII61" s="75">
        <f t="array" ref="AII61">INDEX('Port Linkages'!$G$18:$G$157,MATCH(2,1/(('Port Linkages'!$C$18:$C$157=$AQ61)*('Port Linkages'!$D$18:$D$157=IF($AO61="no",$AQ61,$KK61))*('Port Linkages'!$A$18:$A$157&lt;=$C61))))</f>
        <v>0</v>
      </c>
      <c r="AIJ61" s="75">
        <f t="array" ref="AIJ61">INDEX('Port Linkages'!$H$18:$H$157,MATCH(2,1/(('Port Linkages'!$C$18:$C$157=$AQ61)*('Port Linkages'!$D$18:$D$157=IF($AO61="no",$AQ61,$KK61))*('Port Linkages'!$A$18:$A$157&lt;=$C61))))</f>
        <v>0</v>
      </c>
      <c r="AIK61" s="75">
        <f t="array" ref="AIK61">INDEX('Port Linkages'!$I$18:$I$157,MATCH(2,1/(('Port Linkages'!$C$18:$C$157=$AQ61)*('Port Linkages'!$D$18:$D$157=IF($AO61="no",$AQ61,$KK61))*('Port Linkages'!$A$18:$A$157&lt;=$C61))))</f>
        <v>0</v>
      </c>
      <c r="AIL61" s="75">
        <f t="array" ref="AIL61">INDEX('Port Linkages'!$J$18:$J$157,MATCH(2,1/(('Port Linkages'!$C$18:$C$157=$AQ61)*('Port Linkages'!$D$18:$D$157=IF($AO61="no",$AQ61,$KK61))*('Port Linkages'!$A$18:$A$157&lt;=$C61))))</f>
        <v>0</v>
      </c>
      <c r="AIM61" s="75">
        <f t="array" ref="AIM61">INDEX('Port Linkages'!$K$18:$K$157,MATCH(2,1/(('Port Linkages'!$C$18:$C$157=$AQ61)*('Port Linkages'!$D$18:$D$157=IF($AO61="no",$AQ61,$KK61))*('Port Linkages'!$A$18:$A$157&lt;=$C61))))</f>
        <v>0</v>
      </c>
      <c r="AIN61" s="75">
        <f t="array" ref="AIN61">INDEX('Port Linkages'!$L$18:$L$157,MATCH(2,1/(('Port Linkages'!$C$18:$C$157=$AQ61)*('Port Linkages'!$D$18:$D$157=IF($AO61="no",$AQ61,$KK61))*('Port Linkages'!$A$18:$A$157&lt;=$C61))))</f>
        <v>0</v>
      </c>
      <c r="AIO61" s="75">
        <f t="array" ref="AIO61">INDEX('Port Linkages'!$M$18:$M$157,MATCH(2,1/(('Port Linkages'!$C$18:$C$157=$AQ61)*('Port Linkages'!$D$18:$D$157=IF($AO61="no",$AQ61,$KK61))*('Port Linkages'!$A$18:$A$157&lt;=$C61))))</f>
        <v>0</v>
      </c>
      <c r="AIP61" s="75">
        <f t="array" ref="AIP61">INDEX('Port Linkages'!$N$18:$N$157,MATCH(2,1/(('Port Linkages'!$C$18:$C$157=$AQ61)*('Port Linkages'!$D$18:$D$157=IF($AO61="no",$AQ61,$KK61))*('Port Linkages'!$A$18:$A$157&lt;=$C61))))</f>
        <v>0</v>
      </c>
      <c r="AIQ61" s="75">
        <f t="array" ref="AIQ61">INDEX('Port Linkages'!$O$18:$O$157,MATCH(2,1/(('Port Linkages'!$C$18:$C$157=$AQ61)*('Port Linkages'!$D$18:$D$157=IF($AO61="no",$AQ61,$KK61))*('Port Linkages'!$A$18:$A$157&lt;=$C61))))</f>
        <v>0</v>
      </c>
      <c r="AIR61" s="75">
        <f t="array" ref="AIR61">INDEX('Port Linkages'!$P$18:$P$157,MATCH(2,1/(('Port Linkages'!$C$18:$C$157=$AQ61)*('Port Linkages'!$D$18:$D$157=IF($AO61="no",$AQ61,$KK61))*('Port Linkages'!$A$18:$A$157&lt;=$C61))))</f>
        <v>0</v>
      </c>
      <c r="AIS61" s="75">
        <f t="array" ref="AIS61">INDEX('Port Linkages'!$Q$18:$Q$157,MATCH(2,1/(('Port Linkages'!$C$18:$C$157=$AQ61)*('Port Linkages'!$D$18:$D$157=IF($AO61="no",$AQ61,$KK61))*('Port Linkages'!$A$18:$A$157&lt;=$C61))))</f>
        <v>0</v>
      </c>
      <c r="AIT61" s="75">
        <f t="array" ref="AIT61">INDEX('Port Linkages'!$R$18:$R$157,MATCH(2,1/(('Port Linkages'!$C$18:$C$157=$AQ61)*('Port Linkages'!$D$18:$D$157=IF($AO61="no",$AQ61,$KK61))*('Port Linkages'!$A$18:$A$157&lt;=$C61))))</f>
        <v>0</v>
      </c>
      <c r="AIU61" s="75">
        <f t="array" ref="AIU61">INDEX('Port Linkages'!$S$18:$S$157,MATCH(2,1/(('Port Linkages'!$C$18:$C$157=$AQ61)*('Port Linkages'!$D$18:$D$157=IF($AO61="no",$AQ61,$KK61))*('Port Linkages'!$A$18:$A$157&lt;=$C61))))</f>
        <v>0</v>
      </c>
      <c r="AIV61" s="75">
        <f t="array" ref="AIV61">INDEX('Port Linkages'!$T$18:$T$157,MATCH(2,1/(('Port Linkages'!$C$18:$C$157=$AQ61)*('Port Linkages'!$D$18:$D$157=IF($AO61="no",$AQ61,$KK61))*('Port Linkages'!$A$18:$A$157&lt;=$C61))))</f>
        <v>0</v>
      </c>
      <c r="AIW61" s="75">
        <f t="array" ref="AIW61">INDEX('Port Linkages'!$U$18:$U$157,MATCH(2,1/(('Port Linkages'!$C$18:$C$157=$AQ61)*('Port Linkages'!$D$18:$D$157=IF($AO61="no",$AQ61,$KK61))*('Port Linkages'!$A$18:$A$157&lt;=$C61))))</f>
        <v>0</v>
      </c>
      <c r="AIX61" s="75">
        <f t="array" ref="AIX61">INDEX('Port Linkages'!$V$18:$V$157,MATCH(2,1/(('Port Linkages'!$C$18:$C$157=$AQ61)*('Port Linkages'!$D$18:$D$157=IF($AO61="no",$AQ61,$KK61))*('Port Linkages'!$A$18:$A$157&lt;=$C61))))</f>
        <v>0</v>
      </c>
      <c r="AIY61" s="75">
        <f t="array" ref="AIY61">INDEX('Port Linkages'!$W$18:$W$157,MATCH(2,1/(('Port Linkages'!$C$18:$C$157=$AQ61)*('Port Linkages'!$D$18:$D$157=IF($AO61="no",$AQ61,$KK61))*('Port Linkages'!$A$18:$A$157&lt;=$C61))))</f>
        <v>0</v>
      </c>
      <c r="AIZ61" s="75">
        <f t="array" ref="AIZ61">INDEX('Port Linkages'!$X$18:$X$157,MATCH(2,1/(('Port Linkages'!$C$18:$C$157=$AQ61)*('Port Linkages'!$D$18:$D$157=IF($AO61="no",$AQ61,$KK61))*('Port Linkages'!$A$18:$A$157&lt;=$C61))))</f>
        <v>0</v>
      </c>
      <c r="AJA61" s="75">
        <f t="array" ref="AJA61">INDEX('Port Linkages'!$Y$18:$Y$157,MATCH(2,1/(('Port Linkages'!$C$18:$C$157=$AQ61)*('Port Linkages'!$D$18:$D$157=IF($AO61="no",$AQ61,$KK61))*('Port Linkages'!$A$18:$A$157&lt;=$C61))))</f>
        <v>0</v>
      </c>
      <c r="AJB61" s="75">
        <f t="array" ref="AJB61">INDEX('Port Linkages'!$Z$18:$Z$157,MATCH(2,1/(('Port Linkages'!$C$18:$C$157=$AQ61)*('Port Linkages'!$D$18:$D$157=IF($AO61="no",$AQ61,$KK61))*('Port Linkages'!$A$18:$A$157&lt;=$C61))))</f>
        <v>0</v>
      </c>
      <c r="AJC61" s="75">
        <f t="array" ref="AJC61">INDEX('Port Linkages'!$AA$18:$AA$157,MATCH(2,1/(('Port Linkages'!$C$18:$C$157=$AQ61)*('Port Linkages'!$D$18:$D$157=IF($AO61="no",$AQ61,$KK61))*('Port Linkages'!$A$18:$A$157&lt;=$C61))))</f>
        <v>0</v>
      </c>
      <c r="AJD61" s="75">
        <f t="array" ref="AJD61">INDEX('Port Linkages'!$AB$18:$AB$157,MATCH(2,1/(('Port Linkages'!$C$18:$C$157=$AQ61)*('Port Linkages'!$D$18:$D$157=IF($AO61="no",$AQ61,$KK61))*('Port Linkages'!$A$18:$A$157&lt;=$C61))))</f>
        <v>0</v>
      </c>
      <c r="AJE61" s="75">
        <f t="array" ref="AJE61">INDEX('Port Linkages'!$AC$18:$AC$157,MATCH(2,1/(('Port Linkages'!$C$18:$C$157=$AQ61)*('Port Linkages'!$D$18:$D$157=IF($AO61="no",$AQ61,$KK61))*('Port Linkages'!$A$18:$A$157&lt;=$C61))))</f>
        <v>0</v>
      </c>
      <c r="AJF61" s="75">
        <f t="array" ref="AJF61">INDEX('Port Linkages'!$AD$18:$AD$157,MATCH(2,1/(('Port Linkages'!$C$18:$C$157=$AQ61)*('Port Linkages'!$D$18:$D$157=IF($AO61="no",$AQ61,$KK61))*('Port Linkages'!$A$18:$A$157&lt;=$C61))))</f>
        <v>0</v>
      </c>
      <c r="AJG61" s="75">
        <f t="array" ref="AJG61">INDEX('Port Linkages'!$AE$18:$AE$157,MATCH(2,1/(('Port Linkages'!$C$18:$C$157=$AQ61)*('Port Linkages'!$D$18:$D$157=IF($AO61="no",$AQ61,$KK61))*('Port Linkages'!$A$18:$A$157&lt;=$C61))))</f>
        <v>0</v>
      </c>
      <c r="AJH61" s="75">
        <f t="array" ref="AJH61">INDEX('Port Linkages'!$AF$18:$AF$157,MATCH(2,1/(('Port Linkages'!$C$18:$C$157=$AQ61)*('Port Linkages'!$D$18:$D$157=IF($AO61="no",$AQ61,$KK61))*('Port Linkages'!$A$18:$A$157&lt;=$C61))))</f>
        <v>0</v>
      </c>
      <c r="AJI61" s="75">
        <f t="array" ref="AJI61">INDEX('Port Linkages'!$AG$18:$AG$157,MATCH(2,1/(('Port Linkages'!$C$18:$C$157=$AQ61)*('Port Linkages'!$D$18:$D$157=IF($AO61="no",$AQ61,$KK61))*('Port Linkages'!$A$18:$A$157&lt;=$C61))))</f>
        <v>0</v>
      </c>
      <c r="AJJ61" s="75">
        <f t="array" ref="AJJ61">INDEX('Port Linkages'!$AH$18:$AH$157,MATCH(2,1/(('Port Linkages'!$C$18:$C$157=$AQ61)*('Port Linkages'!$D$18:$D$157=IF($AO61="no",$AQ61,$KK61))*('Port Linkages'!$A$18:$A$157&lt;=$C61))))</f>
        <v>0</v>
      </c>
      <c r="AJK61" s="75">
        <f t="array" ref="AJK61">INDEX('Port Linkages'!$AI$18:$AI$157,MATCH(2,1/(('Port Linkages'!$C$18:$C$157=$AQ61)*('Port Linkages'!$D$18:$D$157=IF($AO61="no",$AQ61,$KK61))*('Port Linkages'!$A$18:$A$157&lt;=$C61))))</f>
        <v>0</v>
      </c>
      <c r="AJL61" s="75">
        <f t="array" ref="AJL61">INDEX('Port Linkages'!$AJ$18:$AJ$157,MATCH(2,1/(('Port Linkages'!$C$18:$C$157=$AQ61)*('Port Linkages'!$D$18:$D$157=IF($AO61="no",$AQ61,$KK61))*('Port Linkages'!$A$18:$A$157&lt;=$C61))))</f>
        <v>0</v>
      </c>
      <c r="AJM61" s="75">
        <f t="array" ref="AJM61">INDEX('Port Linkages'!$AK$18:$AK$157,MATCH(2,1/(('Port Linkages'!$C$18:$C$157=$AQ61)*('Port Linkages'!$D$18:$D$157=IF($AO61="no",$AQ61,$KK61))*('Port Linkages'!$A$18:$A$157&lt;=$C61))))</f>
        <v>0</v>
      </c>
      <c r="AJN61" s="75">
        <f t="array" ref="AJN61">INDEX('Port Linkages'!$AL$18:$AL$157,MATCH(2,1/(('Port Linkages'!$C$18:$C$157=$AQ61)*('Port Linkages'!$D$18:$D$157=IF($AO61="no",$AQ61,$KK61))*('Port Linkages'!$A$18:$A$157&lt;=$C61))))</f>
        <v>0</v>
      </c>
      <c r="AJO61" s="75">
        <f t="array" ref="AJO61">INDEX('Port Linkages'!$AM$18:$AM$157,MATCH(2,1/(('Port Linkages'!$C$18:$C$157=$AQ61)*('Port Linkages'!$D$18:$D$157=IF($AO61="no",$AQ61,$KK61))*('Port Linkages'!$A$18:$A$157&lt;=$C61))))</f>
        <v>0</v>
      </c>
      <c r="AJP61" s="75">
        <f t="array" ref="AJP61">INDEX('Port Linkages'!$AN$18:$AN$157,MATCH(2,1/(('Port Linkages'!$C$18:$C$157=$AQ61)*('Port Linkages'!$D$18:$D$157=IF($AO61="no",$AQ61,$KK61))*('Port Linkages'!$A$18:$A$157&lt;=$C61))))</f>
        <v>0</v>
      </c>
      <c r="AJQ61" s="75">
        <f t="array" ref="AJQ61">INDEX('Port Linkages'!$AO$18:$AO$157,MATCH(2,1/(('Port Linkages'!$C$18:$C$157=$AQ61)*('Port Linkages'!$D$18:$D$157=IF($AO61="no",$AQ61,$KK61))*('Port Linkages'!$A$18:$A$157&lt;=$C61))))</f>
        <v>0</v>
      </c>
      <c r="AJR61" s="75">
        <f t="array" ref="AJR61">INDEX('Port Linkages'!$AP$18:$AP$157,MATCH(2,1/(('Port Linkages'!$C$18:$C$157=$AQ61)*('Port Linkages'!$D$18:$D$157=IF($AO61="no",$AQ61,$KK61))*('Port Linkages'!$A$18:$A$157&lt;=$C61))))</f>
        <v>0</v>
      </c>
      <c r="AJS61" s="75">
        <f t="array" ref="AJS61">INDEX('Port Linkages'!$AQ$18:$AQ$157,MATCH(2,1/(('Port Linkages'!$C$18:$C$157=$AQ61)*('Port Linkages'!$D$18:$D$157=IF($AO61="no",$AQ61,$KK61))*('Port Linkages'!$A$18:$A$157&lt;=$C61))))</f>
        <v>0</v>
      </c>
      <c r="AJT61" s="75">
        <f t="array" ref="AJT61">INDEX('Port Linkages'!$AR$18:$AR$157,MATCH(2,1/(('Port Linkages'!$C$18:$C$157=$AQ61)*('Port Linkages'!$D$18:$D$157=IF($AO61="no",$AQ61,$KK61))*('Port Linkages'!$A$18:$A$157&lt;=$C61))))</f>
        <v>0</v>
      </c>
      <c r="AJU61" s="75">
        <f t="array" ref="AJU61">INDEX('Port Linkages'!$AS$18:$AS$157,MATCH(2,1/(('Port Linkages'!$C$18:$C$157=$AQ61)*('Port Linkages'!$D$18:$D$157=IF($AO61="no",$AQ61,$KK61))*('Port Linkages'!$A$18:$A$157&lt;=$C61))))</f>
        <v>0</v>
      </c>
      <c r="AJV61" s="75">
        <f t="array" ref="AJV61">INDEX('Port Linkages'!$AT$18:$AT$157,MATCH(2,1/(('Port Linkages'!$C$18:$C$157=$AQ61)*('Port Linkages'!$D$18:$D$157=IF($AO61="no",$AQ61,$KK61))*('Port Linkages'!$A$18:$A$157&lt;=$C61))))</f>
        <v>0</v>
      </c>
      <c r="AJW61" s="75">
        <f t="array" ref="AJW61">INDEX('Port Linkages'!$AU$18:$AU$157,MATCH(2,1/(('Port Linkages'!$C$18:$C$157=$AQ61)*('Port Linkages'!$D$18:$D$157=IF($AO61="no",$AQ61,$KK61))*('Port Linkages'!$A$18:$A$157&lt;=$C61))))</f>
        <v>0</v>
      </c>
      <c r="AJX61" s="75">
        <f t="array" ref="AJX61">INDEX('Port Linkages'!$AV$18:$AV$157,MATCH(2,1/(('Port Linkages'!$C$18:$C$157=$AQ61)*('Port Linkages'!$D$18:$D$157=IF($AO61="no",$AQ61,$KK61))*('Port Linkages'!$A$18:$A$157&lt;=$C61))))</f>
        <v>0</v>
      </c>
      <c r="AJY61" s="75">
        <f t="array" ref="AJY61">INDEX('Port Linkages'!$AW$18:$AW$157,MATCH(2,1/(('Port Linkages'!$C$18:$C$157=$AQ61)*('Port Linkages'!$D$18:$D$157=IF($AO61="no",$AQ61,$KK61))*('Port Linkages'!$A$18:$A$157&lt;=$C61))))</f>
        <v>0</v>
      </c>
      <c r="AJZ61" s="75">
        <f t="array" ref="AJZ61">INDEX('Port Linkages'!$AX$18:$AX$157,MATCH(2,1/(('Port Linkages'!$C$18:$C$157=$AQ61)*('Port Linkages'!$D$18:$D$157=IF($AO61="no",$AQ61,$KK61))*('Port Linkages'!$A$18:$A$157&lt;=$C61))))</f>
        <v>0</v>
      </c>
      <c r="AKA61" s="75">
        <f t="array" ref="AKA61">INDEX('Port Linkages'!$AY$18:$AY$157,MATCH(2,1/(('Port Linkages'!$C$18:$C$157=$AQ61)*('Port Linkages'!$D$18:$D$157=IF($AO61="no",$AQ61,$KK61))*('Port Linkages'!$A$18:$A$157&lt;=$C61))))</f>
        <v>0</v>
      </c>
      <c r="AKB61" s="75">
        <f t="array" ref="AKB61">INDEX('Port Linkages'!$AZ$18:$AZ$157,MATCH(2,1/(('Port Linkages'!$C$18:$C$157=$AQ61)*('Port Linkages'!$D$18:$D$157=IF($AO61="no",$AQ61,$KK61))*('Port Linkages'!$A$18:$A$157&lt;=$C61))))</f>
        <v>0</v>
      </c>
      <c r="AKC61" s="75">
        <f t="array" ref="AKC61">INDEX('Port Linkages'!$BA$18:$BA$157,MATCH(2,1/(('Port Linkages'!$C$18:$C$157=$AQ61)*('Port Linkages'!$D$18:$D$157=IF($AO61="no",$AQ61,$KK61))*('Port Linkages'!$A$18:$A$157&lt;=$C61))))</f>
        <v>0</v>
      </c>
      <c r="AKE61" s="25" t="e">
        <f t="array" aca="1" ref="AKE61" ca="1">INDEX('Ship Fuel Prices'!$F$5:$F$1004,MATCH(2,1/(('Ship Fuel Prices'!$E$5:$E$1004=_xlfn.IFS(AHT61="Handysize",Main!AJZ61,AHT61="Supramax",AJS61,AHT61="Panamax",AJL61,AHT61="NeoPanamax",AJE61,AHT61="Suezmax",AIX61,AHT61="Capesize",AIQ61,AHT61="VLOC",AIJ61))*('Ship Fuel Prices'!$D$5:$D$1004&lt;=Main!$C61))))</f>
        <v>#N/A</v>
      </c>
      <c r="AKF61" s="25" t="e">
        <f t="array" aca="1" ref="AKF61" ca="1">INDEX('Ship Fuel Prices'!$G$5:$G$1004,MATCH(2,1/(('Ship Fuel Prices'!$E$5:$E$1004=_xlfn.IFS(AHT61="Handysize",Main!AJZ61,AHT61="Supramax",AJS61,AHT61="Panamax",AJL61,AHT61="NeoPanamax",AJE61,AHT61="Suezmax",AIX61,AHT61="Capesize",AIQ61,AHT61="VLOC",AIJ61))*('Ship Fuel Prices'!$D$5:$D$1004&lt;=Main!$C61))))</f>
        <v>#N/A</v>
      </c>
      <c r="AKG61" s="25" t="e">
        <f t="array" aca="1" ref="AKG61" ca="1">INDEX('Ship Fuel Prices'!$H$5:$H$1004,MATCH(2,1/(('Ship Fuel Prices'!$E$5:$E$1004=_xlfn.IFS(AHT61="Handysize",Main!AJZ61,AHT61="Supramax",AJS61,AHT61="Panamax",AJL61,AHT61="NeoPanamax",AJE61,AHT61="Suezmax",AIX61,AHT61="Capesize",AIQ61,AHT61="VLOC",AIJ61))*('Ship Fuel Prices'!$D$5:$D$1004&lt;=Main!$C61))))</f>
        <v>#N/A</v>
      </c>
      <c r="AKH61" s="25" t="e">
        <f t="array" aca="1" ref="AKH61" ca="1">INDEX('Ship Fuel Prices'!$I$5:$I$1004,MATCH(2,1/(('Ship Fuel Prices'!$E$5:$E$1004=_xlfn.IFS(AHT61="Handysize",Main!AJZ61,AHT61="Supramax",AJS61,AHT61="Panamax",AJL61,AHT61="NeoPanamax",AJE61,AHT61="Suezmax",AIX61,AHT61="Capesize",AIQ61,AHT61="VLOC",AIJ61))*('Ship Fuel Prices'!$D$5:$D$1004&lt;=Main!$C61))))</f>
        <v>#N/A</v>
      </c>
      <c r="AKI61" s="25" t="e">
        <f t="array" aca="1" ref="AKI61" ca="1">INDEX('Ship Fuel Prices'!$J$5:$J$1004,MATCH(2,1/(('Ship Fuel Prices'!$E$5:$E$1004=_xlfn.IFS(AHT61="Handysize",Main!AJZ61,AHT61="Supramax",AJS61,AHT61="Panamax",AJL61,AHT61="NeoPanamax",AJE61,AHT61="Suezmax",AIX61,AHT61="Capesize",AIQ61,AHT61="VLOC",AIJ61))*('Ship Fuel Prices'!$D$5:$D$1004&lt;=Main!$C61))))</f>
        <v>#N/A</v>
      </c>
      <c r="AKK61" s="75">
        <f t="array" ref="AKK61">INDEX('China n Importing Ports'!$E$20:$E$41,MATCH(2,1/(('China n Importing Ports'!$D$20:$D$41&lt;=$C61)*('China n Importing Ports'!$C$20:$C$41=IF($AO61="No",$AQ61,$KK61)))))</f>
        <v>0</v>
      </c>
      <c r="AKL61" s="75">
        <f t="array" ref="AKL61">INDEX('China n Importing Ports'!$F$20:$F$41,MATCH(2,1/(('China n Importing Ports'!$D$20:$D$41&lt;=$C61)*('China n Importing Ports'!$C$20:$C$41=IF($AO61="No",$AQ61,$KK61)))))</f>
        <v>0</v>
      </c>
      <c r="AKM61" s="75">
        <f t="array" ref="AKM61">INDEX('China n Importing Ports'!$G$20:$G$41,MATCH(2,1/(('China n Importing Ports'!$D$20:$D$41&lt;=$C61)*('China n Importing Ports'!$C$20:$C$41=IF($AO61="No",$AQ61,$KK61)))))</f>
        <v>0</v>
      </c>
      <c r="AKN61" s="75">
        <f t="array" ref="AKN61">INDEX('China n Importing Ports'!$H$20:$H$41,MATCH(2,1/(('China n Importing Ports'!$D$20:$D$41&lt;=$C61)*('China n Importing Ports'!$C$20:$C$41=IF($AO61="No",$AQ61,$KK61)))))</f>
        <v>0</v>
      </c>
      <c r="AKO61" s="75">
        <f t="array" ref="AKO61">INDEX('China n Importing Ports'!$I$20:$I$41,MATCH(2,1/(('China n Importing Ports'!$D$20:$D$41&lt;=$C61)*('China n Importing Ports'!$C$20:$C$41=IF($AO61="No",$AQ61,$KK61)))))</f>
        <v>0</v>
      </c>
      <c r="AKP61" s="75">
        <f t="array" ref="AKP61">INDEX('China n Importing Ports'!$J$20:$J$41,MATCH(2,1/(('China n Importing Ports'!$D$20:$D$41&lt;=$C61)*('China n Importing Ports'!$C$20:$C$41=IF($AO61="No",$AQ61,$KK61)))))</f>
        <v>0</v>
      </c>
      <c r="AKQ61" s="75">
        <f t="array" ref="AKQ61">INDEX('China n Importing Ports'!$K$20:$K$41,MATCH(2,1/(('China n Importing Ports'!$D$20:$D$41&lt;=$C61)*('China n Importing Ports'!$C$20:$C$41=IF($AO61="No",$AQ61,$KK61)))))</f>
        <v>0</v>
      </c>
      <c r="AKR61" s="75">
        <f t="array" ref="AKR61">INDEX('China n Importing Ports'!$L$20:$L$41,MATCH(2,1/(('China n Importing Ports'!$D$20:$D$41&lt;=$C61)*('China n Importing Ports'!$C$20:$C$41=IF($AO61="No",$AQ61,$KK61)))))</f>
        <v>0</v>
      </c>
      <c r="AKS61" s="75">
        <f t="array" ref="AKS61">INDEX('China n Importing Ports'!$M$20:$M$41,MATCH(2,1/(('China n Importing Ports'!$D$20:$D$41&lt;=$C61)*('China n Importing Ports'!$C$20:$C$41=IF($AO61="No",$AQ61,$KK61)))))</f>
        <v>0</v>
      </c>
      <c r="AKT61" s="75">
        <f t="array" ref="AKT61">INDEX('China n Importing Ports'!$N$20:$N$41,MATCH(2,1/(('China n Importing Ports'!$D$20:$D$41&lt;=$C61)*('China n Importing Ports'!$C$20:$C$41=IF($AO61="No",$AQ61,$KK61)))))</f>
        <v>0</v>
      </c>
      <c r="AKU61" s="75">
        <f t="array" ref="AKU61">INDEX('China n Importing Ports'!$O$20:$O$41,MATCH(2,1/(('China n Importing Ports'!$D$20:$D$41&lt;=$C61)*('China n Importing Ports'!$C$20:$C$41=IF($AO61="No",$AQ61,$KK61)))))</f>
        <v>0</v>
      </c>
      <c r="AKV61" s="136">
        <f t="array" ref="AKV61">INDEX('China n Importing Ports'!$P$20:$P$41,MATCH(2,1/(('China n Importing Ports'!$D$20:$D$41&lt;=$C61)*('China n Importing Ports'!$C$20:$C$41=IF($AO61="No",$AQ61,$KK61)))))</f>
        <v>0</v>
      </c>
      <c r="AKW61" s="136">
        <f t="array" ref="AKW61">INDEX('China n Importing Ports'!$Q$20:$Q$41,MATCH(2,1/(('China n Importing Ports'!$D$20:$D$41&lt;=$C61)*('China n Importing Ports'!$C$20:$C$41=IF($AO61="No",$AQ61,$KK61)))))</f>
        <v>0</v>
      </c>
      <c r="AKX61" s="136">
        <f t="array" ref="AKX61">INDEX('China n Importing Ports'!$R$20:$R$41,MATCH(2,1/(('China n Importing Ports'!$D$20:$D$41&lt;=$C61)*('China n Importing Ports'!$C$20:$C$41=IF($AO61="No",$AQ61,$KK61)))))</f>
        <v>0</v>
      </c>
      <c r="AKY61" s="136">
        <f t="array" ref="AKY61">INDEX('China n Importing Ports'!$S$20:$S$41,MATCH(2,1/(('China n Importing Ports'!$D$20:$D$41&lt;=$C61)*('China n Importing Ports'!$C$20:$C$41=IF($AO61="No",$AQ61,$KK61)))))</f>
        <v>0</v>
      </c>
      <c r="AKZ61" s="136">
        <f t="array" ref="AKZ61">INDEX('China n Importing Ports'!$T$20:$T$41,MATCH(2,1/(('China n Importing Ports'!$D$20:$D$41&lt;=$C61)*('China n Importing Ports'!$C$20:$C$41=IF($AO61="No",$AQ61,$KK61)))))</f>
        <v>0</v>
      </c>
      <c r="ALA61" s="136">
        <f t="array" ref="ALA61">INDEX('China n Importing Ports'!$U$20:$U$41,MATCH(2,1/(('China n Importing Ports'!$D$20:$D$41&lt;=$C61)*('China n Importing Ports'!$C$20:$C$41=IF($AO61="No",$AQ61,$KK61)))))</f>
        <v>0</v>
      </c>
      <c r="ALB61" s="136">
        <f t="array" ref="ALB61">INDEX('China n Importing Ports'!$V$20:$V$41,MATCH(2,1/(('China n Importing Ports'!$D$20:$D$41&lt;=$C61)*('China n Importing Ports'!$C$20:$C$41=IF($AO61="No",$AQ61,$KK61)))))</f>
        <v>0</v>
      </c>
      <c r="ALC61" s="136">
        <f t="array" ref="ALC61">INDEX('China n Importing Ports'!$W$20:$W$41,MATCH(2,1/(('China n Importing Ports'!$D$20:$D$41&lt;=$C61)*('China n Importing Ports'!$C$20:$C$41=IF($AO61="No",$AQ61,$KK61)))))</f>
        <v>0</v>
      </c>
      <c r="ALD61" s="136">
        <f t="array" ref="ALD61">INDEX('China n Importing Ports'!$X$20:$X$41,MATCH(2,1/(('China n Importing Ports'!$D$20:$D$41&lt;=$C61)*('China n Importing Ports'!$C$20:$C$41=IF($AO61="No",$AQ61,$KK61)))))</f>
        <v>0</v>
      </c>
      <c r="ALE61" s="136">
        <f t="array" ref="ALE61">INDEX('China n Importing Ports'!$Y$20:$Y$41,MATCH(2,1/(('China n Importing Ports'!$D$20:$D$41&lt;=$C61)*('China n Importing Ports'!$C$20:$C$41=IF($AO61="No",$AQ61,$KK61)))))</f>
        <v>0</v>
      </c>
      <c r="ALF61" s="136">
        <f t="array" ref="ALF61">INDEX('China n Importing Ports'!$Z$20:$Z$41,MATCH(2,1/(('China n Importing Ports'!$D$20:$D$41&lt;=$C61)*('China n Importing Ports'!$C$20:$C$41=IF($AO61="No",$AQ61,$KK61)))))</f>
        <v>0</v>
      </c>
      <c r="ALG61" s="136">
        <f t="array" ref="ALG61">INDEX('China n Importing Ports'!$AA$20:$AA$41,MATCH(2,1/(('China n Importing Ports'!$D$20:$D$41&lt;=$C61)*('China n Importing Ports'!$C$20:$C$41=IF($AO61="No",$AQ61,$KK61)))))</f>
        <v>0</v>
      </c>
      <c r="ALI61" s="75" t="e">
        <f t="array" aca="1" ref="ALI61" ca="1">INDEX(Canals!$G$24:$G$29,MATCH(2,1/((Canals!$F$24:$F$29&lt;=$C61)*(Canals!$G$24:$G$29=_xlfn.IFS(AHT61="Handysize",AKC61,AHT61="Supramax",AJV61,AHT61="Panamax",AJO61,AHT61="NeoPanamax",AJH61,AHT61="Suezmax",AJA61,AHT61="Capesize",AIT61,AHT61="VLOC",AIM61)))))</f>
        <v>#N/A</v>
      </c>
      <c r="ALJ61" s="75" t="e">
        <f t="array" aca="1" ref="ALJ61" ca="1">INDEX(Canals!$H$24:$H$29,MATCH(2,1/((Canals!$F$24:$F$29&lt;=$C61)*(Canals!$G$24:$G$29=_xlfn.IFS(AHT61="Handysize",AKC61,AHT61="Supramax",AJV61,AHT61="Panamax",AJO61,AHT61="NeoPanamax",AJH61,AHT61="Suezmax",AJA61,AHT61="Capesize",AIT61,AHT61="VLOC",AIM61)))))</f>
        <v>#N/A</v>
      </c>
      <c r="ALK61" s="75" t="e">
        <f t="array" aca="1" ref="ALK61" ca="1">INDEX(Canals!$I$24:$I$29,MATCH(2,1/((Canals!$F$24:$F$29&lt;=$C61)*(Canals!$G$24:$G$29=_xlfn.IFS(AHT61="Handysize",AKC61,AHT61="Supramax",AJV61,AHT61="Panamax",AJO61,AHT61="NeoPanamax",AJH61,AHT61="Suezmax",AJA61,AHT61="Capesize",AIT61,AHT61="VLOC",AIM61)))))</f>
        <v>#N/A</v>
      </c>
      <c r="ALL61" s="75" t="e">
        <f t="array" aca="1" ref="ALL61" ca="1">INDEX(Canals!$J$24:$J$29,MATCH(2,1/((Canals!$F$24:$F$29&lt;=$C61)*(Canals!$G$24:$G$29=_xlfn.IFS(AHT61="Handysize",Main!AKC61,AHT61="Supramax",AJV61,AHT61="Panamax",AJO61,AHT61="NeoPanamax",AJH61,AHT61="Suezmax",AJA61,AHT61="Capesize",AIT61,AHT61="VLOC",AIM61)))))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M61" s="75" t="e">
        <f t="array" aca="1" ref="ALM61" ca="1">INDEX(Canals!$K$24:$K$29,MATCH(2,1/((Canals!$F$24:$F$29&lt;=$C61)*(Canals!$G$24:$G$29=_xlfn.IFS(AHT61="Handysize",Main!AKC61,AHT61="Supramax",AJV61,AHT61="Panamax",AJO61,AHT61="NeoPanamax",AJH61,AHT61="Suezmax",AJA61,AHT61="Capesize",AIT61,AHT61="VLOC",AIM61)))))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N61" s="75" t="e">
        <f t="array" aca="1" ref="ALN61" ca="1">INDEX(Canals!$L$24:$L$29,MATCH(2,1/((Canals!$F$24:$F$29&lt;=$C61)*(Canals!$G$24:$G$29=_xlfn.IFS(AHT61="Handysize",Main!AKC61,AHT61="Supramax",AJV61,AHT61="Panamax",AJO61,AHT61="NeoPanamax",AJH61,AHT61="Suezmax",AJA61,AHT61="Capesize",AIT61,AHT61="VLOC",AIM61)))))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O61" s="75" t="e">
        <f t="array" aca="1" ref="ALO61" ca="1">INDEX(Canals!$M$24:$M$29,MATCH(2,1/((Canals!$F$24:$F$29&lt;=$C61)*(Canals!$G$24:$G$29=_xlfn.IFS(AHT61="Handysize",Main!AKC61,AHT61="Supramax",AJV61,AHT61="Panamax",AJO61,AHT61="NeoPanamax",AJH61,AHT61="Suezmax",AJA61,AHT61="Capesize",AIT61,AHT61="VLOC",AIM61)))))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P61" s="75" t="e">
        <f t="array" aca="1" ref="ALP61" ca="1">INDEX(Canals!$N$24:$N$29,MATCH(2,1/((Canals!$F$24:$F$29&lt;=$C61)*(Canals!$G$24:$G$29=_xlfn.IFS(AHT61="Handysize",Main!AKC61,AHT61="Supramax",AJV61,AHT61="Panamax",AJO61,AHT61="NeoPanamax",AJH61,AHT61="Suezmax",AJA61,AHT61="Capesize",AIT61,AHT61="VLOC",AIM61)))))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Q61" s="75" t="e">
        <f t="array" aca="1" ref="ALQ61" ca="1">INDEX(Canals!$O$24:$O$29,MATCH(2,1/((Canals!$F$24:$F$29&lt;=$C61)*(Canals!$G$24:$G$29=_xlfn.IFS(AHT61="Handysize",Main!AKC61,AHT61="Supramax",AJV61,AHT61="Panamax",AJO61,AHT61="NeoPanamax",AJH61,AHT61="Suezmax",AJA61,AHT61="Capesize",AIT61,AHT61="VLOC",AIM61)))))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R61" s="75" t="e">
        <f t="array" aca="1" ref="ALR61" ca="1">INDEX(Canals!$P$24:$P$29,MATCH(2,1/((Canals!$F$24:$F$29&lt;=$C61)*(Canals!$G$24:$G$29=_xlfn.IFS(AHT61="Handysize",Main!AKC61,AHT61="Supramax",AJV61,AHT61="Panamax",AJO61,AHT61="NeoPanamax",AJH61,AHT61="Suezmax",AJA61,AHT61="Capesize",AIT61,AHT61="VLOC",AIM61)))))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S61" s="75" t="e">
        <f t="array" aca="1" ref="ALS61" ca="1">INDEX(Canals!$Q$24:$Q$29,MATCH(2,1/((Canals!$F$24:$F$29&lt;=$C61)*(Canals!$G$24:$G$29=_xlfn.IFS(AHT61="Handysize",Main!AKC61,AHT61="Supramax",AJV61,AHT61="Panamax",AJO61,AHT61="NeoPanamax",AJH61,AHT61="Suezmax",AJA61,AHT61="Capesize",AIT61,AHT61="VLOC",AIM61)))))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T61" s="75" t="e">
        <f t="array" aca="1" ref="ALT61" ca="1">INDEX(Canals!$R$24:$R$29,MATCH(2,1/((Canals!$F$24:$F$29&lt;=$C61)*(Canals!$G$24:$G$29=_xlfn.IFS(AHT61="Handysize",Main!AKC61,AHT61="Supramax",AJV61,AHT61="Panamax",AJO61,AHT61="NeoPanamax",AJH61,AHT61="Suezmax",AJA61,AHT61="Capesize",AIT61,AHT61="VLOC",AIM61)))))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U61" s="136" t="e">
        <f t="array" aca="1" ref="ALU61" ca="1">INDEX(Canals!$S$24:$S$29,MATCH(2,1/((Canals!$F$24:$F$29&lt;=$C61)*(Canals!$G$24:$G$29=_xlfn.IFS(AHT61="Handysize",Main!AKC61,AHT61="Supramax",AJV61,AHT61="Panamax",AJO61,AHT61="NeoPanamax",AJH61,AHT61="Suezmax",AJA61,AHT61="Capesize",AIT61,AHT61="VLOC",AIM61)))))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V61" s="136" t="e">
        <f t="array" aca="1" ref="ALV61" ca="1">INDEX(Canals!$T$24:$T$29,MATCH(2,1/((Canals!$F$24:$F$29&lt;=$C61)*(Canals!$G$24:$G$29=_xlfn.IFS(AHT61="Handysize",Main!AKC61,AHT61="Supramax",AJV61,AHT61="Panamax",AJO61,AHT61="NeoPanamax",AJH61,AHT61="Suezmax",AJA61,AHT61="Capesize",AIT61,AHT61="VLOC",AIM61)))))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W61" s="136" t="e">
        <f t="array" aca="1" ref="ALW61" ca="1">INDEX(Canals!$U$24:$U$29,MATCH(2,1/((Canals!$F$24:$F$29&lt;=$C61)*(Canals!$G$24:$G$29=_xlfn.IFS(AHT61="Handysize",Main!AKC61,AHT61="Supramax",AJV61,AHT61="Panamax",AJO61,AHT61="NeoPanamax",AJH61,AHT61="Suezmax",AJA61,AHT61="Capesize",AIT61,AHT61="VLOC",AIM61)))))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X61" s="136" t="e">
        <f t="array" aca="1" ref="ALX61" ca="1">INDEX(Canals!$V$24:$V$29,MATCH(2,1/((Canals!$F$24:$F$29&lt;=$C61)*(Canals!$G$24:$G$29=_xlfn.IFS(AHT61="Handysize",Main!AKC61,AHT61="Supramax",AJV61,AHT61="Panamax",AJO61,AHT61="NeoPanamax",AJH61,AHT61="Suezmax",AJA61,AHT61="Capesize",AIT61,AHT61="VLOC",AIM61)))))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Y61" s="136" t="e">
        <f t="array" aca="1" ref="ALY61" ca="1">INDEX(Canals!$W$24:$W$29,MATCH(2,1/((Canals!$F$24:$F$29&lt;=$C61)*(Canals!$G$24:$G$29=_xlfn.IFS(AHT61="Handysize",Main!AKC61,AHT61="Supramax",AJV61,AHT61="Panamax",AJO61,AHT61="NeoPanamax",AJH61,AHT61="Suezmax",AJA61,AHT61="Capesize",AIT61,AHT61="VLOC",AIM61)))))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LZ61" s="136" t="e">
        <f t="array" aca="1" ref="ALZ61" ca="1">INDEX(Canals!$X$24:$X$29,MATCH(2,1/((Canals!$F$24:$F$29&lt;=$C61)*(Canals!$G$24:$G$29=_xlfn.IFS(AHT61="Handysize",Main!AKC61,AHT61="Supramax",AJV61,AHT61="Panamax",AJO61,AHT61="NeoPanamax",AJH61,AHT61="Suezmax",AJA61,AHT61="Capesize",AIT61,AHT61="VLOC",AIM61)))))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A61" s="136" t="e">
        <f t="array" aca="1" ref="AMA61" ca="1">INDEX(Canals!$Y$24:$Y$29,MATCH(2,1/((Canals!$F$24:$F$29&lt;=$C61)*(Canals!$G$24:$G$29=_xlfn.IFS(AHT61="Handysize",Main!AKC61,AHT61="Supramax",AJV61,AHT61="Panamax",AJO61,AHT61="NeoPanamax",AJH61,AHT61="Suezmax",AJA61,AHT61="Capesize",AIT61,AHT61="VLOC",AIM61)))))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B61" s="136" t="e">
        <f t="array" aca="1" ref="AMB61" ca="1">INDEX(Canals!$Z$24:$Z$29,MATCH(2,1/((Canals!$F$24:$F$29&lt;=$C61)*(Canals!$G$24:$G$29=_xlfn.IFS(AHT61="Handysize",Main!AKC61,AHT61="Supramax",AJV61,AHT61="Panamax",AJO61,AHT61="NeoPanamax",AJH61,AHT61="Suezmax",AJA61,AHT61="Capesize",AIT61,AHT61="VLOC",AIM61)))))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C61" s="136" t="e">
        <f t="array" aca="1" ref="AMC61" ca="1">INDEX(Canals!$AA$24:$AA$29,MATCH(2,1/((Canals!$F$24:$F$29&lt;=$C61)*(Canals!$G$24:$G$29=_xlfn.IFS(AHT61="Handysize",Main!AKC61,AHT61="Supramax",AJV61,AHT61="Panamax",AJO61,AHT61="NeoPanamax",AJH61,AHT61="Suezmax",AJA61,AHT61="Capesize",AIT61,AHT61="VLOC",AIM61)))))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D61" s="136" t="e">
        <f t="array" aca="1" ref="AMD61" ca="1">INDEX(Canals!$AB$24:$AB$29,MATCH(2,1/((Canals!$F$24:$F$29&lt;=$C61)*(Canals!$G$24:$G$29=_xlfn.IFS(AHT61="Handysize",Main!AKC61,AHT61="Supramax",AJV61,AHT61="Panamax",AJO61,AHT61="NeoPanamax",AJH61,AHT61="Suezmax",AJA61,AHT61="Capesize",AIT61,AHT61="VLOC",AIM61)))))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E61" s="75" t="e">
        <f t="array" aca="1" ref="AME61" ca="1">INDEX(Canals!$AC$24:$AC$29,MATCH(2,1/((Canals!$F$24:$F$29&lt;=$C61)*(Canals!$G$24:$G$29=_xlfn.IFS(AHT61="Handysize",Main!AKC61,AHT61="Supramax",AJV61,AHT61="Panamax",AJO61,AHT61="NeoPanamax",AJH61,AHT61="Suezmax",AJA61,AHT61="Capesize",AIT61,AHT61="VLOC",AIM61)))))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F61" s="75" t="e">
        <f t="array" aca="1" ref="AMF61" ca="1">INDEX(Canals!$AD$24:$AD$29,MATCH(2,1/((Canals!$F$24:$F$29&lt;=$C61)*(Canals!$G$24:$G$29=_xlfn.IFS(AHT61="Handysize",Main!AKC61,AHT61="Supramax",AJV61,AHT61="Panamax",AJO61,AHT61="NeoPanamax",AJH61,AHT61="Suezmax",AJA61,AHT61="Capesize",AIT61,AHT61="VLOC",AIM61)))))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G61" s="75" t="e">
        <f t="array" aca="1" ref="AMG61" ca="1">INDEX(Canals!$AE$24:$AE$29,MATCH(2,1/((Canals!$F$24:$F$29&lt;=$C61)*(Canals!$G$24:$G$29=_xlfn.IFS(AHT61="Handysize",Main!AKC61,AHT61="Supramax",AJV61,AHT61="Panamax",AJO61,AHT61="NeoPanamax",AJH61,AHT61="Suezmax",AJA61,AHT61="Capesize",AIT61,AHT61="VLOC",AIM61)))))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H61" s="75" t="e">
        <f t="array" aca="1" ref="AMH61" ca="1">INDEX(Canals!$AF$24:$AF$29,MATCH(2,1/((Canals!$F$24:$F$29&lt;=$C61)*(Canals!$G$24:$G$29=_xlfn.IFS(AHT61="Handysize",Main!AKC61,AHT61="Supramax",AJV61,AHT61="Panamax",AJO61,AHT61="NeoPanamax",AJH61,AHT61="Suezmax",AJA61,AHT61="Capesize",AIT61,AHT61="VLOC",AIM61)))))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I61" s="75" t="e">
        <f t="array" aca="1" ref="AMI61" ca="1">INDEX(Canals!$AG$24:$AG$29,MATCH(2,1/((Canals!$F$24:$F$29&lt;=$C61)*(Canals!$G$24:$G$29=_xlfn.IFS(AHT61="Handysize",Main!AKC61,AHT61="Supramax",AJV61,AHT61="Panamax",AJO61,AHT61="NeoPanamax",AJH61,AHT61="Suezmax",AJA61,AHT61="Capesize",AIT61,AHT61="VLOC",AIM61)))))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J61" s="75" t="e">
        <f t="array" aca="1" ref="AMJ61" ca="1">INDEX(Canals!$AH$24:$AH$29,MATCH(2,1/((Canals!$F$24:$F$29&lt;=$C61)*(Canals!$G$24:$G$29=_xlfn.IFS(AHT61="Handysize",Main!AKC61,AHT61="Supramax",AJV61,AHT61="Panamax",AJO61,AHT61="NeoPanamax",AJH61,AHT61="Suezmax",AJA61,AHT61="Capesize",AIT61,AHT61="VLOC",AIM61)))))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K61" s="75" t="e">
        <f t="array" aca="1" ref="AMK61" ca="1">INDEX(Canals!$AI$24:$AI$29,MATCH(2,1/((Canals!$F$24:$F$29&lt;=$C61)*(Canals!$G$24:$G$29=_xlfn.IFS(AHT61="Handysize",Main!AKC61,AHT61="Supramax",AJV61,AHT61="Panamax",AJO61,AHT61="NeoPanamax",AJH61,AHT61="Suezmax",AJA61,AHT61="Capesize",AIT61,AHT61="VLOC",AIM61)))))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L61" s="75" t="e">
        <f t="array" aca="1" ref="AML61" ca="1">INDEX(Canals!$AJ$24:$AJ$29,MATCH(2,1/((Canals!$F$24:$F$29&lt;=$C61)*(Canals!$G$24:$G$29=_xlfn.IFS(AHT61="Handysize",Main!AKC61,AHT61="Supramax",AJV61,AHT61="Panamax",AJO61,AHT61="NeoPanamax",AJH61,AHT61="Suezmax",AJA61,AHT61="Capesize",AIT61,AHT61="VLOC",AIM61)))))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M61" s="75" t="e">
        <f t="array" aca="1" ref="AMM61" ca="1">INDEX(Canals!$AK$24:$AK$29,MATCH(2,1/((Canals!$F$24:$F$29&lt;=$C61)*(Canals!$G$24:$G$29=_xlfn.IFS(AHT61="Handysize",Main!AKC61,AHT61="Supramax",AJV61,AHT61="Panamax",AJO61,AHT61="NeoPanamax",AJH61,AHT61="Suezmax",AJA61,AHT61="Capesize",AIT61,AHT61="VLOC",AIM61)))))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N61" s="136" t="e">
        <f t="array" aca="1" ref="AMN61" ca="1">INDEX(Canals!$AL$24:$AL$29,MATCH(2,1/((Canals!$F$24:$F$29&lt;=$C61)*(Canals!$G$24:$G$29=_xlfn.IFS(AHT61="Handysize",Main!AKC61,AHT61="Supramax",AJV61,AHT61="Panamax",AJO61,AHT61="NeoPanamax",AJH61,AHT61="Suezmax",AJA61,AHT61="Capesize",AIT61,AHT61="VLOC",AIM61)))))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O61" s="136" t="e">
        <f t="array" aca="1" ref="AMO61" ca="1">INDEX(Canals!$AM$24:$AM$29,MATCH(2,1/((Canals!$F$24:$F$29&lt;=$C61)*(Canals!$G$24:$G$29=_xlfn.IFS(AHT61="Handysize",Main!AKC61,AHT61="Supramax",AJV61,AHT61="Panamax",AJO61,AHT61="NeoPanamax",AJH61,AHT61="Suezmax",AJA61,AHT61="Capesize",AIT61,AHT61="VLOC",AIM61)))))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P61" s="136" t="e">
        <f t="array" aca="1" ref="AMP61" ca="1">INDEX(Canals!$AN$24:$AN$29,MATCH(2,1/((Canals!$F$24:$F$29&lt;=$C61)*(Canals!$G$24:$G$29=_xlfn.IFS(AHT61="Handysize",Main!AKC61,AHT61="Supramax",AJV61,AHT61="Panamax",AJO61,AHT61="NeoPanamax",AJH61,AHT61="Suezmax",AJA61,AHT61="Capesize",AIT61,AHT61="VLOC",AIM61)))))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Q61" s="136" t="e">
        <f t="array" aca="1" ref="AMQ61" ca="1">INDEX(Canals!$AO$24:$AO$29,MATCH(2,1/((Canals!$F$24:$F$29&lt;=$C61)*(Canals!$G$24:$G$29=_xlfn.IFS(AHT61="Handysize",Main!AKC61,AHT61="Supramax",AJV61,AHT61="Panamax",AJO61,AHT61="NeoPanamax",AJH61,AHT61="Suezmax",AJA61,AHT61="Capesize",AIT61,AHT61="VLOC",AIM61)))))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R61" s="136" t="e">
        <f t="array" aca="1" ref="AMR61" ca="1">INDEX(Canals!$AP$24:$AP$29,MATCH(2,1/((Canals!$F$24:$F$29&lt;=$C61)*(Canals!$G$24:$G$29=_xlfn.IFS(AHT61="Handysize",Main!AKC61,AHT61="Supramax",AJV61,AHT61="Panamax",AJO61,AHT61="NeoPanamax",AJH61,AHT61="Suezmax",AJA61,AHT61="Capesize",AIT61,AHT61="VLOC",AIM61)))))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S61" s="136" t="e">
        <f t="array" aca="1" ref="AMS61" ca="1">INDEX(Canals!$AQ$24:$AQ$29,MATCH(2,1/((Canals!$F$24:$F$29&lt;=$C61)*(Canals!$G$24:$G$29=_xlfn.IFS(AHT61="Handysize",Main!AKC61,AHT61="Supramax",AJV61,AHT61="Panamax",AJO61,AHT61="NeoPanamax",AJH61,AHT61="Suezmax",AJA61,AHT61="Capesize",AIT61,AHT61="VLOC",AIM61)))))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T61" s="136" t="e">
        <f t="array" aca="1" ref="AMT61" ca="1">INDEX(Canals!$AR$24:$AR$29,MATCH(2,1/((Canals!$F$24:$F$29&lt;=$C61)*(Canals!$G$24:$G$29=_xlfn.IFS(AHT61="Handysize",Main!AKC61,AHT61="Supramax",AJV61,AHT61="Panamax",AJO61,AHT61="NeoPanamax",AJH61,AHT61="Suezmax",AJA61,AHT61="Capesize",AIT61,AHT61="VLOC",AIM61)))))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U61" s="136" t="e">
        <f t="array" aca="1" ref="AMU61" ca="1">INDEX(Canals!$AS$24:$AS$29,MATCH(2,1/((Canals!$F$24:$F$29&lt;=$C61)*(Canals!$G$24:$G$29=_xlfn.IFS(AHT61="Handysize",Main!AKC61,AHT61="Supramax",AJV61,AHT61="Panamax",AJO61,AHT61="NeoPanamax",AJH61,AHT61="Suezmax",AJA61,AHT61="Capesize",AIT61,AHT61="VLOC",AIM61)))))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V61" s="136" t="e">
        <f t="array" aca="1" ref="AMV61" ca="1">INDEX(Canals!$AT$24:$AT$29,MATCH(2,1/((Canals!$F$24:$F$29&lt;=$C61)*(Canals!$G$24:$G$29=_xlfn.IFS(AHT61="Handysize",Main!AKC61,AHT61="Supramax",AJV61,AHT61="Panamax",AJO61,AHT61="NeoPanamax",AJH61,AHT61="Suezmax",AJA61,AHT61="Capesize",AIT61,AHT61="VLOC",AIM61)))))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W61" s="136" t="e">
        <f t="array" aca="1" ref="AMW61" ca="1">INDEX(Canals!$AU$24:$AU$29,MATCH(2,1/((Canals!$F$24:$F$29&lt;=$C61)*(Canals!$G$24:$G$29=_xlfn.IFS(AHT61="Handysize",Main!AKC61,AHT61="Supramax",AJV61,AHT61="Panamax",AJO61,AHT61="NeoPanamax",AJH61,AHT61="Suezmax",AJA61,AHT61="Capesize",AIT61,AHT61="VLOC",AIM61)))))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X61" s="136" t="e">
        <f t="array" aca="1" ref="AMX61" ca="1">INDEX(Canals!$AV$24:$AV$29,MATCH(2,1/((Canals!$F$24:$F$29&lt;=$C61)*(Canals!$G$24:$G$29=_xlfn.IFS(AHT61="Handysize",Main!AKC61,AHT61="Supramax",AJV61,AHT61="Panamax",AJO61,AHT61="NeoPanamax",AJH61,AHT61="Suezmax",AJA61,AHT61="Capesize",AIT61,AHT61="VLOC",AIM61)))))</f>
        <v>#N/A</v>
      </c>
      <c r="AMZ61" s="75" t="e">
        <f t="array" aca="1" ref="AMZ61" ca="1">_xlfn.IFS(ALK61="DWT",AHR61,ALK61="NRT",AHV61,ALK61="GRT",AHW61,ALK61=0,0)</f>
        <v>#NAME?</v>
      </c>
      <c r="ANA61" s="279" t="e">
        <f t="shared" ca="1" si="561"/>
        <v>#NAME?</v>
      </c>
      <c r="ANB61" s="280" t="e">
        <f t="shared" ca="1" si="562"/>
        <v>#NAME?</v>
      </c>
      <c r="ANC61" s="280" t="e">
        <f t="shared" ca="1" si="563"/>
        <v>#NAME?</v>
      </c>
      <c r="AND61" s="280" t="e">
        <f t="shared" ca="1" si="564"/>
        <v>#NAME?</v>
      </c>
      <c r="ANE61" s="280" t="e">
        <f t="shared" ca="1" si="565"/>
        <v>#NAME?</v>
      </c>
      <c r="ANF61" s="280" t="e">
        <f t="shared" ca="1" si="566"/>
        <v>#NAME?</v>
      </c>
      <c r="ANG61" s="280" t="e">
        <f t="shared" ca="1" si="567"/>
        <v>#NAME?</v>
      </c>
      <c r="ANH61" s="280" t="e">
        <f t="shared" ca="1" si="568"/>
        <v>#NAME?</v>
      </c>
      <c r="ANI61" s="280" t="e">
        <f t="shared" ca="1" si="569"/>
        <v>#NAME?</v>
      </c>
      <c r="ANJ61" s="75">
        <f t="shared" si="570"/>
        <v>0</v>
      </c>
      <c r="ANK61" s="279" t="e">
        <f t="shared" ca="1" si="571"/>
        <v>#N/A</v>
      </c>
      <c r="ANL61" s="280" t="e">
        <f t="shared" ca="1" si="572"/>
        <v>#N/A</v>
      </c>
      <c r="ANM61" s="280" t="e">
        <f t="shared" ca="1" si="573"/>
        <v>#N/A</v>
      </c>
      <c r="ANN61" s="280" t="e">
        <f t="shared" ca="1" si="574"/>
        <v>#N/A</v>
      </c>
      <c r="ANO61" s="280" t="e">
        <f t="shared" ca="1" si="575"/>
        <v>#N/A</v>
      </c>
      <c r="ANP61" s="280" t="e">
        <f t="shared" ca="1" si="576"/>
        <v>#N/A</v>
      </c>
      <c r="ANQ61" s="280" t="e">
        <f t="shared" ca="1" si="577"/>
        <v>#N/A</v>
      </c>
      <c r="ANR61" s="280" t="e">
        <f t="shared" ca="1" si="578"/>
        <v>#N/A</v>
      </c>
      <c r="ANS61" s="280" t="e">
        <f t="shared" ca="1" si="579"/>
        <v>#N/A</v>
      </c>
      <c r="ANU61" s="75" t="e">
        <f t="array" aca="1" ref="ANU61" ca="1">_xlfn.IFS(AHT61="Handysize",Main!AJW61,AHT61="Supramax",AJP61,AHT61="Panamax",AJI61,AHT61="NeoPanamax",AJB61,AHT61="Suezmax",AIU61,AHT61="Capesize",AIN61,AHT61="VLOC",AIG61)*$JI61</f>
        <v>#NAME?</v>
      </c>
      <c r="ANV61" s="274" t="e">
        <f t="array" aca="1" ref="ANV61" ca="1">_xlfn.IFS(AHT61="Handysize",Main!AJX61,AHT61="Supramax",AJQ61,AHT61="Panamax",AJJ61,AHT61="NeoPanamax",AJC61,AHT61="Suezmax",AIV61,AHT61="Capesize",AIO61,AHT61="VLOC",AIH61)*$JI61</f>
        <v>#NAME?</v>
      </c>
      <c r="ANW61" s="71" t="e">
        <f t="array" aca="1" ref="ANW61" ca="1">_xlfn.IFS(AHT61="Handysize",Main!AHY61,AHT61="Supramax",AHZ61,AHT61="Panamax",AIA61,AHT61="NeoPanamax",AIB61,AHT61="Suezmax",AIC61,AHT61="Capesize",AID61,AHT61="VLOC",AIE61)</f>
        <v>#NAME?</v>
      </c>
      <c r="ANX61" s="71" t="e">
        <f t="array" aca="1" ref="ANX61" ca="1">_xlfn.IFS(AHT61="Handysize",Main!AKK61,AHT61="Supramax",AKL61,AHT61="Panamax",AKM61,AHT61="NeoPanamax",AKN61,AHT61="Suezmax",AKO61,AHT61="Capesize",AKP61,AHT61="VLOC",AKQ61)</f>
        <v>#NAME?</v>
      </c>
      <c r="ANY61" s="70">
        <f t="array" ref="ANY61">INDEX('Ship Speeds'!$G$11:$G$1011,MATCH(2,1/(('Ship Speeds'!$E$11:$E$1011&lt;=Main!$C61)*('Ship Speeds'!$F$11:$F$1011=Main!AHS61))))</f>
        <v>11</v>
      </c>
      <c r="ANZ61" s="403">
        <f t="shared" si="580"/>
        <v>0</v>
      </c>
      <c r="AOA61" s="401">
        <f t="shared" si="581"/>
        <v>1.2</v>
      </c>
      <c r="AOB61" s="70" t="e">
        <f t="shared" ca="1" si="582"/>
        <v>#NAME?</v>
      </c>
      <c r="AOC61" s="70" t="e">
        <f t="shared" ca="1" si="583"/>
        <v>#NAME?</v>
      </c>
      <c r="AOD61" s="70" t="e">
        <f t="shared" ca="1" si="584"/>
        <v>#NAME?</v>
      </c>
      <c r="AOE61" s="70" t="e">
        <f t="shared" ca="1" si="585"/>
        <v>#NAME?</v>
      </c>
      <c r="AOF61" s="72" t="e">
        <f t="shared" ca="1" si="586"/>
        <v>#N/A</v>
      </c>
      <c r="AOG61" s="70" t="e">
        <f t="shared" ca="1" si="587"/>
        <v>#NAME?</v>
      </c>
      <c r="AOH61" s="70" t="e">
        <f t="array" aca="1" ref="AOH61" ca="1">IF(ANU61=0,0,INDEX(AKE61:AKI61,MATCH(_xlfn.IFS(AHT61="Handysize",Main!AKA61,AHT61="Supramax",AJT61,AHT61="Panamax",AJM61,AHT61="NeoPanamax",AJF61,AHT61="Suezmax",AIY61,AHT61="Capesize",AIR61,AHT61="VLOC",AIK61),$AKE$7:$AKI$7,0)))</f>
        <v>#NAME?</v>
      </c>
      <c r="AOI61" s="70" t="e">
        <f t="array" aca="1" ref="AOI61" ca="1">IF(ANU61=0,0,INDEX(AKE61:AKI61,MATCH(_xlfn.IFS(AHT61="Handysize",Main!AKB61,AHT61="Supramax",AJU61,AHT61="Panamax",AJN61,AHT61="NeoPanamax",AJG61,AHT61="Suezmax",AIZ61,AHT61="Capesize",AIS61,AHT61="VLOC",AIL61),$AKE$7:$AKI$7,0)))</f>
        <v>#NAME?</v>
      </c>
      <c r="AOJ61" s="71" t="e">
        <f t="shared" ca="1" si="588"/>
        <v>#NAME?</v>
      </c>
      <c r="AOK61" s="71" t="e">
        <f t="shared" ca="1" si="589"/>
        <v>#NAME?</v>
      </c>
      <c r="AOL61" s="281" t="e">
        <f t="shared" ca="1" si="590"/>
        <v>#NAME?</v>
      </c>
      <c r="AOM61" s="71" t="e">
        <f t="shared" ca="1" si="591"/>
        <v>#NAME?</v>
      </c>
      <c r="AON61" s="71" t="e">
        <f t="shared" ca="1" si="592"/>
        <v>#NAME?</v>
      </c>
      <c r="AOO61" s="71" t="e">
        <f t="shared" ca="1" si="593"/>
        <v>#NAME?</v>
      </c>
      <c r="AOP61" s="71" t="e">
        <f t="shared" ca="1" si="594"/>
        <v>#NAME?</v>
      </c>
      <c r="AOQ61" s="71" t="e">
        <f t="shared" ca="1" si="595"/>
        <v>#NAME?</v>
      </c>
      <c r="AOR61" s="71" t="e">
        <f t="shared" ca="1" si="596"/>
        <v>#NAME?</v>
      </c>
      <c r="AOS61" s="71" t="e">
        <f t="shared" ca="1" si="597"/>
        <v>#NAME?</v>
      </c>
      <c r="AOT61" s="71" t="e">
        <f t="shared" ca="1" si="598"/>
        <v>#NAME?</v>
      </c>
      <c r="AOU61" s="71" t="e">
        <f t="shared" ca="1" si="599"/>
        <v>#NAME?</v>
      </c>
      <c r="AOV61" s="71" t="e">
        <f t="shared" ca="1" si="600"/>
        <v>#NAME?</v>
      </c>
      <c r="AOW61" s="71" t="e">
        <f t="shared" ca="1" si="601"/>
        <v>#NAME?</v>
      </c>
      <c r="AOX61" s="71" t="e">
        <f t="shared" ca="1" si="602"/>
        <v>#NAME?</v>
      </c>
      <c r="AOY61" s="72" t="e">
        <f t="shared" ca="1" si="603"/>
        <v>#NAME?</v>
      </c>
      <c r="AOZ61" s="72" t="e">
        <f t="shared" ca="1" si="604"/>
        <v>#NAME?</v>
      </c>
      <c r="APA61" s="71" t="e">
        <f t="shared" ca="1" si="605"/>
        <v>#NAME?</v>
      </c>
      <c r="APB61" s="71" t="e">
        <f t="array" aca="1" ref="APB61" ca="1">IF(ANU61=0,0,INDEX('Ship Time Charter Rates'!$H$22:$H$1021,MATCH(2,1/(('Ship Time Charter Rates'!$G$22:$G$1021=_xlfn.IFS(AHT61="Handysize",Main!AJY61,AHT61="Supramax",AJR61,AHT61="Panamax",AJK61,AHT61="NeoPanamax",AJD61,AHT61="Suezmax",AIW61,AHT61="Capesize",AIP61,AHT61="VLOC",AII61))*('Ship Time Charter Rates'!$E$22:$E$1021&lt;=Main!$C61)*(NOT(ISBLANK('Ship Time Charter Rates'!$H$22:$H$1021)))))))</f>
        <v>#NAME?</v>
      </c>
      <c r="APC61" s="71" t="e">
        <f t="shared" ca="1" si="606"/>
        <v>#NAME?</v>
      </c>
      <c r="APD61" s="70" t="e">
        <f t="shared" ca="1" si="607"/>
        <v>#NAME?</v>
      </c>
      <c r="APE61" s="71" t="e">
        <f t="shared" ca="1" si="608"/>
        <v>#NAME?</v>
      </c>
      <c r="APF61" s="71" t="e">
        <f t="shared" ca="1" si="609"/>
        <v>#NAME?</v>
      </c>
      <c r="APG61" s="72" t="e">
        <f t="shared" ca="1" si="610"/>
        <v>#NAME?</v>
      </c>
      <c r="API61" s="287" t="s">
        <v>39</v>
      </c>
      <c r="APK61" s="289" t="e">
        <f t="shared" ca="1" si="611"/>
        <v>#NAME?</v>
      </c>
      <c r="APL61" s="289" t="e">
        <f t="shared" ca="1" si="612"/>
        <v>#NAME?</v>
      </c>
      <c r="APM61" s="289" t="e">
        <f t="shared" ca="1" si="613"/>
        <v>#NAME?</v>
      </c>
      <c r="APO61" s="287" t="s">
        <v>39</v>
      </c>
    </row>
    <row r="62" spans="2:1107">
      <c r="B62" s="434" t="e">
        <f t="shared" ca="1" si="614"/>
        <v>#NAME?</v>
      </c>
      <c r="C62" s="18">
        <f t="shared" si="615"/>
        <v>43934</v>
      </c>
      <c r="D62" s="7" t="s">
        <v>20</v>
      </c>
      <c r="E62" s="86" t="s">
        <v>455</v>
      </c>
      <c r="F62" s="6">
        <v>45</v>
      </c>
      <c r="G62" s="1" t="s">
        <v>185</v>
      </c>
      <c r="H62" s="1" t="s">
        <v>5</v>
      </c>
      <c r="I62" s="15"/>
      <c r="J62" s="15"/>
      <c r="K62" s="15"/>
      <c r="L62" s="15"/>
      <c r="M62" s="15"/>
      <c r="N62" s="15"/>
      <c r="O62" s="15"/>
      <c r="P62" s="433">
        <v>47000</v>
      </c>
      <c r="Q62" s="98"/>
      <c r="R62" s="7" t="s">
        <v>95</v>
      </c>
      <c r="T62" s="287" t="s">
        <v>39</v>
      </c>
      <c r="V62" s="4"/>
      <c r="W62" s="16" t="str">
        <f t="shared" si="349"/>
        <v>not used yet</v>
      </c>
      <c r="X62" s="16" t="str">
        <f t="shared" si="349"/>
        <v>not used yet</v>
      </c>
      <c r="Y62" s="16" t="str">
        <f t="shared" si="349"/>
        <v>not used yet</v>
      </c>
      <c r="Z62" s="16" t="str">
        <f t="shared" si="349"/>
        <v>not used yet</v>
      </c>
      <c r="AA62" s="16" t="str">
        <f t="shared" si="349"/>
        <v>not used yet</v>
      </c>
      <c r="AB62" s="16" t="str">
        <f t="shared" si="349"/>
        <v>not used yet</v>
      </c>
      <c r="AC62" s="16" t="str">
        <f t="shared" si="349"/>
        <v>not used yet</v>
      </c>
      <c r="AE62" s="88" t="str">
        <f t="shared" si="619"/>
        <v>India Gujarat</v>
      </c>
      <c r="AF62" s="16">
        <f t="shared" si="350"/>
        <v>0.48</v>
      </c>
      <c r="AG62" s="16">
        <f t="shared" si="351"/>
        <v>0.40500000000000003</v>
      </c>
      <c r="AH62" s="61">
        <f t="shared" si="352"/>
        <v>7.0000000000000007E-2</v>
      </c>
      <c r="AI62" s="61">
        <f t="shared" si="353"/>
        <v>5.2499999999999998E-2</v>
      </c>
      <c r="AJ62" s="61">
        <f t="shared" si="354"/>
        <v>1.7500000000000009E-2</v>
      </c>
      <c r="AK62" s="16">
        <f t="shared" si="355"/>
        <v>2.2499999999999958E-2</v>
      </c>
      <c r="AL62" s="16">
        <f t="shared" si="356"/>
        <v>7.0000000000000007E-2</v>
      </c>
      <c r="AM62" s="24" t="str">
        <f t="shared" si="620"/>
        <v>LT</v>
      </c>
      <c r="AN62" s="427">
        <f t="shared" si="357"/>
        <v>47000</v>
      </c>
      <c r="AO62" s="127" t="str">
        <f t="array" ref="AO62">IFERROR(IF(AND(AN62&gt;'Indices Mines Exporting Ports'!$D$11,MATCH(2,1/(('Indices Mines Exporting Ports'!$B$3:$B$10&lt;=C62)*('Indices Mines Exporting Ports'!$C$3:$C$10=E62)))),"Yes","No"),"No")</f>
        <v>No</v>
      </c>
      <c r="AP62" s="126" t="str">
        <f t="array" ref="AP62">IF(AO62="Yes",INDEX('Indices Mines Exporting Ports'!$D$3:$D$10,MATCH(2,1/(('Indices Mines Exporting Ports'!$B$3:$B$10&lt;=Main!C62)*('Indices Mines Exporting Ports'!$C$3:$C$10=Main!AE62)))),IF(NOT(ISBLANK(Q62)),Q62,IP62))</f>
        <v>Gujarat_wharf</v>
      </c>
      <c r="AQ62" s="262">
        <f t="array" ref="AQ62">IF(AO62="no",0,INDEX('Indices Mines Exporting Ports'!$E$3:$E$10,MATCH(2,1/(('Indices Mines Exporting Ports'!$B$3:$B$10&lt;=Main!$C62)*('Indices Mines Exporting Ports'!$D$3:$D$10=Main!$AP62)))))</f>
        <v>0</v>
      </c>
      <c r="AR62" s="267">
        <f t="array" ref="AR62">IF(AO62="No",0,AN62/ROUND(AN62/INDEX('Indices Mines Exporting Ports'!$F$3:$F$10,MATCH(2,1/(('Indices Mines Exporting Ports'!$B$3:$B$10&lt;=Main!C62)*('Indices Mines Exporting Ports'!$C$3:$C$10=Main!AE62)))),0))</f>
        <v>0</v>
      </c>
      <c r="AS62" s="127" t="str">
        <f t="shared" si="621"/>
        <v>Qingdao</v>
      </c>
      <c r="AT62" s="100" t="str">
        <f t="shared" si="358"/>
        <v>CBIX LT</v>
      </c>
      <c r="AU62" s="100" t="str">
        <f t="shared" si="359"/>
        <v>CBIX LT</v>
      </c>
      <c r="AV62" s="242" t="s">
        <v>4</v>
      </c>
      <c r="AW62" s="242" t="s">
        <v>5</v>
      </c>
      <c r="AX62" s="292" t="e">
        <f t="shared" ca="1" si="622"/>
        <v>#NAME?</v>
      </c>
      <c r="AY62" s="291" t="e">
        <f t="shared" ca="1" si="360"/>
        <v>#NAME?</v>
      </c>
      <c r="AZ62" s="292" t="e">
        <f t="shared" ca="1" si="623"/>
        <v>#NAME?</v>
      </c>
      <c r="BA62" s="102">
        <f t="shared" si="624"/>
        <v>0.83000000000000007</v>
      </c>
      <c r="BB62" s="12"/>
      <c r="BC62" s="306" t="s">
        <v>403</v>
      </c>
      <c r="BD62" s="407">
        <f t="shared" si="361"/>
        <v>0</v>
      </c>
      <c r="BE62" s="407">
        <f t="shared" si="361"/>
        <v>0</v>
      </c>
      <c r="BF62" s="407">
        <f t="shared" si="361"/>
        <v>0</v>
      </c>
      <c r="BG62" s="407" t="e">
        <f t="shared" ca="1" si="362"/>
        <v>#NAME?</v>
      </c>
      <c r="BH62" s="407">
        <f t="shared" si="363"/>
        <v>0</v>
      </c>
      <c r="BI62" s="263" t="e">
        <f t="shared" ca="1" si="364"/>
        <v>#NAME?</v>
      </c>
      <c r="BK62" s="287" t="s">
        <v>39</v>
      </c>
      <c r="BM62" s="291" t="e">
        <f t="shared" ca="1" si="365"/>
        <v>#NAME?</v>
      </c>
      <c r="BN62" s="298">
        <f t="shared" si="366"/>
        <v>0.48</v>
      </c>
      <c r="BO62" s="298">
        <f t="shared" si="367"/>
        <v>0.40500000000000003</v>
      </c>
      <c r="BP62" s="298">
        <f t="shared" si="368"/>
        <v>7.0000000000000007E-2</v>
      </c>
      <c r="BQ62" s="298">
        <f t="shared" si="369"/>
        <v>5.2499999999999998E-2</v>
      </c>
      <c r="BR62" s="298">
        <f t="shared" si="370"/>
        <v>1.7500000000000009E-2</v>
      </c>
      <c r="BS62" s="298">
        <f t="shared" si="371"/>
        <v>2.2499999999999958E-2</v>
      </c>
      <c r="BT62" s="298">
        <f t="shared" si="372"/>
        <v>7.0000000000000007E-2</v>
      </c>
      <c r="BU62" s="307" t="str">
        <f t="shared" si="373"/>
        <v>LT</v>
      </c>
      <c r="BV62" s="291">
        <f t="shared" si="374"/>
        <v>0.83000000000000007</v>
      </c>
      <c r="BX62" s="300">
        <f t="array" ref="BX62">INDEX('Processing Factors'!$D$8:$D$29,MATCH(2,1/(('Processing Factors'!$B$8:$B$29&lt;=Main!$C62)*('Processing Factors'!$C$8:$C$29=Main!BU62))))</f>
        <v>0</v>
      </c>
      <c r="BY62" s="299">
        <f t="array" ref="BY62">INDEX('Processing Factors'!$E$8:$E$29,MATCH(2,1/(('Processing Factors'!$B$8:$B$29&lt;=Main!$C62)*('Processing Factors'!$C$8:$C$29=Main!BU62))))</f>
        <v>1</v>
      </c>
      <c r="BZ62" s="299">
        <f t="array" ref="BZ62">INDEX('Processing Factors'!$F$8:$F$29,MATCH(2,1/(('Processing Factors'!$B$8:$B$29&lt;=Main!$C62)*('Processing Factors'!$C$8:$C$29=Main!BU62))))</f>
        <v>0.9</v>
      </c>
      <c r="CA62" s="299">
        <f t="array" ref="CA62">INDEX('Processing Factors'!$G$8:$G$29,MATCH(2,1/(('Processing Factors'!$B$8:$B$29&lt;=Main!$C62)*('Processing Factors'!$C$8:$C$29=Main!BU62))))</f>
        <v>3.5999999999999997E-2</v>
      </c>
      <c r="CB62" s="299">
        <f t="array" ref="CB62">INDEX('Processing Factors'!$H$8:$H$29,MATCH(2,1/(('Processing Factors'!$B$8:$B$29&lt;=Main!$C62)*('Processing Factors'!$C$8:$C$29=Main!BU62))))</f>
        <v>12.15</v>
      </c>
      <c r="CC62" s="300">
        <f t="array" ref="CC62">INDEX('Processing Factors'!$I$8:$I$29,MATCH(2,1/(('Processing Factors'!$B$8:$B$29&lt;=Main!$C62)*('Processing Factors'!$C$8:$C$29=Main!BU62))))</f>
        <v>0</v>
      </c>
      <c r="CD62" s="300">
        <f t="array" ref="CD62">INDEX('Processing Factors'!$J$8:$J$29,MATCH(2,1/(('Processing Factors'!$B$8:$B$29&lt;=Main!$C62)*('Processing Factors'!$C$8:$C$29=Main!BU62))))</f>
        <v>0.9</v>
      </c>
      <c r="CE62" s="299">
        <f t="array" ref="CE62">INDEX('Processing Factors'!$K$8:$K$29,MATCH(2,1/(('Processing Factors'!$B$8:$B$29&lt;=Main!$C62)*('Processing Factors'!$C$8:$C$29=Main!BU62))))</f>
        <v>3.5000000000000003E-2</v>
      </c>
      <c r="CG62" s="302">
        <f t="shared" si="375"/>
        <v>0.45750000000000002</v>
      </c>
      <c r="CH62" s="302">
        <f t="shared" si="376"/>
        <v>5.2499999999999998E-2</v>
      </c>
      <c r="CI62" s="302">
        <f t="shared" si="377"/>
        <v>0.40500000000000003</v>
      </c>
      <c r="CJ62" s="299">
        <f t="shared" si="378"/>
        <v>2.7434842249657061</v>
      </c>
      <c r="CK62" s="281" t="e">
        <f t="shared" ca="1" si="617"/>
        <v>#NAME?</v>
      </c>
      <c r="CL62" s="299">
        <f t="shared" si="379"/>
        <v>0.16462962962962963</v>
      </c>
      <c r="CM62" s="281">
        <f t="shared" si="625"/>
        <v>39.510627686960589</v>
      </c>
      <c r="CN62" s="281">
        <f t="shared" si="626"/>
        <v>50.321396655852695</v>
      </c>
      <c r="CO62" s="281">
        <f t="shared" si="627"/>
        <v>1.2197497818850218</v>
      </c>
      <c r="CP62" s="299">
        <f t="shared" si="380"/>
        <v>1.9441138545953358</v>
      </c>
      <c r="CQ62" s="281">
        <f t="shared" si="628"/>
        <v>8.2337932295219094</v>
      </c>
      <c r="CR62" s="281" t="e">
        <f t="shared" ca="1" si="381"/>
        <v>#NAME?</v>
      </c>
      <c r="CT62" s="287" t="s">
        <v>39</v>
      </c>
      <c r="CV62" s="305" t="e">
        <f t="shared" ca="1" si="382"/>
        <v>#NAME?</v>
      </c>
      <c r="CW62" s="61">
        <f t="array" ref="CW62">INDEX('Indices Mines Exporting Ports'!E$20:E$51, MATCH(2,1/(('Indices Mines Exporting Ports'!$C$20:$C$51=$AT62)*('Indices Mines Exporting Ports'!$D$20:$D$51&lt;=$C62))))</f>
        <v>0.5</v>
      </c>
      <c r="CX62" s="61">
        <f t="array" ref="CX62">INDEX('Indices Mines Exporting Ports'!F$20:F$51, MATCH(2,1/(('Indices Mines Exporting Ports'!$C$20:$C$51=$AT62)*('Indices Mines Exporting Ports'!$D$20:$D$51&lt;=$C62))))</f>
        <v>0.45</v>
      </c>
      <c r="CY62" s="61">
        <f t="array" ref="CY62">INDEX('Indices Mines Exporting Ports'!G$20:G$51, MATCH(2,1/(('Indices Mines Exporting Ports'!$C$20:$C$51=$AT62)*('Indices Mines Exporting Ports'!$D$20:$D$51&lt;=$C62))))</f>
        <v>0.05</v>
      </c>
      <c r="CZ62" s="61">
        <f t="array" ref="CZ62">INDEX('Indices Mines Exporting Ports'!H$20:H$51, MATCH(2,1/(('Indices Mines Exporting Ports'!$C$20:$C$51=$AT62)*('Indices Mines Exporting Ports'!$D$20:$D$51&lt;=$C62))))</f>
        <v>0.05</v>
      </c>
      <c r="DA62" s="61">
        <f t="array" ref="DA62">INDEX('Indices Mines Exporting Ports'!I$20:I$51, MATCH(2,1/(('Indices Mines Exporting Ports'!$C$20:$C$51=$AT62)*('Indices Mines Exporting Ports'!$D$20:$D$51&lt;=$C62))))</f>
        <v>0</v>
      </c>
      <c r="DB62" s="61">
        <f t="array" ref="DB62">INDEX('Indices Mines Exporting Ports'!J$20:J$51, MATCH(2,1/(('Indices Mines Exporting Ports'!$C$20:$C$51=$AT62)*('Indices Mines Exporting Ports'!$D$20:$D$51&lt;=$C62))))</f>
        <v>0</v>
      </c>
      <c r="DC62" s="61">
        <f t="array" ref="DC62">INDEX('Indices Mines Exporting Ports'!K$20:K$51, MATCH(2,1/(('Indices Mines Exporting Ports'!$C$20:$C$51=$AT62)*('Indices Mines Exporting Ports'!$D$20:$D$51&lt;=$C62))))</f>
        <v>0.1</v>
      </c>
      <c r="DD62" s="103" t="str">
        <f t="array" ref="DD62">INDEX('Indices Mines Exporting Ports'!L$20:L$51, MATCH(2,1/(('Indices Mines Exporting Ports'!$C$20:$C$51=$AT62)*('Indices Mines Exporting Ports'!$D$20:$D$51&lt;=$C62))))</f>
        <v>LT</v>
      </c>
      <c r="DE62" s="243">
        <f t="array" ref="DE62">INDEX('Indices Mines Exporting Ports'!M$20:M$51, MATCH(2,1/(('Indices Mines Exporting Ports'!$C$20:$C$51=$AT62)*('Indices Mines Exporting Ports'!$D$20:$D$51&lt;=$C62))))</f>
        <v>0</v>
      </c>
      <c r="DG62" s="300">
        <f t="array" ref="DG62">INDEX('Processing Factors'!$D$8:$D$29,MATCH(2,1/(('Processing Factors'!$B$8:$B$29&lt;=Main!$C62)*('Processing Factors'!$C$8:$C$29=Main!DD62))))</f>
        <v>0</v>
      </c>
      <c r="DH62" s="299">
        <f t="array" ref="DH62">INDEX('Processing Factors'!$E$8:$E$29,MATCH(2,1/(('Processing Factors'!$B$8:$B$29&lt;=Main!$C62)*('Processing Factors'!$C$8:$C$29=Main!DD62))))</f>
        <v>1</v>
      </c>
      <c r="DI62" s="299">
        <f t="array" ref="DI62">INDEX('Processing Factors'!$F$8:$F$29,MATCH(2,1/(('Processing Factors'!$B$8:$B$29&lt;=Main!$C62)*('Processing Factors'!$C$8:$C$29=Main!DD62))))</f>
        <v>0.9</v>
      </c>
      <c r="DJ62" s="299">
        <f t="array" ref="DJ62">INDEX('Processing Factors'!$G$8:$G$29,MATCH(2,1/(('Processing Factors'!$B$8:$B$29&lt;=Main!$C62)*('Processing Factors'!$C$8:$C$29=Main!DD62))))</f>
        <v>3.5999999999999997E-2</v>
      </c>
      <c r="DK62" s="299">
        <f t="array" ref="DK62">INDEX('Processing Factors'!$H$8:$H$29,MATCH(2,1/(('Processing Factors'!$B$8:$B$29&lt;=Main!$C62)*('Processing Factors'!$C$8:$C$29=Main!DD62))))</f>
        <v>12.15</v>
      </c>
      <c r="DL62" s="300">
        <f t="array" ref="DL62">INDEX('Processing Factors'!$I$8:$I$29,MATCH(2,1/(('Processing Factors'!$B$8:$B$29&lt;=Main!$C62)*('Processing Factors'!$C$8:$C$29=Main!DD62))))</f>
        <v>0</v>
      </c>
      <c r="DM62" s="300">
        <f t="array" ref="DM62">INDEX('Processing Factors'!$J$8:$J$29,MATCH(2,1/(('Processing Factors'!$B$8:$B$29&lt;=Main!$C62)*('Processing Factors'!$C$8:$C$29=Main!DD62))))</f>
        <v>0.9</v>
      </c>
      <c r="DN62" s="299">
        <f t="array" ref="DN62">INDEX('Processing Factors'!$K$8:$K$29,MATCH(2,1/(('Processing Factors'!$B$8:$B$29&lt;=Main!$C62)*('Processing Factors'!$C$8:$C$29=Main!DD62))))</f>
        <v>3.5000000000000003E-2</v>
      </c>
      <c r="DP62" s="302">
        <f t="shared" si="383"/>
        <v>0.5</v>
      </c>
      <c r="DQ62" s="302">
        <f t="shared" si="384"/>
        <v>0.05</v>
      </c>
      <c r="DR62" s="302">
        <f t="shared" si="385"/>
        <v>0.45</v>
      </c>
      <c r="DS62" s="299">
        <f t="shared" si="386"/>
        <v>2.4691358024691357</v>
      </c>
      <c r="DT62" s="304">
        <v>0</v>
      </c>
      <c r="DU62" s="299">
        <f t="shared" si="387"/>
        <v>0.14611111111111114</v>
      </c>
      <c r="DV62" s="281">
        <f t="shared" si="629"/>
        <v>35.06623762093578</v>
      </c>
      <c r="DW62" s="281">
        <f t="shared" si="630"/>
        <v>50.321396655852695</v>
      </c>
      <c r="DX62" s="281">
        <f t="shared" si="631"/>
        <v>1.2197497818850218</v>
      </c>
      <c r="DY62" s="299">
        <f t="shared" si="388"/>
        <v>1.6512469135802468</v>
      </c>
      <c r="DZ62" s="281">
        <f t="shared" si="632"/>
        <v>6.9934307731868799</v>
      </c>
      <c r="EA62" s="281">
        <f t="shared" si="389"/>
        <v>93.60081483186039</v>
      </c>
      <c r="EC62" s="287" t="s">
        <v>39</v>
      </c>
      <c r="EE62" s="305" t="e">
        <f t="shared" ca="1" si="390"/>
        <v>#NAME?</v>
      </c>
      <c r="EF62" s="16">
        <f t="array" ref="EF62">INDEX('Indices Mines Exporting Ports'!E$20:E$51, MATCH(2,1/(('Indices Mines Exporting Ports'!$C$20:$C$51=$AU62)*('Indices Mines Exporting Ports'!$D$20:$D$51&lt;=$C62))))</f>
        <v>0.5</v>
      </c>
      <c r="EG62" s="16">
        <f t="array" ref="EG62">INDEX('Indices Mines Exporting Ports'!F$20:F$51, MATCH(2,1/(('Indices Mines Exporting Ports'!$C$20:$C$51=$AU62)*('Indices Mines Exporting Ports'!$D$20:$D$51&lt;=$C62))))</f>
        <v>0.45</v>
      </c>
      <c r="EH62" s="16">
        <f t="array" ref="EH62">INDEX('Indices Mines Exporting Ports'!G$20:G$51, MATCH(2,1/(('Indices Mines Exporting Ports'!$C$20:$C$51=$AU62)*('Indices Mines Exporting Ports'!$D$20:$D$51&lt;=$C62))))</f>
        <v>0.05</v>
      </c>
      <c r="EI62" s="16">
        <f t="array" ref="EI62">INDEX('Indices Mines Exporting Ports'!H$20:H$51, MATCH(2,1/(('Indices Mines Exporting Ports'!$C$20:$C$51=$AU62)*('Indices Mines Exporting Ports'!$D$20:$D$51&lt;=$C62))))</f>
        <v>0.05</v>
      </c>
      <c r="EJ62" s="16">
        <f t="array" ref="EJ62">INDEX('Indices Mines Exporting Ports'!I$20:I$51, MATCH(2,1/(('Indices Mines Exporting Ports'!$C$20:$C$51=$AU62)*('Indices Mines Exporting Ports'!$D$20:$D$51&lt;=$C62))))</f>
        <v>0</v>
      </c>
      <c r="EK62" s="16">
        <f t="array" ref="EK62">INDEX('Indices Mines Exporting Ports'!J$20:J$51, MATCH(2,1/(('Indices Mines Exporting Ports'!$C$20:$C$51=$AU62)*('Indices Mines Exporting Ports'!$D$20:$D$51&lt;=$C62))))</f>
        <v>0</v>
      </c>
      <c r="EL62" s="16">
        <f t="array" ref="EL62">INDEX('Indices Mines Exporting Ports'!K$20:K$51, MATCH(2,1/(('Indices Mines Exporting Ports'!$C$20:$C$51=$AU62)*('Indices Mines Exporting Ports'!$D$20:$D$51&lt;=$C62))))</f>
        <v>0.1</v>
      </c>
      <c r="EM62" s="103" t="str">
        <f t="array" ref="EM62">INDEX('Indices Mines Exporting Ports'!L$20:L$51, MATCH(2,1/(('Indices Mines Exporting Ports'!$C$20:$C$51=$AU62)*('Indices Mines Exporting Ports'!$D$20:$D$51&lt;=$C62))))</f>
        <v>LT</v>
      </c>
      <c r="EN62" s="243">
        <f t="array" ref="EN62">INDEX('Indices Mines Exporting Ports'!M$20:M$51, MATCH(2,1/(('Indices Mines Exporting Ports'!$C$20:$C$51=$AU62)*('Indices Mines Exporting Ports'!$D$20:$D$51&lt;=$C62))))</f>
        <v>0</v>
      </c>
      <c r="EP62" s="300">
        <f t="array" ref="EP62">INDEX('Processing Factors'!$D$8:$D$29,MATCH(2,1/(('Processing Factors'!$B$8:$B$29&lt;=Main!$C62)*('Processing Factors'!$C$8:$C$29=Main!EM62))))</f>
        <v>0</v>
      </c>
      <c r="EQ62" s="299">
        <f t="array" ref="EQ62">INDEX('Processing Factors'!$E$8:$E$29,MATCH(2,1/(('Processing Factors'!$B$8:$B$29&lt;=Main!$C62)*('Processing Factors'!$C$8:$C$29=Main!EM62))))</f>
        <v>1</v>
      </c>
      <c r="ER62" s="299">
        <f t="array" ref="ER62">INDEX('Processing Factors'!$F$8:$F$29,MATCH(2,1/(('Processing Factors'!$B$8:$B$29&lt;=Main!$C62)*('Processing Factors'!$C$8:$C$29=Main!EM62))))</f>
        <v>0.9</v>
      </c>
      <c r="ES62" s="299">
        <f t="array" ref="ES62">INDEX('Processing Factors'!$G$8:$G$29,MATCH(2,1/(('Processing Factors'!$B$8:$B$29&lt;=Main!$C62)*('Processing Factors'!$C$8:$C$29=Main!EM62))))</f>
        <v>3.5999999999999997E-2</v>
      </c>
      <c r="ET62" s="299">
        <f t="array" ref="ET62">INDEX('Processing Factors'!$H$8:$H$29,MATCH(2,1/(('Processing Factors'!$B$8:$B$29&lt;=Main!$C62)*('Processing Factors'!$C$8:$C$29=Main!EM62))))</f>
        <v>12.15</v>
      </c>
      <c r="EU62" s="300">
        <f t="array" ref="EU62">INDEX('Processing Factors'!$I$8:$I$29,MATCH(2,1/(('Processing Factors'!$B$8:$B$29&lt;=Main!$C62)*('Processing Factors'!$C$8:$C$29=Main!EM62))))</f>
        <v>0</v>
      </c>
      <c r="EV62" s="300">
        <f t="array" ref="EV62">INDEX('Processing Factors'!$J$8:$J$29,MATCH(2,1/(('Processing Factors'!$B$8:$B$29&lt;=Main!$C62)*('Processing Factors'!$C$8:$C$29=Main!EM62))))</f>
        <v>0.9</v>
      </c>
      <c r="EW62" s="299">
        <f t="array" ref="EW62">INDEX('Processing Factors'!$K$8:$K$29,MATCH(2,1/(('Processing Factors'!$B$8:$B$29&lt;=Main!$C62)*('Processing Factors'!$C$8:$C$29=Main!EM62))))</f>
        <v>3.5000000000000003E-2</v>
      </c>
      <c r="EY62" s="302">
        <f t="shared" si="391"/>
        <v>0.5</v>
      </c>
      <c r="EZ62" s="302">
        <f t="shared" si="392"/>
        <v>0.05</v>
      </c>
      <c r="FA62" s="302">
        <f t="shared" si="393"/>
        <v>0.45</v>
      </c>
      <c r="FB62" s="299">
        <f t="shared" si="394"/>
        <v>2.4691358024691357</v>
      </c>
      <c r="FC62" s="304">
        <v>0</v>
      </c>
      <c r="FD62" s="299">
        <f t="shared" si="395"/>
        <v>0.14611111111111114</v>
      </c>
      <c r="FE62" s="281">
        <f t="shared" si="633"/>
        <v>35.06623762093578</v>
      </c>
      <c r="FF62" s="281">
        <f t="shared" si="634"/>
        <v>50.321396655852695</v>
      </c>
      <c r="FG62" s="281">
        <f t="shared" si="635"/>
        <v>1.2197497818850218</v>
      </c>
      <c r="FH62" s="299">
        <f t="shared" si="396"/>
        <v>1.6512469135802468</v>
      </c>
      <c r="FI62" s="281">
        <f t="shared" si="636"/>
        <v>6.9934307731868799</v>
      </c>
      <c r="FJ62" s="281">
        <f t="shared" si="397"/>
        <v>93.60081483186039</v>
      </c>
      <c r="FL62" s="287" t="s">
        <v>39</v>
      </c>
      <c r="FN62" s="315" t="e">
        <f t="shared" ca="1" si="398"/>
        <v>#NAME?</v>
      </c>
      <c r="FO62" s="316">
        <f t="shared" si="399"/>
        <v>0.48</v>
      </c>
      <c r="FP62" s="316">
        <f t="shared" si="400"/>
        <v>0.40500000000000003</v>
      </c>
      <c r="FQ62" s="316">
        <f t="shared" si="401"/>
        <v>7.0000000000000007E-2</v>
      </c>
      <c r="FR62" s="316">
        <f t="shared" si="402"/>
        <v>5.2499999999999998E-2</v>
      </c>
      <c r="FS62" s="316">
        <f t="shared" si="403"/>
        <v>1.7500000000000009E-2</v>
      </c>
      <c r="FT62" s="316">
        <f t="shared" si="404"/>
        <v>2.2499999999999958E-2</v>
      </c>
      <c r="FU62" s="316">
        <f t="shared" si="405"/>
        <v>7.0000000000000007E-2</v>
      </c>
      <c r="FV62" s="317" t="str">
        <f t="shared" si="406"/>
        <v>LT</v>
      </c>
      <c r="FW62" s="318">
        <v>0</v>
      </c>
      <c r="FX62" s="237"/>
      <c r="FY62" s="319">
        <f t="array" ref="FY62">INDEX('Processing Factors'!$D$8:$D$29,MATCH(2,1/(('Processing Factors'!$B$8:$B$29&lt;=Main!$C62)*('Processing Factors'!$C$8:$C$29=Main!FV62))))</f>
        <v>0</v>
      </c>
      <c r="FZ62" s="320">
        <f t="array" ref="FZ62">INDEX('Processing Factors'!$E$8:$E$29,MATCH(2,1/(('Processing Factors'!$B$8:$B$29&lt;=Main!$C62)*('Processing Factors'!$C$8:$C$29=Main!FV62))))</f>
        <v>1</v>
      </c>
      <c r="GA62" s="320">
        <f t="array" ref="GA62">INDEX('Processing Factors'!$F$8:$F$29,MATCH(2,1/(('Processing Factors'!$B$8:$B$29&lt;=Main!$C62)*('Processing Factors'!$C$8:$C$29=Main!FV62))))</f>
        <v>0.9</v>
      </c>
      <c r="GB62" s="320">
        <f t="array" ref="GB62">INDEX('Processing Factors'!$G$8:$G$29,MATCH(2,1/(('Processing Factors'!$B$8:$B$29&lt;=Main!$C62)*('Processing Factors'!$C$8:$C$29=Main!FV62))))</f>
        <v>3.5999999999999997E-2</v>
      </c>
      <c r="GC62" s="320">
        <f t="array" ref="GC62">INDEX('Processing Factors'!$H$8:$H$29,MATCH(2,1/(('Processing Factors'!$B$8:$B$29&lt;=Main!$C62)*('Processing Factors'!$C$8:$C$29=Main!FV62))))</f>
        <v>12.15</v>
      </c>
      <c r="GD62" s="319">
        <f t="array" ref="GD62">INDEX('Processing Factors'!$I$8:$I$29,MATCH(2,1/(('Processing Factors'!$B$8:$B$29&lt;=Main!$C62)*('Processing Factors'!$C$8:$C$29=Main!FV62))))</f>
        <v>0</v>
      </c>
      <c r="GE62" s="321">
        <v>0.92</v>
      </c>
      <c r="GF62" s="320">
        <f t="array" ref="GF62">INDEX('Processing Factors'!$K$8:$K$29,MATCH(2,1/(('Processing Factors'!$B$8:$B$29&lt;=Main!$C62)*('Processing Factors'!$C$8:$C$29=Main!FV62))))</f>
        <v>3.5000000000000003E-2</v>
      </c>
      <c r="GG62" s="237"/>
      <c r="GH62" s="322">
        <f t="shared" si="407"/>
        <v>0.45750000000000002</v>
      </c>
      <c r="GI62" s="322">
        <f t="shared" si="408"/>
        <v>5.2499999999999998E-2</v>
      </c>
      <c r="GJ62" s="322">
        <f t="shared" si="409"/>
        <v>0.40500000000000003</v>
      </c>
      <c r="GK62" s="320">
        <f t="shared" si="410"/>
        <v>2.6838432635534084</v>
      </c>
      <c r="GL62" s="323" t="e">
        <f t="shared" ca="1" si="618"/>
        <v>#NAME?</v>
      </c>
      <c r="GM62" s="320">
        <f t="shared" si="411"/>
        <v>0.16181159420289856</v>
      </c>
      <c r="GN62" s="323">
        <f t="shared" si="637"/>
        <v>38.834307459522037</v>
      </c>
      <c r="GO62" s="323">
        <f t="shared" si="638"/>
        <v>50.321396655852695</v>
      </c>
      <c r="GP62" s="323">
        <f t="shared" si="639"/>
        <v>1.2197497818850218</v>
      </c>
      <c r="GQ62" s="320">
        <f t="shared" si="412"/>
        <v>1.881654857756307</v>
      </c>
      <c r="GR62" s="323">
        <f t="shared" si="640"/>
        <v>7.9692642442053723</v>
      </c>
      <c r="GS62" s="323" t="e">
        <f t="shared" ca="1" si="413"/>
        <v>#NAME?</v>
      </c>
      <c r="GT62" s="237"/>
      <c r="GU62" s="324" t="e">
        <f t="shared" ca="1" si="414"/>
        <v>#NAME?</v>
      </c>
      <c r="GV62" s="325">
        <f t="array" ref="GV62">INDEX('Indices Mines Exporting Ports'!E$20:E$51, MATCH(2,1/(('Indices Mines Exporting Ports'!$C$20:$C$51=$BC62)*('Indices Mines Exporting Ports'!$D$20:$D$51&lt;=$C62))))</f>
        <v>0.5</v>
      </c>
      <c r="GW62" s="325">
        <f t="array" ref="GW62">INDEX('Indices Mines Exporting Ports'!F$20:F$51, MATCH(2,1/(('Indices Mines Exporting Ports'!$C$20:$C$51=$BC62)*('Indices Mines Exporting Ports'!$D$20:$D$51&lt;=$C62))))</f>
        <v>0.45</v>
      </c>
      <c r="GX62" s="325">
        <f t="array" ref="GX62">INDEX('Indices Mines Exporting Ports'!G$20:G$51, MATCH(2,1/(('Indices Mines Exporting Ports'!$C$20:$C$51=$BC62)*('Indices Mines Exporting Ports'!$D$20:$D$51&lt;=$C62))))</f>
        <v>0.05</v>
      </c>
      <c r="GY62" s="325">
        <f t="array" ref="GY62">INDEX('Indices Mines Exporting Ports'!H$20:H$51, MATCH(2,1/(('Indices Mines Exporting Ports'!$C$20:$C$51=$BC62)*('Indices Mines Exporting Ports'!$D$20:$D$51&lt;=$C62))))</f>
        <v>0.05</v>
      </c>
      <c r="GZ62" s="325">
        <f t="array" ref="GZ62">INDEX('Indices Mines Exporting Ports'!I$20:I$51, MATCH(2,1/(('Indices Mines Exporting Ports'!$C$20:$C$51=$BC62)*('Indices Mines Exporting Ports'!$D$20:$D$51&lt;=$C62))))</f>
        <v>0</v>
      </c>
      <c r="HA62" s="325">
        <f t="array" ref="HA62">INDEX('Indices Mines Exporting Ports'!J$20:J$51, MATCH(2,1/(('Indices Mines Exporting Ports'!$C$20:$C$51=$BC62)*('Indices Mines Exporting Ports'!$D$20:$D$51&lt;=$C62))))</f>
        <v>0</v>
      </c>
      <c r="HB62" s="325">
        <f t="array" ref="HB62">INDEX('Indices Mines Exporting Ports'!K$20:K$51, MATCH(2,1/(('Indices Mines Exporting Ports'!$C$20:$C$51=$BC62)*('Indices Mines Exporting Ports'!$D$20:$D$51&lt;=$C62))))</f>
        <v>0.1</v>
      </c>
      <c r="HC62" s="326" t="str">
        <f t="array" ref="HC62">INDEX('Indices Mines Exporting Ports'!L$20:L$51, MATCH(2,1/(('Indices Mines Exporting Ports'!$C$20:$C$51=$BC62)*('Indices Mines Exporting Ports'!$D$20:$D$51&lt;=$C62))))</f>
        <v>LT</v>
      </c>
      <c r="HD62" s="262">
        <f t="array" ref="HD62">INDEX('Indices Mines Exporting Ports'!M$20:M$51, MATCH(2,1/(('Indices Mines Exporting Ports'!$C$20:$C$51=$BC62)*('Indices Mines Exporting Ports'!$D$20:$D$51&lt;=$C62))))</f>
        <v>0</v>
      </c>
      <c r="HE62" s="237"/>
      <c r="HF62" s="319">
        <f t="array" ref="HF62">INDEX('Processing Factors'!$D$8:$D$29,MATCH(2,1/(('Processing Factors'!$B$8:$B$29&lt;=Main!$C62)*('Processing Factors'!$C$8:$C$29=Main!HC62))))</f>
        <v>0</v>
      </c>
      <c r="HG62" s="320">
        <f t="array" ref="HG62">INDEX('Processing Factors'!$E$8:$E$29,MATCH(2,1/(('Processing Factors'!$B$8:$B$29&lt;=Main!$C62)*('Processing Factors'!$C$8:$C$29=Main!HC62))))</f>
        <v>1</v>
      </c>
      <c r="HH62" s="320">
        <f t="array" ref="HH62">INDEX('Processing Factors'!$F$8:$F$29,MATCH(2,1/(('Processing Factors'!$B$8:$B$29&lt;=Main!$C62)*('Processing Factors'!$C$8:$C$29=Main!HC62))))</f>
        <v>0.9</v>
      </c>
      <c r="HI62" s="320">
        <f t="array" ref="HI62">INDEX('Processing Factors'!$G$8:$G$29,MATCH(2,1/(('Processing Factors'!$B$8:$B$29&lt;=Main!$C62)*('Processing Factors'!$C$8:$C$29=Main!HC62))))</f>
        <v>3.5999999999999997E-2</v>
      </c>
      <c r="HJ62" s="320">
        <f t="array" ref="HJ62">INDEX('Processing Factors'!$H$8:$H$29,MATCH(2,1/(('Processing Factors'!$B$8:$B$29&lt;=Main!$C62)*('Processing Factors'!$C$8:$C$29=Main!HC62))))</f>
        <v>12.15</v>
      </c>
      <c r="HK62" s="319">
        <f t="array" ref="HK62">INDEX('Processing Factors'!$I$8:$I$29,MATCH(2,1/(('Processing Factors'!$B$8:$B$29&lt;=Main!$C62)*('Processing Factors'!$C$8:$C$29=Main!HC62))))</f>
        <v>0</v>
      </c>
      <c r="HL62" s="321">
        <v>0.92</v>
      </c>
      <c r="HM62" s="320">
        <f t="array" ref="HM62">INDEX('Processing Factors'!$K$8:$K$29,MATCH(2,1/(('Processing Factors'!$B$8:$B$29&lt;=Main!$C62)*('Processing Factors'!$C$8:$C$29=Main!HC62))))</f>
        <v>3.5000000000000003E-2</v>
      </c>
      <c r="HN62" s="237"/>
      <c r="HO62" s="322">
        <f t="shared" si="415"/>
        <v>0.5</v>
      </c>
      <c r="HP62" s="322">
        <f t="shared" si="416"/>
        <v>0.05</v>
      </c>
      <c r="HQ62" s="322">
        <f t="shared" si="417"/>
        <v>0.45</v>
      </c>
      <c r="HR62" s="320">
        <f t="shared" si="418"/>
        <v>2.4154589371980677</v>
      </c>
      <c r="HS62" s="263">
        <v>0</v>
      </c>
      <c r="HT62" s="320">
        <f t="shared" si="419"/>
        <v>0.14369565217391306</v>
      </c>
      <c r="HU62" s="323">
        <f t="shared" si="641"/>
        <v>34.486534568845585</v>
      </c>
      <c r="HV62" s="323">
        <f t="shared" si="642"/>
        <v>50.321396655852695</v>
      </c>
      <c r="HW62" s="323">
        <f t="shared" si="643"/>
        <v>1.2197497818850218</v>
      </c>
      <c r="HX62" s="320">
        <f t="shared" si="420"/>
        <v>1.5951545893719807</v>
      </c>
      <c r="HY62" s="323">
        <f t="shared" si="644"/>
        <v>6.755866189095018</v>
      </c>
      <c r="HZ62" s="323">
        <f t="shared" si="421"/>
        <v>92.783547195678324</v>
      </c>
      <c r="IB62" s="287" t="s">
        <v>39</v>
      </c>
      <c r="ID62" s="89" t="str">
        <f t="shared" si="645"/>
        <v>India Gujarat</v>
      </c>
      <c r="IE62" s="18">
        <f t="shared" si="646"/>
        <v>43934</v>
      </c>
      <c r="IF62" s="94">
        <f t="array" ref="IF62">INDEX('Indices Mines Exporting Ports'!E$20:E$51, MATCH(2,1/(('Indices Mines Exporting Ports'!$C$20:$C$51=$ID62)*('Indices Mines Exporting Ports'!$D$20:$D$51&lt;=$IE62))))</f>
        <v>0.48</v>
      </c>
      <c r="IG62" s="94">
        <f t="array" ref="IG62">INDEX('Indices Mines Exporting Ports'!F$20:F$51, MATCH(2,1/(('Indices Mines Exporting Ports'!$C$20:$C$51=$ID62)*('Indices Mines Exporting Ports'!$D$20:$D$51&lt;=$IE62))))</f>
        <v>0.40500000000000003</v>
      </c>
      <c r="IH62" s="95">
        <f t="array" ref="IH62">INDEX('Indices Mines Exporting Ports'!G$20:G$51, MATCH(2,1/(('Indices Mines Exporting Ports'!$C$20:$C$51=$ID62)*('Indices Mines Exporting Ports'!$D$20:$D$51&lt;=$IE62))))</f>
        <v>7.0000000000000007E-2</v>
      </c>
      <c r="II62" s="95">
        <f t="array" ref="II62">INDEX('Indices Mines Exporting Ports'!H$20:H$51, MATCH(2,1/(('Indices Mines Exporting Ports'!$C$20:$C$51=$ID62)*('Indices Mines Exporting Ports'!$D$20:$D$51&lt;=$IE62))))</f>
        <v>5.2499999999999998E-2</v>
      </c>
      <c r="IJ62" s="95">
        <f t="array" ref="IJ62">INDEX('Indices Mines Exporting Ports'!I$20:I$51, MATCH(2,1/(('Indices Mines Exporting Ports'!$C$20:$C$51=$ID62)*('Indices Mines Exporting Ports'!$D$20:$D$51&lt;=$IE62))))</f>
        <v>1.7500000000000009E-2</v>
      </c>
      <c r="IK62" s="94">
        <f t="array" ref="IK62">INDEX('Indices Mines Exporting Ports'!J$20:J$51, MATCH(2,1/(('Indices Mines Exporting Ports'!$C$20:$C$51=$ID62)*('Indices Mines Exporting Ports'!$D$20:$D$51&lt;=$IE62))))</f>
        <v>2.2499999999999958E-2</v>
      </c>
      <c r="IL62" s="94">
        <f t="array" ref="IL62">INDEX('Indices Mines Exporting Ports'!K$20:K$51, MATCH(2,1/(('Indices Mines Exporting Ports'!$C$20:$C$51=$ID62)*('Indices Mines Exporting Ports'!$D$20:$D$51&lt;=$IE62))))</f>
        <v>7.0000000000000007E-2</v>
      </c>
      <c r="IM62" s="93" t="str">
        <f t="array" ref="IM62">INDEX('Indices Mines Exporting Ports'!L$20:L$51, MATCH(2,1/(('Indices Mines Exporting Ports'!$C$20:$C$51=$ID62)*('Indices Mines Exporting Ports'!$D$20:$D$51&lt;=$IE62))))</f>
        <v>LT</v>
      </c>
      <c r="IN62" s="101">
        <f t="array" ref="IN62">INDEX('Indices Mines Exporting Ports'!M$20:M$51, MATCH(2,1/(('Indices Mines Exporting Ports'!$C$20:$C$51=$ID62)*('Indices Mines Exporting Ports'!$D$20:$D$51&lt;=$IE62))))</f>
        <v>0.83000000000000007</v>
      </c>
      <c r="IO62" s="96">
        <f t="array" ref="IO62">INDEX('Indices Mines Exporting Ports'!N$20:N$51, MATCH(2,1/(('Indices Mines Exporting Ports'!$C$20:$C$51=$ID62)*('Indices Mines Exporting Ports'!$D$20:$D$51&lt;=$IE62))))</f>
        <v>60000</v>
      </c>
      <c r="IP62" s="95" t="str">
        <f t="array" ref="IP62">INDEX('Indices Mines Exporting Ports'!Q$20:Q$51, MATCH(2,1/(('Indices Mines Exporting Ports'!$C$20:$C$51=$ID62)*('Indices Mines Exporting Ports'!$D$20:$D$51&lt;=$IE62))))</f>
        <v>Gujarat_wharf</v>
      </c>
      <c r="IQ62" s="95" t="str">
        <f t="array" ref="IQ62">INDEX('Indices Mines Exporting Ports'!O$20:O$51, MATCH(2,1/(('Indices Mines Exporting Ports'!$C$20:$C$51=$ID62)*('Indices Mines Exporting Ports'!$D$20:$D$51&lt;=$IE62))))</f>
        <v>CBIX LT</v>
      </c>
      <c r="IR62" s="95" t="str">
        <f t="array" ref="IR62">INDEX('Indices Mines Exporting Ports'!P$20:P$51, MATCH(2,1/(('Indices Mines Exporting Ports'!$C$20:$C$51=$ID62)*('Indices Mines Exporting Ports'!$D$20:$D$51&lt;=$IE62))))</f>
        <v>CBIX LT</v>
      </c>
      <c r="IT62" s="287" t="s">
        <v>39</v>
      </c>
      <c r="IV62" s="292">
        <f>VLOOKUP($C62,'China Price Series'!$C$10:$D$1009,2,TRUE)/$JA62/(VLOOKUP($C62,'China Price Series'!$C$10:$E$1009,3,TRUE)*$JG62/$JF62)</f>
        <v>4.1416787371072177</v>
      </c>
      <c r="IW62" s="292">
        <f>VLOOKUP($C62,'China Price Series'!$G$10:$H$1009,2,TRUE)/$JA62/(VLOOKUP($C62,'China Price Series'!$G$10:$I$1009,3,TRUE))</f>
        <v>239.99706356533991</v>
      </c>
      <c r="IX62" s="292">
        <f>VLOOKUP($C62,'China Price Series'!$K$10:$L$1009,2,TRUE)/$JA62</f>
        <v>33.881938385695051</v>
      </c>
      <c r="IY62" s="292">
        <f>VLOOKUP($C62,'China Price Series'!$N$10:$O$1009,2,TRUE)/$JA62</f>
        <v>4.2352422982118814</v>
      </c>
      <c r="JA62" s="277">
        <f t="array" ref="JA62">INDEX('FX rates'!E$10:E$1009,MATCH(2,1/(('FX rates'!$D$10:$D$1009&lt;=Main!$C62)*(NOT(ISBLANK('FX rates'!E$10:E$1009))))))</f>
        <v>7.0834199999999994</v>
      </c>
      <c r="JB62" s="277">
        <f t="array" ref="JB62">INDEX('FX rates'!F$10:F$1009,MATCH(2,1/(('FX rates'!$D$10:$D$1009&lt;=Main!$C62)*(NOT(ISBLANK('FX rates'!F$10:F$1009))))))</f>
        <v>0.61160022139928016</v>
      </c>
      <c r="JC62" s="277">
        <f t="array" ref="JC62">INDEX('FX rates'!G$10:G$1009,MATCH(2,1/(('FX rates'!$D$10:$D$1009&lt;=Main!$C62)*(NOT(ISBLANK('FX rates'!G$10:G$1009))))))</f>
        <v>1</v>
      </c>
      <c r="JD62" s="277">
        <f t="array" ref="JD62">INDEX('FX rates'!H$10:H$1009,MATCH(2,1/(('FX rates'!$D$10:$D$1009&lt;=Main!$C62)*(NOT(ISBLANK('FX rates'!H$10:H$1009))))))</f>
        <v>1.35</v>
      </c>
      <c r="JF62" s="111">
        <f t="array" ref="JF62">INDEX('Global factors'!C$5:C$23,MATCH(2,1/(('Global factors'!$B$5:$B$23&lt;=Main!$C62)*(NOT(ISBLANK('Global factors'!C$5:C$23))))))</f>
        <v>239000</v>
      </c>
      <c r="JG62" s="112">
        <f t="array" ref="JG62">INDEX('Global factors'!D$5:D$23,MATCH(2,1/(('Global factors'!$B$5:$B$23&lt;=Main!$C62)*(NOT(ISBLANK('Global factors'!D$5:D$23))))))</f>
        <v>1000</v>
      </c>
      <c r="JH62" s="112">
        <f t="array" ref="JH62">INDEX('Global factors'!E$5:E$23,MATCH(2,1/(('Global factors'!$B$5:$B$23&lt;=Main!$C62)*(NOT(ISBLANK('Global factors'!E$5:E$23))))))</f>
        <v>24</v>
      </c>
      <c r="JI62" s="112">
        <f t="array" ref="JI62">INDEX('Global factors'!F$5:F$23,MATCH(2,1/(('Global factors'!$B$5:$B$23&lt;=Main!$C62)*(NOT(ISBLANK('Global factors'!F$5:F$23))))))</f>
        <v>2</v>
      </c>
      <c r="JJ62" s="117">
        <f t="array" ref="JJ62">INDEX('Global factors'!G$5:G$23,MATCH(2,1/(('Global factors'!$B$5:$B$23&lt;=Main!$C62)*(NOT(ISBLANK('Global factors'!G$5:G$23))))))</f>
        <v>0.08</v>
      </c>
      <c r="JK62" s="113">
        <f t="array" ref="JK62">INDEX('Global factors'!H$5:H$23,MATCH(2,1/(('Global factors'!$B$5:$B$23&lt;=Main!$C62)*(NOT(ISBLANK('Global factors'!H$5:H$23))))))</f>
        <v>101.96</v>
      </c>
      <c r="JL62" s="113">
        <f t="array" ref="JL62">INDEX('Global factors'!I$5:I$23,MATCH(2,1/(('Global factors'!$B$5:$B$23&lt;=Main!$C62)*(NOT(ISBLANK('Global factors'!I$5:I$23))))))</f>
        <v>60.08</v>
      </c>
      <c r="JM62" s="114">
        <f t="array" ref="JM62">INDEX('Global factors'!J$5:J$23,MATCH(2,1/(('Global factors'!$B$5:$B$23&lt;=Main!$C62)*(NOT(ISBLANK('Global factors'!J$5:J$23))))))</f>
        <v>0.84853528628495334</v>
      </c>
      <c r="JN62" s="115">
        <f t="array" ref="JN62">INDEX('Global factors'!K$5:K$23,MATCH(2,1/(('Global factors'!$B$5:$B$23&lt;=Main!$C62)*(NOT(ISBLANK('Global factors'!K$5:K$23))))))</f>
        <v>0.97499999999999998</v>
      </c>
      <c r="JO62" s="116">
        <f t="array" ref="JO62">INDEX('Global factors'!L$5:L$23,MATCH(2,1/(('Global factors'!$B$5:$B$23&lt;=Main!$C62)*(NOT(ISBLANK('Global factors'!L$5:L$23))))))</f>
        <v>8.7299999999999997E-4</v>
      </c>
      <c r="JP62" s="116">
        <f t="array" ref="JP62">INDEX('Global factors'!M$5:M$23,MATCH(2,1/(('Global factors'!$B$5:$B$23&lt;=Main!$C62)*(NOT(ISBLANK('Global factors'!M$5:M$23))))))</f>
        <v>145.88999999999999</v>
      </c>
      <c r="JQ62" s="116">
        <f t="array" ref="JQ62">INDEX('Global factors'!N$5:N$23,MATCH(2,1/(('Global factors'!$B$5:$B$23&lt;=Main!$C62)*(NOT(ISBLANK('Global factors'!N$5:N$23))))))</f>
        <v>0.40339999999999998</v>
      </c>
      <c r="JR62" s="116">
        <f t="array" ref="JR62">INDEX('Global factors'!O$5:O$23,MATCH(2,1/(('Global factors'!$B$5:$B$23&lt;=Main!$C62)*(NOT(ISBLANK('Global factors'!O$5:O$23))))))</f>
        <v>0</v>
      </c>
      <c r="JS62" s="116">
        <f t="array" ref="JS62">INDEX('Global factors'!P$5:P$23,MATCH(2,1/(('Global factors'!$B$5:$B$23&lt;=Main!$C62)*(NOT(ISBLANK('Global factors'!P$5:P$23))))))</f>
        <v>0.51890000000000003</v>
      </c>
      <c r="JT62" s="116">
        <f t="array" ref="JT62">INDEX('Global factors'!Q$5:Q$23,MATCH(2,1/(('Global factors'!$B$5:$B$23&lt;=Main!$C62)*(NOT(ISBLANK('Global factors'!Q$5:Q$23))))))</f>
        <v>4797</v>
      </c>
      <c r="JU62" s="116">
        <f t="array" ref="JU62">INDEX('Global factors'!R$5:R$23,MATCH(2,1/(('Global factors'!$B$5:$B$23&lt;=Main!$C62)*(NOT(ISBLANK('Global factors'!R$5:R$23))))))</f>
        <v>7</v>
      </c>
      <c r="JV62" s="115">
        <f t="array" ref="JV62">INDEX('Global factors'!S$5:S$23,MATCH(2,1/(('Global factors'!$B$5:$B$23&lt;=Main!$C62)*(NOT(ISBLANK('Global factors'!S$5:S$23))))))</f>
        <v>0.12</v>
      </c>
      <c r="JW62" s="115">
        <f t="array" ref="JW62">INDEX('Global factors'!T$5:T$23,MATCH(2,1/(('Global factors'!$B$5:$B$23&lt;=Main!$C62)*(NOT(ISBLANK('Global factors'!T$5:T$23))))))</f>
        <v>0.5</v>
      </c>
      <c r="JX62" s="116">
        <f t="array" ref="JX62">INDEX('Global factors'!U$5:U$23,MATCH(2,1/(('Global factors'!$B$5:$B$23&lt;=Main!$C62)*(NOT(ISBLANK('Global factors'!U$5:U$23))))))</f>
        <v>0.5</v>
      </c>
      <c r="JY62" s="116">
        <f t="array" ref="JY62">INDEX('Global factors'!V$5:V$23,MATCH(2,1/(('Global factors'!$B$5:$B$23&lt;=Main!$C62)*(NOT(ISBLANK('Global factors'!V$5:V$23))))))</f>
        <v>10000</v>
      </c>
      <c r="JZ62" s="116">
        <f t="array" ref="JZ62">INDEX('Global factors'!W$5:W$23,MATCH(2,1/(('Global factors'!$B$5:$B$23&lt;=Main!$C62)*(NOT(ISBLANK('Global factors'!W$5:W$23))))))</f>
        <v>0.10680000000000001</v>
      </c>
      <c r="KA62" s="116">
        <f t="array" ref="KA62">INDEX('Global factors'!X$5:X$23,MATCH(2,1/(('Global factors'!$B$5:$B$23&lt;=Main!$C62)*(NOT(ISBLANK('Global factors'!X$5:X$23))))))</f>
        <v>1.2</v>
      </c>
      <c r="KB62" s="116">
        <v>0</v>
      </c>
      <c r="KC62" s="272">
        <f t="array" ref="KC62">INDEX('Global factors'!Y$5:Y$23,MATCH(2,1/(('Global factors'!$B$5:$B$23&lt;=Main!$C62)*(NOT(ISBLANK('Global factors'!Y$5:Y$23))))))</f>
        <v>23643.7088248818</v>
      </c>
      <c r="KD62" s="273">
        <f t="array" ref="KD62">INDEX('Global factors'!Z$5:Z$23,MATCH(2,1/(('Global factors'!$B$5:$B$23&lt;=Main!$C62)*(NOT(ISBLANK('Global factors'!Z$5:Z$23))))))</f>
        <v>0.62802869915581405</v>
      </c>
      <c r="KE62" s="273">
        <v>0</v>
      </c>
      <c r="KF62" s="273">
        <v>0</v>
      </c>
      <c r="KG62" s="116">
        <v>0</v>
      </c>
      <c r="KH62" s="116">
        <f t="array" ref="KH62">INDEX('Global factors'!AB$5:AB$23,MATCH(2,1/(('Global factors'!$B$5:$B$23&lt;=Main!$C62)*(NOT(ISBLANK('Global factors'!AB$5:AB$23))))))</f>
        <v>6.2556361557795204E-2</v>
      </c>
      <c r="KI62" s="116">
        <f t="array" ref="KI62">INDEX('Global factors'!AC$5:AC$23,MATCH(2,1/(('Global factors'!$B$5:$B$23&lt;=Main!$C62)*(NOT(ISBLANK('Global factors'!AC$5:AC$23))))))</f>
        <v>8.6923129044225601E-4</v>
      </c>
      <c r="KJ62" s="116">
        <f t="array" ref="KJ62">INDEX('Global factors'!AD$5:AD$23,MATCH(2,1/(('Global factors'!$B$5:$B$23&lt;=Main!$C62)*(NOT(ISBLANK('Global factors'!AD$5:AD$23))))))</f>
        <v>1.1499999999999999</v>
      </c>
      <c r="KK62" s="116" t="str">
        <f t="array" ref="KK62">INDEX('Global factors'!AE$5:AE$23,MATCH(2,1/(('Global factors'!$B$5:$B$23&lt;=Main!$C62)*(NOT(ISBLANK('Global factors'!AE$5:AE$23))))))</f>
        <v>Qingdao</v>
      </c>
      <c r="KL62" s="290">
        <f t="array" ref="KL62">INDEX('Global factors'!AF$5:AF$23,MATCH(2,1/(('Global factors'!$B$5:$B$23&lt;=Main!$C62)*(NOT(ISBLANK('Global factors'!AF$5:AF$23))))))</f>
        <v>3.0000000000000001E-3</v>
      </c>
      <c r="KM62" s="290"/>
      <c r="KO62" s="287" t="s">
        <v>39</v>
      </c>
      <c r="KQ62" s="25">
        <f t="shared" si="647"/>
        <v>51833.471188309908</v>
      </c>
      <c r="KR62" s="4" t="str">
        <f>VLOOKUP(KQ62,'Ship Time Charter Rates'!$F$10:$G$17,2,TRUE)</f>
        <v>Supramax</v>
      </c>
      <c r="KS62" s="4" t="str">
        <f>VLOOKUP(KQ62,Canals!$E$5:$F$12,2,TRUE)</f>
        <v>Supramax</v>
      </c>
      <c r="KT62" s="25">
        <f t="shared" si="648"/>
        <v>191.14062034739453</v>
      </c>
      <c r="KU62" s="25">
        <f t="shared" si="649"/>
        <v>20909.622277364215</v>
      </c>
      <c r="KV62" s="25">
        <f t="shared" si="650"/>
        <v>31693.388199614012</v>
      </c>
      <c r="KX62" s="75">
        <f t="array" ref="KX62">INDEX('Indices Mines Exporting Ports'!$R$20:$R$51,MATCH(2,1/(('Indices Mines Exporting Ports'!$D$20:$D$51&lt;=Main!$C62)*('Indices Mines Exporting Ports'!$Q$20:$Q$51=$AP62))))</f>
        <v>30000</v>
      </c>
      <c r="KY62" s="75">
        <f t="array" ref="KY62">INDEX('Indices Mines Exporting Ports'!$S$20:$S$51,MATCH(2,1/(('Indices Mines Exporting Ports'!$D$20:$D$51&lt;=Main!$C62)*('Indices Mines Exporting Ports'!$Q$20:$Q$51=$AP62))))</f>
        <v>30000</v>
      </c>
      <c r="KZ62" s="75">
        <f t="array" ref="KZ62">INDEX('Indices Mines Exporting Ports'!$T$20:$T$51,MATCH(2,1/(('Indices Mines Exporting Ports'!$D$20:$D$51&lt;=Main!$C62)*('Indices Mines Exporting Ports'!$Q$20:$Q$51=$AP62))))</f>
        <v>30000</v>
      </c>
      <c r="LA62" s="75">
        <f t="array" ref="LA62">INDEX('Indices Mines Exporting Ports'!$U$20:$U$51,MATCH(2,1/(('Indices Mines Exporting Ports'!$D$20:$D$51&lt;=Main!$C62)*('Indices Mines Exporting Ports'!$Q$20:$Q$51=$AP62))))</f>
        <v>30000</v>
      </c>
      <c r="LB62" s="75">
        <f t="array" ref="LB62">INDEX('Indices Mines Exporting Ports'!$V$20:$V$51,MATCH(2,1/(('Indices Mines Exporting Ports'!$D$20:$D$51&lt;=Main!$C62)*('Indices Mines Exporting Ports'!$Q$20:$Q$51=$AP62))))</f>
        <v>30000</v>
      </c>
      <c r="LC62" s="75">
        <f t="array" ref="LC62">INDEX('Indices Mines Exporting Ports'!$W$20:$W$51,MATCH(2,1/(('Indices Mines Exporting Ports'!$D$20:$D$51&lt;=Main!$C62)*('Indices Mines Exporting Ports'!$Q$20:$Q$51=$AP62))))</f>
        <v>30000</v>
      </c>
      <c r="LD62" s="75">
        <f t="array" ref="LD62">INDEX('Indices Mines Exporting Ports'!$X$20:$X$51,MATCH(2,1/(('Indices Mines Exporting Ports'!$D$20:$D$51&lt;=Main!$C62)*('Indices Mines Exporting Ports'!$Q$20:$Q$51=$AP62))))</f>
        <v>30000</v>
      </c>
      <c r="LF62" s="75">
        <f t="array" ref="LF62">INDEX('Port Linkages'!$E$18:$E$157,MATCH(2,1/(('Port Linkages'!$C$18:$C$157=$AP62)*('Port Linkages'!$D$18:$D$157=IF($AO62="Yes",$AQ62,$AS62))*('Port Linkages'!$A$18:$A$157&lt;=$C62))))</f>
        <v>5100</v>
      </c>
      <c r="LG62" s="75">
        <f t="array" ref="LG62">INDEX('Port Linkages'!$F$18:$F$157,MATCH(2,1/(('Port Linkages'!$C$18:$C$157=$AP62)*('Port Linkages'!$D$18:$D$157=IF($AO62="Yes",$AQ62,$AS62))*('Port Linkages'!$A$18:$A$157&lt;=$C62))))</f>
        <v>0</v>
      </c>
      <c r="LH62" s="75" t="str">
        <f t="array" ref="LH62">INDEX('Port Linkages'!$G$18:$G$157,MATCH(2,1/(('Port Linkages'!$C$18:$C$157=$AP62)*('Port Linkages'!$D$18:$D$157=IF($AO62="Yes",$AQ62,$AS62))*('Port Linkages'!$A$18:$A$157&lt;=$C62))))</f>
        <v>VLOC_General</v>
      </c>
      <c r="LI62" s="75" t="str">
        <f t="array" ref="LI62">INDEX('Port Linkages'!$H$18:$H$157,MATCH(2,1/(('Port Linkages'!$C$18:$C$157=$AP62)*('Port Linkages'!$D$18:$D$157=IF($AO62="Yes",$AQ62,$AS62))*('Port Linkages'!$A$18:$A$157&lt;=$C62))))</f>
        <v>Singapore</v>
      </c>
      <c r="LJ62" s="75" t="str">
        <f t="array" ref="LJ62">INDEX('Port Linkages'!$I$18:$I$157,MATCH(2,1/(('Port Linkages'!$C$18:$C$157=$AP62)*('Port Linkages'!$D$18:$D$157=IF($AO62="Yes",$AQ62,$AS62))*('Port Linkages'!$A$18:$A$157&lt;=$C62))))</f>
        <v>VLSFO</v>
      </c>
      <c r="LK62" s="75" t="str">
        <f t="array" ref="LK62">INDEX('Port Linkages'!$J$18:$J$157,MATCH(2,1/(('Port Linkages'!$C$18:$C$157=$AP62)*('Port Linkages'!$D$18:$D$157=IF($AO62="Yes",$AQ62,$AS62))*('Port Linkages'!$A$18:$A$157&lt;=$C62))))</f>
        <v>MGO_Regular</v>
      </c>
      <c r="LL62" s="75" t="str">
        <f t="array" ref="LL62">INDEX('Port Linkages'!$K$18:$K$157,MATCH(2,1/(('Port Linkages'!$C$18:$C$157=$AP62)*('Port Linkages'!$D$18:$D$157=IF($AO62="Yes",$AQ62,$AS62))*('Port Linkages'!$A$18:$A$157&lt;=$C62))))</f>
        <v>none</v>
      </c>
      <c r="LM62" s="75">
        <f t="array" ref="LM62">INDEX('Port Linkages'!$L$18:$L$157,MATCH(2,1/(('Port Linkages'!$C$18:$C$157=$AP62)*('Port Linkages'!$D$18:$D$157=IF($AO62="Yes",$AQ62,$AS62))*('Port Linkages'!$A$18:$A$157&lt;=$C62))))</f>
        <v>5100</v>
      </c>
      <c r="LN62" s="75">
        <f t="array" ref="LN62">INDEX('Port Linkages'!$M$18:$M$157,MATCH(2,1/(('Port Linkages'!$C$18:$C$157=$AP62)*('Port Linkages'!$D$18:$D$157=IF($AO62="Yes",$AQ62,$AS62))*('Port Linkages'!$A$18:$A$157&lt;=$C62))))</f>
        <v>0</v>
      </c>
      <c r="LO62" s="75" t="str">
        <f t="array" ref="LO62">INDEX('Port Linkages'!$N$18:$N$157,MATCH(2,1/(('Port Linkages'!$C$18:$C$157=$AP62)*('Port Linkages'!$D$18:$D$157=IF($AO62="Yes",$AQ62,$AS62))*('Port Linkages'!$A$18:$A$157&lt;=$C62))))</f>
        <v>Capesize_General</v>
      </c>
      <c r="LP62" s="75" t="str">
        <f t="array" ref="LP62">INDEX('Port Linkages'!$O$18:$O$157,MATCH(2,1/(('Port Linkages'!$C$18:$C$157=$AP62)*('Port Linkages'!$D$18:$D$157=IF($AO62="Yes",$AQ62,$AS62))*('Port Linkages'!$A$18:$A$157&lt;=$C62))))</f>
        <v>Singapore</v>
      </c>
      <c r="LQ62" s="75" t="str">
        <f t="array" ref="LQ62">INDEX('Port Linkages'!$P$18:$P$157,MATCH(2,1/(('Port Linkages'!$C$18:$C$157=$AP62)*('Port Linkages'!$D$18:$D$157=IF($AO62="Yes",$AQ62,$AS62))*('Port Linkages'!$A$18:$A$157&lt;=$C62))))</f>
        <v>VLSFO</v>
      </c>
      <c r="LR62" s="75" t="str">
        <f t="array" ref="LR62">INDEX('Port Linkages'!$Q$18:$Q$157,MATCH(2,1/(('Port Linkages'!$C$18:$C$157=$AP62)*('Port Linkages'!$D$18:$D$157=IF($AO62="Yes",$AQ62,$AS62))*('Port Linkages'!$A$18:$A$157&lt;=$C62))))</f>
        <v>MGO_Regular</v>
      </c>
      <c r="LS62" s="75" t="str">
        <f t="array" ref="LS62">INDEX('Port Linkages'!$R$18:$R$157,MATCH(2,1/(('Port Linkages'!$C$18:$C$157=$AP62)*('Port Linkages'!$D$18:$D$157=IF($AO62="Yes",$AQ62,$AS62))*('Port Linkages'!$A$18:$A$157&lt;=$C62))))</f>
        <v>none</v>
      </c>
      <c r="LT62" s="75">
        <f t="array" ref="LT62">INDEX('Port Linkages'!$S$18:$S$157,MATCH(2,1/(('Port Linkages'!$C$18:$C$157=$AP62)*('Port Linkages'!$D$18:$D$157=IF($AO62="Yes",$AQ62,$AS62))*('Port Linkages'!$A$18:$A$157&lt;=$C62))))</f>
        <v>5100</v>
      </c>
      <c r="LU62" s="75">
        <f t="array" ref="LU62">INDEX('Port Linkages'!$T$18:$T$157,MATCH(2,1/(('Port Linkages'!$C$18:$C$157=$AP62)*('Port Linkages'!$D$18:$D$157=IF($AO62="Yes",$AQ62,$AS62))*('Port Linkages'!$A$18:$A$157&lt;=$C62))))</f>
        <v>0</v>
      </c>
      <c r="LV62" s="75" t="str">
        <f t="array" ref="LV62">INDEX('Port Linkages'!$U$18:$U$157,MATCH(2,1/(('Port Linkages'!$C$18:$C$157=$AP62)*('Port Linkages'!$D$18:$D$157=IF($AO62="Yes",$AQ62,$AS62))*('Port Linkages'!$A$18:$A$157&lt;=$C62))))</f>
        <v>Capesize_General</v>
      </c>
      <c r="LW62" s="75" t="str">
        <f t="array" ref="LW62">INDEX('Port Linkages'!$V$18:$V$157,MATCH(2,1/(('Port Linkages'!$C$18:$C$157=$AP62)*('Port Linkages'!$D$18:$D$157=IF($AO62="Yes",$AQ62,$AS62))*('Port Linkages'!$A$18:$A$157&lt;=$C62))))</f>
        <v>Singapore</v>
      </c>
      <c r="LX62" s="75" t="str">
        <f t="array" ref="LX62">INDEX('Port Linkages'!$W$18:$W$157,MATCH(2,1/(('Port Linkages'!$C$18:$C$157=$AP62)*('Port Linkages'!$D$18:$D$157=IF($AO62="Yes",$AQ62,$AS62))*('Port Linkages'!$A$18:$A$157&lt;=$C62))))</f>
        <v>VLSFO</v>
      </c>
      <c r="LY62" s="75" t="str">
        <f t="array" ref="LY62">INDEX('Port Linkages'!$X$18:$X$157,MATCH(2,1/(('Port Linkages'!$C$18:$C$157=$AP62)*('Port Linkages'!$D$18:$D$157=IF($AO62="Yes",$AQ62,$AS62))*('Port Linkages'!$A$18:$A$157&lt;=$C62))))</f>
        <v>MGO_Regular</v>
      </c>
      <c r="LZ62" s="75" t="str">
        <f t="array" ref="LZ62">INDEX('Port Linkages'!$Y$18:$Y$157,MATCH(2,1/(('Port Linkages'!$C$18:$C$157=$AP62)*('Port Linkages'!$D$18:$D$157=IF($AO62="Yes",$AQ62,$AS62))*('Port Linkages'!$A$18:$A$157&lt;=$C62))))</f>
        <v>none</v>
      </c>
      <c r="MA62" s="75">
        <f t="array" ref="MA62">INDEX('Port Linkages'!$Z$18:$Z$157,MATCH(2,1/(('Port Linkages'!$C$18:$C$157=$AP62)*('Port Linkages'!$D$18:$D$157=IF($AO62="Yes",$AQ62,$AS62))*('Port Linkages'!$A$18:$A$157&lt;=$C62))))</f>
        <v>5100</v>
      </c>
      <c r="MB62" s="75">
        <f t="array" ref="MB62">INDEX('Port Linkages'!$AA$18:$AA$157,MATCH(2,1/(('Port Linkages'!$C$18:$C$157=$AP62)*('Port Linkages'!$D$18:$D$157=IF($AO62="Yes",$AQ62,$AS62))*('Port Linkages'!$A$18:$A$157&lt;=$C62))))</f>
        <v>0</v>
      </c>
      <c r="MC62" s="75" t="str">
        <f t="array" ref="MC62">INDEX('Port Linkages'!$AB$18:$AB$157,MATCH(2,1/(('Port Linkages'!$C$18:$C$157=$AP62)*('Port Linkages'!$D$18:$D$157=IF($AO62="Yes",$AQ62,$AS62))*('Port Linkages'!$A$18:$A$157&lt;=$C62))))</f>
        <v>Capesize_General</v>
      </c>
      <c r="MD62" s="75" t="str">
        <f t="array" ref="MD62">INDEX('Port Linkages'!$AC$18:$AC$157,MATCH(2,1/(('Port Linkages'!$C$18:$C$157=$AP62)*('Port Linkages'!$D$18:$D$157=IF($AO62="Yes",$AQ62,$AS62))*('Port Linkages'!$A$18:$A$157&lt;=$C62))))</f>
        <v>Singapore</v>
      </c>
      <c r="ME62" s="75" t="str">
        <f t="array" ref="ME62">INDEX('Port Linkages'!$AD$18:$AD$157,MATCH(2,1/(('Port Linkages'!$C$18:$C$157=$AP62)*('Port Linkages'!$D$18:$D$157=IF($AO62="Yes",$AQ62,$AS62))*('Port Linkages'!$A$18:$A$157&lt;=$C62))))</f>
        <v>VLSFO</v>
      </c>
      <c r="MF62" s="75" t="str">
        <f t="array" ref="MF62">INDEX('Port Linkages'!$AE$18:$AE$157,MATCH(2,1/(('Port Linkages'!$C$18:$C$157=$AP62)*('Port Linkages'!$D$18:$D$157=IF($AO62="Yes",$AQ62,$AS62))*('Port Linkages'!$A$18:$A$157&lt;=$C62))))</f>
        <v>MGO_Regular</v>
      </c>
      <c r="MG62" s="75" t="str">
        <f t="array" ref="MG62">INDEX('Port Linkages'!$AF$18:$AF$157,MATCH(2,1/(('Port Linkages'!$C$18:$C$157=$AP62)*('Port Linkages'!$D$18:$D$157=IF($AO62="Yes",$AQ62,$AS62))*('Port Linkages'!$A$18:$A$157&lt;=$C62))))</f>
        <v>none</v>
      </c>
      <c r="MH62" s="75">
        <f t="array" ref="MH62">INDEX('Port Linkages'!$AG$18:$AG$157,MATCH(2,1/(('Port Linkages'!$C$18:$C$157=$AP62)*('Port Linkages'!$D$18:$D$157=IF($AO62="Yes",$AQ62,$AS62))*('Port Linkages'!$A$18:$A$157&lt;=$C62))))</f>
        <v>5100</v>
      </c>
      <c r="MI62" s="75">
        <f t="array" ref="MI62">INDEX('Port Linkages'!$AH$18:$AH$157,MATCH(2,1/(('Port Linkages'!$C$18:$C$157=$AP62)*('Port Linkages'!$D$18:$D$157=IF($AO62="Yes",$AQ62,$AS62))*('Port Linkages'!$A$18:$A$157&lt;=$C62))))</f>
        <v>0</v>
      </c>
      <c r="MJ62" s="75" t="str">
        <f t="array" ref="MJ62">INDEX('Port Linkages'!$AI$18:$AI$157,MATCH(2,1/(('Port Linkages'!$C$18:$C$157=$AP62)*('Port Linkages'!$D$18:$D$157=IF($AO62="Yes",$AQ62,$AS62))*('Port Linkages'!$A$18:$A$157&lt;=$C62))))</f>
        <v>Panamax_General</v>
      </c>
      <c r="MK62" s="75" t="str">
        <f t="array" ref="MK62">INDEX('Port Linkages'!$AJ$18:$AJ$157,MATCH(2,1/(('Port Linkages'!$C$18:$C$157=$AP62)*('Port Linkages'!$D$18:$D$157=IF($AO62="Yes",$AQ62,$AS62))*('Port Linkages'!$A$18:$A$157&lt;=$C62))))</f>
        <v>Singapore</v>
      </c>
      <c r="ML62" s="75" t="str">
        <f t="array" ref="ML62">INDEX('Port Linkages'!$AK$18:$AK$157,MATCH(2,1/(('Port Linkages'!$C$18:$C$157=$AP62)*('Port Linkages'!$D$18:$D$157=IF($AO62="Yes",$AQ62,$AS62))*('Port Linkages'!$A$18:$A$157&lt;=$C62))))</f>
        <v>VLSFO</v>
      </c>
      <c r="MM62" s="75" t="str">
        <f t="array" ref="MM62">INDEX('Port Linkages'!$AL$18:$AL$157,MATCH(2,1/(('Port Linkages'!$C$18:$C$157=$AP62)*('Port Linkages'!$D$18:$D$157=IF($AO62="Yes",$AQ62,$AS62))*('Port Linkages'!$A$18:$A$157&lt;=$C62))))</f>
        <v>MGO_Regular</v>
      </c>
      <c r="MN62" s="75" t="str">
        <f t="array" ref="MN62">INDEX('Port Linkages'!$AM$18:$AM$157,MATCH(2,1/(('Port Linkages'!$C$18:$C$157=$AP62)*('Port Linkages'!$D$18:$D$157=IF($AO62="Yes",$AQ62,$AS62))*('Port Linkages'!$A$18:$A$157&lt;=$C62))))</f>
        <v>none</v>
      </c>
      <c r="MO62" s="75">
        <f t="array" ref="MO62">INDEX('Port Linkages'!$AN$18:$AN$157,MATCH(2,1/(('Port Linkages'!$C$18:$C$157=$AP62)*('Port Linkages'!$D$18:$D$157=IF($AO62="Yes",$AQ62,$AS62))*('Port Linkages'!$A$18:$A$157&lt;=$C62))))</f>
        <v>5100</v>
      </c>
      <c r="MP62" s="75">
        <f t="array" ref="MP62">INDEX('Port Linkages'!$AO$18:$AO$157,MATCH(2,1/(('Port Linkages'!$C$18:$C$157=$AP62)*('Port Linkages'!$D$18:$D$157=IF($AO62="Yes",$AQ62,$AS62))*('Port Linkages'!$A$18:$A$157&lt;=$C62))))</f>
        <v>0</v>
      </c>
      <c r="MQ62" s="75" t="str">
        <f t="array" ref="MQ62">INDEX('Port Linkages'!$AP$18:$AP$157,MATCH(2,1/(('Port Linkages'!$C$18:$C$157=$AP62)*('Port Linkages'!$D$18:$D$157=IF($AO62="Yes",$AQ62,$AS62))*('Port Linkages'!$A$18:$A$157&lt;=$C62))))</f>
        <v>Supramax_General</v>
      </c>
      <c r="MR62" s="75" t="str">
        <f t="array" ref="MR62">INDEX('Port Linkages'!$AQ$18:$AQ$157,MATCH(2,1/(('Port Linkages'!$C$18:$C$157=$AP62)*('Port Linkages'!$D$18:$D$157=IF($AO62="Yes",$AQ62,$AS62))*('Port Linkages'!$A$18:$A$157&lt;=$C62))))</f>
        <v>Singapore</v>
      </c>
      <c r="MS62" s="75" t="str">
        <f t="array" ref="MS62">INDEX('Port Linkages'!$AR$18:$AR$157,MATCH(2,1/(('Port Linkages'!$C$18:$C$157=$AP62)*('Port Linkages'!$D$18:$D$157=IF($AO62="Yes",$AQ62,$AS62))*('Port Linkages'!$A$18:$A$157&lt;=$C62))))</f>
        <v>VLSFO</v>
      </c>
      <c r="MT62" s="75" t="str">
        <f t="array" ref="MT62">INDEX('Port Linkages'!$AS$18:$AS$157,MATCH(2,1/(('Port Linkages'!$C$18:$C$157=$AP62)*('Port Linkages'!$D$18:$D$157=IF($AO62="Yes",$AQ62,$AS62))*('Port Linkages'!$A$18:$A$157&lt;=$C62))))</f>
        <v>MGO_Regular</v>
      </c>
      <c r="MU62" s="75" t="str">
        <f t="array" ref="MU62">INDEX('Port Linkages'!$AT$18:$AT$157,MATCH(2,1/(('Port Linkages'!$C$18:$C$157=$AP62)*('Port Linkages'!$D$18:$D$157=IF($AO62="Yes",$AQ62,$AS62))*('Port Linkages'!$A$18:$A$157&lt;=$C62))))</f>
        <v>none</v>
      </c>
      <c r="MV62" s="75">
        <f t="array" ref="MV62">INDEX('Port Linkages'!$AU$18:$AU$157,MATCH(2,1/(('Port Linkages'!$C$18:$C$157=$AP62)*('Port Linkages'!$D$18:$D$157=IF($AO62="Yes",$AQ62,$AS62))*('Port Linkages'!$A$18:$A$157&lt;=$C62))))</f>
        <v>5100</v>
      </c>
      <c r="MW62" s="75">
        <f t="array" ref="MW62">INDEX('Port Linkages'!$AV$18:$AV$157,MATCH(2,1/(('Port Linkages'!$C$18:$C$157=$AP62)*('Port Linkages'!$D$18:$D$157=IF($AO62="Yes",$AQ62,$AS62))*('Port Linkages'!$A$18:$A$157&lt;=$C62))))</f>
        <v>0</v>
      </c>
      <c r="MX62" s="75" t="str">
        <f t="array" ref="MX62">INDEX('Port Linkages'!$AW$18:$AW$157,MATCH(2,1/(('Port Linkages'!$C$18:$C$157=$AP62)*('Port Linkages'!$D$18:$D$157=IF($AO62="Yes",$AQ62,$AS62))*('Port Linkages'!$A$18:$A$157&lt;=$C62))))</f>
        <v>Handysize_General</v>
      </c>
      <c r="MY62" s="75" t="str">
        <f t="array" ref="MY62">INDEX('Port Linkages'!$AX$18:$AX$157,MATCH(2,1/(('Port Linkages'!$C$18:$C$157=$AP62)*('Port Linkages'!$D$18:$D$157=IF($AO62="Yes",$AQ62,$AS62))*('Port Linkages'!$A$18:$A$157&lt;=$C62))))</f>
        <v>Singapore</v>
      </c>
      <c r="MZ62" s="75" t="str">
        <f t="array" ref="MZ62">INDEX('Port Linkages'!$AY$18:$AY$157,MATCH(2,1/(('Port Linkages'!$C$18:$C$157=$AP62)*('Port Linkages'!$D$18:$D$157=IF($AO62="Yes",$AQ62,$AS62))*('Port Linkages'!$A$18:$A$157&lt;=$C62))))</f>
        <v>VLSFO</v>
      </c>
      <c r="NA62" s="75" t="str">
        <f t="array" ref="NA62">INDEX('Port Linkages'!$AZ$18:$AZ$157,MATCH(2,1/(('Port Linkages'!$C$18:$C$157=$AP62)*('Port Linkages'!$D$18:$D$157=IF($AO62="Yes",$AQ62,$AS62))*('Port Linkages'!$A$18:$A$157&lt;=$C62))))</f>
        <v>MGO_Regular</v>
      </c>
      <c r="NB62" s="75" t="str">
        <f t="array" ref="NB62">INDEX('Port Linkages'!$BA$18:$BA$157,MATCH(2,1/(('Port Linkages'!$C$18:$C$157=$AP62)*('Port Linkages'!$D$18:$D$157=IF($AO62="Yes",$AQ62,$AS62))*('Port Linkages'!$A$18:$A$157&lt;=$C62))))</f>
        <v>none</v>
      </c>
      <c r="ND62" s="25" t="e">
        <f t="array" aca="1" ref="ND62" ca="1">INDEX('Ship Fuel Prices'!$F$5:$F$1004,MATCH(2,1/(('Ship Fuel Prices'!$E$5:$E$1004=_xlfn.IFS(KS62="Handysize",Main!MY62,KS62="Supramax",MR62,KS62="Panamax",MK62,KS62="NeoPanamax",MD62,KS62="Suezmax",LW62,KS62="Capesize",LP62,KS62="VLOC",LI62))*('Ship Fuel Prices'!$D$5:$D$1004&lt;=Main!$C62))))</f>
        <v>#N/A</v>
      </c>
      <c r="NE62" s="25" t="e">
        <f t="array" aca="1" ref="NE62" ca="1">INDEX('Ship Fuel Prices'!$G$5:$G$1004,MATCH(2,1/(('Ship Fuel Prices'!$E$5:$E$1004=_xlfn.IFS(KS62="Handysize",Main!MY62,KS62="Supramax",MR62,KS62="Panamax",MK62,KS62="NeoPanamax",MD62,KS62="Suezmax",LW62,KS62="Capesize",LP62,KS62="VLOC",LI62))*('Ship Fuel Prices'!$D$5:$D$1004&lt;=Main!$C62))))</f>
        <v>#N/A</v>
      </c>
      <c r="NF62" s="25" t="e">
        <f t="array" aca="1" ref="NF62" ca="1">INDEX('Ship Fuel Prices'!$H$5:$H$1004,MATCH(2,1/(('Ship Fuel Prices'!$E$5:$E$1004=_xlfn.IFS(KS62="Handysize",Main!MY62,KS62="Supramax",MR62,KS62="Panamax",MK62,KS62="NeoPanamax",MD62,KS62="Suezmax",LW62,KS62="Capesize",LP62,KS62="VLOC",LI62))*('Ship Fuel Prices'!$D$5:$D$1004&lt;=Main!$C62))))</f>
        <v>#N/A</v>
      </c>
      <c r="NG62" s="25" t="e">
        <f t="array" aca="1" ref="NG62" ca="1">INDEX('Ship Fuel Prices'!$I$5:$I$1004,MATCH(2,1/(('Ship Fuel Prices'!$E$5:$E$1004=_xlfn.IFS(KS62="Handysize",Main!MY62,KS62="Supramax",MR62,KS62="Panamax",MK62,KS62="NeoPanamax",MD62,KS62="Suezmax",LW62,KS62="Capesize",LP62,KS62="VLOC",LI62))*('Ship Fuel Prices'!$D$5:$D$1004&lt;=Main!$C62))))</f>
        <v>#N/A</v>
      </c>
      <c r="NH62" s="25" t="e">
        <f t="array" aca="1" ref="NH62" ca="1">INDEX('Ship Fuel Prices'!$J$5:$J$1004,MATCH(2,1/(('Ship Fuel Prices'!$E$5:$E$1004=_xlfn.IFS(KS62="Handysize",Main!MY62,KS62="Supramax",MR62,KS62="Panamax",MK62,KS62="NeoPanamax",MD62,KS62="Suezmax",LW62,KS62="Capesize",LP62,KS62="VLOC",LI62))*('Ship Fuel Prices'!$D$5:$D$1004&lt;=Main!$C62))))</f>
        <v>#N/A</v>
      </c>
      <c r="NJ62" s="75">
        <f t="array" ref="NJ62">INDEX('China n Importing Ports'!$E$20:$E$41,MATCH(2,1/(('China n Importing Ports'!$D$20:$D$41&lt;=$C62)*('China n Importing Ports'!$C$20:$C$41=IF($AO62="Yes",$AQ62,$AS62)))))</f>
        <v>42500</v>
      </c>
      <c r="NK62" s="75">
        <f t="array" ref="NK62">INDEX('China n Importing Ports'!$F$20:$F$41,MATCH(2,1/(('China n Importing Ports'!$D$20:$D$41&lt;=$C62)*('China n Importing Ports'!$C$20:$C$41=IF($AO62="Yes",$AQ62,$AS62)))))</f>
        <v>42500</v>
      </c>
      <c r="NL62" s="75">
        <f t="array" ref="NL62">INDEX('China n Importing Ports'!$G$20:$G$41,MATCH(2,1/(('China n Importing Ports'!$D$20:$D$41&lt;=$C62)*('China n Importing Ports'!$C$20:$C$41=IF($AO62="Yes",$AQ62,$AS62)))))</f>
        <v>42500</v>
      </c>
      <c r="NM62" s="75">
        <f t="array" ref="NM62">INDEX('China n Importing Ports'!$H$20:$H$41,MATCH(2,1/(('China n Importing Ports'!$D$20:$D$41&lt;=$C62)*('China n Importing Ports'!$C$20:$C$41=IF($AO62="Yes",$AQ62,$AS62)))))</f>
        <v>42500</v>
      </c>
      <c r="NN62" s="75">
        <f t="array" ref="NN62">INDEX('China n Importing Ports'!$I$20:$I$41,MATCH(2,1/(('China n Importing Ports'!$D$20:$D$41&lt;=$C62)*('China n Importing Ports'!$C$20:$C$41=IF($AO62="Yes",$AQ62,$AS62)))))</f>
        <v>42500</v>
      </c>
      <c r="NO62" s="75">
        <f t="array" ref="NO62">INDEX('China n Importing Ports'!$J$20:$J$41,MATCH(2,1/(('China n Importing Ports'!$D$20:$D$41&lt;=$C62)*('China n Importing Ports'!$C$20:$C$41=IF($AO62="Yes",$AQ62,$AS62)))))</f>
        <v>42500</v>
      </c>
      <c r="NP62" s="75">
        <f t="array" ref="NP62">INDEX('China n Importing Ports'!$K$20:$K$41,MATCH(2,1/(('China n Importing Ports'!$D$20:$D$41&lt;=$C62)*('China n Importing Ports'!$C$20:$C$41=IF($AO62="Yes",$AQ62,$AS62)))))</f>
        <v>42500</v>
      </c>
      <c r="NQ62" s="75" t="str">
        <f t="array" ref="NQ62">INDEX('China n Importing Ports'!$L$20:$L$41,MATCH(2,1/(('China n Importing Ports'!$D$20:$D$41&lt;=$C62)*('China n Importing Ports'!$C$20:$C$41=IF($AO62="Yes",$AQ62,$AS62)))))</f>
        <v>RMB</v>
      </c>
      <c r="NR62" s="75">
        <f t="array" ref="NR62">INDEX('China n Importing Ports'!$M$20:$M$41,MATCH(2,1/(('China n Importing Ports'!$D$20:$D$41&lt;=$C62)*('China n Importing Ports'!$C$20:$C$41=IF($AO62="Yes",$AQ62,$AS62)))))</f>
        <v>12342</v>
      </c>
      <c r="NS62" s="75">
        <f t="array" ref="NS62">INDEX('China n Importing Ports'!$N$20:$N$41,MATCH(2,1/(('China n Importing Ports'!$D$20:$D$41&lt;=$C62)*('China n Importing Ports'!$C$20:$C$41=IF($AO62="Yes",$AQ62,$AS62)))))</f>
        <v>0</v>
      </c>
      <c r="NT62" s="75">
        <f t="array" ref="NT62">INDEX('China n Importing Ports'!$O$20:$O$41,MATCH(2,1/(('China n Importing Ports'!$D$20:$D$41&lt;=$C62)*('China n Importing Ports'!$C$20:$C$41=IF($AO62="Yes",$AQ62,$AS62)))))</f>
        <v>0</v>
      </c>
      <c r="NU62" s="136">
        <f t="array" ref="NU62">INDEX('China n Importing Ports'!$P$20:$P$41,MATCH(2,1/(('China n Importing Ports'!$D$20:$D$41&lt;=$C62)*('China n Importing Ports'!$C$20:$C$41=IF($AO62="Yes",$AQ62,$AS62)))))</f>
        <v>2.64</v>
      </c>
      <c r="NV62" s="136">
        <f t="array" ref="NV62">INDEX('China n Importing Ports'!$Q$20:$Q$41,MATCH(2,1/(('China n Importing Ports'!$D$20:$D$41&lt;=$C62)*('China n Importing Ports'!$C$20:$C$41=IF($AO62="Yes",$AQ62,$AS62)))))</f>
        <v>0</v>
      </c>
      <c r="NW62" s="136">
        <f t="array" ref="NW62">INDEX('China n Importing Ports'!$R$20:$R$41,MATCH(2,1/(('China n Importing Ports'!$D$20:$D$41&lt;=$C62)*('China n Importing Ports'!$C$20:$C$41=IF($AO62="Yes",$AQ62,$AS62)))))</f>
        <v>0</v>
      </c>
      <c r="NX62" s="136">
        <f t="array" ref="NX62">INDEX('China n Importing Ports'!$S$20:$S$41,MATCH(2,1/(('China n Importing Ports'!$D$20:$D$41&lt;=$C62)*('China n Importing Ports'!$C$20:$C$41=IF($AO62="Yes",$AQ62,$AS62)))))</f>
        <v>4.53</v>
      </c>
      <c r="NY62" s="136">
        <f t="array" ref="NY62">INDEX('China n Importing Ports'!$T$20:$T$41,MATCH(2,1/(('China n Importing Ports'!$D$20:$D$41&lt;=$C62)*('China n Importing Ports'!$C$20:$C$41=IF($AO62="Yes",$AQ62,$AS62)))))</f>
        <v>0.36699999999999999</v>
      </c>
      <c r="NZ62" s="136">
        <f t="array" ref="NZ62">INDEX('China n Importing Ports'!$U$20:$U$41,MATCH(2,1/(('China n Importing Ports'!$D$20:$D$41&lt;=$C62)*('China n Importing Ports'!$C$20:$C$41=IF($AO62="Yes",$AQ62,$AS62)))))</f>
        <v>0.05</v>
      </c>
      <c r="OA62" s="136">
        <f t="array" ref="OA62">INDEX('China n Importing Ports'!$V$20:$V$41,MATCH(2,1/(('China n Importing Ports'!$D$20:$D$41&lt;=$C62)*('China n Importing Ports'!$C$20:$C$41=IF($AO62="Yes",$AQ62,$AS62)))))</f>
        <v>0</v>
      </c>
      <c r="OB62" s="136">
        <f t="array" ref="OB62">INDEX('China n Importing Ports'!$W$20:$W$41,MATCH(2,1/(('China n Importing Ports'!$D$20:$D$41&lt;=$C62)*('China n Importing Ports'!$C$20:$C$41=IF($AO62="Yes",$AQ62,$AS62)))))</f>
        <v>0</v>
      </c>
      <c r="OC62" s="136">
        <f t="array" ref="OC62">INDEX('China n Importing Ports'!$X$20:$X$41,MATCH(2,1/(('China n Importing Ports'!$D$20:$D$41&lt;=$C62)*('China n Importing Ports'!$C$20:$C$41=IF($AO62="Yes",$AQ62,$AS62)))))</f>
        <v>0</v>
      </c>
      <c r="OD62" s="136">
        <f t="array" ref="OD62">INDEX('China n Importing Ports'!$Y$20:$Y$41,MATCH(2,1/(('China n Importing Ports'!$D$20:$D$41&lt;=$C62)*('China n Importing Ports'!$C$20:$C$41=IF($AO62="Yes",$AQ62,$AS62)))))</f>
        <v>197</v>
      </c>
      <c r="OE62" s="136">
        <f t="array" ref="OE62">INDEX('China n Importing Ports'!$Z$20:$Z$41,MATCH(2,1/(('China n Importing Ports'!$D$20:$D$41&lt;=$C62)*('China n Importing Ports'!$C$20:$C$41=IF($AO62="Yes",$AQ62,$AS62)))))</f>
        <v>0</v>
      </c>
      <c r="OF62" s="136">
        <f t="array" ref="OF62">INDEX('China n Importing Ports'!$AA$20:$AA$41,MATCH(2,1/(('China n Importing Ports'!$D$20:$D$41&lt;=$C62)*('China n Importing Ports'!$C$20:$C$41=IF($AO62="Yes",$AQ62,$AS62)))))</f>
        <v>0</v>
      </c>
      <c r="OH62" s="75" t="e">
        <f t="array" aca="1" ref="OH62" ca="1">INDEX(Canals!$G$24:$G$29,MATCH(2,1/((Canals!$F$24:$F$29&lt;=$C62)*(Canals!$G$24:$G$29=_xlfn.IFS(KS62="Handysize",Main!NB62,KS62="Supramax",MU62,KS62="Panamax",MN62,KS62="NeoPanamax",MG62,KS62="Suezmax",LZ62,KS62="Capesize",LS62,KS62="VLOC",LL62)))))</f>
        <v>#N/A</v>
      </c>
      <c r="OI62" s="75" t="e">
        <f t="array" aca="1" ref="OI62" ca="1">INDEX(Canals!$H$24:$H$29,MATCH(2,1/((Canals!$F$24:$F$29&lt;=$C62)*(Canals!$G$24:$G$29=_xlfn.IFS(KS62="Handysize",Main!NB62,KS62="Supramax",MU62,KS62="Panamax",MN62,KS62="NeoPanamax",MG62,KS62="Suezmax",LZ62,KS62="Capesize",LS62,KS62="VLOC",LL62)))))</f>
        <v>#N/A</v>
      </c>
      <c r="OJ62" s="75" t="e">
        <f t="array" aca="1" ref="OJ62" ca="1">INDEX(Canals!$I$24:$I$29,MATCH(2,1/((Canals!$F$24:$F$29&lt;=$C62)*(Canals!$G$24:$G$29=_xlfn.IFS(KS62="Handysize",Main!NB62,KS62="Supramax",MU62,KS62="Panamax",MN62,KS62="NeoPanamax",MG62,KS62="Suezmax",LZ62,KS62="Capesize",LS62,KS62="VLOC",LL62)))))</f>
        <v>#N/A</v>
      </c>
      <c r="OK62" s="75" t="e">
        <f t="array" aca="1" ref="OK62" ca="1">INDEX(Canals!$J$24:$J$29,MATCH(2,1/((Canals!$F$24:$F$29&lt;=$C62)*(Canals!$G$24:$G$29=_xlfn.IFS(KS62="Handysize",Main!NB62,KS62="Supramax",MU62,KS62="Panamax",MN62,KS62="NeoPanamax",MG62,KS62="Suezmax",LZ62,KS62="Capesize",LS62,KS62="VLOC",LL62)))))</f>
        <v>#N/A</v>
      </c>
      <c r="OL62" s="75" t="e">
        <f t="array" aca="1" ref="OL62" ca="1">INDEX(Canals!$K$24:$K$29,MATCH(2,1/((Canals!$F$24:$F$29&lt;=$C62)*(Canals!$G$24:$G$29=_xlfn.IFS(KS62="Handysize",Main!NB62,KS62="Supramax",MU62,KS62="Panamax",MN62,KS62="NeoPanamax",MG62,KS62="Suezmax",LZ62,KS62="Capesize",LS62,KS62="VLOC",LL62)))))</f>
        <v>#N/A</v>
      </c>
      <c r="OM62" s="75" t="e">
        <f t="array" aca="1" ref="OM62" ca="1">INDEX(Canals!$L$24:$L$29,MATCH(2,1/((Canals!$F$24:$F$29&lt;=$C62)*(Canals!$G$24:$G$29=_xlfn.IFS(KS62="Handysize",Main!NB62,KS62="Supramax",MU62,KS62="Panamax",MN62,KS62="NeoPanamax",MG62,KS62="Suezmax",LZ62,KS62="Capesize",LS62,KS62="VLOC",LL62)))))</f>
        <v>#N/A</v>
      </c>
      <c r="ON62" s="75" t="e">
        <f t="array" aca="1" ref="ON62" ca="1">INDEX(Canals!$M$24:$M$29,MATCH(2,1/((Canals!$F$24:$F$29&lt;=$C62)*(Canals!$G$24:$G$29=_xlfn.IFS(KS62="Handysize",Main!NB62,KS62="Supramax",MU62,KS62="Panamax",MN62,KS62="NeoPanamax",MG62,KS62="Suezmax",LZ62,KS62="Capesize",LS62,KS62="VLOC",LL62)))))</f>
        <v>#N/A</v>
      </c>
      <c r="OO62" s="75" t="e">
        <f t="array" aca="1" ref="OO62" ca="1">INDEX(Canals!$N$24:$N$29,MATCH(2,1/((Canals!$F$24:$F$29&lt;=$C62)*(Canals!$G$24:$G$29=_xlfn.IFS(KS62="Handysize",Main!NB62,KS62="Supramax",MU62,KS62="Panamax",MN62,KS62="NeoPanamax",MG62,KS62="Suezmax",LZ62,KS62="Capesize",LS62,KS62="VLOC",LL62)))))</f>
        <v>#N/A</v>
      </c>
      <c r="OP62" s="75" t="e">
        <f t="array" aca="1" ref="OP62" ca="1">INDEX(Canals!$O$24:$O$29,MATCH(2,1/((Canals!$F$24:$F$29&lt;=$C62)*(Canals!$G$24:$G$29=_xlfn.IFS(KS62="Handysize",Main!NB62,KS62="Supramax",MU62,KS62="Panamax",MN62,KS62="NeoPanamax",MG62,KS62="Suezmax",LZ62,KS62="Capesize",LS62,KS62="VLOC",LL62)))))</f>
        <v>#N/A</v>
      </c>
      <c r="OQ62" s="75" t="e">
        <f t="array" aca="1" ref="OQ62" ca="1">INDEX(Canals!$P$24:$P$29,MATCH(2,1/((Canals!$F$24:$F$29&lt;=$C62)*(Canals!$G$24:$G$29=_xlfn.IFS(KS62="Handysize",Main!NB62,KS62="Supramax",MU62,KS62="Panamax",MN62,KS62="NeoPanamax",MG62,KS62="Suezmax",LZ62,KS62="Capesize",LS62,KS62="VLOC",LL62)))))</f>
        <v>#N/A</v>
      </c>
      <c r="OR62" s="75" t="e">
        <f t="array" aca="1" ref="OR62" ca="1">INDEX(Canals!$Q$24:$Q$29,MATCH(2,1/((Canals!$F$24:$F$29&lt;=$C62)*(Canals!$G$24:$G$29=_xlfn.IFS(KS62="Handysize",Main!NB62,KS62="Supramax",MU62,KS62="Panamax",MN62,KS62="NeoPanamax",MG62,KS62="Suezmax",LZ62,KS62="Capesize",LS62,KS62="VLOC",LL62)))))</f>
        <v>#N/A</v>
      </c>
      <c r="OS62" s="75" t="e">
        <f t="array" aca="1" ref="OS62" ca="1">INDEX(Canals!$R$24:$R$29,MATCH(2,1/((Canals!$F$24:$F$29&lt;=$C62)*(Canals!$G$24:$G$29=_xlfn.IFS(KS62="Handysize",Main!NB62,KS62="Supramax",MU62,KS62="Panamax",MN62,KS62="NeoPanamax",MG62,KS62="Suezmax",LZ62,KS62="Capesize",LS62,KS62="VLOC",LL62)))))</f>
        <v>#N/A</v>
      </c>
      <c r="OT62" s="136" t="e">
        <f t="array" aca="1" ref="OT62" ca="1">INDEX(Canals!$S$24:$S$29,MATCH(2,1/((Canals!$F$24:$F$29&lt;=$C62)*(Canals!$G$24:$G$29=_xlfn.IFS(KS62="Handysize",Main!NB62,KS62="Supramax",MU62,KS62="Panamax",MN62,KS62="NeoPanamax",MG62,KS62="Suezmax",LZ62,KS62="Capesize",LS62,KS62="VLOC",LL62)))))</f>
        <v>#N/A</v>
      </c>
      <c r="OU62" s="136" t="e">
        <f t="array" aca="1" ref="OU62" ca="1">INDEX(Canals!$T$24:$T$29,MATCH(2,1/((Canals!$F$24:$F$29&lt;=$C62)*(Canals!$G$24:$G$29=_xlfn.IFS(KS62="Handysize",Main!NB62,KS62="Supramax",MU62,KS62="Panamax",MN62,KS62="NeoPanamax",MG62,KS62="Suezmax",LZ62,KS62="Capesize",LS62,KS62="VLOC",LL62)))))</f>
        <v>#N/A</v>
      </c>
      <c r="OV62" s="136" t="e">
        <f t="array" aca="1" ref="OV62" ca="1">INDEX(Canals!$U$24:$U$29,MATCH(2,1/((Canals!$F$24:$F$29&lt;=$C62)*(Canals!$G$24:$G$29=_xlfn.IFS(KS62="Handysize",Main!NB62,KS62="Supramax",MU62,KS62="Panamax",MN62,KS62="NeoPanamax",MG62,KS62="Suezmax",LZ62,KS62="Capesize",LS62,KS62="VLOC",LL62)))))</f>
        <v>#N/A</v>
      </c>
      <c r="OW62" s="136" t="e">
        <f t="array" aca="1" ref="OW62" ca="1">INDEX(Canals!$V$24:$V$29,MATCH(2,1/((Canals!$F$24:$F$29&lt;=$C62)*(Canals!$G$24:$G$29=_xlfn.IFS(KS62="Handysize",Main!NB62,KS62="Supramax",MU62,KS62="Panamax",MN62,KS62="NeoPanamax",MG62,KS62="Suezmax",LZ62,KS62="Capesize",LS62,KS62="VLOC",LL62)))))</f>
        <v>#N/A</v>
      </c>
      <c r="OX62" s="136" t="e">
        <f t="array" aca="1" ref="OX62" ca="1">INDEX(Canals!$W$24:$W$29,MATCH(2,1/((Canals!$F$24:$F$29&lt;=$C62)*(Canals!$G$24:$G$29=_xlfn.IFS(KS62="Handysize",Main!NB62,KS62="Supramax",MU62,KS62="Panamax",MN62,KS62="NeoPanamax",MG62,KS62="Suezmax",LZ62,KS62="Capesize",LS62,KS62="VLOC",LL62)))))</f>
        <v>#N/A</v>
      </c>
      <c r="OY62" s="136" t="e">
        <f t="array" aca="1" ref="OY62" ca="1">INDEX(Canals!$X$24:$X$29,MATCH(2,1/((Canals!$F$24:$F$29&lt;=$C62)*(Canals!$G$24:$G$29=_xlfn.IFS(KS62="Handysize",Main!NB62,KS62="Supramax",MU62,KS62="Panamax",MN62,KS62="NeoPanamax",MG62,KS62="Suezmax",LZ62,KS62="Capesize",LS62,KS62="VLOC",LL62)))))</f>
        <v>#N/A</v>
      </c>
      <c r="OZ62" s="136" t="e">
        <f t="array" aca="1" ref="OZ62" ca="1">INDEX(Canals!$Y$24:$Y$29,MATCH(2,1/((Canals!$F$24:$F$29&lt;=$C62)*(Canals!$G$24:$G$29=_xlfn.IFS(KS62="Handysize",Main!NB62,KS62="Supramax",MU62,KS62="Panamax",MN62,KS62="NeoPanamax",MG62,KS62="Suezmax",LZ62,KS62="Capesize",LS62,KS62="VLOC",LL62)))))</f>
        <v>#N/A</v>
      </c>
      <c r="PA62" s="136" t="e">
        <f t="array" aca="1" ref="PA62" ca="1">INDEX(Canals!$Z$24:$Z$29,MATCH(2,1/((Canals!$F$24:$F$29&lt;=$C62)*(Canals!$G$24:$G$29=_xlfn.IFS(KS62="Handysize",Main!NB62,KS62="Supramax",MU62,KS62="Panamax",MN62,KS62="NeoPanamax",MG62,KS62="Suezmax",LZ62,KS62="Capesize",LS62,KS62="VLOC",LL62)))))</f>
        <v>#N/A</v>
      </c>
      <c r="PB62" s="136" t="e">
        <f t="array" aca="1" ref="PB62" ca="1">INDEX(Canals!$AA$24:$AA$29,MATCH(2,1/((Canals!$F$24:$F$29&lt;=$C62)*(Canals!$G$24:$G$29=_xlfn.IFS(KS62="Handysize",Main!NB62,KS62="Supramax",MU62,KS62="Panamax",MN62,KS62="NeoPanamax",MG62,KS62="Suezmax",LZ62,KS62="Capesize",LS62,KS62="VLOC",LL62)))))</f>
        <v>#N/A</v>
      </c>
      <c r="PC62" s="136" t="e">
        <f t="array" aca="1" ref="PC62" ca="1">INDEX(Canals!$AB$24:$AB$29,MATCH(2,1/((Canals!$F$24:$F$29&lt;=$C62)*(Canals!$G$24:$G$29=_xlfn.IFS(KS62="Handysize",Main!NB62,KS62="Supramax",MU62,KS62="Panamax",MN62,KS62="NeoPanamax",MG62,KS62="Suezmax",LZ62,KS62="Capesize",LS62,KS62="VLOC",LL62)))))</f>
        <v>#N/A</v>
      </c>
      <c r="PD62" s="75" t="e">
        <f t="array" aca="1" ref="PD62" ca="1">INDEX(Canals!$AC$24:$AC$29,MATCH(2,1/((Canals!$F$24:$F$29&lt;=$C62)*(Canals!$G$24:$G$29=_xlfn.IFS(KS62="Handysize",Main!NB62,KS62="Supramax",MU62,KS62="Panamax",MN62,KS62="NeoPanamax",MG62,KS62="Suezmax",LZ62,KS62="Capesize",LS62,KS62="VLOC",LL62)))))</f>
        <v>#N/A</v>
      </c>
      <c r="PE62" s="75" t="e">
        <f t="array" aca="1" ref="PE62" ca="1">INDEX(Canals!$AD$24:$AD$29,MATCH(2,1/((Canals!$F$24:$F$29&lt;=$C62)*(Canals!$G$24:$G$29=_xlfn.IFS(KS62="Handysize",Main!NB62,KS62="Supramax",MU62,KS62="Panamax",MN62,KS62="NeoPanamax",MG62,KS62="Suezmax",LZ62,KS62="Capesize",LS62,KS62="VLOC",LL62)))))</f>
        <v>#N/A</v>
      </c>
      <c r="PF62" s="75" t="e">
        <f t="array" aca="1" ref="PF62" ca="1">INDEX(Canals!$AE$24:$AE$29,MATCH(2,1/((Canals!$F$24:$F$29&lt;=$C62)*(Canals!$G$24:$G$29=_xlfn.IFS(KS62="Handysize",Main!NB62,KS62="Supramax",MU62,KS62="Panamax",MN62,KS62="NeoPanamax",MG62,KS62="Suezmax",LZ62,KS62="Capesize",LS62,KS62="VLOC",LL62)))))</f>
        <v>#N/A</v>
      </c>
      <c r="PG62" s="75" t="e">
        <f t="array" aca="1" ref="PG62" ca="1">INDEX(Canals!$AF$24:$AF$29,MATCH(2,1/((Canals!$F$24:$F$29&lt;=$C62)*(Canals!$G$24:$G$29=_xlfn.IFS(KS62="Handysize",Main!NB62,KS62="Supramax",MU62,KS62="Panamax",MN62,KS62="NeoPanamax",MG62,KS62="Suezmax",LZ62,KS62="Capesize",LS62,KS62="VLOC",LL62)))))</f>
        <v>#N/A</v>
      </c>
      <c r="PH62" s="75" t="e">
        <f t="array" aca="1" ref="PH62" ca="1">INDEX(Canals!$AG$24:$AG$29,MATCH(2,1/((Canals!$F$24:$F$29&lt;=$C62)*(Canals!$G$24:$G$29=_xlfn.IFS(KS62="Handysize",Main!NB62,KS62="Supramax",MU62,KS62="Panamax",MN62,KS62="NeoPanamax",MG62,KS62="Suezmax",LZ62,KS62="Capesize",LS62,KS62="VLOC",LL62)))))</f>
        <v>#N/A</v>
      </c>
      <c r="PI62" s="75" t="e">
        <f t="array" aca="1" ref="PI62" ca="1">INDEX(Canals!$AH$24:$AH$29,MATCH(2,1/((Canals!$F$24:$F$29&lt;=$C62)*(Canals!$G$24:$G$29=_xlfn.IFS(KS62="Handysize",Main!NB62,KS62="Supramax",MU62,KS62="Panamax",MN62,KS62="NeoPanamax",MG62,KS62="Suezmax",LZ62,KS62="Capesize",LS62,KS62="VLOC",LL62)))))</f>
        <v>#N/A</v>
      </c>
      <c r="PJ62" s="75" t="e">
        <f t="array" aca="1" ref="PJ62" ca="1">INDEX(Canals!$AI$24:$AI$29,MATCH(2,1/((Canals!$F$24:$F$29&lt;=$C62)*(Canals!$G$24:$G$29=_xlfn.IFS(KS62="Handysize",Main!NB62,KS62="Supramax",MU62,KS62="Panamax",MN62,KS62="NeoPanamax",MG62,KS62="Suezmax",LZ62,KS62="Capesize",LS62,KS62="VLOC",LL62)))))</f>
        <v>#N/A</v>
      </c>
      <c r="PK62" s="75" t="e">
        <f t="array" aca="1" ref="PK62" ca="1">INDEX(Canals!$AJ$24:$AJ$29,MATCH(2,1/((Canals!$F$24:$F$29&lt;=$C62)*(Canals!$G$24:$G$29=_xlfn.IFS(KS62="Handysize",Main!NB62,KS62="Supramax",MU62,KS62="Panamax",MN62,KS62="NeoPanamax",MG62,KS62="Suezmax",LZ62,KS62="Capesize",LS62,KS62="VLOC",LL62)))))</f>
        <v>#N/A</v>
      </c>
      <c r="PL62" s="75" t="e">
        <f t="array" aca="1" ref="PL62" ca="1">INDEX(Canals!$AK$24:$AK$29,MATCH(2,1/((Canals!$F$24:$F$29&lt;=$C62)*(Canals!$G$24:$G$29=_xlfn.IFS(KS62="Handysize",Main!NB62,KS62="Supramax",MU62,KS62="Panamax",MN62,KS62="NeoPanamax",MG62,KS62="Suezmax",LZ62,KS62="Capesize",LS62,KS62="VLOC",LL62)))))</f>
        <v>#N/A</v>
      </c>
      <c r="PM62" s="136" t="e">
        <f t="array" aca="1" ref="PM62" ca="1">INDEX(Canals!$AL$24:$AL$29,MATCH(2,1/((Canals!$F$24:$F$29&lt;=$C62)*(Canals!$G$24:$G$29=_xlfn.IFS(KS62="Handysize",Main!NB62,KS62="Supramax",MU62,KS62="Panamax",MN62,KS62="NeoPanamax",MG62,KS62="Suezmax",LZ62,KS62="Capesize",LS62,KS62="VLOC",LL62)))))</f>
        <v>#N/A</v>
      </c>
      <c r="PN62" s="136" t="e">
        <f t="array" aca="1" ref="PN62" ca="1">INDEX(Canals!$AM$24:$AM$29,MATCH(2,1/((Canals!$F$24:$F$29&lt;=$C62)*(Canals!$G$24:$G$29=_xlfn.IFS(KS62="Handysize",Main!NB62,KS62="Supramax",MU62,KS62="Panamax",MN62,KS62="NeoPanamax",MG62,KS62="Suezmax",LZ62,KS62="Capesize",LS62,KS62="VLOC",LL62)))))</f>
        <v>#N/A</v>
      </c>
      <c r="PO62" s="136" t="e">
        <f t="array" aca="1" ref="PO62" ca="1">INDEX(Canals!$AN$24:$AN$29,MATCH(2,1/((Canals!$F$24:$F$29&lt;=$C62)*(Canals!$G$24:$G$29=_xlfn.IFS(KS62="Handysize",Main!NB62,KS62="Supramax",MU62,KS62="Panamax",MN62,KS62="NeoPanamax",MG62,KS62="Suezmax",LZ62,KS62="Capesize",LS62,KS62="VLOC",LL62)))))</f>
        <v>#N/A</v>
      </c>
      <c r="PP62" s="136" t="e">
        <f t="array" aca="1" ref="PP62" ca="1">INDEX(Canals!$AO$24:$AO$29,MATCH(2,1/((Canals!$F$24:$F$29&lt;=$C62)*(Canals!$G$24:$G$29=_xlfn.IFS(KS62="Handysize",Main!NB62,KS62="Supramax",MU62,KS62="Panamax",MN62,KS62="NeoPanamax",MG62,KS62="Suezmax",LZ62,KS62="Capesize",LS62,KS62="VLOC",LL62)))))</f>
        <v>#N/A</v>
      </c>
      <c r="PQ62" s="136" t="e">
        <f t="array" aca="1" ref="PQ62" ca="1">INDEX(Canals!$AP$24:$AP$29,MATCH(2,1/((Canals!$F$24:$F$29&lt;=$C62)*(Canals!$G$24:$G$29=_xlfn.IFS(KS62="Handysize",Main!NB62,KS62="Supramax",MU62,KS62="Panamax",MN62,KS62="NeoPanamax",MG62,KS62="Suezmax",LZ62,KS62="Capesize",LS62,KS62="VLOC",LL62)))))</f>
        <v>#N/A</v>
      </c>
      <c r="PR62" s="136" t="e">
        <f t="array" aca="1" ref="PR62" ca="1">INDEX(Canals!$AQ$24:$AQ$29,MATCH(2,1/((Canals!$F$24:$F$29&lt;=$C62)*(Canals!$G$24:$G$29=_xlfn.IFS(KS62="Handysize",Main!NB62,KS62="Supramax",MU62,KS62="Panamax",MN62,KS62="NeoPanamax",MG62,KS62="Suezmax",LZ62,KS62="Capesize",LS62,KS62="VLOC",LL62)))))</f>
        <v>#N/A</v>
      </c>
      <c r="PS62" s="136" t="e">
        <f t="array" aca="1" ref="PS62" ca="1">INDEX(Canals!$AR$24:$AR$29,MATCH(2,1/((Canals!$F$24:$F$29&lt;=$C62)*(Canals!$G$24:$G$29=_xlfn.IFS(KS62="Handysize",Main!NB62,KS62="Supramax",MU62,KS62="Panamax",MN62,KS62="NeoPanamax",MG62,KS62="Suezmax",LZ62,KS62="Capesize",LS62,KS62="VLOC",LL62)))))</f>
        <v>#N/A</v>
      </c>
      <c r="PT62" s="136" t="e">
        <f t="array" aca="1" ref="PT62" ca="1">INDEX(Canals!$AS$24:$AS$29,MATCH(2,1/((Canals!$F$24:$F$29&lt;=$C62)*(Canals!$G$24:$G$29=_xlfn.IFS(KS62="Handysize",Main!NB62,KS62="Supramax",MU62,KS62="Panamax",MN62,KS62="NeoPanamax",MG62,KS62="Suezmax",LZ62,KS62="Capesize",LS62,KS62="VLOC",LL62)))))</f>
        <v>#N/A</v>
      </c>
      <c r="PU62" s="136" t="e">
        <f t="array" aca="1" ref="PU62" ca="1">INDEX(Canals!$AT$24:$AT$29,MATCH(2,1/((Canals!$F$24:$F$29&lt;=$C62)*(Canals!$G$24:$G$29=_xlfn.IFS(KS62="Handysize",Main!NB62,KS62="Supramax",MU62,KS62="Panamax",MN62,KS62="NeoPanamax",MG62,KS62="Suezmax",LZ62,KS62="Capesize",LS62,KS62="VLOC",LL62)))))</f>
        <v>#N/A</v>
      </c>
      <c r="PV62" s="136" t="e">
        <f t="array" aca="1" ref="PV62" ca="1">INDEX(Canals!$AU$24:$AU$29,MATCH(2,1/((Canals!$F$24:$F$29&lt;=$C62)*(Canals!$G$24:$G$29=_xlfn.IFS(KS62="Handysize",Main!NB62,KS62="Supramax",MU62,KS62="Panamax",MN62,KS62="NeoPanamax",MG62,KS62="Suezmax",LZ62,KS62="Capesize",LS62,KS62="VLOC",LL62)))))</f>
        <v>#N/A</v>
      </c>
      <c r="PW62" s="136" t="e">
        <f t="array" aca="1" ref="PW62" ca="1">INDEX(Canals!$AV$24:$AV$29,MATCH(2,1/((Canals!$F$24:$F$29&lt;=$C62)*(Canals!$G$24:$G$29=_xlfn.IFS(KS62="Handysize",Main!NB62,KS62="Supramax",MU62,KS62="Panamax",MN62,KS62="NeoPanamax",MG62,KS62="Suezmax",LZ62,KS62="Capesize",LS62,KS62="VLOC",LL62)))))</f>
        <v>#N/A</v>
      </c>
      <c r="PY62" s="75" t="e">
        <f t="array" aca="1" ref="PY62" ca="1">_xlfn.IFS(OJ62="DWT",KQ62,OJ62="NRT",KU62,OJ62="GRT",KV62)</f>
        <v>#NAME?</v>
      </c>
      <c r="PZ62" s="279" t="e">
        <f t="shared" ca="1" si="422"/>
        <v>#NAME?</v>
      </c>
      <c r="QA62" s="280" t="e">
        <f t="shared" ca="1" si="423"/>
        <v>#NAME?</v>
      </c>
      <c r="QB62" s="280" t="e">
        <f t="shared" ca="1" si="424"/>
        <v>#NAME?</v>
      </c>
      <c r="QC62" s="280" t="e">
        <f t="shared" ca="1" si="425"/>
        <v>#NAME?</v>
      </c>
      <c r="QD62" s="280" t="e">
        <f t="shared" ca="1" si="426"/>
        <v>#NAME?</v>
      </c>
      <c r="QE62" s="280" t="e">
        <f t="shared" ca="1" si="427"/>
        <v>#NAME?</v>
      </c>
      <c r="QF62" s="280" t="e">
        <f t="shared" ca="1" si="428"/>
        <v>#NAME?</v>
      </c>
      <c r="QG62" s="280" t="e">
        <f t="shared" ca="1" si="429"/>
        <v>#NAME?</v>
      </c>
      <c r="QH62" s="280" t="e">
        <f t="shared" ca="1" si="430"/>
        <v>#NAME?</v>
      </c>
      <c r="QI62" s="75">
        <f t="shared" si="431"/>
        <v>50537.634408602156</v>
      </c>
      <c r="QJ62" s="279" t="e">
        <f t="shared" ca="1" si="432"/>
        <v>#N/A</v>
      </c>
      <c r="QK62" s="280" t="e">
        <f t="shared" ca="1" si="433"/>
        <v>#N/A</v>
      </c>
      <c r="QL62" s="280" t="e">
        <f t="shared" ca="1" si="434"/>
        <v>#N/A</v>
      </c>
      <c r="QM62" s="280" t="e">
        <f t="shared" ca="1" si="435"/>
        <v>#N/A</v>
      </c>
      <c r="QN62" s="280" t="e">
        <f t="shared" ca="1" si="436"/>
        <v>#N/A</v>
      </c>
      <c r="QO62" s="280" t="e">
        <f t="shared" ca="1" si="437"/>
        <v>#N/A</v>
      </c>
      <c r="QP62" s="280" t="e">
        <f t="shared" ca="1" si="438"/>
        <v>#N/A</v>
      </c>
      <c r="QQ62" s="280" t="e">
        <f t="shared" ca="1" si="439"/>
        <v>#N/A</v>
      </c>
      <c r="QR62" s="280" t="e">
        <f t="shared" ca="1" si="440"/>
        <v>#N/A</v>
      </c>
      <c r="QT62" s="75" t="e">
        <f t="array" aca="1" ref="QT62" ca="1">_xlfn.IFS(KS62="Handysize",Main!MV62,KS62="Supramax",MO62,KS62="Panamax",MH62,KS62="NeoPanamax",MA62,KS62="Suezmax",LT62,KS62="Capesize",LM62,KS62="VLOC",LF62)*$JI62</f>
        <v>#NAME?</v>
      </c>
      <c r="QU62" s="274" t="e">
        <f t="array" aca="1" ref="QU62" ca="1">_xlfn.IFS(KS62="Handysize",Main!MW62,KS62="Supramax",MP62,KS62="Panamax",MI62,KS62="NeoPanamax",MB62,KS62="Suezmax",LU62,KS62="Capesize",LN62,KS62="VLOC",LG62)*$JI62</f>
        <v>#NAME?</v>
      </c>
      <c r="QV62" s="71" t="e">
        <f t="array" aca="1" ref="QV62" ca="1">_xlfn.IFS(KS62="Handysize",Main!KX62,KS62="Supramax",KY62,KS62="Panamax",KZ62,KS62="NeoPanamax",LA62,KS62="Suezmax",LB62,KS62="Capesize",LC62,KS62="VLOC",LD62)</f>
        <v>#NAME?</v>
      </c>
      <c r="QW62" s="71" t="e">
        <f t="array" aca="1" ref="QW62" ca="1">_xlfn.IFS(KS62="Handysize",Main!NJ62,KS62="Supramax",NK62,KS62="Panamax",NL62,KS62="NeoPanamax",NM62,KS62="Suezmax",NN62,KS62="Capesize",NO62,KS62="VLOC",NP62)</f>
        <v>#NAME?</v>
      </c>
      <c r="QX62" s="70">
        <f t="array" ref="QX62">INDEX('Ship Speeds'!$G$11:$G$1011,MATCH(2,1/(('Ship Speeds'!$E$11:$E$1011&lt;=Main!$C62)*('Ship Speeds'!$F$11:$F$1011=Main!KR62))))</f>
        <v>11</v>
      </c>
      <c r="QY62" s="403">
        <f t="shared" si="441"/>
        <v>16.429258650870889</v>
      </c>
      <c r="QZ62" s="401">
        <f t="shared" si="442"/>
        <v>1.7535814722911498</v>
      </c>
      <c r="RA62" s="70" t="e">
        <f t="shared" ca="1" si="651"/>
        <v>#NAME?</v>
      </c>
      <c r="RB62" s="70" t="e">
        <f t="shared" ca="1" si="443"/>
        <v>#NAME?</v>
      </c>
      <c r="RC62" s="70" t="e">
        <f t="shared" ca="1" si="444"/>
        <v>#NAME?</v>
      </c>
      <c r="RD62" s="70" t="e">
        <f t="shared" ca="1" si="445"/>
        <v>#NAME?</v>
      </c>
      <c r="RE62" s="72" t="e">
        <f t="shared" ca="1" si="652"/>
        <v>#N/A</v>
      </c>
      <c r="RF62" s="70" t="e">
        <f t="shared" ca="1" si="446"/>
        <v>#NAME?</v>
      </c>
      <c r="RG62" s="70" t="e">
        <f t="array" aca="1" ref="RG62" ca="1">INDEX(ND62:NH62,MATCH(_xlfn.IFS(KS62="Handysize",Main!MZ62,KS62="Supramax",MS62,KS62="Panamax",ML62,KS62="NeoPanamax",ME62,KS62="Suezmax",LX62,KS62="Capesize",LQ62,KS62="VLOC",LJ62),$ND$7:$NH$7,0))</f>
        <v>#NAME?</v>
      </c>
      <c r="RH62" s="70" t="e">
        <f t="array" aca="1" ref="RH62" ca="1">INDEX(ND62:NH62,MATCH(_xlfn.IFS(KS62="Handysize",Main!NA62,KS62="Supramax",MT62,KS62="Panamax",MM62,KS62="NeoPanamax",MF62,KS62="Suezmax",LY62,KS62="Capesize",LR62,KS62="VLOC",LK62),$ND$7:$NH$7,0))</f>
        <v>#NAME?</v>
      </c>
      <c r="RI62" s="71" t="e">
        <f t="shared" ca="1" si="447"/>
        <v>#NAME?</v>
      </c>
      <c r="RJ62" s="71" t="e">
        <f t="shared" ca="1" si="448"/>
        <v>#NAME?</v>
      </c>
      <c r="RK62" s="281">
        <f t="shared" si="653"/>
        <v>7.0834199999999994</v>
      </c>
      <c r="RL62" s="71">
        <f t="shared" si="654"/>
        <v>1742.3786814843679</v>
      </c>
      <c r="RM62" s="71" t="e">
        <f t="shared" ca="1" si="655"/>
        <v>#NAME?</v>
      </c>
      <c r="RN62" s="71" t="e">
        <f t="shared" ca="1" si="656"/>
        <v>#NAME?</v>
      </c>
      <c r="RO62" s="71">
        <f t="shared" si="657"/>
        <v>18835.443167101443</v>
      </c>
      <c r="RP62" s="71" t="e">
        <f t="shared" ca="1" si="658"/>
        <v>#NAME?</v>
      </c>
      <c r="RQ62" s="71" t="e">
        <f t="shared" ca="1" si="659"/>
        <v>#NAME?</v>
      </c>
      <c r="RR62" s="71">
        <f t="shared" si="660"/>
        <v>13372.154823017681</v>
      </c>
      <c r="RS62" s="71" t="e">
        <f t="shared" ca="1" si="661"/>
        <v>#NAME?</v>
      </c>
      <c r="RT62" s="71" t="e">
        <f t="shared" ca="1" si="662"/>
        <v>#NAME?</v>
      </c>
      <c r="RU62" s="71">
        <f t="shared" si="663"/>
        <v>0</v>
      </c>
      <c r="RV62" s="71" t="e">
        <f t="shared" ca="1" si="664"/>
        <v>#NAME?</v>
      </c>
      <c r="RW62" s="71" t="e">
        <f t="shared" ca="1" si="665"/>
        <v>#NAME?</v>
      </c>
      <c r="RX62" s="72">
        <f t="shared" si="666"/>
        <v>5315.8929173247843</v>
      </c>
      <c r="RY62" s="72" t="e">
        <f t="shared" ca="1" si="667"/>
        <v>#NAME?</v>
      </c>
      <c r="RZ62" s="71" t="e">
        <f t="shared" ca="1" si="668"/>
        <v>#NAME?</v>
      </c>
      <c r="SA62" s="71" t="e">
        <f t="array" aca="1" ref="SA62" ca="1">INDEX('Ship Time Charter Rates'!$H$22:$H$1021,MATCH(2,1/(('Ship Time Charter Rates'!$G$22:$G$1021=_xlfn.IFS(KS62="Handysize",Main!MX62,KS62="Supramax",MQ62,KS62="Panamax",MJ62,KS62="NeoPanamax",MC62,KS62="Suezmax",LV62,KS62="Capesize",LO62,KS62="VLOC",LH62))*('Ship Time Charter Rates'!$E$22:$E$1021&lt;=Main!$C62)*(NOT(ISBLANK('Ship Time Charter Rates'!$H$22:$H$1021))))))</f>
        <v>#N/A</v>
      </c>
      <c r="SB62" s="71" t="e">
        <f t="shared" ca="1" si="449"/>
        <v>#NAME?</v>
      </c>
      <c r="SC62" s="70" t="e">
        <f t="shared" ca="1" si="669"/>
        <v>#N/A</v>
      </c>
      <c r="SD62" s="71" t="e">
        <f t="shared" ca="1" si="670"/>
        <v>#NAME?</v>
      </c>
      <c r="SE62" s="71" t="e">
        <f t="shared" ca="1" si="450"/>
        <v>#NAME?</v>
      </c>
      <c r="SF62" s="72" t="e">
        <f t="shared" ca="1" si="451"/>
        <v>#NAME?</v>
      </c>
      <c r="SH62" s="25">
        <f t="shared" si="671"/>
        <v>0</v>
      </c>
      <c r="SI62" s="4" t="str">
        <f>VLOOKUP(SH62,'Ship Time Charter Rates'!$F$10:$G$17,2,TRUE)</f>
        <v>Handysize</v>
      </c>
      <c r="SJ62" s="4" t="str">
        <f>VLOOKUP(SH62,Canals!$E$5:$F$12,2,TRUE)</f>
        <v>Handysize</v>
      </c>
      <c r="SK62" s="25">
        <f t="shared" si="452"/>
        <v>145.88999999999999</v>
      </c>
      <c r="SL62" s="25">
        <f t="shared" si="453"/>
        <v>0</v>
      </c>
      <c r="SM62" s="25">
        <f t="shared" si="454"/>
        <v>4797</v>
      </c>
      <c r="SO62" s="75">
        <f t="array" ref="SO62">INDEX('Indices Mines Exporting Ports'!$R$20:$R$51,MATCH(2,1/(('Indices Mines Exporting Ports'!$D$20:$D$51&lt;=Main!$C62)*('Indices Mines Exporting Ports'!$Q$20:$Q$51=$AQ62))))</f>
        <v>0</v>
      </c>
      <c r="SP62" s="75">
        <f t="array" ref="SP62">INDEX('Indices Mines Exporting Ports'!$S$20:$S$51,MATCH(2,1/(('Indices Mines Exporting Ports'!$D$20:$D$51&lt;=Main!$C62)*('Indices Mines Exporting Ports'!$Q$20:$Q$51=$AQ62))))</f>
        <v>0</v>
      </c>
      <c r="SQ62" s="75">
        <f t="array" ref="SQ62">INDEX('Indices Mines Exporting Ports'!$T$20:$T$51,MATCH(2,1/(('Indices Mines Exporting Ports'!$D$20:$D$51&lt;=Main!$C62)*('Indices Mines Exporting Ports'!$Q$20:$Q$51=$AQ62))))</f>
        <v>0</v>
      </c>
      <c r="SR62" s="75">
        <f t="array" ref="SR62">INDEX('Indices Mines Exporting Ports'!$U$20:$U$51,MATCH(2,1/(('Indices Mines Exporting Ports'!$D$20:$D$51&lt;=Main!$C62)*('Indices Mines Exporting Ports'!$Q$20:$Q$51=$AQ62))))</f>
        <v>0</v>
      </c>
      <c r="SS62" s="75">
        <f t="array" ref="SS62">INDEX('Indices Mines Exporting Ports'!$V$20:$V$51,MATCH(2,1/(('Indices Mines Exporting Ports'!$D$20:$D$51&lt;=Main!$C62)*('Indices Mines Exporting Ports'!$Q$20:$Q$51=$AQ62))))</f>
        <v>0</v>
      </c>
      <c r="ST62" s="75">
        <f t="array" ref="ST62">INDEX('Indices Mines Exporting Ports'!$W$20:$W$51,MATCH(2,1/(('Indices Mines Exporting Ports'!$D$20:$D$51&lt;=Main!$C62)*('Indices Mines Exporting Ports'!$Q$20:$Q$51=$AQ62))))</f>
        <v>0</v>
      </c>
      <c r="SU62" s="75">
        <f t="array" ref="SU62">INDEX('Indices Mines Exporting Ports'!$X$20:$X$51,MATCH(2,1/(('Indices Mines Exporting Ports'!$D$20:$D$51&lt;=Main!$C62)*('Indices Mines Exporting Ports'!$Q$20:$Q$51=$AQ62))))</f>
        <v>0</v>
      </c>
      <c r="SW62" s="75">
        <f t="array" ref="SW62">INDEX('Port Linkages'!$E$18:$E$157,MATCH(2,1/(('Port Linkages'!$C$18:$C$157=$AQ62)*('Port Linkages'!$D$18:$D$157=IF($AO62="no",$AQ62,$AS62))*('Port Linkages'!$A$18:$A$157&lt;=$C62))))</f>
        <v>0</v>
      </c>
      <c r="SX62" s="75">
        <f t="array" ref="SX62">INDEX('Port Linkages'!$F$18:$F$157,MATCH(2,1/(('Port Linkages'!$C$18:$C$157=$AQ62)*('Port Linkages'!$D$18:$D$157=IF($AO62="no",$AQ62,$AS62))*('Port Linkages'!$A$18:$A$157&lt;=$C62))))</f>
        <v>0</v>
      </c>
      <c r="SY62" s="75">
        <f t="array" ref="SY62">INDEX('Port Linkages'!$G$18:$G$157,MATCH(2,1/(('Port Linkages'!$C$18:$C$157=$AQ62)*('Port Linkages'!$D$18:$D$157=IF($AO62="no",$AQ62,$AS62))*('Port Linkages'!$A$18:$A$157&lt;=$C62))))</f>
        <v>0</v>
      </c>
      <c r="SZ62" s="75">
        <f t="array" ref="SZ62">INDEX('Port Linkages'!$H$18:$H$157,MATCH(2,1/(('Port Linkages'!$C$18:$C$157=$AQ62)*('Port Linkages'!$D$18:$D$157=IF($AO62="no",$AQ62,$AS62))*('Port Linkages'!$A$18:$A$157&lt;=$C62))))</f>
        <v>0</v>
      </c>
      <c r="TA62" s="75">
        <f t="array" ref="TA62">INDEX('Port Linkages'!$I$18:$I$157,MATCH(2,1/(('Port Linkages'!$C$18:$C$157=$AQ62)*('Port Linkages'!$D$18:$D$157=IF($AO62="no",$AQ62,$AS62))*('Port Linkages'!$A$18:$A$157&lt;=$C62))))</f>
        <v>0</v>
      </c>
      <c r="TB62" s="75">
        <f t="array" ref="TB62">INDEX('Port Linkages'!$J$18:$J$157,MATCH(2,1/(('Port Linkages'!$C$18:$C$157=$AQ62)*('Port Linkages'!$D$18:$D$157=IF($AO62="no",$AQ62,$AS62))*('Port Linkages'!$A$18:$A$157&lt;=$C62))))</f>
        <v>0</v>
      </c>
      <c r="TC62" s="75">
        <f t="array" ref="TC62">INDEX('Port Linkages'!$K$18:$K$157,MATCH(2,1/(('Port Linkages'!$C$18:$C$157=$AQ62)*('Port Linkages'!$D$18:$D$157=IF($AO62="no",$AQ62,$AS62))*('Port Linkages'!$A$18:$A$157&lt;=$C62))))</f>
        <v>0</v>
      </c>
      <c r="TD62" s="75">
        <f t="array" ref="TD62">INDEX('Port Linkages'!$L$18:$L$157,MATCH(2,1/(('Port Linkages'!$C$18:$C$157=$AQ62)*('Port Linkages'!$D$18:$D$157=IF($AO62="no",$AQ62,$AS62))*('Port Linkages'!$A$18:$A$157&lt;=$C62))))</f>
        <v>0</v>
      </c>
      <c r="TE62" s="75">
        <f t="array" ref="TE62">INDEX('Port Linkages'!$M$18:$M$157,MATCH(2,1/(('Port Linkages'!$C$18:$C$157=$AQ62)*('Port Linkages'!$D$18:$D$157=IF($AO62="no",$AQ62,$AS62))*('Port Linkages'!$A$18:$A$157&lt;=$C62))))</f>
        <v>0</v>
      </c>
      <c r="TF62" s="75">
        <f t="array" ref="TF62">INDEX('Port Linkages'!$N$18:$N$157,MATCH(2,1/(('Port Linkages'!$C$18:$C$157=$AQ62)*('Port Linkages'!$D$18:$D$157=IF($AO62="no",$AQ62,$AS62))*('Port Linkages'!$A$18:$A$157&lt;=$C62))))</f>
        <v>0</v>
      </c>
      <c r="TG62" s="75">
        <f t="array" ref="TG62">INDEX('Port Linkages'!$O$18:$O$157,MATCH(2,1/(('Port Linkages'!$C$18:$C$157=$AQ62)*('Port Linkages'!$D$18:$D$157=IF($AO62="no",$AQ62,$AS62))*('Port Linkages'!$A$18:$A$157&lt;=$C62))))</f>
        <v>0</v>
      </c>
      <c r="TH62" s="75">
        <f t="array" ref="TH62">INDEX('Port Linkages'!$P$18:$P$157,MATCH(2,1/(('Port Linkages'!$C$18:$C$157=$AQ62)*('Port Linkages'!$D$18:$D$157=IF($AO62="no",$AQ62,$AS62))*('Port Linkages'!$A$18:$A$157&lt;=$C62))))</f>
        <v>0</v>
      </c>
      <c r="TI62" s="75">
        <f t="array" ref="TI62">INDEX('Port Linkages'!$Q$18:$Q$157,MATCH(2,1/(('Port Linkages'!$C$18:$C$157=$AQ62)*('Port Linkages'!$D$18:$D$157=IF($AO62="no",$AQ62,$AS62))*('Port Linkages'!$A$18:$A$157&lt;=$C62))))</f>
        <v>0</v>
      </c>
      <c r="TJ62" s="75">
        <f t="array" ref="TJ62">INDEX('Port Linkages'!$R$18:$R$157,MATCH(2,1/(('Port Linkages'!$C$18:$C$157=$AQ62)*('Port Linkages'!$D$18:$D$157=IF($AO62="no",$AQ62,$AS62))*('Port Linkages'!$A$18:$A$157&lt;=$C62))))</f>
        <v>0</v>
      </c>
      <c r="TK62" s="75">
        <f t="array" ref="TK62">INDEX('Port Linkages'!$S$18:$S$157,MATCH(2,1/(('Port Linkages'!$C$18:$C$157=$AQ62)*('Port Linkages'!$D$18:$D$157=IF($AO62="no",$AQ62,$AS62))*('Port Linkages'!$A$18:$A$157&lt;=$C62))))</f>
        <v>0</v>
      </c>
      <c r="TL62" s="75">
        <f t="array" ref="TL62">INDEX('Port Linkages'!$T$18:$T$157,MATCH(2,1/(('Port Linkages'!$C$18:$C$157=$AQ62)*('Port Linkages'!$D$18:$D$157=IF($AO62="no",$AQ62,$AS62))*('Port Linkages'!$A$18:$A$157&lt;=$C62))))</f>
        <v>0</v>
      </c>
      <c r="TM62" s="75">
        <f t="array" ref="TM62">INDEX('Port Linkages'!$U$18:$U$157,MATCH(2,1/(('Port Linkages'!$C$18:$C$157=$AQ62)*('Port Linkages'!$D$18:$D$157=IF($AO62="no",$AQ62,$AS62))*('Port Linkages'!$A$18:$A$157&lt;=$C62))))</f>
        <v>0</v>
      </c>
      <c r="TN62" s="75">
        <f t="array" ref="TN62">INDEX('Port Linkages'!$V$18:$V$157,MATCH(2,1/(('Port Linkages'!$C$18:$C$157=$AQ62)*('Port Linkages'!$D$18:$D$157=IF($AO62="no",$AQ62,$AS62))*('Port Linkages'!$A$18:$A$157&lt;=$C62))))</f>
        <v>0</v>
      </c>
      <c r="TO62" s="75">
        <f t="array" ref="TO62">INDEX('Port Linkages'!$W$18:$W$157,MATCH(2,1/(('Port Linkages'!$C$18:$C$157=$AQ62)*('Port Linkages'!$D$18:$D$157=IF($AO62="no",$AQ62,$AS62))*('Port Linkages'!$A$18:$A$157&lt;=$C62))))</f>
        <v>0</v>
      </c>
      <c r="TP62" s="75">
        <f t="array" ref="TP62">INDEX('Port Linkages'!$X$18:$X$157,MATCH(2,1/(('Port Linkages'!$C$18:$C$157=$AQ62)*('Port Linkages'!$D$18:$D$157=IF($AO62="no",$AQ62,$AS62))*('Port Linkages'!$A$18:$A$157&lt;=$C62))))</f>
        <v>0</v>
      </c>
      <c r="TQ62" s="75">
        <f t="array" ref="TQ62">INDEX('Port Linkages'!$Y$18:$Y$157,MATCH(2,1/(('Port Linkages'!$C$18:$C$157=$AQ62)*('Port Linkages'!$D$18:$D$157=IF($AO62="no",$AQ62,$AS62))*('Port Linkages'!$A$18:$A$157&lt;=$C62))))</f>
        <v>0</v>
      </c>
      <c r="TR62" s="75">
        <f t="array" ref="TR62">INDEX('Port Linkages'!$Z$18:$Z$157,MATCH(2,1/(('Port Linkages'!$C$18:$C$157=$AQ62)*('Port Linkages'!$D$18:$D$157=IF($AO62="no",$AQ62,$AS62))*('Port Linkages'!$A$18:$A$157&lt;=$C62))))</f>
        <v>0</v>
      </c>
      <c r="TS62" s="75">
        <f t="array" ref="TS62">INDEX('Port Linkages'!$AA$18:$AA$157,MATCH(2,1/(('Port Linkages'!$C$18:$C$157=$AQ62)*('Port Linkages'!$D$18:$D$157=IF($AO62="no",$AQ62,$AS62))*('Port Linkages'!$A$18:$A$157&lt;=$C62))))</f>
        <v>0</v>
      </c>
      <c r="TT62" s="75">
        <f t="array" ref="TT62">INDEX('Port Linkages'!$AB$18:$AB$157,MATCH(2,1/(('Port Linkages'!$C$18:$C$157=$AQ62)*('Port Linkages'!$D$18:$D$157=IF($AO62="no",$AQ62,$AS62))*('Port Linkages'!$A$18:$A$157&lt;=$C62))))</f>
        <v>0</v>
      </c>
      <c r="TU62" s="75">
        <f t="array" ref="TU62">INDEX('Port Linkages'!$AC$18:$AC$157,MATCH(2,1/(('Port Linkages'!$C$18:$C$157=$AQ62)*('Port Linkages'!$D$18:$D$157=IF($AO62="no",$AQ62,$AS62))*('Port Linkages'!$A$18:$A$157&lt;=$C62))))</f>
        <v>0</v>
      </c>
      <c r="TV62" s="75">
        <f t="array" ref="TV62">INDEX('Port Linkages'!$AD$18:$AD$157,MATCH(2,1/(('Port Linkages'!$C$18:$C$157=$AQ62)*('Port Linkages'!$D$18:$D$157=IF($AO62="no",$AQ62,$AS62))*('Port Linkages'!$A$18:$A$157&lt;=$C62))))</f>
        <v>0</v>
      </c>
      <c r="TW62" s="75">
        <f t="array" ref="TW62">INDEX('Port Linkages'!$AE$18:$AE$157,MATCH(2,1/(('Port Linkages'!$C$18:$C$157=$AQ62)*('Port Linkages'!$D$18:$D$157=IF($AO62="no",$AQ62,$AS62))*('Port Linkages'!$A$18:$A$157&lt;=$C62))))</f>
        <v>0</v>
      </c>
      <c r="TX62" s="75">
        <f t="array" ref="TX62">INDEX('Port Linkages'!$AF$18:$AF$157,MATCH(2,1/(('Port Linkages'!$C$18:$C$157=$AQ62)*('Port Linkages'!$D$18:$D$157=IF($AO62="no",$AQ62,$AS62))*('Port Linkages'!$A$18:$A$157&lt;=$C62))))</f>
        <v>0</v>
      </c>
      <c r="TY62" s="75">
        <f t="array" ref="TY62">INDEX('Port Linkages'!$AG$18:$AG$157,MATCH(2,1/(('Port Linkages'!$C$18:$C$157=$AQ62)*('Port Linkages'!$D$18:$D$157=IF($AO62="no",$AQ62,$AS62))*('Port Linkages'!$A$18:$A$157&lt;=$C62))))</f>
        <v>0</v>
      </c>
      <c r="TZ62" s="75">
        <f t="array" ref="TZ62">INDEX('Port Linkages'!$AH$18:$AH$157,MATCH(2,1/(('Port Linkages'!$C$18:$C$157=$AQ62)*('Port Linkages'!$D$18:$D$157=IF($AO62="no",$AQ62,$AS62))*('Port Linkages'!$A$18:$A$157&lt;=$C62))))</f>
        <v>0</v>
      </c>
      <c r="UA62" s="75">
        <f t="array" ref="UA62">INDEX('Port Linkages'!$AI$18:$AI$157,MATCH(2,1/(('Port Linkages'!$C$18:$C$157=$AQ62)*('Port Linkages'!$D$18:$D$157=IF($AO62="no",$AQ62,$AS62))*('Port Linkages'!$A$18:$A$157&lt;=$C62))))</f>
        <v>0</v>
      </c>
      <c r="UB62" s="75">
        <f t="array" ref="UB62">INDEX('Port Linkages'!$AJ$18:$AJ$157,MATCH(2,1/(('Port Linkages'!$C$18:$C$157=$AQ62)*('Port Linkages'!$D$18:$D$157=IF($AO62="no",$AQ62,$AS62))*('Port Linkages'!$A$18:$A$157&lt;=$C62))))</f>
        <v>0</v>
      </c>
      <c r="UC62" s="75">
        <f t="array" ref="UC62">INDEX('Port Linkages'!$AK$18:$AK$157,MATCH(2,1/(('Port Linkages'!$C$18:$C$157=$AQ62)*('Port Linkages'!$D$18:$D$157=IF($AO62="no",$AQ62,$AS62))*('Port Linkages'!$A$18:$A$157&lt;=$C62))))</f>
        <v>0</v>
      </c>
      <c r="UD62" s="75">
        <f t="array" ref="UD62">INDEX('Port Linkages'!$AL$18:$AL$157,MATCH(2,1/(('Port Linkages'!$C$18:$C$157=$AQ62)*('Port Linkages'!$D$18:$D$157=IF($AO62="no",$AQ62,$AS62))*('Port Linkages'!$A$18:$A$157&lt;=$C62))))</f>
        <v>0</v>
      </c>
      <c r="UE62" s="75">
        <f t="array" ref="UE62">INDEX('Port Linkages'!$AM$18:$AM$157,MATCH(2,1/(('Port Linkages'!$C$18:$C$157=$AQ62)*('Port Linkages'!$D$18:$D$157=IF($AO62="no",$AQ62,$AS62))*('Port Linkages'!$A$18:$A$157&lt;=$C62))))</f>
        <v>0</v>
      </c>
      <c r="UF62" s="75">
        <f t="array" ref="UF62">INDEX('Port Linkages'!$AN$18:$AN$157,MATCH(2,1/(('Port Linkages'!$C$18:$C$157=$AQ62)*('Port Linkages'!$D$18:$D$157=IF($AO62="no",$AQ62,$AS62))*('Port Linkages'!$A$18:$A$157&lt;=$C62))))</f>
        <v>0</v>
      </c>
      <c r="UG62" s="75">
        <f t="array" ref="UG62">INDEX('Port Linkages'!$AO$18:$AO$157,MATCH(2,1/(('Port Linkages'!$C$18:$C$157=$AQ62)*('Port Linkages'!$D$18:$D$157=IF($AO62="no",$AQ62,$AS62))*('Port Linkages'!$A$18:$A$157&lt;=$C62))))</f>
        <v>0</v>
      </c>
      <c r="UH62" s="75">
        <f t="array" ref="UH62">INDEX('Port Linkages'!$AP$18:$AP$157,MATCH(2,1/(('Port Linkages'!$C$18:$C$157=$AQ62)*('Port Linkages'!$D$18:$D$157=IF($AO62="no",$AQ62,$AS62))*('Port Linkages'!$A$18:$A$157&lt;=$C62))))</f>
        <v>0</v>
      </c>
      <c r="UI62" s="75">
        <f t="array" ref="UI62">INDEX('Port Linkages'!$AQ$18:$AQ$157,MATCH(2,1/(('Port Linkages'!$C$18:$C$157=$AQ62)*('Port Linkages'!$D$18:$D$157=IF($AO62="no",$AQ62,$AS62))*('Port Linkages'!$A$18:$A$157&lt;=$C62))))</f>
        <v>0</v>
      </c>
      <c r="UJ62" s="75">
        <f t="array" ref="UJ62">INDEX('Port Linkages'!$AR$18:$AR$157,MATCH(2,1/(('Port Linkages'!$C$18:$C$157=$AQ62)*('Port Linkages'!$D$18:$D$157=IF($AO62="no",$AQ62,$AS62))*('Port Linkages'!$A$18:$A$157&lt;=$C62))))</f>
        <v>0</v>
      </c>
      <c r="UK62" s="75">
        <f t="array" ref="UK62">INDEX('Port Linkages'!$AS$18:$AS$157,MATCH(2,1/(('Port Linkages'!$C$18:$C$157=$AQ62)*('Port Linkages'!$D$18:$D$157=IF($AO62="no",$AQ62,$AS62))*('Port Linkages'!$A$18:$A$157&lt;=$C62))))</f>
        <v>0</v>
      </c>
      <c r="UL62" s="75">
        <f t="array" ref="UL62">INDEX('Port Linkages'!$AT$18:$AT$157,MATCH(2,1/(('Port Linkages'!$C$18:$C$157=$AQ62)*('Port Linkages'!$D$18:$D$157=IF($AO62="no",$AQ62,$AS62))*('Port Linkages'!$A$18:$A$157&lt;=$C62))))</f>
        <v>0</v>
      </c>
      <c r="UM62" s="75">
        <f t="array" ref="UM62">INDEX('Port Linkages'!$AU$18:$AU$157,MATCH(2,1/(('Port Linkages'!$C$18:$C$157=$AQ62)*('Port Linkages'!$D$18:$D$157=IF($AO62="no",$AQ62,$AS62))*('Port Linkages'!$A$18:$A$157&lt;=$C62))))</f>
        <v>0</v>
      </c>
      <c r="UN62" s="75">
        <f t="array" ref="UN62">INDEX('Port Linkages'!$AV$18:$AV$157,MATCH(2,1/(('Port Linkages'!$C$18:$C$157=$AQ62)*('Port Linkages'!$D$18:$D$157=IF($AO62="no",$AQ62,$AS62))*('Port Linkages'!$A$18:$A$157&lt;=$C62))))</f>
        <v>0</v>
      </c>
      <c r="UO62" s="75">
        <f t="array" ref="UO62">INDEX('Port Linkages'!$AW$18:$AW$157,MATCH(2,1/(('Port Linkages'!$C$18:$C$157=$AQ62)*('Port Linkages'!$D$18:$D$157=IF($AO62="no",$AQ62,$AS62))*('Port Linkages'!$A$18:$A$157&lt;=$C62))))</f>
        <v>0</v>
      </c>
      <c r="UP62" s="75">
        <f t="array" ref="UP62">INDEX('Port Linkages'!$AX$18:$AX$157,MATCH(2,1/(('Port Linkages'!$C$18:$C$157=$AQ62)*('Port Linkages'!$D$18:$D$157=IF($AO62="no",$AQ62,$AS62))*('Port Linkages'!$A$18:$A$157&lt;=$C62))))</f>
        <v>0</v>
      </c>
      <c r="UQ62" s="75">
        <f t="array" ref="UQ62">INDEX('Port Linkages'!$AY$18:$AY$157,MATCH(2,1/(('Port Linkages'!$C$18:$C$157=$AQ62)*('Port Linkages'!$D$18:$D$157=IF($AO62="no",$AQ62,$AS62))*('Port Linkages'!$A$18:$A$157&lt;=$C62))))</f>
        <v>0</v>
      </c>
      <c r="UR62" s="75">
        <f t="array" ref="UR62">INDEX('Port Linkages'!$AZ$18:$AZ$157,MATCH(2,1/(('Port Linkages'!$C$18:$C$157=$AQ62)*('Port Linkages'!$D$18:$D$157=IF($AO62="no",$AQ62,$AS62))*('Port Linkages'!$A$18:$A$157&lt;=$C62))))</f>
        <v>0</v>
      </c>
      <c r="US62" s="75">
        <f t="array" ref="US62">INDEX('Port Linkages'!$BA$18:$BA$157,MATCH(2,1/(('Port Linkages'!$C$18:$C$157=$AQ62)*('Port Linkages'!$D$18:$D$157=IF($AO62="no",$AQ62,$AS62))*('Port Linkages'!$A$18:$A$157&lt;=$C62))))</f>
        <v>0</v>
      </c>
      <c r="UU62" s="25" t="e">
        <f t="array" aca="1" ref="UU62" ca="1">INDEX('Ship Fuel Prices'!$F$5:$F$1004,MATCH(2,1/(('Ship Fuel Prices'!$E$5:$E$1004=_xlfn.IFS(SJ62="Handysize",Main!UP62,SJ62="Supramax",UI62,SJ62="Panamax",UB62,SJ62="NeoPanamax",TU62,SJ62="Suezmax",TN62,SJ62="Capesize",TG62,SJ62="VLOC",SZ62))*('Ship Fuel Prices'!$D$5:$D$1004&lt;=Main!$C62))))</f>
        <v>#N/A</v>
      </c>
      <c r="UV62" s="25" t="e">
        <f t="array" aca="1" ref="UV62" ca="1">INDEX('Ship Fuel Prices'!$G$5:$G$1004,MATCH(2,1/(('Ship Fuel Prices'!$E$5:$E$1004=_xlfn.IFS(SJ62="Handysize",Main!UP62,SJ62="Supramax",UI62,SJ62="Panamax",UB62,SJ62="NeoPanamax",TU62,SJ62="Suezmax",TN62,SJ62="Capesize",TG62,SJ62="VLOC",SZ62))*('Ship Fuel Prices'!$D$5:$D$1004&lt;=Main!$C62))))</f>
        <v>#N/A</v>
      </c>
      <c r="UW62" s="25" t="e">
        <f t="array" aca="1" ref="UW62" ca="1">INDEX('Ship Fuel Prices'!$H$5:$H$1004,MATCH(2,1/(('Ship Fuel Prices'!$E$5:$E$1004=_xlfn.IFS(SJ62="Handysize",Main!UP62,SJ62="Supramax",UI62,SJ62="Panamax",UB62,SJ62="NeoPanamax",TU62,SJ62="Suezmax",TN62,SJ62="Capesize",TG62,SJ62="VLOC",SZ62))*('Ship Fuel Prices'!$D$5:$D$1004&lt;=Main!$C62))))</f>
        <v>#N/A</v>
      </c>
      <c r="UX62" s="25" t="e">
        <f t="array" aca="1" ref="UX62" ca="1">INDEX('Ship Fuel Prices'!$I$5:$I$1004,MATCH(2,1/(('Ship Fuel Prices'!$E$5:$E$1004=_xlfn.IFS(SJ62="Handysize",Main!UP62,SJ62="Supramax",UI62,SJ62="Panamax",UB62,SJ62="NeoPanamax",TU62,SJ62="Suezmax",TN62,SJ62="Capesize",TG62,SJ62="VLOC",SZ62))*('Ship Fuel Prices'!$D$5:$D$1004&lt;=Main!$C62))))</f>
        <v>#N/A</v>
      </c>
      <c r="UY62" s="25" t="e">
        <f t="array" aca="1" ref="UY62" ca="1">INDEX('Ship Fuel Prices'!$J$5:$J$1004,MATCH(2,1/(('Ship Fuel Prices'!$E$5:$E$1004=_xlfn.IFS(SJ62="Handysize",Main!UP62,SJ62="Supramax",UI62,SJ62="Panamax",UB62,SJ62="NeoPanamax",TU62,SJ62="Suezmax",TN62,SJ62="Capesize",TG62,SJ62="VLOC",SZ62))*('Ship Fuel Prices'!$D$5:$D$1004&lt;=Main!$C62))))</f>
        <v>#N/A</v>
      </c>
      <c r="VA62" s="75">
        <f t="array" ref="VA62">INDEX('China n Importing Ports'!$E$20:$E$41,MATCH(2,1/(('China n Importing Ports'!$D$20:$D$41&lt;=$C62)*('China n Importing Ports'!$C$20:$C$41=IF($AO62="No",$AQ62,$AS62)))))</f>
        <v>0</v>
      </c>
      <c r="VB62" s="75">
        <f t="array" ref="VB62">INDEX('China n Importing Ports'!$F$20:$F$41,MATCH(2,1/(('China n Importing Ports'!$D$20:$D$41&lt;=$C62)*('China n Importing Ports'!$C$20:$C$41=IF($AO62="No",$AQ62,$AS62)))))</f>
        <v>0</v>
      </c>
      <c r="VC62" s="75">
        <f t="array" ref="VC62">INDEX('China n Importing Ports'!$G$20:$G$41,MATCH(2,1/(('China n Importing Ports'!$D$20:$D$41&lt;=$C62)*('China n Importing Ports'!$C$20:$C$41=IF($AO62="No",$AQ62,$AS62)))))</f>
        <v>0</v>
      </c>
      <c r="VD62" s="75">
        <f t="array" ref="VD62">INDEX('China n Importing Ports'!$H$20:$H$41,MATCH(2,1/(('China n Importing Ports'!$D$20:$D$41&lt;=$C62)*('China n Importing Ports'!$C$20:$C$41=IF($AO62="No",$AQ62,$AS62)))))</f>
        <v>0</v>
      </c>
      <c r="VE62" s="75">
        <f t="array" ref="VE62">INDEX('China n Importing Ports'!$I$20:$I$41,MATCH(2,1/(('China n Importing Ports'!$D$20:$D$41&lt;=$C62)*('China n Importing Ports'!$C$20:$C$41=IF($AO62="No",$AQ62,$AS62)))))</f>
        <v>0</v>
      </c>
      <c r="VF62" s="75">
        <f t="array" ref="VF62">INDEX('China n Importing Ports'!$J$20:$J$41,MATCH(2,1/(('China n Importing Ports'!$D$20:$D$41&lt;=$C62)*('China n Importing Ports'!$C$20:$C$41=IF($AO62="No",$AQ62,$AS62)))))</f>
        <v>0</v>
      </c>
      <c r="VG62" s="75">
        <f t="array" ref="VG62">INDEX('China n Importing Ports'!$K$20:$K$41,MATCH(2,1/(('China n Importing Ports'!$D$20:$D$41&lt;=$C62)*('China n Importing Ports'!$C$20:$C$41=IF($AO62="No",$AQ62,$AS62)))))</f>
        <v>0</v>
      </c>
      <c r="VH62" s="75">
        <f t="array" ref="VH62">INDEX('China n Importing Ports'!$L$20:$L$41,MATCH(2,1/(('China n Importing Ports'!$D$20:$D$41&lt;=$C62)*('China n Importing Ports'!$C$20:$C$41=IF($AO62="No",$AQ62,$AS62)))))</f>
        <v>0</v>
      </c>
      <c r="VI62" s="75">
        <f t="array" ref="VI62">INDEX('China n Importing Ports'!$M$20:$M$41,MATCH(2,1/(('China n Importing Ports'!$D$20:$D$41&lt;=$C62)*('China n Importing Ports'!$C$20:$C$41=IF($AO62="No",$AQ62,$AS62)))))</f>
        <v>0</v>
      </c>
      <c r="VJ62" s="75">
        <f t="array" ref="VJ62">INDEX('China n Importing Ports'!$N$20:$N$41,MATCH(2,1/(('China n Importing Ports'!$D$20:$D$41&lt;=$C62)*('China n Importing Ports'!$C$20:$C$41=IF($AO62="No",$AQ62,$AS62)))))</f>
        <v>0</v>
      </c>
      <c r="VK62" s="75">
        <f t="array" ref="VK62">INDEX('China n Importing Ports'!$O$20:$O$41,MATCH(2,1/(('China n Importing Ports'!$D$20:$D$41&lt;=$C62)*('China n Importing Ports'!$C$20:$C$41=IF($AO62="No",$AQ62,$AS62)))))</f>
        <v>0</v>
      </c>
      <c r="VL62" s="136">
        <f t="array" ref="VL62">INDEX('China n Importing Ports'!$P$20:$P$41,MATCH(2,1/(('China n Importing Ports'!$D$20:$D$41&lt;=$C62)*('China n Importing Ports'!$C$20:$C$41=IF($AO62="No",$AQ62,$AS62)))))</f>
        <v>0</v>
      </c>
      <c r="VM62" s="136">
        <f t="array" ref="VM62">INDEX('China n Importing Ports'!$Q$20:$Q$41,MATCH(2,1/(('China n Importing Ports'!$D$20:$D$41&lt;=$C62)*('China n Importing Ports'!$C$20:$C$41=IF($AO62="No",$AQ62,$AS62)))))</f>
        <v>0</v>
      </c>
      <c r="VN62" s="136">
        <f t="array" ref="VN62">INDEX('China n Importing Ports'!$R$20:$R$41,MATCH(2,1/(('China n Importing Ports'!$D$20:$D$41&lt;=$C62)*('China n Importing Ports'!$C$20:$C$41=IF($AO62="No",$AQ62,$AS62)))))</f>
        <v>0</v>
      </c>
      <c r="VO62" s="136">
        <f t="array" ref="VO62">INDEX('China n Importing Ports'!$S$20:$S$41,MATCH(2,1/(('China n Importing Ports'!$D$20:$D$41&lt;=$C62)*('China n Importing Ports'!$C$20:$C$41=IF($AO62="No",$AQ62,$AS62)))))</f>
        <v>0</v>
      </c>
      <c r="VP62" s="136">
        <f t="array" ref="VP62">INDEX('China n Importing Ports'!$T$20:$T$41,MATCH(2,1/(('China n Importing Ports'!$D$20:$D$41&lt;=$C62)*('China n Importing Ports'!$C$20:$C$41=IF($AO62="No",$AQ62,$AS62)))))</f>
        <v>0</v>
      </c>
      <c r="VQ62" s="136">
        <f t="array" ref="VQ62">INDEX('China n Importing Ports'!$U$20:$U$41,MATCH(2,1/(('China n Importing Ports'!$D$20:$D$41&lt;=$C62)*('China n Importing Ports'!$C$20:$C$41=IF($AO62="No",$AQ62,$AS62)))))</f>
        <v>0</v>
      </c>
      <c r="VR62" s="136">
        <f t="array" ref="VR62">INDEX('China n Importing Ports'!$V$20:$V$41,MATCH(2,1/(('China n Importing Ports'!$D$20:$D$41&lt;=$C62)*('China n Importing Ports'!$C$20:$C$41=IF($AO62="No",$AQ62,$AS62)))))</f>
        <v>0</v>
      </c>
      <c r="VS62" s="136">
        <f t="array" ref="VS62">INDEX('China n Importing Ports'!$W$20:$W$41,MATCH(2,1/(('China n Importing Ports'!$D$20:$D$41&lt;=$C62)*('China n Importing Ports'!$C$20:$C$41=IF($AO62="No",$AQ62,$AS62)))))</f>
        <v>0</v>
      </c>
      <c r="VT62" s="136">
        <f t="array" ref="VT62">INDEX('China n Importing Ports'!$X$20:$X$41,MATCH(2,1/(('China n Importing Ports'!$D$20:$D$41&lt;=$C62)*('China n Importing Ports'!$C$20:$C$41=IF($AO62="No",$AQ62,$AS62)))))</f>
        <v>0</v>
      </c>
      <c r="VU62" s="136">
        <f t="array" ref="VU62">INDEX('China n Importing Ports'!$Y$20:$Y$41,MATCH(2,1/(('China n Importing Ports'!$D$20:$D$41&lt;=$C62)*('China n Importing Ports'!$C$20:$C$41=IF($AO62="No",$AQ62,$AS62)))))</f>
        <v>0</v>
      </c>
      <c r="VV62" s="136">
        <f t="array" ref="VV62">INDEX('China n Importing Ports'!$Z$20:$Z$41,MATCH(2,1/(('China n Importing Ports'!$D$20:$D$41&lt;=$C62)*('China n Importing Ports'!$C$20:$C$41=IF($AO62="No",$AQ62,$AS62)))))</f>
        <v>0</v>
      </c>
      <c r="VW62" s="136">
        <f t="array" ref="VW62">INDEX('China n Importing Ports'!$AA$20:$AA$41,MATCH(2,1/(('China n Importing Ports'!$D$20:$D$41&lt;=$C62)*('China n Importing Ports'!$C$20:$C$41=IF($AO62="No",$AQ62,$AS62)))))</f>
        <v>0</v>
      </c>
      <c r="VY62" s="75" t="e">
        <f t="array" aca="1" ref="VY62" ca="1">INDEX(Canals!$G$24:$G$29,MATCH(2,1/((Canals!$F$24:$F$29&lt;=$C62)*(Canals!$G$24:$G$29=_xlfn.IFS(SJ62="Handysize",US62,SJ62="Supramax",UL62,SJ62="Panamax",UE62,SJ62="NeoPanamax",TX62,SJ62="Suezmax",TQ62,SJ62="Capesize",TJ62,SJ62="VLOC",TC62)))))</f>
        <v>#N/A</v>
      </c>
      <c r="VZ62" s="75" t="e">
        <f t="array" aca="1" ref="VZ62" ca="1">INDEX(Canals!$H$24:$H$29,MATCH(2,1/((Canals!$F$24:$F$29&lt;=$C62)*(Canals!$G$24:$G$29=_xlfn.IFS(SJ62="Handysize",US62,SJ62="Supramax",UL62,SJ62="Panamax",UE62,SJ62="NeoPanamax",TX62,SJ62="Suezmax",TQ62,SJ62="Capesize",TJ62,SJ62="VLOC",TC62)))))</f>
        <v>#N/A</v>
      </c>
      <c r="WA62" s="75" t="e">
        <f t="array" aca="1" ref="WA62" ca="1">INDEX(Canals!$I$24:$I$29,MATCH(2,1/((Canals!$F$24:$F$29&lt;=$C62)*(Canals!$G$24:$G$29=_xlfn.IFS(SJ62="Handysize",US62,SJ62="Supramax",UL62,SJ62="Panamax",UE62,SJ62="NeoPanamax",TX62,SJ62="Suezmax",TQ62,SJ62="Capesize",TJ62,SJ62="VLOC",TC62)))))</f>
        <v>#N/A</v>
      </c>
      <c r="WB62" s="75" t="e">
        <f t="array" aca="1" ref="WB62" ca="1">INDEX(Canals!$J$24:$J$29,MATCH(2,1/((Canals!$F$24:$F$29&lt;=$C62)*(Canals!$G$24:$G$29=_xlfn.IFS(SJ62="Handysize",Main!US62,SJ62="Supramax",UL62,SJ62="Panamax",UE62,SJ62="NeoPanamax",TX62,SJ62="Suezmax",TQ62,SJ62="Capesize",TJ62,SJ62="VLOC",TC62)))))</f>
        <v>#N/A</v>
      </c>
      <c r="WC62" s="75" t="e">
        <f t="array" aca="1" ref="WC62" ca="1">INDEX(Canals!$K$24:$K$29,MATCH(2,1/((Canals!$F$24:$F$29&lt;=$C62)*(Canals!$G$24:$G$29=_xlfn.IFS(SJ62="Handysize",Main!US62,SJ62="Supramax",UL62,SJ62="Panamax",UE62,SJ62="NeoPanamax",TX62,SJ62="Suezmax",TQ62,SJ62="Capesize",TJ62,SJ62="VLOC",TC62)))))</f>
        <v>#N/A</v>
      </c>
      <c r="WD62" s="75" t="e">
        <f t="array" aca="1" ref="WD62" ca="1">INDEX(Canals!$L$24:$L$29,MATCH(2,1/((Canals!$F$24:$F$29&lt;=$C62)*(Canals!$G$24:$G$29=_xlfn.IFS(SJ62="Handysize",Main!US62,SJ62="Supramax",UL62,SJ62="Panamax",UE62,SJ62="NeoPanamax",TX62,SJ62="Suezmax",TQ62,SJ62="Capesize",TJ62,SJ62="VLOC",TC62)))))</f>
        <v>#N/A</v>
      </c>
      <c r="WE62" s="75" t="e">
        <f t="array" aca="1" ref="WE62" ca="1">INDEX(Canals!$M$24:$M$29,MATCH(2,1/((Canals!$F$24:$F$29&lt;=$C62)*(Canals!$G$24:$G$29=_xlfn.IFS(SJ62="Handysize",Main!US62,SJ62="Supramax",UL62,SJ62="Panamax",UE62,SJ62="NeoPanamax",TX62,SJ62="Suezmax",TQ62,SJ62="Capesize",TJ62,SJ62="VLOC",TC62)))))</f>
        <v>#N/A</v>
      </c>
      <c r="WF62" s="75" t="e">
        <f t="array" aca="1" ref="WF62" ca="1">INDEX(Canals!$N$24:$N$29,MATCH(2,1/((Canals!$F$24:$F$29&lt;=$C62)*(Canals!$G$24:$G$29=_xlfn.IFS(SJ62="Handysize",Main!US62,SJ62="Supramax",UL62,SJ62="Panamax",UE62,SJ62="NeoPanamax",TX62,SJ62="Suezmax",TQ62,SJ62="Capesize",TJ62,SJ62="VLOC",TC62)))))</f>
        <v>#N/A</v>
      </c>
      <c r="WG62" s="75" t="e">
        <f t="array" aca="1" ref="WG62" ca="1">INDEX(Canals!$O$24:$O$29,MATCH(2,1/((Canals!$F$24:$F$29&lt;=$C62)*(Canals!$G$24:$G$29=_xlfn.IFS(SJ62="Handysize",Main!US62,SJ62="Supramax",UL62,SJ62="Panamax",UE62,SJ62="NeoPanamax",TX62,SJ62="Suezmax",TQ62,SJ62="Capesize",TJ62,SJ62="VLOC",TC62)))))</f>
        <v>#N/A</v>
      </c>
      <c r="WH62" s="75" t="e">
        <f t="array" aca="1" ref="WH62" ca="1">INDEX(Canals!$P$24:$P$29,MATCH(2,1/((Canals!$F$24:$F$29&lt;=$C62)*(Canals!$G$24:$G$29=_xlfn.IFS(SJ62="Handysize",Main!US62,SJ62="Supramax",UL62,SJ62="Panamax",UE62,SJ62="NeoPanamax",TX62,SJ62="Suezmax",TQ62,SJ62="Capesize",TJ62,SJ62="VLOC",TC62)))))</f>
        <v>#N/A</v>
      </c>
      <c r="WI62" s="75" t="e">
        <f t="array" aca="1" ref="WI62" ca="1">INDEX(Canals!$Q$24:$Q$29,MATCH(2,1/((Canals!$F$24:$F$29&lt;=$C62)*(Canals!$G$24:$G$29=_xlfn.IFS(SJ62="Handysize",Main!US62,SJ62="Supramax",UL62,SJ62="Panamax",UE62,SJ62="NeoPanamax",TX62,SJ62="Suezmax",TQ62,SJ62="Capesize",TJ62,SJ62="VLOC",TC62)))))</f>
        <v>#N/A</v>
      </c>
      <c r="WJ62" s="75" t="e">
        <f t="array" aca="1" ref="WJ62" ca="1">INDEX(Canals!$R$24:$R$29,MATCH(2,1/((Canals!$F$24:$F$29&lt;=$C62)*(Canals!$G$24:$G$29=_xlfn.IFS(SJ62="Handysize",Main!US62,SJ62="Supramax",UL62,SJ62="Panamax",UE62,SJ62="NeoPanamax",TX62,SJ62="Suezmax",TQ62,SJ62="Capesize",TJ62,SJ62="VLOC",TC62)))))</f>
        <v>#N/A</v>
      </c>
      <c r="WK62" s="136" t="e">
        <f t="array" aca="1" ref="WK62" ca="1">INDEX(Canals!$S$24:$S$29,MATCH(2,1/((Canals!$F$24:$F$29&lt;=$C62)*(Canals!$G$24:$G$29=_xlfn.IFS(SJ62="Handysize",Main!US62,SJ62="Supramax",UL62,SJ62="Panamax",UE62,SJ62="NeoPanamax",TX62,SJ62="Suezmax",TQ62,SJ62="Capesize",TJ62,SJ62="VLOC",TC62)))))</f>
        <v>#N/A</v>
      </c>
      <c r="WL62" s="136" t="e">
        <f t="array" aca="1" ref="WL62" ca="1">INDEX(Canals!$T$24:$T$29,MATCH(2,1/((Canals!$F$24:$F$29&lt;=$C62)*(Canals!$G$24:$G$29=_xlfn.IFS(SJ62="Handysize",Main!US62,SJ62="Supramax",UL62,SJ62="Panamax",UE62,SJ62="NeoPanamax",TX62,SJ62="Suezmax",TQ62,SJ62="Capesize",TJ62,SJ62="VLOC",TC62)))))</f>
        <v>#N/A</v>
      </c>
      <c r="WM62" s="136" t="e">
        <f t="array" aca="1" ref="WM62" ca="1">INDEX(Canals!$U$24:$U$29,MATCH(2,1/((Canals!$F$24:$F$29&lt;=$C62)*(Canals!$G$24:$G$29=_xlfn.IFS(SJ62="Handysize",Main!US62,SJ62="Supramax",UL62,SJ62="Panamax",UE62,SJ62="NeoPanamax",TX62,SJ62="Suezmax",TQ62,SJ62="Capesize",TJ62,SJ62="VLOC",TC62)))))</f>
        <v>#N/A</v>
      </c>
      <c r="WN62" s="136" t="e">
        <f t="array" aca="1" ref="WN62" ca="1">INDEX(Canals!$V$24:$V$29,MATCH(2,1/((Canals!$F$24:$F$29&lt;=$C62)*(Canals!$G$24:$G$29=_xlfn.IFS(SJ62="Handysize",Main!US62,SJ62="Supramax",UL62,SJ62="Panamax",UE62,SJ62="NeoPanamax",TX62,SJ62="Suezmax",TQ62,SJ62="Capesize",TJ62,SJ62="VLOC",TC62)))))</f>
        <v>#N/A</v>
      </c>
      <c r="WO62" s="136" t="e">
        <f t="array" aca="1" ref="WO62" ca="1">INDEX(Canals!$W$24:$W$29,MATCH(2,1/((Canals!$F$24:$F$29&lt;=$C62)*(Canals!$G$24:$G$29=_xlfn.IFS(SJ62="Handysize",Main!US62,SJ62="Supramax",UL62,SJ62="Panamax",UE62,SJ62="NeoPanamax",TX62,SJ62="Suezmax",TQ62,SJ62="Capesize",TJ62,SJ62="VLOC",TC62)))))</f>
        <v>#N/A</v>
      </c>
      <c r="WP62" s="136" t="e">
        <f t="array" aca="1" ref="WP62" ca="1">INDEX(Canals!$X$24:$X$29,MATCH(2,1/((Canals!$F$24:$F$29&lt;=$C62)*(Canals!$G$24:$G$29=_xlfn.IFS(SJ62="Handysize",Main!US62,SJ62="Supramax",UL62,SJ62="Panamax",UE62,SJ62="NeoPanamax",TX62,SJ62="Suezmax",TQ62,SJ62="Capesize",TJ62,SJ62="VLOC",TC62)))))</f>
        <v>#N/A</v>
      </c>
      <c r="WQ62" s="136" t="e">
        <f t="array" aca="1" ref="WQ62" ca="1">INDEX(Canals!$Y$24:$Y$29,MATCH(2,1/((Canals!$F$24:$F$29&lt;=$C62)*(Canals!$G$24:$G$29=_xlfn.IFS(SJ62="Handysize",Main!US62,SJ62="Supramax",UL62,SJ62="Panamax",UE62,SJ62="NeoPanamax",TX62,SJ62="Suezmax",TQ62,SJ62="Capesize",TJ62,SJ62="VLOC",TC62)))))</f>
        <v>#N/A</v>
      </c>
      <c r="WR62" s="136" t="e">
        <f t="array" aca="1" ref="WR62" ca="1">INDEX(Canals!$Z$24:$Z$29,MATCH(2,1/((Canals!$F$24:$F$29&lt;=$C62)*(Canals!$G$24:$G$29=_xlfn.IFS(SJ62="Handysize",Main!US62,SJ62="Supramax",UL62,SJ62="Panamax",UE62,SJ62="NeoPanamax",TX62,SJ62="Suezmax",TQ62,SJ62="Capesize",TJ62,SJ62="VLOC",TC62)))))</f>
        <v>#N/A</v>
      </c>
      <c r="WS62" s="136" t="e">
        <f t="array" aca="1" ref="WS62" ca="1">INDEX(Canals!$AA$24:$AA$29,MATCH(2,1/((Canals!$F$24:$F$29&lt;=$C62)*(Canals!$G$24:$G$29=_xlfn.IFS(SJ62="Handysize",Main!US62,SJ62="Supramax",UL62,SJ62="Panamax",UE62,SJ62="NeoPanamax",TX62,SJ62="Suezmax",TQ62,SJ62="Capesize",TJ62,SJ62="VLOC",TC62)))))</f>
        <v>#N/A</v>
      </c>
      <c r="WT62" s="136" t="e">
        <f t="array" aca="1" ref="WT62" ca="1">INDEX(Canals!$AB$24:$AB$29,MATCH(2,1/((Canals!$F$24:$F$29&lt;=$C62)*(Canals!$G$24:$G$29=_xlfn.IFS(SJ62="Handysize",Main!US62,SJ62="Supramax",UL62,SJ62="Panamax",UE62,SJ62="NeoPanamax",TX62,SJ62="Suezmax",TQ62,SJ62="Capesize",TJ62,SJ62="VLOC",TC62)))))</f>
        <v>#N/A</v>
      </c>
      <c r="WU62" s="75" t="e">
        <f t="array" aca="1" ref="WU62" ca="1">INDEX(Canals!$AC$24:$AC$29,MATCH(2,1/((Canals!$F$24:$F$29&lt;=$C62)*(Canals!$G$24:$G$29=_xlfn.IFS(SJ62="Handysize",Main!US62,SJ62="Supramax",UL62,SJ62="Panamax",UE62,SJ62="NeoPanamax",TX62,SJ62="Suezmax",TQ62,SJ62="Capesize",TJ62,SJ62="VLOC",TC62)))))</f>
        <v>#N/A</v>
      </c>
      <c r="WV62" s="75" t="e">
        <f t="array" aca="1" ref="WV62" ca="1">INDEX(Canals!$AD$24:$AD$29,MATCH(2,1/((Canals!$F$24:$F$29&lt;=$C62)*(Canals!$G$24:$G$29=_xlfn.IFS(SJ62="Handysize",Main!US62,SJ62="Supramax",UL62,SJ62="Panamax",UE62,SJ62="NeoPanamax",TX62,SJ62="Suezmax",TQ62,SJ62="Capesize",TJ62,SJ62="VLOC",TC62)))))</f>
        <v>#N/A</v>
      </c>
      <c r="WW62" s="75" t="e">
        <f t="array" aca="1" ref="WW62" ca="1">INDEX(Canals!$AE$24:$AE$29,MATCH(2,1/((Canals!$F$24:$F$29&lt;=$C62)*(Canals!$G$24:$G$29=_xlfn.IFS(SJ62="Handysize",Main!US62,SJ62="Supramax",UL62,SJ62="Panamax",UE62,SJ62="NeoPanamax",TX62,SJ62="Suezmax",TQ62,SJ62="Capesize",TJ62,SJ62="VLOC",TC62)))))</f>
        <v>#N/A</v>
      </c>
      <c r="WX62" s="75" t="e">
        <f t="array" aca="1" ref="WX62" ca="1">INDEX(Canals!$AF$24:$AF$29,MATCH(2,1/((Canals!$F$24:$F$29&lt;=$C62)*(Canals!$G$24:$G$29=_xlfn.IFS(SJ62="Handysize",Main!US62,SJ62="Supramax",UL62,SJ62="Panamax",UE62,SJ62="NeoPanamax",TX62,SJ62="Suezmax",TQ62,SJ62="Capesize",TJ62,SJ62="VLOC",TC62)))))</f>
        <v>#N/A</v>
      </c>
      <c r="WY62" s="75" t="e">
        <f t="array" aca="1" ref="WY62" ca="1">INDEX(Canals!$AG$24:$AG$29,MATCH(2,1/((Canals!$F$24:$F$29&lt;=$C62)*(Canals!$G$24:$G$29=_xlfn.IFS(SJ62="Handysize",Main!US62,SJ62="Supramax",UL62,SJ62="Panamax",UE62,SJ62="NeoPanamax",TX62,SJ62="Suezmax",TQ62,SJ62="Capesize",TJ62,SJ62="VLOC",TC62)))))</f>
        <v>#N/A</v>
      </c>
      <c r="WZ62" s="75" t="e">
        <f t="array" aca="1" ref="WZ62" ca="1">INDEX(Canals!$AH$24:$AH$29,MATCH(2,1/((Canals!$F$24:$F$29&lt;=$C62)*(Canals!$G$24:$G$29=_xlfn.IFS(SJ62="Handysize",Main!US62,SJ62="Supramax",UL62,SJ62="Panamax",UE62,SJ62="NeoPanamax",TX62,SJ62="Suezmax",TQ62,SJ62="Capesize",TJ62,SJ62="VLOC",TC62)))))</f>
        <v>#N/A</v>
      </c>
      <c r="XA62" s="75" t="e">
        <f t="array" aca="1" ref="XA62" ca="1">INDEX(Canals!$AI$24:$AI$29,MATCH(2,1/((Canals!$F$24:$F$29&lt;=$C62)*(Canals!$G$24:$G$29=_xlfn.IFS(SJ62="Handysize",Main!US62,SJ62="Supramax",UL62,SJ62="Panamax",UE62,SJ62="NeoPanamax",TX62,SJ62="Suezmax",TQ62,SJ62="Capesize",TJ62,SJ62="VLOC",TC62)))))</f>
        <v>#N/A</v>
      </c>
      <c r="XB62" s="75" t="e">
        <f t="array" aca="1" ref="XB62" ca="1">INDEX(Canals!$AJ$24:$AJ$29,MATCH(2,1/((Canals!$F$24:$F$29&lt;=$C62)*(Canals!$G$24:$G$29=_xlfn.IFS(SJ62="Handysize",Main!US62,SJ62="Supramax",UL62,SJ62="Panamax",UE62,SJ62="NeoPanamax",TX62,SJ62="Suezmax",TQ62,SJ62="Capesize",TJ62,SJ62="VLOC",TC62)))))</f>
        <v>#N/A</v>
      </c>
      <c r="XC62" s="75" t="e">
        <f t="array" aca="1" ref="XC62" ca="1">INDEX(Canals!$AK$24:$AK$29,MATCH(2,1/((Canals!$F$24:$F$29&lt;=$C62)*(Canals!$G$24:$G$29=_xlfn.IFS(SJ62="Handysize",Main!US62,SJ62="Supramax",UL62,SJ62="Panamax",UE62,SJ62="NeoPanamax",TX62,SJ62="Suezmax",TQ62,SJ62="Capesize",TJ62,SJ62="VLOC",TC62)))))</f>
        <v>#N/A</v>
      </c>
      <c r="XD62" s="136" t="e">
        <f t="array" aca="1" ref="XD62" ca="1">INDEX(Canals!$AL$24:$AL$29,MATCH(2,1/((Canals!$F$24:$F$29&lt;=$C62)*(Canals!$G$24:$G$29=_xlfn.IFS(SJ62="Handysize",Main!US62,SJ62="Supramax",UL62,SJ62="Panamax",UE62,SJ62="NeoPanamax",TX62,SJ62="Suezmax",TQ62,SJ62="Capesize",TJ62,SJ62="VLOC",TC62)))))</f>
        <v>#N/A</v>
      </c>
      <c r="XE62" s="136" t="e">
        <f t="array" aca="1" ref="XE62" ca="1">INDEX(Canals!$AM$24:$AM$29,MATCH(2,1/((Canals!$F$24:$F$29&lt;=$C62)*(Canals!$G$24:$G$29=_xlfn.IFS(SJ62="Handysize",Main!US62,SJ62="Supramax",UL62,SJ62="Panamax",UE62,SJ62="NeoPanamax",TX62,SJ62="Suezmax",TQ62,SJ62="Capesize",TJ62,SJ62="VLOC",TC62)))))</f>
        <v>#N/A</v>
      </c>
      <c r="XF62" s="136" t="e">
        <f t="array" aca="1" ref="XF62" ca="1">INDEX(Canals!$AN$24:$AN$29,MATCH(2,1/((Canals!$F$24:$F$29&lt;=$C62)*(Canals!$G$24:$G$29=_xlfn.IFS(SJ62="Handysize",Main!US62,SJ62="Supramax",UL62,SJ62="Panamax",UE62,SJ62="NeoPanamax",TX62,SJ62="Suezmax",TQ62,SJ62="Capesize",TJ62,SJ62="VLOC",TC62)))))</f>
        <v>#N/A</v>
      </c>
      <c r="XG62" s="136" t="e">
        <f t="array" aca="1" ref="XG62" ca="1">INDEX(Canals!$AO$24:$AO$29,MATCH(2,1/((Canals!$F$24:$F$29&lt;=$C62)*(Canals!$G$24:$G$29=_xlfn.IFS(SJ62="Handysize",Main!US62,SJ62="Supramax",UL62,SJ62="Panamax",UE62,SJ62="NeoPanamax",TX62,SJ62="Suezmax",TQ62,SJ62="Capesize",TJ62,SJ62="VLOC",TC62)))))</f>
        <v>#N/A</v>
      </c>
      <c r="XH62" s="136" t="e">
        <f t="array" aca="1" ref="XH62" ca="1">INDEX(Canals!$AP$24:$AP$29,MATCH(2,1/((Canals!$F$24:$F$29&lt;=$C62)*(Canals!$G$24:$G$29=_xlfn.IFS(SJ62="Handysize",Main!US62,SJ62="Supramax",UL62,SJ62="Panamax",UE62,SJ62="NeoPanamax",TX62,SJ62="Suezmax",TQ62,SJ62="Capesize",TJ62,SJ62="VLOC",TC62)))))</f>
        <v>#N/A</v>
      </c>
      <c r="XI62" s="136" t="e">
        <f t="array" aca="1" ref="XI62" ca="1">INDEX(Canals!$AQ$24:$AQ$29,MATCH(2,1/((Canals!$F$24:$F$29&lt;=$C62)*(Canals!$G$24:$G$29=_xlfn.IFS(SJ62="Handysize",Main!US62,SJ62="Supramax",UL62,SJ62="Panamax",UE62,SJ62="NeoPanamax",TX62,SJ62="Suezmax",TQ62,SJ62="Capesize",TJ62,SJ62="VLOC",TC62)))))</f>
        <v>#N/A</v>
      </c>
      <c r="XJ62" s="136" t="e">
        <f t="array" aca="1" ref="XJ62" ca="1">INDEX(Canals!$AR$24:$AR$29,MATCH(2,1/((Canals!$F$24:$F$29&lt;=$C62)*(Canals!$G$24:$G$29=_xlfn.IFS(SJ62="Handysize",Main!US62,SJ62="Supramax",UL62,SJ62="Panamax",UE62,SJ62="NeoPanamax",TX62,SJ62="Suezmax",TQ62,SJ62="Capesize",TJ62,SJ62="VLOC",TC62)))))</f>
        <v>#N/A</v>
      </c>
      <c r="XK62" s="136" t="e">
        <f t="array" aca="1" ref="XK62" ca="1">INDEX(Canals!$AS$24:$AS$29,MATCH(2,1/((Canals!$F$24:$F$29&lt;=$C62)*(Canals!$G$24:$G$29=_xlfn.IFS(SJ62="Handysize",Main!US62,SJ62="Supramax",UL62,SJ62="Panamax",UE62,SJ62="NeoPanamax",TX62,SJ62="Suezmax",TQ62,SJ62="Capesize",TJ62,SJ62="VLOC",TC62)))))</f>
        <v>#N/A</v>
      </c>
      <c r="XL62" s="136" t="e">
        <f t="array" aca="1" ref="XL62" ca="1">INDEX(Canals!$AT$24:$AT$29,MATCH(2,1/((Canals!$F$24:$F$29&lt;=$C62)*(Canals!$G$24:$G$29=_xlfn.IFS(SJ62="Handysize",Main!US62,SJ62="Supramax",UL62,SJ62="Panamax",UE62,SJ62="NeoPanamax",TX62,SJ62="Suezmax",TQ62,SJ62="Capesize",TJ62,SJ62="VLOC",TC62)))))</f>
        <v>#N/A</v>
      </c>
      <c r="XM62" s="136" t="e">
        <f t="array" aca="1" ref="XM62" ca="1">INDEX(Canals!$AU$24:$AU$29,MATCH(2,1/((Canals!$F$24:$F$29&lt;=$C62)*(Canals!$G$24:$G$29=_xlfn.IFS(SJ62="Handysize",Main!US62,SJ62="Supramax",UL62,SJ62="Panamax",UE62,SJ62="NeoPanamax",TX62,SJ62="Suezmax",TQ62,SJ62="Capesize",TJ62,SJ62="VLOC",TC62)))))</f>
        <v>#N/A</v>
      </c>
      <c r="XN62" s="136" t="e">
        <f t="array" aca="1" ref="XN62" ca="1">INDEX(Canals!$AV$24:$AV$29,MATCH(2,1/((Canals!$F$24:$F$29&lt;=$C62)*(Canals!$G$24:$G$29=_xlfn.IFS(SJ62="Handysize",Main!US62,SJ62="Supramax",UL62,SJ62="Panamax",UE62,SJ62="NeoPanamax",TX62,SJ62="Suezmax",TQ62,SJ62="Capesize",TJ62,SJ62="VLOC",TC62)))))</f>
        <v>#N/A</v>
      </c>
      <c r="XP62" s="75" t="e">
        <f t="array" aca="1" ref="XP62" ca="1">_xlfn.IFS(WA62="DWT",SH62,WA62="NRT",SL62,WA62="GRT",SM62,WA62=0,0)</f>
        <v>#NAME?</v>
      </c>
      <c r="XQ62" s="279" t="e">
        <f t="shared" ca="1" si="455"/>
        <v>#NAME?</v>
      </c>
      <c r="XR62" s="280" t="e">
        <f t="shared" ca="1" si="456"/>
        <v>#NAME?</v>
      </c>
      <c r="XS62" s="280" t="e">
        <f t="shared" ca="1" si="457"/>
        <v>#NAME?</v>
      </c>
      <c r="XT62" s="280" t="e">
        <f t="shared" ca="1" si="458"/>
        <v>#NAME?</v>
      </c>
      <c r="XU62" s="280" t="e">
        <f t="shared" ca="1" si="459"/>
        <v>#NAME?</v>
      </c>
      <c r="XV62" s="280" t="e">
        <f t="shared" ca="1" si="460"/>
        <v>#NAME?</v>
      </c>
      <c r="XW62" s="280" t="e">
        <f t="shared" ca="1" si="461"/>
        <v>#NAME?</v>
      </c>
      <c r="XX62" s="280" t="e">
        <f t="shared" ca="1" si="462"/>
        <v>#NAME?</v>
      </c>
      <c r="XY62" s="280" t="e">
        <f t="shared" ca="1" si="463"/>
        <v>#NAME?</v>
      </c>
      <c r="XZ62" s="75">
        <f t="shared" si="464"/>
        <v>0</v>
      </c>
      <c r="YA62" s="279" t="e">
        <f t="shared" ca="1" si="465"/>
        <v>#N/A</v>
      </c>
      <c r="YB62" s="280" t="e">
        <f t="shared" ca="1" si="466"/>
        <v>#N/A</v>
      </c>
      <c r="YC62" s="280" t="e">
        <f t="shared" ca="1" si="467"/>
        <v>#N/A</v>
      </c>
      <c r="YD62" s="280" t="e">
        <f t="shared" ca="1" si="468"/>
        <v>#N/A</v>
      </c>
      <c r="YE62" s="280" t="e">
        <f t="shared" ca="1" si="469"/>
        <v>#N/A</v>
      </c>
      <c r="YF62" s="280" t="e">
        <f t="shared" ca="1" si="470"/>
        <v>#N/A</v>
      </c>
      <c r="YG62" s="280" t="e">
        <f t="shared" ca="1" si="471"/>
        <v>#N/A</v>
      </c>
      <c r="YH62" s="280" t="e">
        <f t="shared" ca="1" si="472"/>
        <v>#N/A</v>
      </c>
      <c r="YI62" s="280" t="e">
        <f t="shared" ca="1" si="473"/>
        <v>#N/A</v>
      </c>
      <c r="YK62" s="75" t="e">
        <f t="array" aca="1" ref="YK62" ca="1">_xlfn.IFS(SJ62="Handysize",Main!UM62,SJ62="Supramax",UF62,SJ62="Panamax",TY62,SJ62="NeoPanamax",TR62,SJ62="Suezmax",TK62,SJ62="Capesize",TD62,SJ62="VLOC",SW62)*$JI62</f>
        <v>#NAME?</v>
      </c>
      <c r="YL62" s="274" t="e">
        <f t="array" aca="1" ref="YL62" ca="1">_xlfn.IFS(SJ62="Handysize",Main!UN62,SJ62="Supramax",UG62,SJ62="Panamax",TZ62,SJ62="NeoPanamax",TS62,SJ62="Suezmax",TL62,SJ62="Capesize",TE62,SJ62="VLOC",SX62)*$JI62</f>
        <v>#NAME?</v>
      </c>
      <c r="YM62" s="71" t="e">
        <f t="array" aca="1" ref="YM62" ca="1">_xlfn.IFS(SJ62="Handysize",Main!SO62,SJ62="Supramax",SP62,SJ62="Panamax",SQ62,SJ62="NeoPanamax",SR62,SJ62="Suezmax",SS62,SJ62="Capesize",ST62,SJ62="VLOC",SU62)</f>
        <v>#NAME?</v>
      </c>
      <c r="YN62" s="71" t="e">
        <f t="array" aca="1" ref="YN62" ca="1">_xlfn.IFS(SJ62="Handysize",Main!VA62,SJ62="Supramax",VB62,SJ62="Panamax",VC62,SJ62="NeoPanamax",VD62,SJ62="Suezmax",VE62,SJ62="Capesize",VF62,SJ62="VLOC",VG62)</f>
        <v>#NAME?</v>
      </c>
      <c r="YO62" s="70">
        <f t="array" ref="YO62">INDEX('Ship Speeds'!$G$11:$G$1011,MATCH(2,1/(('Ship Speeds'!$E$11:$E$1011&lt;=Main!$C62)*('Ship Speeds'!$F$11:$F$1011=Main!SI62))))</f>
        <v>11</v>
      </c>
      <c r="YP62" s="403">
        <f t="shared" si="474"/>
        <v>0</v>
      </c>
      <c r="YQ62" s="401">
        <f t="shared" si="475"/>
        <v>1.2</v>
      </c>
      <c r="YR62" s="70" t="e">
        <f t="shared" ca="1" si="476"/>
        <v>#NAME?</v>
      </c>
      <c r="YS62" s="70" t="e">
        <f t="shared" ca="1" si="477"/>
        <v>#NAME?</v>
      </c>
      <c r="YT62" s="70" t="e">
        <f t="shared" ca="1" si="478"/>
        <v>#NAME?</v>
      </c>
      <c r="YU62" s="70" t="e">
        <f t="shared" ca="1" si="479"/>
        <v>#NAME?</v>
      </c>
      <c r="YV62" s="72" t="e">
        <f t="shared" ca="1" si="480"/>
        <v>#N/A</v>
      </c>
      <c r="YW62" s="70" t="e">
        <f t="shared" ca="1" si="481"/>
        <v>#NAME?</v>
      </c>
      <c r="YX62" s="70" t="e">
        <f t="array" aca="1" ref="YX62" ca="1">IF(YK62=0,0,INDEX(UU62:UY62,MATCH(_xlfn.IFS(SJ62="Handysize",Main!UQ62,SJ62="Supramax",UJ62,SJ62="Panamax",UC62,SJ62="NeoPanamax",TV62,SJ62="Suezmax",TO62,SJ62="Capesize",TH62,SJ62="VLOC",TA62),$UU$7:$UY$7,0)))</f>
        <v>#NAME?</v>
      </c>
      <c r="YY62" s="70" t="e">
        <f t="array" aca="1" ref="YY62" ca="1">IF(YK62=0,0,INDEX(UU62:UY62,MATCH(_xlfn.IFS(SJ62="Handysize",Main!UR62,SJ62="Supramax",UK62,SJ62="Panamax",UD62,SJ62="NeoPanamax",TW62,SJ62="Suezmax",TP62,SJ62="Capesize",TI62,SJ62="VLOC",TB62),$UU$7:$UY$7,0)))</f>
        <v>#NAME?</v>
      </c>
      <c r="YZ62" s="71" t="e">
        <f t="shared" ca="1" si="482"/>
        <v>#NAME?</v>
      </c>
      <c r="ZA62" s="71" t="e">
        <f t="shared" ca="1" si="483"/>
        <v>#NAME?</v>
      </c>
      <c r="ZB62" s="281" t="e">
        <f t="shared" ca="1" si="484"/>
        <v>#NAME?</v>
      </c>
      <c r="ZC62" s="71" t="e">
        <f t="shared" ca="1" si="485"/>
        <v>#NAME?</v>
      </c>
      <c r="ZD62" s="71" t="e">
        <f t="shared" ca="1" si="486"/>
        <v>#NAME?</v>
      </c>
      <c r="ZE62" s="71" t="e">
        <f t="shared" ca="1" si="487"/>
        <v>#NAME?</v>
      </c>
      <c r="ZF62" s="71" t="e">
        <f t="shared" ca="1" si="488"/>
        <v>#NAME?</v>
      </c>
      <c r="ZG62" s="71" t="e">
        <f t="shared" ca="1" si="489"/>
        <v>#NAME?</v>
      </c>
      <c r="ZH62" s="71" t="e">
        <f t="shared" ca="1" si="490"/>
        <v>#NAME?</v>
      </c>
      <c r="ZI62" s="71" t="e">
        <f t="shared" ca="1" si="491"/>
        <v>#NAME?</v>
      </c>
      <c r="ZJ62" s="71" t="e">
        <f t="shared" ca="1" si="492"/>
        <v>#NAME?</v>
      </c>
      <c r="ZK62" s="71" t="e">
        <f t="shared" ca="1" si="493"/>
        <v>#NAME?</v>
      </c>
      <c r="ZL62" s="71" t="e">
        <f t="shared" ca="1" si="494"/>
        <v>#NAME?</v>
      </c>
      <c r="ZM62" s="71" t="e">
        <f t="shared" ca="1" si="495"/>
        <v>#NAME?</v>
      </c>
      <c r="ZN62" s="71" t="e">
        <f t="shared" ca="1" si="496"/>
        <v>#NAME?</v>
      </c>
      <c r="ZO62" s="72" t="e">
        <f t="shared" ca="1" si="497"/>
        <v>#NAME?</v>
      </c>
      <c r="ZP62" s="72" t="e">
        <f t="shared" ca="1" si="498"/>
        <v>#NAME?</v>
      </c>
      <c r="ZQ62" s="71" t="e">
        <f t="shared" ca="1" si="499"/>
        <v>#NAME?</v>
      </c>
      <c r="ZR62" s="71" t="e">
        <f t="array" aca="1" ref="ZR62" ca="1">IF(YK62=0,0,INDEX('Ship Time Charter Rates'!$H$22:$H$1021,MATCH(2,1/(('Ship Time Charter Rates'!$G$22:$G$1021=_xlfn.IFS(SJ62="Handysize",Main!UO62,SJ62="Supramax",UH62,SJ62="Panamax",UA62,SJ62="NeoPanamax",TT62,SJ62="Suezmax",TM62,SJ62="Capesize",TF62,SJ62="VLOC",SY62))*('Ship Time Charter Rates'!$E$22:$E$1021&lt;=Main!$C62)*(NOT(ISBLANK('Ship Time Charter Rates'!$H$22:$H$1021)))))))</f>
        <v>#NAME?</v>
      </c>
      <c r="ZS62" s="71" t="e">
        <f t="shared" ca="1" si="500"/>
        <v>#NAME?</v>
      </c>
      <c r="ZT62" s="70" t="e">
        <f t="shared" ca="1" si="501"/>
        <v>#NAME?</v>
      </c>
      <c r="ZU62" s="71" t="e">
        <f t="shared" ca="1" si="502"/>
        <v>#NAME?</v>
      </c>
      <c r="ZV62" s="71" t="e">
        <f t="shared" ca="1" si="503"/>
        <v>#NAME?</v>
      </c>
      <c r="ZW62" s="72" t="e">
        <f t="shared" ca="1" si="504"/>
        <v>#NAME?</v>
      </c>
      <c r="ZY62" s="287" t="s">
        <v>39</v>
      </c>
      <c r="AAA62" s="25">
        <f t="shared" si="672"/>
        <v>51833.471188309908</v>
      </c>
      <c r="AAB62" s="4" t="str">
        <f>VLOOKUP(AAA62,'Ship Time Charter Rates'!$F$10:$G$17,2,TRUE)</f>
        <v>Supramax</v>
      </c>
      <c r="AAC62" s="4" t="str">
        <f>VLOOKUP(AAA62,Canals!$E$5:$F$12,2,TRUE)</f>
        <v>Supramax</v>
      </c>
      <c r="AAD62" s="25">
        <f t="shared" si="505"/>
        <v>191.14062034739453</v>
      </c>
      <c r="AAE62" s="25">
        <f t="shared" si="506"/>
        <v>20909.622277364215</v>
      </c>
      <c r="AAF62" s="25">
        <f t="shared" si="507"/>
        <v>31693.388199614012</v>
      </c>
      <c r="AAH62" s="75">
        <f t="array" ref="AAH62">INDEX('Indices Mines Exporting Ports'!$R$20:$R$51,MATCH(2,1/(('Indices Mines Exporting Ports'!$D$20:$D$51&lt;=Main!$C62)*('Indices Mines Exporting Ports'!$Q$20:$Q$51=$AP62))))</f>
        <v>30000</v>
      </c>
      <c r="AAI62" s="75">
        <f t="array" ref="AAI62">INDEX('Indices Mines Exporting Ports'!$S$20:$S$51,MATCH(2,1/(('Indices Mines Exporting Ports'!$D$20:$D$51&lt;=Main!$C62)*('Indices Mines Exporting Ports'!$Q$20:$Q$51=$AP62))))</f>
        <v>30000</v>
      </c>
      <c r="AAJ62" s="75">
        <f t="array" ref="AAJ62">INDEX('Indices Mines Exporting Ports'!$T$20:$T$51,MATCH(2,1/(('Indices Mines Exporting Ports'!$D$20:$D$51&lt;=Main!$C62)*('Indices Mines Exporting Ports'!$Q$20:$Q$51=$AP62))))</f>
        <v>30000</v>
      </c>
      <c r="AAK62" s="75">
        <f t="array" ref="AAK62">INDEX('Indices Mines Exporting Ports'!$U$20:$U$51,MATCH(2,1/(('Indices Mines Exporting Ports'!$D$20:$D$51&lt;=Main!$C62)*('Indices Mines Exporting Ports'!$Q$20:$Q$51=$AP62))))</f>
        <v>30000</v>
      </c>
      <c r="AAL62" s="75">
        <f t="array" ref="AAL62">INDEX('Indices Mines Exporting Ports'!$V$20:$V$51,MATCH(2,1/(('Indices Mines Exporting Ports'!$D$20:$D$51&lt;=Main!$C62)*('Indices Mines Exporting Ports'!$Q$20:$Q$51=$AP62))))</f>
        <v>30000</v>
      </c>
      <c r="AAM62" s="75">
        <f t="array" ref="AAM62">INDEX('Indices Mines Exporting Ports'!$W$20:$W$51,MATCH(2,1/(('Indices Mines Exporting Ports'!$D$20:$D$51&lt;=Main!$C62)*('Indices Mines Exporting Ports'!$Q$20:$Q$51=$AP62))))</f>
        <v>30000</v>
      </c>
      <c r="AAN62" s="75">
        <f t="array" ref="AAN62">INDEX('Indices Mines Exporting Ports'!$X$20:$X$51,MATCH(2,1/(('Indices Mines Exporting Ports'!$D$20:$D$51&lt;=Main!$C62)*('Indices Mines Exporting Ports'!$Q$20:$Q$51=$AP62))))</f>
        <v>30000</v>
      </c>
      <c r="AAP62" s="75">
        <f t="array" ref="AAP62">INDEX('Port Linkages'!$E$18:$E$157,MATCH(2,1/(('Port Linkages'!$C$18:$C$157=$AP62)*('Port Linkages'!$D$18:$D$157=IF($AO62="Yes",$AQ62,$KK62))*('Port Linkages'!$A$18:$A$157&lt;=$C62))))</f>
        <v>5100</v>
      </c>
      <c r="AAQ62" s="75">
        <f t="array" ref="AAQ62">INDEX('Port Linkages'!$F$18:$F$157,MATCH(2,1/(('Port Linkages'!$C$18:$C$157=$AP62)*('Port Linkages'!$D$18:$D$157=IF($AO62="Yes",$AQ62,$KK62))*('Port Linkages'!$A$18:$A$157&lt;=$C62))))</f>
        <v>0</v>
      </c>
      <c r="AAR62" s="75" t="str">
        <f t="array" ref="AAR62">INDEX('Port Linkages'!$G$18:$G$157,MATCH(2,1/(('Port Linkages'!$C$18:$C$157=$AP62)*('Port Linkages'!$D$18:$D$157=IF($AO62="Yes",$AQ62,$KK62))*('Port Linkages'!$A$18:$A$157&lt;=$C62))))</f>
        <v>VLOC_General</v>
      </c>
      <c r="AAS62" s="75" t="str">
        <f t="array" ref="AAS62">INDEX('Port Linkages'!$H$18:$H$157,MATCH(2,1/(('Port Linkages'!$C$18:$C$157=$AP62)*('Port Linkages'!$D$18:$D$157=IF($AO62="Yes",$AQ62,$KK62))*('Port Linkages'!$A$18:$A$157&lt;=$C62))))</f>
        <v>Singapore</v>
      </c>
      <c r="AAT62" s="75" t="str">
        <f t="array" ref="AAT62">INDEX('Port Linkages'!$I$18:$I$157,MATCH(2,1/(('Port Linkages'!$C$18:$C$157=$AP62)*('Port Linkages'!$D$18:$D$157=IF($AO62="Yes",$AQ62,$KK62))*('Port Linkages'!$A$18:$A$157&lt;=$C62))))</f>
        <v>VLSFO</v>
      </c>
      <c r="AAU62" s="75" t="str">
        <f t="array" ref="AAU62">INDEX('Port Linkages'!$J$18:$J$157,MATCH(2,1/(('Port Linkages'!$C$18:$C$157=$AP62)*('Port Linkages'!$D$18:$D$157=IF($AO62="Yes",$AQ62,$KK62))*('Port Linkages'!$A$18:$A$157&lt;=$C62))))</f>
        <v>MGO_Regular</v>
      </c>
      <c r="AAV62" s="75" t="str">
        <f t="array" ref="AAV62">INDEX('Port Linkages'!$K$18:$K$157,MATCH(2,1/(('Port Linkages'!$C$18:$C$157=$AP62)*('Port Linkages'!$D$18:$D$157=IF($AO62="Yes",$AQ62,$KK62))*('Port Linkages'!$A$18:$A$157&lt;=$C62))))</f>
        <v>none</v>
      </c>
      <c r="AAW62" s="75">
        <f t="array" ref="AAW62">INDEX('Port Linkages'!$L$18:$L$157,MATCH(2,1/(('Port Linkages'!$C$18:$C$157=$AP62)*('Port Linkages'!$D$18:$D$157=IF($AO62="Yes",$AQ62,$KK62))*('Port Linkages'!$A$18:$A$157&lt;=$C62))))</f>
        <v>5100</v>
      </c>
      <c r="AAX62" s="75">
        <f t="array" ref="AAX62">INDEX('Port Linkages'!$M$18:$M$157,MATCH(2,1/(('Port Linkages'!$C$18:$C$157=$AP62)*('Port Linkages'!$D$18:$D$157=IF($AO62="Yes",$AQ62,$KK62))*('Port Linkages'!$A$18:$A$157&lt;=$C62))))</f>
        <v>0</v>
      </c>
      <c r="AAY62" s="75" t="str">
        <f t="array" ref="AAY62">INDEX('Port Linkages'!$N$18:$N$157,MATCH(2,1/(('Port Linkages'!$C$18:$C$157=$AP62)*('Port Linkages'!$D$18:$D$157=IF($AO62="Yes",$AQ62,$KK62))*('Port Linkages'!$A$18:$A$157&lt;=$C62))))</f>
        <v>Capesize_General</v>
      </c>
      <c r="AAZ62" s="75" t="str">
        <f t="array" ref="AAZ62">INDEX('Port Linkages'!$O$18:$O$157,MATCH(2,1/(('Port Linkages'!$C$18:$C$157=$AP62)*('Port Linkages'!$D$18:$D$157=IF($AO62="Yes",$AQ62,$KK62))*('Port Linkages'!$A$18:$A$157&lt;=$C62))))</f>
        <v>Singapore</v>
      </c>
      <c r="ABA62" s="75" t="str">
        <f t="array" ref="ABA62">INDEX('Port Linkages'!$P$18:$P$157,MATCH(2,1/(('Port Linkages'!$C$18:$C$157=$AP62)*('Port Linkages'!$D$18:$D$157=IF($AO62="Yes",$AQ62,$KK62))*('Port Linkages'!$A$18:$A$157&lt;=$C62))))</f>
        <v>VLSFO</v>
      </c>
      <c r="ABB62" s="75" t="str">
        <f t="array" ref="ABB62">INDEX('Port Linkages'!$Q$18:$Q$157,MATCH(2,1/(('Port Linkages'!$C$18:$C$157=$AP62)*('Port Linkages'!$D$18:$D$157=IF($AO62="Yes",$AQ62,$KK62))*('Port Linkages'!$A$18:$A$157&lt;=$C62))))</f>
        <v>MGO_Regular</v>
      </c>
      <c r="ABC62" s="75" t="str">
        <f t="array" ref="ABC62">INDEX('Port Linkages'!$R$18:$R$157,MATCH(2,1/(('Port Linkages'!$C$18:$C$157=$AP62)*('Port Linkages'!$D$18:$D$157=IF($AO62="Yes",$AQ62,$KK62))*('Port Linkages'!$A$18:$A$157&lt;=$C62))))</f>
        <v>none</v>
      </c>
      <c r="ABD62" s="75">
        <f t="array" ref="ABD62">INDEX('Port Linkages'!$S$18:$S$157,MATCH(2,1/(('Port Linkages'!$C$18:$C$157=$AP62)*('Port Linkages'!$D$18:$D$157=IF($AO62="Yes",$AQ62,$KK62))*('Port Linkages'!$A$18:$A$157&lt;=$C62))))</f>
        <v>5100</v>
      </c>
      <c r="ABE62" s="75">
        <f t="array" ref="ABE62">INDEX('Port Linkages'!$T$18:$T$157,MATCH(2,1/(('Port Linkages'!$C$18:$C$157=$AP62)*('Port Linkages'!$D$18:$D$157=IF($AO62="Yes",$AQ62,$KK62))*('Port Linkages'!$A$18:$A$157&lt;=$C62))))</f>
        <v>0</v>
      </c>
      <c r="ABF62" s="75" t="str">
        <f t="array" ref="ABF62">INDEX('Port Linkages'!$U$18:$U$157,MATCH(2,1/(('Port Linkages'!$C$18:$C$157=$AP62)*('Port Linkages'!$D$18:$D$157=IF($AO62="Yes",$AQ62,$KK62))*('Port Linkages'!$A$18:$A$157&lt;=$C62))))</f>
        <v>Capesize_General</v>
      </c>
      <c r="ABG62" s="75" t="str">
        <f t="array" ref="ABG62">INDEX('Port Linkages'!$V$18:$V$157,MATCH(2,1/(('Port Linkages'!$C$18:$C$157=$AP62)*('Port Linkages'!$D$18:$D$157=IF($AO62="Yes",$AQ62,$KK62))*('Port Linkages'!$A$18:$A$157&lt;=$C62))))</f>
        <v>Singapore</v>
      </c>
      <c r="ABH62" s="75" t="str">
        <f t="array" ref="ABH62">INDEX('Port Linkages'!$W$18:$W$157,MATCH(2,1/(('Port Linkages'!$C$18:$C$157=$AP62)*('Port Linkages'!$D$18:$D$157=IF($AO62="Yes",$AQ62,$KK62))*('Port Linkages'!$A$18:$A$157&lt;=$C62))))</f>
        <v>VLSFO</v>
      </c>
      <c r="ABI62" s="75" t="str">
        <f t="array" ref="ABI62">INDEX('Port Linkages'!$X$18:$X$157,MATCH(2,1/(('Port Linkages'!$C$18:$C$157=$AP62)*('Port Linkages'!$D$18:$D$157=IF($AO62="Yes",$AQ62,$KK62))*('Port Linkages'!$A$18:$A$157&lt;=$C62))))</f>
        <v>MGO_Regular</v>
      </c>
      <c r="ABJ62" s="75" t="str">
        <f t="array" ref="ABJ62">INDEX('Port Linkages'!$Y$18:$Y$157,MATCH(2,1/(('Port Linkages'!$C$18:$C$157=$AP62)*('Port Linkages'!$D$18:$D$157=IF($AO62="Yes",$AQ62,$KK62))*('Port Linkages'!$A$18:$A$157&lt;=$C62))))</f>
        <v>none</v>
      </c>
      <c r="ABK62" s="75">
        <f t="array" ref="ABK62">INDEX('Port Linkages'!$Z$18:$Z$157,MATCH(2,1/(('Port Linkages'!$C$18:$C$157=$AP62)*('Port Linkages'!$D$18:$D$157=IF($AO62="Yes",$AQ62,$KK62))*('Port Linkages'!$A$18:$A$157&lt;=$C62))))</f>
        <v>5100</v>
      </c>
      <c r="ABL62" s="75">
        <f t="array" ref="ABL62">INDEX('Port Linkages'!$AA$18:$AA$157,MATCH(2,1/(('Port Linkages'!$C$18:$C$157=$AP62)*('Port Linkages'!$D$18:$D$157=IF($AO62="Yes",$AQ62,$KK62))*('Port Linkages'!$A$18:$A$157&lt;=$C62))))</f>
        <v>0</v>
      </c>
      <c r="ABM62" s="75" t="str">
        <f t="array" ref="ABM62">INDEX('Port Linkages'!$AB$18:$AB$157,MATCH(2,1/(('Port Linkages'!$C$18:$C$157=$AP62)*('Port Linkages'!$D$18:$D$157=IF($AO62="Yes",$AQ62,$KK62))*('Port Linkages'!$A$18:$A$157&lt;=$C62))))</f>
        <v>Capesize_General</v>
      </c>
      <c r="ABN62" s="75" t="str">
        <f t="array" ref="ABN62">INDEX('Port Linkages'!$AC$18:$AC$157,MATCH(2,1/(('Port Linkages'!$C$18:$C$157=$AP62)*('Port Linkages'!$D$18:$D$157=IF($AO62="Yes",$AQ62,$KK62))*('Port Linkages'!$A$18:$A$157&lt;=$C62))))</f>
        <v>Singapore</v>
      </c>
      <c r="ABO62" s="75" t="str">
        <f t="array" ref="ABO62">INDEX('Port Linkages'!$AD$18:$AD$157,MATCH(2,1/(('Port Linkages'!$C$18:$C$157=$AP62)*('Port Linkages'!$D$18:$D$157=IF($AO62="Yes",$AQ62,$KK62))*('Port Linkages'!$A$18:$A$157&lt;=$C62))))</f>
        <v>VLSFO</v>
      </c>
      <c r="ABP62" s="75" t="str">
        <f t="array" ref="ABP62">INDEX('Port Linkages'!$AE$18:$AE$157,MATCH(2,1/(('Port Linkages'!$C$18:$C$157=$AP62)*('Port Linkages'!$D$18:$D$157=IF($AO62="Yes",$AQ62,$KK62))*('Port Linkages'!$A$18:$A$157&lt;=$C62))))</f>
        <v>MGO_Regular</v>
      </c>
      <c r="ABQ62" s="75" t="str">
        <f t="array" ref="ABQ62">INDEX('Port Linkages'!$AF$18:$AF$157,MATCH(2,1/(('Port Linkages'!$C$18:$C$157=$AP62)*('Port Linkages'!$D$18:$D$157=IF($AO62="Yes",$AQ62,$KK62))*('Port Linkages'!$A$18:$A$157&lt;=$C62))))</f>
        <v>none</v>
      </c>
      <c r="ABR62" s="75">
        <f t="array" ref="ABR62">INDEX('Port Linkages'!$AG$18:$AG$157,MATCH(2,1/(('Port Linkages'!$C$18:$C$157=$AP62)*('Port Linkages'!$D$18:$D$157=IF($AO62="Yes",$AQ62,$KK62))*('Port Linkages'!$A$18:$A$157&lt;=$C62))))</f>
        <v>5100</v>
      </c>
      <c r="ABS62" s="75">
        <f t="array" ref="ABS62">INDEX('Port Linkages'!$AH$18:$AH$157,MATCH(2,1/(('Port Linkages'!$C$18:$C$157=$AP62)*('Port Linkages'!$D$18:$D$157=IF($AO62="Yes",$AQ62,$KK62))*('Port Linkages'!$A$18:$A$157&lt;=$C62))))</f>
        <v>0</v>
      </c>
      <c r="ABT62" s="75" t="str">
        <f t="array" ref="ABT62">INDEX('Port Linkages'!$AI$18:$AI$157,MATCH(2,1/(('Port Linkages'!$C$18:$C$157=$AP62)*('Port Linkages'!$D$18:$D$157=IF($AO62="Yes",$AQ62,$KK62))*('Port Linkages'!$A$18:$A$157&lt;=$C62))))</f>
        <v>Panamax_General</v>
      </c>
      <c r="ABU62" s="75" t="str">
        <f t="array" ref="ABU62">INDEX('Port Linkages'!$AJ$18:$AJ$157,MATCH(2,1/(('Port Linkages'!$C$18:$C$157=$AP62)*('Port Linkages'!$D$18:$D$157=IF($AO62="Yes",$AQ62,$KK62))*('Port Linkages'!$A$18:$A$157&lt;=$C62))))</f>
        <v>Singapore</v>
      </c>
      <c r="ABV62" s="75" t="str">
        <f t="array" ref="ABV62">INDEX('Port Linkages'!$AK$18:$AK$157,MATCH(2,1/(('Port Linkages'!$C$18:$C$157=$AP62)*('Port Linkages'!$D$18:$D$157=IF($AO62="Yes",$AQ62,$KK62))*('Port Linkages'!$A$18:$A$157&lt;=$C62))))</f>
        <v>VLSFO</v>
      </c>
      <c r="ABW62" s="75" t="str">
        <f t="array" ref="ABW62">INDEX('Port Linkages'!$AL$18:$AL$157,MATCH(2,1/(('Port Linkages'!$C$18:$C$157=$AP62)*('Port Linkages'!$D$18:$D$157=IF($AO62="Yes",$AQ62,$KK62))*('Port Linkages'!$A$18:$A$157&lt;=$C62))))</f>
        <v>MGO_Regular</v>
      </c>
      <c r="ABX62" s="75" t="str">
        <f t="array" ref="ABX62">INDEX('Port Linkages'!$AM$18:$AM$157,MATCH(2,1/(('Port Linkages'!$C$18:$C$157=$AP62)*('Port Linkages'!$D$18:$D$157=IF($AO62="Yes",$AQ62,$KK62))*('Port Linkages'!$A$18:$A$157&lt;=$C62))))</f>
        <v>none</v>
      </c>
      <c r="ABY62" s="75">
        <f t="array" ref="ABY62">INDEX('Port Linkages'!$AN$18:$AN$157,MATCH(2,1/(('Port Linkages'!$C$18:$C$157=$AP62)*('Port Linkages'!$D$18:$D$157=IF($AO62="Yes",$AQ62,$KK62))*('Port Linkages'!$A$18:$A$157&lt;=$C62))))</f>
        <v>5100</v>
      </c>
      <c r="ABZ62" s="75">
        <f t="array" ref="ABZ62">INDEX('Port Linkages'!$AO$18:$AO$157,MATCH(2,1/(('Port Linkages'!$C$18:$C$157=$AP62)*('Port Linkages'!$D$18:$D$157=IF($AO62="Yes",$AQ62,$KK62))*('Port Linkages'!$A$18:$A$157&lt;=$C62))))</f>
        <v>0</v>
      </c>
      <c r="ACA62" s="75" t="str">
        <f t="array" ref="ACA62">INDEX('Port Linkages'!$AP$18:$AP$157,MATCH(2,1/(('Port Linkages'!$C$18:$C$157=$AP62)*('Port Linkages'!$D$18:$D$157=IF($AO62="Yes",$AQ62,$KK62))*('Port Linkages'!$A$18:$A$157&lt;=$C62))))</f>
        <v>Supramax_General</v>
      </c>
      <c r="ACB62" s="75" t="str">
        <f t="array" ref="ACB62">INDEX('Port Linkages'!$AQ$18:$AQ$157,MATCH(2,1/(('Port Linkages'!$C$18:$C$157=$AP62)*('Port Linkages'!$D$18:$D$157=IF($AO62="Yes",$AQ62,$KK62))*('Port Linkages'!$A$18:$A$157&lt;=$C62))))</f>
        <v>Singapore</v>
      </c>
      <c r="ACC62" s="75" t="str">
        <f t="array" ref="ACC62">INDEX('Port Linkages'!$AR$18:$AR$157,MATCH(2,1/(('Port Linkages'!$C$18:$C$157=$AP62)*('Port Linkages'!$D$18:$D$157=IF($AO62="Yes",$AQ62,$KK62))*('Port Linkages'!$A$18:$A$157&lt;=$C62))))</f>
        <v>VLSFO</v>
      </c>
      <c r="ACD62" s="75" t="str">
        <f t="array" ref="ACD62">INDEX('Port Linkages'!$AS$18:$AS$157,MATCH(2,1/(('Port Linkages'!$C$18:$C$157=$AP62)*('Port Linkages'!$D$18:$D$157=IF($AO62="Yes",$AQ62,$KK62))*('Port Linkages'!$A$18:$A$157&lt;=$C62))))</f>
        <v>MGO_Regular</v>
      </c>
      <c r="ACE62" s="75" t="str">
        <f t="array" ref="ACE62">INDEX('Port Linkages'!$AT$18:$AT$157,MATCH(2,1/(('Port Linkages'!$C$18:$C$157=$AP62)*('Port Linkages'!$D$18:$D$157=IF($AO62="Yes",$AQ62,$KK62))*('Port Linkages'!$A$18:$A$157&lt;=$C62))))</f>
        <v>none</v>
      </c>
      <c r="ACF62" s="75">
        <f t="array" ref="ACF62">INDEX('Port Linkages'!$AU$18:$AU$157,MATCH(2,1/(('Port Linkages'!$C$18:$C$157=$AP62)*('Port Linkages'!$D$18:$D$157=IF($AO62="Yes",$AQ62,$KK62))*('Port Linkages'!$A$18:$A$157&lt;=$C62))))</f>
        <v>5100</v>
      </c>
      <c r="ACG62" s="75">
        <f t="array" ref="ACG62">INDEX('Port Linkages'!$AV$18:$AV$157,MATCH(2,1/(('Port Linkages'!$C$18:$C$157=$AP62)*('Port Linkages'!$D$18:$D$157=IF($AO62="Yes",$AQ62,$KK62))*('Port Linkages'!$A$18:$A$157&lt;=$C62))))</f>
        <v>0</v>
      </c>
      <c r="ACH62" s="75" t="str">
        <f t="array" ref="ACH62">INDEX('Port Linkages'!$AW$18:$AW$157,MATCH(2,1/(('Port Linkages'!$C$18:$C$157=$AP62)*('Port Linkages'!$D$18:$D$157=IF($AO62="Yes",$AQ62,$KK62))*('Port Linkages'!$A$18:$A$157&lt;=$C62))))</f>
        <v>Handysize_General</v>
      </c>
      <c r="ACI62" s="75" t="str">
        <f t="array" ref="ACI62">INDEX('Port Linkages'!$AX$18:$AX$157,MATCH(2,1/(('Port Linkages'!$C$18:$C$157=$AP62)*('Port Linkages'!$D$18:$D$157=IF($AO62="Yes",$AQ62,$KK62))*('Port Linkages'!$A$18:$A$157&lt;=$C62))))</f>
        <v>Singapore</v>
      </c>
      <c r="ACJ62" s="75" t="str">
        <f t="array" ref="ACJ62">INDEX('Port Linkages'!$AY$18:$AY$157,MATCH(2,1/(('Port Linkages'!$C$18:$C$157=$AP62)*('Port Linkages'!$D$18:$D$157=IF($AO62="Yes",$AQ62,$KK62))*('Port Linkages'!$A$18:$A$157&lt;=$C62))))</f>
        <v>VLSFO</v>
      </c>
      <c r="ACK62" s="75" t="str">
        <f t="array" ref="ACK62">INDEX('Port Linkages'!$AZ$18:$AZ$157,MATCH(2,1/(('Port Linkages'!$C$18:$C$157=$AP62)*('Port Linkages'!$D$18:$D$157=IF($AO62="Yes",$AQ62,$KK62))*('Port Linkages'!$A$18:$A$157&lt;=$C62))))</f>
        <v>MGO_Regular</v>
      </c>
      <c r="ACL62" s="75" t="str">
        <f t="array" ref="ACL62">INDEX('Port Linkages'!$BA$18:$BA$157,MATCH(2,1/(('Port Linkages'!$C$18:$C$157=$AP62)*('Port Linkages'!$D$18:$D$157=IF($AO62="Yes",$AQ62,$KK62))*('Port Linkages'!$A$18:$A$157&lt;=$C62))))</f>
        <v>none</v>
      </c>
      <c r="ACN62" s="25" t="e">
        <f t="array" aca="1" ref="ACN62" ca="1">INDEX('Ship Fuel Prices'!$F$5:$F$1004,MATCH(2,1/(('Ship Fuel Prices'!$E$5:$E$1004=_xlfn.IFS(AAC62="Handysize",Main!ACI62,AAC62="Supramax",ACB62,AAC62="Panamax",ABU62,AAC62="NeoPanamax",ABN62,AAC62="Suezmax",ABG62,AAC62="Capesize",AAZ62,AAC62="VLOC",AAS62))*('Ship Fuel Prices'!$D$5:$D$1004&lt;=Main!$C62))))</f>
        <v>#N/A</v>
      </c>
      <c r="ACO62" s="25" t="e">
        <f t="array" aca="1" ref="ACO62" ca="1">INDEX('Ship Fuel Prices'!$G$5:$G$1004,MATCH(2,1/(('Ship Fuel Prices'!$E$5:$E$1004=_xlfn.IFS(AAC62="Handysize",Main!ACI62,AAC62="Supramax",ACB62,AAC62="Panamax",ABU62,AAC62="NeoPanamax",ABN62,AAC62="Suezmax",ABG62,AAC62="Capesize",AAZ62,AAC62="VLOC",AAS62))*('Ship Fuel Prices'!$D$5:$D$1004&lt;=Main!$C62))))</f>
        <v>#N/A</v>
      </c>
      <c r="ACP62" s="25" t="e">
        <f t="array" aca="1" ref="ACP62" ca="1">INDEX('Ship Fuel Prices'!$H$5:$H$1004,MATCH(2,1/(('Ship Fuel Prices'!$E$5:$E$1004=_xlfn.IFS(AAC62="Handysize",Main!ACI62,AAC62="Supramax",ACB62,AAC62="Panamax",ABU62,AAC62="NeoPanamax",ABN62,AAC62="Suezmax",ABG62,AAC62="Capesize",AAZ62,AAC62="VLOC",AAS62))*('Ship Fuel Prices'!$D$5:$D$1004&lt;=Main!$C62))))</f>
        <v>#N/A</v>
      </c>
      <c r="ACQ62" s="25" t="e">
        <f t="array" aca="1" ref="ACQ62" ca="1">INDEX('Ship Fuel Prices'!$I$5:$I$1004,MATCH(2,1/(('Ship Fuel Prices'!$E$5:$E$1004=_xlfn.IFS(AAC62="Handysize",Main!ACI62,AAC62="Supramax",ACB62,AAC62="Panamax",ABU62,AAC62="NeoPanamax",ABN62,AAC62="Suezmax",ABG62,AAC62="Capesize",AAZ62,AAC62="VLOC",AAS62))*('Ship Fuel Prices'!$D$5:$D$1004&lt;=Main!$C62))))</f>
        <v>#N/A</v>
      </c>
      <c r="ACR62" s="25" t="e">
        <f t="array" aca="1" ref="ACR62" ca="1">INDEX('Ship Fuel Prices'!$J$5:$J$1004,MATCH(2,1/(('Ship Fuel Prices'!$E$5:$E$1004=_xlfn.IFS(AAC62="Handysize",Main!ACI62,AAC62="Supramax",ACB62,AAC62="Panamax",ABU62,AAC62="NeoPanamax",ABN62,AAC62="Suezmax",ABG62,AAC62="Capesize",AAZ62,AAC62="VLOC",AAS62))*('Ship Fuel Prices'!$D$5:$D$1004&lt;=Main!$C62))))</f>
        <v>#N/A</v>
      </c>
      <c r="ACT62" s="75">
        <f t="array" ref="ACT62">INDEX('China n Importing Ports'!$E$20:$E$41,MATCH(2,1/(('China n Importing Ports'!$D$20:$D$41&lt;=$C62)*('China n Importing Ports'!$C$20:$C$41=IF($AO62="Yes",$AQ62,$KK62)))))</f>
        <v>42500</v>
      </c>
      <c r="ACU62" s="75">
        <f t="array" ref="ACU62">INDEX('China n Importing Ports'!$F$20:$F$41,MATCH(2,1/(('China n Importing Ports'!$D$20:$D$41&lt;=$C62)*('China n Importing Ports'!$C$20:$C$41=IF($AO62="Yes",$AQ62,$KK62)))))</f>
        <v>42500</v>
      </c>
      <c r="ACV62" s="75">
        <f t="array" ref="ACV62">INDEX('China n Importing Ports'!$G$20:$G$41,MATCH(2,1/(('China n Importing Ports'!$D$20:$D$41&lt;=$C62)*('China n Importing Ports'!$C$20:$C$41=IF($AO62="Yes",$AQ62,$KK62)))))</f>
        <v>42500</v>
      </c>
      <c r="ACW62" s="75">
        <f t="array" ref="ACW62">INDEX('China n Importing Ports'!$H$20:$H$41,MATCH(2,1/(('China n Importing Ports'!$D$20:$D$41&lt;=$C62)*('China n Importing Ports'!$C$20:$C$41=IF($AO62="Yes",$AQ62,$KK62)))))</f>
        <v>42500</v>
      </c>
      <c r="ACX62" s="75">
        <f t="array" ref="ACX62">INDEX('China n Importing Ports'!$I$20:$I$41,MATCH(2,1/(('China n Importing Ports'!$D$20:$D$41&lt;=$C62)*('China n Importing Ports'!$C$20:$C$41=IF($AO62="Yes",$AQ62,$KK62)))))</f>
        <v>42500</v>
      </c>
      <c r="ACY62" s="75">
        <f t="array" ref="ACY62">INDEX('China n Importing Ports'!$J$20:$J$41,MATCH(2,1/(('China n Importing Ports'!$D$20:$D$41&lt;=$C62)*('China n Importing Ports'!$C$20:$C$41=IF($AO62="Yes",$AQ62,$KK62)))))</f>
        <v>42500</v>
      </c>
      <c r="ACZ62" s="75">
        <f t="array" ref="ACZ62">INDEX('China n Importing Ports'!$K$20:$K$41,MATCH(2,1/(('China n Importing Ports'!$D$20:$D$41&lt;=$C62)*('China n Importing Ports'!$C$20:$C$41=IF($AO62="Yes",$AQ62,$KK62)))))</f>
        <v>42500</v>
      </c>
      <c r="ADA62" s="75" t="str">
        <f t="array" ref="ADA62">INDEX('China n Importing Ports'!$L$20:$L$41,MATCH(2,1/(('China n Importing Ports'!$D$20:$D$41&lt;=$C62)*('China n Importing Ports'!$C$20:$C$41=IF($AO62="Yes",$AQ62,$KK62)))))</f>
        <v>RMB</v>
      </c>
      <c r="ADB62" s="75">
        <f t="array" ref="ADB62">INDEX('China n Importing Ports'!$M$20:$M$41,MATCH(2,1/(('China n Importing Ports'!$D$20:$D$41&lt;=$C62)*('China n Importing Ports'!$C$20:$C$41=IF($AO62="Yes",$AQ62,$KK62)))))</f>
        <v>12342</v>
      </c>
      <c r="ADC62" s="75">
        <f t="array" ref="ADC62">INDEX('China n Importing Ports'!$N$20:$N$41,MATCH(2,1/(('China n Importing Ports'!$D$20:$D$41&lt;=$C62)*('China n Importing Ports'!$C$20:$C$41=IF($AO62="Yes",$AQ62,$KK62)))))</f>
        <v>0</v>
      </c>
      <c r="ADD62" s="75">
        <f t="array" ref="ADD62">INDEX('China n Importing Ports'!$O$20:$O$41,MATCH(2,1/(('China n Importing Ports'!$D$20:$D$41&lt;=$C62)*('China n Importing Ports'!$C$20:$C$41=IF($AO62="Yes",$AQ62,$KK62)))))</f>
        <v>0</v>
      </c>
      <c r="ADE62" s="136">
        <f t="array" ref="ADE62">INDEX('China n Importing Ports'!$P$20:$P$41,MATCH(2,1/(('China n Importing Ports'!$D$20:$D$41&lt;=$C62)*('China n Importing Ports'!$C$20:$C$41=IF($AO62="Yes",$AQ62,$KK62)))))</f>
        <v>2.64</v>
      </c>
      <c r="ADF62" s="136">
        <f t="array" ref="ADF62">INDEX('China n Importing Ports'!$Q$20:$Q$41,MATCH(2,1/(('China n Importing Ports'!$D$20:$D$41&lt;=$C62)*('China n Importing Ports'!$C$20:$C$41=IF($AO62="Yes",$AQ62,$KK62)))))</f>
        <v>0</v>
      </c>
      <c r="ADG62" s="136">
        <f t="array" ref="ADG62">INDEX('China n Importing Ports'!$R$20:$R$41,MATCH(2,1/(('China n Importing Ports'!$D$20:$D$41&lt;=$C62)*('China n Importing Ports'!$C$20:$C$41=IF($AO62="Yes",$AQ62,$KK62)))))</f>
        <v>0</v>
      </c>
      <c r="ADH62" s="136">
        <f t="array" ref="ADH62">INDEX('China n Importing Ports'!$S$20:$S$41,MATCH(2,1/(('China n Importing Ports'!$D$20:$D$41&lt;=$C62)*('China n Importing Ports'!$C$20:$C$41=IF($AO62="Yes",$AQ62,$KK62)))))</f>
        <v>4.53</v>
      </c>
      <c r="ADI62" s="136">
        <f t="array" ref="ADI62">INDEX('China n Importing Ports'!$T$20:$T$41,MATCH(2,1/(('China n Importing Ports'!$D$20:$D$41&lt;=$C62)*('China n Importing Ports'!$C$20:$C$41=IF($AO62="Yes",$AQ62,$KK62)))))</f>
        <v>0.36699999999999999</v>
      </c>
      <c r="ADJ62" s="136">
        <f t="array" ref="ADJ62">INDEX('China n Importing Ports'!$U$20:$U$41,MATCH(2,1/(('China n Importing Ports'!$D$20:$D$41&lt;=$C62)*('China n Importing Ports'!$C$20:$C$41=IF($AO62="Yes",$AQ62,$KK62)))))</f>
        <v>0.05</v>
      </c>
      <c r="ADK62" s="136">
        <f t="array" ref="ADK62">INDEX('China n Importing Ports'!$V$20:$V$41,MATCH(2,1/(('China n Importing Ports'!$D$20:$D$41&lt;=$C62)*('China n Importing Ports'!$C$20:$C$41=IF($AO62="Yes",$AQ62,$KK62)))))</f>
        <v>0</v>
      </c>
      <c r="ADL62" s="136">
        <f t="array" ref="ADL62">INDEX('China n Importing Ports'!$W$20:$W$41,MATCH(2,1/(('China n Importing Ports'!$D$20:$D$41&lt;=$C62)*('China n Importing Ports'!$C$20:$C$41=IF($AO62="Yes",$AQ62,$KK62)))))</f>
        <v>0</v>
      </c>
      <c r="ADM62" s="136">
        <f t="array" ref="ADM62">INDEX('China n Importing Ports'!$X$20:$X$41,MATCH(2,1/(('China n Importing Ports'!$D$20:$D$41&lt;=$C62)*('China n Importing Ports'!$C$20:$C$41=IF($AO62="Yes",$AQ62,$KK62)))))</f>
        <v>0</v>
      </c>
      <c r="ADN62" s="136">
        <f t="array" ref="ADN62">INDEX('China n Importing Ports'!$Y$20:$Y$41,MATCH(2,1/(('China n Importing Ports'!$D$20:$D$41&lt;=$C62)*('China n Importing Ports'!$C$20:$C$41=IF($AO62="Yes",$AQ62,$KK62)))))</f>
        <v>197</v>
      </c>
      <c r="ADO62" s="136">
        <f t="array" ref="ADO62">INDEX('China n Importing Ports'!$Z$20:$Z$41,MATCH(2,1/(('China n Importing Ports'!$D$20:$D$41&lt;=$C62)*('China n Importing Ports'!$C$20:$C$41=IF($AO62="Yes",$AQ62,$KK62)))))</f>
        <v>0</v>
      </c>
      <c r="ADP62" s="136">
        <f t="array" ref="ADP62">INDEX('China n Importing Ports'!$AA$20:$AA$41,MATCH(2,1/(('China n Importing Ports'!$D$20:$D$41&lt;=$C62)*('China n Importing Ports'!$C$20:$C$41=IF($AO62="Yes",$AQ62,$KK62)))))</f>
        <v>0</v>
      </c>
      <c r="ADR62" s="75" t="e">
        <f t="array" aca="1" ref="ADR62" ca="1">INDEX(Canals!$G$24:$G$29,MATCH(2,1/((Canals!$F$24:$F$29&lt;=$C62)*(Canals!$G$24:$G$29=_xlfn.IFS(AAC62="Handysize",Main!ACL62,AAC62="Supramax",ACE62,AAC62="Panamax",ABX62,AAC62="NeoPanamax",ABQ62,AAC62="Suezmax",ABJ62,AAC62="Capesize",ABC62,AAC62="VLOC",AAV62)))))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S62" s="75" t="e">
        <f t="array" aca="1" ref="ADS62" ca="1">INDEX(Canals!$H$24:$H$29,MATCH(2,1/((Canals!$F$24:$F$29&lt;=$C62)*(Canals!$G$24:$G$29=_xlfn.IFS(AAC62="Handysize",Main!ACL62,AAC62="Supramax",ACE62,AAC62="Panamax",ABX62,AAC62="NeoPanamax",ABQ62,AAC62="Suezmax",ABJ62,AAC62="Capesize",ABC62,AAC62="VLOC",AAV62)))))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T62" s="75" t="e">
        <f t="array" aca="1" ref="ADT62" ca="1">INDEX(Canals!$I$24:$I$29,MATCH(2,1/((Canals!$F$24:$F$29&lt;=$C62)*(Canals!$G$24:$G$29=_xlfn.IFS(AAC62="Handysize",Main!ACL62,AAC62="Supramax",ACE62,AAC62="Panamax",ABX62,AAC62="NeoPanamax",ABQ62,AAC62="Suezmax",ABJ62,AAC62="Capesize",ABC62,AAC62="VLOC",AAV62)))))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U62" s="75" t="e">
        <f t="array" aca="1" ref="ADU62" ca="1">INDEX(Canals!$J$24:$J$29,MATCH(2,1/((Canals!$F$24:$F$29&lt;=$C62)*(Canals!$G$24:$G$29=_xlfn.IFS(AAC62="Handysize",Main!ACL62,AAC62="Supramax",ACE62,AAC62="Panamax",ABX62,AAC62="NeoPanamax",ABQ62,AAC62="Suezmax",ABJ62,AAC62="Capesize",ABC62,AAC62="VLOC",AAV62)))))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V62" s="75" t="e">
        <f t="array" aca="1" ref="ADV62" ca="1">INDEX(Canals!$K$24:$K$29,MATCH(2,1/((Canals!$F$24:$F$29&lt;=$C62)*(Canals!$G$24:$G$29=_xlfn.IFS(AAC62="Handysize",Main!ACL62,AAC62="Supramax",ACE62,AAC62="Panamax",ABX62,AAC62="NeoPanamax",ABQ62,AAC62="Suezmax",ABJ62,AAC62="Capesize",ABC62,AAC62="VLOC",AAV62)))))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W62" s="75" t="e">
        <f t="array" aca="1" ref="ADW62" ca="1">INDEX(Canals!$L$24:$L$29,MATCH(2,1/((Canals!$F$24:$F$29&lt;=$C62)*(Canals!$G$24:$G$29=_xlfn.IFS(AAC62="Handysize",Main!ACL62,AAC62="Supramax",ACE62,AAC62="Panamax",ABX62,AAC62="NeoPanamax",ABQ62,AAC62="Suezmax",ABJ62,AAC62="Capesize",ABC62,AAC62="VLOC",AAV62)))))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X62" s="75" t="e">
        <f t="array" aca="1" ref="ADX62" ca="1">INDEX(Canals!$M$24:$M$29,MATCH(2,1/((Canals!$F$24:$F$29&lt;=$C62)*(Canals!$G$24:$G$29=_xlfn.IFS(AAC62="Handysize",Main!ACL62,AAC62="Supramax",ACE62,AAC62="Panamax",ABX62,AAC62="NeoPanamax",ABQ62,AAC62="Suezmax",ABJ62,AAC62="Capesize",ABC62,AAC62="VLOC",AAV62)))))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Y62" s="75" t="e">
        <f t="array" aca="1" ref="ADY62" ca="1">INDEX(Canals!$N$24:$N$29,MATCH(2,1/((Canals!$F$24:$F$29&lt;=$C62)*(Canals!$G$24:$G$29=_xlfn.IFS(AAC62="Handysize",Main!ACL62,AAC62="Supramax",ACE62,AAC62="Panamax",ABX62,AAC62="NeoPanamax",ABQ62,AAC62="Suezmax",ABJ62,AAC62="Capesize",ABC62,AAC62="VLOC",AAV62)))))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DZ62" s="75" t="e">
        <f t="array" aca="1" ref="ADZ62" ca="1">INDEX(Canals!$O$24:$O$29,MATCH(2,1/((Canals!$F$24:$F$29&lt;=$C62)*(Canals!$G$24:$G$29=_xlfn.IFS(AAC62="Handysize",Main!ACL62,AAC62="Supramax",ACE62,AAC62="Panamax",ABX62,AAC62="NeoPanamax",ABQ62,AAC62="Suezmax",ABJ62,AAC62="Capesize",ABC62,AAC62="VLOC",AAV62)))))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A62" s="75" t="e">
        <f t="array" aca="1" ref="AEA62" ca="1">INDEX(Canals!$P$24:$P$29,MATCH(2,1/((Canals!$F$24:$F$29&lt;=$C62)*(Canals!$G$24:$G$29=_xlfn.IFS(AAC62="Handysize",Main!ACL62,AAC62="Supramax",ACE62,AAC62="Panamax",ABX62,AAC62="NeoPanamax",ABQ62,AAC62="Suezmax",ABJ62,AAC62="Capesize",ABC62,AAC62="VLOC",AAV62)))))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B62" s="75" t="e">
        <f t="array" aca="1" ref="AEB62" ca="1">INDEX(Canals!$Q$24:$Q$29,MATCH(2,1/((Canals!$F$24:$F$29&lt;=$C62)*(Canals!$G$24:$G$29=_xlfn.IFS(AAC62="Handysize",Main!ACL62,AAC62="Supramax",ACE62,AAC62="Panamax",ABX62,AAC62="NeoPanamax",ABQ62,AAC62="Suezmax",ABJ62,AAC62="Capesize",ABC62,AAC62="VLOC",AAV62)))))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C62" s="75" t="e">
        <f t="array" aca="1" ref="AEC62" ca="1">INDEX(Canals!$R$24:$R$29,MATCH(2,1/((Canals!$F$24:$F$29&lt;=$C62)*(Canals!$G$24:$G$29=_xlfn.IFS(AAC62="Handysize",Main!ACL62,AAC62="Supramax",ACE62,AAC62="Panamax",ABX62,AAC62="NeoPanamax",ABQ62,AAC62="Suezmax",ABJ62,AAC62="Capesize",ABC62,AAC62="VLOC",AAV62)))))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D62" s="136" t="e">
        <f t="array" aca="1" ref="AED62" ca="1">INDEX(Canals!$S$24:$S$29,MATCH(2,1/((Canals!$F$24:$F$29&lt;=$C62)*(Canals!$G$24:$G$29=_xlfn.IFS(AAC62="Handysize",Main!ACL62,AAC62="Supramax",ACE62,AAC62="Panamax",ABX62,AAC62="NeoPanamax",ABQ62,AAC62="Suezmax",ABJ62,AAC62="Capesize",ABC62,AAC62="VLOC",AAV62)))))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E62" s="136" t="e">
        <f t="array" aca="1" ref="AEE62" ca="1">INDEX(Canals!$T$24:$T$29,MATCH(2,1/((Canals!$F$24:$F$29&lt;=$C62)*(Canals!$G$24:$G$29=_xlfn.IFS(AAC62="Handysize",Main!ACL62,AAC62="Supramax",ACE62,AAC62="Panamax",ABX62,AAC62="NeoPanamax",ABQ62,AAC62="Suezmax",ABJ62,AAC62="Capesize",ABC62,AAC62="VLOC",AAV62)))))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F62" s="136" t="e">
        <f t="array" aca="1" ref="AEF62" ca="1">INDEX(Canals!$U$24:$U$29,MATCH(2,1/((Canals!$F$24:$F$29&lt;=$C62)*(Canals!$G$24:$G$29=_xlfn.IFS(AAC62="Handysize",Main!ACL62,AAC62="Supramax",ACE62,AAC62="Panamax",ABX62,AAC62="NeoPanamax",ABQ62,AAC62="Suezmax",ABJ62,AAC62="Capesize",ABC62,AAC62="VLOC",AAV62)))))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G62" s="136" t="e">
        <f t="array" aca="1" ref="AEG62" ca="1">INDEX(Canals!$V$24:$V$29,MATCH(2,1/((Canals!$F$24:$F$29&lt;=$C62)*(Canals!$G$24:$G$29=_xlfn.IFS(AAC62="Handysize",Main!ACL62,AAC62="Supramax",ACE62,AAC62="Panamax",ABX62,AAC62="NeoPanamax",ABQ62,AAC62="Suezmax",ABJ62,AAC62="Capesize",ABC62,AAC62="VLOC",AAV62)))))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H62" s="136" t="e">
        <f t="array" aca="1" ref="AEH62" ca="1">INDEX(Canals!$W$24:$W$29,MATCH(2,1/((Canals!$F$24:$F$29&lt;=$C62)*(Canals!$G$24:$G$29=_xlfn.IFS(AAC62="Handysize",Main!ACL62,AAC62="Supramax",ACE62,AAC62="Panamax",ABX62,AAC62="NeoPanamax",ABQ62,AAC62="Suezmax",ABJ62,AAC62="Capesize",ABC62,AAC62="VLOC",AAV62)))))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I62" s="136" t="e">
        <f t="array" aca="1" ref="AEI62" ca="1">INDEX(Canals!$X$24:$X$29,MATCH(2,1/((Canals!$F$24:$F$29&lt;=$C62)*(Canals!$G$24:$G$29=_xlfn.IFS(AAC62="Handysize",Main!ACL62,AAC62="Supramax",ACE62,AAC62="Panamax",ABX62,AAC62="NeoPanamax",ABQ62,AAC62="Suezmax",ABJ62,AAC62="Capesize",ABC62,AAC62="VLOC",AAV62)))))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J62" s="136" t="e">
        <f t="array" aca="1" ref="AEJ62" ca="1">INDEX(Canals!$Y$24:$Y$29,MATCH(2,1/((Canals!$F$24:$F$29&lt;=$C62)*(Canals!$G$24:$G$29=_xlfn.IFS(AAC62="Handysize",Main!ACL62,AAC62="Supramax",ACE62,AAC62="Panamax",ABX62,AAC62="NeoPanamax",ABQ62,AAC62="Suezmax",ABJ62,AAC62="Capesize",ABC62,AAC62="VLOC",AAV62)))))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K62" s="136" t="e">
        <f t="array" aca="1" ref="AEK62" ca="1">INDEX(Canals!$Z$24:$Z$29,MATCH(2,1/((Canals!$F$24:$F$29&lt;=$C62)*(Canals!$G$24:$G$29=_xlfn.IFS(AAC62="Handysize",Main!ACL62,AAC62="Supramax",ACE62,AAC62="Panamax",ABX62,AAC62="NeoPanamax",ABQ62,AAC62="Suezmax",ABJ62,AAC62="Capesize",ABC62,AAC62="VLOC",AAV62)))))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L62" s="136" t="e">
        <f t="array" aca="1" ref="AEL62" ca="1">INDEX(Canals!$AA$24:$AA$29,MATCH(2,1/((Canals!$F$24:$F$29&lt;=$C62)*(Canals!$G$24:$G$29=_xlfn.IFS(AAC62="Handysize",Main!ACL62,AAC62="Supramax",ACE62,AAC62="Panamax",ABX62,AAC62="NeoPanamax",ABQ62,AAC62="Suezmax",ABJ62,AAC62="Capesize",ABC62,AAC62="VLOC",AAV62)))))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M62" s="136" t="e">
        <f t="array" aca="1" ref="AEM62" ca="1">INDEX(Canals!$AB$24:$AB$29,MATCH(2,1/((Canals!$F$24:$F$29&lt;=$C62)*(Canals!$G$24:$G$29=_xlfn.IFS(AAC62="Handysize",Main!ACL62,AAC62="Supramax",ACE62,AAC62="Panamax",ABX62,AAC62="NeoPanamax",ABQ62,AAC62="Suezmax",ABJ62,AAC62="Capesize",ABC62,AAC62="VLOC",AAV62)))))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N62" s="75" t="e">
        <f t="array" aca="1" ref="AEN62" ca="1">INDEX(Canals!$AC$24:$AC$29,MATCH(2,1/((Canals!$F$24:$F$29&lt;=$C62)*(Canals!$G$24:$G$29=_xlfn.IFS(AAC62="Handysize",Main!ACL62,AAC62="Supramax",ACE62,AAC62="Panamax",ABX62,AAC62="NeoPanamax",ABQ62,AAC62="Suezmax",ABJ62,AAC62="Capesize",ABC62,AAC62="VLOC",AAV62)))))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O62" s="75" t="e">
        <f t="array" aca="1" ref="AEO62" ca="1">INDEX(Canals!$AD$24:$AD$29,MATCH(2,1/((Canals!$F$24:$F$29&lt;=$C62)*(Canals!$G$24:$G$29=_xlfn.IFS(AAC62="Handysize",Main!ACL62,AAC62="Supramax",ACE62,AAC62="Panamax",ABX62,AAC62="NeoPanamax",ABQ62,AAC62="Suezmax",ABJ62,AAC62="Capesize",ABC62,AAC62="VLOC",AAV62)))))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P62" s="75" t="e">
        <f t="array" aca="1" ref="AEP62" ca="1">INDEX(Canals!$AE$24:$AE$29,MATCH(2,1/((Canals!$F$24:$F$29&lt;=$C62)*(Canals!$G$24:$G$29=_xlfn.IFS(AAC62="Handysize",Main!ACL62,AAC62="Supramax",ACE62,AAC62="Panamax",ABX62,AAC62="NeoPanamax",ABQ62,AAC62="Suezmax",ABJ62,AAC62="Capesize",ABC62,AAC62="VLOC",AAV62)))))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Q62" s="75" t="e">
        <f t="array" aca="1" ref="AEQ62" ca="1">INDEX(Canals!$AF$24:$AF$29,MATCH(2,1/((Canals!$F$24:$F$29&lt;=$C62)*(Canals!$G$24:$G$29=_xlfn.IFS(AAC62="Handysize",Main!ACL62,AAC62="Supramax",ACE62,AAC62="Panamax",ABX62,AAC62="NeoPanamax",ABQ62,AAC62="Suezmax",ABJ62,AAC62="Capesize",ABC62,AAC62="VLOC",AAV62)))))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R62" s="75" t="e">
        <f t="array" aca="1" ref="AER62" ca="1">INDEX(Canals!$AG$24:$AG$29,MATCH(2,1/((Canals!$F$24:$F$29&lt;=$C62)*(Canals!$G$24:$G$29=_xlfn.IFS(AAC62="Handysize",Main!ACL62,AAC62="Supramax",ACE62,AAC62="Panamax",ABX62,AAC62="NeoPanamax",ABQ62,AAC62="Suezmax",ABJ62,AAC62="Capesize",ABC62,AAC62="VLOC",AAV62)))))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S62" s="75" t="e">
        <f t="array" aca="1" ref="AES62" ca="1">INDEX(Canals!$AH$24:$AH$29,MATCH(2,1/((Canals!$F$24:$F$29&lt;=$C62)*(Canals!$G$24:$G$29=_xlfn.IFS(AAC62="Handysize",Main!ACL62,AAC62="Supramax",ACE62,AAC62="Panamax",ABX62,AAC62="NeoPanamax",ABQ62,AAC62="Suezmax",ABJ62,AAC62="Capesize",ABC62,AAC62="VLOC",AAV62)))))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T62" s="75" t="e">
        <f t="array" aca="1" ref="AET62" ca="1">INDEX(Canals!$AI$24:$AI$29,MATCH(2,1/((Canals!$F$24:$F$29&lt;=$C62)*(Canals!$G$24:$G$29=_xlfn.IFS(AAC62="Handysize",Main!ACL62,AAC62="Supramax",ACE62,AAC62="Panamax",ABX62,AAC62="NeoPanamax",ABQ62,AAC62="Suezmax",ABJ62,AAC62="Capesize",ABC62,AAC62="VLOC",AAV62)))))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U62" s="75" t="e">
        <f t="array" aca="1" ref="AEU62" ca="1">INDEX(Canals!$AJ$24:$AJ$29,MATCH(2,1/((Canals!$F$24:$F$29&lt;=$C62)*(Canals!$G$24:$G$29=_xlfn.IFS(AAC62="Handysize",Main!ACL62,AAC62="Supramax",ACE62,AAC62="Panamax",ABX62,AAC62="NeoPanamax",ABQ62,AAC62="Suezmax",ABJ62,AAC62="Capesize",ABC62,AAC62="VLOC",AAV62)))))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V62" s="75" t="e">
        <f t="array" aca="1" ref="AEV62" ca="1">INDEX(Canals!$AK$24:$AK$29,MATCH(2,1/((Canals!$F$24:$F$29&lt;=$C62)*(Canals!$G$24:$G$29=_xlfn.IFS(AAC62="Handysize",Main!ACL62,AAC62="Supramax",ACE62,AAC62="Panamax",ABX62,AAC62="NeoPanamax",ABQ62,AAC62="Suezmax",ABJ62,AAC62="Capesize",ABC62,AAC62="VLOC",AAV62)))))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W62" s="136" t="e">
        <f t="array" aca="1" ref="AEW62" ca="1">INDEX(Canals!$AL$24:$AL$29,MATCH(2,1/((Canals!$F$24:$F$29&lt;=$C62)*(Canals!$G$24:$G$29=_xlfn.IFS(AAC62="Handysize",Main!ACL62,AAC62="Supramax",ACE62,AAC62="Panamax",ABX62,AAC62="NeoPanamax",ABQ62,AAC62="Suezmax",ABJ62,AAC62="Capesize",ABC62,AAC62="VLOC",AAV62)))))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X62" s="136" t="e">
        <f t="array" aca="1" ref="AEX62" ca="1">INDEX(Canals!$AM$24:$AM$29,MATCH(2,1/((Canals!$F$24:$F$29&lt;=$C62)*(Canals!$G$24:$G$29=_xlfn.IFS(AAC62="Handysize",Main!ACL62,AAC62="Supramax",ACE62,AAC62="Panamax",ABX62,AAC62="NeoPanamax",ABQ62,AAC62="Suezmax",ABJ62,AAC62="Capesize",ABC62,AAC62="VLOC",AAV62)))))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Y62" s="136" t="e">
        <f t="array" aca="1" ref="AEY62" ca="1">INDEX(Canals!$AN$24:$AN$29,MATCH(2,1/((Canals!$F$24:$F$29&lt;=$C62)*(Canals!$G$24:$G$29=_xlfn.IFS(AAC62="Handysize",Main!ACL62,AAC62="Supramax",ACE62,AAC62="Panamax",ABX62,AAC62="NeoPanamax",ABQ62,AAC62="Suezmax",ABJ62,AAC62="Capesize",ABC62,AAC62="VLOC",AAV62)))))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EZ62" s="136" t="e">
        <f t="array" aca="1" ref="AEZ62" ca="1">INDEX(Canals!$AO$24:$AO$29,MATCH(2,1/((Canals!$F$24:$F$29&lt;=$C62)*(Canals!$G$24:$G$29=_xlfn.IFS(AAC62="Handysize",Main!ACL62,AAC62="Supramax",ACE62,AAC62="Panamax",ABX62,AAC62="NeoPanamax",ABQ62,AAC62="Suezmax",ABJ62,AAC62="Capesize",ABC62,AAC62="VLOC",AAV62)))))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A62" s="136" t="e">
        <f t="array" aca="1" ref="AFA62" ca="1">INDEX(Canals!$AP$24:$AP$29,MATCH(2,1/((Canals!$F$24:$F$29&lt;=$C62)*(Canals!$G$24:$G$29=_xlfn.IFS(AAC62="Handysize",Main!ACL62,AAC62="Supramax",ACE62,AAC62="Panamax",ABX62,AAC62="NeoPanamax",ABQ62,AAC62="Suezmax",ABJ62,AAC62="Capesize",ABC62,AAC62="VLOC",AAV62)))))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B62" s="136" t="e">
        <f t="array" aca="1" ref="AFB62" ca="1">INDEX(Canals!$AQ$24:$AQ$29,MATCH(2,1/((Canals!$F$24:$F$29&lt;=$C62)*(Canals!$G$24:$G$29=_xlfn.IFS(AAC62="Handysize",Main!ACL62,AAC62="Supramax",ACE62,AAC62="Panamax",ABX62,AAC62="NeoPanamax",ABQ62,AAC62="Suezmax",ABJ62,AAC62="Capesize",ABC62,AAC62="VLOC",AAV62)))))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C62" s="136" t="e">
        <f t="array" aca="1" ref="AFC62" ca="1">INDEX(Canals!$AR$24:$AR$29,MATCH(2,1/((Canals!$F$24:$F$29&lt;=$C62)*(Canals!$G$24:$G$29=_xlfn.IFS(AAC62="Handysize",Main!ACL62,AAC62="Supramax",ACE62,AAC62="Panamax",ABX62,AAC62="NeoPanamax",ABQ62,AAC62="Suezmax",ABJ62,AAC62="Capesize",ABC62,AAC62="VLOC",AAV62)))))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D62" s="136" t="e">
        <f t="array" aca="1" ref="AFD62" ca="1">INDEX(Canals!$AS$24:$AS$29,MATCH(2,1/((Canals!$F$24:$F$29&lt;=$C62)*(Canals!$G$24:$G$29=_xlfn.IFS(AAC62="Handysize",Main!ACL62,AAC62="Supramax",ACE62,AAC62="Panamax",ABX62,AAC62="NeoPanamax",ABQ62,AAC62="Suezmax",ABJ62,AAC62="Capesize",ABC62,AAC62="VLOC",AAV62)))))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E62" s="136" t="e">
        <f t="array" aca="1" ref="AFE62" ca="1">INDEX(Canals!$AT$24:$AT$29,MATCH(2,1/((Canals!$F$24:$F$29&lt;=$C62)*(Canals!$G$24:$G$29=_xlfn.IFS(AAC62="Handysize",Main!ACL62,AAC62="Supramax",ACE62,AAC62="Panamax",ABX62,AAC62="NeoPanamax",ABQ62,AAC62="Suezmax",ABJ62,AAC62="Capesize",ABC62,AAC62="VLOC",AAV62)))))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F62" s="136" t="e">
        <f t="array" aca="1" ref="AFF62" ca="1">INDEX(Canals!$AU$24:$AU$29,MATCH(2,1/((Canals!$F$24:$F$29&lt;=$C62)*(Canals!$G$24:$G$29=_xlfn.IFS(AAC62="Handysize",Main!ACL62,AAC62="Supramax",ACE62,AAC62="Panamax",ABX62,AAC62="NeoPanamax",ABQ62,AAC62="Suezmax",ABJ62,AAC62="Capesize",ABC62,AAC62="VLOC",AAV62)))))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G62" s="136" t="e">
        <f t="array" aca="1" ref="AFG62" ca="1">INDEX(Canals!$AV$24:$AV$29,MATCH(2,1/((Canals!$F$24:$F$29&lt;=$C62)*(Canals!$G$24:$G$29=_xlfn.IFS(AAC62="Handysize",Main!ACL62,AAC62="Supramax",ACE62,AAC62="Panamax",ABX62,AAC62="NeoPanamax",ABQ62,AAC62="Suezmax",ABJ62,AAC62="Capesize",ABC62,AAC62="VLOC",AAV62)))))</f>
        <v>#N/A</v>
      </c>
      <c r="AFI62" s="75" t="e">
        <f t="array" aca="1" ref="AFI62" ca="1">_xlfn.IFS(ADT62="DWT",AAA62,ADT62="NRT",AAE62,ADT62="GRT",AAF62)</f>
        <v>#NAME?</v>
      </c>
      <c r="AFJ62" s="279" t="e">
        <f t="shared" ca="1" si="508"/>
        <v>#NAME?</v>
      </c>
      <c r="AFK62" s="280" t="e">
        <f t="shared" ca="1" si="509"/>
        <v>#NAME?</v>
      </c>
      <c r="AFL62" s="280" t="e">
        <f t="shared" ca="1" si="510"/>
        <v>#NAME?</v>
      </c>
      <c r="AFM62" s="280" t="e">
        <f t="shared" ca="1" si="511"/>
        <v>#NAME?</v>
      </c>
      <c r="AFN62" s="280" t="e">
        <f t="shared" ca="1" si="512"/>
        <v>#NAME?</v>
      </c>
      <c r="AFO62" s="280" t="e">
        <f t="shared" ca="1" si="513"/>
        <v>#NAME?</v>
      </c>
      <c r="AFP62" s="280" t="e">
        <f t="shared" ca="1" si="514"/>
        <v>#NAME?</v>
      </c>
      <c r="AFQ62" s="280" t="e">
        <f t="shared" ca="1" si="515"/>
        <v>#NAME?</v>
      </c>
      <c r="AFR62" s="280" t="e">
        <f t="shared" ca="1" si="516"/>
        <v>#NAME?</v>
      </c>
      <c r="AFS62" s="75">
        <f t="shared" si="517"/>
        <v>50537.634408602156</v>
      </c>
      <c r="AFT62" s="279" t="e">
        <f t="shared" ca="1" si="518"/>
        <v>#N/A</v>
      </c>
      <c r="AFU62" s="280" t="e">
        <f t="shared" ca="1" si="519"/>
        <v>#N/A</v>
      </c>
      <c r="AFV62" s="280" t="e">
        <f t="shared" ca="1" si="520"/>
        <v>#N/A</v>
      </c>
      <c r="AFW62" s="280" t="e">
        <f t="shared" ca="1" si="521"/>
        <v>#N/A</v>
      </c>
      <c r="AFX62" s="280" t="e">
        <f t="shared" ca="1" si="522"/>
        <v>#N/A</v>
      </c>
      <c r="AFY62" s="280" t="e">
        <f t="shared" ca="1" si="523"/>
        <v>#N/A</v>
      </c>
      <c r="AFZ62" s="280" t="e">
        <f t="shared" ca="1" si="524"/>
        <v>#N/A</v>
      </c>
      <c r="AGA62" s="280" t="e">
        <f t="shared" ca="1" si="525"/>
        <v>#N/A</v>
      </c>
      <c r="AGB62" s="280" t="e">
        <f t="shared" ca="1" si="526"/>
        <v>#N/A</v>
      </c>
      <c r="AGD62" s="75" t="e">
        <f t="array" aca="1" ref="AGD62" ca="1">_xlfn.IFS(AAC62="Handysize",Main!ACF62,AAC62="Supramax",ABY62,AAC62="Panamax",ABR62,AAC62="NeoPanamax",ABK62,AAC62="Suezmax",ABD62,AAC62="Capesize",AAW62,AAC62="VLOC",AAP62)*$JI62</f>
        <v>#NAME?</v>
      </c>
      <c r="AGE62" s="274" t="e">
        <f t="array" aca="1" ref="AGE62" ca="1">_xlfn.IFS(AAC62="Handysize",Main!ACG62,AAC62="Supramax",ABZ62,AAC62="Panamax",ABS62,AAC62="NeoPanamax",ABL62,AAC62="Suezmax",ABE62,AAC62="Capesize",AAX62,AAC62="VLOC",AAQ62)*$JI62</f>
        <v>#NAME?</v>
      </c>
      <c r="AGF62" s="71" t="e">
        <f t="array" aca="1" ref="AGF62" ca="1">_xlfn.IFS(AAC62="Handysize",Main!AAH62,AAC62="Supramax",AAI62,AAC62="Panamax",AAJ62,AAC62="NeoPanamax",AAK62,AAC62="Suezmax",AAL62,AAC62="Capesize",AAM62,AAC62="VLOC",AAN62)</f>
        <v>#NAME?</v>
      </c>
      <c r="AGG62" s="71" t="e">
        <f t="array" aca="1" ref="AGG62" ca="1">_xlfn.IFS(AAC62="Handysize",Main!ACT62,AAC62="Supramax",ACU62,AAC62="Panamax",ACV62,AAC62="NeoPanamax",ACW62,AAC62="Suezmax",ACX62,AAC62="Capesize",ACY62,AAC62="VLOC",ACZ62)</f>
        <v>#NAME?</v>
      </c>
      <c r="AGH62" s="70">
        <f t="array" ref="AGH62">INDEX('Ship Speeds'!$G$11:$G$1011,MATCH(2,1/(('Ship Speeds'!$E$11:$E$1011&lt;=Main!$C62)*('Ship Speeds'!$F$11:$F$1011=Main!AAB62))))</f>
        <v>11</v>
      </c>
      <c r="AGI62" s="403">
        <f t="shared" si="527"/>
        <v>16.429258650870889</v>
      </c>
      <c r="AGJ62" s="401">
        <f t="shared" si="528"/>
        <v>1.7535814722911498</v>
      </c>
      <c r="AGK62" s="70" t="e">
        <f t="shared" ca="1" si="529"/>
        <v>#NAME?</v>
      </c>
      <c r="AGL62" s="70" t="e">
        <f t="shared" ca="1" si="530"/>
        <v>#NAME?</v>
      </c>
      <c r="AGM62" s="70" t="e">
        <f t="shared" ca="1" si="531"/>
        <v>#NAME?</v>
      </c>
      <c r="AGN62" s="70" t="e">
        <f t="shared" ca="1" si="532"/>
        <v>#NAME?</v>
      </c>
      <c r="AGO62" s="72" t="e">
        <f t="shared" ca="1" si="533"/>
        <v>#N/A</v>
      </c>
      <c r="AGP62" s="70" t="e">
        <f t="shared" ca="1" si="534"/>
        <v>#NAME?</v>
      </c>
      <c r="AGQ62" s="70" t="e">
        <f t="array" aca="1" ref="AGQ62" ca="1">INDEX(ACN62:ACR62,MATCH(_xlfn.IFS(AAC62="Handysize",Main!ACJ62,AAC62="Supramax",ACC62,AAC62="Panamax",ABV62,AAC62="NeoPanamax",ABO62,AAC62="Suezmax",ABH62,AAC62="Capesize",ABA62,AAC62="VLOC",AAT62),$ACN$7:$ACR$7,0))</f>
        <v>#NAME?</v>
      </c>
      <c r="AGR62" s="70" t="e">
        <f t="array" aca="1" ref="AGR62" ca="1">INDEX(ACN62:ACR62,MATCH(_xlfn.IFS(AAC62="Handysize",Main!ACK62,AAC62="Supramax",ACD62,AAC62="Panamax",ABW62,AAC62="NeoPanamax",ABP62,AAC62="Suezmax",ABI62,AAC62="Capesize",ABB62,AAC62="VLOC",AAU62),$ACN$7:$ACR$7,0))</f>
        <v>#NAME?</v>
      </c>
      <c r="AGS62" s="71" t="e">
        <f t="shared" ca="1" si="535"/>
        <v>#NAME?</v>
      </c>
      <c r="AGT62" s="71" t="e">
        <f t="shared" ca="1" si="536"/>
        <v>#NAME?</v>
      </c>
      <c r="AGU62" s="281">
        <f t="shared" si="537"/>
        <v>7.0834199999999994</v>
      </c>
      <c r="AGV62" s="71">
        <f t="shared" si="538"/>
        <v>1742.3786814843679</v>
      </c>
      <c r="AGW62" s="71" t="e">
        <f t="shared" ca="1" si="539"/>
        <v>#NAME?</v>
      </c>
      <c r="AGX62" s="71" t="e">
        <f t="shared" ca="1" si="540"/>
        <v>#NAME?</v>
      </c>
      <c r="AGY62" s="71">
        <f t="shared" si="541"/>
        <v>18835.443167101443</v>
      </c>
      <c r="AGZ62" s="71" t="e">
        <f t="shared" ca="1" si="542"/>
        <v>#NAME?</v>
      </c>
      <c r="AHA62" s="71" t="e">
        <f t="shared" ca="1" si="543"/>
        <v>#NAME?</v>
      </c>
      <c r="AHB62" s="71">
        <f t="shared" si="544"/>
        <v>13372.154823017681</v>
      </c>
      <c r="AHC62" s="71" t="e">
        <f t="shared" ca="1" si="545"/>
        <v>#NAME?</v>
      </c>
      <c r="AHD62" s="71" t="e">
        <f t="shared" ca="1" si="546"/>
        <v>#NAME?</v>
      </c>
      <c r="AHE62" s="71">
        <f t="shared" si="547"/>
        <v>0</v>
      </c>
      <c r="AHF62" s="71" t="e">
        <f t="shared" ca="1" si="548"/>
        <v>#NAME?</v>
      </c>
      <c r="AHG62" s="71" t="e">
        <f t="shared" ca="1" si="549"/>
        <v>#NAME?</v>
      </c>
      <c r="AHH62" s="72">
        <f t="shared" si="550"/>
        <v>5315.8929173247843</v>
      </c>
      <c r="AHI62" s="72" t="e">
        <f t="shared" ca="1" si="551"/>
        <v>#NAME?</v>
      </c>
      <c r="AHJ62" s="71" t="e">
        <f t="shared" ca="1" si="552"/>
        <v>#NAME?</v>
      </c>
      <c r="AHK62" s="71" t="e">
        <f t="array" aca="1" ref="AHK62" ca="1">INDEX('Ship Time Charter Rates'!$H$22:$H$1021,MATCH(2,1/(('Ship Time Charter Rates'!$G$22:$G$1021=_xlfn.IFS(AAC62="Handysize",Main!ACH62,AAC62="Supramax",ACA62,AAC62="Panamax",ABT62,AAC62="NeoPanamax",ABM62,AAC62="Suezmax",ABF62,AAC62="Capesize",AAY62,AAC62="VLOC",AAR62))*('Ship Time Charter Rates'!$E$22:$E$1021&lt;=Main!$C62)*(NOT(ISBLANK('Ship Time Charter Rates'!$H$22:$H$1021))))))</f>
        <v>#N/A</v>
      </c>
      <c r="AHL62" s="71" t="e">
        <f t="shared" ca="1" si="553"/>
        <v>#NAME?</v>
      </c>
      <c r="AHM62" s="70" t="e">
        <f t="shared" ca="1" si="554"/>
        <v>#N/A</v>
      </c>
      <c r="AHN62" s="71" t="e">
        <f t="shared" ca="1" si="555"/>
        <v>#NAME?</v>
      </c>
      <c r="AHO62" s="71" t="e">
        <f t="shared" ca="1" si="556"/>
        <v>#NAME?</v>
      </c>
      <c r="AHP62" s="72" t="e">
        <f t="shared" ca="1" si="557"/>
        <v>#NAME?</v>
      </c>
      <c r="AHR62" s="25">
        <f t="shared" si="673"/>
        <v>0</v>
      </c>
      <c r="AHS62" s="4" t="str">
        <f>VLOOKUP(AHR62,'Ship Time Charter Rates'!$F$10:$G$17,2,TRUE)</f>
        <v>Handysize</v>
      </c>
      <c r="AHT62" s="4" t="str">
        <f>VLOOKUP(AHR62,Canals!$E$5:$F$12,2,TRUE)</f>
        <v>Handysize</v>
      </c>
      <c r="AHU62" s="25">
        <f t="shared" si="558"/>
        <v>145.88999999999999</v>
      </c>
      <c r="AHV62" s="25">
        <f t="shared" si="559"/>
        <v>0</v>
      </c>
      <c r="AHW62" s="25">
        <f t="shared" si="560"/>
        <v>4797</v>
      </c>
      <c r="AHY62" s="75">
        <f t="array" ref="AHY62">INDEX('Indices Mines Exporting Ports'!$R$20:$R$51,MATCH(2,1/(('Indices Mines Exporting Ports'!$D$20:$D$51&lt;=Main!$C62)*('Indices Mines Exporting Ports'!$Q$20:$Q$51=$AQ62))))</f>
        <v>0</v>
      </c>
      <c r="AHZ62" s="75">
        <f t="array" ref="AHZ62">INDEX('Indices Mines Exporting Ports'!$S$20:$S$51,MATCH(2,1/(('Indices Mines Exporting Ports'!$D$20:$D$51&lt;=Main!$C62)*('Indices Mines Exporting Ports'!$Q$20:$Q$51=$AQ62))))</f>
        <v>0</v>
      </c>
      <c r="AIA62" s="75">
        <f t="array" ref="AIA62">INDEX('Indices Mines Exporting Ports'!$T$20:$T$51,MATCH(2,1/(('Indices Mines Exporting Ports'!$D$20:$D$51&lt;=Main!$C62)*('Indices Mines Exporting Ports'!$Q$20:$Q$51=$AQ62))))</f>
        <v>0</v>
      </c>
      <c r="AIB62" s="75">
        <f t="array" ref="AIB62">INDEX('Indices Mines Exporting Ports'!$U$20:$U$51,MATCH(2,1/(('Indices Mines Exporting Ports'!$D$20:$D$51&lt;=Main!$C62)*('Indices Mines Exporting Ports'!$Q$20:$Q$51=$AQ62))))</f>
        <v>0</v>
      </c>
      <c r="AIC62" s="75">
        <f t="array" ref="AIC62">INDEX('Indices Mines Exporting Ports'!$V$20:$V$51,MATCH(2,1/(('Indices Mines Exporting Ports'!$D$20:$D$51&lt;=Main!$C62)*('Indices Mines Exporting Ports'!$Q$20:$Q$51=$AQ62))))</f>
        <v>0</v>
      </c>
      <c r="AID62" s="75">
        <f t="array" ref="AID62">INDEX('Indices Mines Exporting Ports'!$W$20:$W$51,MATCH(2,1/(('Indices Mines Exporting Ports'!$D$20:$D$51&lt;=Main!$C62)*('Indices Mines Exporting Ports'!$Q$20:$Q$51=$AQ62))))</f>
        <v>0</v>
      </c>
      <c r="AIE62" s="75">
        <f t="array" ref="AIE62">INDEX('Indices Mines Exporting Ports'!$X$20:$X$51,MATCH(2,1/(('Indices Mines Exporting Ports'!$D$20:$D$51&lt;=Main!$C62)*('Indices Mines Exporting Ports'!$Q$20:$Q$51=$AQ62))))</f>
        <v>0</v>
      </c>
      <c r="AIG62" s="75">
        <f t="array" ref="AIG62">INDEX('Port Linkages'!$E$18:$E$157,MATCH(2,1/(('Port Linkages'!$C$18:$C$157=$AQ62)*('Port Linkages'!$D$18:$D$157=IF($AO62="no",$AQ62,$KK62))*('Port Linkages'!$A$18:$A$157&lt;=$C62))))</f>
        <v>0</v>
      </c>
      <c r="AIH62" s="75">
        <f t="array" ref="AIH62">INDEX('Port Linkages'!$F$18:$F$157,MATCH(2,1/(('Port Linkages'!$C$18:$C$157=$AQ62)*('Port Linkages'!$D$18:$D$157=IF($AO62="no",$AQ62,$KK62))*('Port Linkages'!$A$18:$A$157&lt;=$C62))))</f>
        <v>0</v>
      </c>
      <c r="AII62" s="75">
        <f t="array" ref="AII62">INDEX('Port Linkages'!$G$18:$G$157,MATCH(2,1/(('Port Linkages'!$C$18:$C$157=$AQ62)*('Port Linkages'!$D$18:$D$157=IF($AO62="no",$AQ62,$KK62))*('Port Linkages'!$A$18:$A$157&lt;=$C62))))</f>
        <v>0</v>
      </c>
      <c r="AIJ62" s="75">
        <f t="array" ref="AIJ62">INDEX('Port Linkages'!$H$18:$H$157,MATCH(2,1/(('Port Linkages'!$C$18:$C$157=$AQ62)*('Port Linkages'!$D$18:$D$157=IF($AO62="no",$AQ62,$KK62))*('Port Linkages'!$A$18:$A$157&lt;=$C62))))</f>
        <v>0</v>
      </c>
      <c r="AIK62" s="75">
        <f t="array" ref="AIK62">INDEX('Port Linkages'!$I$18:$I$157,MATCH(2,1/(('Port Linkages'!$C$18:$C$157=$AQ62)*('Port Linkages'!$D$18:$D$157=IF($AO62="no",$AQ62,$KK62))*('Port Linkages'!$A$18:$A$157&lt;=$C62))))</f>
        <v>0</v>
      </c>
      <c r="AIL62" s="75">
        <f t="array" ref="AIL62">INDEX('Port Linkages'!$J$18:$J$157,MATCH(2,1/(('Port Linkages'!$C$18:$C$157=$AQ62)*('Port Linkages'!$D$18:$D$157=IF($AO62="no",$AQ62,$KK62))*('Port Linkages'!$A$18:$A$157&lt;=$C62))))</f>
        <v>0</v>
      </c>
      <c r="AIM62" s="75">
        <f t="array" ref="AIM62">INDEX('Port Linkages'!$K$18:$K$157,MATCH(2,1/(('Port Linkages'!$C$18:$C$157=$AQ62)*('Port Linkages'!$D$18:$D$157=IF($AO62="no",$AQ62,$KK62))*('Port Linkages'!$A$18:$A$157&lt;=$C62))))</f>
        <v>0</v>
      </c>
      <c r="AIN62" s="75">
        <f t="array" ref="AIN62">INDEX('Port Linkages'!$L$18:$L$157,MATCH(2,1/(('Port Linkages'!$C$18:$C$157=$AQ62)*('Port Linkages'!$D$18:$D$157=IF($AO62="no",$AQ62,$KK62))*('Port Linkages'!$A$18:$A$157&lt;=$C62))))</f>
        <v>0</v>
      </c>
      <c r="AIO62" s="75">
        <f t="array" ref="AIO62">INDEX('Port Linkages'!$M$18:$M$157,MATCH(2,1/(('Port Linkages'!$C$18:$C$157=$AQ62)*('Port Linkages'!$D$18:$D$157=IF($AO62="no",$AQ62,$KK62))*('Port Linkages'!$A$18:$A$157&lt;=$C62))))</f>
        <v>0</v>
      </c>
      <c r="AIP62" s="75">
        <f t="array" ref="AIP62">INDEX('Port Linkages'!$N$18:$N$157,MATCH(2,1/(('Port Linkages'!$C$18:$C$157=$AQ62)*('Port Linkages'!$D$18:$D$157=IF($AO62="no",$AQ62,$KK62))*('Port Linkages'!$A$18:$A$157&lt;=$C62))))</f>
        <v>0</v>
      </c>
      <c r="AIQ62" s="75">
        <f t="array" ref="AIQ62">INDEX('Port Linkages'!$O$18:$O$157,MATCH(2,1/(('Port Linkages'!$C$18:$C$157=$AQ62)*('Port Linkages'!$D$18:$D$157=IF($AO62="no",$AQ62,$KK62))*('Port Linkages'!$A$18:$A$157&lt;=$C62))))</f>
        <v>0</v>
      </c>
      <c r="AIR62" s="75">
        <f t="array" ref="AIR62">INDEX('Port Linkages'!$P$18:$P$157,MATCH(2,1/(('Port Linkages'!$C$18:$C$157=$AQ62)*('Port Linkages'!$D$18:$D$157=IF($AO62="no",$AQ62,$KK62))*('Port Linkages'!$A$18:$A$157&lt;=$C62))))</f>
        <v>0</v>
      </c>
      <c r="AIS62" s="75">
        <f t="array" ref="AIS62">INDEX('Port Linkages'!$Q$18:$Q$157,MATCH(2,1/(('Port Linkages'!$C$18:$C$157=$AQ62)*('Port Linkages'!$D$18:$D$157=IF($AO62="no",$AQ62,$KK62))*('Port Linkages'!$A$18:$A$157&lt;=$C62))))</f>
        <v>0</v>
      </c>
      <c r="AIT62" s="75">
        <f t="array" ref="AIT62">INDEX('Port Linkages'!$R$18:$R$157,MATCH(2,1/(('Port Linkages'!$C$18:$C$157=$AQ62)*('Port Linkages'!$D$18:$D$157=IF($AO62="no",$AQ62,$KK62))*('Port Linkages'!$A$18:$A$157&lt;=$C62))))</f>
        <v>0</v>
      </c>
      <c r="AIU62" s="75">
        <f t="array" ref="AIU62">INDEX('Port Linkages'!$S$18:$S$157,MATCH(2,1/(('Port Linkages'!$C$18:$C$157=$AQ62)*('Port Linkages'!$D$18:$D$157=IF($AO62="no",$AQ62,$KK62))*('Port Linkages'!$A$18:$A$157&lt;=$C62))))</f>
        <v>0</v>
      </c>
      <c r="AIV62" s="75">
        <f t="array" ref="AIV62">INDEX('Port Linkages'!$T$18:$T$157,MATCH(2,1/(('Port Linkages'!$C$18:$C$157=$AQ62)*('Port Linkages'!$D$18:$D$157=IF($AO62="no",$AQ62,$KK62))*('Port Linkages'!$A$18:$A$157&lt;=$C62))))</f>
        <v>0</v>
      </c>
      <c r="AIW62" s="75">
        <f t="array" ref="AIW62">INDEX('Port Linkages'!$U$18:$U$157,MATCH(2,1/(('Port Linkages'!$C$18:$C$157=$AQ62)*('Port Linkages'!$D$18:$D$157=IF($AO62="no",$AQ62,$KK62))*('Port Linkages'!$A$18:$A$157&lt;=$C62))))</f>
        <v>0</v>
      </c>
      <c r="AIX62" s="75">
        <f t="array" ref="AIX62">INDEX('Port Linkages'!$V$18:$V$157,MATCH(2,1/(('Port Linkages'!$C$18:$C$157=$AQ62)*('Port Linkages'!$D$18:$D$157=IF($AO62="no",$AQ62,$KK62))*('Port Linkages'!$A$18:$A$157&lt;=$C62))))</f>
        <v>0</v>
      </c>
      <c r="AIY62" s="75">
        <f t="array" ref="AIY62">INDEX('Port Linkages'!$W$18:$W$157,MATCH(2,1/(('Port Linkages'!$C$18:$C$157=$AQ62)*('Port Linkages'!$D$18:$D$157=IF($AO62="no",$AQ62,$KK62))*('Port Linkages'!$A$18:$A$157&lt;=$C62))))</f>
        <v>0</v>
      </c>
      <c r="AIZ62" s="75">
        <f t="array" ref="AIZ62">INDEX('Port Linkages'!$X$18:$X$157,MATCH(2,1/(('Port Linkages'!$C$18:$C$157=$AQ62)*('Port Linkages'!$D$18:$D$157=IF($AO62="no",$AQ62,$KK62))*('Port Linkages'!$A$18:$A$157&lt;=$C62))))</f>
        <v>0</v>
      </c>
      <c r="AJA62" s="75">
        <f t="array" ref="AJA62">INDEX('Port Linkages'!$Y$18:$Y$157,MATCH(2,1/(('Port Linkages'!$C$18:$C$157=$AQ62)*('Port Linkages'!$D$18:$D$157=IF($AO62="no",$AQ62,$KK62))*('Port Linkages'!$A$18:$A$157&lt;=$C62))))</f>
        <v>0</v>
      </c>
      <c r="AJB62" s="75">
        <f t="array" ref="AJB62">INDEX('Port Linkages'!$Z$18:$Z$157,MATCH(2,1/(('Port Linkages'!$C$18:$C$157=$AQ62)*('Port Linkages'!$D$18:$D$157=IF($AO62="no",$AQ62,$KK62))*('Port Linkages'!$A$18:$A$157&lt;=$C62))))</f>
        <v>0</v>
      </c>
      <c r="AJC62" s="75">
        <f t="array" ref="AJC62">INDEX('Port Linkages'!$AA$18:$AA$157,MATCH(2,1/(('Port Linkages'!$C$18:$C$157=$AQ62)*('Port Linkages'!$D$18:$D$157=IF($AO62="no",$AQ62,$KK62))*('Port Linkages'!$A$18:$A$157&lt;=$C62))))</f>
        <v>0</v>
      </c>
      <c r="AJD62" s="75">
        <f t="array" ref="AJD62">INDEX('Port Linkages'!$AB$18:$AB$157,MATCH(2,1/(('Port Linkages'!$C$18:$C$157=$AQ62)*('Port Linkages'!$D$18:$D$157=IF($AO62="no",$AQ62,$KK62))*('Port Linkages'!$A$18:$A$157&lt;=$C62))))</f>
        <v>0</v>
      </c>
      <c r="AJE62" s="75">
        <f t="array" ref="AJE62">INDEX('Port Linkages'!$AC$18:$AC$157,MATCH(2,1/(('Port Linkages'!$C$18:$C$157=$AQ62)*('Port Linkages'!$D$18:$D$157=IF($AO62="no",$AQ62,$KK62))*('Port Linkages'!$A$18:$A$157&lt;=$C62))))</f>
        <v>0</v>
      </c>
      <c r="AJF62" s="75">
        <f t="array" ref="AJF62">INDEX('Port Linkages'!$AD$18:$AD$157,MATCH(2,1/(('Port Linkages'!$C$18:$C$157=$AQ62)*('Port Linkages'!$D$18:$D$157=IF($AO62="no",$AQ62,$KK62))*('Port Linkages'!$A$18:$A$157&lt;=$C62))))</f>
        <v>0</v>
      </c>
      <c r="AJG62" s="75">
        <f t="array" ref="AJG62">INDEX('Port Linkages'!$AE$18:$AE$157,MATCH(2,1/(('Port Linkages'!$C$18:$C$157=$AQ62)*('Port Linkages'!$D$18:$D$157=IF($AO62="no",$AQ62,$KK62))*('Port Linkages'!$A$18:$A$157&lt;=$C62))))</f>
        <v>0</v>
      </c>
      <c r="AJH62" s="75">
        <f t="array" ref="AJH62">INDEX('Port Linkages'!$AF$18:$AF$157,MATCH(2,1/(('Port Linkages'!$C$18:$C$157=$AQ62)*('Port Linkages'!$D$18:$D$157=IF($AO62="no",$AQ62,$KK62))*('Port Linkages'!$A$18:$A$157&lt;=$C62))))</f>
        <v>0</v>
      </c>
      <c r="AJI62" s="75">
        <f t="array" ref="AJI62">INDEX('Port Linkages'!$AG$18:$AG$157,MATCH(2,1/(('Port Linkages'!$C$18:$C$157=$AQ62)*('Port Linkages'!$D$18:$D$157=IF($AO62="no",$AQ62,$KK62))*('Port Linkages'!$A$18:$A$157&lt;=$C62))))</f>
        <v>0</v>
      </c>
      <c r="AJJ62" s="75">
        <f t="array" ref="AJJ62">INDEX('Port Linkages'!$AH$18:$AH$157,MATCH(2,1/(('Port Linkages'!$C$18:$C$157=$AQ62)*('Port Linkages'!$D$18:$D$157=IF($AO62="no",$AQ62,$KK62))*('Port Linkages'!$A$18:$A$157&lt;=$C62))))</f>
        <v>0</v>
      </c>
      <c r="AJK62" s="75">
        <f t="array" ref="AJK62">INDEX('Port Linkages'!$AI$18:$AI$157,MATCH(2,1/(('Port Linkages'!$C$18:$C$157=$AQ62)*('Port Linkages'!$D$18:$D$157=IF($AO62="no",$AQ62,$KK62))*('Port Linkages'!$A$18:$A$157&lt;=$C62))))</f>
        <v>0</v>
      </c>
      <c r="AJL62" s="75">
        <f t="array" ref="AJL62">INDEX('Port Linkages'!$AJ$18:$AJ$157,MATCH(2,1/(('Port Linkages'!$C$18:$C$157=$AQ62)*('Port Linkages'!$D$18:$D$157=IF($AO62="no",$AQ62,$KK62))*('Port Linkages'!$A$18:$A$157&lt;=$C62))))</f>
        <v>0</v>
      </c>
      <c r="AJM62" s="75">
        <f t="array" ref="AJM62">INDEX('Port Linkages'!$AK$18:$AK$157,MATCH(2,1/(('Port Linkages'!$C$18:$C$157=$AQ62)*('Port Linkages'!$D$18:$D$157=IF($AO62="no",$AQ62,$KK62))*('Port Linkages'!$A$18:$A$157&lt;=$C62))))</f>
        <v>0</v>
      </c>
      <c r="AJN62" s="75">
        <f t="array" ref="AJN62">INDEX('Port Linkages'!$AL$18:$AL$157,MATCH(2,1/(('Port Linkages'!$C$18:$C$157=$AQ62)*('Port Linkages'!$D$18:$D$157=IF($AO62="no",$AQ62,$KK62))*('Port Linkages'!$A$18:$A$157&lt;=$C62))))</f>
        <v>0</v>
      </c>
      <c r="AJO62" s="75">
        <f t="array" ref="AJO62">INDEX('Port Linkages'!$AM$18:$AM$157,MATCH(2,1/(('Port Linkages'!$C$18:$C$157=$AQ62)*('Port Linkages'!$D$18:$D$157=IF($AO62="no",$AQ62,$KK62))*('Port Linkages'!$A$18:$A$157&lt;=$C62))))</f>
        <v>0</v>
      </c>
      <c r="AJP62" s="75">
        <f t="array" ref="AJP62">INDEX('Port Linkages'!$AN$18:$AN$157,MATCH(2,1/(('Port Linkages'!$C$18:$C$157=$AQ62)*('Port Linkages'!$D$18:$D$157=IF($AO62="no",$AQ62,$KK62))*('Port Linkages'!$A$18:$A$157&lt;=$C62))))</f>
        <v>0</v>
      </c>
      <c r="AJQ62" s="75">
        <f t="array" ref="AJQ62">INDEX('Port Linkages'!$AO$18:$AO$157,MATCH(2,1/(('Port Linkages'!$C$18:$C$157=$AQ62)*('Port Linkages'!$D$18:$D$157=IF($AO62="no",$AQ62,$KK62))*('Port Linkages'!$A$18:$A$157&lt;=$C62))))</f>
        <v>0</v>
      </c>
      <c r="AJR62" s="75">
        <f t="array" ref="AJR62">INDEX('Port Linkages'!$AP$18:$AP$157,MATCH(2,1/(('Port Linkages'!$C$18:$C$157=$AQ62)*('Port Linkages'!$D$18:$D$157=IF($AO62="no",$AQ62,$KK62))*('Port Linkages'!$A$18:$A$157&lt;=$C62))))</f>
        <v>0</v>
      </c>
      <c r="AJS62" s="75">
        <f t="array" ref="AJS62">INDEX('Port Linkages'!$AQ$18:$AQ$157,MATCH(2,1/(('Port Linkages'!$C$18:$C$157=$AQ62)*('Port Linkages'!$D$18:$D$157=IF($AO62="no",$AQ62,$KK62))*('Port Linkages'!$A$18:$A$157&lt;=$C62))))</f>
        <v>0</v>
      </c>
      <c r="AJT62" s="75">
        <f t="array" ref="AJT62">INDEX('Port Linkages'!$AR$18:$AR$157,MATCH(2,1/(('Port Linkages'!$C$18:$C$157=$AQ62)*('Port Linkages'!$D$18:$D$157=IF($AO62="no",$AQ62,$KK62))*('Port Linkages'!$A$18:$A$157&lt;=$C62))))</f>
        <v>0</v>
      </c>
      <c r="AJU62" s="75">
        <f t="array" ref="AJU62">INDEX('Port Linkages'!$AS$18:$AS$157,MATCH(2,1/(('Port Linkages'!$C$18:$C$157=$AQ62)*('Port Linkages'!$D$18:$D$157=IF($AO62="no",$AQ62,$KK62))*('Port Linkages'!$A$18:$A$157&lt;=$C62))))</f>
        <v>0</v>
      </c>
      <c r="AJV62" s="75">
        <f t="array" ref="AJV62">INDEX('Port Linkages'!$AT$18:$AT$157,MATCH(2,1/(('Port Linkages'!$C$18:$C$157=$AQ62)*('Port Linkages'!$D$18:$D$157=IF($AO62="no",$AQ62,$KK62))*('Port Linkages'!$A$18:$A$157&lt;=$C62))))</f>
        <v>0</v>
      </c>
      <c r="AJW62" s="75">
        <f t="array" ref="AJW62">INDEX('Port Linkages'!$AU$18:$AU$157,MATCH(2,1/(('Port Linkages'!$C$18:$C$157=$AQ62)*('Port Linkages'!$D$18:$D$157=IF($AO62="no",$AQ62,$KK62))*('Port Linkages'!$A$18:$A$157&lt;=$C62))))</f>
        <v>0</v>
      </c>
      <c r="AJX62" s="75">
        <f t="array" ref="AJX62">INDEX('Port Linkages'!$AV$18:$AV$157,MATCH(2,1/(('Port Linkages'!$C$18:$C$157=$AQ62)*('Port Linkages'!$D$18:$D$157=IF($AO62="no",$AQ62,$KK62))*('Port Linkages'!$A$18:$A$157&lt;=$C62))))</f>
        <v>0</v>
      </c>
      <c r="AJY62" s="75">
        <f t="array" ref="AJY62">INDEX('Port Linkages'!$AW$18:$AW$157,MATCH(2,1/(('Port Linkages'!$C$18:$C$157=$AQ62)*('Port Linkages'!$D$18:$D$157=IF($AO62="no",$AQ62,$KK62))*('Port Linkages'!$A$18:$A$157&lt;=$C62))))</f>
        <v>0</v>
      </c>
      <c r="AJZ62" s="75">
        <f t="array" ref="AJZ62">INDEX('Port Linkages'!$AX$18:$AX$157,MATCH(2,1/(('Port Linkages'!$C$18:$C$157=$AQ62)*('Port Linkages'!$D$18:$D$157=IF($AO62="no",$AQ62,$KK62))*('Port Linkages'!$A$18:$A$157&lt;=$C62))))</f>
        <v>0</v>
      </c>
      <c r="AKA62" s="75">
        <f t="array" ref="AKA62">INDEX('Port Linkages'!$AY$18:$AY$157,MATCH(2,1/(('Port Linkages'!$C$18:$C$157=$AQ62)*('Port Linkages'!$D$18:$D$157=IF($AO62="no",$AQ62,$KK62))*('Port Linkages'!$A$18:$A$157&lt;=$C62))))</f>
        <v>0</v>
      </c>
      <c r="AKB62" s="75">
        <f t="array" ref="AKB62">INDEX('Port Linkages'!$AZ$18:$AZ$157,MATCH(2,1/(('Port Linkages'!$C$18:$C$157=$AQ62)*('Port Linkages'!$D$18:$D$157=IF($AO62="no",$AQ62,$KK62))*('Port Linkages'!$A$18:$A$157&lt;=$C62))))</f>
        <v>0</v>
      </c>
      <c r="AKC62" s="75">
        <f t="array" ref="AKC62">INDEX('Port Linkages'!$BA$18:$BA$157,MATCH(2,1/(('Port Linkages'!$C$18:$C$157=$AQ62)*('Port Linkages'!$D$18:$D$157=IF($AO62="no",$AQ62,$KK62))*('Port Linkages'!$A$18:$A$157&lt;=$C62))))</f>
        <v>0</v>
      </c>
      <c r="AKE62" s="25" t="e">
        <f t="array" aca="1" ref="AKE62" ca="1">INDEX('Ship Fuel Prices'!$F$5:$F$1004,MATCH(2,1/(('Ship Fuel Prices'!$E$5:$E$1004=_xlfn.IFS(AHT62="Handysize",Main!AJZ62,AHT62="Supramax",AJS62,AHT62="Panamax",AJL62,AHT62="NeoPanamax",AJE62,AHT62="Suezmax",AIX62,AHT62="Capesize",AIQ62,AHT62="VLOC",AIJ62))*('Ship Fuel Prices'!$D$5:$D$1004&lt;=Main!$C62))))</f>
        <v>#N/A</v>
      </c>
      <c r="AKF62" s="25" t="e">
        <f t="array" aca="1" ref="AKF62" ca="1">INDEX('Ship Fuel Prices'!$G$5:$G$1004,MATCH(2,1/(('Ship Fuel Prices'!$E$5:$E$1004=_xlfn.IFS(AHT62="Handysize",Main!AJZ62,AHT62="Supramax",AJS62,AHT62="Panamax",AJL62,AHT62="NeoPanamax",AJE62,AHT62="Suezmax",AIX62,AHT62="Capesize",AIQ62,AHT62="VLOC",AIJ62))*('Ship Fuel Prices'!$D$5:$D$1004&lt;=Main!$C62))))</f>
        <v>#N/A</v>
      </c>
      <c r="AKG62" s="25" t="e">
        <f t="array" aca="1" ref="AKG62" ca="1">INDEX('Ship Fuel Prices'!$H$5:$H$1004,MATCH(2,1/(('Ship Fuel Prices'!$E$5:$E$1004=_xlfn.IFS(AHT62="Handysize",Main!AJZ62,AHT62="Supramax",AJS62,AHT62="Panamax",AJL62,AHT62="NeoPanamax",AJE62,AHT62="Suezmax",AIX62,AHT62="Capesize",AIQ62,AHT62="VLOC",AIJ62))*('Ship Fuel Prices'!$D$5:$D$1004&lt;=Main!$C62))))</f>
        <v>#N/A</v>
      </c>
      <c r="AKH62" s="25" t="e">
        <f t="array" aca="1" ref="AKH62" ca="1">INDEX('Ship Fuel Prices'!$I$5:$I$1004,MATCH(2,1/(('Ship Fuel Prices'!$E$5:$E$1004=_xlfn.IFS(AHT62="Handysize",Main!AJZ62,AHT62="Supramax",AJS62,AHT62="Panamax",AJL62,AHT62="NeoPanamax",AJE62,AHT62="Suezmax",AIX62,AHT62="Capesize",AIQ62,AHT62="VLOC",AIJ62))*('Ship Fuel Prices'!$D$5:$D$1004&lt;=Main!$C62))))</f>
        <v>#N/A</v>
      </c>
      <c r="AKI62" s="25" t="e">
        <f t="array" aca="1" ref="AKI62" ca="1">INDEX('Ship Fuel Prices'!$J$5:$J$1004,MATCH(2,1/(('Ship Fuel Prices'!$E$5:$E$1004=_xlfn.IFS(AHT62="Handysize",Main!AJZ62,AHT62="Supramax",AJS62,AHT62="Panamax",AJL62,AHT62="NeoPanamax",AJE62,AHT62="Suezmax",AIX62,AHT62="Capesize",AIQ62,AHT62="VLOC",AIJ62))*('Ship Fuel Prices'!$D$5:$D$1004&lt;=Main!$C62))))</f>
        <v>#N/A</v>
      </c>
      <c r="AKK62" s="75">
        <f t="array" ref="AKK62">INDEX('China n Importing Ports'!$E$20:$E$41,MATCH(2,1/(('China n Importing Ports'!$D$20:$D$41&lt;=$C62)*('China n Importing Ports'!$C$20:$C$41=IF($AO62="No",$AQ62,$KK62)))))</f>
        <v>0</v>
      </c>
      <c r="AKL62" s="75">
        <f t="array" ref="AKL62">INDEX('China n Importing Ports'!$F$20:$F$41,MATCH(2,1/(('China n Importing Ports'!$D$20:$D$41&lt;=$C62)*('China n Importing Ports'!$C$20:$C$41=IF($AO62="No",$AQ62,$KK62)))))</f>
        <v>0</v>
      </c>
      <c r="AKM62" s="75">
        <f t="array" ref="AKM62">INDEX('China n Importing Ports'!$G$20:$G$41,MATCH(2,1/(('China n Importing Ports'!$D$20:$D$41&lt;=$C62)*('China n Importing Ports'!$C$20:$C$41=IF($AO62="No",$AQ62,$KK62)))))</f>
        <v>0</v>
      </c>
      <c r="AKN62" s="75">
        <f t="array" ref="AKN62">INDEX('China n Importing Ports'!$H$20:$H$41,MATCH(2,1/(('China n Importing Ports'!$D$20:$D$41&lt;=$C62)*('China n Importing Ports'!$C$20:$C$41=IF($AO62="No",$AQ62,$KK62)))))</f>
        <v>0</v>
      </c>
      <c r="AKO62" s="75">
        <f t="array" ref="AKO62">INDEX('China n Importing Ports'!$I$20:$I$41,MATCH(2,1/(('China n Importing Ports'!$D$20:$D$41&lt;=$C62)*('China n Importing Ports'!$C$20:$C$41=IF($AO62="No",$AQ62,$KK62)))))</f>
        <v>0</v>
      </c>
      <c r="AKP62" s="75">
        <f t="array" ref="AKP62">INDEX('China n Importing Ports'!$J$20:$J$41,MATCH(2,1/(('China n Importing Ports'!$D$20:$D$41&lt;=$C62)*('China n Importing Ports'!$C$20:$C$41=IF($AO62="No",$AQ62,$KK62)))))</f>
        <v>0</v>
      </c>
      <c r="AKQ62" s="75">
        <f t="array" ref="AKQ62">INDEX('China n Importing Ports'!$K$20:$K$41,MATCH(2,1/(('China n Importing Ports'!$D$20:$D$41&lt;=$C62)*('China n Importing Ports'!$C$20:$C$41=IF($AO62="No",$AQ62,$KK62)))))</f>
        <v>0</v>
      </c>
      <c r="AKR62" s="75">
        <f t="array" ref="AKR62">INDEX('China n Importing Ports'!$L$20:$L$41,MATCH(2,1/(('China n Importing Ports'!$D$20:$D$41&lt;=$C62)*('China n Importing Ports'!$C$20:$C$41=IF($AO62="No",$AQ62,$KK62)))))</f>
        <v>0</v>
      </c>
      <c r="AKS62" s="75">
        <f t="array" ref="AKS62">INDEX('China n Importing Ports'!$M$20:$M$41,MATCH(2,1/(('China n Importing Ports'!$D$20:$D$41&lt;=$C62)*('China n Importing Ports'!$C$20:$C$41=IF($AO62="No",$AQ62,$KK62)))))</f>
        <v>0</v>
      </c>
      <c r="AKT62" s="75">
        <f t="array" ref="AKT62">INDEX('China n Importing Ports'!$N$20:$N$41,MATCH(2,1/(('China n Importing Ports'!$D$20:$D$41&lt;=$C62)*('China n Importing Ports'!$C$20:$C$41=IF($AO62="No",$AQ62,$KK62)))))</f>
        <v>0</v>
      </c>
      <c r="AKU62" s="75">
        <f t="array" ref="AKU62">INDEX('China n Importing Ports'!$O$20:$O$41,MATCH(2,1/(('China n Importing Ports'!$D$20:$D$41&lt;=$C62)*('China n Importing Ports'!$C$20:$C$41=IF($AO62="No",$AQ62,$KK62)))))</f>
        <v>0</v>
      </c>
      <c r="AKV62" s="136">
        <f t="array" ref="AKV62">INDEX('China n Importing Ports'!$P$20:$P$41,MATCH(2,1/(('China n Importing Ports'!$D$20:$D$41&lt;=$C62)*('China n Importing Ports'!$C$20:$C$41=IF($AO62="No",$AQ62,$KK62)))))</f>
        <v>0</v>
      </c>
      <c r="AKW62" s="136">
        <f t="array" ref="AKW62">INDEX('China n Importing Ports'!$Q$20:$Q$41,MATCH(2,1/(('China n Importing Ports'!$D$20:$D$41&lt;=$C62)*('China n Importing Ports'!$C$20:$C$41=IF($AO62="No",$AQ62,$KK62)))))</f>
        <v>0</v>
      </c>
      <c r="AKX62" s="136">
        <f t="array" ref="AKX62">INDEX('China n Importing Ports'!$R$20:$R$41,MATCH(2,1/(('China n Importing Ports'!$D$20:$D$41&lt;=$C62)*('China n Importing Ports'!$C$20:$C$41=IF($AO62="No",$AQ62,$KK62)))))</f>
        <v>0</v>
      </c>
      <c r="AKY62" s="136">
        <f t="array" ref="AKY62">INDEX('China n Importing Ports'!$S$20:$S$41,MATCH(2,1/(('China n Importing Ports'!$D$20:$D$41&lt;=$C62)*('China n Importing Ports'!$C$20:$C$41=IF($AO62="No",$AQ62,$KK62)))))</f>
        <v>0</v>
      </c>
      <c r="AKZ62" s="136">
        <f t="array" ref="AKZ62">INDEX('China n Importing Ports'!$T$20:$T$41,MATCH(2,1/(('China n Importing Ports'!$D$20:$D$41&lt;=$C62)*('China n Importing Ports'!$C$20:$C$41=IF($AO62="No",$AQ62,$KK62)))))</f>
        <v>0</v>
      </c>
      <c r="ALA62" s="136">
        <f t="array" ref="ALA62">INDEX('China n Importing Ports'!$U$20:$U$41,MATCH(2,1/(('China n Importing Ports'!$D$20:$D$41&lt;=$C62)*('China n Importing Ports'!$C$20:$C$41=IF($AO62="No",$AQ62,$KK62)))))</f>
        <v>0</v>
      </c>
      <c r="ALB62" s="136">
        <f t="array" ref="ALB62">INDEX('China n Importing Ports'!$V$20:$V$41,MATCH(2,1/(('China n Importing Ports'!$D$20:$D$41&lt;=$C62)*('China n Importing Ports'!$C$20:$C$41=IF($AO62="No",$AQ62,$KK62)))))</f>
        <v>0</v>
      </c>
      <c r="ALC62" s="136">
        <f t="array" ref="ALC62">INDEX('China n Importing Ports'!$W$20:$W$41,MATCH(2,1/(('China n Importing Ports'!$D$20:$D$41&lt;=$C62)*('China n Importing Ports'!$C$20:$C$41=IF($AO62="No",$AQ62,$KK62)))))</f>
        <v>0</v>
      </c>
      <c r="ALD62" s="136">
        <f t="array" ref="ALD62">INDEX('China n Importing Ports'!$X$20:$X$41,MATCH(2,1/(('China n Importing Ports'!$D$20:$D$41&lt;=$C62)*('China n Importing Ports'!$C$20:$C$41=IF($AO62="No",$AQ62,$KK62)))))</f>
        <v>0</v>
      </c>
      <c r="ALE62" s="136">
        <f t="array" ref="ALE62">INDEX('China n Importing Ports'!$Y$20:$Y$41,MATCH(2,1/(('China n Importing Ports'!$D$20:$D$41&lt;=$C62)*('China n Importing Ports'!$C$20:$C$41=IF($AO62="No",$AQ62,$KK62)))))</f>
        <v>0</v>
      </c>
      <c r="ALF62" s="136">
        <f t="array" ref="ALF62">INDEX('China n Importing Ports'!$Z$20:$Z$41,MATCH(2,1/(('China n Importing Ports'!$D$20:$D$41&lt;=$C62)*('China n Importing Ports'!$C$20:$C$41=IF($AO62="No",$AQ62,$KK62)))))</f>
        <v>0</v>
      </c>
      <c r="ALG62" s="136">
        <f t="array" ref="ALG62">INDEX('China n Importing Ports'!$AA$20:$AA$41,MATCH(2,1/(('China n Importing Ports'!$D$20:$D$41&lt;=$C62)*('China n Importing Ports'!$C$20:$C$41=IF($AO62="No",$AQ62,$KK62)))))</f>
        <v>0</v>
      </c>
      <c r="ALI62" s="75" t="e">
        <f t="array" aca="1" ref="ALI62" ca="1">INDEX(Canals!$G$24:$G$29,MATCH(2,1/((Canals!$F$24:$F$29&lt;=$C62)*(Canals!$G$24:$G$29=_xlfn.IFS(AHT62="Handysize",AKC62,AHT62="Supramax",AJV62,AHT62="Panamax",AJO62,AHT62="NeoPanamax",AJH62,AHT62="Suezmax",AJA62,AHT62="Capesize",AIT62,AHT62="VLOC",AIM62)))))</f>
        <v>#N/A</v>
      </c>
      <c r="ALJ62" s="75" t="e">
        <f t="array" aca="1" ref="ALJ62" ca="1">INDEX(Canals!$H$24:$H$29,MATCH(2,1/((Canals!$F$24:$F$29&lt;=$C62)*(Canals!$G$24:$G$29=_xlfn.IFS(AHT62="Handysize",AKC62,AHT62="Supramax",AJV62,AHT62="Panamax",AJO62,AHT62="NeoPanamax",AJH62,AHT62="Suezmax",AJA62,AHT62="Capesize",AIT62,AHT62="VLOC",AIM62)))))</f>
        <v>#N/A</v>
      </c>
      <c r="ALK62" s="75" t="e">
        <f t="array" aca="1" ref="ALK62" ca="1">INDEX(Canals!$I$24:$I$29,MATCH(2,1/((Canals!$F$24:$F$29&lt;=$C62)*(Canals!$G$24:$G$29=_xlfn.IFS(AHT62="Handysize",AKC62,AHT62="Supramax",AJV62,AHT62="Panamax",AJO62,AHT62="NeoPanamax",AJH62,AHT62="Suezmax",AJA62,AHT62="Capesize",AIT62,AHT62="VLOC",AIM62)))))</f>
        <v>#N/A</v>
      </c>
      <c r="ALL62" s="75" t="e">
        <f t="array" aca="1" ref="ALL62" ca="1">INDEX(Canals!$J$24:$J$29,MATCH(2,1/((Canals!$F$24:$F$29&lt;=$C62)*(Canals!$G$24:$G$29=_xlfn.IFS(AHT62="Handysize",Main!AKC62,AHT62="Supramax",AJV62,AHT62="Panamax",AJO62,AHT62="NeoPanamax",AJH62,AHT62="Suezmax",AJA62,AHT62="Capesize",AIT62,AHT62="VLOC",AIM62)))))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M62" s="75" t="e">
        <f t="array" aca="1" ref="ALM62" ca="1">INDEX(Canals!$K$24:$K$29,MATCH(2,1/((Canals!$F$24:$F$29&lt;=$C62)*(Canals!$G$24:$G$29=_xlfn.IFS(AHT62="Handysize",Main!AKC62,AHT62="Supramax",AJV62,AHT62="Panamax",AJO62,AHT62="NeoPanamax",AJH62,AHT62="Suezmax",AJA62,AHT62="Capesize",AIT62,AHT62="VLOC",AIM62)))))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N62" s="75" t="e">
        <f t="array" aca="1" ref="ALN62" ca="1">INDEX(Canals!$L$24:$L$29,MATCH(2,1/((Canals!$F$24:$F$29&lt;=$C62)*(Canals!$G$24:$G$29=_xlfn.IFS(AHT62="Handysize",Main!AKC62,AHT62="Supramax",AJV62,AHT62="Panamax",AJO62,AHT62="NeoPanamax",AJH62,AHT62="Suezmax",AJA62,AHT62="Capesize",AIT62,AHT62="VLOC",AIM62)))))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O62" s="75" t="e">
        <f t="array" aca="1" ref="ALO62" ca="1">INDEX(Canals!$M$24:$M$29,MATCH(2,1/((Canals!$F$24:$F$29&lt;=$C62)*(Canals!$G$24:$G$29=_xlfn.IFS(AHT62="Handysize",Main!AKC62,AHT62="Supramax",AJV62,AHT62="Panamax",AJO62,AHT62="NeoPanamax",AJH62,AHT62="Suezmax",AJA62,AHT62="Capesize",AIT62,AHT62="VLOC",AIM62)))))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P62" s="75" t="e">
        <f t="array" aca="1" ref="ALP62" ca="1">INDEX(Canals!$N$24:$N$29,MATCH(2,1/((Canals!$F$24:$F$29&lt;=$C62)*(Canals!$G$24:$G$29=_xlfn.IFS(AHT62="Handysize",Main!AKC62,AHT62="Supramax",AJV62,AHT62="Panamax",AJO62,AHT62="NeoPanamax",AJH62,AHT62="Suezmax",AJA62,AHT62="Capesize",AIT62,AHT62="VLOC",AIM62)))))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Q62" s="75" t="e">
        <f t="array" aca="1" ref="ALQ62" ca="1">INDEX(Canals!$O$24:$O$29,MATCH(2,1/((Canals!$F$24:$F$29&lt;=$C62)*(Canals!$G$24:$G$29=_xlfn.IFS(AHT62="Handysize",Main!AKC62,AHT62="Supramax",AJV62,AHT62="Panamax",AJO62,AHT62="NeoPanamax",AJH62,AHT62="Suezmax",AJA62,AHT62="Capesize",AIT62,AHT62="VLOC",AIM62)))))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R62" s="75" t="e">
        <f t="array" aca="1" ref="ALR62" ca="1">INDEX(Canals!$P$24:$P$29,MATCH(2,1/((Canals!$F$24:$F$29&lt;=$C62)*(Canals!$G$24:$G$29=_xlfn.IFS(AHT62="Handysize",Main!AKC62,AHT62="Supramax",AJV62,AHT62="Panamax",AJO62,AHT62="NeoPanamax",AJH62,AHT62="Suezmax",AJA62,AHT62="Capesize",AIT62,AHT62="VLOC",AIM62)))))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S62" s="75" t="e">
        <f t="array" aca="1" ref="ALS62" ca="1">INDEX(Canals!$Q$24:$Q$29,MATCH(2,1/((Canals!$F$24:$F$29&lt;=$C62)*(Canals!$G$24:$G$29=_xlfn.IFS(AHT62="Handysize",Main!AKC62,AHT62="Supramax",AJV62,AHT62="Panamax",AJO62,AHT62="NeoPanamax",AJH62,AHT62="Suezmax",AJA62,AHT62="Capesize",AIT62,AHT62="VLOC",AIM62)))))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T62" s="75" t="e">
        <f t="array" aca="1" ref="ALT62" ca="1">INDEX(Canals!$R$24:$R$29,MATCH(2,1/((Canals!$F$24:$F$29&lt;=$C62)*(Canals!$G$24:$G$29=_xlfn.IFS(AHT62="Handysize",Main!AKC62,AHT62="Supramax",AJV62,AHT62="Panamax",AJO62,AHT62="NeoPanamax",AJH62,AHT62="Suezmax",AJA62,AHT62="Capesize",AIT62,AHT62="VLOC",AIM62)))))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U62" s="136" t="e">
        <f t="array" aca="1" ref="ALU62" ca="1">INDEX(Canals!$S$24:$S$29,MATCH(2,1/((Canals!$F$24:$F$29&lt;=$C62)*(Canals!$G$24:$G$29=_xlfn.IFS(AHT62="Handysize",Main!AKC62,AHT62="Supramax",AJV62,AHT62="Panamax",AJO62,AHT62="NeoPanamax",AJH62,AHT62="Suezmax",AJA62,AHT62="Capesize",AIT62,AHT62="VLOC",AIM62)))))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V62" s="136" t="e">
        <f t="array" aca="1" ref="ALV62" ca="1">INDEX(Canals!$T$24:$T$29,MATCH(2,1/((Canals!$F$24:$F$29&lt;=$C62)*(Canals!$G$24:$G$29=_xlfn.IFS(AHT62="Handysize",Main!AKC62,AHT62="Supramax",AJV62,AHT62="Panamax",AJO62,AHT62="NeoPanamax",AJH62,AHT62="Suezmax",AJA62,AHT62="Capesize",AIT62,AHT62="VLOC",AIM62)))))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W62" s="136" t="e">
        <f t="array" aca="1" ref="ALW62" ca="1">INDEX(Canals!$U$24:$U$29,MATCH(2,1/((Canals!$F$24:$F$29&lt;=$C62)*(Canals!$G$24:$G$29=_xlfn.IFS(AHT62="Handysize",Main!AKC62,AHT62="Supramax",AJV62,AHT62="Panamax",AJO62,AHT62="NeoPanamax",AJH62,AHT62="Suezmax",AJA62,AHT62="Capesize",AIT62,AHT62="VLOC",AIM62)))))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X62" s="136" t="e">
        <f t="array" aca="1" ref="ALX62" ca="1">INDEX(Canals!$V$24:$V$29,MATCH(2,1/((Canals!$F$24:$F$29&lt;=$C62)*(Canals!$G$24:$G$29=_xlfn.IFS(AHT62="Handysize",Main!AKC62,AHT62="Supramax",AJV62,AHT62="Panamax",AJO62,AHT62="NeoPanamax",AJH62,AHT62="Suezmax",AJA62,AHT62="Capesize",AIT62,AHT62="VLOC",AIM62)))))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Y62" s="136" t="e">
        <f t="array" aca="1" ref="ALY62" ca="1">INDEX(Canals!$W$24:$W$29,MATCH(2,1/((Canals!$F$24:$F$29&lt;=$C62)*(Canals!$G$24:$G$29=_xlfn.IFS(AHT62="Handysize",Main!AKC62,AHT62="Supramax",AJV62,AHT62="Panamax",AJO62,AHT62="NeoPanamax",AJH62,AHT62="Suezmax",AJA62,AHT62="Capesize",AIT62,AHT62="VLOC",AIM62)))))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LZ62" s="136" t="e">
        <f t="array" aca="1" ref="ALZ62" ca="1">INDEX(Canals!$X$24:$X$29,MATCH(2,1/((Canals!$F$24:$F$29&lt;=$C62)*(Canals!$G$24:$G$29=_xlfn.IFS(AHT62="Handysize",Main!AKC62,AHT62="Supramax",AJV62,AHT62="Panamax",AJO62,AHT62="NeoPanamax",AJH62,AHT62="Suezmax",AJA62,AHT62="Capesize",AIT62,AHT62="VLOC",AIM62)))))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A62" s="136" t="e">
        <f t="array" aca="1" ref="AMA62" ca="1">INDEX(Canals!$Y$24:$Y$29,MATCH(2,1/((Canals!$F$24:$F$29&lt;=$C62)*(Canals!$G$24:$G$29=_xlfn.IFS(AHT62="Handysize",Main!AKC62,AHT62="Supramax",AJV62,AHT62="Panamax",AJO62,AHT62="NeoPanamax",AJH62,AHT62="Suezmax",AJA62,AHT62="Capesize",AIT62,AHT62="VLOC",AIM62)))))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B62" s="136" t="e">
        <f t="array" aca="1" ref="AMB62" ca="1">INDEX(Canals!$Z$24:$Z$29,MATCH(2,1/((Canals!$F$24:$F$29&lt;=$C62)*(Canals!$G$24:$G$29=_xlfn.IFS(AHT62="Handysize",Main!AKC62,AHT62="Supramax",AJV62,AHT62="Panamax",AJO62,AHT62="NeoPanamax",AJH62,AHT62="Suezmax",AJA62,AHT62="Capesize",AIT62,AHT62="VLOC",AIM62)))))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C62" s="136" t="e">
        <f t="array" aca="1" ref="AMC62" ca="1">INDEX(Canals!$AA$24:$AA$29,MATCH(2,1/((Canals!$F$24:$F$29&lt;=$C62)*(Canals!$G$24:$G$29=_xlfn.IFS(AHT62="Handysize",Main!AKC62,AHT62="Supramax",AJV62,AHT62="Panamax",AJO62,AHT62="NeoPanamax",AJH62,AHT62="Suezmax",AJA62,AHT62="Capesize",AIT62,AHT62="VLOC",AIM62)))))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D62" s="136" t="e">
        <f t="array" aca="1" ref="AMD62" ca="1">INDEX(Canals!$AB$24:$AB$29,MATCH(2,1/((Canals!$F$24:$F$29&lt;=$C62)*(Canals!$G$24:$G$29=_xlfn.IFS(AHT62="Handysize",Main!AKC62,AHT62="Supramax",AJV62,AHT62="Panamax",AJO62,AHT62="NeoPanamax",AJH62,AHT62="Suezmax",AJA62,AHT62="Capesize",AIT62,AHT62="VLOC",AIM62)))))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E62" s="75" t="e">
        <f t="array" aca="1" ref="AME62" ca="1">INDEX(Canals!$AC$24:$AC$29,MATCH(2,1/((Canals!$F$24:$F$29&lt;=$C62)*(Canals!$G$24:$G$29=_xlfn.IFS(AHT62="Handysize",Main!AKC62,AHT62="Supramax",AJV62,AHT62="Panamax",AJO62,AHT62="NeoPanamax",AJH62,AHT62="Suezmax",AJA62,AHT62="Capesize",AIT62,AHT62="VLOC",AIM62)))))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F62" s="75" t="e">
        <f t="array" aca="1" ref="AMF62" ca="1">INDEX(Canals!$AD$24:$AD$29,MATCH(2,1/((Canals!$F$24:$F$29&lt;=$C62)*(Canals!$G$24:$G$29=_xlfn.IFS(AHT62="Handysize",Main!AKC62,AHT62="Supramax",AJV62,AHT62="Panamax",AJO62,AHT62="NeoPanamax",AJH62,AHT62="Suezmax",AJA62,AHT62="Capesize",AIT62,AHT62="VLOC",AIM62)))))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G62" s="75" t="e">
        <f t="array" aca="1" ref="AMG62" ca="1">INDEX(Canals!$AE$24:$AE$29,MATCH(2,1/((Canals!$F$24:$F$29&lt;=$C62)*(Canals!$G$24:$G$29=_xlfn.IFS(AHT62="Handysize",Main!AKC62,AHT62="Supramax",AJV62,AHT62="Panamax",AJO62,AHT62="NeoPanamax",AJH62,AHT62="Suezmax",AJA62,AHT62="Capesize",AIT62,AHT62="VLOC",AIM62)))))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H62" s="75" t="e">
        <f t="array" aca="1" ref="AMH62" ca="1">INDEX(Canals!$AF$24:$AF$29,MATCH(2,1/((Canals!$F$24:$F$29&lt;=$C62)*(Canals!$G$24:$G$29=_xlfn.IFS(AHT62="Handysize",Main!AKC62,AHT62="Supramax",AJV62,AHT62="Panamax",AJO62,AHT62="NeoPanamax",AJH62,AHT62="Suezmax",AJA62,AHT62="Capesize",AIT62,AHT62="VLOC",AIM62)))))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I62" s="75" t="e">
        <f t="array" aca="1" ref="AMI62" ca="1">INDEX(Canals!$AG$24:$AG$29,MATCH(2,1/((Canals!$F$24:$F$29&lt;=$C62)*(Canals!$G$24:$G$29=_xlfn.IFS(AHT62="Handysize",Main!AKC62,AHT62="Supramax",AJV62,AHT62="Panamax",AJO62,AHT62="NeoPanamax",AJH62,AHT62="Suezmax",AJA62,AHT62="Capesize",AIT62,AHT62="VLOC",AIM62)))))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J62" s="75" t="e">
        <f t="array" aca="1" ref="AMJ62" ca="1">INDEX(Canals!$AH$24:$AH$29,MATCH(2,1/((Canals!$F$24:$F$29&lt;=$C62)*(Canals!$G$24:$G$29=_xlfn.IFS(AHT62="Handysize",Main!AKC62,AHT62="Supramax",AJV62,AHT62="Panamax",AJO62,AHT62="NeoPanamax",AJH62,AHT62="Suezmax",AJA62,AHT62="Capesize",AIT62,AHT62="VLOC",AIM62)))))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K62" s="75" t="e">
        <f t="array" aca="1" ref="AMK62" ca="1">INDEX(Canals!$AI$24:$AI$29,MATCH(2,1/((Canals!$F$24:$F$29&lt;=$C62)*(Canals!$G$24:$G$29=_xlfn.IFS(AHT62="Handysize",Main!AKC62,AHT62="Supramax",AJV62,AHT62="Panamax",AJO62,AHT62="NeoPanamax",AJH62,AHT62="Suezmax",AJA62,AHT62="Capesize",AIT62,AHT62="VLOC",AIM62)))))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L62" s="75" t="e">
        <f t="array" aca="1" ref="AML62" ca="1">INDEX(Canals!$AJ$24:$AJ$29,MATCH(2,1/((Canals!$F$24:$F$29&lt;=$C62)*(Canals!$G$24:$G$29=_xlfn.IFS(AHT62="Handysize",Main!AKC62,AHT62="Supramax",AJV62,AHT62="Panamax",AJO62,AHT62="NeoPanamax",AJH62,AHT62="Suezmax",AJA62,AHT62="Capesize",AIT62,AHT62="VLOC",AIM62)))))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M62" s="75" t="e">
        <f t="array" aca="1" ref="AMM62" ca="1">INDEX(Canals!$AK$24:$AK$29,MATCH(2,1/((Canals!$F$24:$F$29&lt;=$C62)*(Canals!$G$24:$G$29=_xlfn.IFS(AHT62="Handysize",Main!AKC62,AHT62="Supramax",AJV62,AHT62="Panamax",AJO62,AHT62="NeoPanamax",AJH62,AHT62="Suezmax",AJA62,AHT62="Capesize",AIT62,AHT62="VLOC",AIM62)))))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N62" s="136" t="e">
        <f t="array" aca="1" ref="AMN62" ca="1">INDEX(Canals!$AL$24:$AL$29,MATCH(2,1/((Canals!$F$24:$F$29&lt;=$C62)*(Canals!$G$24:$G$29=_xlfn.IFS(AHT62="Handysize",Main!AKC62,AHT62="Supramax",AJV62,AHT62="Panamax",AJO62,AHT62="NeoPanamax",AJH62,AHT62="Suezmax",AJA62,AHT62="Capesize",AIT62,AHT62="VLOC",AIM62)))))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O62" s="136" t="e">
        <f t="array" aca="1" ref="AMO62" ca="1">INDEX(Canals!$AM$24:$AM$29,MATCH(2,1/((Canals!$F$24:$F$29&lt;=$C62)*(Canals!$G$24:$G$29=_xlfn.IFS(AHT62="Handysize",Main!AKC62,AHT62="Supramax",AJV62,AHT62="Panamax",AJO62,AHT62="NeoPanamax",AJH62,AHT62="Suezmax",AJA62,AHT62="Capesize",AIT62,AHT62="VLOC",AIM62)))))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P62" s="136" t="e">
        <f t="array" aca="1" ref="AMP62" ca="1">INDEX(Canals!$AN$24:$AN$29,MATCH(2,1/((Canals!$F$24:$F$29&lt;=$C62)*(Canals!$G$24:$G$29=_xlfn.IFS(AHT62="Handysize",Main!AKC62,AHT62="Supramax",AJV62,AHT62="Panamax",AJO62,AHT62="NeoPanamax",AJH62,AHT62="Suezmax",AJA62,AHT62="Capesize",AIT62,AHT62="VLOC",AIM62)))))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Q62" s="136" t="e">
        <f t="array" aca="1" ref="AMQ62" ca="1">INDEX(Canals!$AO$24:$AO$29,MATCH(2,1/((Canals!$F$24:$F$29&lt;=$C62)*(Canals!$G$24:$G$29=_xlfn.IFS(AHT62="Handysize",Main!AKC62,AHT62="Supramax",AJV62,AHT62="Panamax",AJO62,AHT62="NeoPanamax",AJH62,AHT62="Suezmax",AJA62,AHT62="Capesize",AIT62,AHT62="VLOC",AIM62)))))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R62" s="136" t="e">
        <f t="array" aca="1" ref="AMR62" ca="1">INDEX(Canals!$AP$24:$AP$29,MATCH(2,1/((Canals!$F$24:$F$29&lt;=$C62)*(Canals!$G$24:$G$29=_xlfn.IFS(AHT62="Handysize",Main!AKC62,AHT62="Supramax",AJV62,AHT62="Panamax",AJO62,AHT62="NeoPanamax",AJH62,AHT62="Suezmax",AJA62,AHT62="Capesize",AIT62,AHT62="VLOC",AIM62)))))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S62" s="136" t="e">
        <f t="array" aca="1" ref="AMS62" ca="1">INDEX(Canals!$AQ$24:$AQ$29,MATCH(2,1/((Canals!$F$24:$F$29&lt;=$C62)*(Canals!$G$24:$G$29=_xlfn.IFS(AHT62="Handysize",Main!AKC62,AHT62="Supramax",AJV62,AHT62="Panamax",AJO62,AHT62="NeoPanamax",AJH62,AHT62="Suezmax",AJA62,AHT62="Capesize",AIT62,AHT62="VLOC",AIM62)))))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T62" s="136" t="e">
        <f t="array" aca="1" ref="AMT62" ca="1">INDEX(Canals!$AR$24:$AR$29,MATCH(2,1/((Canals!$F$24:$F$29&lt;=$C62)*(Canals!$G$24:$G$29=_xlfn.IFS(AHT62="Handysize",Main!AKC62,AHT62="Supramax",AJV62,AHT62="Panamax",AJO62,AHT62="NeoPanamax",AJH62,AHT62="Suezmax",AJA62,AHT62="Capesize",AIT62,AHT62="VLOC",AIM62)))))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U62" s="136" t="e">
        <f t="array" aca="1" ref="AMU62" ca="1">INDEX(Canals!$AS$24:$AS$29,MATCH(2,1/((Canals!$F$24:$F$29&lt;=$C62)*(Canals!$G$24:$G$29=_xlfn.IFS(AHT62="Handysize",Main!AKC62,AHT62="Supramax",AJV62,AHT62="Panamax",AJO62,AHT62="NeoPanamax",AJH62,AHT62="Suezmax",AJA62,AHT62="Capesize",AIT62,AHT62="VLOC",AIM62)))))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V62" s="136" t="e">
        <f t="array" aca="1" ref="AMV62" ca="1">INDEX(Canals!$AT$24:$AT$29,MATCH(2,1/((Canals!$F$24:$F$29&lt;=$C62)*(Canals!$G$24:$G$29=_xlfn.IFS(AHT62="Handysize",Main!AKC62,AHT62="Supramax",AJV62,AHT62="Panamax",AJO62,AHT62="NeoPanamax",AJH62,AHT62="Suezmax",AJA62,AHT62="Capesize",AIT62,AHT62="VLOC",AIM62)))))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W62" s="136" t="e">
        <f t="array" aca="1" ref="AMW62" ca="1">INDEX(Canals!$AU$24:$AU$29,MATCH(2,1/((Canals!$F$24:$F$29&lt;=$C62)*(Canals!$G$24:$G$29=_xlfn.IFS(AHT62="Handysize",Main!AKC62,AHT62="Supramax",AJV62,AHT62="Panamax",AJO62,AHT62="NeoPanamax",AJH62,AHT62="Suezmax",AJA62,AHT62="Capesize",AIT62,AHT62="VLOC",AIM62)))))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X62" s="136" t="e">
        <f t="array" aca="1" ref="AMX62" ca="1">INDEX(Canals!$AV$24:$AV$29,MATCH(2,1/((Canals!$F$24:$F$29&lt;=$C62)*(Canals!$G$24:$G$29=_xlfn.IFS(AHT62="Handysize",Main!AKC62,AHT62="Supramax",AJV62,AHT62="Panamax",AJO62,AHT62="NeoPanamax",AJH62,AHT62="Suezmax",AJA62,AHT62="Capesize",AIT62,AHT62="VLOC",AIM62)))))</f>
        <v>#N/A</v>
      </c>
      <c r="AMZ62" s="75" t="e">
        <f t="array" aca="1" ref="AMZ62" ca="1">_xlfn.IFS(ALK62="DWT",AHR62,ALK62="NRT",AHV62,ALK62="GRT",AHW62,ALK62=0,0)</f>
        <v>#NAME?</v>
      </c>
      <c r="ANA62" s="279" t="e">
        <f t="shared" ca="1" si="561"/>
        <v>#NAME?</v>
      </c>
      <c r="ANB62" s="280" t="e">
        <f t="shared" ca="1" si="562"/>
        <v>#NAME?</v>
      </c>
      <c r="ANC62" s="280" t="e">
        <f t="shared" ca="1" si="563"/>
        <v>#NAME?</v>
      </c>
      <c r="AND62" s="280" t="e">
        <f t="shared" ca="1" si="564"/>
        <v>#NAME?</v>
      </c>
      <c r="ANE62" s="280" t="e">
        <f t="shared" ca="1" si="565"/>
        <v>#NAME?</v>
      </c>
      <c r="ANF62" s="280" t="e">
        <f t="shared" ca="1" si="566"/>
        <v>#NAME?</v>
      </c>
      <c r="ANG62" s="280" t="e">
        <f t="shared" ca="1" si="567"/>
        <v>#NAME?</v>
      </c>
      <c r="ANH62" s="280" t="e">
        <f t="shared" ca="1" si="568"/>
        <v>#NAME?</v>
      </c>
      <c r="ANI62" s="280" t="e">
        <f t="shared" ca="1" si="569"/>
        <v>#NAME?</v>
      </c>
      <c r="ANJ62" s="75">
        <f t="shared" si="570"/>
        <v>0</v>
      </c>
      <c r="ANK62" s="279" t="e">
        <f t="shared" ca="1" si="571"/>
        <v>#N/A</v>
      </c>
      <c r="ANL62" s="280" t="e">
        <f t="shared" ca="1" si="572"/>
        <v>#N/A</v>
      </c>
      <c r="ANM62" s="280" t="e">
        <f t="shared" ca="1" si="573"/>
        <v>#N/A</v>
      </c>
      <c r="ANN62" s="280" t="e">
        <f t="shared" ca="1" si="574"/>
        <v>#N/A</v>
      </c>
      <c r="ANO62" s="280" t="e">
        <f t="shared" ca="1" si="575"/>
        <v>#N/A</v>
      </c>
      <c r="ANP62" s="280" t="e">
        <f t="shared" ca="1" si="576"/>
        <v>#N/A</v>
      </c>
      <c r="ANQ62" s="280" t="e">
        <f t="shared" ca="1" si="577"/>
        <v>#N/A</v>
      </c>
      <c r="ANR62" s="280" t="e">
        <f t="shared" ca="1" si="578"/>
        <v>#N/A</v>
      </c>
      <c r="ANS62" s="280" t="e">
        <f t="shared" ca="1" si="579"/>
        <v>#N/A</v>
      </c>
      <c r="ANU62" s="75" t="e">
        <f t="array" aca="1" ref="ANU62" ca="1">_xlfn.IFS(AHT62="Handysize",Main!AJW62,AHT62="Supramax",AJP62,AHT62="Panamax",AJI62,AHT62="NeoPanamax",AJB62,AHT62="Suezmax",AIU62,AHT62="Capesize",AIN62,AHT62="VLOC",AIG62)*$JI62</f>
        <v>#NAME?</v>
      </c>
      <c r="ANV62" s="274" t="e">
        <f t="array" aca="1" ref="ANV62" ca="1">_xlfn.IFS(AHT62="Handysize",Main!AJX62,AHT62="Supramax",AJQ62,AHT62="Panamax",AJJ62,AHT62="NeoPanamax",AJC62,AHT62="Suezmax",AIV62,AHT62="Capesize",AIO62,AHT62="VLOC",AIH62)*$JI62</f>
        <v>#NAME?</v>
      </c>
      <c r="ANW62" s="71" t="e">
        <f t="array" aca="1" ref="ANW62" ca="1">_xlfn.IFS(AHT62="Handysize",Main!AHY62,AHT62="Supramax",AHZ62,AHT62="Panamax",AIA62,AHT62="NeoPanamax",AIB62,AHT62="Suezmax",AIC62,AHT62="Capesize",AID62,AHT62="VLOC",AIE62)</f>
        <v>#NAME?</v>
      </c>
      <c r="ANX62" s="71" t="e">
        <f t="array" aca="1" ref="ANX62" ca="1">_xlfn.IFS(AHT62="Handysize",Main!AKK62,AHT62="Supramax",AKL62,AHT62="Panamax",AKM62,AHT62="NeoPanamax",AKN62,AHT62="Suezmax",AKO62,AHT62="Capesize",AKP62,AHT62="VLOC",AKQ62)</f>
        <v>#NAME?</v>
      </c>
      <c r="ANY62" s="70">
        <f t="array" ref="ANY62">INDEX('Ship Speeds'!$G$11:$G$1011,MATCH(2,1/(('Ship Speeds'!$E$11:$E$1011&lt;=Main!$C62)*('Ship Speeds'!$F$11:$F$1011=Main!AHS62))))</f>
        <v>11</v>
      </c>
      <c r="ANZ62" s="403">
        <f t="shared" si="580"/>
        <v>0</v>
      </c>
      <c r="AOA62" s="401">
        <f t="shared" si="581"/>
        <v>1.2</v>
      </c>
      <c r="AOB62" s="70" t="e">
        <f t="shared" ca="1" si="582"/>
        <v>#NAME?</v>
      </c>
      <c r="AOC62" s="70" t="e">
        <f t="shared" ca="1" si="583"/>
        <v>#NAME?</v>
      </c>
      <c r="AOD62" s="70" t="e">
        <f t="shared" ca="1" si="584"/>
        <v>#NAME?</v>
      </c>
      <c r="AOE62" s="70" t="e">
        <f t="shared" ca="1" si="585"/>
        <v>#NAME?</v>
      </c>
      <c r="AOF62" s="72" t="e">
        <f t="shared" ca="1" si="586"/>
        <v>#N/A</v>
      </c>
      <c r="AOG62" s="70" t="e">
        <f t="shared" ca="1" si="587"/>
        <v>#NAME?</v>
      </c>
      <c r="AOH62" s="70" t="e">
        <f t="array" aca="1" ref="AOH62" ca="1">IF(ANU62=0,0,INDEX(AKE62:AKI62,MATCH(_xlfn.IFS(AHT62="Handysize",Main!AKA62,AHT62="Supramax",AJT62,AHT62="Panamax",AJM62,AHT62="NeoPanamax",AJF62,AHT62="Suezmax",AIY62,AHT62="Capesize",AIR62,AHT62="VLOC",AIK62),$AKE$7:$AKI$7,0)))</f>
        <v>#NAME?</v>
      </c>
      <c r="AOI62" s="70" t="e">
        <f t="array" aca="1" ref="AOI62" ca="1">IF(ANU62=0,0,INDEX(AKE62:AKI62,MATCH(_xlfn.IFS(AHT62="Handysize",Main!AKB62,AHT62="Supramax",AJU62,AHT62="Panamax",AJN62,AHT62="NeoPanamax",AJG62,AHT62="Suezmax",AIZ62,AHT62="Capesize",AIS62,AHT62="VLOC",AIL62),$AKE$7:$AKI$7,0)))</f>
        <v>#NAME?</v>
      </c>
      <c r="AOJ62" s="71" t="e">
        <f t="shared" ca="1" si="588"/>
        <v>#NAME?</v>
      </c>
      <c r="AOK62" s="71" t="e">
        <f t="shared" ca="1" si="589"/>
        <v>#NAME?</v>
      </c>
      <c r="AOL62" s="281" t="e">
        <f t="shared" ca="1" si="590"/>
        <v>#NAME?</v>
      </c>
      <c r="AOM62" s="71" t="e">
        <f t="shared" ca="1" si="591"/>
        <v>#NAME?</v>
      </c>
      <c r="AON62" s="71" t="e">
        <f t="shared" ca="1" si="592"/>
        <v>#NAME?</v>
      </c>
      <c r="AOO62" s="71" t="e">
        <f t="shared" ca="1" si="593"/>
        <v>#NAME?</v>
      </c>
      <c r="AOP62" s="71" t="e">
        <f t="shared" ca="1" si="594"/>
        <v>#NAME?</v>
      </c>
      <c r="AOQ62" s="71" t="e">
        <f t="shared" ca="1" si="595"/>
        <v>#NAME?</v>
      </c>
      <c r="AOR62" s="71" t="e">
        <f t="shared" ca="1" si="596"/>
        <v>#NAME?</v>
      </c>
      <c r="AOS62" s="71" t="e">
        <f t="shared" ca="1" si="597"/>
        <v>#NAME?</v>
      </c>
      <c r="AOT62" s="71" t="e">
        <f t="shared" ca="1" si="598"/>
        <v>#NAME?</v>
      </c>
      <c r="AOU62" s="71" t="e">
        <f t="shared" ca="1" si="599"/>
        <v>#NAME?</v>
      </c>
      <c r="AOV62" s="71" t="e">
        <f t="shared" ca="1" si="600"/>
        <v>#NAME?</v>
      </c>
      <c r="AOW62" s="71" t="e">
        <f t="shared" ca="1" si="601"/>
        <v>#NAME?</v>
      </c>
      <c r="AOX62" s="71" t="e">
        <f t="shared" ca="1" si="602"/>
        <v>#NAME?</v>
      </c>
      <c r="AOY62" s="72" t="e">
        <f t="shared" ca="1" si="603"/>
        <v>#NAME?</v>
      </c>
      <c r="AOZ62" s="72" t="e">
        <f t="shared" ca="1" si="604"/>
        <v>#NAME?</v>
      </c>
      <c r="APA62" s="71" t="e">
        <f t="shared" ca="1" si="605"/>
        <v>#NAME?</v>
      </c>
      <c r="APB62" s="71" t="e">
        <f t="array" aca="1" ref="APB62" ca="1">IF(ANU62=0,0,INDEX('Ship Time Charter Rates'!$H$22:$H$1021,MATCH(2,1/(('Ship Time Charter Rates'!$G$22:$G$1021=_xlfn.IFS(AHT62="Handysize",Main!AJY62,AHT62="Supramax",AJR62,AHT62="Panamax",AJK62,AHT62="NeoPanamax",AJD62,AHT62="Suezmax",AIW62,AHT62="Capesize",AIP62,AHT62="VLOC",AII62))*('Ship Time Charter Rates'!$E$22:$E$1021&lt;=Main!$C62)*(NOT(ISBLANK('Ship Time Charter Rates'!$H$22:$H$1021)))))))</f>
        <v>#NAME?</v>
      </c>
      <c r="APC62" s="71" t="e">
        <f t="shared" ca="1" si="606"/>
        <v>#NAME?</v>
      </c>
      <c r="APD62" s="70" t="e">
        <f t="shared" ca="1" si="607"/>
        <v>#NAME?</v>
      </c>
      <c r="APE62" s="71" t="e">
        <f t="shared" ca="1" si="608"/>
        <v>#NAME?</v>
      </c>
      <c r="APF62" s="71" t="e">
        <f t="shared" ca="1" si="609"/>
        <v>#NAME?</v>
      </c>
      <c r="APG62" s="72" t="e">
        <f t="shared" ca="1" si="610"/>
        <v>#NAME?</v>
      </c>
      <c r="API62" s="287" t="s">
        <v>39</v>
      </c>
      <c r="APK62" s="289" t="e">
        <f t="shared" ca="1" si="611"/>
        <v>#NAME?</v>
      </c>
      <c r="APL62" s="289" t="e">
        <f t="shared" ca="1" si="612"/>
        <v>#NAME?</v>
      </c>
      <c r="APM62" s="289" t="e">
        <f t="shared" ca="1" si="613"/>
        <v>#NAME?</v>
      </c>
      <c r="APO62" s="287" t="s">
        <v>39</v>
      </c>
    </row>
    <row r="63" spans="2:1107">
      <c r="B63" s="434" t="e">
        <f t="shared" ca="1" si="614"/>
        <v>#NAME?</v>
      </c>
      <c r="C63" s="18">
        <f t="shared" si="615"/>
        <v>43934</v>
      </c>
      <c r="D63" s="7" t="s">
        <v>20</v>
      </c>
      <c r="E63" s="86" t="s">
        <v>35</v>
      </c>
      <c r="F63" s="6">
        <v>45</v>
      </c>
      <c r="G63" s="1" t="s">
        <v>185</v>
      </c>
      <c r="H63" s="1" t="s">
        <v>5</v>
      </c>
      <c r="I63" s="15"/>
      <c r="J63" s="15"/>
      <c r="K63" s="15"/>
      <c r="L63" s="15"/>
      <c r="M63" s="15"/>
      <c r="N63" s="15"/>
      <c r="O63" s="15"/>
      <c r="P63" s="433">
        <v>151000</v>
      </c>
      <c r="Q63" s="98"/>
      <c r="R63" s="7" t="s">
        <v>95</v>
      </c>
      <c r="T63" s="287" t="s">
        <v>39</v>
      </c>
      <c r="V63" s="4"/>
      <c r="W63" s="16" t="str">
        <f t="shared" si="349"/>
        <v>not used yet</v>
      </c>
      <c r="X63" s="16" t="str">
        <f t="shared" si="349"/>
        <v>not used yet</v>
      </c>
      <c r="Y63" s="16" t="str">
        <f t="shared" si="349"/>
        <v>not used yet</v>
      </c>
      <c r="Z63" s="16" t="str">
        <f t="shared" si="349"/>
        <v>not used yet</v>
      </c>
      <c r="AA63" s="16" t="str">
        <f t="shared" si="349"/>
        <v>not used yet</v>
      </c>
      <c r="AB63" s="16" t="str">
        <f t="shared" si="349"/>
        <v>not used yet</v>
      </c>
      <c r="AC63" s="16" t="str">
        <f t="shared" si="349"/>
        <v>not used yet</v>
      </c>
      <c r="AE63" s="88" t="str">
        <f t="shared" si="619"/>
        <v>SMB Generic</v>
      </c>
      <c r="AF63" s="16">
        <f t="shared" si="350"/>
        <v>0.44800000000000001</v>
      </c>
      <c r="AG63" s="16">
        <f t="shared" si="351"/>
        <v>0.4</v>
      </c>
      <c r="AH63" s="61">
        <f t="shared" si="352"/>
        <v>2.3E-2</v>
      </c>
      <c r="AI63" s="61">
        <f t="shared" si="353"/>
        <v>1.2999999999999999E-2</v>
      </c>
      <c r="AJ63" s="61">
        <f t="shared" si="354"/>
        <v>0.01</v>
      </c>
      <c r="AK63" s="16">
        <f t="shared" si="355"/>
        <v>3.5000000000000003E-2</v>
      </c>
      <c r="AL63" s="16">
        <f t="shared" si="356"/>
        <v>0.1</v>
      </c>
      <c r="AM63" s="24" t="str">
        <f t="shared" si="620"/>
        <v>LT</v>
      </c>
      <c r="AN63" s="427">
        <f t="shared" si="357"/>
        <v>151000</v>
      </c>
      <c r="AO63" s="127" t="str">
        <f t="array" ref="AO63">IFERROR(IF(AND(AN63&gt;'Indices Mines Exporting Ports'!$D$11,MATCH(2,1/(('Indices Mines Exporting Ports'!$B$3:$B$10&lt;=C63)*('Indices Mines Exporting Ports'!$C$3:$C$10=E63)))),"Yes","No"),"No")</f>
        <v>No</v>
      </c>
      <c r="AP63" s="126" t="str">
        <f t="array" ref="AP63">IF(AO63="Yes",INDEX('Indices Mines Exporting Ports'!$D$3:$D$10,MATCH(2,1/(('Indices Mines Exporting Ports'!$B$3:$B$10&lt;=Main!C63)*('Indices Mines Exporting Ports'!$C$3:$C$10=Main!AE63)))),IF(NOT(ISBLANK(Q63)),Q63,IP63))</f>
        <v>SMB-WAP_Nunez_Offshore</v>
      </c>
      <c r="AQ63" s="262">
        <f t="array" ref="AQ63">IF(AO63="no",0,INDEX('Indices Mines Exporting Ports'!$E$3:$E$10,MATCH(2,1/(('Indices Mines Exporting Ports'!$B$3:$B$10&lt;=Main!$C63)*('Indices Mines Exporting Ports'!$D$3:$D$10=Main!$AP63)))))</f>
        <v>0</v>
      </c>
      <c r="AR63" s="267">
        <f t="array" ref="AR63">IF(AO63="No",0,AN63/ROUND(AN63/INDEX('Indices Mines Exporting Ports'!$F$3:$F$10,MATCH(2,1/(('Indices Mines Exporting Ports'!$B$3:$B$10&lt;=Main!C63)*('Indices Mines Exporting Ports'!$C$3:$C$10=Main!AE63)))),0))</f>
        <v>0</v>
      </c>
      <c r="AS63" s="127" t="str">
        <f t="shared" si="621"/>
        <v>Qingdao</v>
      </c>
      <c r="AT63" s="100" t="str">
        <f t="shared" si="358"/>
        <v>Guinea 45/3 LT</v>
      </c>
      <c r="AU63" s="100" t="str">
        <f t="shared" si="359"/>
        <v>CBIX LT</v>
      </c>
      <c r="AV63" s="242" t="s">
        <v>4</v>
      </c>
      <c r="AW63" s="242" t="s">
        <v>5</v>
      </c>
      <c r="AX63" s="292" t="e">
        <f t="shared" ca="1" si="622"/>
        <v>#NAME?</v>
      </c>
      <c r="AY63" s="291" t="e">
        <f t="shared" ca="1" si="360"/>
        <v>#NAME?</v>
      </c>
      <c r="AZ63" s="292" t="e">
        <f t="shared" ca="1" si="623"/>
        <v>#NAME?</v>
      </c>
      <c r="BA63" s="102">
        <f t="shared" si="624"/>
        <v>0.33</v>
      </c>
      <c r="BB63" s="12"/>
      <c r="BC63" s="306" t="s">
        <v>403</v>
      </c>
      <c r="BD63" s="407" t="e">
        <f t="shared" ca="1" si="361"/>
        <v>#NAME?</v>
      </c>
      <c r="BE63" s="407">
        <f t="shared" si="361"/>
        <v>0</v>
      </c>
      <c r="BF63" s="407">
        <f t="shared" si="361"/>
        <v>0</v>
      </c>
      <c r="BG63" s="407" t="e">
        <f t="shared" ca="1" si="362"/>
        <v>#NAME?</v>
      </c>
      <c r="BH63" s="407">
        <f t="shared" si="363"/>
        <v>0</v>
      </c>
      <c r="BI63" s="263" t="e">
        <f t="shared" ca="1" si="364"/>
        <v>#NAME?</v>
      </c>
      <c r="BK63" s="287" t="s">
        <v>39</v>
      </c>
      <c r="BM63" s="291" t="e">
        <f t="shared" ca="1" si="365"/>
        <v>#NAME?</v>
      </c>
      <c r="BN63" s="298">
        <f t="shared" si="366"/>
        <v>0.44800000000000001</v>
      </c>
      <c r="BO63" s="298">
        <f t="shared" si="367"/>
        <v>0.4</v>
      </c>
      <c r="BP63" s="298">
        <f t="shared" si="368"/>
        <v>2.3E-2</v>
      </c>
      <c r="BQ63" s="298">
        <f t="shared" si="369"/>
        <v>1.2999999999999999E-2</v>
      </c>
      <c r="BR63" s="298">
        <f t="shared" si="370"/>
        <v>0.01</v>
      </c>
      <c r="BS63" s="298">
        <f t="shared" si="371"/>
        <v>3.5000000000000003E-2</v>
      </c>
      <c r="BT63" s="298">
        <f t="shared" si="372"/>
        <v>0.1</v>
      </c>
      <c r="BU63" s="307" t="str">
        <f t="shared" si="373"/>
        <v>LT</v>
      </c>
      <c r="BV63" s="291">
        <f t="shared" si="374"/>
        <v>0.33</v>
      </c>
      <c r="BX63" s="300">
        <f t="array" ref="BX63">INDEX('Processing Factors'!$D$8:$D$29,MATCH(2,1/(('Processing Factors'!$B$8:$B$29&lt;=Main!$C63)*('Processing Factors'!$C$8:$C$29=Main!BU63))))</f>
        <v>0</v>
      </c>
      <c r="BY63" s="299">
        <f t="array" ref="BY63">INDEX('Processing Factors'!$E$8:$E$29,MATCH(2,1/(('Processing Factors'!$B$8:$B$29&lt;=Main!$C63)*('Processing Factors'!$C$8:$C$29=Main!BU63))))</f>
        <v>1</v>
      </c>
      <c r="BZ63" s="299">
        <f t="array" ref="BZ63">INDEX('Processing Factors'!$F$8:$F$29,MATCH(2,1/(('Processing Factors'!$B$8:$B$29&lt;=Main!$C63)*('Processing Factors'!$C$8:$C$29=Main!BU63))))</f>
        <v>0.9</v>
      </c>
      <c r="CA63" s="299">
        <f t="array" ref="CA63">INDEX('Processing Factors'!$G$8:$G$29,MATCH(2,1/(('Processing Factors'!$B$8:$B$29&lt;=Main!$C63)*('Processing Factors'!$C$8:$C$29=Main!BU63))))</f>
        <v>3.5999999999999997E-2</v>
      </c>
      <c r="CB63" s="299">
        <f t="array" ref="CB63">INDEX('Processing Factors'!$H$8:$H$29,MATCH(2,1/(('Processing Factors'!$B$8:$B$29&lt;=Main!$C63)*('Processing Factors'!$C$8:$C$29=Main!BU63))))</f>
        <v>12.15</v>
      </c>
      <c r="CC63" s="300">
        <f t="array" ref="CC63">INDEX('Processing Factors'!$I$8:$I$29,MATCH(2,1/(('Processing Factors'!$B$8:$B$29&lt;=Main!$C63)*('Processing Factors'!$C$8:$C$29=Main!BU63))))</f>
        <v>0</v>
      </c>
      <c r="CD63" s="300">
        <f t="array" ref="CD63">INDEX('Processing Factors'!$J$8:$J$29,MATCH(2,1/(('Processing Factors'!$B$8:$B$29&lt;=Main!$C63)*('Processing Factors'!$C$8:$C$29=Main!BU63))))</f>
        <v>0.9</v>
      </c>
      <c r="CE63" s="299">
        <f t="array" ref="CE63">INDEX('Processing Factors'!$K$8:$K$29,MATCH(2,1/(('Processing Factors'!$B$8:$B$29&lt;=Main!$C63)*('Processing Factors'!$C$8:$C$29=Main!BU63))))</f>
        <v>3.5000000000000003E-2</v>
      </c>
      <c r="CG63" s="302">
        <f t="shared" si="375"/>
        <v>0.41300000000000003</v>
      </c>
      <c r="CH63" s="302">
        <f t="shared" si="376"/>
        <v>1.2999999999999999E-2</v>
      </c>
      <c r="CI63" s="302">
        <f t="shared" si="377"/>
        <v>0.4</v>
      </c>
      <c r="CJ63" s="299">
        <f t="shared" si="378"/>
        <v>2.7777777777777777</v>
      </c>
      <c r="CK63" s="281" t="e">
        <f t="shared" ca="1" si="617"/>
        <v>#NAME?</v>
      </c>
      <c r="CL63" s="299">
        <f t="shared" si="379"/>
        <v>6.7500000000000004E-2</v>
      </c>
      <c r="CM63" s="281">
        <f t="shared" si="625"/>
        <v>16.199801790660445</v>
      </c>
      <c r="CN63" s="281">
        <f t="shared" si="626"/>
        <v>50.321396655852695</v>
      </c>
      <c r="CO63" s="281">
        <f t="shared" si="627"/>
        <v>1.2197497818850218</v>
      </c>
      <c r="CP63" s="299">
        <f t="shared" si="380"/>
        <v>1.8812777777777776</v>
      </c>
      <c r="CQ63" s="281">
        <f t="shared" si="628"/>
        <v>7.9676672191304956</v>
      </c>
      <c r="CR63" s="281" t="e">
        <f t="shared" ca="1" si="381"/>
        <v>#NAME?</v>
      </c>
      <c r="CT63" s="287" t="s">
        <v>39</v>
      </c>
      <c r="CV63" s="305" t="e">
        <f t="shared" ca="1" si="382"/>
        <v>#NAME?</v>
      </c>
      <c r="CW63" s="61">
        <f t="array" ref="CW63">INDEX('Indices Mines Exporting Ports'!E$20:E$51, MATCH(2,1/(('Indices Mines Exporting Ports'!$C$20:$C$51=$AT63)*('Indices Mines Exporting Ports'!$D$20:$D$51&lt;=$C63))))</f>
        <v>0.45</v>
      </c>
      <c r="CX63" s="61">
        <f t="array" ref="CX63">INDEX('Indices Mines Exporting Ports'!F$20:F$51, MATCH(2,1/(('Indices Mines Exporting Ports'!$C$20:$C$51=$AT63)*('Indices Mines Exporting Ports'!$D$20:$D$51&lt;=$C63))))</f>
        <v>0.40250000000000002</v>
      </c>
      <c r="CY63" s="61">
        <f t="array" ref="CY63">INDEX('Indices Mines Exporting Ports'!G$20:G$51, MATCH(2,1/(('Indices Mines Exporting Ports'!$C$20:$C$51=$AT63)*('Indices Mines Exporting Ports'!$D$20:$D$51&lt;=$C63))))</f>
        <v>0.03</v>
      </c>
      <c r="CZ63" s="61">
        <f t="array" ref="CZ63">INDEX('Indices Mines Exporting Ports'!H$20:H$51, MATCH(2,1/(('Indices Mines Exporting Ports'!$C$20:$C$51=$AT63)*('Indices Mines Exporting Ports'!$D$20:$D$51&lt;=$C63))))</f>
        <v>1.2500000000000001E-2</v>
      </c>
      <c r="DA63" s="61">
        <f t="array" ref="DA63">INDEX('Indices Mines Exporting Ports'!I$20:I$51, MATCH(2,1/(('Indices Mines Exporting Ports'!$C$20:$C$51=$AT63)*('Indices Mines Exporting Ports'!$D$20:$D$51&lt;=$C63))))</f>
        <v>1.7499999999999998E-2</v>
      </c>
      <c r="DB63" s="61">
        <f t="array" ref="DB63">INDEX('Indices Mines Exporting Ports'!J$20:J$51, MATCH(2,1/(('Indices Mines Exporting Ports'!$C$20:$C$51=$AT63)*('Indices Mines Exporting Ports'!$D$20:$D$51&lt;=$C63))))</f>
        <v>3.5000000000000003E-2</v>
      </c>
      <c r="DC63" s="61">
        <f t="array" ref="DC63">INDEX('Indices Mines Exporting Ports'!K$20:K$51, MATCH(2,1/(('Indices Mines Exporting Ports'!$C$20:$C$51=$AT63)*('Indices Mines Exporting Ports'!$D$20:$D$51&lt;=$C63))))</f>
        <v>0.1</v>
      </c>
      <c r="DD63" s="103" t="str">
        <f t="array" ref="DD63">INDEX('Indices Mines Exporting Ports'!L$20:L$51, MATCH(2,1/(('Indices Mines Exporting Ports'!$C$20:$C$51=$AT63)*('Indices Mines Exporting Ports'!$D$20:$D$51&lt;=$C63))))</f>
        <v>LT</v>
      </c>
      <c r="DE63" s="243">
        <f t="array" ref="DE63">INDEX('Indices Mines Exporting Ports'!M$20:M$51, MATCH(2,1/(('Indices Mines Exporting Ports'!$C$20:$C$51=$AT63)*('Indices Mines Exporting Ports'!$D$20:$D$51&lt;=$C63))))</f>
        <v>0.33</v>
      </c>
      <c r="DG63" s="300">
        <f t="array" ref="DG63">INDEX('Processing Factors'!$D$8:$D$29,MATCH(2,1/(('Processing Factors'!$B$8:$B$29&lt;=Main!$C63)*('Processing Factors'!$C$8:$C$29=Main!DD63))))</f>
        <v>0</v>
      </c>
      <c r="DH63" s="299">
        <f t="array" ref="DH63">INDEX('Processing Factors'!$E$8:$E$29,MATCH(2,1/(('Processing Factors'!$B$8:$B$29&lt;=Main!$C63)*('Processing Factors'!$C$8:$C$29=Main!DD63))))</f>
        <v>1</v>
      </c>
      <c r="DI63" s="299">
        <f t="array" ref="DI63">INDEX('Processing Factors'!$F$8:$F$29,MATCH(2,1/(('Processing Factors'!$B$8:$B$29&lt;=Main!$C63)*('Processing Factors'!$C$8:$C$29=Main!DD63))))</f>
        <v>0.9</v>
      </c>
      <c r="DJ63" s="299">
        <f t="array" ref="DJ63">INDEX('Processing Factors'!$G$8:$G$29,MATCH(2,1/(('Processing Factors'!$B$8:$B$29&lt;=Main!$C63)*('Processing Factors'!$C$8:$C$29=Main!DD63))))</f>
        <v>3.5999999999999997E-2</v>
      </c>
      <c r="DK63" s="299">
        <f t="array" ref="DK63">INDEX('Processing Factors'!$H$8:$H$29,MATCH(2,1/(('Processing Factors'!$B$8:$B$29&lt;=Main!$C63)*('Processing Factors'!$C$8:$C$29=Main!DD63))))</f>
        <v>12.15</v>
      </c>
      <c r="DL63" s="300">
        <f t="array" ref="DL63">INDEX('Processing Factors'!$I$8:$I$29,MATCH(2,1/(('Processing Factors'!$B$8:$B$29&lt;=Main!$C63)*('Processing Factors'!$C$8:$C$29=Main!DD63))))</f>
        <v>0</v>
      </c>
      <c r="DM63" s="300">
        <f t="array" ref="DM63">INDEX('Processing Factors'!$J$8:$J$29,MATCH(2,1/(('Processing Factors'!$B$8:$B$29&lt;=Main!$C63)*('Processing Factors'!$C$8:$C$29=Main!DD63))))</f>
        <v>0.9</v>
      </c>
      <c r="DN63" s="299">
        <f t="array" ref="DN63">INDEX('Processing Factors'!$K$8:$K$29,MATCH(2,1/(('Processing Factors'!$B$8:$B$29&lt;=Main!$C63)*('Processing Factors'!$C$8:$C$29=Main!DD63))))</f>
        <v>3.5000000000000003E-2</v>
      </c>
      <c r="DP63" s="302">
        <f t="shared" si="383"/>
        <v>0.41500000000000004</v>
      </c>
      <c r="DQ63" s="302">
        <f t="shared" si="384"/>
        <v>1.2500000000000001E-2</v>
      </c>
      <c r="DR63" s="302">
        <f t="shared" si="385"/>
        <v>0.40250000000000002</v>
      </c>
      <c r="DS63" s="299">
        <f t="shared" si="386"/>
        <v>2.7605244996549341</v>
      </c>
      <c r="DT63" s="304">
        <v>0</v>
      </c>
      <c r="DU63" s="299">
        <f t="shared" si="387"/>
        <v>6.6055900621118019E-2</v>
      </c>
      <c r="DV63" s="281">
        <f t="shared" si="629"/>
        <v>15.853222180232237</v>
      </c>
      <c r="DW63" s="281">
        <f t="shared" si="630"/>
        <v>50.321396655852695</v>
      </c>
      <c r="DX63" s="281">
        <f t="shared" si="631"/>
        <v>1.2197497818850218</v>
      </c>
      <c r="DY63" s="299">
        <f t="shared" si="388"/>
        <v>1.8625804002760522</v>
      </c>
      <c r="DZ63" s="281">
        <f t="shared" si="632"/>
        <v>7.888479295069553</v>
      </c>
      <c r="EA63" s="281">
        <f t="shared" si="389"/>
        <v>75.282847913039518</v>
      </c>
      <c r="EC63" s="287" t="s">
        <v>39</v>
      </c>
      <c r="EE63" s="305" t="e">
        <f t="shared" ca="1" si="390"/>
        <v>#NAME?</v>
      </c>
      <c r="EF63" s="16">
        <f t="array" ref="EF63">INDEX('Indices Mines Exporting Ports'!E$20:E$51, MATCH(2,1/(('Indices Mines Exporting Ports'!$C$20:$C$51=$AU63)*('Indices Mines Exporting Ports'!$D$20:$D$51&lt;=$C63))))</f>
        <v>0.5</v>
      </c>
      <c r="EG63" s="16">
        <f t="array" ref="EG63">INDEX('Indices Mines Exporting Ports'!F$20:F$51, MATCH(2,1/(('Indices Mines Exporting Ports'!$C$20:$C$51=$AU63)*('Indices Mines Exporting Ports'!$D$20:$D$51&lt;=$C63))))</f>
        <v>0.45</v>
      </c>
      <c r="EH63" s="16">
        <f t="array" ref="EH63">INDEX('Indices Mines Exporting Ports'!G$20:G$51, MATCH(2,1/(('Indices Mines Exporting Ports'!$C$20:$C$51=$AU63)*('Indices Mines Exporting Ports'!$D$20:$D$51&lt;=$C63))))</f>
        <v>0.05</v>
      </c>
      <c r="EI63" s="16">
        <f t="array" ref="EI63">INDEX('Indices Mines Exporting Ports'!H$20:H$51, MATCH(2,1/(('Indices Mines Exporting Ports'!$C$20:$C$51=$AU63)*('Indices Mines Exporting Ports'!$D$20:$D$51&lt;=$C63))))</f>
        <v>0.05</v>
      </c>
      <c r="EJ63" s="16">
        <f t="array" ref="EJ63">INDEX('Indices Mines Exporting Ports'!I$20:I$51, MATCH(2,1/(('Indices Mines Exporting Ports'!$C$20:$C$51=$AU63)*('Indices Mines Exporting Ports'!$D$20:$D$51&lt;=$C63))))</f>
        <v>0</v>
      </c>
      <c r="EK63" s="16">
        <f t="array" ref="EK63">INDEX('Indices Mines Exporting Ports'!J$20:J$51, MATCH(2,1/(('Indices Mines Exporting Ports'!$C$20:$C$51=$AU63)*('Indices Mines Exporting Ports'!$D$20:$D$51&lt;=$C63))))</f>
        <v>0</v>
      </c>
      <c r="EL63" s="16">
        <f t="array" ref="EL63">INDEX('Indices Mines Exporting Ports'!K$20:K$51, MATCH(2,1/(('Indices Mines Exporting Ports'!$C$20:$C$51=$AU63)*('Indices Mines Exporting Ports'!$D$20:$D$51&lt;=$C63))))</f>
        <v>0.1</v>
      </c>
      <c r="EM63" s="103" t="str">
        <f t="array" ref="EM63">INDEX('Indices Mines Exporting Ports'!L$20:L$51, MATCH(2,1/(('Indices Mines Exporting Ports'!$C$20:$C$51=$AU63)*('Indices Mines Exporting Ports'!$D$20:$D$51&lt;=$C63))))</f>
        <v>LT</v>
      </c>
      <c r="EN63" s="243">
        <f t="array" ref="EN63">INDEX('Indices Mines Exporting Ports'!M$20:M$51, MATCH(2,1/(('Indices Mines Exporting Ports'!$C$20:$C$51=$AU63)*('Indices Mines Exporting Ports'!$D$20:$D$51&lt;=$C63))))</f>
        <v>0</v>
      </c>
      <c r="EP63" s="300">
        <f t="array" ref="EP63">INDEX('Processing Factors'!$D$8:$D$29,MATCH(2,1/(('Processing Factors'!$B$8:$B$29&lt;=Main!$C63)*('Processing Factors'!$C$8:$C$29=Main!EM63))))</f>
        <v>0</v>
      </c>
      <c r="EQ63" s="299">
        <f t="array" ref="EQ63">INDEX('Processing Factors'!$E$8:$E$29,MATCH(2,1/(('Processing Factors'!$B$8:$B$29&lt;=Main!$C63)*('Processing Factors'!$C$8:$C$29=Main!EM63))))</f>
        <v>1</v>
      </c>
      <c r="ER63" s="299">
        <f t="array" ref="ER63">INDEX('Processing Factors'!$F$8:$F$29,MATCH(2,1/(('Processing Factors'!$B$8:$B$29&lt;=Main!$C63)*('Processing Factors'!$C$8:$C$29=Main!EM63))))</f>
        <v>0.9</v>
      </c>
      <c r="ES63" s="299">
        <f t="array" ref="ES63">INDEX('Processing Factors'!$G$8:$G$29,MATCH(2,1/(('Processing Factors'!$B$8:$B$29&lt;=Main!$C63)*('Processing Factors'!$C$8:$C$29=Main!EM63))))</f>
        <v>3.5999999999999997E-2</v>
      </c>
      <c r="ET63" s="299">
        <f t="array" ref="ET63">INDEX('Processing Factors'!$H$8:$H$29,MATCH(2,1/(('Processing Factors'!$B$8:$B$29&lt;=Main!$C63)*('Processing Factors'!$C$8:$C$29=Main!EM63))))</f>
        <v>12.15</v>
      </c>
      <c r="EU63" s="300">
        <f t="array" ref="EU63">INDEX('Processing Factors'!$I$8:$I$29,MATCH(2,1/(('Processing Factors'!$B$8:$B$29&lt;=Main!$C63)*('Processing Factors'!$C$8:$C$29=Main!EM63))))</f>
        <v>0</v>
      </c>
      <c r="EV63" s="300">
        <f t="array" ref="EV63">INDEX('Processing Factors'!$J$8:$J$29,MATCH(2,1/(('Processing Factors'!$B$8:$B$29&lt;=Main!$C63)*('Processing Factors'!$C$8:$C$29=Main!EM63))))</f>
        <v>0.9</v>
      </c>
      <c r="EW63" s="299">
        <f t="array" ref="EW63">INDEX('Processing Factors'!$K$8:$K$29,MATCH(2,1/(('Processing Factors'!$B$8:$B$29&lt;=Main!$C63)*('Processing Factors'!$C$8:$C$29=Main!EM63))))</f>
        <v>3.5000000000000003E-2</v>
      </c>
      <c r="EY63" s="302">
        <f t="shared" si="391"/>
        <v>0.5</v>
      </c>
      <c r="EZ63" s="302">
        <f t="shared" si="392"/>
        <v>0.05</v>
      </c>
      <c r="FA63" s="302">
        <f t="shared" si="393"/>
        <v>0.45</v>
      </c>
      <c r="FB63" s="299">
        <f t="shared" si="394"/>
        <v>2.4691358024691357</v>
      </c>
      <c r="FC63" s="304">
        <v>0</v>
      </c>
      <c r="FD63" s="299">
        <f t="shared" si="395"/>
        <v>0.14611111111111114</v>
      </c>
      <c r="FE63" s="281">
        <f t="shared" si="633"/>
        <v>35.06623762093578</v>
      </c>
      <c r="FF63" s="281">
        <f t="shared" si="634"/>
        <v>50.321396655852695</v>
      </c>
      <c r="FG63" s="281">
        <f t="shared" si="635"/>
        <v>1.2197497818850218</v>
      </c>
      <c r="FH63" s="299">
        <f t="shared" si="396"/>
        <v>1.6512469135802468</v>
      </c>
      <c r="FI63" s="281">
        <f t="shared" si="636"/>
        <v>6.9934307731868799</v>
      </c>
      <c r="FJ63" s="281">
        <f t="shared" si="397"/>
        <v>93.60081483186039</v>
      </c>
      <c r="FL63" s="287" t="s">
        <v>39</v>
      </c>
      <c r="FN63" s="315" t="e">
        <f t="shared" ca="1" si="398"/>
        <v>#NAME?</v>
      </c>
      <c r="FO63" s="316">
        <f t="shared" si="399"/>
        <v>0.44800000000000001</v>
      </c>
      <c r="FP63" s="316">
        <f t="shared" si="400"/>
        <v>0.4</v>
      </c>
      <c r="FQ63" s="316">
        <f t="shared" si="401"/>
        <v>2.3E-2</v>
      </c>
      <c r="FR63" s="316">
        <f t="shared" si="402"/>
        <v>1.2999999999999999E-2</v>
      </c>
      <c r="FS63" s="316">
        <f t="shared" si="403"/>
        <v>0.01</v>
      </c>
      <c r="FT63" s="316">
        <f t="shared" si="404"/>
        <v>3.5000000000000003E-2</v>
      </c>
      <c r="FU63" s="316">
        <f t="shared" si="405"/>
        <v>0.1</v>
      </c>
      <c r="FV63" s="317" t="str">
        <f t="shared" si="406"/>
        <v>LT</v>
      </c>
      <c r="FW63" s="318">
        <v>0</v>
      </c>
      <c r="FX63" s="237"/>
      <c r="FY63" s="319">
        <f t="array" ref="FY63">INDEX('Processing Factors'!$D$8:$D$29,MATCH(2,1/(('Processing Factors'!$B$8:$B$29&lt;=Main!$C63)*('Processing Factors'!$C$8:$C$29=Main!FV63))))</f>
        <v>0</v>
      </c>
      <c r="FZ63" s="320">
        <f t="array" ref="FZ63">INDEX('Processing Factors'!$E$8:$E$29,MATCH(2,1/(('Processing Factors'!$B$8:$B$29&lt;=Main!$C63)*('Processing Factors'!$C$8:$C$29=Main!FV63))))</f>
        <v>1</v>
      </c>
      <c r="GA63" s="320">
        <f t="array" ref="GA63">INDEX('Processing Factors'!$F$8:$F$29,MATCH(2,1/(('Processing Factors'!$B$8:$B$29&lt;=Main!$C63)*('Processing Factors'!$C$8:$C$29=Main!FV63))))</f>
        <v>0.9</v>
      </c>
      <c r="GB63" s="320">
        <f t="array" ref="GB63">INDEX('Processing Factors'!$G$8:$G$29,MATCH(2,1/(('Processing Factors'!$B$8:$B$29&lt;=Main!$C63)*('Processing Factors'!$C$8:$C$29=Main!FV63))))</f>
        <v>3.5999999999999997E-2</v>
      </c>
      <c r="GC63" s="320">
        <f t="array" ref="GC63">INDEX('Processing Factors'!$H$8:$H$29,MATCH(2,1/(('Processing Factors'!$B$8:$B$29&lt;=Main!$C63)*('Processing Factors'!$C$8:$C$29=Main!FV63))))</f>
        <v>12.15</v>
      </c>
      <c r="GD63" s="319">
        <f t="array" ref="GD63">INDEX('Processing Factors'!$I$8:$I$29,MATCH(2,1/(('Processing Factors'!$B$8:$B$29&lt;=Main!$C63)*('Processing Factors'!$C$8:$C$29=Main!FV63))))</f>
        <v>0</v>
      </c>
      <c r="GE63" s="321">
        <v>0.92</v>
      </c>
      <c r="GF63" s="320">
        <f t="array" ref="GF63">INDEX('Processing Factors'!$K$8:$K$29,MATCH(2,1/(('Processing Factors'!$B$8:$B$29&lt;=Main!$C63)*('Processing Factors'!$C$8:$C$29=Main!FV63))))</f>
        <v>3.5000000000000003E-2</v>
      </c>
      <c r="GG63" s="237"/>
      <c r="GH63" s="322">
        <f t="shared" si="407"/>
        <v>0.41300000000000003</v>
      </c>
      <c r="GI63" s="322">
        <f t="shared" si="408"/>
        <v>1.2999999999999999E-2</v>
      </c>
      <c r="GJ63" s="322">
        <f t="shared" si="409"/>
        <v>0.4</v>
      </c>
      <c r="GK63" s="320">
        <f t="shared" si="410"/>
        <v>2.7173913043478262</v>
      </c>
      <c r="GL63" s="323" t="e">
        <f t="shared" ca="1" si="618"/>
        <v>#NAME?</v>
      </c>
      <c r="GM63" s="320">
        <f t="shared" si="411"/>
        <v>6.6793478260869565E-2</v>
      </c>
      <c r="GN63" s="323">
        <f t="shared" si="637"/>
        <v>16.030238647924062</v>
      </c>
      <c r="GO63" s="323">
        <f t="shared" si="638"/>
        <v>50.321396655852695</v>
      </c>
      <c r="GP63" s="323">
        <f t="shared" si="639"/>
        <v>1.2197497818850218</v>
      </c>
      <c r="GQ63" s="320">
        <f t="shared" si="412"/>
        <v>1.8201847826086959</v>
      </c>
      <c r="GR63" s="323">
        <f t="shared" si="640"/>
        <v>7.708923581865947</v>
      </c>
      <c r="GS63" s="323" t="e">
        <f t="shared" ca="1" si="413"/>
        <v>#NAME?</v>
      </c>
      <c r="GT63" s="237"/>
      <c r="GU63" s="324" t="e">
        <f t="shared" ca="1" si="414"/>
        <v>#NAME?</v>
      </c>
      <c r="GV63" s="325">
        <f t="array" ref="GV63">INDEX('Indices Mines Exporting Ports'!E$20:E$51, MATCH(2,1/(('Indices Mines Exporting Ports'!$C$20:$C$51=$BC63)*('Indices Mines Exporting Ports'!$D$20:$D$51&lt;=$C63))))</f>
        <v>0.5</v>
      </c>
      <c r="GW63" s="325">
        <f t="array" ref="GW63">INDEX('Indices Mines Exporting Ports'!F$20:F$51, MATCH(2,1/(('Indices Mines Exporting Ports'!$C$20:$C$51=$BC63)*('Indices Mines Exporting Ports'!$D$20:$D$51&lt;=$C63))))</f>
        <v>0.45</v>
      </c>
      <c r="GX63" s="325">
        <f t="array" ref="GX63">INDEX('Indices Mines Exporting Ports'!G$20:G$51, MATCH(2,1/(('Indices Mines Exporting Ports'!$C$20:$C$51=$BC63)*('Indices Mines Exporting Ports'!$D$20:$D$51&lt;=$C63))))</f>
        <v>0.05</v>
      </c>
      <c r="GY63" s="325">
        <f t="array" ref="GY63">INDEX('Indices Mines Exporting Ports'!H$20:H$51, MATCH(2,1/(('Indices Mines Exporting Ports'!$C$20:$C$51=$BC63)*('Indices Mines Exporting Ports'!$D$20:$D$51&lt;=$C63))))</f>
        <v>0.05</v>
      </c>
      <c r="GZ63" s="325">
        <f t="array" ref="GZ63">INDEX('Indices Mines Exporting Ports'!I$20:I$51, MATCH(2,1/(('Indices Mines Exporting Ports'!$C$20:$C$51=$BC63)*('Indices Mines Exporting Ports'!$D$20:$D$51&lt;=$C63))))</f>
        <v>0</v>
      </c>
      <c r="HA63" s="325">
        <f t="array" ref="HA63">INDEX('Indices Mines Exporting Ports'!J$20:J$51, MATCH(2,1/(('Indices Mines Exporting Ports'!$C$20:$C$51=$BC63)*('Indices Mines Exporting Ports'!$D$20:$D$51&lt;=$C63))))</f>
        <v>0</v>
      </c>
      <c r="HB63" s="325">
        <f t="array" ref="HB63">INDEX('Indices Mines Exporting Ports'!K$20:K$51, MATCH(2,1/(('Indices Mines Exporting Ports'!$C$20:$C$51=$BC63)*('Indices Mines Exporting Ports'!$D$20:$D$51&lt;=$C63))))</f>
        <v>0.1</v>
      </c>
      <c r="HC63" s="326" t="str">
        <f t="array" ref="HC63">INDEX('Indices Mines Exporting Ports'!L$20:L$51, MATCH(2,1/(('Indices Mines Exporting Ports'!$C$20:$C$51=$BC63)*('Indices Mines Exporting Ports'!$D$20:$D$51&lt;=$C63))))</f>
        <v>LT</v>
      </c>
      <c r="HD63" s="262">
        <f t="array" ref="HD63">INDEX('Indices Mines Exporting Ports'!M$20:M$51, MATCH(2,1/(('Indices Mines Exporting Ports'!$C$20:$C$51=$BC63)*('Indices Mines Exporting Ports'!$D$20:$D$51&lt;=$C63))))</f>
        <v>0</v>
      </c>
      <c r="HE63" s="237"/>
      <c r="HF63" s="319">
        <f t="array" ref="HF63">INDEX('Processing Factors'!$D$8:$D$29,MATCH(2,1/(('Processing Factors'!$B$8:$B$29&lt;=Main!$C63)*('Processing Factors'!$C$8:$C$29=Main!HC63))))</f>
        <v>0</v>
      </c>
      <c r="HG63" s="320">
        <f t="array" ref="HG63">INDEX('Processing Factors'!$E$8:$E$29,MATCH(2,1/(('Processing Factors'!$B$8:$B$29&lt;=Main!$C63)*('Processing Factors'!$C$8:$C$29=Main!HC63))))</f>
        <v>1</v>
      </c>
      <c r="HH63" s="320">
        <f t="array" ref="HH63">INDEX('Processing Factors'!$F$8:$F$29,MATCH(2,1/(('Processing Factors'!$B$8:$B$29&lt;=Main!$C63)*('Processing Factors'!$C$8:$C$29=Main!HC63))))</f>
        <v>0.9</v>
      </c>
      <c r="HI63" s="320">
        <f t="array" ref="HI63">INDEX('Processing Factors'!$G$8:$G$29,MATCH(2,1/(('Processing Factors'!$B$8:$B$29&lt;=Main!$C63)*('Processing Factors'!$C$8:$C$29=Main!HC63))))</f>
        <v>3.5999999999999997E-2</v>
      </c>
      <c r="HJ63" s="320">
        <f t="array" ref="HJ63">INDEX('Processing Factors'!$H$8:$H$29,MATCH(2,1/(('Processing Factors'!$B$8:$B$29&lt;=Main!$C63)*('Processing Factors'!$C$8:$C$29=Main!HC63))))</f>
        <v>12.15</v>
      </c>
      <c r="HK63" s="319">
        <f t="array" ref="HK63">INDEX('Processing Factors'!$I$8:$I$29,MATCH(2,1/(('Processing Factors'!$B$8:$B$29&lt;=Main!$C63)*('Processing Factors'!$C$8:$C$29=Main!HC63))))</f>
        <v>0</v>
      </c>
      <c r="HL63" s="321">
        <v>0.92</v>
      </c>
      <c r="HM63" s="320">
        <f t="array" ref="HM63">INDEX('Processing Factors'!$K$8:$K$29,MATCH(2,1/(('Processing Factors'!$B$8:$B$29&lt;=Main!$C63)*('Processing Factors'!$C$8:$C$29=Main!HC63))))</f>
        <v>3.5000000000000003E-2</v>
      </c>
      <c r="HN63" s="237"/>
      <c r="HO63" s="322">
        <f t="shared" si="415"/>
        <v>0.5</v>
      </c>
      <c r="HP63" s="322">
        <f t="shared" si="416"/>
        <v>0.05</v>
      </c>
      <c r="HQ63" s="322">
        <f t="shared" si="417"/>
        <v>0.45</v>
      </c>
      <c r="HR63" s="320">
        <f t="shared" si="418"/>
        <v>2.4154589371980677</v>
      </c>
      <c r="HS63" s="263">
        <v>0</v>
      </c>
      <c r="HT63" s="320">
        <f t="shared" si="419"/>
        <v>0.14369565217391306</v>
      </c>
      <c r="HU63" s="323">
        <f t="shared" si="641"/>
        <v>34.486534568845585</v>
      </c>
      <c r="HV63" s="323">
        <f t="shared" si="642"/>
        <v>50.321396655852695</v>
      </c>
      <c r="HW63" s="323">
        <f t="shared" si="643"/>
        <v>1.2197497818850218</v>
      </c>
      <c r="HX63" s="320">
        <f t="shared" si="420"/>
        <v>1.5951545893719807</v>
      </c>
      <c r="HY63" s="323">
        <f t="shared" si="644"/>
        <v>6.755866189095018</v>
      </c>
      <c r="HZ63" s="323">
        <f t="shared" si="421"/>
        <v>92.783547195678324</v>
      </c>
      <c r="IB63" s="287" t="s">
        <v>39</v>
      </c>
      <c r="ID63" s="89" t="str">
        <f t="shared" si="645"/>
        <v>SMB Generic</v>
      </c>
      <c r="IE63" s="18">
        <f t="shared" si="646"/>
        <v>43934</v>
      </c>
      <c r="IF63" s="94">
        <f t="array" ref="IF63">INDEX('Indices Mines Exporting Ports'!E$20:E$51, MATCH(2,1/(('Indices Mines Exporting Ports'!$C$20:$C$51=$ID63)*('Indices Mines Exporting Ports'!$D$20:$D$51&lt;=$IE63))))</f>
        <v>0.44800000000000001</v>
      </c>
      <c r="IG63" s="94">
        <f t="array" ref="IG63">INDEX('Indices Mines Exporting Ports'!F$20:F$51, MATCH(2,1/(('Indices Mines Exporting Ports'!$C$20:$C$51=$ID63)*('Indices Mines Exporting Ports'!$D$20:$D$51&lt;=$IE63))))</f>
        <v>0.4</v>
      </c>
      <c r="IH63" s="95">
        <f t="array" ref="IH63">INDEX('Indices Mines Exporting Ports'!G$20:G$51, MATCH(2,1/(('Indices Mines Exporting Ports'!$C$20:$C$51=$ID63)*('Indices Mines Exporting Ports'!$D$20:$D$51&lt;=$IE63))))</f>
        <v>2.3E-2</v>
      </c>
      <c r="II63" s="95">
        <f t="array" ref="II63">INDEX('Indices Mines Exporting Ports'!H$20:H$51, MATCH(2,1/(('Indices Mines Exporting Ports'!$C$20:$C$51=$ID63)*('Indices Mines Exporting Ports'!$D$20:$D$51&lt;=$IE63))))</f>
        <v>1.2999999999999999E-2</v>
      </c>
      <c r="IJ63" s="95">
        <f t="array" ref="IJ63">INDEX('Indices Mines Exporting Ports'!I$20:I$51, MATCH(2,1/(('Indices Mines Exporting Ports'!$C$20:$C$51=$ID63)*('Indices Mines Exporting Ports'!$D$20:$D$51&lt;=$IE63))))</f>
        <v>0.01</v>
      </c>
      <c r="IK63" s="94">
        <f t="array" ref="IK63">INDEX('Indices Mines Exporting Ports'!J$20:J$51, MATCH(2,1/(('Indices Mines Exporting Ports'!$C$20:$C$51=$ID63)*('Indices Mines Exporting Ports'!$D$20:$D$51&lt;=$IE63))))</f>
        <v>3.5000000000000003E-2</v>
      </c>
      <c r="IL63" s="94">
        <f t="array" ref="IL63">INDEX('Indices Mines Exporting Ports'!K$20:K$51, MATCH(2,1/(('Indices Mines Exporting Ports'!$C$20:$C$51=$ID63)*('Indices Mines Exporting Ports'!$D$20:$D$51&lt;=$IE63))))</f>
        <v>0.1</v>
      </c>
      <c r="IM63" s="93" t="str">
        <f t="array" ref="IM63">INDEX('Indices Mines Exporting Ports'!L$20:L$51, MATCH(2,1/(('Indices Mines Exporting Ports'!$C$20:$C$51=$ID63)*('Indices Mines Exporting Ports'!$D$20:$D$51&lt;=$IE63))))</f>
        <v>LT</v>
      </c>
      <c r="IN63" s="101">
        <f t="array" ref="IN63">INDEX('Indices Mines Exporting Ports'!M$20:M$51, MATCH(2,1/(('Indices Mines Exporting Ports'!$C$20:$C$51=$ID63)*('Indices Mines Exporting Ports'!$D$20:$D$51&lt;=$IE63))))</f>
        <v>0.33</v>
      </c>
      <c r="IO63" s="96">
        <f t="array" ref="IO63">INDEX('Indices Mines Exporting Ports'!N$20:N$51, MATCH(2,1/(('Indices Mines Exporting Ports'!$C$20:$C$51=$ID63)*('Indices Mines Exporting Ports'!$D$20:$D$51&lt;=$IE63))))</f>
        <v>180000</v>
      </c>
      <c r="IP63" s="95" t="str">
        <f t="array" ref="IP63">INDEX('Indices Mines Exporting Ports'!Q$20:Q$51, MATCH(2,1/(('Indices Mines Exporting Ports'!$C$20:$C$51=$ID63)*('Indices Mines Exporting Ports'!$D$20:$D$51&lt;=$IE63))))</f>
        <v>SMB-WAP_Nunez_Offshore</v>
      </c>
      <c r="IQ63" s="95" t="str">
        <f t="array" ref="IQ63">INDEX('Indices Mines Exporting Ports'!O$20:O$51, MATCH(2,1/(('Indices Mines Exporting Ports'!$C$20:$C$51=$ID63)*('Indices Mines Exporting Ports'!$D$20:$D$51&lt;=$IE63))))</f>
        <v>Guinea 45/3 LT</v>
      </c>
      <c r="IR63" s="95" t="str">
        <f t="array" ref="IR63">INDEX('Indices Mines Exporting Ports'!P$20:P$51, MATCH(2,1/(('Indices Mines Exporting Ports'!$C$20:$C$51=$ID63)*('Indices Mines Exporting Ports'!$D$20:$D$51&lt;=$IE63))))</f>
        <v>CBIX LT</v>
      </c>
      <c r="IT63" s="287" t="s">
        <v>39</v>
      </c>
      <c r="IV63" s="292">
        <f>VLOOKUP($C63,'China Price Series'!$C$10:$D$1009,2,TRUE)/$JA63/(VLOOKUP($C63,'China Price Series'!$C$10:$E$1009,3,TRUE)*$JG63/$JF63)</f>
        <v>4.1416787371072177</v>
      </c>
      <c r="IW63" s="292">
        <f>VLOOKUP($C63,'China Price Series'!$G$10:$H$1009,2,TRUE)/$JA63/(VLOOKUP($C63,'China Price Series'!$G$10:$I$1009,3,TRUE))</f>
        <v>239.99706356533991</v>
      </c>
      <c r="IX63" s="292">
        <f>VLOOKUP($C63,'China Price Series'!$K$10:$L$1009,2,TRUE)/$JA63</f>
        <v>33.881938385695051</v>
      </c>
      <c r="IY63" s="292">
        <f>VLOOKUP($C63,'China Price Series'!$N$10:$O$1009,2,TRUE)/$JA63</f>
        <v>4.2352422982118814</v>
      </c>
      <c r="JA63" s="277">
        <f t="array" ref="JA63">INDEX('FX rates'!E$10:E$1009,MATCH(2,1/(('FX rates'!$D$10:$D$1009&lt;=Main!$C63)*(NOT(ISBLANK('FX rates'!E$10:E$1009))))))</f>
        <v>7.0834199999999994</v>
      </c>
      <c r="JB63" s="277">
        <f t="array" ref="JB63">INDEX('FX rates'!F$10:F$1009,MATCH(2,1/(('FX rates'!$D$10:$D$1009&lt;=Main!$C63)*(NOT(ISBLANK('FX rates'!F$10:F$1009))))))</f>
        <v>0.61160022139928016</v>
      </c>
      <c r="JC63" s="277">
        <f t="array" ref="JC63">INDEX('FX rates'!G$10:G$1009,MATCH(2,1/(('FX rates'!$D$10:$D$1009&lt;=Main!$C63)*(NOT(ISBLANK('FX rates'!G$10:G$1009))))))</f>
        <v>1</v>
      </c>
      <c r="JD63" s="277">
        <f t="array" ref="JD63">INDEX('FX rates'!H$10:H$1009,MATCH(2,1/(('FX rates'!$D$10:$D$1009&lt;=Main!$C63)*(NOT(ISBLANK('FX rates'!H$10:H$1009))))))</f>
        <v>1.35</v>
      </c>
      <c r="JF63" s="111">
        <f t="array" ref="JF63">INDEX('Global factors'!C$5:C$23,MATCH(2,1/(('Global factors'!$B$5:$B$23&lt;=Main!$C63)*(NOT(ISBLANK('Global factors'!C$5:C$23))))))</f>
        <v>239000</v>
      </c>
      <c r="JG63" s="112">
        <f t="array" ref="JG63">INDEX('Global factors'!D$5:D$23,MATCH(2,1/(('Global factors'!$B$5:$B$23&lt;=Main!$C63)*(NOT(ISBLANK('Global factors'!D$5:D$23))))))</f>
        <v>1000</v>
      </c>
      <c r="JH63" s="112">
        <f t="array" ref="JH63">INDEX('Global factors'!E$5:E$23,MATCH(2,1/(('Global factors'!$B$5:$B$23&lt;=Main!$C63)*(NOT(ISBLANK('Global factors'!E$5:E$23))))))</f>
        <v>24</v>
      </c>
      <c r="JI63" s="112">
        <f t="array" ref="JI63">INDEX('Global factors'!F$5:F$23,MATCH(2,1/(('Global factors'!$B$5:$B$23&lt;=Main!$C63)*(NOT(ISBLANK('Global factors'!F$5:F$23))))))</f>
        <v>2</v>
      </c>
      <c r="JJ63" s="117">
        <f t="array" ref="JJ63">INDEX('Global factors'!G$5:G$23,MATCH(2,1/(('Global factors'!$B$5:$B$23&lt;=Main!$C63)*(NOT(ISBLANK('Global factors'!G$5:G$23))))))</f>
        <v>0.08</v>
      </c>
      <c r="JK63" s="113">
        <f t="array" ref="JK63">INDEX('Global factors'!H$5:H$23,MATCH(2,1/(('Global factors'!$B$5:$B$23&lt;=Main!$C63)*(NOT(ISBLANK('Global factors'!H$5:H$23))))))</f>
        <v>101.96</v>
      </c>
      <c r="JL63" s="113">
        <f t="array" ref="JL63">INDEX('Global factors'!I$5:I$23,MATCH(2,1/(('Global factors'!$B$5:$B$23&lt;=Main!$C63)*(NOT(ISBLANK('Global factors'!I$5:I$23))))))</f>
        <v>60.08</v>
      </c>
      <c r="JM63" s="114">
        <f t="array" ref="JM63">INDEX('Global factors'!J$5:J$23,MATCH(2,1/(('Global factors'!$B$5:$B$23&lt;=Main!$C63)*(NOT(ISBLANK('Global factors'!J$5:J$23))))))</f>
        <v>0.84853528628495334</v>
      </c>
      <c r="JN63" s="115">
        <f t="array" ref="JN63">INDEX('Global factors'!K$5:K$23,MATCH(2,1/(('Global factors'!$B$5:$B$23&lt;=Main!$C63)*(NOT(ISBLANK('Global factors'!K$5:K$23))))))</f>
        <v>0.97499999999999998</v>
      </c>
      <c r="JO63" s="116">
        <f t="array" ref="JO63">INDEX('Global factors'!L$5:L$23,MATCH(2,1/(('Global factors'!$B$5:$B$23&lt;=Main!$C63)*(NOT(ISBLANK('Global factors'!L$5:L$23))))))</f>
        <v>8.7299999999999997E-4</v>
      </c>
      <c r="JP63" s="116">
        <f t="array" ref="JP63">INDEX('Global factors'!M$5:M$23,MATCH(2,1/(('Global factors'!$B$5:$B$23&lt;=Main!$C63)*(NOT(ISBLANK('Global factors'!M$5:M$23))))))</f>
        <v>145.88999999999999</v>
      </c>
      <c r="JQ63" s="116">
        <f t="array" ref="JQ63">INDEX('Global factors'!N$5:N$23,MATCH(2,1/(('Global factors'!$B$5:$B$23&lt;=Main!$C63)*(NOT(ISBLANK('Global factors'!N$5:N$23))))))</f>
        <v>0.40339999999999998</v>
      </c>
      <c r="JR63" s="116">
        <f t="array" ref="JR63">INDEX('Global factors'!O$5:O$23,MATCH(2,1/(('Global factors'!$B$5:$B$23&lt;=Main!$C63)*(NOT(ISBLANK('Global factors'!O$5:O$23))))))</f>
        <v>0</v>
      </c>
      <c r="JS63" s="116">
        <f t="array" ref="JS63">INDEX('Global factors'!P$5:P$23,MATCH(2,1/(('Global factors'!$B$5:$B$23&lt;=Main!$C63)*(NOT(ISBLANK('Global factors'!P$5:P$23))))))</f>
        <v>0.51890000000000003</v>
      </c>
      <c r="JT63" s="116">
        <f t="array" ref="JT63">INDEX('Global factors'!Q$5:Q$23,MATCH(2,1/(('Global factors'!$B$5:$B$23&lt;=Main!$C63)*(NOT(ISBLANK('Global factors'!Q$5:Q$23))))))</f>
        <v>4797</v>
      </c>
      <c r="JU63" s="116">
        <f t="array" ref="JU63">INDEX('Global factors'!R$5:R$23,MATCH(2,1/(('Global factors'!$B$5:$B$23&lt;=Main!$C63)*(NOT(ISBLANK('Global factors'!R$5:R$23))))))</f>
        <v>7</v>
      </c>
      <c r="JV63" s="115">
        <f t="array" ref="JV63">INDEX('Global factors'!S$5:S$23,MATCH(2,1/(('Global factors'!$B$5:$B$23&lt;=Main!$C63)*(NOT(ISBLANK('Global factors'!S$5:S$23))))))</f>
        <v>0.12</v>
      </c>
      <c r="JW63" s="115">
        <f t="array" ref="JW63">INDEX('Global factors'!T$5:T$23,MATCH(2,1/(('Global factors'!$B$5:$B$23&lt;=Main!$C63)*(NOT(ISBLANK('Global factors'!T$5:T$23))))))</f>
        <v>0.5</v>
      </c>
      <c r="JX63" s="116">
        <f t="array" ref="JX63">INDEX('Global factors'!U$5:U$23,MATCH(2,1/(('Global factors'!$B$5:$B$23&lt;=Main!$C63)*(NOT(ISBLANK('Global factors'!U$5:U$23))))))</f>
        <v>0.5</v>
      </c>
      <c r="JY63" s="116">
        <f t="array" ref="JY63">INDEX('Global factors'!V$5:V$23,MATCH(2,1/(('Global factors'!$B$5:$B$23&lt;=Main!$C63)*(NOT(ISBLANK('Global factors'!V$5:V$23))))))</f>
        <v>10000</v>
      </c>
      <c r="JZ63" s="116">
        <f t="array" ref="JZ63">INDEX('Global factors'!W$5:W$23,MATCH(2,1/(('Global factors'!$B$5:$B$23&lt;=Main!$C63)*(NOT(ISBLANK('Global factors'!W$5:W$23))))))</f>
        <v>0.10680000000000001</v>
      </c>
      <c r="KA63" s="116">
        <f t="array" ref="KA63">INDEX('Global factors'!X$5:X$23,MATCH(2,1/(('Global factors'!$B$5:$B$23&lt;=Main!$C63)*(NOT(ISBLANK('Global factors'!X$5:X$23))))))</f>
        <v>1.2</v>
      </c>
      <c r="KB63" s="116">
        <v>0</v>
      </c>
      <c r="KC63" s="272">
        <f t="array" ref="KC63">INDEX('Global factors'!Y$5:Y$23,MATCH(2,1/(('Global factors'!$B$5:$B$23&lt;=Main!$C63)*(NOT(ISBLANK('Global factors'!Y$5:Y$23))))))</f>
        <v>23643.7088248818</v>
      </c>
      <c r="KD63" s="273">
        <f t="array" ref="KD63">INDEX('Global factors'!Z$5:Z$23,MATCH(2,1/(('Global factors'!$B$5:$B$23&lt;=Main!$C63)*(NOT(ISBLANK('Global factors'!Z$5:Z$23))))))</f>
        <v>0.62802869915581405</v>
      </c>
      <c r="KE63" s="273">
        <v>0</v>
      </c>
      <c r="KF63" s="273">
        <v>0</v>
      </c>
      <c r="KG63" s="116">
        <v>0</v>
      </c>
      <c r="KH63" s="116">
        <f t="array" ref="KH63">INDEX('Global factors'!AB$5:AB$23,MATCH(2,1/(('Global factors'!$B$5:$B$23&lt;=Main!$C63)*(NOT(ISBLANK('Global factors'!AB$5:AB$23))))))</f>
        <v>6.2556361557795204E-2</v>
      </c>
      <c r="KI63" s="116">
        <f t="array" ref="KI63">INDEX('Global factors'!AC$5:AC$23,MATCH(2,1/(('Global factors'!$B$5:$B$23&lt;=Main!$C63)*(NOT(ISBLANK('Global factors'!AC$5:AC$23))))))</f>
        <v>8.6923129044225601E-4</v>
      </c>
      <c r="KJ63" s="116">
        <f t="array" ref="KJ63">INDEX('Global factors'!AD$5:AD$23,MATCH(2,1/(('Global factors'!$B$5:$B$23&lt;=Main!$C63)*(NOT(ISBLANK('Global factors'!AD$5:AD$23))))))</f>
        <v>1.1499999999999999</v>
      </c>
      <c r="KK63" s="116" t="str">
        <f t="array" ref="KK63">INDEX('Global factors'!AE$5:AE$23,MATCH(2,1/(('Global factors'!$B$5:$B$23&lt;=Main!$C63)*(NOT(ISBLANK('Global factors'!AE$5:AE$23))))))</f>
        <v>Qingdao</v>
      </c>
      <c r="KL63" s="290">
        <f t="array" ref="KL63">INDEX('Global factors'!AF$5:AF$23,MATCH(2,1/(('Global factors'!$B$5:$B$23&lt;=Main!$C63)*(NOT(ISBLANK('Global factors'!AF$5:AF$23))))))</f>
        <v>3.0000000000000001E-3</v>
      </c>
      <c r="KM63" s="290"/>
      <c r="KO63" s="287" t="s">
        <v>39</v>
      </c>
      <c r="KQ63" s="25">
        <f t="shared" si="647"/>
        <v>172079.77207977208</v>
      </c>
      <c r="KR63" s="4" t="str">
        <f>VLOOKUP(KQ63,'Ship Time Charter Rates'!$F$10:$G$17,2,TRUE)</f>
        <v>Capesize</v>
      </c>
      <c r="KS63" s="4" t="str">
        <f>VLOOKUP(KQ63,Canals!$E$5:$F$12,2,TRUE)</f>
        <v>Capesize</v>
      </c>
      <c r="KT63" s="25">
        <f t="shared" si="648"/>
        <v>296.11564102564103</v>
      </c>
      <c r="KU63" s="25">
        <f t="shared" si="649"/>
        <v>69416.980056980057</v>
      </c>
      <c r="KV63" s="25">
        <f t="shared" si="650"/>
        <v>94089.193732193744</v>
      </c>
      <c r="KX63" s="75">
        <f t="array" ref="KX63">INDEX('Indices Mines Exporting Ports'!$R$20:$R$51,MATCH(2,1/(('Indices Mines Exporting Ports'!$D$20:$D$51&lt;=Main!$C63)*('Indices Mines Exporting Ports'!$Q$20:$Q$51=$AP63))))</f>
        <v>30000</v>
      </c>
      <c r="KY63" s="75">
        <f t="array" ref="KY63">INDEX('Indices Mines Exporting Ports'!$S$20:$S$51,MATCH(2,1/(('Indices Mines Exporting Ports'!$D$20:$D$51&lt;=Main!$C63)*('Indices Mines Exporting Ports'!$Q$20:$Q$51=$AP63))))</f>
        <v>30000</v>
      </c>
      <c r="KZ63" s="75">
        <f t="array" ref="KZ63">INDEX('Indices Mines Exporting Ports'!$T$20:$T$51,MATCH(2,1/(('Indices Mines Exporting Ports'!$D$20:$D$51&lt;=Main!$C63)*('Indices Mines Exporting Ports'!$Q$20:$Q$51=$AP63))))</f>
        <v>30000</v>
      </c>
      <c r="LA63" s="75">
        <f t="array" ref="LA63">INDEX('Indices Mines Exporting Ports'!$U$20:$U$51,MATCH(2,1/(('Indices Mines Exporting Ports'!$D$20:$D$51&lt;=Main!$C63)*('Indices Mines Exporting Ports'!$Q$20:$Q$51=$AP63))))</f>
        <v>30000</v>
      </c>
      <c r="LB63" s="75">
        <f t="array" ref="LB63">INDEX('Indices Mines Exporting Ports'!$V$20:$V$51,MATCH(2,1/(('Indices Mines Exporting Ports'!$D$20:$D$51&lt;=Main!$C63)*('Indices Mines Exporting Ports'!$Q$20:$Q$51=$AP63))))</f>
        <v>30000</v>
      </c>
      <c r="LC63" s="75">
        <f t="array" ref="LC63">INDEX('Indices Mines Exporting Ports'!$W$20:$W$51,MATCH(2,1/(('Indices Mines Exporting Ports'!$D$20:$D$51&lt;=Main!$C63)*('Indices Mines Exporting Ports'!$Q$20:$Q$51=$AP63))))</f>
        <v>30000</v>
      </c>
      <c r="LD63" s="75">
        <f t="array" ref="LD63">INDEX('Indices Mines Exporting Ports'!$X$20:$X$51,MATCH(2,1/(('Indices Mines Exporting Ports'!$D$20:$D$51&lt;=Main!$C63)*('Indices Mines Exporting Ports'!$Q$20:$Q$51=$AP63))))</f>
        <v>30000</v>
      </c>
      <c r="LF63" s="75">
        <f t="array" ref="LF63">INDEX('Port Linkages'!$E$18:$E$157,MATCH(2,1/(('Port Linkages'!$C$18:$C$157=$AP63)*('Port Linkages'!$D$18:$D$157=IF($AO63="Yes",$AQ63,$AS63))*('Port Linkages'!$A$18:$A$157&lt;=$C63))))</f>
        <v>11150</v>
      </c>
      <c r="LG63" s="75">
        <f t="array" ref="LG63">INDEX('Port Linkages'!$F$18:$F$157,MATCH(2,1/(('Port Linkages'!$C$18:$C$157=$AP63)*('Port Linkages'!$D$18:$D$157=IF($AO63="Yes",$AQ63,$AS63))*('Port Linkages'!$A$18:$A$157&lt;=$C63))))</f>
        <v>0</v>
      </c>
      <c r="LH63" s="75" t="str">
        <f t="array" ref="LH63">INDEX('Port Linkages'!$G$18:$G$157,MATCH(2,1/(('Port Linkages'!$C$18:$C$157=$AP63)*('Port Linkages'!$D$18:$D$157=IF($AO63="Yes",$AQ63,$AS63))*('Port Linkages'!$A$18:$A$157&lt;=$C63))))</f>
        <v>VLOC_General</v>
      </c>
      <c r="LI63" s="75" t="str">
        <f t="array" ref="LI63">INDEX('Port Linkages'!$H$18:$H$157,MATCH(2,1/(('Port Linkages'!$C$18:$C$157=$AP63)*('Port Linkages'!$D$18:$D$157=IF($AO63="Yes",$AQ63,$AS63))*('Port Linkages'!$A$18:$A$157&lt;=$C63))))</f>
        <v>Singapore</v>
      </c>
      <c r="LJ63" s="75" t="str">
        <f t="array" ref="LJ63">INDEX('Port Linkages'!$I$18:$I$157,MATCH(2,1/(('Port Linkages'!$C$18:$C$157=$AP63)*('Port Linkages'!$D$18:$D$157=IF($AO63="Yes",$AQ63,$AS63))*('Port Linkages'!$A$18:$A$157&lt;=$C63))))</f>
        <v>VLSFO</v>
      </c>
      <c r="LK63" s="75" t="str">
        <f t="array" ref="LK63">INDEX('Port Linkages'!$J$18:$J$157,MATCH(2,1/(('Port Linkages'!$C$18:$C$157=$AP63)*('Port Linkages'!$D$18:$D$157=IF($AO63="Yes",$AQ63,$AS63))*('Port Linkages'!$A$18:$A$157&lt;=$C63))))</f>
        <v>MGO_Regular</v>
      </c>
      <c r="LL63" s="75" t="str">
        <f t="array" ref="LL63">INDEX('Port Linkages'!$K$18:$K$157,MATCH(2,1/(('Port Linkages'!$C$18:$C$157=$AP63)*('Port Linkages'!$D$18:$D$157=IF($AO63="Yes",$AQ63,$AS63))*('Port Linkages'!$A$18:$A$157&lt;=$C63))))</f>
        <v>none</v>
      </c>
      <c r="LM63" s="75">
        <f t="array" ref="LM63">INDEX('Port Linkages'!$L$18:$L$157,MATCH(2,1/(('Port Linkages'!$C$18:$C$157=$AP63)*('Port Linkages'!$D$18:$D$157=IF($AO63="Yes",$AQ63,$AS63))*('Port Linkages'!$A$18:$A$157&lt;=$C63))))</f>
        <v>11150</v>
      </c>
      <c r="LN63" s="75">
        <f t="array" ref="LN63">INDEX('Port Linkages'!$M$18:$M$157,MATCH(2,1/(('Port Linkages'!$C$18:$C$157=$AP63)*('Port Linkages'!$D$18:$D$157=IF($AO63="Yes",$AQ63,$AS63))*('Port Linkages'!$A$18:$A$157&lt;=$C63))))</f>
        <v>0</v>
      </c>
      <c r="LO63" s="75" t="str">
        <f t="array" ref="LO63">INDEX('Port Linkages'!$N$18:$N$157,MATCH(2,1/(('Port Linkages'!$C$18:$C$157=$AP63)*('Port Linkages'!$D$18:$D$157=IF($AO63="Yes",$AQ63,$AS63))*('Port Linkages'!$A$18:$A$157&lt;=$C63))))</f>
        <v>Capesize_General</v>
      </c>
      <c r="LP63" s="75" t="str">
        <f t="array" ref="LP63">INDEX('Port Linkages'!$O$18:$O$157,MATCH(2,1/(('Port Linkages'!$C$18:$C$157=$AP63)*('Port Linkages'!$D$18:$D$157=IF($AO63="Yes",$AQ63,$AS63))*('Port Linkages'!$A$18:$A$157&lt;=$C63))))</f>
        <v>Singapore</v>
      </c>
      <c r="LQ63" s="75" t="str">
        <f t="array" ref="LQ63">INDEX('Port Linkages'!$P$18:$P$157,MATCH(2,1/(('Port Linkages'!$C$18:$C$157=$AP63)*('Port Linkages'!$D$18:$D$157=IF($AO63="Yes",$AQ63,$AS63))*('Port Linkages'!$A$18:$A$157&lt;=$C63))))</f>
        <v>VLSFO</v>
      </c>
      <c r="LR63" s="75" t="str">
        <f t="array" ref="LR63">INDEX('Port Linkages'!$Q$18:$Q$157,MATCH(2,1/(('Port Linkages'!$C$18:$C$157=$AP63)*('Port Linkages'!$D$18:$D$157=IF($AO63="Yes",$AQ63,$AS63))*('Port Linkages'!$A$18:$A$157&lt;=$C63))))</f>
        <v>MGO_Regular</v>
      </c>
      <c r="LS63" s="75" t="str">
        <f t="array" ref="LS63">INDEX('Port Linkages'!$R$18:$R$157,MATCH(2,1/(('Port Linkages'!$C$18:$C$157=$AP63)*('Port Linkages'!$D$18:$D$157=IF($AO63="Yes",$AQ63,$AS63))*('Port Linkages'!$A$18:$A$157&lt;=$C63))))</f>
        <v>none</v>
      </c>
      <c r="LT63" s="75">
        <f t="array" ref="LT63">INDEX('Port Linkages'!$S$18:$S$157,MATCH(2,1/(('Port Linkages'!$C$18:$C$157=$AP63)*('Port Linkages'!$D$18:$D$157=IF($AO63="Yes",$AQ63,$AS63))*('Port Linkages'!$A$18:$A$157&lt;=$C63))))</f>
        <v>11150</v>
      </c>
      <c r="LU63" s="75">
        <f t="array" ref="LU63">INDEX('Port Linkages'!$T$18:$T$157,MATCH(2,1/(('Port Linkages'!$C$18:$C$157=$AP63)*('Port Linkages'!$D$18:$D$157=IF($AO63="Yes",$AQ63,$AS63))*('Port Linkages'!$A$18:$A$157&lt;=$C63))))</f>
        <v>0</v>
      </c>
      <c r="LV63" s="75" t="str">
        <f t="array" ref="LV63">INDEX('Port Linkages'!$U$18:$U$157,MATCH(2,1/(('Port Linkages'!$C$18:$C$157=$AP63)*('Port Linkages'!$D$18:$D$157=IF($AO63="Yes",$AQ63,$AS63))*('Port Linkages'!$A$18:$A$157&lt;=$C63))))</f>
        <v>Capesize_General</v>
      </c>
      <c r="LW63" s="75" t="str">
        <f t="array" ref="LW63">INDEX('Port Linkages'!$V$18:$V$157,MATCH(2,1/(('Port Linkages'!$C$18:$C$157=$AP63)*('Port Linkages'!$D$18:$D$157=IF($AO63="Yes",$AQ63,$AS63))*('Port Linkages'!$A$18:$A$157&lt;=$C63))))</f>
        <v>Singapore</v>
      </c>
      <c r="LX63" s="75" t="str">
        <f t="array" ref="LX63">INDEX('Port Linkages'!$W$18:$W$157,MATCH(2,1/(('Port Linkages'!$C$18:$C$157=$AP63)*('Port Linkages'!$D$18:$D$157=IF($AO63="Yes",$AQ63,$AS63))*('Port Linkages'!$A$18:$A$157&lt;=$C63))))</f>
        <v>VLSFO</v>
      </c>
      <c r="LY63" s="75" t="str">
        <f t="array" ref="LY63">INDEX('Port Linkages'!$X$18:$X$157,MATCH(2,1/(('Port Linkages'!$C$18:$C$157=$AP63)*('Port Linkages'!$D$18:$D$157=IF($AO63="Yes",$AQ63,$AS63))*('Port Linkages'!$A$18:$A$157&lt;=$C63))))</f>
        <v>MGO_Regular</v>
      </c>
      <c r="LZ63" s="75" t="str">
        <f t="array" ref="LZ63">INDEX('Port Linkages'!$Y$18:$Y$157,MATCH(2,1/(('Port Linkages'!$C$18:$C$157=$AP63)*('Port Linkages'!$D$18:$D$157=IF($AO63="Yes",$AQ63,$AS63))*('Port Linkages'!$A$18:$A$157&lt;=$C63))))</f>
        <v>none</v>
      </c>
      <c r="MA63" s="75">
        <f t="array" ref="MA63">INDEX('Port Linkages'!$Z$18:$Z$157,MATCH(2,1/(('Port Linkages'!$C$18:$C$157=$AP63)*('Port Linkages'!$D$18:$D$157=IF($AO63="Yes",$AQ63,$AS63))*('Port Linkages'!$A$18:$A$157&lt;=$C63))))</f>
        <v>11150</v>
      </c>
      <c r="MB63" s="75">
        <f t="array" ref="MB63">INDEX('Port Linkages'!$AA$18:$AA$157,MATCH(2,1/(('Port Linkages'!$C$18:$C$157=$AP63)*('Port Linkages'!$D$18:$D$157=IF($AO63="Yes",$AQ63,$AS63))*('Port Linkages'!$A$18:$A$157&lt;=$C63))))</f>
        <v>0</v>
      </c>
      <c r="MC63" s="75" t="str">
        <f t="array" ref="MC63">INDEX('Port Linkages'!$AB$18:$AB$157,MATCH(2,1/(('Port Linkages'!$C$18:$C$157=$AP63)*('Port Linkages'!$D$18:$D$157=IF($AO63="Yes",$AQ63,$AS63))*('Port Linkages'!$A$18:$A$157&lt;=$C63))))</f>
        <v>Capesize_General</v>
      </c>
      <c r="MD63" s="75" t="str">
        <f t="array" ref="MD63">INDEX('Port Linkages'!$AC$18:$AC$157,MATCH(2,1/(('Port Linkages'!$C$18:$C$157=$AP63)*('Port Linkages'!$D$18:$D$157=IF($AO63="Yes",$AQ63,$AS63))*('Port Linkages'!$A$18:$A$157&lt;=$C63))))</f>
        <v>Singapore</v>
      </c>
      <c r="ME63" s="75" t="str">
        <f t="array" ref="ME63">INDEX('Port Linkages'!$AD$18:$AD$157,MATCH(2,1/(('Port Linkages'!$C$18:$C$157=$AP63)*('Port Linkages'!$D$18:$D$157=IF($AO63="Yes",$AQ63,$AS63))*('Port Linkages'!$A$18:$A$157&lt;=$C63))))</f>
        <v>VLSFO</v>
      </c>
      <c r="MF63" s="75" t="str">
        <f t="array" ref="MF63">INDEX('Port Linkages'!$AE$18:$AE$157,MATCH(2,1/(('Port Linkages'!$C$18:$C$157=$AP63)*('Port Linkages'!$D$18:$D$157=IF($AO63="Yes",$AQ63,$AS63))*('Port Linkages'!$A$18:$A$157&lt;=$C63))))</f>
        <v>MGO_Regular</v>
      </c>
      <c r="MG63" s="75" t="str">
        <f t="array" ref="MG63">INDEX('Port Linkages'!$AF$18:$AF$157,MATCH(2,1/(('Port Linkages'!$C$18:$C$157=$AP63)*('Port Linkages'!$D$18:$D$157=IF($AO63="Yes",$AQ63,$AS63))*('Port Linkages'!$A$18:$A$157&lt;=$C63))))</f>
        <v>none</v>
      </c>
      <c r="MH63" s="75">
        <f t="array" ref="MH63">INDEX('Port Linkages'!$AG$18:$AG$157,MATCH(2,1/(('Port Linkages'!$C$18:$C$157=$AP63)*('Port Linkages'!$D$18:$D$157=IF($AO63="Yes",$AQ63,$AS63))*('Port Linkages'!$A$18:$A$157&lt;=$C63))))</f>
        <v>11150</v>
      </c>
      <c r="MI63" s="75">
        <f t="array" ref="MI63">INDEX('Port Linkages'!$AH$18:$AH$157,MATCH(2,1/(('Port Linkages'!$C$18:$C$157=$AP63)*('Port Linkages'!$D$18:$D$157=IF($AO63="Yes",$AQ63,$AS63))*('Port Linkages'!$A$18:$A$157&lt;=$C63))))</f>
        <v>0</v>
      </c>
      <c r="MJ63" s="75" t="str">
        <f t="array" ref="MJ63">INDEX('Port Linkages'!$AI$18:$AI$157,MATCH(2,1/(('Port Linkages'!$C$18:$C$157=$AP63)*('Port Linkages'!$D$18:$D$157=IF($AO63="Yes",$AQ63,$AS63))*('Port Linkages'!$A$18:$A$157&lt;=$C63))))</f>
        <v>Panamax_General</v>
      </c>
      <c r="MK63" s="75" t="str">
        <f t="array" ref="MK63">INDEX('Port Linkages'!$AJ$18:$AJ$157,MATCH(2,1/(('Port Linkages'!$C$18:$C$157=$AP63)*('Port Linkages'!$D$18:$D$157=IF($AO63="Yes",$AQ63,$AS63))*('Port Linkages'!$A$18:$A$157&lt;=$C63))))</f>
        <v>Singapore</v>
      </c>
      <c r="ML63" s="75" t="str">
        <f t="array" ref="ML63">INDEX('Port Linkages'!$AK$18:$AK$157,MATCH(2,1/(('Port Linkages'!$C$18:$C$157=$AP63)*('Port Linkages'!$D$18:$D$157=IF($AO63="Yes",$AQ63,$AS63))*('Port Linkages'!$A$18:$A$157&lt;=$C63))))</f>
        <v>VLSFO</v>
      </c>
      <c r="MM63" s="75" t="str">
        <f t="array" ref="MM63">INDEX('Port Linkages'!$AL$18:$AL$157,MATCH(2,1/(('Port Linkages'!$C$18:$C$157=$AP63)*('Port Linkages'!$D$18:$D$157=IF($AO63="Yes",$AQ63,$AS63))*('Port Linkages'!$A$18:$A$157&lt;=$C63))))</f>
        <v>MGO_Regular</v>
      </c>
      <c r="MN63" s="75" t="str">
        <f t="array" ref="MN63">INDEX('Port Linkages'!$AM$18:$AM$157,MATCH(2,1/(('Port Linkages'!$C$18:$C$157=$AP63)*('Port Linkages'!$D$18:$D$157=IF($AO63="Yes",$AQ63,$AS63))*('Port Linkages'!$A$18:$A$157&lt;=$C63))))</f>
        <v>none</v>
      </c>
      <c r="MO63" s="75">
        <f t="array" ref="MO63">INDEX('Port Linkages'!$AN$18:$AN$157,MATCH(2,1/(('Port Linkages'!$C$18:$C$157=$AP63)*('Port Linkages'!$D$18:$D$157=IF($AO63="Yes",$AQ63,$AS63))*('Port Linkages'!$A$18:$A$157&lt;=$C63))))</f>
        <v>11150</v>
      </c>
      <c r="MP63" s="75">
        <f t="array" ref="MP63">INDEX('Port Linkages'!$AO$18:$AO$157,MATCH(2,1/(('Port Linkages'!$C$18:$C$157=$AP63)*('Port Linkages'!$D$18:$D$157=IF($AO63="Yes",$AQ63,$AS63))*('Port Linkages'!$A$18:$A$157&lt;=$C63))))</f>
        <v>0</v>
      </c>
      <c r="MQ63" s="75" t="str">
        <f t="array" ref="MQ63">INDEX('Port Linkages'!$AP$18:$AP$157,MATCH(2,1/(('Port Linkages'!$C$18:$C$157=$AP63)*('Port Linkages'!$D$18:$D$157=IF($AO63="Yes",$AQ63,$AS63))*('Port Linkages'!$A$18:$A$157&lt;=$C63))))</f>
        <v>Supramax_General</v>
      </c>
      <c r="MR63" s="75" t="str">
        <f t="array" ref="MR63">INDEX('Port Linkages'!$AQ$18:$AQ$157,MATCH(2,1/(('Port Linkages'!$C$18:$C$157=$AP63)*('Port Linkages'!$D$18:$D$157=IF($AO63="Yes",$AQ63,$AS63))*('Port Linkages'!$A$18:$A$157&lt;=$C63))))</f>
        <v>Singapore</v>
      </c>
      <c r="MS63" s="75" t="str">
        <f t="array" ref="MS63">INDEX('Port Linkages'!$AR$18:$AR$157,MATCH(2,1/(('Port Linkages'!$C$18:$C$157=$AP63)*('Port Linkages'!$D$18:$D$157=IF($AO63="Yes",$AQ63,$AS63))*('Port Linkages'!$A$18:$A$157&lt;=$C63))))</f>
        <v>VLSFO</v>
      </c>
      <c r="MT63" s="75" t="str">
        <f t="array" ref="MT63">INDEX('Port Linkages'!$AS$18:$AS$157,MATCH(2,1/(('Port Linkages'!$C$18:$C$157=$AP63)*('Port Linkages'!$D$18:$D$157=IF($AO63="Yes",$AQ63,$AS63))*('Port Linkages'!$A$18:$A$157&lt;=$C63))))</f>
        <v>MGO_Regular</v>
      </c>
      <c r="MU63" s="75" t="str">
        <f t="array" ref="MU63">INDEX('Port Linkages'!$AT$18:$AT$157,MATCH(2,1/(('Port Linkages'!$C$18:$C$157=$AP63)*('Port Linkages'!$D$18:$D$157=IF($AO63="Yes",$AQ63,$AS63))*('Port Linkages'!$A$18:$A$157&lt;=$C63))))</f>
        <v>none</v>
      </c>
      <c r="MV63" s="75">
        <f t="array" ref="MV63">INDEX('Port Linkages'!$AU$18:$AU$157,MATCH(2,1/(('Port Linkages'!$C$18:$C$157=$AP63)*('Port Linkages'!$D$18:$D$157=IF($AO63="Yes",$AQ63,$AS63))*('Port Linkages'!$A$18:$A$157&lt;=$C63))))</f>
        <v>11150</v>
      </c>
      <c r="MW63" s="75">
        <f t="array" ref="MW63">INDEX('Port Linkages'!$AV$18:$AV$157,MATCH(2,1/(('Port Linkages'!$C$18:$C$157=$AP63)*('Port Linkages'!$D$18:$D$157=IF($AO63="Yes",$AQ63,$AS63))*('Port Linkages'!$A$18:$A$157&lt;=$C63))))</f>
        <v>0</v>
      </c>
      <c r="MX63" s="75" t="str">
        <f t="array" ref="MX63">INDEX('Port Linkages'!$AW$18:$AW$157,MATCH(2,1/(('Port Linkages'!$C$18:$C$157=$AP63)*('Port Linkages'!$D$18:$D$157=IF($AO63="Yes",$AQ63,$AS63))*('Port Linkages'!$A$18:$A$157&lt;=$C63))))</f>
        <v>Handysize_General</v>
      </c>
      <c r="MY63" s="75" t="str">
        <f t="array" ref="MY63">INDEX('Port Linkages'!$AX$18:$AX$157,MATCH(2,1/(('Port Linkages'!$C$18:$C$157=$AP63)*('Port Linkages'!$D$18:$D$157=IF($AO63="Yes",$AQ63,$AS63))*('Port Linkages'!$A$18:$A$157&lt;=$C63))))</f>
        <v>Singapore</v>
      </c>
      <c r="MZ63" s="75" t="str">
        <f t="array" ref="MZ63">INDEX('Port Linkages'!$AY$18:$AY$157,MATCH(2,1/(('Port Linkages'!$C$18:$C$157=$AP63)*('Port Linkages'!$D$18:$D$157=IF($AO63="Yes",$AQ63,$AS63))*('Port Linkages'!$A$18:$A$157&lt;=$C63))))</f>
        <v>VLSFO</v>
      </c>
      <c r="NA63" s="75" t="str">
        <f t="array" ref="NA63">INDEX('Port Linkages'!$AZ$18:$AZ$157,MATCH(2,1/(('Port Linkages'!$C$18:$C$157=$AP63)*('Port Linkages'!$D$18:$D$157=IF($AO63="Yes",$AQ63,$AS63))*('Port Linkages'!$A$18:$A$157&lt;=$C63))))</f>
        <v>MGO_Regular</v>
      </c>
      <c r="NB63" s="75" t="str">
        <f t="array" ref="NB63">INDEX('Port Linkages'!$BA$18:$BA$157,MATCH(2,1/(('Port Linkages'!$C$18:$C$157=$AP63)*('Port Linkages'!$D$18:$D$157=IF($AO63="Yes",$AQ63,$AS63))*('Port Linkages'!$A$18:$A$157&lt;=$C63))))</f>
        <v>none</v>
      </c>
      <c r="ND63" s="25" t="e">
        <f t="array" aca="1" ref="ND63" ca="1">INDEX('Ship Fuel Prices'!$F$5:$F$1004,MATCH(2,1/(('Ship Fuel Prices'!$E$5:$E$1004=_xlfn.IFS(KS63="Handysize",Main!MY63,KS63="Supramax",MR63,KS63="Panamax",MK63,KS63="NeoPanamax",MD63,KS63="Suezmax",LW63,KS63="Capesize",LP63,KS63="VLOC",LI63))*('Ship Fuel Prices'!$D$5:$D$1004&lt;=Main!$C63))))</f>
        <v>#N/A</v>
      </c>
      <c r="NE63" s="25" t="e">
        <f t="array" aca="1" ref="NE63" ca="1">INDEX('Ship Fuel Prices'!$G$5:$G$1004,MATCH(2,1/(('Ship Fuel Prices'!$E$5:$E$1004=_xlfn.IFS(KS63="Handysize",Main!MY63,KS63="Supramax",MR63,KS63="Panamax",MK63,KS63="NeoPanamax",MD63,KS63="Suezmax",LW63,KS63="Capesize",LP63,KS63="VLOC",LI63))*('Ship Fuel Prices'!$D$5:$D$1004&lt;=Main!$C63))))</f>
        <v>#N/A</v>
      </c>
      <c r="NF63" s="25" t="e">
        <f t="array" aca="1" ref="NF63" ca="1">INDEX('Ship Fuel Prices'!$H$5:$H$1004,MATCH(2,1/(('Ship Fuel Prices'!$E$5:$E$1004=_xlfn.IFS(KS63="Handysize",Main!MY63,KS63="Supramax",MR63,KS63="Panamax",MK63,KS63="NeoPanamax",MD63,KS63="Suezmax",LW63,KS63="Capesize",LP63,KS63="VLOC",LI63))*('Ship Fuel Prices'!$D$5:$D$1004&lt;=Main!$C63))))</f>
        <v>#N/A</v>
      </c>
      <c r="NG63" s="25" t="e">
        <f t="array" aca="1" ref="NG63" ca="1">INDEX('Ship Fuel Prices'!$I$5:$I$1004,MATCH(2,1/(('Ship Fuel Prices'!$E$5:$E$1004=_xlfn.IFS(KS63="Handysize",Main!MY63,KS63="Supramax",MR63,KS63="Panamax",MK63,KS63="NeoPanamax",MD63,KS63="Suezmax",LW63,KS63="Capesize",LP63,KS63="VLOC",LI63))*('Ship Fuel Prices'!$D$5:$D$1004&lt;=Main!$C63))))</f>
        <v>#N/A</v>
      </c>
      <c r="NH63" s="25" t="e">
        <f t="array" aca="1" ref="NH63" ca="1">INDEX('Ship Fuel Prices'!$J$5:$J$1004,MATCH(2,1/(('Ship Fuel Prices'!$E$5:$E$1004=_xlfn.IFS(KS63="Handysize",Main!MY63,KS63="Supramax",MR63,KS63="Panamax",MK63,KS63="NeoPanamax",MD63,KS63="Suezmax",LW63,KS63="Capesize",LP63,KS63="VLOC",LI63))*('Ship Fuel Prices'!$D$5:$D$1004&lt;=Main!$C63))))</f>
        <v>#N/A</v>
      </c>
      <c r="NJ63" s="75">
        <f t="array" ref="NJ63">INDEX('China n Importing Ports'!$E$20:$E$41,MATCH(2,1/(('China n Importing Ports'!$D$20:$D$41&lt;=$C63)*('China n Importing Ports'!$C$20:$C$41=IF($AO63="Yes",$AQ63,$AS63)))))</f>
        <v>42500</v>
      </c>
      <c r="NK63" s="75">
        <f t="array" ref="NK63">INDEX('China n Importing Ports'!$F$20:$F$41,MATCH(2,1/(('China n Importing Ports'!$D$20:$D$41&lt;=$C63)*('China n Importing Ports'!$C$20:$C$41=IF($AO63="Yes",$AQ63,$AS63)))))</f>
        <v>42500</v>
      </c>
      <c r="NL63" s="75">
        <f t="array" ref="NL63">INDEX('China n Importing Ports'!$G$20:$G$41,MATCH(2,1/(('China n Importing Ports'!$D$20:$D$41&lt;=$C63)*('China n Importing Ports'!$C$20:$C$41=IF($AO63="Yes",$AQ63,$AS63)))))</f>
        <v>42500</v>
      </c>
      <c r="NM63" s="75">
        <f t="array" ref="NM63">INDEX('China n Importing Ports'!$H$20:$H$41,MATCH(2,1/(('China n Importing Ports'!$D$20:$D$41&lt;=$C63)*('China n Importing Ports'!$C$20:$C$41=IF($AO63="Yes",$AQ63,$AS63)))))</f>
        <v>42500</v>
      </c>
      <c r="NN63" s="75">
        <f t="array" ref="NN63">INDEX('China n Importing Ports'!$I$20:$I$41,MATCH(2,1/(('China n Importing Ports'!$D$20:$D$41&lt;=$C63)*('China n Importing Ports'!$C$20:$C$41=IF($AO63="Yes",$AQ63,$AS63)))))</f>
        <v>42500</v>
      </c>
      <c r="NO63" s="75">
        <f t="array" ref="NO63">INDEX('China n Importing Ports'!$J$20:$J$41,MATCH(2,1/(('China n Importing Ports'!$D$20:$D$41&lt;=$C63)*('China n Importing Ports'!$C$20:$C$41=IF($AO63="Yes",$AQ63,$AS63)))))</f>
        <v>42500</v>
      </c>
      <c r="NP63" s="75">
        <f t="array" ref="NP63">INDEX('China n Importing Ports'!$K$20:$K$41,MATCH(2,1/(('China n Importing Ports'!$D$20:$D$41&lt;=$C63)*('China n Importing Ports'!$C$20:$C$41=IF($AO63="Yes",$AQ63,$AS63)))))</f>
        <v>42500</v>
      </c>
      <c r="NQ63" s="75" t="str">
        <f t="array" ref="NQ63">INDEX('China n Importing Ports'!$L$20:$L$41,MATCH(2,1/(('China n Importing Ports'!$D$20:$D$41&lt;=$C63)*('China n Importing Ports'!$C$20:$C$41=IF($AO63="Yes",$AQ63,$AS63)))))</f>
        <v>RMB</v>
      </c>
      <c r="NR63" s="75">
        <f t="array" ref="NR63">INDEX('China n Importing Ports'!$M$20:$M$41,MATCH(2,1/(('China n Importing Ports'!$D$20:$D$41&lt;=$C63)*('China n Importing Ports'!$C$20:$C$41=IF($AO63="Yes",$AQ63,$AS63)))))</f>
        <v>12342</v>
      </c>
      <c r="NS63" s="75">
        <f t="array" ref="NS63">INDEX('China n Importing Ports'!$N$20:$N$41,MATCH(2,1/(('China n Importing Ports'!$D$20:$D$41&lt;=$C63)*('China n Importing Ports'!$C$20:$C$41=IF($AO63="Yes",$AQ63,$AS63)))))</f>
        <v>0</v>
      </c>
      <c r="NT63" s="75">
        <f t="array" ref="NT63">INDEX('China n Importing Ports'!$O$20:$O$41,MATCH(2,1/(('China n Importing Ports'!$D$20:$D$41&lt;=$C63)*('China n Importing Ports'!$C$20:$C$41=IF($AO63="Yes",$AQ63,$AS63)))))</f>
        <v>0</v>
      </c>
      <c r="NU63" s="136">
        <f t="array" ref="NU63">INDEX('China n Importing Ports'!$P$20:$P$41,MATCH(2,1/(('China n Importing Ports'!$D$20:$D$41&lt;=$C63)*('China n Importing Ports'!$C$20:$C$41=IF($AO63="Yes",$AQ63,$AS63)))))</f>
        <v>2.64</v>
      </c>
      <c r="NV63" s="136">
        <f t="array" ref="NV63">INDEX('China n Importing Ports'!$Q$20:$Q$41,MATCH(2,1/(('China n Importing Ports'!$D$20:$D$41&lt;=$C63)*('China n Importing Ports'!$C$20:$C$41=IF($AO63="Yes",$AQ63,$AS63)))))</f>
        <v>0</v>
      </c>
      <c r="NW63" s="136">
        <f t="array" ref="NW63">INDEX('China n Importing Ports'!$R$20:$R$41,MATCH(2,1/(('China n Importing Ports'!$D$20:$D$41&lt;=$C63)*('China n Importing Ports'!$C$20:$C$41=IF($AO63="Yes",$AQ63,$AS63)))))</f>
        <v>0</v>
      </c>
      <c r="NX63" s="136">
        <f t="array" ref="NX63">INDEX('China n Importing Ports'!$S$20:$S$41,MATCH(2,1/(('China n Importing Ports'!$D$20:$D$41&lt;=$C63)*('China n Importing Ports'!$C$20:$C$41=IF($AO63="Yes",$AQ63,$AS63)))))</f>
        <v>4.53</v>
      </c>
      <c r="NY63" s="136">
        <f t="array" ref="NY63">INDEX('China n Importing Ports'!$T$20:$T$41,MATCH(2,1/(('China n Importing Ports'!$D$20:$D$41&lt;=$C63)*('China n Importing Ports'!$C$20:$C$41=IF($AO63="Yes",$AQ63,$AS63)))))</f>
        <v>0.36699999999999999</v>
      </c>
      <c r="NZ63" s="136">
        <f t="array" ref="NZ63">INDEX('China n Importing Ports'!$U$20:$U$41,MATCH(2,1/(('China n Importing Ports'!$D$20:$D$41&lt;=$C63)*('China n Importing Ports'!$C$20:$C$41=IF($AO63="Yes",$AQ63,$AS63)))))</f>
        <v>0.05</v>
      </c>
      <c r="OA63" s="136">
        <f t="array" ref="OA63">INDEX('China n Importing Ports'!$V$20:$V$41,MATCH(2,1/(('China n Importing Ports'!$D$20:$D$41&lt;=$C63)*('China n Importing Ports'!$C$20:$C$41=IF($AO63="Yes",$AQ63,$AS63)))))</f>
        <v>0</v>
      </c>
      <c r="OB63" s="136">
        <f t="array" ref="OB63">INDEX('China n Importing Ports'!$W$20:$W$41,MATCH(2,1/(('China n Importing Ports'!$D$20:$D$41&lt;=$C63)*('China n Importing Ports'!$C$20:$C$41=IF($AO63="Yes",$AQ63,$AS63)))))</f>
        <v>0</v>
      </c>
      <c r="OC63" s="136">
        <f t="array" ref="OC63">INDEX('China n Importing Ports'!$X$20:$X$41,MATCH(2,1/(('China n Importing Ports'!$D$20:$D$41&lt;=$C63)*('China n Importing Ports'!$C$20:$C$41=IF($AO63="Yes",$AQ63,$AS63)))))</f>
        <v>0</v>
      </c>
      <c r="OD63" s="136">
        <f t="array" ref="OD63">INDEX('China n Importing Ports'!$Y$20:$Y$41,MATCH(2,1/(('China n Importing Ports'!$D$20:$D$41&lt;=$C63)*('China n Importing Ports'!$C$20:$C$41=IF($AO63="Yes",$AQ63,$AS63)))))</f>
        <v>197</v>
      </c>
      <c r="OE63" s="136">
        <f t="array" ref="OE63">INDEX('China n Importing Ports'!$Z$20:$Z$41,MATCH(2,1/(('China n Importing Ports'!$D$20:$D$41&lt;=$C63)*('China n Importing Ports'!$C$20:$C$41=IF($AO63="Yes",$AQ63,$AS63)))))</f>
        <v>0</v>
      </c>
      <c r="OF63" s="136">
        <f t="array" ref="OF63">INDEX('China n Importing Ports'!$AA$20:$AA$41,MATCH(2,1/(('China n Importing Ports'!$D$20:$D$41&lt;=$C63)*('China n Importing Ports'!$C$20:$C$41=IF($AO63="Yes",$AQ63,$AS63)))))</f>
        <v>0</v>
      </c>
      <c r="OH63" s="75" t="e">
        <f t="array" aca="1" ref="OH63" ca="1">INDEX(Canals!$G$24:$G$29,MATCH(2,1/((Canals!$F$24:$F$29&lt;=$C63)*(Canals!$G$24:$G$29=_xlfn.IFS(KS63="Handysize",Main!NB63,KS63="Supramax",MU63,KS63="Panamax",MN63,KS63="NeoPanamax",MG63,KS63="Suezmax",LZ63,KS63="Capesize",LS63,KS63="VLOC",LL63)))))</f>
        <v>#N/A</v>
      </c>
      <c r="OI63" s="75" t="e">
        <f t="array" aca="1" ref="OI63" ca="1">INDEX(Canals!$H$24:$H$29,MATCH(2,1/((Canals!$F$24:$F$29&lt;=$C63)*(Canals!$G$24:$G$29=_xlfn.IFS(KS63="Handysize",Main!NB63,KS63="Supramax",MU63,KS63="Panamax",MN63,KS63="NeoPanamax",MG63,KS63="Suezmax",LZ63,KS63="Capesize",LS63,KS63="VLOC",LL63)))))</f>
        <v>#N/A</v>
      </c>
      <c r="OJ63" s="75" t="e">
        <f t="array" aca="1" ref="OJ63" ca="1">INDEX(Canals!$I$24:$I$29,MATCH(2,1/((Canals!$F$24:$F$29&lt;=$C63)*(Canals!$G$24:$G$29=_xlfn.IFS(KS63="Handysize",Main!NB63,KS63="Supramax",MU63,KS63="Panamax",MN63,KS63="NeoPanamax",MG63,KS63="Suezmax",LZ63,KS63="Capesize",LS63,KS63="VLOC",LL63)))))</f>
        <v>#N/A</v>
      </c>
      <c r="OK63" s="75" t="e">
        <f t="array" aca="1" ref="OK63" ca="1">INDEX(Canals!$J$24:$J$29,MATCH(2,1/((Canals!$F$24:$F$29&lt;=$C63)*(Canals!$G$24:$G$29=_xlfn.IFS(KS63="Handysize",Main!NB63,KS63="Supramax",MU63,KS63="Panamax",MN63,KS63="NeoPanamax",MG63,KS63="Suezmax",LZ63,KS63="Capesize",LS63,KS63="VLOC",LL63)))))</f>
        <v>#N/A</v>
      </c>
      <c r="OL63" s="75" t="e">
        <f t="array" aca="1" ref="OL63" ca="1">INDEX(Canals!$K$24:$K$29,MATCH(2,1/((Canals!$F$24:$F$29&lt;=$C63)*(Canals!$G$24:$G$29=_xlfn.IFS(KS63="Handysize",Main!NB63,KS63="Supramax",MU63,KS63="Panamax",MN63,KS63="NeoPanamax",MG63,KS63="Suezmax",LZ63,KS63="Capesize",LS63,KS63="VLOC",LL63)))))</f>
        <v>#N/A</v>
      </c>
      <c r="OM63" s="75" t="e">
        <f t="array" aca="1" ref="OM63" ca="1">INDEX(Canals!$L$24:$L$29,MATCH(2,1/((Canals!$F$24:$F$29&lt;=$C63)*(Canals!$G$24:$G$29=_xlfn.IFS(KS63="Handysize",Main!NB63,KS63="Supramax",MU63,KS63="Panamax",MN63,KS63="NeoPanamax",MG63,KS63="Suezmax",LZ63,KS63="Capesize",LS63,KS63="VLOC",LL63)))))</f>
        <v>#N/A</v>
      </c>
      <c r="ON63" s="75" t="e">
        <f t="array" aca="1" ref="ON63" ca="1">INDEX(Canals!$M$24:$M$29,MATCH(2,1/((Canals!$F$24:$F$29&lt;=$C63)*(Canals!$G$24:$G$29=_xlfn.IFS(KS63="Handysize",Main!NB63,KS63="Supramax",MU63,KS63="Panamax",MN63,KS63="NeoPanamax",MG63,KS63="Suezmax",LZ63,KS63="Capesize",LS63,KS63="VLOC",LL63)))))</f>
        <v>#N/A</v>
      </c>
      <c r="OO63" s="75" t="e">
        <f t="array" aca="1" ref="OO63" ca="1">INDEX(Canals!$N$24:$N$29,MATCH(2,1/((Canals!$F$24:$F$29&lt;=$C63)*(Canals!$G$24:$G$29=_xlfn.IFS(KS63="Handysize",Main!NB63,KS63="Supramax",MU63,KS63="Panamax",MN63,KS63="NeoPanamax",MG63,KS63="Suezmax",LZ63,KS63="Capesize",LS63,KS63="VLOC",LL63)))))</f>
        <v>#N/A</v>
      </c>
      <c r="OP63" s="75" t="e">
        <f t="array" aca="1" ref="OP63" ca="1">INDEX(Canals!$O$24:$O$29,MATCH(2,1/((Canals!$F$24:$F$29&lt;=$C63)*(Canals!$G$24:$G$29=_xlfn.IFS(KS63="Handysize",Main!NB63,KS63="Supramax",MU63,KS63="Panamax",MN63,KS63="NeoPanamax",MG63,KS63="Suezmax",LZ63,KS63="Capesize",LS63,KS63="VLOC",LL63)))))</f>
        <v>#N/A</v>
      </c>
      <c r="OQ63" s="75" t="e">
        <f t="array" aca="1" ref="OQ63" ca="1">INDEX(Canals!$P$24:$P$29,MATCH(2,1/((Canals!$F$24:$F$29&lt;=$C63)*(Canals!$G$24:$G$29=_xlfn.IFS(KS63="Handysize",Main!NB63,KS63="Supramax",MU63,KS63="Panamax",MN63,KS63="NeoPanamax",MG63,KS63="Suezmax",LZ63,KS63="Capesize",LS63,KS63="VLOC",LL63)))))</f>
        <v>#N/A</v>
      </c>
      <c r="OR63" s="75" t="e">
        <f t="array" aca="1" ref="OR63" ca="1">INDEX(Canals!$Q$24:$Q$29,MATCH(2,1/((Canals!$F$24:$F$29&lt;=$C63)*(Canals!$G$24:$G$29=_xlfn.IFS(KS63="Handysize",Main!NB63,KS63="Supramax",MU63,KS63="Panamax",MN63,KS63="NeoPanamax",MG63,KS63="Suezmax",LZ63,KS63="Capesize",LS63,KS63="VLOC",LL63)))))</f>
        <v>#N/A</v>
      </c>
      <c r="OS63" s="75" t="e">
        <f t="array" aca="1" ref="OS63" ca="1">INDEX(Canals!$R$24:$R$29,MATCH(2,1/((Canals!$F$24:$F$29&lt;=$C63)*(Canals!$G$24:$G$29=_xlfn.IFS(KS63="Handysize",Main!NB63,KS63="Supramax",MU63,KS63="Panamax",MN63,KS63="NeoPanamax",MG63,KS63="Suezmax",LZ63,KS63="Capesize",LS63,KS63="VLOC",LL63)))))</f>
        <v>#N/A</v>
      </c>
      <c r="OT63" s="136" t="e">
        <f t="array" aca="1" ref="OT63" ca="1">INDEX(Canals!$S$24:$S$29,MATCH(2,1/((Canals!$F$24:$F$29&lt;=$C63)*(Canals!$G$24:$G$29=_xlfn.IFS(KS63="Handysize",Main!NB63,KS63="Supramax",MU63,KS63="Panamax",MN63,KS63="NeoPanamax",MG63,KS63="Suezmax",LZ63,KS63="Capesize",LS63,KS63="VLOC",LL63)))))</f>
        <v>#N/A</v>
      </c>
      <c r="OU63" s="136" t="e">
        <f t="array" aca="1" ref="OU63" ca="1">INDEX(Canals!$T$24:$T$29,MATCH(2,1/((Canals!$F$24:$F$29&lt;=$C63)*(Canals!$G$24:$G$29=_xlfn.IFS(KS63="Handysize",Main!NB63,KS63="Supramax",MU63,KS63="Panamax",MN63,KS63="NeoPanamax",MG63,KS63="Suezmax",LZ63,KS63="Capesize",LS63,KS63="VLOC",LL63)))))</f>
        <v>#N/A</v>
      </c>
      <c r="OV63" s="136" t="e">
        <f t="array" aca="1" ref="OV63" ca="1">INDEX(Canals!$U$24:$U$29,MATCH(2,1/((Canals!$F$24:$F$29&lt;=$C63)*(Canals!$G$24:$G$29=_xlfn.IFS(KS63="Handysize",Main!NB63,KS63="Supramax",MU63,KS63="Panamax",MN63,KS63="NeoPanamax",MG63,KS63="Suezmax",LZ63,KS63="Capesize",LS63,KS63="VLOC",LL63)))))</f>
        <v>#N/A</v>
      </c>
      <c r="OW63" s="136" t="e">
        <f t="array" aca="1" ref="OW63" ca="1">INDEX(Canals!$V$24:$V$29,MATCH(2,1/((Canals!$F$24:$F$29&lt;=$C63)*(Canals!$G$24:$G$29=_xlfn.IFS(KS63="Handysize",Main!NB63,KS63="Supramax",MU63,KS63="Panamax",MN63,KS63="NeoPanamax",MG63,KS63="Suezmax",LZ63,KS63="Capesize",LS63,KS63="VLOC",LL63)))))</f>
        <v>#N/A</v>
      </c>
      <c r="OX63" s="136" t="e">
        <f t="array" aca="1" ref="OX63" ca="1">INDEX(Canals!$W$24:$W$29,MATCH(2,1/((Canals!$F$24:$F$29&lt;=$C63)*(Canals!$G$24:$G$29=_xlfn.IFS(KS63="Handysize",Main!NB63,KS63="Supramax",MU63,KS63="Panamax",MN63,KS63="NeoPanamax",MG63,KS63="Suezmax",LZ63,KS63="Capesize",LS63,KS63="VLOC",LL63)))))</f>
        <v>#N/A</v>
      </c>
      <c r="OY63" s="136" t="e">
        <f t="array" aca="1" ref="OY63" ca="1">INDEX(Canals!$X$24:$X$29,MATCH(2,1/((Canals!$F$24:$F$29&lt;=$C63)*(Canals!$G$24:$G$29=_xlfn.IFS(KS63="Handysize",Main!NB63,KS63="Supramax",MU63,KS63="Panamax",MN63,KS63="NeoPanamax",MG63,KS63="Suezmax",LZ63,KS63="Capesize",LS63,KS63="VLOC",LL63)))))</f>
        <v>#N/A</v>
      </c>
      <c r="OZ63" s="136" t="e">
        <f t="array" aca="1" ref="OZ63" ca="1">INDEX(Canals!$Y$24:$Y$29,MATCH(2,1/((Canals!$F$24:$F$29&lt;=$C63)*(Canals!$G$24:$G$29=_xlfn.IFS(KS63="Handysize",Main!NB63,KS63="Supramax",MU63,KS63="Panamax",MN63,KS63="NeoPanamax",MG63,KS63="Suezmax",LZ63,KS63="Capesize",LS63,KS63="VLOC",LL63)))))</f>
        <v>#N/A</v>
      </c>
      <c r="PA63" s="136" t="e">
        <f t="array" aca="1" ref="PA63" ca="1">INDEX(Canals!$Z$24:$Z$29,MATCH(2,1/((Canals!$F$24:$F$29&lt;=$C63)*(Canals!$G$24:$G$29=_xlfn.IFS(KS63="Handysize",Main!NB63,KS63="Supramax",MU63,KS63="Panamax",MN63,KS63="NeoPanamax",MG63,KS63="Suezmax",LZ63,KS63="Capesize",LS63,KS63="VLOC",LL63)))))</f>
        <v>#N/A</v>
      </c>
      <c r="PB63" s="136" t="e">
        <f t="array" aca="1" ref="PB63" ca="1">INDEX(Canals!$AA$24:$AA$29,MATCH(2,1/((Canals!$F$24:$F$29&lt;=$C63)*(Canals!$G$24:$G$29=_xlfn.IFS(KS63="Handysize",Main!NB63,KS63="Supramax",MU63,KS63="Panamax",MN63,KS63="NeoPanamax",MG63,KS63="Suezmax",LZ63,KS63="Capesize",LS63,KS63="VLOC",LL63)))))</f>
        <v>#N/A</v>
      </c>
      <c r="PC63" s="136" t="e">
        <f t="array" aca="1" ref="PC63" ca="1">INDEX(Canals!$AB$24:$AB$29,MATCH(2,1/((Canals!$F$24:$F$29&lt;=$C63)*(Canals!$G$24:$G$29=_xlfn.IFS(KS63="Handysize",Main!NB63,KS63="Supramax",MU63,KS63="Panamax",MN63,KS63="NeoPanamax",MG63,KS63="Suezmax",LZ63,KS63="Capesize",LS63,KS63="VLOC",LL63)))))</f>
        <v>#N/A</v>
      </c>
      <c r="PD63" s="75" t="e">
        <f t="array" aca="1" ref="PD63" ca="1">INDEX(Canals!$AC$24:$AC$29,MATCH(2,1/((Canals!$F$24:$F$29&lt;=$C63)*(Canals!$G$24:$G$29=_xlfn.IFS(KS63="Handysize",Main!NB63,KS63="Supramax",MU63,KS63="Panamax",MN63,KS63="NeoPanamax",MG63,KS63="Suezmax",LZ63,KS63="Capesize",LS63,KS63="VLOC",LL63)))))</f>
        <v>#N/A</v>
      </c>
      <c r="PE63" s="75" t="e">
        <f t="array" aca="1" ref="PE63" ca="1">INDEX(Canals!$AD$24:$AD$29,MATCH(2,1/((Canals!$F$24:$F$29&lt;=$C63)*(Canals!$G$24:$G$29=_xlfn.IFS(KS63="Handysize",Main!NB63,KS63="Supramax",MU63,KS63="Panamax",MN63,KS63="NeoPanamax",MG63,KS63="Suezmax",LZ63,KS63="Capesize",LS63,KS63="VLOC",LL63)))))</f>
        <v>#N/A</v>
      </c>
      <c r="PF63" s="75" t="e">
        <f t="array" aca="1" ref="PF63" ca="1">INDEX(Canals!$AE$24:$AE$29,MATCH(2,1/((Canals!$F$24:$F$29&lt;=$C63)*(Canals!$G$24:$G$29=_xlfn.IFS(KS63="Handysize",Main!NB63,KS63="Supramax",MU63,KS63="Panamax",MN63,KS63="NeoPanamax",MG63,KS63="Suezmax",LZ63,KS63="Capesize",LS63,KS63="VLOC",LL63)))))</f>
        <v>#N/A</v>
      </c>
      <c r="PG63" s="75" t="e">
        <f t="array" aca="1" ref="PG63" ca="1">INDEX(Canals!$AF$24:$AF$29,MATCH(2,1/((Canals!$F$24:$F$29&lt;=$C63)*(Canals!$G$24:$G$29=_xlfn.IFS(KS63="Handysize",Main!NB63,KS63="Supramax",MU63,KS63="Panamax",MN63,KS63="NeoPanamax",MG63,KS63="Suezmax",LZ63,KS63="Capesize",LS63,KS63="VLOC",LL63)))))</f>
        <v>#N/A</v>
      </c>
      <c r="PH63" s="75" t="e">
        <f t="array" aca="1" ref="PH63" ca="1">INDEX(Canals!$AG$24:$AG$29,MATCH(2,1/((Canals!$F$24:$F$29&lt;=$C63)*(Canals!$G$24:$G$29=_xlfn.IFS(KS63="Handysize",Main!NB63,KS63="Supramax",MU63,KS63="Panamax",MN63,KS63="NeoPanamax",MG63,KS63="Suezmax",LZ63,KS63="Capesize",LS63,KS63="VLOC",LL63)))))</f>
        <v>#N/A</v>
      </c>
      <c r="PI63" s="75" t="e">
        <f t="array" aca="1" ref="PI63" ca="1">INDEX(Canals!$AH$24:$AH$29,MATCH(2,1/((Canals!$F$24:$F$29&lt;=$C63)*(Canals!$G$24:$G$29=_xlfn.IFS(KS63="Handysize",Main!NB63,KS63="Supramax",MU63,KS63="Panamax",MN63,KS63="NeoPanamax",MG63,KS63="Suezmax",LZ63,KS63="Capesize",LS63,KS63="VLOC",LL63)))))</f>
        <v>#N/A</v>
      </c>
      <c r="PJ63" s="75" t="e">
        <f t="array" aca="1" ref="PJ63" ca="1">INDEX(Canals!$AI$24:$AI$29,MATCH(2,1/((Canals!$F$24:$F$29&lt;=$C63)*(Canals!$G$24:$G$29=_xlfn.IFS(KS63="Handysize",Main!NB63,KS63="Supramax",MU63,KS63="Panamax",MN63,KS63="NeoPanamax",MG63,KS63="Suezmax",LZ63,KS63="Capesize",LS63,KS63="VLOC",LL63)))))</f>
        <v>#N/A</v>
      </c>
      <c r="PK63" s="75" t="e">
        <f t="array" aca="1" ref="PK63" ca="1">INDEX(Canals!$AJ$24:$AJ$29,MATCH(2,1/((Canals!$F$24:$F$29&lt;=$C63)*(Canals!$G$24:$G$29=_xlfn.IFS(KS63="Handysize",Main!NB63,KS63="Supramax",MU63,KS63="Panamax",MN63,KS63="NeoPanamax",MG63,KS63="Suezmax",LZ63,KS63="Capesize",LS63,KS63="VLOC",LL63)))))</f>
        <v>#N/A</v>
      </c>
      <c r="PL63" s="75" t="e">
        <f t="array" aca="1" ref="PL63" ca="1">INDEX(Canals!$AK$24:$AK$29,MATCH(2,1/((Canals!$F$24:$F$29&lt;=$C63)*(Canals!$G$24:$G$29=_xlfn.IFS(KS63="Handysize",Main!NB63,KS63="Supramax",MU63,KS63="Panamax",MN63,KS63="NeoPanamax",MG63,KS63="Suezmax",LZ63,KS63="Capesize",LS63,KS63="VLOC",LL63)))))</f>
        <v>#N/A</v>
      </c>
      <c r="PM63" s="136" t="e">
        <f t="array" aca="1" ref="PM63" ca="1">INDEX(Canals!$AL$24:$AL$29,MATCH(2,1/((Canals!$F$24:$F$29&lt;=$C63)*(Canals!$G$24:$G$29=_xlfn.IFS(KS63="Handysize",Main!NB63,KS63="Supramax",MU63,KS63="Panamax",MN63,KS63="NeoPanamax",MG63,KS63="Suezmax",LZ63,KS63="Capesize",LS63,KS63="VLOC",LL63)))))</f>
        <v>#N/A</v>
      </c>
      <c r="PN63" s="136" t="e">
        <f t="array" aca="1" ref="PN63" ca="1">INDEX(Canals!$AM$24:$AM$29,MATCH(2,1/((Canals!$F$24:$F$29&lt;=$C63)*(Canals!$G$24:$G$29=_xlfn.IFS(KS63="Handysize",Main!NB63,KS63="Supramax",MU63,KS63="Panamax",MN63,KS63="NeoPanamax",MG63,KS63="Suezmax",LZ63,KS63="Capesize",LS63,KS63="VLOC",LL63)))))</f>
        <v>#N/A</v>
      </c>
      <c r="PO63" s="136" t="e">
        <f t="array" aca="1" ref="PO63" ca="1">INDEX(Canals!$AN$24:$AN$29,MATCH(2,1/((Canals!$F$24:$F$29&lt;=$C63)*(Canals!$G$24:$G$29=_xlfn.IFS(KS63="Handysize",Main!NB63,KS63="Supramax",MU63,KS63="Panamax",MN63,KS63="NeoPanamax",MG63,KS63="Suezmax",LZ63,KS63="Capesize",LS63,KS63="VLOC",LL63)))))</f>
        <v>#N/A</v>
      </c>
      <c r="PP63" s="136" t="e">
        <f t="array" aca="1" ref="PP63" ca="1">INDEX(Canals!$AO$24:$AO$29,MATCH(2,1/((Canals!$F$24:$F$29&lt;=$C63)*(Canals!$G$24:$G$29=_xlfn.IFS(KS63="Handysize",Main!NB63,KS63="Supramax",MU63,KS63="Panamax",MN63,KS63="NeoPanamax",MG63,KS63="Suezmax",LZ63,KS63="Capesize",LS63,KS63="VLOC",LL63)))))</f>
        <v>#N/A</v>
      </c>
      <c r="PQ63" s="136" t="e">
        <f t="array" aca="1" ref="PQ63" ca="1">INDEX(Canals!$AP$24:$AP$29,MATCH(2,1/((Canals!$F$24:$F$29&lt;=$C63)*(Canals!$G$24:$G$29=_xlfn.IFS(KS63="Handysize",Main!NB63,KS63="Supramax",MU63,KS63="Panamax",MN63,KS63="NeoPanamax",MG63,KS63="Suezmax",LZ63,KS63="Capesize",LS63,KS63="VLOC",LL63)))))</f>
        <v>#N/A</v>
      </c>
      <c r="PR63" s="136" t="e">
        <f t="array" aca="1" ref="PR63" ca="1">INDEX(Canals!$AQ$24:$AQ$29,MATCH(2,1/((Canals!$F$24:$F$29&lt;=$C63)*(Canals!$G$24:$G$29=_xlfn.IFS(KS63="Handysize",Main!NB63,KS63="Supramax",MU63,KS63="Panamax",MN63,KS63="NeoPanamax",MG63,KS63="Suezmax",LZ63,KS63="Capesize",LS63,KS63="VLOC",LL63)))))</f>
        <v>#N/A</v>
      </c>
      <c r="PS63" s="136" t="e">
        <f t="array" aca="1" ref="PS63" ca="1">INDEX(Canals!$AR$24:$AR$29,MATCH(2,1/((Canals!$F$24:$F$29&lt;=$C63)*(Canals!$G$24:$G$29=_xlfn.IFS(KS63="Handysize",Main!NB63,KS63="Supramax",MU63,KS63="Panamax",MN63,KS63="NeoPanamax",MG63,KS63="Suezmax",LZ63,KS63="Capesize",LS63,KS63="VLOC",LL63)))))</f>
        <v>#N/A</v>
      </c>
      <c r="PT63" s="136" t="e">
        <f t="array" aca="1" ref="PT63" ca="1">INDEX(Canals!$AS$24:$AS$29,MATCH(2,1/((Canals!$F$24:$F$29&lt;=$C63)*(Canals!$G$24:$G$29=_xlfn.IFS(KS63="Handysize",Main!NB63,KS63="Supramax",MU63,KS63="Panamax",MN63,KS63="NeoPanamax",MG63,KS63="Suezmax",LZ63,KS63="Capesize",LS63,KS63="VLOC",LL63)))))</f>
        <v>#N/A</v>
      </c>
      <c r="PU63" s="136" t="e">
        <f t="array" aca="1" ref="PU63" ca="1">INDEX(Canals!$AT$24:$AT$29,MATCH(2,1/((Canals!$F$24:$F$29&lt;=$C63)*(Canals!$G$24:$G$29=_xlfn.IFS(KS63="Handysize",Main!NB63,KS63="Supramax",MU63,KS63="Panamax",MN63,KS63="NeoPanamax",MG63,KS63="Suezmax",LZ63,KS63="Capesize",LS63,KS63="VLOC",LL63)))))</f>
        <v>#N/A</v>
      </c>
      <c r="PV63" s="136" t="e">
        <f t="array" aca="1" ref="PV63" ca="1">INDEX(Canals!$AU$24:$AU$29,MATCH(2,1/((Canals!$F$24:$F$29&lt;=$C63)*(Canals!$G$24:$G$29=_xlfn.IFS(KS63="Handysize",Main!NB63,KS63="Supramax",MU63,KS63="Panamax",MN63,KS63="NeoPanamax",MG63,KS63="Suezmax",LZ63,KS63="Capesize",LS63,KS63="VLOC",LL63)))))</f>
        <v>#N/A</v>
      </c>
      <c r="PW63" s="136" t="e">
        <f t="array" aca="1" ref="PW63" ca="1">INDEX(Canals!$AV$24:$AV$29,MATCH(2,1/((Canals!$F$24:$F$29&lt;=$C63)*(Canals!$G$24:$G$29=_xlfn.IFS(KS63="Handysize",Main!NB63,KS63="Supramax",MU63,KS63="Panamax",MN63,KS63="NeoPanamax",MG63,KS63="Suezmax",LZ63,KS63="Capesize",LS63,KS63="VLOC",LL63)))))</f>
        <v>#N/A</v>
      </c>
      <c r="PY63" s="75" t="e">
        <f t="array" aca="1" ref="PY63" ca="1">_xlfn.IFS(OJ63="DWT",KQ63,OJ63="NRT",KU63,OJ63="GRT",KV63)</f>
        <v>#NAME?</v>
      </c>
      <c r="PZ63" s="279" t="e">
        <f t="shared" ca="1" si="422"/>
        <v>#NAME?</v>
      </c>
      <c r="QA63" s="280" t="e">
        <f t="shared" ca="1" si="423"/>
        <v>#NAME?</v>
      </c>
      <c r="QB63" s="280" t="e">
        <f t="shared" ca="1" si="424"/>
        <v>#NAME?</v>
      </c>
      <c r="QC63" s="280" t="e">
        <f t="shared" ca="1" si="425"/>
        <v>#NAME?</v>
      </c>
      <c r="QD63" s="280" t="e">
        <f t="shared" ca="1" si="426"/>
        <v>#NAME?</v>
      </c>
      <c r="QE63" s="280" t="e">
        <f t="shared" ca="1" si="427"/>
        <v>#NAME?</v>
      </c>
      <c r="QF63" s="280" t="e">
        <f t="shared" ca="1" si="428"/>
        <v>#NAME?</v>
      </c>
      <c r="QG63" s="280" t="e">
        <f t="shared" ca="1" si="429"/>
        <v>#NAME?</v>
      </c>
      <c r="QH63" s="280" t="e">
        <f t="shared" ca="1" si="430"/>
        <v>#NAME?</v>
      </c>
      <c r="QI63" s="75">
        <f t="shared" si="431"/>
        <v>167777.77777777778</v>
      </c>
      <c r="QJ63" s="279" t="e">
        <f t="shared" ca="1" si="432"/>
        <v>#N/A</v>
      </c>
      <c r="QK63" s="280" t="e">
        <f t="shared" ca="1" si="433"/>
        <v>#N/A</v>
      </c>
      <c r="QL63" s="280" t="e">
        <f t="shared" ca="1" si="434"/>
        <v>#N/A</v>
      </c>
      <c r="QM63" s="280" t="e">
        <f t="shared" ca="1" si="435"/>
        <v>#N/A</v>
      </c>
      <c r="QN63" s="280" t="e">
        <f t="shared" ca="1" si="436"/>
        <v>#N/A</v>
      </c>
      <c r="QO63" s="280" t="e">
        <f t="shared" ca="1" si="437"/>
        <v>#N/A</v>
      </c>
      <c r="QP63" s="280" t="e">
        <f t="shared" ca="1" si="438"/>
        <v>#N/A</v>
      </c>
      <c r="QQ63" s="280" t="e">
        <f t="shared" ca="1" si="439"/>
        <v>#N/A</v>
      </c>
      <c r="QR63" s="280" t="e">
        <f t="shared" ca="1" si="440"/>
        <v>#N/A</v>
      </c>
      <c r="QT63" s="75" t="e">
        <f t="array" aca="1" ref="QT63" ca="1">_xlfn.IFS(KS63="Handysize",Main!MV63,KS63="Supramax",MO63,KS63="Panamax",MH63,KS63="NeoPanamax",MA63,KS63="Suezmax",LT63,KS63="Capesize",LM63,KS63="VLOC",LF63)*$JI63</f>
        <v>#NAME?</v>
      </c>
      <c r="QU63" s="274" t="e">
        <f t="array" aca="1" ref="QU63" ca="1">_xlfn.IFS(KS63="Handysize",Main!MW63,KS63="Supramax",MP63,KS63="Panamax",MI63,KS63="NeoPanamax",MB63,KS63="Suezmax",LU63,KS63="Capesize",LN63,KS63="VLOC",LG63)*$JI63</f>
        <v>#NAME?</v>
      </c>
      <c r="QV63" s="71" t="e">
        <f t="array" aca="1" ref="QV63" ca="1">_xlfn.IFS(KS63="Handysize",Main!KX63,KS63="Supramax",KY63,KS63="Panamax",KZ63,KS63="NeoPanamax",LA63,KS63="Suezmax",LB63,KS63="Capesize",LC63,KS63="VLOC",LD63)</f>
        <v>#NAME?</v>
      </c>
      <c r="QW63" s="71" t="e">
        <f t="array" aca="1" ref="QW63" ca="1">_xlfn.IFS(KS63="Handysize",Main!NJ63,KS63="Supramax",NK63,KS63="Panamax",NL63,KS63="NeoPanamax",NM63,KS63="Suezmax",NN63,KS63="Capesize",NO63,KS63="VLOC",NP63)</f>
        <v>#NAME?</v>
      </c>
      <c r="QX63" s="70">
        <f t="array" ref="QX63">INDEX('Ship Speeds'!$G$11:$G$1011,MATCH(2,1/(('Ship Speeds'!$E$11:$E$1011&lt;=Main!$C63)*('Ship Speeds'!$F$11:$F$1011=Main!KR63))))</f>
        <v>11</v>
      </c>
      <c r="QY63" s="403">
        <f t="shared" si="441"/>
        <v>34.905670638373635</v>
      </c>
      <c r="QZ63" s="401">
        <f t="shared" si="442"/>
        <v>3.037811965811966</v>
      </c>
      <c r="RA63" s="70" t="e">
        <f t="shared" ca="1" si="651"/>
        <v>#NAME?</v>
      </c>
      <c r="RB63" s="70" t="e">
        <f t="shared" ca="1" si="443"/>
        <v>#NAME?</v>
      </c>
      <c r="RC63" s="70" t="e">
        <f t="shared" ca="1" si="444"/>
        <v>#NAME?</v>
      </c>
      <c r="RD63" s="70" t="e">
        <f t="shared" ca="1" si="445"/>
        <v>#NAME?</v>
      </c>
      <c r="RE63" s="72" t="e">
        <f t="shared" ca="1" si="652"/>
        <v>#N/A</v>
      </c>
      <c r="RF63" s="70" t="e">
        <f t="shared" ca="1" si="446"/>
        <v>#NAME?</v>
      </c>
      <c r="RG63" s="70" t="e">
        <f t="array" aca="1" ref="RG63" ca="1">INDEX(ND63:NH63,MATCH(_xlfn.IFS(KS63="Handysize",Main!MZ63,KS63="Supramax",MS63,KS63="Panamax",ML63,KS63="NeoPanamax",ME63,KS63="Suezmax",LX63,KS63="Capesize",LQ63,KS63="VLOC",LJ63),$ND$7:$NH$7,0))</f>
        <v>#NAME?</v>
      </c>
      <c r="RH63" s="70" t="e">
        <f t="array" aca="1" ref="RH63" ca="1">INDEX(ND63:NH63,MATCH(_xlfn.IFS(KS63="Handysize",Main!NA63,KS63="Supramax",MT63,KS63="Panamax",MM63,KS63="NeoPanamax",MF63,KS63="Suezmax",LY63,KS63="Capesize",LR63,KS63="VLOC",LK63),$ND$7:$NH$7,0))</f>
        <v>#NAME?</v>
      </c>
      <c r="RI63" s="71" t="e">
        <f t="shared" ca="1" si="447"/>
        <v>#NAME?</v>
      </c>
      <c r="RJ63" s="71" t="e">
        <f t="shared" ca="1" si="448"/>
        <v>#NAME?</v>
      </c>
      <c r="RK63" s="281">
        <f t="shared" si="653"/>
        <v>7.0834199999999994</v>
      </c>
      <c r="RL63" s="71">
        <f t="shared" si="654"/>
        <v>1742.3786814843679</v>
      </c>
      <c r="RM63" s="71" t="e">
        <f t="shared" ca="1" si="655"/>
        <v>#NAME?</v>
      </c>
      <c r="RN63" s="71" t="e">
        <f t="shared" ca="1" si="656"/>
        <v>#NAME?</v>
      </c>
      <c r="RO63" s="71">
        <f t="shared" si="657"/>
        <v>62530.999620710536</v>
      </c>
      <c r="RP63" s="71" t="e">
        <f t="shared" ca="1" si="658"/>
        <v>#NAME?</v>
      </c>
      <c r="RQ63" s="71" t="e">
        <f t="shared" ca="1" si="659"/>
        <v>#NAME?</v>
      </c>
      <c r="RR63" s="71">
        <f t="shared" si="660"/>
        <v>44393.657252869336</v>
      </c>
      <c r="RS63" s="71" t="e">
        <f t="shared" ca="1" si="661"/>
        <v>#NAME?</v>
      </c>
      <c r="RT63" s="71" t="e">
        <f t="shared" ca="1" si="662"/>
        <v>#NAME?</v>
      </c>
      <c r="RU63" s="71">
        <f t="shared" si="663"/>
        <v>0</v>
      </c>
      <c r="RV63" s="71" t="e">
        <f t="shared" ca="1" si="664"/>
        <v>#NAME?</v>
      </c>
      <c r="RW63" s="71" t="e">
        <f t="shared" ca="1" si="665"/>
        <v>#NAME?</v>
      </c>
      <c r="RX63" s="72">
        <f t="shared" si="666"/>
        <v>8235.397771422744</v>
      </c>
      <c r="RY63" s="72" t="e">
        <f t="shared" ca="1" si="667"/>
        <v>#NAME?</v>
      </c>
      <c r="RZ63" s="71" t="e">
        <f t="shared" ca="1" si="668"/>
        <v>#NAME?</v>
      </c>
      <c r="SA63" s="71" t="e">
        <f t="array" aca="1" ref="SA63" ca="1">INDEX('Ship Time Charter Rates'!$H$22:$H$1021,MATCH(2,1/(('Ship Time Charter Rates'!$G$22:$G$1021=_xlfn.IFS(KS63="Handysize",Main!MX63,KS63="Supramax",MQ63,KS63="Panamax",MJ63,KS63="NeoPanamax",MC63,KS63="Suezmax",LV63,KS63="Capesize",LO63,KS63="VLOC",LH63))*('Ship Time Charter Rates'!$E$22:$E$1021&lt;=Main!$C63)*(NOT(ISBLANK('Ship Time Charter Rates'!$H$22:$H$1021))))))</f>
        <v>#N/A</v>
      </c>
      <c r="SB63" s="71" t="e">
        <f t="shared" ca="1" si="449"/>
        <v>#NAME?</v>
      </c>
      <c r="SC63" s="70" t="e">
        <f t="shared" ca="1" si="669"/>
        <v>#N/A</v>
      </c>
      <c r="SD63" s="71" t="e">
        <f t="shared" ca="1" si="670"/>
        <v>#NAME?</v>
      </c>
      <c r="SE63" s="71" t="e">
        <f t="shared" ca="1" si="450"/>
        <v>#NAME?</v>
      </c>
      <c r="SF63" s="72" t="e">
        <f t="shared" ca="1" si="451"/>
        <v>#NAME?</v>
      </c>
      <c r="SH63" s="25">
        <f t="shared" si="671"/>
        <v>0</v>
      </c>
      <c r="SI63" s="4" t="str">
        <f>VLOOKUP(SH63,'Ship Time Charter Rates'!$F$10:$G$17,2,TRUE)</f>
        <v>Handysize</v>
      </c>
      <c r="SJ63" s="4" t="str">
        <f>VLOOKUP(SH63,Canals!$E$5:$F$12,2,TRUE)</f>
        <v>Handysize</v>
      </c>
      <c r="SK63" s="25">
        <f t="shared" si="452"/>
        <v>145.88999999999999</v>
      </c>
      <c r="SL63" s="25">
        <f t="shared" si="453"/>
        <v>0</v>
      </c>
      <c r="SM63" s="25">
        <f t="shared" si="454"/>
        <v>4797</v>
      </c>
      <c r="SO63" s="75">
        <f t="array" ref="SO63">INDEX('Indices Mines Exporting Ports'!$R$20:$R$51,MATCH(2,1/(('Indices Mines Exporting Ports'!$D$20:$D$51&lt;=Main!$C63)*('Indices Mines Exporting Ports'!$Q$20:$Q$51=$AQ63))))</f>
        <v>0</v>
      </c>
      <c r="SP63" s="75">
        <f t="array" ref="SP63">INDEX('Indices Mines Exporting Ports'!$S$20:$S$51,MATCH(2,1/(('Indices Mines Exporting Ports'!$D$20:$D$51&lt;=Main!$C63)*('Indices Mines Exporting Ports'!$Q$20:$Q$51=$AQ63))))</f>
        <v>0</v>
      </c>
      <c r="SQ63" s="75">
        <f t="array" ref="SQ63">INDEX('Indices Mines Exporting Ports'!$T$20:$T$51,MATCH(2,1/(('Indices Mines Exporting Ports'!$D$20:$D$51&lt;=Main!$C63)*('Indices Mines Exporting Ports'!$Q$20:$Q$51=$AQ63))))</f>
        <v>0</v>
      </c>
      <c r="SR63" s="75">
        <f t="array" ref="SR63">INDEX('Indices Mines Exporting Ports'!$U$20:$U$51,MATCH(2,1/(('Indices Mines Exporting Ports'!$D$20:$D$51&lt;=Main!$C63)*('Indices Mines Exporting Ports'!$Q$20:$Q$51=$AQ63))))</f>
        <v>0</v>
      </c>
      <c r="SS63" s="75">
        <f t="array" ref="SS63">INDEX('Indices Mines Exporting Ports'!$V$20:$V$51,MATCH(2,1/(('Indices Mines Exporting Ports'!$D$20:$D$51&lt;=Main!$C63)*('Indices Mines Exporting Ports'!$Q$20:$Q$51=$AQ63))))</f>
        <v>0</v>
      </c>
      <c r="ST63" s="75">
        <f t="array" ref="ST63">INDEX('Indices Mines Exporting Ports'!$W$20:$W$51,MATCH(2,1/(('Indices Mines Exporting Ports'!$D$20:$D$51&lt;=Main!$C63)*('Indices Mines Exporting Ports'!$Q$20:$Q$51=$AQ63))))</f>
        <v>0</v>
      </c>
      <c r="SU63" s="75">
        <f t="array" ref="SU63">INDEX('Indices Mines Exporting Ports'!$X$20:$X$51,MATCH(2,1/(('Indices Mines Exporting Ports'!$D$20:$D$51&lt;=Main!$C63)*('Indices Mines Exporting Ports'!$Q$20:$Q$51=$AQ63))))</f>
        <v>0</v>
      </c>
      <c r="SW63" s="75">
        <f t="array" ref="SW63">INDEX('Port Linkages'!$E$18:$E$157,MATCH(2,1/(('Port Linkages'!$C$18:$C$157=$AQ63)*('Port Linkages'!$D$18:$D$157=IF($AO63="no",$AQ63,$AS63))*('Port Linkages'!$A$18:$A$157&lt;=$C63))))</f>
        <v>0</v>
      </c>
      <c r="SX63" s="75">
        <f t="array" ref="SX63">INDEX('Port Linkages'!$F$18:$F$157,MATCH(2,1/(('Port Linkages'!$C$18:$C$157=$AQ63)*('Port Linkages'!$D$18:$D$157=IF($AO63="no",$AQ63,$AS63))*('Port Linkages'!$A$18:$A$157&lt;=$C63))))</f>
        <v>0</v>
      </c>
      <c r="SY63" s="75">
        <f t="array" ref="SY63">INDEX('Port Linkages'!$G$18:$G$157,MATCH(2,1/(('Port Linkages'!$C$18:$C$157=$AQ63)*('Port Linkages'!$D$18:$D$157=IF($AO63="no",$AQ63,$AS63))*('Port Linkages'!$A$18:$A$157&lt;=$C63))))</f>
        <v>0</v>
      </c>
      <c r="SZ63" s="75">
        <f t="array" ref="SZ63">INDEX('Port Linkages'!$H$18:$H$157,MATCH(2,1/(('Port Linkages'!$C$18:$C$157=$AQ63)*('Port Linkages'!$D$18:$D$157=IF($AO63="no",$AQ63,$AS63))*('Port Linkages'!$A$18:$A$157&lt;=$C63))))</f>
        <v>0</v>
      </c>
      <c r="TA63" s="75">
        <f t="array" ref="TA63">INDEX('Port Linkages'!$I$18:$I$157,MATCH(2,1/(('Port Linkages'!$C$18:$C$157=$AQ63)*('Port Linkages'!$D$18:$D$157=IF($AO63="no",$AQ63,$AS63))*('Port Linkages'!$A$18:$A$157&lt;=$C63))))</f>
        <v>0</v>
      </c>
      <c r="TB63" s="75">
        <f t="array" ref="TB63">INDEX('Port Linkages'!$J$18:$J$157,MATCH(2,1/(('Port Linkages'!$C$18:$C$157=$AQ63)*('Port Linkages'!$D$18:$D$157=IF($AO63="no",$AQ63,$AS63))*('Port Linkages'!$A$18:$A$157&lt;=$C63))))</f>
        <v>0</v>
      </c>
      <c r="TC63" s="75">
        <f t="array" ref="TC63">INDEX('Port Linkages'!$K$18:$K$157,MATCH(2,1/(('Port Linkages'!$C$18:$C$157=$AQ63)*('Port Linkages'!$D$18:$D$157=IF($AO63="no",$AQ63,$AS63))*('Port Linkages'!$A$18:$A$157&lt;=$C63))))</f>
        <v>0</v>
      </c>
      <c r="TD63" s="75">
        <f t="array" ref="TD63">INDEX('Port Linkages'!$L$18:$L$157,MATCH(2,1/(('Port Linkages'!$C$18:$C$157=$AQ63)*('Port Linkages'!$D$18:$D$157=IF($AO63="no",$AQ63,$AS63))*('Port Linkages'!$A$18:$A$157&lt;=$C63))))</f>
        <v>0</v>
      </c>
      <c r="TE63" s="75">
        <f t="array" ref="TE63">INDEX('Port Linkages'!$M$18:$M$157,MATCH(2,1/(('Port Linkages'!$C$18:$C$157=$AQ63)*('Port Linkages'!$D$18:$D$157=IF($AO63="no",$AQ63,$AS63))*('Port Linkages'!$A$18:$A$157&lt;=$C63))))</f>
        <v>0</v>
      </c>
      <c r="TF63" s="75">
        <f t="array" ref="TF63">INDEX('Port Linkages'!$N$18:$N$157,MATCH(2,1/(('Port Linkages'!$C$18:$C$157=$AQ63)*('Port Linkages'!$D$18:$D$157=IF($AO63="no",$AQ63,$AS63))*('Port Linkages'!$A$18:$A$157&lt;=$C63))))</f>
        <v>0</v>
      </c>
      <c r="TG63" s="75">
        <f t="array" ref="TG63">INDEX('Port Linkages'!$O$18:$O$157,MATCH(2,1/(('Port Linkages'!$C$18:$C$157=$AQ63)*('Port Linkages'!$D$18:$D$157=IF($AO63="no",$AQ63,$AS63))*('Port Linkages'!$A$18:$A$157&lt;=$C63))))</f>
        <v>0</v>
      </c>
      <c r="TH63" s="75">
        <f t="array" ref="TH63">INDEX('Port Linkages'!$P$18:$P$157,MATCH(2,1/(('Port Linkages'!$C$18:$C$157=$AQ63)*('Port Linkages'!$D$18:$D$157=IF($AO63="no",$AQ63,$AS63))*('Port Linkages'!$A$18:$A$157&lt;=$C63))))</f>
        <v>0</v>
      </c>
      <c r="TI63" s="75">
        <f t="array" ref="TI63">INDEX('Port Linkages'!$Q$18:$Q$157,MATCH(2,1/(('Port Linkages'!$C$18:$C$157=$AQ63)*('Port Linkages'!$D$18:$D$157=IF($AO63="no",$AQ63,$AS63))*('Port Linkages'!$A$18:$A$157&lt;=$C63))))</f>
        <v>0</v>
      </c>
      <c r="TJ63" s="75">
        <f t="array" ref="TJ63">INDEX('Port Linkages'!$R$18:$R$157,MATCH(2,1/(('Port Linkages'!$C$18:$C$157=$AQ63)*('Port Linkages'!$D$18:$D$157=IF($AO63="no",$AQ63,$AS63))*('Port Linkages'!$A$18:$A$157&lt;=$C63))))</f>
        <v>0</v>
      </c>
      <c r="TK63" s="75">
        <f t="array" ref="TK63">INDEX('Port Linkages'!$S$18:$S$157,MATCH(2,1/(('Port Linkages'!$C$18:$C$157=$AQ63)*('Port Linkages'!$D$18:$D$157=IF($AO63="no",$AQ63,$AS63))*('Port Linkages'!$A$18:$A$157&lt;=$C63))))</f>
        <v>0</v>
      </c>
      <c r="TL63" s="75">
        <f t="array" ref="TL63">INDEX('Port Linkages'!$T$18:$T$157,MATCH(2,1/(('Port Linkages'!$C$18:$C$157=$AQ63)*('Port Linkages'!$D$18:$D$157=IF($AO63="no",$AQ63,$AS63))*('Port Linkages'!$A$18:$A$157&lt;=$C63))))</f>
        <v>0</v>
      </c>
      <c r="TM63" s="75">
        <f t="array" ref="TM63">INDEX('Port Linkages'!$U$18:$U$157,MATCH(2,1/(('Port Linkages'!$C$18:$C$157=$AQ63)*('Port Linkages'!$D$18:$D$157=IF($AO63="no",$AQ63,$AS63))*('Port Linkages'!$A$18:$A$157&lt;=$C63))))</f>
        <v>0</v>
      </c>
      <c r="TN63" s="75">
        <f t="array" ref="TN63">INDEX('Port Linkages'!$V$18:$V$157,MATCH(2,1/(('Port Linkages'!$C$18:$C$157=$AQ63)*('Port Linkages'!$D$18:$D$157=IF($AO63="no",$AQ63,$AS63))*('Port Linkages'!$A$18:$A$157&lt;=$C63))))</f>
        <v>0</v>
      </c>
      <c r="TO63" s="75">
        <f t="array" ref="TO63">INDEX('Port Linkages'!$W$18:$W$157,MATCH(2,1/(('Port Linkages'!$C$18:$C$157=$AQ63)*('Port Linkages'!$D$18:$D$157=IF($AO63="no",$AQ63,$AS63))*('Port Linkages'!$A$18:$A$157&lt;=$C63))))</f>
        <v>0</v>
      </c>
      <c r="TP63" s="75">
        <f t="array" ref="TP63">INDEX('Port Linkages'!$X$18:$X$157,MATCH(2,1/(('Port Linkages'!$C$18:$C$157=$AQ63)*('Port Linkages'!$D$18:$D$157=IF($AO63="no",$AQ63,$AS63))*('Port Linkages'!$A$18:$A$157&lt;=$C63))))</f>
        <v>0</v>
      </c>
      <c r="TQ63" s="75">
        <f t="array" ref="TQ63">INDEX('Port Linkages'!$Y$18:$Y$157,MATCH(2,1/(('Port Linkages'!$C$18:$C$157=$AQ63)*('Port Linkages'!$D$18:$D$157=IF($AO63="no",$AQ63,$AS63))*('Port Linkages'!$A$18:$A$157&lt;=$C63))))</f>
        <v>0</v>
      </c>
      <c r="TR63" s="75">
        <f t="array" ref="TR63">INDEX('Port Linkages'!$Z$18:$Z$157,MATCH(2,1/(('Port Linkages'!$C$18:$C$157=$AQ63)*('Port Linkages'!$D$18:$D$157=IF($AO63="no",$AQ63,$AS63))*('Port Linkages'!$A$18:$A$157&lt;=$C63))))</f>
        <v>0</v>
      </c>
      <c r="TS63" s="75">
        <f t="array" ref="TS63">INDEX('Port Linkages'!$AA$18:$AA$157,MATCH(2,1/(('Port Linkages'!$C$18:$C$157=$AQ63)*('Port Linkages'!$D$18:$D$157=IF($AO63="no",$AQ63,$AS63))*('Port Linkages'!$A$18:$A$157&lt;=$C63))))</f>
        <v>0</v>
      </c>
      <c r="TT63" s="75">
        <f t="array" ref="TT63">INDEX('Port Linkages'!$AB$18:$AB$157,MATCH(2,1/(('Port Linkages'!$C$18:$C$157=$AQ63)*('Port Linkages'!$D$18:$D$157=IF($AO63="no",$AQ63,$AS63))*('Port Linkages'!$A$18:$A$157&lt;=$C63))))</f>
        <v>0</v>
      </c>
      <c r="TU63" s="75">
        <f t="array" ref="TU63">INDEX('Port Linkages'!$AC$18:$AC$157,MATCH(2,1/(('Port Linkages'!$C$18:$C$157=$AQ63)*('Port Linkages'!$D$18:$D$157=IF($AO63="no",$AQ63,$AS63))*('Port Linkages'!$A$18:$A$157&lt;=$C63))))</f>
        <v>0</v>
      </c>
      <c r="TV63" s="75">
        <f t="array" ref="TV63">INDEX('Port Linkages'!$AD$18:$AD$157,MATCH(2,1/(('Port Linkages'!$C$18:$C$157=$AQ63)*('Port Linkages'!$D$18:$D$157=IF($AO63="no",$AQ63,$AS63))*('Port Linkages'!$A$18:$A$157&lt;=$C63))))</f>
        <v>0</v>
      </c>
      <c r="TW63" s="75">
        <f t="array" ref="TW63">INDEX('Port Linkages'!$AE$18:$AE$157,MATCH(2,1/(('Port Linkages'!$C$18:$C$157=$AQ63)*('Port Linkages'!$D$18:$D$157=IF($AO63="no",$AQ63,$AS63))*('Port Linkages'!$A$18:$A$157&lt;=$C63))))</f>
        <v>0</v>
      </c>
      <c r="TX63" s="75">
        <f t="array" ref="TX63">INDEX('Port Linkages'!$AF$18:$AF$157,MATCH(2,1/(('Port Linkages'!$C$18:$C$157=$AQ63)*('Port Linkages'!$D$18:$D$157=IF($AO63="no",$AQ63,$AS63))*('Port Linkages'!$A$18:$A$157&lt;=$C63))))</f>
        <v>0</v>
      </c>
      <c r="TY63" s="75">
        <f t="array" ref="TY63">INDEX('Port Linkages'!$AG$18:$AG$157,MATCH(2,1/(('Port Linkages'!$C$18:$C$157=$AQ63)*('Port Linkages'!$D$18:$D$157=IF($AO63="no",$AQ63,$AS63))*('Port Linkages'!$A$18:$A$157&lt;=$C63))))</f>
        <v>0</v>
      </c>
      <c r="TZ63" s="75">
        <f t="array" ref="TZ63">INDEX('Port Linkages'!$AH$18:$AH$157,MATCH(2,1/(('Port Linkages'!$C$18:$C$157=$AQ63)*('Port Linkages'!$D$18:$D$157=IF($AO63="no",$AQ63,$AS63))*('Port Linkages'!$A$18:$A$157&lt;=$C63))))</f>
        <v>0</v>
      </c>
      <c r="UA63" s="75">
        <f t="array" ref="UA63">INDEX('Port Linkages'!$AI$18:$AI$157,MATCH(2,1/(('Port Linkages'!$C$18:$C$157=$AQ63)*('Port Linkages'!$D$18:$D$157=IF($AO63="no",$AQ63,$AS63))*('Port Linkages'!$A$18:$A$157&lt;=$C63))))</f>
        <v>0</v>
      </c>
      <c r="UB63" s="75">
        <f t="array" ref="UB63">INDEX('Port Linkages'!$AJ$18:$AJ$157,MATCH(2,1/(('Port Linkages'!$C$18:$C$157=$AQ63)*('Port Linkages'!$D$18:$D$157=IF($AO63="no",$AQ63,$AS63))*('Port Linkages'!$A$18:$A$157&lt;=$C63))))</f>
        <v>0</v>
      </c>
      <c r="UC63" s="75">
        <f t="array" ref="UC63">INDEX('Port Linkages'!$AK$18:$AK$157,MATCH(2,1/(('Port Linkages'!$C$18:$C$157=$AQ63)*('Port Linkages'!$D$18:$D$157=IF($AO63="no",$AQ63,$AS63))*('Port Linkages'!$A$18:$A$157&lt;=$C63))))</f>
        <v>0</v>
      </c>
      <c r="UD63" s="75">
        <f t="array" ref="UD63">INDEX('Port Linkages'!$AL$18:$AL$157,MATCH(2,1/(('Port Linkages'!$C$18:$C$157=$AQ63)*('Port Linkages'!$D$18:$D$157=IF($AO63="no",$AQ63,$AS63))*('Port Linkages'!$A$18:$A$157&lt;=$C63))))</f>
        <v>0</v>
      </c>
      <c r="UE63" s="75">
        <f t="array" ref="UE63">INDEX('Port Linkages'!$AM$18:$AM$157,MATCH(2,1/(('Port Linkages'!$C$18:$C$157=$AQ63)*('Port Linkages'!$D$18:$D$157=IF($AO63="no",$AQ63,$AS63))*('Port Linkages'!$A$18:$A$157&lt;=$C63))))</f>
        <v>0</v>
      </c>
      <c r="UF63" s="75">
        <f t="array" ref="UF63">INDEX('Port Linkages'!$AN$18:$AN$157,MATCH(2,1/(('Port Linkages'!$C$18:$C$157=$AQ63)*('Port Linkages'!$D$18:$D$157=IF($AO63="no",$AQ63,$AS63))*('Port Linkages'!$A$18:$A$157&lt;=$C63))))</f>
        <v>0</v>
      </c>
      <c r="UG63" s="75">
        <f t="array" ref="UG63">INDEX('Port Linkages'!$AO$18:$AO$157,MATCH(2,1/(('Port Linkages'!$C$18:$C$157=$AQ63)*('Port Linkages'!$D$18:$D$157=IF($AO63="no",$AQ63,$AS63))*('Port Linkages'!$A$18:$A$157&lt;=$C63))))</f>
        <v>0</v>
      </c>
      <c r="UH63" s="75">
        <f t="array" ref="UH63">INDEX('Port Linkages'!$AP$18:$AP$157,MATCH(2,1/(('Port Linkages'!$C$18:$C$157=$AQ63)*('Port Linkages'!$D$18:$D$157=IF($AO63="no",$AQ63,$AS63))*('Port Linkages'!$A$18:$A$157&lt;=$C63))))</f>
        <v>0</v>
      </c>
      <c r="UI63" s="75">
        <f t="array" ref="UI63">INDEX('Port Linkages'!$AQ$18:$AQ$157,MATCH(2,1/(('Port Linkages'!$C$18:$C$157=$AQ63)*('Port Linkages'!$D$18:$D$157=IF($AO63="no",$AQ63,$AS63))*('Port Linkages'!$A$18:$A$157&lt;=$C63))))</f>
        <v>0</v>
      </c>
      <c r="UJ63" s="75">
        <f t="array" ref="UJ63">INDEX('Port Linkages'!$AR$18:$AR$157,MATCH(2,1/(('Port Linkages'!$C$18:$C$157=$AQ63)*('Port Linkages'!$D$18:$D$157=IF($AO63="no",$AQ63,$AS63))*('Port Linkages'!$A$18:$A$157&lt;=$C63))))</f>
        <v>0</v>
      </c>
      <c r="UK63" s="75">
        <f t="array" ref="UK63">INDEX('Port Linkages'!$AS$18:$AS$157,MATCH(2,1/(('Port Linkages'!$C$18:$C$157=$AQ63)*('Port Linkages'!$D$18:$D$157=IF($AO63="no",$AQ63,$AS63))*('Port Linkages'!$A$18:$A$157&lt;=$C63))))</f>
        <v>0</v>
      </c>
      <c r="UL63" s="75">
        <f t="array" ref="UL63">INDEX('Port Linkages'!$AT$18:$AT$157,MATCH(2,1/(('Port Linkages'!$C$18:$C$157=$AQ63)*('Port Linkages'!$D$18:$D$157=IF($AO63="no",$AQ63,$AS63))*('Port Linkages'!$A$18:$A$157&lt;=$C63))))</f>
        <v>0</v>
      </c>
      <c r="UM63" s="75">
        <f t="array" ref="UM63">INDEX('Port Linkages'!$AU$18:$AU$157,MATCH(2,1/(('Port Linkages'!$C$18:$C$157=$AQ63)*('Port Linkages'!$D$18:$D$157=IF($AO63="no",$AQ63,$AS63))*('Port Linkages'!$A$18:$A$157&lt;=$C63))))</f>
        <v>0</v>
      </c>
      <c r="UN63" s="75">
        <f t="array" ref="UN63">INDEX('Port Linkages'!$AV$18:$AV$157,MATCH(2,1/(('Port Linkages'!$C$18:$C$157=$AQ63)*('Port Linkages'!$D$18:$D$157=IF($AO63="no",$AQ63,$AS63))*('Port Linkages'!$A$18:$A$157&lt;=$C63))))</f>
        <v>0</v>
      </c>
      <c r="UO63" s="75">
        <f t="array" ref="UO63">INDEX('Port Linkages'!$AW$18:$AW$157,MATCH(2,1/(('Port Linkages'!$C$18:$C$157=$AQ63)*('Port Linkages'!$D$18:$D$157=IF($AO63="no",$AQ63,$AS63))*('Port Linkages'!$A$18:$A$157&lt;=$C63))))</f>
        <v>0</v>
      </c>
      <c r="UP63" s="75">
        <f t="array" ref="UP63">INDEX('Port Linkages'!$AX$18:$AX$157,MATCH(2,1/(('Port Linkages'!$C$18:$C$157=$AQ63)*('Port Linkages'!$D$18:$D$157=IF($AO63="no",$AQ63,$AS63))*('Port Linkages'!$A$18:$A$157&lt;=$C63))))</f>
        <v>0</v>
      </c>
      <c r="UQ63" s="75">
        <f t="array" ref="UQ63">INDEX('Port Linkages'!$AY$18:$AY$157,MATCH(2,1/(('Port Linkages'!$C$18:$C$157=$AQ63)*('Port Linkages'!$D$18:$D$157=IF($AO63="no",$AQ63,$AS63))*('Port Linkages'!$A$18:$A$157&lt;=$C63))))</f>
        <v>0</v>
      </c>
      <c r="UR63" s="75">
        <f t="array" ref="UR63">INDEX('Port Linkages'!$AZ$18:$AZ$157,MATCH(2,1/(('Port Linkages'!$C$18:$C$157=$AQ63)*('Port Linkages'!$D$18:$D$157=IF($AO63="no",$AQ63,$AS63))*('Port Linkages'!$A$18:$A$157&lt;=$C63))))</f>
        <v>0</v>
      </c>
      <c r="US63" s="75">
        <f t="array" ref="US63">INDEX('Port Linkages'!$BA$18:$BA$157,MATCH(2,1/(('Port Linkages'!$C$18:$C$157=$AQ63)*('Port Linkages'!$D$18:$D$157=IF($AO63="no",$AQ63,$AS63))*('Port Linkages'!$A$18:$A$157&lt;=$C63))))</f>
        <v>0</v>
      </c>
      <c r="UU63" s="25" t="e">
        <f t="array" aca="1" ref="UU63" ca="1">INDEX('Ship Fuel Prices'!$F$5:$F$1004,MATCH(2,1/(('Ship Fuel Prices'!$E$5:$E$1004=_xlfn.IFS(SJ63="Handysize",Main!UP63,SJ63="Supramax",UI63,SJ63="Panamax",UB63,SJ63="NeoPanamax",TU63,SJ63="Suezmax",TN63,SJ63="Capesize",TG63,SJ63="VLOC",SZ63))*('Ship Fuel Prices'!$D$5:$D$1004&lt;=Main!$C63))))</f>
        <v>#N/A</v>
      </c>
      <c r="UV63" s="25" t="e">
        <f t="array" aca="1" ref="UV63" ca="1">INDEX('Ship Fuel Prices'!$G$5:$G$1004,MATCH(2,1/(('Ship Fuel Prices'!$E$5:$E$1004=_xlfn.IFS(SJ63="Handysize",Main!UP63,SJ63="Supramax",UI63,SJ63="Panamax",UB63,SJ63="NeoPanamax",TU63,SJ63="Suezmax",TN63,SJ63="Capesize",TG63,SJ63="VLOC",SZ63))*('Ship Fuel Prices'!$D$5:$D$1004&lt;=Main!$C63))))</f>
        <v>#N/A</v>
      </c>
      <c r="UW63" s="25" t="e">
        <f t="array" aca="1" ref="UW63" ca="1">INDEX('Ship Fuel Prices'!$H$5:$H$1004,MATCH(2,1/(('Ship Fuel Prices'!$E$5:$E$1004=_xlfn.IFS(SJ63="Handysize",Main!UP63,SJ63="Supramax",UI63,SJ63="Panamax",UB63,SJ63="NeoPanamax",TU63,SJ63="Suezmax",TN63,SJ63="Capesize",TG63,SJ63="VLOC",SZ63))*('Ship Fuel Prices'!$D$5:$D$1004&lt;=Main!$C63))))</f>
        <v>#N/A</v>
      </c>
      <c r="UX63" s="25" t="e">
        <f t="array" aca="1" ref="UX63" ca="1">INDEX('Ship Fuel Prices'!$I$5:$I$1004,MATCH(2,1/(('Ship Fuel Prices'!$E$5:$E$1004=_xlfn.IFS(SJ63="Handysize",Main!UP63,SJ63="Supramax",UI63,SJ63="Panamax",UB63,SJ63="NeoPanamax",TU63,SJ63="Suezmax",TN63,SJ63="Capesize",TG63,SJ63="VLOC",SZ63))*('Ship Fuel Prices'!$D$5:$D$1004&lt;=Main!$C63))))</f>
        <v>#N/A</v>
      </c>
      <c r="UY63" s="25" t="e">
        <f t="array" aca="1" ref="UY63" ca="1">INDEX('Ship Fuel Prices'!$J$5:$J$1004,MATCH(2,1/(('Ship Fuel Prices'!$E$5:$E$1004=_xlfn.IFS(SJ63="Handysize",Main!UP63,SJ63="Supramax",UI63,SJ63="Panamax",UB63,SJ63="NeoPanamax",TU63,SJ63="Suezmax",TN63,SJ63="Capesize",TG63,SJ63="VLOC",SZ63))*('Ship Fuel Prices'!$D$5:$D$1004&lt;=Main!$C63))))</f>
        <v>#N/A</v>
      </c>
      <c r="VA63" s="75">
        <f t="array" ref="VA63">INDEX('China n Importing Ports'!$E$20:$E$41,MATCH(2,1/(('China n Importing Ports'!$D$20:$D$41&lt;=$C63)*('China n Importing Ports'!$C$20:$C$41=IF($AO63="No",$AQ63,$AS63)))))</f>
        <v>0</v>
      </c>
      <c r="VB63" s="75">
        <f t="array" ref="VB63">INDEX('China n Importing Ports'!$F$20:$F$41,MATCH(2,1/(('China n Importing Ports'!$D$20:$D$41&lt;=$C63)*('China n Importing Ports'!$C$20:$C$41=IF($AO63="No",$AQ63,$AS63)))))</f>
        <v>0</v>
      </c>
      <c r="VC63" s="75">
        <f t="array" ref="VC63">INDEX('China n Importing Ports'!$G$20:$G$41,MATCH(2,1/(('China n Importing Ports'!$D$20:$D$41&lt;=$C63)*('China n Importing Ports'!$C$20:$C$41=IF($AO63="No",$AQ63,$AS63)))))</f>
        <v>0</v>
      </c>
      <c r="VD63" s="75">
        <f t="array" ref="VD63">INDEX('China n Importing Ports'!$H$20:$H$41,MATCH(2,1/(('China n Importing Ports'!$D$20:$D$41&lt;=$C63)*('China n Importing Ports'!$C$20:$C$41=IF($AO63="No",$AQ63,$AS63)))))</f>
        <v>0</v>
      </c>
      <c r="VE63" s="75">
        <f t="array" ref="VE63">INDEX('China n Importing Ports'!$I$20:$I$41,MATCH(2,1/(('China n Importing Ports'!$D$20:$D$41&lt;=$C63)*('China n Importing Ports'!$C$20:$C$41=IF($AO63="No",$AQ63,$AS63)))))</f>
        <v>0</v>
      </c>
      <c r="VF63" s="75">
        <f t="array" ref="VF63">INDEX('China n Importing Ports'!$J$20:$J$41,MATCH(2,1/(('China n Importing Ports'!$D$20:$D$41&lt;=$C63)*('China n Importing Ports'!$C$20:$C$41=IF($AO63="No",$AQ63,$AS63)))))</f>
        <v>0</v>
      </c>
      <c r="VG63" s="75">
        <f t="array" ref="VG63">INDEX('China n Importing Ports'!$K$20:$K$41,MATCH(2,1/(('China n Importing Ports'!$D$20:$D$41&lt;=$C63)*('China n Importing Ports'!$C$20:$C$41=IF($AO63="No",$AQ63,$AS63)))))</f>
        <v>0</v>
      </c>
      <c r="VH63" s="75">
        <f t="array" ref="VH63">INDEX('China n Importing Ports'!$L$20:$L$41,MATCH(2,1/(('China n Importing Ports'!$D$20:$D$41&lt;=$C63)*('China n Importing Ports'!$C$20:$C$41=IF($AO63="No",$AQ63,$AS63)))))</f>
        <v>0</v>
      </c>
      <c r="VI63" s="75">
        <f t="array" ref="VI63">INDEX('China n Importing Ports'!$M$20:$M$41,MATCH(2,1/(('China n Importing Ports'!$D$20:$D$41&lt;=$C63)*('China n Importing Ports'!$C$20:$C$41=IF($AO63="No",$AQ63,$AS63)))))</f>
        <v>0</v>
      </c>
      <c r="VJ63" s="75">
        <f t="array" ref="VJ63">INDEX('China n Importing Ports'!$N$20:$N$41,MATCH(2,1/(('China n Importing Ports'!$D$20:$D$41&lt;=$C63)*('China n Importing Ports'!$C$20:$C$41=IF($AO63="No",$AQ63,$AS63)))))</f>
        <v>0</v>
      </c>
      <c r="VK63" s="75">
        <f t="array" ref="VK63">INDEX('China n Importing Ports'!$O$20:$O$41,MATCH(2,1/(('China n Importing Ports'!$D$20:$D$41&lt;=$C63)*('China n Importing Ports'!$C$20:$C$41=IF($AO63="No",$AQ63,$AS63)))))</f>
        <v>0</v>
      </c>
      <c r="VL63" s="136">
        <f t="array" ref="VL63">INDEX('China n Importing Ports'!$P$20:$P$41,MATCH(2,1/(('China n Importing Ports'!$D$20:$D$41&lt;=$C63)*('China n Importing Ports'!$C$20:$C$41=IF($AO63="No",$AQ63,$AS63)))))</f>
        <v>0</v>
      </c>
      <c r="VM63" s="136">
        <f t="array" ref="VM63">INDEX('China n Importing Ports'!$Q$20:$Q$41,MATCH(2,1/(('China n Importing Ports'!$D$20:$D$41&lt;=$C63)*('China n Importing Ports'!$C$20:$C$41=IF($AO63="No",$AQ63,$AS63)))))</f>
        <v>0</v>
      </c>
      <c r="VN63" s="136">
        <f t="array" ref="VN63">INDEX('China n Importing Ports'!$R$20:$R$41,MATCH(2,1/(('China n Importing Ports'!$D$20:$D$41&lt;=$C63)*('China n Importing Ports'!$C$20:$C$41=IF($AO63="No",$AQ63,$AS63)))))</f>
        <v>0</v>
      </c>
      <c r="VO63" s="136">
        <f t="array" ref="VO63">INDEX('China n Importing Ports'!$S$20:$S$41,MATCH(2,1/(('China n Importing Ports'!$D$20:$D$41&lt;=$C63)*('China n Importing Ports'!$C$20:$C$41=IF($AO63="No",$AQ63,$AS63)))))</f>
        <v>0</v>
      </c>
      <c r="VP63" s="136">
        <f t="array" ref="VP63">INDEX('China n Importing Ports'!$T$20:$T$41,MATCH(2,1/(('China n Importing Ports'!$D$20:$D$41&lt;=$C63)*('China n Importing Ports'!$C$20:$C$41=IF($AO63="No",$AQ63,$AS63)))))</f>
        <v>0</v>
      </c>
      <c r="VQ63" s="136">
        <f t="array" ref="VQ63">INDEX('China n Importing Ports'!$U$20:$U$41,MATCH(2,1/(('China n Importing Ports'!$D$20:$D$41&lt;=$C63)*('China n Importing Ports'!$C$20:$C$41=IF($AO63="No",$AQ63,$AS63)))))</f>
        <v>0</v>
      </c>
      <c r="VR63" s="136">
        <f t="array" ref="VR63">INDEX('China n Importing Ports'!$V$20:$V$41,MATCH(2,1/(('China n Importing Ports'!$D$20:$D$41&lt;=$C63)*('China n Importing Ports'!$C$20:$C$41=IF($AO63="No",$AQ63,$AS63)))))</f>
        <v>0</v>
      </c>
      <c r="VS63" s="136">
        <f t="array" ref="VS63">INDEX('China n Importing Ports'!$W$20:$W$41,MATCH(2,1/(('China n Importing Ports'!$D$20:$D$41&lt;=$C63)*('China n Importing Ports'!$C$20:$C$41=IF($AO63="No",$AQ63,$AS63)))))</f>
        <v>0</v>
      </c>
      <c r="VT63" s="136">
        <f t="array" ref="VT63">INDEX('China n Importing Ports'!$X$20:$X$41,MATCH(2,1/(('China n Importing Ports'!$D$20:$D$41&lt;=$C63)*('China n Importing Ports'!$C$20:$C$41=IF($AO63="No",$AQ63,$AS63)))))</f>
        <v>0</v>
      </c>
      <c r="VU63" s="136">
        <f t="array" ref="VU63">INDEX('China n Importing Ports'!$Y$20:$Y$41,MATCH(2,1/(('China n Importing Ports'!$D$20:$D$41&lt;=$C63)*('China n Importing Ports'!$C$20:$C$41=IF($AO63="No",$AQ63,$AS63)))))</f>
        <v>0</v>
      </c>
      <c r="VV63" s="136">
        <f t="array" ref="VV63">INDEX('China n Importing Ports'!$Z$20:$Z$41,MATCH(2,1/(('China n Importing Ports'!$D$20:$D$41&lt;=$C63)*('China n Importing Ports'!$C$20:$C$41=IF($AO63="No",$AQ63,$AS63)))))</f>
        <v>0</v>
      </c>
      <c r="VW63" s="136">
        <f t="array" ref="VW63">INDEX('China n Importing Ports'!$AA$20:$AA$41,MATCH(2,1/(('China n Importing Ports'!$D$20:$D$41&lt;=$C63)*('China n Importing Ports'!$C$20:$C$41=IF($AO63="No",$AQ63,$AS63)))))</f>
        <v>0</v>
      </c>
      <c r="VY63" s="75" t="e">
        <f t="array" aca="1" ref="VY63" ca="1">INDEX(Canals!$G$24:$G$29,MATCH(2,1/((Canals!$F$24:$F$29&lt;=$C63)*(Canals!$G$24:$G$29=_xlfn.IFS(SJ63="Handysize",US63,SJ63="Supramax",UL63,SJ63="Panamax",UE63,SJ63="NeoPanamax",TX63,SJ63="Suezmax",TQ63,SJ63="Capesize",TJ63,SJ63="VLOC",TC63)))))</f>
        <v>#N/A</v>
      </c>
      <c r="VZ63" s="75" t="e">
        <f t="array" aca="1" ref="VZ63" ca="1">INDEX(Canals!$H$24:$H$29,MATCH(2,1/((Canals!$F$24:$F$29&lt;=$C63)*(Canals!$G$24:$G$29=_xlfn.IFS(SJ63="Handysize",US63,SJ63="Supramax",UL63,SJ63="Panamax",UE63,SJ63="NeoPanamax",TX63,SJ63="Suezmax",TQ63,SJ63="Capesize",TJ63,SJ63="VLOC",TC63)))))</f>
        <v>#N/A</v>
      </c>
      <c r="WA63" s="75" t="e">
        <f t="array" aca="1" ref="WA63" ca="1">INDEX(Canals!$I$24:$I$29,MATCH(2,1/((Canals!$F$24:$F$29&lt;=$C63)*(Canals!$G$24:$G$29=_xlfn.IFS(SJ63="Handysize",US63,SJ63="Supramax",UL63,SJ63="Panamax",UE63,SJ63="NeoPanamax",TX63,SJ63="Suezmax",TQ63,SJ63="Capesize",TJ63,SJ63="VLOC",TC63)))))</f>
        <v>#N/A</v>
      </c>
      <c r="WB63" s="75" t="e">
        <f t="array" aca="1" ref="WB63" ca="1">INDEX(Canals!$J$24:$J$29,MATCH(2,1/((Canals!$F$24:$F$29&lt;=$C63)*(Canals!$G$24:$G$29=_xlfn.IFS(SJ63="Handysize",Main!US63,SJ63="Supramax",UL63,SJ63="Panamax",UE63,SJ63="NeoPanamax",TX63,SJ63="Suezmax",TQ63,SJ63="Capesize",TJ63,SJ63="VLOC",TC63)))))</f>
        <v>#N/A</v>
      </c>
      <c r="WC63" s="75" t="e">
        <f t="array" aca="1" ref="WC63" ca="1">INDEX(Canals!$K$24:$K$29,MATCH(2,1/((Canals!$F$24:$F$29&lt;=$C63)*(Canals!$G$24:$G$29=_xlfn.IFS(SJ63="Handysize",Main!US63,SJ63="Supramax",UL63,SJ63="Panamax",UE63,SJ63="NeoPanamax",TX63,SJ63="Suezmax",TQ63,SJ63="Capesize",TJ63,SJ63="VLOC",TC63)))))</f>
        <v>#N/A</v>
      </c>
      <c r="WD63" s="75" t="e">
        <f t="array" aca="1" ref="WD63" ca="1">INDEX(Canals!$L$24:$L$29,MATCH(2,1/((Canals!$F$24:$F$29&lt;=$C63)*(Canals!$G$24:$G$29=_xlfn.IFS(SJ63="Handysize",Main!US63,SJ63="Supramax",UL63,SJ63="Panamax",UE63,SJ63="NeoPanamax",TX63,SJ63="Suezmax",TQ63,SJ63="Capesize",TJ63,SJ63="VLOC",TC63)))))</f>
        <v>#N/A</v>
      </c>
      <c r="WE63" s="75" t="e">
        <f t="array" aca="1" ref="WE63" ca="1">INDEX(Canals!$M$24:$M$29,MATCH(2,1/((Canals!$F$24:$F$29&lt;=$C63)*(Canals!$G$24:$G$29=_xlfn.IFS(SJ63="Handysize",Main!US63,SJ63="Supramax",UL63,SJ63="Panamax",UE63,SJ63="NeoPanamax",TX63,SJ63="Suezmax",TQ63,SJ63="Capesize",TJ63,SJ63="VLOC",TC63)))))</f>
        <v>#N/A</v>
      </c>
      <c r="WF63" s="75" t="e">
        <f t="array" aca="1" ref="WF63" ca="1">INDEX(Canals!$N$24:$N$29,MATCH(2,1/((Canals!$F$24:$F$29&lt;=$C63)*(Canals!$G$24:$G$29=_xlfn.IFS(SJ63="Handysize",Main!US63,SJ63="Supramax",UL63,SJ63="Panamax",UE63,SJ63="NeoPanamax",TX63,SJ63="Suezmax",TQ63,SJ63="Capesize",TJ63,SJ63="VLOC",TC63)))))</f>
        <v>#N/A</v>
      </c>
      <c r="WG63" s="75" t="e">
        <f t="array" aca="1" ref="WG63" ca="1">INDEX(Canals!$O$24:$O$29,MATCH(2,1/((Canals!$F$24:$F$29&lt;=$C63)*(Canals!$G$24:$G$29=_xlfn.IFS(SJ63="Handysize",Main!US63,SJ63="Supramax",UL63,SJ63="Panamax",UE63,SJ63="NeoPanamax",TX63,SJ63="Suezmax",TQ63,SJ63="Capesize",TJ63,SJ63="VLOC",TC63)))))</f>
        <v>#N/A</v>
      </c>
      <c r="WH63" s="75" t="e">
        <f t="array" aca="1" ref="WH63" ca="1">INDEX(Canals!$P$24:$P$29,MATCH(2,1/((Canals!$F$24:$F$29&lt;=$C63)*(Canals!$G$24:$G$29=_xlfn.IFS(SJ63="Handysize",Main!US63,SJ63="Supramax",UL63,SJ63="Panamax",UE63,SJ63="NeoPanamax",TX63,SJ63="Suezmax",TQ63,SJ63="Capesize",TJ63,SJ63="VLOC",TC63)))))</f>
        <v>#N/A</v>
      </c>
      <c r="WI63" s="75" t="e">
        <f t="array" aca="1" ref="WI63" ca="1">INDEX(Canals!$Q$24:$Q$29,MATCH(2,1/((Canals!$F$24:$F$29&lt;=$C63)*(Canals!$G$24:$G$29=_xlfn.IFS(SJ63="Handysize",Main!US63,SJ63="Supramax",UL63,SJ63="Panamax",UE63,SJ63="NeoPanamax",TX63,SJ63="Suezmax",TQ63,SJ63="Capesize",TJ63,SJ63="VLOC",TC63)))))</f>
        <v>#N/A</v>
      </c>
      <c r="WJ63" s="75" t="e">
        <f t="array" aca="1" ref="WJ63" ca="1">INDEX(Canals!$R$24:$R$29,MATCH(2,1/((Canals!$F$24:$F$29&lt;=$C63)*(Canals!$G$24:$G$29=_xlfn.IFS(SJ63="Handysize",Main!US63,SJ63="Supramax",UL63,SJ63="Panamax",UE63,SJ63="NeoPanamax",TX63,SJ63="Suezmax",TQ63,SJ63="Capesize",TJ63,SJ63="VLOC",TC63)))))</f>
        <v>#N/A</v>
      </c>
      <c r="WK63" s="136" t="e">
        <f t="array" aca="1" ref="WK63" ca="1">INDEX(Canals!$S$24:$S$29,MATCH(2,1/((Canals!$F$24:$F$29&lt;=$C63)*(Canals!$G$24:$G$29=_xlfn.IFS(SJ63="Handysize",Main!US63,SJ63="Supramax",UL63,SJ63="Panamax",UE63,SJ63="NeoPanamax",TX63,SJ63="Suezmax",TQ63,SJ63="Capesize",TJ63,SJ63="VLOC",TC63)))))</f>
        <v>#N/A</v>
      </c>
      <c r="WL63" s="136" t="e">
        <f t="array" aca="1" ref="WL63" ca="1">INDEX(Canals!$T$24:$T$29,MATCH(2,1/((Canals!$F$24:$F$29&lt;=$C63)*(Canals!$G$24:$G$29=_xlfn.IFS(SJ63="Handysize",Main!US63,SJ63="Supramax",UL63,SJ63="Panamax",UE63,SJ63="NeoPanamax",TX63,SJ63="Suezmax",TQ63,SJ63="Capesize",TJ63,SJ63="VLOC",TC63)))))</f>
        <v>#N/A</v>
      </c>
      <c r="WM63" s="136" t="e">
        <f t="array" aca="1" ref="WM63" ca="1">INDEX(Canals!$U$24:$U$29,MATCH(2,1/((Canals!$F$24:$F$29&lt;=$C63)*(Canals!$G$24:$G$29=_xlfn.IFS(SJ63="Handysize",Main!US63,SJ63="Supramax",UL63,SJ63="Panamax",UE63,SJ63="NeoPanamax",TX63,SJ63="Suezmax",TQ63,SJ63="Capesize",TJ63,SJ63="VLOC",TC63)))))</f>
        <v>#N/A</v>
      </c>
      <c r="WN63" s="136" t="e">
        <f t="array" aca="1" ref="WN63" ca="1">INDEX(Canals!$V$24:$V$29,MATCH(2,1/((Canals!$F$24:$F$29&lt;=$C63)*(Canals!$G$24:$G$29=_xlfn.IFS(SJ63="Handysize",Main!US63,SJ63="Supramax",UL63,SJ63="Panamax",UE63,SJ63="NeoPanamax",TX63,SJ63="Suezmax",TQ63,SJ63="Capesize",TJ63,SJ63="VLOC",TC63)))))</f>
        <v>#N/A</v>
      </c>
      <c r="WO63" s="136" t="e">
        <f t="array" aca="1" ref="WO63" ca="1">INDEX(Canals!$W$24:$W$29,MATCH(2,1/((Canals!$F$24:$F$29&lt;=$C63)*(Canals!$G$24:$G$29=_xlfn.IFS(SJ63="Handysize",Main!US63,SJ63="Supramax",UL63,SJ63="Panamax",UE63,SJ63="NeoPanamax",TX63,SJ63="Suezmax",TQ63,SJ63="Capesize",TJ63,SJ63="VLOC",TC63)))))</f>
        <v>#N/A</v>
      </c>
      <c r="WP63" s="136" t="e">
        <f t="array" aca="1" ref="WP63" ca="1">INDEX(Canals!$X$24:$X$29,MATCH(2,1/((Canals!$F$24:$F$29&lt;=$C63)*(Canals!$G$24:$G$29=_xlfn.IFS(SJ63="Handysize",Main!US63,SJ63="Supramax",UL63,SJ63="Panamax",UE63,SJ63="NeoPanamax",TX63,SJ63="Suezmax",TQ63,SJ63="Capesize",TJ63,SJ63="VLOC",TC63)))))</f>
        <v>#N/A</v>
      </c>
      <c r="WQ63" s="136" t="e">
        <f t="array" aca="1" ref="WQ63" ca="1">INDEX(Canals!$Y$24:$Y$29,MATCH(2,1/((Canals!$F$24:$F$29&lt;=$C63)*(Canals!$G$24:$G$29=_xlfn.IFS(SJ63="Handysize",Main!US63,SJ63="Supramax",UL63,SJ63="Panamax",UE63,SJ63="NeoPanamax",TX63,SJ63="Suezmax",TQ63,SJ63="Capesize",TJ63,SJ63="VLOC",TC63)))))</f>
        <v>#N/A</v>
      </c>
      <c r="WR63" s="136" t="e">
        <f t="array" aca="1" ref="WR63" ca="1">INDEX(Canals!$Z$24:$Z$29,MATCH(2,1/((Canals!$F$24:$F$29&lt;=$C63)*(Canals!$G$24:$G$29=_xlfn.IFS(SJ63="Handysize",Main!US63,SJ63="Supramax",UL63,SJ63="Panamax",UE63,SJ63="NeoPanamax",TX63,SJ63="Suezmax",TQ63,SJ63="Capesize",TJ63,SJ63="VLOC",TC63)))))</f>
        <v>#N/A</v>
      </c>
      <c r="WS63" s="136" t="e">
        <f t="array" aca="1" ref="WS63" ca="1">INDEX(Canals!$AA$24:$AA$29,MATCH(2,1/((Canals!$F$24:$F$29&lt;=$C63)*(Canals!$G$24:$G$29=_xlfn.IFS(SJ63="Handysize",Main!US63,SJ63="Supramax",UL63,SJ63="Panamax",UE63,SJ63="NeoPanamax",TX63,SJ63="Suezmax",TQ63,SJ63="Capesize",TJ63,SJ63="VLOC",TC63)))))</f>
        <v>#N/A</v>
      </c>
      <c r="WT63" s="136" t="e">
        <f t="array" aca="1" ref="WT63" ca="1">INDEX(Canals!$AB$24:$AB$29,MATCH(2,1/((Canals!$F$24:$F$29&lt;=$C63)*(Canals!$G$24:$G$29=_xlfn.IFS(SJ63="Handysize",Main!US63,SJ63="Supramax",UL63,SJ63="Panamax",UE63,SJ63="NeoPanamax",TX63,SJ63="Suezmax",TQ63,SJ63="Capesize",TJ63,SJ63="VLOC",TC63)))))</f>
        <v>#N/A</v>
      </c>
      <c r="WU63" s="75" t="e">
        <f t="array" aca="1" ref="WU63" ca="1">INDEX(Canals!$AC$24:$AC$29,MATCH(2,1/((Canals!$F$24:$F$29&lt;=$C63)*(Canals!$G$24:$G$29=_xlfn.IFS(SJ63="Handysize",Main!US63,SJ63="Supramax",UL63,SJ63="Panamax",UE63,SJ63="NeoPanamax",TX63,SJ63="Suezmax",TQ63,SJ63="Capesize",TJ63,SJ63="VLOC",TC63)))))</f>
        <v>#N/A</v>
      </c>
      <c r="WV63" s="75" t="e">
        <f t="array" aca="1" ref="WV63" ca="1">INDEX(Canals!$AD$24:$AD$29,MATCH(2,1/((Canals!$F$24:$F$29&lt;=$C63)*(Canals!$G$24:$G$29=_xlfn.IFS(SJ63="Handysize",Main!US63,SJ63="Supramax",UL63,SJ63="Panamax",UE63,SJ63="NeoPanamax",TX63,SJ63="Suezmax",TQ63,SJ63="Capesize",TJ63,SJ63="VLOC",TC63)))))</f>
        <v>#N/A</v>
      </c>
      <c r="WW63" s="75" t="e">
        <f t="array" aca="1" ref="WW63" ca="1">INDEX(Canals!$AE$24:$AE$29,MATCH(2,1/((Canals!$F$24:$F$29&lt;=$C63)*(Canals!$G$24:$G$29=_xlfn.IFS(SJ63="Handysize",Main!US63,SJ63="Supramax",UL63,SJ63="Panamax",UE63,SJ63="NeoPanamax",TX63,SJ63="Suezmax",TQ63,SJ63="Capesize",TJ63,SJ63="VLOC",TC63)))))</f>
        <v>#N/A</v>
      </c>
      <c r="WX63" s="75" t="e">
        <f t="array" aca="1" ref="WX63" ca="1">INDEX(Canals!$AF$24:$AF$29,MATCH(2,1/((Canals!$F$24:$F$29&lt;=$C63)*(Canals!$G$24:$G$29=_xlfn.IFS(SJ63="Handysize",Main!US63,SJ63="Supramax",UL63,SJ63="Panamax",UE63,SJ63="NeoPanamax",TX63,SJ63="Suezmax",TQ63,SJ63="Capesize",TJ63,SJ63="VLOC",TC63)))))</f>
        <v>#N/A</v>
      </c>
      <c r="WY63" s="75" t="e">
        <f t="array" aca="1" ref="WY63" ca="1">INDEX(Canals!$AG$24:$AG$29,MATCH(2,1/((Canals!$F$24:$F$29&lt;=$C63)*(Canals!$G$24:$G$29=_xlfn.IFS(SJ63="Handysize",Main!US63,SJ63="Supramax",UL63,SJ63="Panamax",UE63,SJ63="NeoPanamax",TX63,SJ63="Suezmax",TQ63,SJ63="Capesize",TJ63,SJ63="VLOC",TC63)))))</f>
        <v>#N/A</v>
      </c>
      <c r="WZ63" s="75" t="e">
        <f t="array" aca="1" ref="WZ63" ca="1">INDEX(Canals!$AH$24:$AH$29,MATCH(2,1/((Canals!$F$24:$F$29&lt;=$C63)*(Canals!$G$24:$G$29=_xlfn.IFS(SJ63="Handysize",Main!US63,SJ63="Supramax",UL63,SJ63="Panamax",UE63,SJ63="NeoPanamax",TX63,SJ63="Suezmax",TQ63,SJ63="Capesize",TJ63,SJ63="VLOC",TC63)))))</f>
        <v>#N/A</v>
      </c>
      <c r="XA63" s="75" t="e">
        <f t="array" aca="1" ref="XA63" ca="1">INDEX(Canals!$AI$24:$AI$29,MATCH(2,1/((Canals!$F$24:$F$29&lt;=$C63)*(Canals!$G$24:$G$29=_xlfn.IFS(SJ63="Handysize",Main!US63,SJ63="Supramax",UL63,SJ63="Panamax",UE63,SJ63="NeoPanamax",TX63,SJ63="Suezmax",TQ63,SJ63="Capesize",TJ63,SJ63="VLOC",TC63)))))</f>
        <v>#N/A</v>
      </c>
      <c r="XB63" s="75" t="e">
        <f t="array" aca="1" ref="XB63" ca="1">INDEX(Canals!$AJ$24:$AJ$29,MATCH(2,1/((Canals!$F$24:$F$29&lt;=$C63)*(Canals!$G$24:$G$29=_xlfn.IFS(SJ63="Handysize",Main!US63,SJ63="Supramax",UL63,SJ63="Panamax",UE63,SJ63="NeoPanamax",TX63,SJ63="Suezmax",TQ63,SJ63="Capesize",TJ63,SJ63="VLOC",TC63)))))</f>
        <v>#N/A</v>
      </c>
      <c r="XC63" s="75" t="e">
        <f t="array" aca="1" ref="XC63" ca="1">INDEX(Canals!$AK$24:$AK$29,MATCH(2,1/((Canals!$F$24:$F$29&lt;=$C63)*(Canals!$G$24:$G$29=_xlfn.IFS(SJ63="Handysize",Main!US63,SJ63="Supramax",UL63,SJ63="Panamax",UE63,SJ63="NeoPanamax",TX63,SJ63="Suezmax",TQ63,SJ63="Capesize",TJ63,SJ63="VLOC",TC63)))))</f>
        <v>#N/A</v>
      </c>
      <c r="XD63" s="136" t="e">
        <f t="array" aca="1" ref="XD63" ca="1">INDEX(Canals!$AL$24:$AL$29,MATCH(2,1/((Canals!$F$24:$F$29&lt;=$C63)*(Canals!$G$24:$G$29=_xlfn.IFS(SJ63="Handysize",Main!US63,SJ63="Supramax",UL63,SJ63="Panamax",UE63,SJ63="NeoPanamax",TX63,SJ63="Suezmax",TQ63,SJ63="Capesize",TJ63,SJ63="VLOC",TC63)))))</f>
        <v>#N/A</v>
      </c>
      <c r="XE63" s="136" t="e">
        <f t="array" aca="1" ref="XE63" ca="1">INDEX(Canals!$AM$24:$AM$29,MATCH(2,1/((Canals!$F$24:$F$29&lt;=$C63)*(Canals!$G$24:$G$29=_xlfn.IFS(SJ63="Handysize",Main!US63,SJ63="Supramax",UL63,SJ63="Panamax",UE63,SJ63="NeoPanamax",TX63,SJ63="Suezmax",TQ63,SJ63="Capesize",TJ63,SJ63="VLOC",TC63)))))</f>
        <v>#N/A</v>
      </c>
      <c r="XF63" s="136" t="e">
        <f t="array" aca="1" ref="XF63" ca="1">INDEX(Canals!$AN$24:$AN$29,MATCH(2,1/((Canals!$F$24:$F$29&lt;=$C63)*(Canals!$G$24:$G$29=_xlfn.IFS(SJ63="Handysize",Main!US63,SJ63="Supramax",UL63,SJ63="Panamax",UE63,SJ63="NeoPanamax",TX63,SJ63="Suezmax",TQ63,SJ63="Capesize",TJ63,SJ63="VLOC",TC63)))))</f>
        <v>#N/A</v>
      </c>
      <c r="XG63" s="136" t="e">
        <f t="array" aca="1" ref="XG63" ca="1">INDEX(Canals!$AO$24:$AO$29,MATCH(2,1/((Canals!$F$24:$F$29&lt;=$C63)*(Canals!$G$24:$G$29=_xlfn.IFS(SJ63="Handysize",Main!US63,SJ63="Supramax",UL63,SJ63="Panamax",UE63,SJ63="NeoPanamax",TX63,SJ63="Suezmax",TQ63,SJ63="Capesize",TJ63,SJ63="VLOC",TC63)))))</f>
        <v>#N/A</v>
      </c>
      <c r="XH63" s="136" t="e">
        <f t="array" aca="1" ref="XH63" ca="1">INDEX(Canals!$AP$24:$AP$29,MATCH(2,1/((Canals!$F$24:$F$29&lt;=$C63)*(Canals!$G$24:$G$29=_xlfn.IFS(SJ63="Handysize",Main!US63,SJ63="Supramax",UL63,SJ63="Panamax",UE63,SJ63="NeoPanamax",TX63,SJ63="Suezmax",TQ63,SJ63="Capesize",TJ63,SJ63="VLOC",TC63)))))</f>
        <v>#N/A</v>
      </c>
      <c r="XI63" s="136" t="e">
        <f t="array" aca="1" ref="XI63" ca="1">INDEX(Canals!$AQ$24:$AQ$29,MATCH(2,1/((Canals!$F$24:$F$29&lt;=$C63)*(Canals!$G$24:$G$29=_xlfn.IFS(SJ63="Handysize",Main!US63,SJ63="Supramax",UL63,SJ63="Panamax",UE63,SJ63="NeoPanamax",TX63,SJ63="Suezmax",TQ63,SJ63="Capesize",TJ63,SJ63="VLOC",TC63)))))</f>
        <v>#N/A</v>
      </c>
      <c r="XJ63" s="136" t="e">
        <f t="array" aca="1" ref="XJ63" ca="1">INDEX(Canals!$AR$24:$AR$29,MATCH(2,1/((Canals!$F$24:$F$29&lt;=$C63)*(Canals!$G$24:$G$29=_xlfn.IFS(SJ63="Handysize",Main!US63,SJ63="Supramax",UL63,SJ63="Panamax",UE63,SJ63="NeoPanamax",TX63,SJ63="Suezmax",TQ63,SJ63="Capesize",TJ63,SJ63="VLOC",TC63)))))</f>
        <v>#N/A</v>
      </c>
      <c r="XK63" s="136" t="e">
        <f t="array" aca="1" ref="XK63" ca="1">INDEX(Canals!$AS$24:$AS$29,MATCH(2,1/((Canals!$F$24:$F$29&lt;=$C63)*(Canals!$G$24:$G$29=_xlfn.IFS(SJ63="Handysize",Main!US63,SJ63="Supramax",UL63,SJ63="Panamax",UE63,SJ63="NeoPanamax",TX63,SJ63="Suezmax",TQ63,SJ63="Capesize",TJ63,SJ63="VLOC",TC63)))))</f>
        <v>#N/A</v>
      </c>
      <c r="XL63" s="136" t="e">
        <f t="array" aca="1" ref="XL63" ca="1">INDEX(Canals!$AT$24:$AT$29,MATCH(2,1/((Canals!$F$24:$F$29&lt;=$C63)*(Canals!$G$24:$G$29=_xlfn.IFS(SJ63="Handysize",Main!US63,SJ63="Supramax",UL63,SJ63="Panamax",UE63,SJ63="NeoPanamax",TX63,SJ63="Suezmax",TQ63,SJ63="Capesize",TJ63,SJ63="VLOC",TC63)))))</f>
        <v>#N/A</v>
      </c>
      <c r="XM63" s="136" t="e">
        <f t="array" aca="1" ref="XM63" ca="1">INDEX(Canals!$AU$24:$AU$29,MATCH(2,1/((Canals!$F$24:$F$29&lt;=$C63)*(Canals!$G$24:$G$29=_xlfn.IFS(SJ63="Handysize",Main!US63,SJ63="Supramax",UL63,SJ63="Panamax",UE63,SJ63="NeoPanamax",TX63,SJ63="Suezmax",TQ63,SJ63="Capesize",TJ63,SJ63="VLOC",TC63)))))</f>
        <v>#N/A</v>
      </c>
      <c r="XN63" s="136" t="e">
        <f t="array" aca="1" ref="XN63" ca="1">INDEX(Canals!$AV$24:$AV$29,MATCH(2,1/((Canals!$F$24:$F$29&lt;=$C63)*(Canals!$G$24:$G$29=_xlfn.IFS(SJ63="Handysize",Main!US63,SJ63="Supramax",UL63,SJ63="Panamax",UE63,SJ63="NeoPanamax",TX63,SJ63="Suezmax",TQ63,SJ63="Capesize",TJ63,SJ63="VLOC",TC63)))))</f>
        <v>#N/A</v>
      </c>
      <c r="XP63" s="75" t="e">
        <f t="array" aca="1" ref="XP63" ca="1">_xlfn.IFS(WA63="DWT",SH63,WA63="NRT",SL63,WA63="GRT",SM63,WA63=0,0)</f>
        <v>#NAME?</v>
      </c>
      <c r="XQ63" s="279" t="e">
        <f t="shared" ca="1" si="455"/>
        <v>#NAME?</v>
      </c>
      <c r="XR63" s="280" t="e">
        <f t="shared" ca="1" si="456"/>
        <v>#NAME?</v>
      </c>
      <c r="XS63" s="280" t="e">
        <f t="shared" ca="1" si="457"/>
        <v>#NAME?</v>
      </c>
      <c r="XT63" s="280" t="e">
        <f t="shared" ca="1" si="458"/>
        <v>#NAME?</v>
      </c>
      <c r="XU63" s="280" t="e">
        <f t="shared" ca="1" si="459"/>
        <v>#NAME?</v>
      </c>
      <c r="XV63" s="280" t="e">
        <f t="shared" ca="1" si="460"/>
        <v>#NAME?</v>
      </c>
      <c r="XW63" s="280" t="e">
        <f t="shared" ca="1" si="461"/>
        <v>#NAME?</v>
      </c>
      <c r="XX63" s="280" t="e">
        <f t="shared" ca="1" si="462"/>
        <v>#NAME?</v>
      </c>
      <c r="XY63" s="280" t="e">
        <f t="shared" ca="1" si="463"/>
        <v>#NAME?</v>
      </c>
      <c r="XZ63" s="75">
        <f t="shared" si="464"/>
        <v>0</v>
      </c>
      <c r="YA63" s="279" t="e">
        <f t="shared" ca="1" si="465"/>
        <v>#N/A</v>
      </c>
      <c r="YB63" s="280" t="e">
        <f t="shared" ca="1" si="466"/>
        <v>#N/A</v>
      </c>
      <c r="YC63" s="280" t="e">
        <f t="shared" ca="1" si="467"/>
        <v>#N/A</v>
      </c>
      <c r="YD63" s="280" t="e">
        <f t="shared" ca="1" si="468"/>
        <v>#N/A</v>
      </c>
      <c r="YE63" s="280" t="e">
        <f t="shared" ca="1" si="469"/>
        <v>#N/A</v>
      </c>
      <c r="YF63" s="280" t="e">
        <f t="shared" ca="1" si="470"/>
        <v>#N/A</v>
      </c>
      <c r="YG63" s="280" t="e">
        <f t="shared" ca="1" si="471"/>
        <v>#N/A</v>
      </c>
      <c r="YH63" s="280" t="e">
        <f t="shared" ca="1" si="472"/>
        <v>#N/A</v>
      </c>
      <c r="YI63" s="280" t="e">
        <f t="shared" ca="1" si="473"/>
        <v>#N/A</v>
      </c>
      <c r="YK63" s="75" t="e">
        <f t="array" aca="1" ref="YK63" ca="1">_xlfn.IFS(SJ63="Handysize",Main!UM63,SJ63="Supramax",UF63,SJ63="Panamax",TY63,SJ63="NeoPanamax",TR63,SJ63="Suezmax",TK63,SJ63="Capesize",TD63,SJ63="VLOC",SW63)*$JI63</f>
        <v>#NAME?</v>
      </c>
      <c r="YL63" s="274" t="e">
        <f t="array" aca="1" ref="YL63" ca="1">_xlfn.IFS(SJ63="Handysize",Main!UN63,SJ63="Supramax",UG63,SJ63="Panamax",TZ63,SJ63="NeoPanamax",TS63,SJ63="Suezmax",TL63,SJ63="Capesize",TE63,SJ63="VLOC",SX63)*$JI63</f>
        <v>#NAME?</v>
      </c>
      <c r="YM63" s="71" t="e">
        <f t="array" aca="1" ref="YM63" ca="1">_xlfn.IFS(SJ63="Handysize",Main!SO63,SJ63="Supramax",SP63,SJ63="Panamax",SQ63,SJ63="NeoPanamax",SR63,SJ63="Suezmax",SS63,SJ63="Capesize",ST63,SJ63="VLOC",SU63)</f>
        <v>#NAME?</v>
      </c>
      <c r="YN63" s="71" t="e">
        <f t="array" aca="1" ref="YN63" ca="1">_xlfn.IFS(SJ63="Handysize",Main!VA63,SJ63="Supramax",VB63,SJ63="Panamax",VC63,SJ63="NeoPanamax",VD63,SJ63="Suezmax",VE63,SJ63="Capesize",VF63,SJ63="VLOC",VG63)</f>
        <v>#NAME?</v>
      </c>
      <c r="YO63" s="70">
        <f t="array" ref="YO63">INDEX('Ship Speeds'!$G$11:$G$1011,MATCH(2,1/(('Ship Speeds'!$E$11:$E$1011&lt;=Main!$C63)*('Ship Speeds'!$F$11:$F$1011=Main!SI63))))</f>
        <v>11</v>
      </c>
      <c r="YP63" s="403">
        <f t="shared" si="474"/>
        <v>0</v>
      </c>
      <c r="YQ63" s="401">
        <f t="shared" si="475"/>
        <v>1.2</v>
      </c>
      <c r="YR63" s="70" t="e">
        <f t="shared" ca="1" si="476"/>
        <v>#NAME?</v>
      </c>
      <c r="YS63" s="70" t="e">
        <f t="shared" ca="1" si="477"/>
        <v>#NAME?</v>
      </c>
      <c r="YT63" s="70" t="e">
        <f t="shared" ca="1" si="478"/>
        <v>#NAME?</v>
      </c>
      <c r="YU63" s="70" t="e">
        <f t="shared" ca="1" si="479"/>
        <v>#NAME?</v>
      </c>
      <c r="YV63" s="72" t="e">
        <f t="shared" ca="1" si="480"/>
        <v>#N/A</v>
      </c>
      <c r="YW63" s="70" t="e">
        <f t="shared" ca="1" si="481"/>
        <v>#NAME?</v>
      </c>
      <c r="YX63" s="70" t="e">
        <f t="array" aca="1" ref="YX63" ca="1">IF(YK63=0,0,INDEX(UU63:UY63,MATCH(_xlfn.IFS(SJ63="Handysize",Main!UQ63,SJ63="Supramax",UJ63,SJ63="Panamax",UC63,SJ63="NeoPanamax",TV63,SJ63="Suezmax",TO63,SJ63="Capesize",TH63,SJ63="VLOC",TA63),$UU$7:$UY$7,0)))</f>
        <v>#NAME?</v>
      </c>
      <c r="YY63" s="70" t="e">
        <f t="array" aca="1" ref="YY63" ca="1">IF(YK63=0,0,INDEX(UU63:UY63,MATCH(_xlfn.IFS(SJ63="Handysize",Main!UR63,SJ63="Supramax",UK63,SJ63="Panamax",UD63,SJ63="NeoPanamax",TW63,SJ63="Suezmax",TP63,SJ63="Capesize",TI63,SJ63="VLOC",TB63),$UU$7:$UY$7,0)))</f>
        <v>#NAME?</v>
      </c>
      <c r="YZ63" s="71" t="e">
        <f t="shared" ca="1" si="482"/>
        <v>#NAME?</v>
      </c>
      <c r="ZA63" s="71" t="e">
        <f t="shared" ca="1" si="483"/>
        <v>#NAME?</v>
      </c>
      <c r="ZB63" s="281" t="e">
        <f t="shared" ca="1" si="484"/>
        <v>#NAME?</v>
      </c>
      <c r="ZC63" s="71" t="e">
        <f t="shared" ca="1" si="485"/>
        <v>#NAME?</v>
      </c>
      <c r="ZD63" s="71" t="e">
        <f t="shared" ca="1" si="486"/>
        <v>#NAME?</v>
      </c>
      <c r="ZE63" s="71" t="e">
        <f t="shared" ca="1" si="487"/>
        <v>#NAME?</v>
      </c>
      <c r="ZF63" s="71" t="e">
        <f t="shared" ca="1" si="488"/>
        <v>#NAME?</v>
      </c>
      <c r="ZG63" s="71" t="e">
        <f t="shared" ca="1" si="489"/>
        <v>#NAME?</v>
      </c>
      <c r="ZH63" s="71" t="e">
        <f t="shared" ca="1" si="490"/>
        <v>#NAME?</v>
      </c>
      <c r="ZI63" s="71" t="e">
        <f t="shared" ca="1" si="491"/>
        <v>#NAME?</v>
      </c>
      <c r="ZJ63" s="71" t="e">
        <f t="shared" ca="1" si="492"/>
        <v>#NAME?</v>
      </c>
      <c r="ZK63" s="71" t="e">
        <f t="shared" ca="1" si="493"/>
        <v>#NAME?</v>
      </c>
      <c r="ZL63" s="71" t="e">
        <f t="shared" ca="1" si="494"/>
        <v>#NAME?</v>
      </c>
      <c r="ZM63" s="71" t="e">
        <f t="shared" ca="1" si="495"/>
        <v>#NAME?</v>
      </c>
      <c r="ZN63" s="71" t="e">
        <f t="shared" ca="1" si="496"/>
        <v>#NAME?</v>
      </c>
      <c r="ZO63" s="72" t="e">
        <f t="shared" ca="1" si="497"/>
        <v>#NAME?</v>
      </c>
      <c r="ZP63" s="72" t="e">
        <f t="shared" ca="1" si="498"/>
        <v>#NAME?</v>
      </c>
      <c r="ZQ63" s="71" t="e">
        <f t="shared" ca="1" si="499"/>
        <v>#NAME?</v>
      </c>
      <c r="ZR63" s="71" t="e">
        <f t="array" aca="1" ref="ZR63" ca="1">IF(YK63=0,0,INDEX('Ship Time Charter Rates'!$H$22:$H$1021,MATCH(2,1/(('Ship Time Charter Rates'!$G$22:$G$1021=_xlfn.IFS(SJ63="Handysize",Main!UO63,SJ63="Supramax",UH63,SJ63="Panamax",UA63,SJ63="NeoPanamax",TT63,SJ63="Suezmax",TM63,SJ63="Capesize",TF63,SJ63="VLOC",SY63))*('Ship Time Charter Rates'!$E$22:$E$1021&lt;=Main!$C63)*(NOT(ISBLANK('Ship Time Charter Rates'!$H$22:$H$1021)))))))</f>
        <v>#NAME?</v>
      </c>
      <c r="ZS63" s="71" t="e">
        <f t="shared" ca="1" si="500"/>
        <v>#NAME?</v>
      </c>
      <c r="ZT63" s="70" t="e">
        <f t="shared" ca="1" si="501"/>
        <v>#NAME?</v>
      </c>
      <c r="ZU63" s="71" t="e">
        <f t="shared" ca="1" si="502"/>
        <v>#NAME?</v>
      </c>
      <c r="ZV63" s="71" t="e">
        <f t="shared" ca="1" si="503"/>
        <v>#NAME?</v>
      </c>
      <c r="ZW63" s="72" t="e">
        <f t="shared" ca="1" si="504"/>
        <v>#NAME?</v>
      </c>
      <c r="ZY63" s="287" t="s">
        <v>39</v>
      </c>
      <c r="AAA63" s="25">
        <f t="shared" si="672"/>
        <v>172079.77207977208</v>
      </c>
      <c r="AAB63" s="4" t="str">
        <f>VLOOKUP(AAA63,'Ship Time Charter Rates'!$F$10:$G$17,2,TRUE)</f>
        <v>Capesize</v>
      </c>
      <c r="AAC63" s="4" t="str">
        <f>VLOOKUP(AAA63,Canals!$E$5:$F$12,2,TRUE)</f>
        <v>Capesize</v>
      </c>
      <c r="AAD63" s="25">
        <f t="shared" si="505"/>
        <v>296.11564102564103</v>
      </c>
      <c r="AAE63" s="25">
        <f t="shared" si="506"/>
        <v>69416.980056980057</v>
      </c>
      <c r="AAF63" s="25">
        <f t="shared" si="507"/>
        <v>94089.193732193744</v>
      </c>
      <c r="AAH63" s="75">
        <f t="array" ref="AAH63">INDEX('Indices Mines Exporting Ports'!$R$20:$R$51,MATCH(2,1/(('Indices Mines Exporting Ports'!$D$20:$D$51&lt;=Main!$C63)*('Indices Mines Exporting Ports'!$Q$20:$Q$51=$AP63))))</f>
        <v>30000</v>
      </c>
      <c r="AAI63" s="75">
        <f t="array" ref="AAI63">INDEX('Indices Mines Exporting Ports'!$S$20:$S$51,MATCH(2,1/(('Indices Mines Exporting Ports'!$D$20:$D$51&lt;=Main!$C63)*('Indices Mines Exporting Ports'!$Q$20:$Q$51=$AP63))))</f>
        <v>30000</v>
      </c>
      <c r="AAJ63" s="75">
        <f t="array" ref="AAJ63">INDEX('Indices Mines Exporting Ports'!$T$20:$T$51,MATCH(2,1/(('Indices Mines Exporting Ports'!$D$20:$D$51&lt;=Main!$C63)*('Indices Mines Exporting Ports'!$Q$20:$Q$51=$AP63))))</f>
        <v>30000</v>
      </c>
      <c r="AAK63" s="75">
        <f t="array" ref="AAK63">INDEX('Indices Mines Exporting Ports'!$U$20:$U$51,MATCH(2,1/(('Indices Mines Exporting Ports'!$D$20:$D$51&lt;=Main!$C63)*('Indices Mines Exporting Ports'!$Q$20:$Q$51=$AP63))))</f>
        <v>30000</v>
      </c>
      <c r="AAL63" s="75">
        <f t="array" ref="AAL63">INDEX('Indices Mines Exporting Ports'!$V$20:$V$51,MATCH(2,1/(('Indices Mines Exporting Ports'!$D$20:$D$51&lt;=Main!$C63)*('Indices Mines Exporting Ports'!$Q$20:$Q$51=$AP63))))</f>
        <v>30000</v>
      </c>
      <c r="AAM63" s="75">
        <f t="array" ref="AAM63">INDEX('Indices Mines Exporting Ports'!$W$20:$W$51,MATCH(2,1/(('Indices Mines Exporting Ports'!$D$20:$D$51&lt;=Main!$C63)*('Indices Mines Exporting Ports'!$Q$20:$Q$51=$AP63))))</f>
        <v>30000</v>
      </c>
      <c r="AAN63" s="75">
        <f t="array" ref="AAN63">INDEX('Indices Mines Exporting Ports'!$X$20:$X$51,MATCH(2,1/(('Indices Mines Exporting Ports'!$D$20:$D$51&lt;=Main!$C63)*('Indices Mines Exporting Ports'!$Q$20:$Q$51=$AP63))))</f>
        <v>30000</v>
      </c>
      <c r="AAP63" s="75">
        <f t="array" ref="AAP63">INDEX('Port Linkages'!$E$18:$E$157,MATCH(2,1/(('Port Linkages'!$C$18:$C$157=$AP63)*('Port Linkages'!$D$18:$D$157=IF($AO63="Yes",$AQ63,$KK63))*('Port Linkages'!$A$18:$A$157&lt;=$C63))))</f>
        <v>11150</v>
      </c>
      <c r="AAQ63" s="75">
        <f t="array" ref="AAQ63">INDEX('Port Linkages'!$F$18:$F$157,MATCH(2,1/(('Port Linkages'!$C$18:$C$157=$AP63)*('Port Linkages'!$D$18:$D$157=IF($AO63="Yes",$AQ63,$KK63))*('Port Linkages'!$A$18:$A$157&lt;=$C63))))</f>
        <v>0</v>
      </c>
      <c r="AAR63" s="75" t="str">
        <f t="array" ref="AAR63">INDEX('Port Linkages'!$G$18:$G$157,MATCH(2,1/(('Port Linkages'!$C$18:$C$157=$AP63)*('Port Linkages'!$D$18:$D$157=IF($AO63="Yes",$AQ63,$KK63))*('Port Linkages'!$A$18:$A$157&lt;=$C63))))</f>
        <v>VLOC_General</v>
      </c>
      <c r="AAS63" s="75" t="str">
        <f t="array" ref="AAS63">INDEX('Port Linkages'!$H$18:$H$157,MATCH(2,1/(('Port Linkages'!$C$18:$C$157=$AP63)*('Port Linkages'!$D$18:$D$157=IF($AO63="Yes",$AQ63,$KK63))*('Port Linkages'!$A$18:$A$157&lt;=$C63))))</f>
        <v>Singapore</v>
      </c>
      <c r="AAT63" s="75" t="str">
        <f t="array" ref="AAT63">INDEX('Port Linkages'!$I$18:$I$157,MATCH(2,1/(('Port Linkages'!$C$18:$C$157=$AP63)*('Port Linkages'!$D$18:$D$157=IF($AO63="Yes",$AQ63,$KK63))*('Port Linkages'!$A$18:$A$157&lt;=$C63))))</f>
        <v>VLSFO</v>
      </c>
      <c r="AAU63" s="75" t="str">
        <f t="array" ref="AAU63">INDEX('Port Linkages'!$J$18:$J$157,MATCH(2,1/(('Port Linkages'!$C$18:$C$157=$AP63)*('Port Linkages'!$D$18:$D$157=IF($AO63="Yes",$AQ63,$KK63))*('Port Linkages'!$A$18:$A$157&lt;=$C63))))</f>
        <v>MGO_Regular</v>
      </c>
      <c r="AAV63" s="75" t="str">
        <f t="array" ref="AAV63">INDEX('Port Linkages'!$K$18:$K$157,MATCH(2,1/(('Port Linkages'!$C$18:$C$157=$AP63)*('Port Linkages'!$D$18:$D$157=IF($AO63="Yes",$AQ63,$KK63))*('Port Linkages'!$A$18:$A$157&lt;=$C63))))</f>
        <v>none</v>
      </c>
      <c r="AAW63" s="75">
        <f t="array" ref="AAW63">INDEX('Port Linkages'!$L$18:$L$157,MATCH(2,1/(('Port Linkages'!$C$18:$C$157=$AP63)*('Port Linkages'!$D$18:$D$157=IF($AO63="Yes",$AQ63,$KK63))*('Port Linkages'!$A$18:$A$157&lt;=$C63))))</f>
        <v>11150</v>
      </c>
      <c r="AAX63" s="75">
        <f t="array" ref="AAX63">INDEX('Port Linkages'!$M$18:$M$157,MATCH(2,1/(('Port Linkages'!$C$18:$C$157=$AP63)*('Port Linkages'!$D$18:$D$157=IF($AO63="Yes",$AQ63,$KK63))*('Port Linkages'!$A$18:$A$157&lt;=$C63))))</f>
        <v>0</v>
      </c>
      <c r="AAY63" s="75" t="str">
        <f t="array" ref="AAY63">INDEX('Port Linkages'!$N$18:$N$157,MATCH(2,1/(('Port Linkages'!$C$18:$C$157=$AP63)*('Port Linkages'!$D$18:$D$157=IF($AO63="Yes",$AQ63,$KK63))*('Port Linkages'!$A$18:$A$157&lt;=$C63))))</f>
        <v>Capesize_General</v>
      </c>
      <c r="AAZ63" s="75" t="str">
        <f t="array" ref="AAZ63">INDEX('Port Linkages'!$O$18:$O$157,MATCH(2,1/(('Port Linkages'!$C$18:$C$157=$AP63)*('Port Linkages'!$D$18:$D$157=IF($AO63="Yes",$AQ63,$KK63))*('Port Linkages'!$A$18:$A$157&lt;=$C63))))</f>
        <v>Singapore</v>
      </c>
      <c r="ABA63" s="75" t="str">
        <f t="array" ref="ABA63">INDEX('Port Linkages'!$P$18:$P$157,MATCH(2,1/(('Port Linkages'!$C$18:$C$157=$AP63)*('Port Linkages'!$D$18:$D$157=IF($AO63="Yes",$AQ63,$KK63))*('Port Linkages'!$A$18:$A$157&lt;=$C63))))</f>
        <v>VLSFO</v>
      </c>
      <c r="ABB63" s="75" t="str">
        <f t="array" ref="ABB63">INDEX('Port Linkages'!$Q$18:$Q$157,MATCH(2,1/(('Port Linkages'!$C$18:$C$157=$AP63)*('Port Linkages'!$D$18:$D$157=IF($AO63="Yes",$AQ63,$KK63))*('Port Linkages'!$A$18:$A$157&lt;=$C63))))</f>
        <v>MGO_Regular</v>
      </c>
      <c r="ABC63" s="75" t="str">
        <f t="array" ref="ABC63">INDEX('Port Linkages'!$R$18:$R$157,MATCH(2,1/(('Port Linkages'!$C$18:$C$157=$AP63)*('Port Linkages'!$D$18:$D$157=IF($AO63="Yes",$AQ63,$KK63))*('Port Linkages'!$A$18:$A$157&lt;=$C63))))</f>
        <v>none</v>
      </c>
      <c r="ABD63" s="75">
        <f t="array" ref="ABD63">INDEX('Port Linkages'!$S$18:$S$157,MATCH(2,1/(('Port Linkages'!$C$18:$C$157=$AP63)*('Port Linkages'!$D$18:$D$157=IF($AO63="Yes",$AQ63,$KK63))*('Port Linkages'!$A$18:$A$157&lt;=$C63))))</f>
        <v>11150</v>
      </c>
      <c r="ABE63" s="75">
        <f t="array" ref="ABE63">INDEX('Port Linkages'!$T$18:$T$157,MATCH(2,1/(('Port Linkages'!$C$18:$C$157=$AP63)*('Port Linkages'!$D$18:$D$157=IF($AO63="Yes",$AQ63,$KK63))*('Port Linkages'!$A$18:$A$157&lt;=$C63))))</f>
        <v>0</v>
      </c>
      <c r="ABF63" s="75" t="str">
        <f t="array" ref="ABF63">INDEX('Port Linkages'!$U$18:$U$157,MATCH(2,1/(('Port Linkages'!$C$18:$C$157=$AP63)*('Port Linkages'!$D$18:$D$157=IF($AO63="Yes",$AQ63,$KK63))*('Port Linkages'!$A$18:$A$157&lt;=$C63))))</f>
        <v>Capesize_General</v>
      </c>
      <c r="ABG63" s="75" t="str">
        <f t="array" ref="ABG63">INDEX('Port Linkages'!$V$18:$V$157,MATCH(2,1/(('Port Linkages'!$C$18:$C$157=$AP63)*('Port Linkages'!$D$18:$D$157=IF($AO63="Yes",$AQ63,$KK63))*('Port Linkages'!$A$18:$A$157&lt;=$C63))))</f>
        <v>Singapore</v>
      </c>
      <c r="ABH63" s="75" t="str">
        <f t="array" ref="ABH63">INDEX('Port Linkages'!$W$18:$W$157,MATCH(2,1/(('Port Linkages'!$C$18:$C$157=$AP63)*('Port Linkages'!$D$18:$D$157=IF($AO63="Yes",$AQ63,$KK63))*('Port Linkages'!$A$18:$A$157&lt;=$C63))))</f>
        <v>VLSFO</v>
      </c>
      <c r="ABI63" s="75" t="str">
        <f t="array" ref="ABI63">INDEX('Port Linkages'!$X$18:$X$157,MATCH(2,1/(('Port Linkages'!$C$18:$C$157=$AP63)*('Port Linkages'!$D$18:$D$157=IF($AO63="Yes",$AQ63,$KK63))*('Port Linkages'!$A$18:$A$157&lt;=$C63))))</f>
        <v>MGO_Regular</v>
      </c>
      <c r="ABJ63" s="75" t="str">
        <f t="array" ref="ABJ63">INDEX('Port Linkages'!$Y$18:$Y$157,MATCH(2,1/(('Port Linkages'!$C$18:$C$157=$AP63)*('Port Linkages'!$D$18:$D$157=IF($AO63="Yes",$AQ63,$KK63))*('Port Linkages'!$A$18:$A$157&lt;=$C63))))</f>
        <v>none</v>
      </c>
      <c r="ABK63" s="75">
        <f t="array" ref="ABK63">INDEX('Port Linkages'!$Z$18:$Z$157,MATCH(2,1/(('Port Linkages'!$C$18:$C$157=$AP63)*('Port Linkages'!$D$18:$D$157=IF($AO63="Yes",$AQ63,$KK63))*('Port Linkages'!$A$18:$A$157&lt;=$C63))))</f>
        <v>11150</v>
      </c>
      <c r="ABL63" s="75">
        <f t="array" ref="ABL63">INDEX('Port Linkages'!$AA$18:$AA$157,MATCH(2,1/(('Port Linkages'!$C$18:$C$157=$AP63)*('Port Linkages'!$D$18:$D$157=IF($AO63="Yes",$AQ63,$KK63))*('Port Linkages'!$A$18:$A$157&lt;=$C63))))</f>
        <v>0</v>
      </c>
      <c r="ABM63" s="75" t="str">
        <f t="array" ref="ABM63">INDEX('Port Linkages'!$AB$18:$AB$157,MATCH(2,1/(('Port Linkages'!$C$18:$C$157=$AP63)*('Port Linkages'!$D$18:$D$157=IF($AO63="Yes",$AQ63,$KK63))*('Port Linkages'!$A$18:$A$157&lt;=$C63))))</f>
        <v>Capesize_General</v>
      </c>
      <c r="ABN63" s="75" t="str">
        <f t="array" ref="ABN63">INDEX('Port Linkages'!$AC$18:$AC$157,MATCH(2,1/(('Port Linkages'!$C$18:$C$157=$AP63)*('Port Linkages'!$D$18:$D$157=IF($AO63="Yes",$AQ63,$KK63))*('Port Linkages'!$A$18:$A$157&lt;=$C63))))</f>
        <v>Singapore</v>
      </c>
      <c r="ABO63" s="75" t="str">
        <f t="array" ref="ABO63">INDEX('Port Linkages'!$AD$18:$AD$157,MATCH(2,1/(('Port Linkages'!$C$18:$C$157=$AP63)*('Port Linkages'!$D$18:$D$157=IF($AO63="Yes",$AQ63,$KK63))*('Port Linkages'!$A$18:$A$157&lt;=$C63))))</f>
        <v>VLSFO</v>
      </c>
      <c r="ABP63" s="75" t="str">
        <f t="array" ref="ABP63">INDEX('Port Linkages'!$AE$18:$AE$157,MATCH(2,1/(('Port Linkages'!$C$18:$C$157=$AP63)*('Port Linkages'!$D$18:$D$157=IF($AO63="Yes",$AQ63,$KK63))*('Port Linkages'!$A$18:$A$157&lt;=$C63))))</f>
        <v>MGO_Regular</v>
      </c>
      <c r="ABQ63" s="75" t="str">
        <f t="array" ref="ABQ63">INDEX('Port Linkages'!$AF$18:$AF$157,MATCH(2,1/(('Port Linkages'!$C$18:$C$157=$AP63)*('Port Linkages'!$D$18:$D$157=IF($AO63="Yes",$AQ63,$KK63))*('Port Linkages'!$A$18:$A$157&lt;=$C63))))</f>
        <v>none</v>
      </c>
      <c r="ABR63" s="75">
        <f t="array" ref="ABR63">INDEX('Port Linkages'!$AG$18:$AG$157,MATCH(2,1/(('Port Linkages'!$C$18:$C$157=$AP63)*('Port Linkages'!$D$18:$D$157=IF($AO63="Yes",$AQ63,$KK63))*('Port Linkages'!$A$18:$A$157&lt;=$C63))))</f>
        <v>11150</v>
      </c>
      <c r="ABS63" s="75">
        <f t="array" ref="ABS63">INDEX('Port Linkages'!$AH$18:$AH$157,MATCH(2,1/(('Port Linkages'!$C$18:$C$157=$AP63)*('Port Linkages'!$D$18:$D$157=IF($AO63="Yes",$AQ63,$KK63))*('Port Linkages'!$A$18:$A$157&lt;=$C63))))</f>
        <v>0</v>
      </c>
      <c r="ABT63" s="75" t="str">
        <f t="array" ref="ABT63">INDEX('Port Linkages'!$AI$18:$AI$157,MATCH(2,1/(('Port Linkages'!$C$18:$C$157=$AP63)*('Port Linkages'!$D$18:$D$157=IF($AO63="Yes",$AQ63,$KK63))*('Port Linkages'!$A$18:$A$157&lt;=$C63))))</f>
        <v>Panamax_General</v>
      </c>
      <c r="ABU63" s="75" t="str">
        <f t="array" ref="ABU63">INDEX('Port Linkages'!$AJ$18:$AJ$157,MATCH(2,1/(('Port Linkages'!$C$18:$C$157=$AP63)*('Port Linkages'!$D$18:$D$157=IF($AO63="Yes",$AQ63,$KK63))*('Port Linkages'!$A$18:$A$157&lt;=$C63))))</f>
        <v>Singapore</v>
      </c>
      <c r="ABV63" s="75" t="str">
        <f t="array" ref="ABV63">INDEX('Port Linkages'!$AK$18:$AK$157,MATCH(2,1/(('Port Linkages'!$C$18:$C$157=$AP63)*('Port Linkages'!$D$18:$D$157=IF($AO63="Yes",$AQ63,$KK63))*('Port Linkages'!$A$18:$A$157&lt;=$C63))))</f>
        <v>VLSFO</v>
      </c>
      <c r="ABW63" s="75" t="str">
        <f t="array" ref="ABW63">INDEX('Port Linkages'!$AL$18:$AL$157,MATCH(2,1/(('Port Linkages'!$C$18:$C$157=$AP63)*('Port Linkages'!$D$18:$D$157=IF($AO63="Yes",$AQ63,$KK63))*('Port Linkages'!$A$18:$A$157&lt;=$C63))))</f>
        <v>MGO_Regular</v>
      </c>
      <c r="ABX63" s="75" t="str">
        <f t="array" ref="ABX63">INDEX('Port Linkages'!$AM$18:$AM$157,MATCH(2,1/(('Port Linkages'!$C$18:$C$157=$AP63)*('Port Linkages'!$D$18:$D$157=IF($AO63="Yes",$AQ63,$KK63))*('Port Linkages'!$A$18:$A$157&lt;=$C63))))</f>
        <v>none</v>
      </c>
      <c r="ABY63" s="75">
        <f t="array" ref="ABY63">INDEX('Port Linkages'!$AN$18:$AN$157,MATCH(2,1/(('Port Linkages'!$C$18:$C$157=$AP63)*('Port Linkages'!$D$18:$D$157=IF($AO63="Yes",$AQ63,$KK63))*('Port Linkages'!$A$18:$A$157&lt;=$C63))))</f>
        <v>11150</v>
      </c>
      <c r="ABZ63" s="75">
        <f t="array" ref="ABZ63">INDEX('Port Linkages'!$AO$18:$AO$157,MATCH(2,1/(('Port Linkages'!$C$18:$C$157=$AP63)*('Port Linkages'!$D$18:$D$157=IF($AO63="Yes",$AQ63,$KK63))*('Port Linkages'!$A$18:$A$157&lt;=$C63))))</f>
        <v>0</v>
      </c>
      <c r="ACA63" s="75" t="str">
        <f t="array" ref="ACA63">INDEX('Port Linkages'!$AP$18:$AP$157,MATCH(2,1/(('Port Linkages'!$C$18:$C$157=$AP63)*('Port Linkages'!$D$18:$D$157=IF($AO63="Yes",$AQ63,$KK63))*('Port Linkages'!$A$18:$A$157&lt;=$C63))))</f>
        <v>Supramax_General</v>
      </c>
      <c r="ACB63" s="75" t="str">
        <f t="array" ref="ACB63">INDEX('Port Linkages'!$AQ$18:$AQ$157,MATCH(2,1/(('Port Linkages'!$C$18:$C$157=$AP63)*('Port Linkages'!$D$18:$D$157=IF($AO63="Yes",$AQ63,$KK63))*('Port Linkages'!$A$18:$A$157&lt;=$C63))))</f>
        <v>Singapore</v>
      </c>
      <c r="ACC63" s="75" t="str">
        <f t="array" ref="ACC63">INDEX('Port Linkages'!$AR$18:$AR$157,MATCH(2,1/(('Port Linkages'!$C$18:$C$157=$AP63)*('Port Linkages'!$D$18:$D$157=IF($AO63="Yes",$AQ63,$KK63))*('Port Linkages'!$A$18:$A$157&lt;=$C63))))</f>
        <v>VLSFO</v>
      </c>
      <c r="ACD63" s="75" t="str">
        <f t="array" ref="ACD63">INDEX('Port Linkages'!$AS$18:$AS$157,MATCH(2,1/(('Port Linkages'!$C$18:$C$157=$AP63)*('Port Linkages'!$D$18:$D$157=IF($AO63="Yes",$AQ63,$KK63))*('Port Linkages'!$A$18:$A$157&lt;=$C63))))</f>
        <v>MGO_Regular</v>
      </c>
      <c r="ACE63" s="75" t="str">
        <f t="array" ref="ACE63">INDEX('Port Linkages'!$AT$18:$AT$157,MATCH(2,1/(('Port Linkages'!$C$18:$C$157=$AP63)*('Port Linkages'!$D$18:$D$157=IF($AO63="Yes",$AQ63,$KK63))*('Port Linkages'!$A$18:$A$157&lt;=$C63))))</f>
        <v>none</v>
      </c>
      <c r="ACF63" s="75">
        <f t="array" ref="ACF63">INDEX('Port Linkages'!$AU$18:$AU$157,MATCH(2,1/(('Port Linkages'!$C$18:$C$157=$AP63)*('Port Linkages'!$D$18:$D$157=IF($AO63="Yes",$AQ63,$KK63))*('Port Linkages'!$A$18:$A$157&lt;=$C63))))</f>
        <v>11150</v>
      </c>
      <c r="ACG63" s="75">
        <f t="array" ref="ACG63">INDEX('Port Linkages'!$AV$18:$AV$157,MATCH(2,1/(('Port Linkages'!$C$18:$C$157=$AP63)*('Port Linkages'!$D$18:$D$157=IF($AO63="Yes",$AQ63,$KK63))*('Port Linkages'!$A$18:$A$157&lt;=$C63))))</f>
        <v>0</v>
      </c>
      <c r="ACH63" s="75" t="str">
        <f t="array" ref="ACH63">INDEX('Port Linkages'!$AW$18:$AW$157,MATCH(2,1/(('Port Linkages'!$C$18:$C$157=$AP63)*('Port Linkages'!$D$18:$D$157=IF($AO63="Yes",$AQ63,$KK63))*('Port Linkages'!$A$18:$A$157&lt;=$C63))))</f>
        <v>Handysize_General</v>
      </c>
      <c r="ACI63" s="75" t="str">
        <f t="array" ref="ACI63">INDEX('Port Linkages'!$AX$18:$AX$157,MATCH(2,1/(('Port Linkages'!$C$18:$C$157=$AP63)*('Port Linkages'!$D$18:$D$157=IF($AO63="Yes",$AQ63,$KK63))*('Port Linkages'!$A$18:$A$157&lt;=$C63))))</f>
        <v>Singapore</v>
      </c>
      <c r="ACJ63" s="75" t="str">
        <f t="array" ref="ACJ63">INDEX('Port Linkages'!$AY$18:$AY$157,MATCH(2,1/(('Port Linkages'!$C$18:$C$157=$AP63)*('Port Linkages'!$D$18:$D$157=IF($AO63="Yes",$AQ63,$KK63))*('Port Linkages'!$A$18:$A$157&lt;=$C63))))</f>
        <v>VLSFO</v>
      </c>
      <c r="ACK63" s="75" t="str">
        <f t="array" ref="ACK63">INDEX('Port Linkages'!$AZ$18:$AZ$157,MATCH(2,1/(('Port Linkages'!$C$18:$C$157=$AP63)*('Port Linkages'!$D$18:$D$157=IF($AO63="Yes",$AQ63,$KK63))*('Port Linkages'!$A$18:$A$157&lt;=$C63))))</f>
        <v>MGO_Regular</v>
      </c>
      <c r="ACL63" s="75" t="str">
        <f t="array" ref="ACL63">INDEX('Port Linkages'!$BA$18:$BA$157,MATCH(2,1/(('Port Linkages'!$C$18:$C$157=$AP63)*('Port Linkages'!$D$18:$D$157=IF($AO63="Yes",$AQ63,$KK63))*('Port Linkages'!$A$18:$A$157&lt;=$C63))))</f>
        <v>none</v>
      </c>
      <c r="ACN63" s="25" t="e">
        <f t="array" aca="1" ref="ACN63" ca="1">INDEX('Ship Fuel Prices'!$F$5:$F$1004,MATCH(2,1/(('Ship Fuel Prices'!$E$5:$E$1004=_xlfn.IFS(AAC63="Handysize",Main!ACI63,AAC63="Supramax",ACB63,AAC63="Panamax",ABU63,AAC63="NeoPanamax",ABN63,AAC63="Suezmax",ABG63,AAC63="Capesize",AAZ63,AAC63="VLOC",AAS63))*('Ship Fuel Prices'!$D$5:$D$1004&lt;=Main!$C63))))</f>
        <v>#N/A</v>
      </c>
      <c r="ACO63" s="25" t="e">
        <f t="array" aca="1" ref="ACO63" ca="1">INDEX('Ship Fuel Prices'!$G$5:$G$1004,MATCH(2,1/(('Ship Fuel Prices'!$E$5:$E$1004=_xlfn.IFS(AAC63="Handysize",Main!ACI63,AAC63="Supramax",ACB63,AAC63="Panamax",ABU63,AAC63="NeoPanamax",ABN63,AAC63="Suezmax",ABG63,AAC63="Capesize",AAZ63,AAC63="VLOC",AAS63))*('Ship Fuel Prices'!$D$5:$D$1004&lt;=Main!$C63))))</f>
        <v>#N/A</v>
      </c>
      <c r="ACP63" s="25" t="e">
        <f t="array" aca="1" ref="ACP63" ca="1">INDEX('Ship Fuel Prices'!$H$5:$H$1004,MATCH(2,1/(('Ship Fuel Prices'!$E$5:$E$1004=_xlfn.IFS(AAC63="Handysize",Main!ACI63,AAC63="Supramax",ACB63,AAC63="Panamax",ABU63,AAC63="NeoPanamax",ABN63,AAC63="Suezmax",ABG63,AAC63="Capesize",AAZ63,AAC63="VLOC",AAS63))*('Ship Fuel Prices'!$D$5:$D$1004&lt;=Main!$C63))))</f>
        <v>#N/A</v>
      </c>
      <c r="ACQ63" s="25" t="e">
        <f t="array" aca="1" ref="ACQ63" ca="1">INDEX('Ship Fuel Prices'!$I$5:$I$1004,MATCH(2,1/(('Ship Fuel Prices'!$E$5:$E$1004=_xlfn.IFS(AAC63="Handysize",Main!ACI63,AAC63="Supramax",ACB63,AAC63="Panamax",ABU63,AAC63="NeoPanamax",ABN63,AAC63="Suezmax",ABG63,AAC63="Capesize",AAZ63,AAC63="VLOC",AAS63))*('Ship Fuel Prices'!$D$5:$D$1004&lt;=Main!$C63))))</f>
        <v>#N/A</v>
      </c>
      <c r="ACR63" s="25" t="e">
        <f t="array" aca="1" ref="ACR63" ca="1">INDEX('Ship Fuel Prices'!$J$5:$J$1004,MATCH(2,1/(('Ship Fuel Prices'!$E$5:$E$1004=_xlfn.IFS(AAC63="Handysize",Main!ACI63,AAC63="Supramax",ACB63,AAC63="Panamax",ABU63,AAC63="NeoPanamax",ABN63,AAC63="Suezmax",ABG63,AAC63="Capesize",AAZ63,AAC63="VLOC",AAS63))*('Ship Fuel Prices'!$D$5:$D$1004&lt;=Main!$C63))))</f>
        <v>#N/A</v>
      </c>
      <c r="ACT63" s="75">
        <f t="array" ref="ACT63">INDEX('China n Importing Ports'!$E$20:$E$41,MATCH(2,1/(('China n Importing Ports'!$D$20:$D$41&lt;=$C63)*('China n Importing Ports'!$C$20:$C$41=IF($AO63="Yes",$AQ63,$KK63)))))</f>
        <v>42500</v>
      </c>
      <c r="ACU63" s="75">
        <f t="array" ref="ACU63">INDEX('China n Importing Ports'!$F$20:$F$41,MATCH(2,1/(('China n Importing Ports'!$D$20:$D$41&lt;=$C63)*('China n Importing Ports'!$C$20:$C$41=IF($AO63="Yes",$AQ63,$KK63)))))</f>
        <v>42500</v>
      </c>
      <c r="ACV63" s="75">
        <f t="array" ref="ACV63">INDEX('China n Importing Ports'!$G$20:$G$41,MATCH(2,1/(('China n Importing Ports'!$D$20:$D$41&lt;=$C63)*('China n Importing Ports'!$C$20:$C$41=IF($AO63="Yes",$AQ63,$KK63)))))</f>
        <v>42500</v>
      </c>
      <c r="ACW63" s="75">
        <f t="array" ref="ACW63">INDEX('China n Importing Ports'!$H$20:$H$41,MATCH(2,1/(('China n Importing Ports'!$D$20:$D$41&lt;=$C63)*('China n Importing Ports'!$C$20:$C$41=IF($AO63="Yes",$AQ63,$KK63)))))</f>
        <v>42500</v>
      </c>
      <c r="ACX63" s="75">
        <f t="array" ref="ACX63">INDEX('China n Importing Ports'!$I$20:$I$41,MATCH(2,1/(('China n Importing Ports'!$D$20:$D$41&lt;=$C63)*('China n Importing Ports'!$C$20:$C$41=IF($AO63="Yes",$AQ63,$KK63)))))</f>
        <v>42500</v>
      </c>
      <c r="ACY63" s="75">
        <f t="array" ref="ACY63">INDEX('China n Importing Ports'!$J$20:$J$41,MATCH(2,1/(('China n Importing Ports'!$D$20:$D$41&lt;=$C63)*('China n Importing Ports'!$C$20:$C$41=IF($AO63="Yes",$AQ63,$KK63)))))</f>
        <v>42500</v>
      </c>
      <c r="ACZ63" s="75">
        <f t="array" ref="ACZ63">INDEX('China n Importing Ports'!$K$20:$K$41,MATCH(2,1/(('China n Importing Ports'!$D$20:$D$41&lt;=$C63)*('China n Importing Ports'!$C$20:$C$41=IF($AO63="Yes",$AQ63,$KK63)))))</f>
        <v>42500</v>
      </c>
      <c r="ADA63" s="75" t="str">
        <f t="array" ref="ADA63">INDEX('China n Importing Ports'!$L$20:$L$41,MATCH(2,1/(('China n Importing Ports'!$D$20:$D$41&lt;=$C63)*('China n Importing Ports'!$C$20:$C$41=IF($AO63="Yes",$AQ63,$KK63)))))</f>
        <v>RMB</v>
      </c>
      <c r="ADB63" s="75">
        <f t="array" ref="ADB63">INDEX('China n Importing Ports'!$M$20:$M$41,MATCH(2,1/(('China n Importing Ports'!$D$20:$D$41&lt;=$C63)*('China n Importing Ports'!$C$20:$C$41=IF($AO63="Yes",$AQ63,$KK63)))))</f>
        <v>12342</v>
      </c>
      <c r="ADC63" s="75">
        <f t="array" ref="ADC63">INDEX('China n Importing Ports'!$N$20:$N$41,MATCH(2,1/(('China n Importing Ports'!$D$20:$D$41&lt;=$C63)*('China n Importing Ports'!$C$20:$C$41=IF($AO63="Yes",$AQ63,$KK63)))))</f>
        <v>0</v>
      </c>
      <c r="ADD63" s="75">
        <f t="array" ref="ADD63">INDEX('China n Importing Ports'!$O$20:$O$41,MATCH(2,1/(('China n Importing Ports'!$D$20:$D$41&lt;=$C63)*('China n Importing Ports'!$C$20:$C$41=IF($AO63="Yes",$AQ63,$KK63)))))</f>
        <v>0</v>
      </c>
      <c r="ADE63" s="136">
        <f t="array" ref="ADE63">INDEX('China n Importing Ports'!$P$20:$P$41,MATCH(2,1/(('China n Importing Ports'!$D$20:$D$41&lt;=$C63)*('China n Importing Ports'!$C$20:$C$41=IF($AO63="Yes",$AQ63,$KK63)))))</f>
        <v>2.64</v>
      </c>
      <c r="ADF63" s="136">
        <f t="array" ref="ADF63">INDEX('China n Importing Ports'!$Q$20:$Q$41,MATCH(2,1/(('China n Importing Ports'!$D$20:$D$41&lt;=$C63)*('China n Importing Ports'!$C$20:$C$41=IF($AO63="Yes",$AQ63,$KK63)))))</f>
        <v>0</v>
      </c>
      <c r="ADG63" s="136">
        <f t="array" ref="ADG63">INDEX('China n Importing Ports'!$R$20:$R$41,MATCH(2,1/(('China n Importing Ports'!$D$20:$D$41&lt;=$C63)*('China n Importing Ports'!$C$20:$C$41=IF($AO63="Yes",$AQ63,$KK63)))))</f>
        <v>0</v>
      </c>
      <c r="ADH63" s="136">
        <f t="array" ref="ADH63">INDEX('China n Importing Ports'!$S$20:$S$41,MATCH(2,1/(('China n Importing Ports'!$D$20:$D$41&lt;=$C63)*('China n Importing Ports'!$C$20:$C$41=IF($AO63="Yes",$AQ63,$KK63)))))</f>
        <v>4.53</v>
      </c>
      <c r="ADI63" s="136">
        <f t="array" ref="ADI63">INDEX('China n Importing Ports'!$T$20:$T$41,MATCH(2,1/(('China n Importing Ports'!$D$20:$D$41&lt;=$C63)*('China n Importing Ports'!$C$20:$C$41=IF($AO63="Yes",$AQ63,$KK63)))))</f>
        <v>0.36699999999999999</v>
      </c>
      <c r="ADJ63" s="136">
        <f t="array" ref="ADJ63">INDEX('China n Importing Ports'!$U$20:$U$41,MATCH(2,1/(('China n Importing Ports'!$D$20:$D$41&lt;=$C63)*('China n Importing Ports'!$C$20:$C$41=IF($AO63="Yes",$AQ63,$KK63)))))</f>
        <v>0.05</v>
      </c>
      <c r="ADK63" s="136">
        <f t="array" ref="ADK63">INDEX('China n Importing Ports'!$V$20:$V$41,MATCH(2,1/(('China n Importing Ports'!$D$20:$D$41&lt;=$C63)*('China n Importing Ports'!$C$20:$C$41=IF($AO63="Yes",$AQ63,$KK63)))))</f>
        <v>0</v>
      </c>
      <c r="ADL63" s="136">
        <f t="array" ref="ADL63">INDEX('China n Importing Ports'!$W$20:$W$41,MATCH(2,1/(('China n Importing Ports'!$D$20:$D$41&lt;=$C63)*('China n Importing Ports'!$C$20:$C$41=IF($AO63="Yes",$AQ63,$KK63)))))</f>
        <v>0</v>
      </c>
      <c r="ADM63" s="136">
        <f t="array" ref="ADM63">INDEX('China n Importing Ports'!$X$20:$X$41,MATCH(2,1/(('China n Importing Ports'!$D$20:$D$41&lt;=$C63)*('China n Importing Ports'!$C$20:$C$41=IF($AO63="Yes",$AQ63,$KK63)))))</f>
        <v>0</v>
      </c>
      <c r="ADN63" s="136">
        <f t="array" ref="ADN63">INDEX('China n Importing Ports'!$Y$20:$Y$41,MATCH(2,1/(('China n Importing Ports'!$D$20:$D$41&lt;=$C63)*('China n Importing Ports'!$C$20:$C$41=IF($AO63="Yes",$AQ63,$KK63)))))</f>
        <v>197</v>
      </c>
      <c r="ADO63" s="136">
        <f t="array" ref="ADO63">INDEX('China n Importing Ports'!$Z$20:$Z$41,MATCH(2,1/(('China n Importing Ports'!$D$20:$D$41&lt;=$C63)*('China n Importing Ports'!$C$20:$C$41=IF($AO63="Yes",$AQ63,$KK63)))))</f>
        <v>0</v>
      </c>
      <c r="ADP63" s="136">
        <f t="array" ref="ADP63">INDEX('China n Importing Ports'!$AA$20:$AA$41,MATCH(2,1/(('China n Importing Ports'!$D$20:$D$41&lt;=$C63)*('China n Importing Ports'!$C$20:$C$41=IF($AO63="Yes",$AQ63,$KK63)))))</f>
        <v>0</v>
      </c>
      <c r="ADR63" s="75" t="e">
        <f t="array" aca="1" ref="ADR63" ca="1">INDEX(Canals!$G$24:$G$29,MATCH(2,1/((Canals!$F$24:$F$29&lt;=$C63)*(Canals!$G$24:$G$29=_xlfn.IFS(AAC63="Handysize",Main!ACL63,AAC63="Supramax",ACE63,AAC63="Panamax",ABX63,AAC63="NeoPanamax",ABQ63,AAC63="Suezmax",ABJ63,AAC63="Capesize",ABC63,AAC63="VLOC",AAV63)))))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S63" s="75" t="e">
        <f t="array" aca="1" ref="ADS63" ca="1">INDEX(Canals!$H$24:$H$29,MATCH(2,1/((Canals!$F$24:$F$29&lt;=$C63)*(Canals!$G$24:$G$29=_xlfn.IFS(AAC63="Handysize",Main!ACL63,AAC63="Supramax",ACE63,AAC63="Panamax",ABX63,AAC63="NeoPanamax",ABQ63,AAC63="Suezmax",ABJ63,AAC63="Capesize",ABC63,AAC63="VLOC",AAV63)))))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T63" s="75" t="e">
        <f t="array" aca="1" ref="ADT63" ca="1">INDEX(Canals!$I$24:$I$29,MATCH(2,1/((Canals!$F$24:$F$29&lt;=$C63)*(Canals!$G$24:$G$29=_xlfn.IFS(AAC63="Handysize",Main!ACL63,AAC63="Supramax",ACE63,AAC63="Panamax",ABX63,AAC63="NeoPanamax",ABQ63,AAC63="Suezmax",ABJ63,AAC63="Capesize",ABC63,AAC63="VLOC",AAV63)))))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U63" s="75" t="e">
        <f t="array" aca="1" ref="ADU63" ca="1">INDEX(Canals!$J$24:$J$29,MATCH(2,1/((Canals!$F$24:$F$29&lt;=$C63)*(Canals!$G$24:$G$29=_xlfn.IFS(AAC63="Handysize",Main!ACL63,AAC63="Supramax",ACE63,AAC63="Panamax",ABX63,AAC63="NeoPanamax",ABQ63,AAC63="Suezmax",ABJ63,AAC63="Capesize",ABC63,AAC63="VLOC",AAV63)))))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V63" s="75" t="e">
        <f t="array" aca="1" ref="ADV63" ca="1">INDEX(Canals!$K$24:$K$29,MATCH(2,1/((Canals!$F$24:$F$29&lt;=$C63)*(Canals!$G$24:$G$29=_xlfn.IFS(AAC63="Handysize",Main!ACL63,AAC63="Supramax",ACE63,AAC63="Panamax",ABX63,AAC63="NeoPanamax",ABQ63,AAC63="Suezmax",ABJ63,AAC63="Capesize",ABC63,AAC63="VLOC",AAV63)))))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W63" s="75" t="e">
        <f t="array" aca="1" ref="ADW63" ca="1">INDEX(Canals!$L$24:$L$29,MATCH(2,1/((Canals!$F$24:$F$29&lt;=$C63)*(Canals!$G$24:$G$29=_xlfn.IFS(AAC63="Handysize",Main!ACL63,AAC63="Supramax",ACE63,AAC63="Panamax",ABX63,AAC63="NeoPanamax",ABQ63,AAC63="Suezmax",ABJ63,AAC63="Capesize",ABC63,AAC63="VLOC",AAV63)))))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X63" s="75" t="e">
        <f t="array" aca="1" ref="ADX63" ca="1">INDEX(Canals!$M$24:$M$29,MATCH(2,1/((Canals!$F$24:$F$29&lt;=$C63)*(Canals!$G$24:$G$29=_xlfn.IFS(AAC63="Handysize",Main!ACL63,AAC63="Supramax",ACE63,AAC63="Panamax",ABX63,AAC63="NeoPanamax",ABQ63,AAC63="Suezmax",ABJ63,AAC63="Capesize",ABC63,AAC63="VLOC",AAV63)))))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Y63" s="75" t="e">
        <f t="array" aca="1" ref="ADY63" ca="1">INDEX(Canals!$N$24:$N$29,MATCH(2,1/((Canals!$F$24:$F$29&lt;=$C63)*(Canals!$G$24:$G$29=_xlfn.IFS(AAC63="Handysize",Main!ACL63,AAC63="Supramax",ACE63,AAC63="Panamax",ABX63,AAC63="NeoPanamax",ABQ63,AAC63="Suezmax",ABJ63,AAC63="Capesize",ABC63,AAC63="VLOC",AAV63)))))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DZ63" s="75" t="e">
        <f t="array" aca="1" ref="ADZ63" ca="1">INDEX(Canals!$O$24:$O$29,MATCH(2,1/((Canals!$F$24:$F$29&lt;=$C63)*(Canals!$G$24:$G$29=_xlfn.IFS(AAC63="Handysize",Main!ACL63,AAC63="Supramax",ACE63,AAC63="Panamax",ABX63,AAC63="NeoPanamax",ABQ63,AAC63="Suezmax",ABJ63,AAC63="Capesize",ABC63,AAC63="VLOC",AAV63)))))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A63" s="75" t="e">
        <f t="array" aca="1" ref="AEA63" ca="1">INDEX(Canals!$P$24:$P$29,MATCH(2,1/((Canals!$F$24:$F$29&lt;=$C63)*(Canals!$G$24:$G$29=_xlfn.IFS(AAC63="Handysize",Main!ACL63,AAC63="Supramax",ACE63,AAC63="Panamax",ABX63,AAC63="NeoPanamax",ABQ63,AAC63="Suezmax",ABJ63,AAC63="Capesize",ABC63,AAC63="VLOC",AAV63)))))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B63" s="75" t="e">
        <f t="array" aca="1" ref="AEB63" ca="1">INDEX(Canals!$Q$24:$Q$29,MATCH(2,1/((Canals!$F$24:$F$29&lt;=$C63)*(Canals!$G$24:$G$29=_xlfn.IFS(AAC63="Handysize",Main!ACL63,AAC63="Supramax",ACE63,AAC63="Panamax",ABX63,AAC63="NeoPanamax",ABQ63,AAC63="Suezmax",ABJ63,AAC63="Capesize",ABC63,AAC63="VLOC",AAV63)))))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C63" s="75" t="e">
        <f t="array" aca="1" ref="AEC63" ca="1">INDEX(Canals!$R$24:$R$29,MATCH(2,1/((Canals!$F$24:$F$29&lt;=$C63)*(Canals!$G$24:$G$29=_xlfn.IFS(AAC63="Handysize",Main!ACL63,AAC63="Supramax",ACE63,AAC63="Panamax",ABX63,AAC63="NeoPanamax",ABQ63,AAC63="Suezmax",ABJ63,AAC63="Capesize",ABC63,AAC63="VLOC",AAV63)))))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D63" s="136" t="e">
        <f t="array" aca="1" ref="AED63" ca="1">INDEX(Canals!$S$24:$S$29,MATCH(2,1/((Canals!$F$24:$F$29&lt;=$C63)*(Canals!$G$24:$G$29=_xlfn.IFS(AAC63="Handysize",Main!ACL63,AAC63="Supramax",ACE63,AAC63="Panamax",ABX63,AAC63="NeoPanamax",ABQ63,AAC63="Suezmax",ABJ63,AAC63="Capesize",ABC63,AAC63="VLOC",AAV63)))))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E63" s="136" t="e">
        <f t="array" aca="1" ref="AEE63" ca="1">INDEX(Canals!$T$24:$T$29,MATCH(2,1/((Canals!$F$24:$F$29&lt;=$C63)*(Canals!$G$24:$G$29=_xlfn.IFS(AAC63="Handysize",Main!ACL63,AAC63="Supramax",ACE63,AAC63="Panamax",ABX63,AAC63="NeoPanamax",ABQ63,AAC63="Suezmax",ABJ63,AAC63="Capesize",ABC63,AAC63="VLOC",AAV63)))))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F63" s="136" t="e">
        <f t="array" aca="1" ref="AEF63" ca="1">INDEX(Canals!$U$24:$U$29,MATCH(2,1/((Canals!$F$24:$F$29&lt;=$C63)*(Canals!$G$24:$G$29=_xlfn.IFS(AAC63="Handysize",Main!ACL63,AAC63="Supramax",ACE63,AAC63="Panamax",ABX63,AAC63="NeoPanamax",ABQ63,AAC63="Suezmax",ABJ63,AAC63="Capesize",ABC63,AAC63="VLOC",AAV63)))))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G63" s="136" t="e">
        <f t="array" aca="1" ref="AEG63" ca="1">INDEX(Canals!$V$24:$V$29,MATCH(2,1/((Canals!$F$24:$F$29&lt;=$C63)*(Canals!$G$24:$G$29=_xlfn.IFS(AAC63="Handysize",Main!ACL63,AAC63="Supramax",ACE63,AAC63="Panamax",ABX63,AAC63="NeoPanamax",ABQ63,AAC63="Suezmax",ABJ63,AAC63="Capesize",ABC63,AAC63="VLOC",AAV63)))))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H63" s="136" t="e">
        <f t="array" aca="1" ref="AEH63" ca="1">INDEX(Canals!$W$24:$W$29,MATCH(2,1/((Canals!$F$24:$F$29&lt;=$C63)*(Canals!$G$24:$G$29=_xlfn.IFS(AAC63="Handysize",Main!ACL63,AAC63="Supramax",ACE63,AAC63="Panamax",ABX63,AAC63="NeoPanamax",ABQ63,AAC63="Suezmax",ABJ63,AAC63="Capesize",ABC63,AAC63="VLOC",AAV63)))))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I63" s="136" t="e">
        <f t="array" aca="1" ref="AEI63" ca="1">INDEX(Canals!$X$24:$X$29,MATCH(2,1/((Canals!$F$24:$F$29&lt;=$C63)*(Canals!$G$24:$G$29=_xlfn.IFS(AAC63="Handysize",Main!ACL63,AAC63="Supramax",ACE63,AAC63="Panamax",ABX63,AAC63="NeoPanamax",ABQ63,AAC63="Suezmax",ABJ63,AAC63="Capesize",ABC63,AAC63="VLOC",AAV63)))))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J63" s="136" t="e">
        <f t="array" aca="1" ref="AEJ63" ca="1">INDEX(Canals!$Y$24:$Y$29,MATCH(2,1/((Canals!$F$24:$F$29&lt;=$C63)*(Canals!$G$24:$G$29=_xlfn.IFS(AAC63="Handysize",Main!ACL63,AAC63="Supramax",ACE63,AAC63="Panamax",ABX63,AAC63="NeoPanamax",ABQ63,AAC63="Suezmax",ABJ63,AAC63="Capesize",ABC63,AAC63="VLOC",AAV63)))))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K63" s="136" t="e">
        <f t="array" aca="1" ref="AEK63" ca="1">INDEX(Canals!$Z$24:$Z$29,MATCH(2,1/((Canals!$F$24:$F$29&lt;=$C63)*(Canals!$G$24:$G$29=_xlfn.IFS(AAC63="Handysize",Main!ACL63,AAC63="Supramax",ACE63,AAC63="Panamax",ABX63,AAC63="NeoPanamax",ABQ63,AAC63="Suezmax",ABJ63,AAC63="Capesize",ABC63,AAC63="VLOC",AAV63)))))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L63" s="136" t="e">
        <f t="array" aca="1" ref="AEL63" ca="1">INDEX(Canals!$AA$24:$AA$29,MATCH(2,1/((Canals!$F$24:$F$29&lt;=$C63)*(Canals!$G$24:$G$29=_xlfn.IFS(AAC63="Handysize",Main!ACL63,AAC63="Supramax",ACE63,AAC63="Panamax",ABX63,AAC63="NeoPanamax",ABQ63,AAC63="Suezmax",ABJ63,AAC63="Capesize",ABC63,AAC63="VLOC",AAV63)))))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M63" s="136" t="e">
        <f t="array" aca="1" ref="AEM63" ca="1">INDEX(Canals!$AB$24:$AB$29,MATCH(2,1/((Canals!$F$24:$F$29&lt;=$C63)*(Canals!$G$24:$G$29=_xlfn.IFS(AAC63="Handysize",Main!ACL63,AAC63="Supramax",ACE63,AAC63="Panamax",ABX63,AAC63="NeoPanamax",ABQ63,AAC63="Suezmax",ABJ63,AAC63="Capesize",ABC63,AAC63="VLOC",AAV63)))))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N63" s="75" t="e">
        <f t="array" aca="1" ref="AEN63" ca="1">INDEX(Canals!$AC$24:$AC$29,MATCH(2,1/((Canals!$F$24:$F$29&lt;=$C63)*(Canals!$G$24:$G$29=_xlfn.IFS(AAC63="Handysize",Main!ACL63,AAC63="Supramax",ACE63,AAC63="Panamax",ABX63,AAC63="NeoPanamax",ABQ63,AAC63="Suezmax",ABJ63,AAC63="Capesize",ABC63,AAC63="VLOC",AAV63)))))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O63" s="75" t="e">
        <f t="array" aca="1" ref="AEO63" ca="1">INDEX(Canals!$AD$24:$AD$29,MATCH(2,1/((Canals!$F$24:$F$29&lt;=$C63)*(Canals!$G$24:$G$29=_xlfn.IFS(AAC63="Handysize",Main!ACL63,AAC63="Supramax",ACE63,AAC63="Panamax",ABX63,AAC63="NeoPanamax",ABQ63,AAC63="Suezmax",ABJ63,AAC63="Capesize",ABC63,AAC63="VLOC",AAV63)))))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P63" s="75" t="e">
        <f t="array" aca="1" ref="AEP63" ca="1">INDEX(Canals!$AE$24:$AE$29,MATCH(2,1/((Canals!$F$24:$F$29&lt;=$C63)*(Canals!$G$24:$G$29=_xlfn.IFS(AAC63="Handysize",Main!ACL63,AAC63="Supramax",ACE63,AAC63="Panamax",ABX63,AAC63="NeoPanamax",ABQ63,AAC63="Suezmax",ABJ63,AAC63="Capesize",ABC63,AAC63="VLOC",AAV63)))))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Q63" s="75" t="e">
        <f t="array" aca="1" ref="AEQ63" ca="1">INDEX(Canals!$AF$24:$AF$29,MATCH(2,1/((Canals!$F$24:$F$29&lt;=$C63)*(Canals!$G$24:$G$29=_xlfn.IFS(AAC63="Handysize",Main!ACL63,AAC63="Supramax",ACE63,AAC63="Panamax",ABX63,AAC63="NeoPanamax",ABQ63,AAC63="Suezmax",ABJ63,AAC63="Capesize",ABC63,AAC63="VLOC",AAV63)))))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R63" s="75" t="e">
        <f t="array" aca="1" ref="AER63" ca="1">INDEX(Canals!$AG$24:$AG$29,MATCH(2,1/((Canals!$F$24:$F$29&lt;=$C63)*(Canals!$G$24:$G$29=_xlfn.IFS(AAC63="Handysize",Main!ACL63,AAC63="Supramax",ACE63,AAC63="Panamax",ABX63,AAC63="NeoPanamax",ABQ63,AAC63="Suezmax",ABJ63,AAC63="Capesize",ABC63,AAC63="VLOC",AAV63)))))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S63" s="75" t="e">
        <f t="array" aca="1" ref="AES63" ca="1">INDEX(Canals!$AH$24:$AH$29,MATCH(2,1/((Canals!$F$24:$F$29&lt;=$C63)*(Canals!$G$24:$G$29=_xlfn.IFS(AAC63="Handysize",Main!ACL63,AAC63="Supramax",ACE63,AAC63="Panamax",ABX63,AAC63="NeoPanamax",ABQ63,AAC63="Suezmax",ABJ63,AAC63="Capesize",ABC63,AAC63="VLOC",AAV63)))))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T63" s="75" t="e">
        <f t="array" aca="1" ref="AET63" ca="1">INDEX(Canals!$AI$24:$AI$29,MATCH(2,1/((Canals!$F$24:$F$29&lt;=$C63)*(Canals!$G$24:$G$29=_xlfn.IFS(AAC63="Handysize",Main!ACL63,AAC63="Supramax",ACE63,AAC63="Panamax",ABX63,AAC63="NeoPanamax",ABQ63,AAC63="Suezmax",ABJ63,AAC63="Capesize",ABC63,AAC63="VLOC",AAV63)))))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U63" s="75" t="e">
        <f t="array" aca="1" ref="AEU63" ca="1">INDEX(Canals!$AJ$24:$AJ$29,MATCH(2,1/((Canals!$F$24:$F$29&lt;=$C63)*(Canals!$G$24:$G$29=_xlfn.IFS(AAC63="Handysize",Main!ACL63,AAC63="Supramax",ACE63,AAC63="Panamax",ABX63,AAC63="NeoPanamax",ABQ63,AAC63="Suezmax",ABJ63,AAC63="Capesize",ABC63,AAC63="VLOC",AAV63)))))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V63" s="75" t="e">
        <f t="array" aca="1" ref="AEV63" ca="1">INDEX(Canals!$AK$24:$AK$29,MATCH(2,1/((Canals!$F$24:$F$29&lt;=$C63)*(Canals!$G$24:$G$29=_xlfn.IFS(AAC63="Handysize",Main!ACL63,AAC63="Supramax",ACE63,AAC63="Panamax",ABX63,AAC63="NeoPanamax",ABQ63,AAC63="Suezmax",ABJ63,AAC63="Capesize",ABC63,AAC63="VLOC",AAV63)))))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W63" s="136" t="e">
        <f t="array" aca="1" ref="AEW63" ca="1">INDEX(Canals!$AL$24:$AL$29,MATCH(2,1/((Canals!$F$24:$F$29&lt;=$C63)*(Canals!$G$24:$G$29=_xlfn.IFS(AAC63="Handysize",Main!ACL63,AAC63="Supramax",ACE63,AAC63="Panamax",ABX63,AAC63="NeoPanamax",ABQ63,AAC63="Suezmax",ABJ63,AAC63="Capesize",ABC63,AAC63="VLOC",AAV63)))))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X63" s="136" t="e">
        <f t="array" aca="1" ref="AEX63" ca="1">INDEX(Canals!$AM$24:$AM$29,MATCH(2,1/((Canals!$F$24:$F$29&lt;=$C63)*(Canals!$G$24:$G$29=_xlfn.IFS(AAC63="Handysize",Main!ACL63,AAC63="Supramax",ACE63,AAC63="Panamax",ABX63,AAC63="NeoPanamax",ABQ63,AAC63="Suezmax",ABJ63,AAC63="Capesize",ABC63,AAC63="VLOC",AAV63)))))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Y63" s="136" t="e">
        <f t="array" aca="1" ref="AEY63" ca="1">INDEX(Canals!$AN$24:$AN$29,MATCH(2,1/((Canals!$F$24:$F$29&lt;=$C63)*(Canals!$G$24:$G$29=_xlfn.IFS(AAC63="Handysize",Main!ACL63,AAC63="Supramax",ACE63,AAC63="Panamax",ABX63,AAC63="NeoPanamax",ABQ63,AAC63="Suezmax",ABJ63,AAC63="Capesize",ABC63,AAC63="VLOC",AAV63)))))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EZ63" s="136" t="e">
        <f t="array" aca="1" ref="AEZ63" ca="1">INDEX(Canals!$AO$24:$AO$29,MATCH(2,1/((Canals!$F$24:$F$29&lt;=$C63)*(Canals!$G$24:$G$29=_xlfn.IFS(AAC63="Handysize",Main!ACL63,AAC63="Supramax",ACE63,AAC63="Panamax",ABX63,AAC63="NeoPanamax",ABQ63,AAC63="Suezmax",ABJ63,AAC63="Capesize",ABC63,AAC63="VLOC",AAV63)))))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A63" s="136" t="e">
        <f t="array" aca="1" ref="AFA63" ca="1">INDEX(Canals!$AP$24:$AP$29,MATCH(2,1/((Canals!$F$24:$F$29&lt;=$C63)*(Canals!$G$24:$G$29=_xlfn.IFS(AAC63="Handysize",Main!ACL63,AAC63="Supramax",ACE63,AAC63="Panamax",ABX63,AAC63="NeoPanamax",ABQ63,AAC63="Suezmax",ABJ63,AAC63="Capesize",ABC63,AAC63="VLOC",AAV63)))))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B63" s="136" t="e">
        <f t="array" aca="1" ref="AFB63" ca="1">INDEX(Canals!$AQ$24:$AQ$29,MATCH(2,1/((Canals!$F$24:$F$29&lt;=$C63)*(Canals!$G$24:$G$29=_xlfn.IFS(AAC63="Handysize",Main!ACL63,AAC63="Supramax",ACE63,AAC63="Panamax",ABX63,AAC63="NeoPanamax",ABQ63,AAC63="Suezmax",ABJ63,AAC63="Capesize",ABC63,AAC63="VLOC",AAV63)))))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C63" s="136" t="e">
        <f t="array" aca="1" ref="AFC63" ca="1">INDEX(Canals!$AR$24:$AR$29,MATCH(2,1/((Canals!$F$24:$F$29&lt;=$C63)*(Canals!$G$24:$G$29=_xlfn.IFS(AAC63="Handysize",Main!ACL63,AAC63="Supramax",ACE63,AAC63="Panamax",ABX63,AAC63="NeoPanamax",ABQ63,AAC63="Suezmax",ABJ63,AAC63="Capesize",ABC63,AAC63="VLOC",AAV63)))))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D63" s="136" t="e">
        <f t="array" aca="1" ref="AFD63" ca="1">INDEX(Canals!$AS$24:$AS$29,MATCH(2,1/((Canals!$F$24:$F$29&lt;=$C63)*(Canals!$G$24:$G$29=_xlfn.IFS(AAC63="Handysize",Main!ACL63,AAC63="Supramax",ACE63,AAC63="Panamax",ABX63,AAC63="NeoPanamax",ABQ63,AAC63="Suezmax",ABJ63,AAC63="Capesize",ABC63,AAC63="VLOC",AAV63)))))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E63" s="136" t="e">
        <f t="array" aca="1" ref="AFE63" ca="1">INDEX(Canals!$AT$24:$AT$29,MATCH(2,1/((Canals!$F$24:$F$29&lt;=$C63)*(Canals!$G$24:$G$29=_xlfn.IFS(AAC63="Handysize",Main!ACL63,AAC63="Supramax",ACE63,AAC63="Panamax",ABX63,AAC63="NeoPanamax",ABQ63,AAC63="Suezmax",ABJ63,AAC63="Capesize",ABC63,AAC63="VLOC",AAV63)))))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F63" s="136" t="e">
        <f t="array" aca="1" ref="AFF63" ca="1">INDEX(Canals!$AU$24:$AU$29,MATCH(2,1/((Canals!$F$24:$F$29&lt;=$C63)*(Canals!$G$24:$G$29=_xlfn.IFS(AAC63="Handysize",Main!ACL63,AAC63="Supramax",ACE63,AAC63="Panamax",ABX63,AAC63="NeoPanamax",ABQ63,AAC63="Suezmax",ABJ63,AAC63="Capesize",ABC63,AAC63="VLOC",AAV63)))))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G63" s="136" t="e">
        <f t="array" aca="1" ref="AFG63" ca="1">INDEX(Canals!$AV$24:$AV$29,MATCH(2,1/((Canals!$F$24:$F$29&lt;=$C63)*(Canals!$G$24:$G$29=_xlfn.IFS(AAC63="Handysize",Main!ACL63,AAC63="Supramax",ACE63,AAC63="Panamax",ABX63,AAC63="NeoPanamax",ABQ63,AAC63="Suezmax",ABJ63,AAC63="Capesize",ABC63,AAC63="VLOC",AAV63)))))</f>
        <v>#N/A</v>
      </c>
      <c r="AFI63" s="75" t="e">
        <f t="array" aca="1" ref="AFI63" ca="1">_xlfn.IFS(ADT63="DWT",AAA63,ADT63="NRT",AAE63,ADT63="GRT",AAF63)</f>
        <v>#NAME?</v>
      </c>
      <c r="AFJ63" s="279" t="e">
        <f t="shared" ca="1" si="508"/>
        <v>#NAME?</v>
      </c>
      <c r="AFK63" s="280" t="e">
        <f t="shared" ca="1" si="509"/>
        <v>#NAME?</v>
      </c>
      <c r="AFL63" s="280" t="e">
        <f t="shared" ca="1" si="510"/>
        <v>#NAME?</v>
      </c>
      <c r="AFM63" s="280" t="e">
        <f t="shared" ca="1" si="511"/>
        <v>#NAME?</v>
      </c>
      <c r="AFN63" s="280" t="e">
        <f t="shared" ca="1" si="512"/>
        <v>#NAME?</v>
      </c>
      <c r="AFO63" s="280" t="e">
        <f t="shared" ca="1" si="513"/>
        <v>#NAME?</v>
      </c>
      <c r="AFP63" s="280" t="e">
        <f t="shared" ca="1" si="514"/>
        <v>#NAME?</v>
      </c>
      <c r="AFQ63" s="280" t="e">
        <f t="shared" ca="1" si="515"/>
        <v>#NAME?</v>
      </c>
      <c r="AFR63" s="280" t="e">
        <f t="shared" ca="1" si="516"/>
        <v>#NAME?</v>
      </c>
      <c r="AFS63" s="75">
        <f t="shared" si="517"/>
        <v>167777.77777777778</v>
      </c>
      <c r="AFT63" s="279" t="e">
        <f t="shared" ca="1" si="518"/>
        <v>#N/A</v>
      </c>
      <c r="AFU63" s="280" t="e">
        <f t="shared" ca="1" si="519"/>
        <v>#N/A</v>
      </c>
      <c r="AFV63" s="280" t="e">
        <f t="shared" ca="1" si="520"/>
        <v>#N/A</v>
      </c>
      <c r="AFW63" s="280" t="e">
        <f t="shared" ca="1" si="521"/>
        <v>#N/A</v>
      </c>
      <c r="AFX63" s="280" t="e">
        <f t="shared" ca="1" si="522"/>
        <v>#N/A</v>
      </c>
      <c r="AFY63" s="280" t="e">
        <f t="shared" ca="1" si="523"/>
        <v>#N/A</v>
      </c>
      <c r="AFZ63" s="280" t="e">
        <f t="shared" ca="1" si="524"/>
        <v>#N/A</v>
      </c>
      <c r="AGA63" s="280" t="e">
        <f t="shared" ca="1" si="525"/>
        <v>#N/A</v>
      </c>
      <c r="AGB63" s="280" t="e">
        <f t="shared" ca="1" si="526"/>
        <v>#N/A</v>
      </c>
      <c r="AGD63" s="75" t="e">
        <f t="array" aca="1" ref="AGD63" ca="1">_xlfn.IFS(AAC63="Handysize",Main!ACF63,AAC63="Supramax",ABY63,AAC63="Panamax",ABR63,AAC63="NeoPanamax",ABK63,AAC63="Suezmax",ABD63,AAC63="Capesize",AAW63,AAC63="VLOC",AAP63)*$JI63</f>
        <v>#NAME?</v>
      </c>
      <c r="AGE63" s="274" t="e">
        <f t="array" aca="1" ref="AGE63" ca="1">_xlfn.IFS(AAC63="Handysize",Main!ACG63,AAC63="Supramax",ABZ63,AAC63="Panamax",ABS63,AAC63="NeoPanamax",ABL63,AAC63="Suezmax",ABE63,AAC63="Capesize",AAX63,AAC63="VLOC",AAQ63)*$JI63</f>
        <v>#NAME?</v>
      </c>
      <c r="AGF63" s="71" t="e">
        <f t="array" aca="1" ref="AGF63" ca="1">_xlfn.IFS(AAC63="Handysize",Main!AAH63,AAC63="Supramax",AAI63,AAC63="Panamax",AAJ63,AAC63="NeoPanamax",AAK63,AAC63="Suezmax",AAL63,AAC63="Capesize",AAM63,AAC63="VLOC",AAN63)</f>
        <v>#NAME?</v>
      </c>
      <c r="AGG63" s="71" t="e">
        <f t="array" aca="1" ref="AGG63" ca="1">_xlfn.IFS(AAC63="Handysize",Main!ACT63,AAC63="Supramax",ACU63,AAC63="Panamax",ACV63,AAC63="NeoPanamax",ACW63,AAC63="Suezmax",ACX63,AAC63="Capesize",ACY63,AAC63="VLOC",ACZ63)</f>
        <v>#NAME?</v>
      </c>
      <c r="AGH63" s="70">
        <f t="array" ref="AGH63">INDEX('Ship Speeds'!$G$11:$G$1011,MATCH(2,1/(('Ship Speeds'!$E$11:$E$1011&lt;=Main!$C63)*('Ship Speeds'!$F$11:$F$1011=Main!AAB63))))</f>
        <v>11</v>
      </c>
      <c r="AGI63" s="403">
        <f t="shared" si="527"/>
        <v>34.905670638373635</v>
      </c>
      <c r="AGJ63" s="401">
        <f t="shared" si="528"/>
        <v>3.037811965811966</v>
      </c>
      <c r="AGK63" s="70" t="e">
        <f t="shared" ca="1" si="529"/>
        <v>#NAME?</v>
      </c>
      <c r="AGL63" s="70" t="e">
        <f t="shared" ca="1" si="530"/>
        <v>#NAME?</v>
      </c>
      <c r="AGM63" s="70" t="e">
        <f t="shared" ca="1" si="531"/>
        <v>#NAME?</v>
      </c>
      <c r="AGN63" s="70" t="e">
        <f t="shared" ca="1" si="532"/>
        <v>#NAME?</v>
      </c>
      <c r="AGO63" s="72" t="e">
        <f t="shared" ca="1" si="533"/>
        <v>#N/A</v>
      </c>
      <c r="AGP63" s="70" t="e">
        <f t="shared" ca="1" si="534"/>
        <v>#NAME?</v>
      </c>
      <c r="AGQ63" s="70" t="e">
        <f t="array" aca="1" ref="AGQ63" ca="1">INDEX(ACN63:ACR63,MATCH(_xlfn.IFS(AAC63="Handysize",Main!ACJ63,AAC63="Supramax",ACC63,AAC63="Panamax",ABV63,AAC63="NeoPanamax",ABO63,AAC63="Suezmax",ABH63,AAC63="Capesize",ABA63,AAC63="VLOC",AAT63),$ACN$7:$ACR$7,0))</f>
        <v>#NAME?</v>
      </c>
      <c r="AGR63" s="70" t="e">
        <f t="array" aca="1" ref="AGR63" ca="1">INDEX(ACN63:ACR63,MATCH(_xlfn.IFS(AAC63="Handysize",Main!ACK63,AAC63="Supramax",ACD63,AAC63="Panamax",ABW63,AAC63="NeoPanamax",ABP63,AAC63="Suezmax",ABI63,AAC63="Capesize",ABB63,AAC63="VLOC",AAU63),$ACN$7:$ACR$7,0))</f>
        <v>#NAME?</v>
      </c>
      <c r="AGS63" s="71" t="e">
        <f t="shared" ca="1" si="535"/>
        <v>#NAME?</v>
      </c>
      <c r="AGT63" s="71" t="e">
        <f t="shared" ca="1" si="536"/>
        <v>#NAME?</v>
      </c>
      <c r="AGU63" s="281">
        <f t="shared" si="537"/>
        <v>7.0834199999999994</v>
      </c>
      <c r="AGV63" s="71">
        <f t="shared" si="538"/>
        <v>1742.3786814843679</v>
      </c>
      <c r="AGW63" s="71" t="e">
        <f t="shared" ca="1" si="539"/>
        <v>#NAME?</v>
      </c>
      <c r="AGX63" s="71" t="e">
        <f t="shared" ca="1" si="540"/>
        <v>#NAME?</v>
      </c>
      <c r="AGY63" s="71">
        <f t="shared" si="541"/>
        <v>62530.999620710536</v>
      </c>
      <c r="AGZ63" s="71" t="e">
        <f t="shared" ca="1" si="542"/>
        <v>#NAME?</v>
      </c>
      <c r="AHA63" s="71" t="e">
        <f t="shared" ca="1" si="543"/>
        <v>#NAME?</v>
      </c>
      <c r="AHB63" s="71">
        <f t="shared" si="544"/>
        <v>44393.657252869336</v>
      </c>
      <c r="AHC63" s="71" t="e">
        <f t="shared" ca="1" si="545"/>
        <v>#NAME?</v>
      </c>
      <c r="AHD63" s="71" t="e">
        <f t="shared" ca="1" si="546"/>
        <v>#NAME?</v>
      </c>
      <c r="AHE63" s="71">
        <f t="shared" si="547"/>
        <v>0</v>
      </c>
      <c r="AHF63" s="71" t="e">
        <f t="shared" ca="1" si="548"/>
        <v>#NAME?</v>
      </c>
      <c r="AHG63" s="71" t="e">
        <f t="shared" ca="1" si="549"/>
        <v>#NAME?</v>
      </c>
      <c r="AHH63" s="72">
        <f t="shared" si="550"/>
        <v>8235.397771422744</v>
      </c>
      <c r="AHI63" s="72" t="e">
        <f t="shared" ca="1" si="551"/>
        <v>#NAME?</v>
      </c>
      <c r="AHJ63" s="71" t="e">
        <f t="shared" ca="1" si="552"/>
        <v>#NAME?</v>
      </c>
      <c r="AHK63" s="71" t="e">
        <f t="array" aca="1" ref="AHK63" ca="1">INDEX('Ship Time Charter Rates'!$H$22:$H$1021,MATCH(2,1/(('Ship Time Charter Rates'!$G$22:$G$1021=_xlfn.IFS(AAC63="Handysize",Main!ACH63,AAC63="Supramax",ACA63,AAC63="Panamax",ABT63,AAC63="NeoPanamax",ABM63,AAC63="Suezmax",ABF63,AAC63="Capesize",AAY63,AAC63="VLOC",AAR63))*('Ship Time Charter Rates'!$E$22:$E$1021&lt;=Main!$C63)*(NOT(ISBLANK('Ship Time Charter Rates'!$H$22:$H$1021))))))</f>
        <v>#N/A</v>
      </c>
      <c r="AHL63" s="71" t="e">
        <f t="shared" ca="1" si="553"/>
        <v>#NAME?</v>
      </c>
      <c r="AHM63" s="70" t="e">
        <f t="shared" ca="1" si="554"/>
        <v>#N/A</v>
      </c>
      <c r="AHN63" s="71" t="e">
        <f t="shared" ca="1" si="555"/>
        <v>#NAME?</v>
      </c>
      <c r="AHO63" s="71" t="e">
        <f t="shared" ca="1" si="556"/>
        <v>#NAME?</v>
      </c>
      <c r="AHP63" s="72" t="e">
        <f t="shared" ca="1" si="557"/>
        <v>#NAME?</v>
      </c>
      <c r="AHR63" s="25">
        <f t="shared" si="673"/>
        <v>0</v>
      </c>
      <c r="AHS63" s="4" t="str">
        <f>VLOOKUP(AHR63,'Ship Time Charter Rates'!$F$10:$G$17,2,TRUE)</f>
        <v>Handysize</v>
      </c>
      <c r="AHT63" s="4" t="str">
        <f>VLOOKUP(AHR63,Canals!$E$5:$F$12,2,TRUE)</f>
        <v>Handysize</v>
      </c>
      <c r="AHU63" s="25">
        <f t="shared" si="558"/>
        <v>145.88999999999999</v>
      </c>
      <c r="AHV63" s="25">
        <f t="shared" si="559"/>
        <v>0</v>
      </c>
      <c r="AHW63" s="25">
        <f t="shared" si="560"/>
        <v>4797</v>
      </c>
      <c r="AHY63" s="75">
        <f t="array" ref="AHY63">INDEX('Indices Mines Exporting Ports'!$R$20:$R$51,MATCH(2,1/(('Indices Mines Exporting Ports'!$D$20:$D$51&lt;=Main!$C63)*('Indices Mines Exporting Ports'!$Q$20:$Q$51=$AQ63))))</f>
        <v>0</v>
      </c>
      <c r="AHZ63" s="75">
        <f t="array" ref="AHZ63">INDEX('Indices Mines Exporting Ports'!$S$20:$S$51,MATCH(2,1/(('Indices Mines Exporting Ports'!$D$20:$D$51&lt;=Main!$C63)*('Indices Mines Exporting Ports'!$Q$20:$Q$51=$AQ63))))</f>
        <v>0</v>
      </c>
      <c r="AIA63" s="75">
        <f t="array" ref="AIA63">INDEX('Indices Mines Exporting Ports'!$T$20:$T$51,MATCH(2,1/(('Indices Mines Exporting Ports'!$D$20:$D$51&lt;=Main!$C63)*('Indices Mines Exporting Ports'!$Q$20:$Q$51=$AQ63))))</f>
        <v>0</v>
      </c>
      <c r="AIB63" s="75">
        <f t="array" ref="AIB63">INDEX('Indices Mines Exporting Ports'!$U$20:$U$51,MATCH(2,1/(('Indices Mines Exporting Ports'!$D$20:$D$51&lt;=Main!$C63)*('Indices Mines Exporting Ports'!$Q$20:$Q$51=$AQ63))))</f>
        <v>0</v>
      </c>
      <c r="AIC63" s="75">
        <f t="array" ref="AIC63">INDEX('Indices Mines Exporting Ports'!$V$20:$V$51,MATCH(2,1/(('Indices Mines Exporting Ports'!$D$20:$D$51&lt;=Main!$C63)*('Indices Mines Exporting Ports'!$Q$20:$Q$51=$AQ63))))</f>
        <v>0</v>
      </c>
      <c r="AID63" s="75">
        <f t="array" ref="AID63">INDEX('Indices Mines Exporting Ports'!$W$20:$W$51,MATCH(2,1/(('Indices Mines Exporting Ports'!$D$20:$D$51&lt;=Main!$C63)*('Indices Mines Exporting Ports'!$Q$20:$Q$51=$AQ63))))</f>
        <v>0</v>
      </c>
      <c r="AIE63" s="75">
        <f t="array" ref="AIE63">INDEX('Indices Mines Exporting Ports'!$X$20:$X$51,MATCH(2,1/(('Indices Mines Exporting Ports'!$D$20:$D$51&lt;=Main!$C63)*('Indices Mines Exporting Ports'!$Q$20:$Q$51=$AQ63))))</f>
        <v>0</v>
      </c>
      <c r="AIG63" s="75">
        <f t="array" ref="AIG63">INDEX('Port Linkages'!$E$18:$E$157,MATCH(2,1/(('Port Linkages'!$C$18:$C$157=$AQ63)*('Port Linkages'!$D$18:$D$157=IF($AO63="no",$AQ63,$KK63))*('Port Linkages'!$A$18:$A$157&lt;=$C63))))</f>
        <v>0</v>
      </c>
      <c r="AIH63" s="75">
        <f t="array" ref="AIH63">INDEX('Port Linkages'!$F$18:$F$157,MATCH(2,1/(('Port Linkages'!$C$18:$C$157=$AQ63)*('Port Linkages'!$D$18:$D$157=IF($AO63="no",$AQ63,$KK63))*('Port Linkages'!$A$18:$A$157&lt;=$C63))))</f>
        <v>0</v>
      </c>
      <c r="AII63" s="75">
        <f t="array" ref="AII63">INDEX('Port Linkages'!$G$18:$G$157,MATCH(2,1/(('Port Linkages'!$C$18:$C$157=$AQ63)*('Port Linkages'!$D$18:$D$157=IF($AO63="no",$AQ63,$KK63))*('Port Linkages'!$A$18:$A$157&lt;=$C63))))</f>
        <v>0</v>
      </c>
      <c r="AIJ63" s="75">
        <f t="array" ref="AIJ63">INDEX('Port Linkages'!$H$18:$H$157,MATCH(2,1/(('Port Linkages'!$C$18:$C$157=$AQ63)*('Port Linkages'!$D$18:$D$157=IF($AO63="no",$AQ63,$KK63))*('Port Linkages'!$A$18:$A$157&lt;=$C63))))</f>
        <v>0</v>
      </c>
      <c r="AIK63" s="75">
        <f t="array" ref="AIK63">INDEX('Port Linkages'!$I$18:$I$157,MATCH(2,1/(('Port Linkages'!$C$18:$C$157=$AQ63)*('Port Linkages'!$D$18:$D$157=IF($AO63="no",$AQ63,$KK63))*('Port Linkages'!$A$18:$A$157&lt;=$C63))))</f>
        <v>0</v>
      </c>
      <c r="AIL63" s="75">
        <f t="array" ref="AIL63">INDEX('Port Linkages'!$J$18:$J$157,MATCH(2,1/(('Port Linkages'!$C$18:$C$157=$AQ63)*('Port Linkages'!$D$18:$D$157=IF($AO63="no",$AQ63,$KK63))*('Port Linkages'!$A$18:$A$157&lt;=$C63))))</f>
        <v>0</v>
      </c>
      <c r="AIM63" s="75">
        <f t="array" ref="AIM63">INDEX('Port Linkages'!$K$18:$K$157,MATCH(2,1/(('Port Linkages'!$C$18:$C$157=$AQ63)*('Port Linkages'!$D$18:$D$157=IF($AO63="no",$AQ63,$KK63))*('Port Linkages'!$A$18:$A$157&lt;=$C63))))</f>
        <v>0</v>
      </c>
      <c r="AIN63" s="75">
        <f t="array" ref="AIN63">INDEX('Port Linkages'!$L$18:$L$157,MATCH(2,1/(('Port Linkages'!$C$18:$C$157=$AQ63)*('Port Linkages'!$D$18:$D$157=IF($AO63="no",$AQ63,$KK63))*('Port Linkages'!$A$18:$A$157&lt;=$C63))))</f>
        <v>0</v>
      </c>
      <c r="AIO63" s="75">
        <f t="array" ref="AIO63">INDEX('Port Linkages'!$M$18:$M$157,MATCH(2,1/(('Port Linkages'!$C$18:$C$157=$AQ63)*('Port Linkages'!$D$18:$D$157=IF($AO63="no",$AQ63,$KK63))*('Port Linkages'!$A$18:$A$157&lt;=$C63))))</f>
        <v>0</v>
      </c>
      <c r="AIP63" s="75">
        <f t="array" ref="AIP63">INDEX('Port Linkages'!$N$18:$N$157,MATCH(2,1/(('Port Linkages'!$C$18:$C$157=$AQ63)*('Port Linkages'!$D$18:$D$157=IF($AO63="no",$AQ63,$KK63))*('Port Linkages'!$A$18:$A$157&lt;=$C63))))</f>
        <v>0</v>
      </c>
      <c r="AIQ63" s="75">
        <f t="array" ref="AIQ63">INDEX('Port Linkages'!$O$18:$O$157,MATCH(2,1/(('Port Linkages'!$C$18:$C$157=$AQ63)*('Port Linkages'!$D$18:$D$157=IF($AO63="no",$AQ63,$KK63))*('Port Linkages'!$A$18:$A$157&lt;=$C63))))</f>
        <v>0</v>
      </c>
      <c r="AIR63" s="75">
        <f t="array" ref="AIR63">INDEX('Port Linkages'!$P$18:$P$157,MATCH(2,1/(('Port Linkages'!$C$18:$C$157=$AQ63)*('Port Linkages'!$D$18:$D$157=IF($AO63="no",$AQ63,$KK63))*('Port Linkages'!$A$18:$A$157&lt;=$C63))))</f>
        <v>0</v>
      </c>
      <c r="AIS63" s="75">
        <f t="array" ref="AIS63">INDEX('Port Linkages'!$Q$18:$Q$157,MATCH(2,1/(('Port Linkages'!$C$18:$C$157=$AQ63)*('Port Linkages'!$D$18:$D$157=IF($AO63="no",$AQ63,$KK63))*('Port Linkages'!$A$18:$A$157&lt;=$C63))))</f>
        <v>0</v>
      </c>
      <c r="AIT63" s="75">
        <f t="array" ref="AIT63">INDEX('Port Linkages'!$R$18:$R$157,MATCH(2,1/(('Port Linkages'!$C$18:$C$157=$AQ63)*('Port Linkages'!$D$18:$D$157=IF($AO63="no",$AQ63,$KK63))*('Port Linkages'!$A$18:$A$157&lt;=$C63))))</f>
        <v>0</v>
      </c>
      <c r="AIU63" s="75">
        <f t="array" ref="AIU63">INDEX('Port Linkages'!$S$18:$S$157,MATCH(2,1/(('Port Linkages'!$C$18:$C$157=$AQ63)*('Port Linkages'!$D$18:$D$157=IF($AO63="no",$AQ63,$KK63))*('Port Linkages'!$A$18:$A$157&lt;=$C63))))</f>
        <v>0</v>
      </c>
      <c r="AIV63" s="75">
        <f t="array" ref="AIV63">INDEX('Port Linkages'!$T$18:$T$157,MATCH(2,1/(('Port Linkages'!$C$18:$C$157=$AQ63)*('Port Linkages'!$D$18:$D$157=IF($AO63="no",$AQ63,$KK63))*('Port Linkages'!$A$18:$A$157&lt;=$C63))))</f>
        <v>0</v>
      </c>
      <c r="AIW63" s="75">
        <f t="array" ref="AIW63">INDEX('Port Linkages'!$U$18:$U$157,MATCH(2,1/(('Port Linkages'!$C$18:$C$157=$AQ63)*('Port Linkages'!$D$18:$D$157=IF($AO63="no",$AQ63,$KK63))*('Port Linkages'!$A$18:$A$157&lt;=$C63))))</f>
        <v>0</v>
      </c>
      <c r="AIX63" s="75">
        <f t="array" ref="AIX63">INDEX('Port Linkages'!$V$18:$V$157,MATCH(2,1/(('Port Linkages'!$C$18:$C$157=$AQ63)*('Port Linkages'!$D$18:$D$157=IF($AO63="no",$AQ63,$KK63))*('Port Linkages'!$A$18:$A$157&lt;=$C63))))</f>
        <v>0</v>
      </c>
      <c r="AIY63" s="75">
        <f t="array" ref="AIY63">INDEX('Port Linkages'!$W$18:$W$157,MATCH(2,1/(('Port Linkages'!$C$18:$C$157=$AQ63)*('Port Linkages'!$D$18:$D$157=IF($AO63="no",$AQ63,$KK63))*('Port Linkages'!$A$18:$A$157&lt;=$C63))))</f>
        <v>0</v>
      </c>
      <c r="AIZ63" s="75">
        <f t="array" ref="AIZ63">INDEX('Port Linkages'!$X$18:$X$157,MATCH(2,1/(('Port Linkages'!$C$18:$C$157=$AQ63)*('Port Linkages'!$D$18:$D$157=IF($AO63="no",$AQ63,$KK63))*('Port Linkages'!$A$18:$A$157&lt;=$C63))))</f>
        <v>0</v>
      </c>
      <c r="AJA63" s="75">
        <f t="array" ref="AJA63">INDEX('Port Linkages'!$Y$18:$Y$157,MATCH(2,1/(('Port Linkages'!$C$18:$C$157=$AQ63)*('Port Linkages'!$D$18:$D$157=IF($AO63="no",$AQ63,$KK63))*('Port Linkages'!$A$18:$A$157&lt;=$C63))))</f>
        <v>0</v>
      </c>
      <c r="AJB63" s="75">
        <f t="array" ref="AJB63">INDEX('Port Linkages'!$Z$18:$Z$157,MATCH(2,1/(('Port Linkages'!$C$18:$C$157=$AQ63)*('Port Linkages'!$D$18:$D$157=IF($AO63="no",$AQ63,$KK63))*('Port Linkages'!$A$18:$A$157&lt;=$C63))))</f>
        <v>0</v>
      </c>
      <c r="AJC63" s="75">
        <f t="array" ref="AJC63">INDEX('Port Linkages'!$AA$18:$AA$157,MATCH(2,1/(('Port Linkages'!$C$18:$C$157=$AQ63)*('Port Linkages'!$D$18:$D$157=IF($AO63="no",$AQ63,$KK63))*('Port Linkages'!$A$18:$A$157&lt;=$C63))))</f>
        <v>0</v>
      </c>
      <c r="AJD63" s="75">
        <f t="array" ref="AJD63">INDEX('Port Linkages'!$AB$18:$AB$157,MATCH(2,1/(('Port Linkages'!$C$18:$C$157=$AQ63)*('Port Linkages'!$D$18:$D$157=IF($AO63="no",$AQ63,$KK63))*('Port Linkages'!$A$18:$A$157&lt;=$C63))))</f>
        <v>0</v>
      </c>
      <c r="AJE63" s="75">
        <f t="array" ref="AJE63">INDEX('Port Linkages'!$AC$18:$AC$157,MATCH(2,1/(('Port Linkages'!$C$18:$C$157=$AQ63)*('Port Linkages'!$D$18:$D$157=IF($AO63="no",$AQ63,$KK63))*('Port Linkages'!$A$18:$A$157&lt;=$C63))))</f>
        <v>0</v>
      </c>
      <c r="AJF63" s="75">
        <f t="array" ref="AJF63">INDEX('Port Linkages'!$AD$18:$AD$157,MATCH(2,1/(('Port Linkages'!$C$18:$C$157=$AQ63)*('Port Linkages'!$D$18:$D$157=IF($AO63="no",$AQ63,$KK63))*('Port Linkages'!$A$18:$A$157&lt;=$C63))))</f>
        <v>0</v>
      </c>
      <c r="AJG63" s="75">
        <f t="array" ref="AJG63">INDEX('Port Linkages'!$AE$18:$AE$157,MATCH(2,1/(('Port Linkages'!$C$18:$C$157=$AQ63)*('Port Linkages'!$D$18:$D$157=IF($AO63="no",$AQ63,$KK63))*('Port Linkages'!$A$18:$A$157&lt;=$C63))))</f>
        <v>0</v>
      </c>
      <c r="AJH63" s="75">
        <f t="array" ref="AJH63">INDEX('Port Linkages'!$AF$18:$AF$157,MATCH(2,1/(('Port Linkages'!$C$18:$C$157=$AQ63)*('Port Linkages'!$D$18:$D$157=IF($AO63="no",$AQ63,$KK63))*('Port Linkages'!$A$18:$A$157&lt;=$C63))))</f>
        <v>0</v>
      </c>
      <c r="AJI63" s="75">
        <f t="array" ref="AJI63">INDEX('Port Linkages'!$AG$18:$AG$157,MATCH(2,1/(('Port Linkages'!$C$18:$C$157=$AQ63)*('Port Linkages'!$D$18:$D$157=IF($AO63="no",$AQ63,$KK63))*('Port Linkages'!$A$18:$A$157&lt;=$C63))))</f>
        <v>0</v>
      </c>
      <c r="AJJ63" s="75">
        <f t="array" ref="AJJ63">INDEX('Port Linkages'!$AH$18:$AH$157,MATCH(2,1/(('Port Linkages'!$C$18:$C$157=$AQ63)*('Port Linkages'!$D$18:$D$157=IF($AO63="no",$AQ63,$KK63))*('Port Linkages'!$A$18:$A$157&lt;=$C63))))</f>
        <v>0</v>
      </c>
      <c r="AJK63" s="75">
        <f t="array" ref="AJK63">INDEX('Port Linkages'!$AI$18:$AI$157,MATCH(2,1/(('Port Linkages'!$C$18:$C$157=$AQ63)*('Port Linkages'!$D$18:$D$157=IF($AO63="no",$AQ63,$KK63))*('Port Linkages'!$A$18:$A$157&lt;=$C63))))</f>
        <v>0</v>
      </c>
      <c r="AJL63" s="75">
        <f t="array" ref="AJL63">INDEX('Port Linkages'!$AJ$18:$AJ$157,MATCH(2,1/(('Port Linkages'!$C$18:$C$157=$AQ63)*('Port Linkages'!$D$18:$D$157=IF($AO63="no",$AQ63,$KK63))*('Port Linkages'!$A$18:$A$157&lt;=$C63))))</f>
        <v>0</v>
      </c>
      <c r="AJM63" s="75">
        <f t="array" ref="AJM63">INDEX('Port Linkages'!$AK$18:$AK$157,MATCH(2,1/(('Port Linkages'!$C$18:$C$157=$AQ63)*('Port Linkages'!$D$18:$D$157=IF($AO63="no",$AQ63,$KK63))*('Port Linkages'!$A$18:$A$157&lt;=$C63))))</f>
        <v>0</v>
      </c>
      <c r="AJN63" s="75">
        <f t="array" ref="AJN63">INDEX('Port Linkages'!$AL$18:$AL$157,MATCH(2,1/(('Port Linkages'!$C$18:$C$157=$AQ63)*('Port Linkages'!$D$18:$D$157=IF($AO63="no",$AQ63,$KK63))*('Port Linkages'!$A$18:$A$157&lt;=$C63))))</f>
        <v>0</v>
      </c>
      <c r="AJO63" s="75">
        <f t="array" ref="AJO63">INDEX('Port Linkages'!$AM$18:$AM$157,MATCH(2,1/(('Port Linkages'!$C$18:$C$157=$AQ63)*('Port Linkages'!$D$18:$D$157=IF($AO63="no",$AQ63,$KK63))*('Port Linkages'!$A$18:$A$157&lt;=$C63))))</f>
        <v>0</v>
      </c>
      <c r="AJP63" s="75">
        <f t="array" ref="AJP63">INDEX('Port Linkages'!$AN$18:$AN$157,MATCH(2,1/(('Port Linkages'!$C$18:$C$157=$AQ63)*('Port Linkages'!$D$18:$D$157=IF($AO63="no",$AQ63,$KK63))*('Port Linkages'!$A$18:$A$157&lt;=$C63))))</f>
        <v>0</v>
      </c>
      <c r="AJQ63" s="75">
        <f t="array" ref="AJQ63">INDEX('Port Linkages'!$AO$18:$AO$157,MATCH(2,1/(('Port Linkages'!$C$18:$C$157=$AQ63)*('Port Linkages'!$D$18:$D$157=IF($AO63="no",$AQ63,$KK63))*('Port Linkages'!$A$18:$A$157&lt;=$C63))))</f>
        <v>0</v>
      </c>
      <c r="AJR63" s="75">
        <f t="array" ref="AJR63">INDEX('Port Linkages'!$AP$18:$AP$157,MATCH(2,1/(('Port Linkages'!$C$18:$C$157=$AQ63)*('Port Linkages'!$D$18:$D$157=IF($AO63="no",$AQ63,$KK63))*('Port Linkages'!$A$18:$A$157&lt;=$C63))))</f>
        <v>0</v>
      </c>
      <c r="AJS63" s="75">
        <f t="array" ref="AJS63">INDEX('Port Linkages'!$AQ$18:$AQ$157,MATCH(2,1/(('Port Linkages'!$C$18:$C$157=$AQ63)*('Port Linkages'!$D$18:$D$157=IF($AO63="no",$AQ63,$KK63))*('Port Linkages'!$A$18:$A$157&lt;=$C63))))</f>
        <v>0</v>
      </c>
      <c r="AJT63" s="75">
        <f t="array" ref="AJT63">INDEX('Port Linkages'!$AR$18:$AR$157,MATCH(2,1/(('Port Linkages'!$C$18:$C$157=$AQ63)*('Port Linkages'!$D$18:$D$157=IF($AO63="no",$AQ63,$KK63))*('Port Linkages'!$A$18:$A$157&lt;=$C63))))</f>
        <v>0</v>
      </c>
      <c r="AJU63" s="75">
        <f t="array" ref="AJU63">INDEX('Port Linkages'!$AS$18:$AS$157,MATCH(2,1/(('Port Linkages'!$C$18:$C$157=$AQ63)*('Port Linkages'!$D$18:$D$157=IF($AO63="no",$AQ63,$KK63))*('Port Linkages'!$A$18:$A$157&lt;=$C63))))</f>
        <v>0</v>
      </c>
      <c r="AJV63" s="75">
        <f t="array" ref="AJV63">INDEX('Port Linkages'!$AT$18:$AT$157,MATCH(2,1/(('Port Linkages'!$C$18:$C$157=$AQ63)*('Port Linkages'!$D$18:$D$157=IF($AO63="no",$AQ63,$KK63))*('Port Linkages'!$A$18:$A$157&lt;=$C63))))</f>
        <v>0</v>
      </c>
      <c r="AJW63" s="75">
        <f t="array" ref="AJW63">INDEX('Port Linkages'!$AU$18:$AU$157,MATCH(2,1/(('Port Linkages'!$C$18:$C$157=$AQ63)*('Port Linkages'!$D$18:$D$157=IF($AO63="no",$AQ63,$KK63))*('Port Linkages'!$A$18:$A$157&lt;=$C63))))</f>
        <v>0</v>
      </c>
      <c r="AJX63" s="75">
        <f t="array" ref="AJX63">INDEX('Port Linkages'!$AV$18:$AV$157,MATCH(2,1/(('Port Linkages'!$C$18:$C$157=$AQ63)*('Port Linkages'!$D$18:$D$157=IF($AO63="no",$AQ63,$KK63))*('Port Linkages'!$A$18:$A$157&lt;=$C63))))</f>
        <v>0</v>
      </c>
      <c r="AJY63" s="75">
        <f t="array" ref="AJY63">INDEX('Port Linkages'!$AW$18:$AW$157,MATCH(2,1/(('Port Linkages'!$C$18:$C$157=$AQ63)*('Port Linkages'!$D$18:$D$157=IF($AO63="no",$AQ63,$KK63))*('Port Linkages'!$A$18:$A$157&lt;=$C63))))</f>
        <v>0</v>
      </c>
      <c r="AJZ63" s="75">
        <f t="array" ref="AJZ63">INDEX('Port Linkages'!$AX$18:$AX$157,MATCH(2,1/(('Port Linkages'!$C$18:$C$157=$AQ63)*('Port Linkages'!$D$18:$D$157=IF($AO63="no",$AQ63,$KK63))*('Port Linkages'!$A$18:$A$157&lt;=$C63))))</f>
        <v>0</v>
      </c>
      <c r="AKA63" s="75">
        <f t="array" ref="AKA63">INDEX('Port Linkages'!$AY$18:$AY$157,MATCH(2,1/(('Port Linkages'!$C$18:$C$157=$AQ63)*('Port Linkages'!$D$18:$D$157=IF($AO63="no",$AQ63,$KK63))*('Port Linkages'!$A$18:$A$157&lt;=$C63))))</f>
        <v>0</v>
      </c>
      <c r="AKB63" s="75">
        <f t="array" ref="AKB63">INDEX('Port Linkages'!$AZ$18:$AZ$157,MATCH(2,1/(('Port Linkages'!$C$18:$C$157=$AQ63)*('Port Linkages'!$D$18:$D$157=IF($AO63="no",$AQ63,$KK63))*('Port Linkages'!$A$18:$A$157&lt;=$C63))))</f>
        <v>0</v>
      </c>
      <c r="AKC63" s="75">
        <f t="array" ref="AKC63">INDEX('Port Linkages'!$BA$18:$BA$157,MATCH(2,1/(('Port Linkages'!$C$18:$C$157=$AQ63)*('Port Linkages'!$D$18:$D$157=IF($AO63="no",$AQ63,$KK63))*('Port Linkages'!$A$18:$A$157&lt;=$C63))))</f>
        <v>0</v>
      </c>
      <c r="AKE63" s="25" t="e">
        <f t="array" aca="1" ref="AKE63" ca="1">INDEX('Ship Fuel Prices'!$F$5:$F$1004,MATCH(2,1/(('Ship Fuel Prices'!$E$5:$E$1004=_xlfn.IFS(AHT63="Handysize",Main!AJZ63,AHT63="Supramax",AJS63,AHT63="Panamax",AJL63,AHT63="NeoPanamax",AJE63,AHT63="Suezmax",AIX63,AHT63="Capesize",AIQ63,AHT63="VLOC",AIJ63))*('Ship Fuel Prices'!$D$5:$D$1004&lt;=Main!$C63))))</f>
        <v>#N/A</v>
      </c>
      <c r="AKF63" s="25" t="e">
        <f t="array" aca="1" ref="AKF63" ca="1">INDEX('Ship Fuel Prices'!$G$5:$G$1004,MATCH(2,1/(('Ship Fuel Prices'!$E$5:$E$1004=_xlfn.IFS(AHT63="Handysize",Main!AJZ63,AHT63="Supramax",AJS63,AHT63="Panamax",AJL63,AHT63="NeoPanamax",AJE63,AHT63="Suezmax",AIX63,AHT63="Capesize",AIQ63,AHT63="VLOC",AIJ63))*('Ship Fuel Prices'!$D$5:$D$1004&lt;=Main!$C63))))</f>
        <v>#N/A</v>
      </c>
      <c r="AKG63" s="25" t="e">
        <f t="array" aca="1" ref="AKG63" ca="1">INDEX('Ship Fuel Prices'!$H$5:$H$1004,MATCH(2,1/(('Ship Fuel Prices'!$E$5:$E$1004=_xlfn.IFS(AHT63="Handysize",Main!AJZ63,AHT63="Supramax",AJS63,AHT63="Panamax",AJL63,AHT63="NeoPanamax",AJE63,AHT63="Suezmax",AIX63,AHT63="Capesize",AIQ63,AHT63="VLOC",AIJ63))*('Ship Fuel Prices'!$D$5:$D$1004&lt;=Main!$C63))))</f>
        <v>#N/A</v>
      </c>
      <c r="AKH63" s="25" t="e">
        <f t="array" aca="1" ref="AKH63" ca="1">INDEX('Ship Fuel Prices'!$I$5:$I$1004,MATCH(2,1/(('Ship Fuel Prices'!$E$5:$E$1004=_xlfn.IFS(AHT63="Handysize",Main!AJZ63,AHT63="Supramax",AJS63,AHT63="Panamax",AJL63,AHT63="NeoPanamax",AJE63,AHT63="Suezmax",AIX63,AHT63="Capesize",AIQ63,AHT63="VLOC",AIJ63))*('Ship Fuel Prices'!$D$5:$D$1004&lt;=Main!$C63))))</f>
        <v>#N/A</v>
      </c>
      <c r="AKI63" s="25" t="e">
        <f t="array" aca="1" ref="AKI63" ca="1">INDEX('Ship Fuel Prices'!$J$5:$J$1004,MATCH(2,1/(('Ship Fuel Prices'!$E$5:$E$1004=_xlfn.IFS(AHT63="Handysize",Main!AJZ63,AHT63="Supramax",AJS63,AHT63="Panamax",AJL63,AHT63="NeoPanamax",AJE63,AHT63="Suezmax",AIX63,AHT63="Capesize",AIQ63,AHT63="VLOC",AIJ63))*('Ship Fuel Prices'!$D$5:$D$1004&lt;=Main!$C63))))</f>
        <v>#N/A</v>
      </c>
      <c r="AKK63" s="75">
        <f t="array" ref="AKK63">INDEX('China n Importing Ports'!$E$20:$E$41,MATCH(2,1/(('China n Importing Ports'!$D$20:$D$41&lt;=$C63)*('China n Importing Ports'!$C$20:$C$41=IF($AO63="No",$AQ63,$KK63)))))</f>
        <v>0</v>
      </c>
      <c r="AKL63" s="75">
        <f t="array" ref="AKL63">INDEX('China n Importing Ports'!$F$20:$F$41,MATCH(2,1/(('China n Importing Ports'!$D$20:$D$41&lt;=$C63)*('China n Importing Ports'!$C$20:$C$41=IF($AO63="No",$AQ63,$KK63)))))</f>
        <v>0</v>
      </c>
      <c r="AKM63" s="75">
        <f t="array" ref="AKM63">INDEX('China n Importing Ports'!$G$20:$G$41,MATCH(2,1/(('China n Importing Ports'!$D$20:$D$41&lt;=$C63)*('China n Importing Ports'!$C$20:$C$41=IF($AO63="No",$AQ63,$KK63)))))</f>
        <v>0</v>
      </c>
      <c r="AKN63" s="75">
        <f t="array" ref="AKN63">INDEX('China n Importing Ports'!$H$20:$H$41,MATCH(2,1/(('China n Importing Ports'!$D$20:$D$41&lt;=$C63)*('China n Importing Ports'!$C$20:$C$41=IF($AO63="No",$AQ63,$KK63)))))</f>
        <v>0</v>
      </c>
      <c r="AKO63" s="75">
        <f t="array" ref="AKO63">INDEX('China n Importing Ports'!$I$20:$I$41,MATCH(2,1/(('China n Importing Ports'!$D$20:$D$41&lt;=$C63)*('China n Importing Ports'!$C$20:$C$41=IF($AO63="No",$AQ63,$KK63)))))</f>
        <v>0</v>
      </c>
      <c r="AKP63" s="75">
        <f t="array" ref="AKP63">INDEX('China n Importing Ports'!$J$20:$J$41,MATCH(2,1/(('China n Importing Ports'!$D$20:$D$41&lt;=$C63)*('China n Importing Ports'!$C$20:$C$41=IF($AO63="No",$AQ63,$KK63)))))</f>
        <v>0</v>
      </c>
      <c r="AKQ63" s="75">
        <f t="array" ref="AKQ63">INDEX('China n Importing Ports'!$K$20:$K$41,MATCH(2,1/(('China n Importing Ports'!$D$20:$D$41&lt;=$C63)*('China n Importing Ports'!$C$20:$C$41=IF($AO63="No",$AQ63,$KK63)))))</f>
        <v>0</v>
      </c>
      <c r="AKR63" s="75">
        <f t="array" ref="AKR63">INDEX('China n Importing Ports'!$L$20:$L$41,MATCH(2,1/(('China n Importing Ports'!$D$20:$D$41&lt;=$C63)*('China n Importing Ports'!$C$20:$C$41=IF($AO63="No",$AQ63,$KK63)))))</f>
        <v>0</v>
      </c>
      <c r="AKS63" s="75">
        <f t="array" ref="AKS63">INDEX('China n Importing Ports'!$M$20:$M$41,MATCH(2,1/(('China n Importing Ports'!$D$20:$D$41&lt;=$C63)*('China n Importing Ports'!$C$20:$C$41=IF($AO63="No",$AQ63,$KK63)))))</f>
        <v>0</v>
      </c>
      <c r="AKT63" s="75">
        <f t="array" ref="AKT63">INDEX('China n Importing Ports'!$N$20:$N$41,MATCH(2,1/(('China n Importing Ports'!$D$20:$D$41&lt;=$C63)*('China n Importing Ports'!$C$20:$C$41=IF($AO63="No",$AQ63,$KK63)))))</f>
        <v>0</v>
      </c>
      <c r="AKU63" s="75">
        <f t="array" ref="AKU63">INDEX('China n Importing Ports'!$O$20:$O$41,MATCH(2,1/(('China n Importing Ports'!$D$20:$D$41&lt;=$C63)*('China n Importing Ports'!$C$20:$C$41=IF($AO63="No",$AQ63,$KK63)))))</f>
        <v>0</v>
      </c>
      <c r="AKV63" s="136">
        <f t="array" ref="AKV63">INDEX('China n Importing Ports'!$P$20:$P$41,MATCH(2,1/(('China n Importing Ports'!$D$20:$D$41&lt;=$C63)*('China n Importing Ports'!$C$20:$C$41=IF($AO63="No",$AQ63,$KK63)))))</f>
        <v>0</v>
      </c>
      <c r="AKW63" s="136">
        <f t="array" ref="AKW63">INDEX('China n Importing Ports'!$Q$20:$Q$41,MATCH(2,1/(('China n Importing Ports'!$D$20:$D$41&lt;=$C63)*('China n Importing Ports'!$C$20:$C$41=IF($AO63="No",$AQ63,$KK63)))))</f>
        <v>0</v>
      </c>
      <c r="AKX63" s="136">
        <f t="array" ref="AKX63">INDEX('China n Importing Ports'!$R$20:$R$41,MATCH(2,1/(('China n Importing Ports'!$D$20:$D$41&lt;=$C63)*('China n Importing Ports'!$C$20:$C$41=IF($AO63="No",$AQ63,$KK63)))))</f>
        <v>0</v>
      </c>
      <c r="AKY63" s="136">
        <f t="array" ref="AKY63">INDEX('China n Importing Ports'!$S$20:$S$41,MATCH(2,1/(('China n Importing Ports'!$D$20:$D$41&lt;=$C63)*('China n Importing Ports'!$C$20:$C$41=IF($AO63="No",$AQ63,$KK63)))))</f>
        <v>0</v>
      </c>
      <c r="AKZ63" s="136">
        <f t="array" ref="AKZ63">INDEX('China n Importing Ports'!$T$20:$T$41,MATCH(2,1/(('China n Importing Ports'!$D$20:$D$41&lt;=$C63)*('China n Importing Ports'!$C$20:$C$41=IF($AO63="No",$AQ63,$KK63)))))</f>
        <v>0</v>
      </c>
      <c r="ALA63" s="136">
        <f t="array" ref="ALA63">INDEX('China n Importing Ports'!$U$20:$U$41,MATCH(2,1/(('China n Importing Ports'!$D$20:$D$41&lt;=$C63)*('China n Importing Ports'!$C$20:$C$41=IF($AO63="No",$AQ63,$KK63)))))</f>
        <v>0</v>
      </c>
      <c r="ALB63" s="136">
        <f t="array" ref="ALB63">INDEX('China n Importing Ports'!$V$20:$V$41,MATCH(2,1/(('China n Importing Ports'!$D$20:$D$41&lt;=$C63)*('China n Importing Ports'!$C$20:$C$41=IF($AO63="No",$AQ63,$KK63)))))</f>
        <v>0</v>
      </c>
      <c r="ALC63" s="136">
        <f t="array" ref="ALC63">INDEX('China n Importing Ports'!$W$20:$W$41,MATCH(2,1/(('China n Importing Ports'!$D$20:$D$41&lt;=$C63)*('China n Importing Ports'!$C$20:$C$41=IF($AO63="No",$AQ63,$KK63)))))</f>
        <v>0</v>
      </c>
      <c r="ALD63" s="136">
        <f t="array" ref="ALD63">INDEX('China n Importing Ports'!$X$20:$X$41,MATCH(2,1/(('China n Importing Ports'!$D$20:$D$41&lt;=$C63)*('China n Importing Ports'!$C$20:$C$41=IF($AO63="No",$AQ63,$KK63)))))</f>
        <v>0</v>
      </c>
      <c r="ALE63" s="136">
        <f t="array" ref="ALE63">INDEX('China n Importing Ports'!$Y$20:$Y$41,MATCH(2,1/(('China n Importing Ports'!$D$20:$D$41&lt;=$C63)*('China n Importing Ports'!$C$20:$C$41=IF($AO63="No",$AQ63,$KK63)))))</f>
        <v>0</v>
      </c>
      <c r="ALF63" s="136">
        <f t="array" ref="ALF63">INDEX('China n Importing Ports'!$Z$20:$Z$41,MATCH(2,1/(('China n Importing Ports'!$D$20:$D$41&lt;=$C63)*('China n Importing Ports'!$C$20:$C$41=IF($AO63="No",$AQ63,$KK63)))))</f>
        <v>0</v>
      </c>
      <c r="ALG63" s="136">
        <f t="array" ref="ALG63">INDEX('China n Importing Ports'!$AA$20:$AA$41,MATCH(2,1/(('China n Importing Ports'!$D$20:$D$41&lt;=$C63)*('China n Importing Ports'!$C$20:$C$41=IF($AO63="No",$AQ63,$KK63)))))</f>
        <v>0</v>
      </c>
      <c r="ALI63" s="75" t="e">
        <f t="array" aca="1" ref="ALI63" ca="1">INDEX(Canals!$G$24:$G$29,MATCH(2,1/((Canals!$F$24:$F$29&lt;=$C63)*(Canals!$G$24:$G$29=_xlfn.IFS(AHT63="Handysize",AKC63,AHT63="Supramax",AJV63,AHT63="Panamax",AJO63,AHT63="NeoPanamax",AJH63,AHT63="Suezmax",AJA63,AHT63="Capesize",AIT63,AHT63="VLOC",AIM63)))))</f>
        <v>#N/A</v>
      </c>
      <c r="ALJ63" s="75" t="e">
        <f t="array" aca="1" ref="ALJ63" ca="1">INDEX(Canals!$H$24:$H$29,MATCH(2,1/((Canals!$F$24:$F$29&lt;=$C63)*(Canals!$G$24:$G$29=_xlfn.IFS(AHT63="Handysize",AKC63,AHT63="Supramax",AJV63,AHT63="Panamax",AJO63,AHT63="NeoPanamax",AJH63,AHT63="Suezmax",AJA63,AHT63="Capesize",AIT63,AHT63="VLOC",AIM63)))))</f>
        <v>#N/A</v>
      </c>
      <c r="ALK63" s="75" t="e">
        <f t="array" aca="1" ref="ALK63" ca="1">INDEX(Canals!$I$24:$I$29,MATCH(2,1/((Canals!$F$24:$F$29&lt;=$C63)*(Canals!$G$24:$G$29=_xlfn.IFS(AHT63="Handysize",AKC63,AHT63="Supramax",AJV63,AHT63="Panamax",AJO63,AHT63="NeoPanamax",AJH63,AHT63="Suezmax",AJA63,AHT63="Capesize",AIT63,AHT63="VLOC",AIM63)))))</f>
        <v>#N/A</v>
      </c>
      <c r="ALL63" s="75" t="e">
        <f t="array" aca="1" ref="ALL63" ca="1">INDEX(Canals!$J$24:$J$29,MATCH(2,1/((Canals!$F$24:$F$29&lt;=$C63)*(Canals!$G$24:$G$29=_xlfn.IFS(AHT63="Handysize",Main!AKC63,AHT63="Supramax",AJV63,AHT63="Panamax",AJO63,AHT63="NeoPanamax",AJH63,AHT63="Suezmax",AJA63,AHT63="Capesize",AIT63,AHT63="VLOC",AIM63)))))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M63" s="75" t="e">
        <f t="array" aca="1" ref="ALM63" ca="1">INDEX(Canals!$K$24:$K$29,MATCH(2,1/((Canals!$F$24:$F$29&lt;=$C63)*(Canals!$G$24:$G$29=_xlfn.IFS(AHT63="Handysize",Main!AKC63,AHT63="Supramax",AJV63,AHT63="Panamax",AJO63,AHT63="NeoPanamax",AJH63,AHT63="Suezmax",AJA63,AHT63="Capesize",AIT63,AHT63="VLOC",AIM63)))))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N63" s="75" t="e">
        <f t="array" aca="1" ref="ALN63" ca="1">INDEX(Canals!$L$24:$L$29,MATCH(2,1/((Canals!$F$24:$F$29&lt;=$C63)*(Canals!$G$24:$G$29=_xlfn.IFS(AHT63="Handysize",Main!AKC63,AHT63="Supramax",AJV63,AHT63="Panamax",AJO63,AHT63="NeoPanamax",AJH63,AHT63="Suezmax",AJA63,AHT63="Capesize",AIT63,AHT63="VLOC",AIM63)))))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O63" s="75" t="e">
        <f t="array" aca="1" ref="ALO63" ca="1">INDEX(Canals!$M$24:$M$29,MATCH(2,1/((Canals!$F$24:$F$29&lt;=$C63)*(Canals!$G$24:$G$29=_xlfn.IFS(AHT63="Handysize",Main!AKC63,AHT63="Supramax",AJV63,AHT63="Panamax",AJO63,AHT63="NeoPanamax",AJH63,AHT63="Suezmax",AJA63,AHT63="Capesize",AIT63,AHT63="VLOC",AIM63)))))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P63" s="75" t="e">
        <f t="array" aca="1" ref="ALP63" ca="1">INDEX(Canals!$N$24:$N$29,MATCH(2,1/((Canals!$F$24:$F$29&lt;=$C63)*(Canals!$G$24:$G$29=_xlfn.IFS(AHT63="Handysize",Main!AKC63,AHT63="Supramax",AJV63,AHT63="Panamax",AJO63,AHT63="NeoPanamax",AJH63,AHT63="Suezmax",AJA63,AHT63="Capesize",AIT63,AHT63="VLOC",AIM63)))))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Q63" s="75" t="e">
        <f t="array" aca="1" ref="ALQ63" ca="1">INDEX(Canals!$O$24:$O$29,MATCH(2,1/((Canals!$F$24:$F$29&lt;=$C63)*(Canals!$G$24:$G$29=_xlfn.IFS(AHT63="Handysize",Main!AKC63,AHT63="Supramax",AJV63,AHT63="Panamax",AJO63,AHT63="NeoPanamax",AJH63,AHT63="Suezmax",AJA63,AHT63="Capesize",AIT63,AHT63="VLOC",AIM63)))))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R63" s="75" t="e">
        <f t="array" aca="1" ref="ALR63" ca="1">INDEX(Canals!$P$24:$P$29,MATCH(2,1/((Canals!$F$24:$F$29&lt;=$C63)*(Canals!$G$24:$G$29=_xlfn.IFS(AHT63="Handysize",Main!AKC63,AHT63="Supramax",AJV63,AHT63="Panamax",AJO63,AHT63="NeoPanamax",AJH63,AHT63="Suezmax",AJA63,AHT63="Capesize",AIT63,AHT63="VLOC",AIM63)))))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S63" s="75" t="e">
        <f t="array" aca="1" ref="ALS63" ca="1">INDEX(Canals!$Q$24:$Q$29,MATCH(2,1/((Canals!$F$24:$F$29&lt;=$C63)*(Canals!$G$24:$G$29=_xlfn.IFS(AHT63="Handysize",Main!AKC63,AHT63="Supramax",AJV63,AHT63="Panamax",AJO63,AHT63="NeoPanamax",AJH63,AHT63="Suezmax",AJA63,AHT63="Capesize",AIT63,AHT63="VLOC",AIM63)))))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T63" s="75" t="e">
        <f t="array" aca="1" ref="ALT63" ca="1">INDEX(Canals!$R$24:$R$29,MATCH(2,1/((Canals!$F$24:$F$29&lt;=$C63)*(Canals!$G$24:$G$29=_xlfn.IFS(AHT63="Handysize",Main!AKC63,AHT63="Supramax",AJV63,AHT63="Panamax",AJO63,AHT63="NeoPanamax",AJH63,AHT63="Suezmax",AJA63,AHT63="Capesize",AIT63,AHT63="VLOC",AIM63)))))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U63" s="136" t="e">
        <f t="array" aca="1" ref="ALU63" ca="1">INDEX(Canals!$S$24:$S$29,MATCH(2,1/((Canals!$F$24:$F$29&lt;=$C63)*(Canals!$G$24:$G$29=_xlfn.IFS(AHT63="Handysize",Main!AKC63,AHT63="Supramax",AJV63,AHT63="Panamax",AJO63,AHT63="NeoPanamax",AJH63,AHT63="Suezmax",AJA63,AHT63="Capesize",AIT63,AHT63="VLOC",AIM63)))))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V63" s="136" t="e">
        <f t="array" aca="1" ref="ALV63" ca="1">INDEX(Canals!$T$24:$T$29,MATCH(2,1/((Canals!$F$24:$F$29&lt;=$C63)*(Canals!$G$24:$G$29=_xlfn.IFS(AHT63="Handysize",Main!AKC63,AHT63="Supramax",AJV63,AHT63="Panamax",AJO63,AHT63="NeoPanamax",AJH63,AHT63="Suezmax",AJA63,AHT63="Capesize",AIT63,AHT63="VLOC",AIM63)))))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W63" s="136" t="e">
        <f t="array" aca="1" ref="ALW63" ca="1">INDEX(Canals!$U$24:$U$29,MATCH(2,1/((Canals!$F$24:$F$29&lt;=$C63)*(Canals!$G$24:$G$29=_xlfn.IFS(AHT63="Handysize",Main!AKC63,AHT63="Supramax",AJV63,AHT63="Panamax",AJO63,AHT63="NeoPanamax",AJH63,AHT63="Suezmax",AJA63,AHT63="Capesize",AIT63,AHT63="VLOC",AIM63)))))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X63" s="136" t="e">
        <f t="array" aca="1" ref="ALX63" ca="1">INDEX(Canals!$V$24:$V$29,MATCH(2,1/((Canals!$F$24:$F$29&lt;=$C63)*(Canals!$G$24:$G$29=_xlfn.IFS(AHT63="Handysize",Main!AKC63,AHT63="Supramax",AJV63,AHT63="Panamax",AJO63,AHT63="NeoPanamax",AJH63,AHT63="Suezmax",AJA63,AHT63="Capesize",AIT63,AHT63="VLOC",AIM63)))))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Y63" s="136" t="e">
        <f t="array" aca="1" ref="ALY63" ca="1">INDEX(Canals!$W$24:$W$29,MATCH(2,1/((Canals!$F$24:$F$29&lt;=$C63)*(Canals!$G$24:$G$29=_xlfn.IFS(AHT63="Handysize",Main!AKC63,AHT63="Supramax",AJV63,AHT63="Panamax",AJO63,AHT63="NeoPanamax",AJH63,AHT63="Suezmax",AJA63,AHT63="Capesize",AIT63,AHT63="VLOC",AIM63)))))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LZ63" s="136" t="e">
        <f t="array" aca="1" ref="ALZ63" ca="1">INDEX(Canals!$X$24:$X$29,MATCH(2,1/((Canals!$F$24:$F$29&lt;=$C63)*(Canals!$G$24:$G$29=_xlfn.IFS(AHT63="Handysize",Main!AKC63,AHT63="Supramax",AJV63,AHT63="Panamax",AJO63,AHT63="NeoPanamax",AJH63,AHT63="Suezmax",AJA63,AHT63="Capesize",AIT63,AHT63="VLOC",AIM63)))))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A63" s="136" t="e">
        <f t="array" aca="1" ref="AMA63" ca="1">INDEX(Canals!$Y$24:$Y$29,MATCH(2,1/((Canals!$F$24:$F$29&lt;=$C63)*(Canals!$G$24:$G$29=_xlfn.IFS(AHT63="Handysize",Main!AKC63,AHT63="Supramax",AJV63,AHT63="Panamax",AJO63,AHT63="NeoPanamax",AJH63,AHT63="Suezmax",AJA63,AHT63="Capesize",AIT63,AHT63="VLOC",AIM63)))))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B63" s="136" t="e">
        <f t="array" aca="1" ref="AMB63" ca="1">INDEX(Canals!$Z$24:$Z$29,MATCH(2,1/((Canals!$F$24:$F$29&lt;=$C63)*(Canals!$G$24:$G$29=_xlfn.IFS(AHT63="Handysize",Main!AKC63,AHT63="Supramax",AJV63,AHT63="Panamax",AJO63,AHT63="NeoPanamax",AJH63,AHT63="Suezmax",AJA63,AHT63="Capesize",AIT63,AHT63="VLOC",AIM63)))))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C63" s="136" t="e">
        <f t="array" aca="1" ref="AMC63" ca="1">INDEX(Canals!$AA$24:$AA$29,MATCH(2,1/((Canals!$F$24:$F$29&lt;=$C63)*(Canals!$G$24:$G$29=_xlfn.IFS(AHT63="Handysize",Main!AKC63,AHT63="Supramax",AJV63,AHT63="Panamax",AJO63,AHT63="NeoPanamax",AJH63,AHT63="Suezmax",AJA63,AHT63="Capesize",AIT63,AHT63="VLOC",AIM63)))))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D63" s="136" t="e">
        <f t="array" aca="1" ref="AMD63" ca="1">INDEX(Canals!$AB$24:$AB$29,MATCH(2,1/((Canals!$F$24:$F$29&lt;=$C63)*(Canals!$G$24:$G$29=_xlfn.IFS(AHT63="Handysize",Main!AKC63,AHT63="Supramax",AJV63,AHT63="Panamax",AJO63,AHT63="NeoPanamax",AJH63,AHT63="Suezmax",AJA63,AHT63="Capesize",AIT63,AHT63="VLOC",AIM63)))))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E63" s="75" t="e">
        <f t="array" aca="1" ref="AME63" ca="1">INDEX(Canals!$AC$24:$AC$29,MATCH(2,1/((Canals!$F$24:$F$29&lt;=$C63)*(Canals!$G$24:$G$29=_xlfn.IFS(AHT63="Handysize",Main!AKC63,AHT63="Supramax",AJV63,AHT63="Panamax",AJO63,AHT63="NeoPanamax",AJH63,AHT63="Suezmax",AJA63,AHT63="Capesize",AIT63,AHT63="VLOC",AIM63)))))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F63" s="75" t="e">
        <f t="array" aca="1" ref="AMF63" ca="1">INDEX(Canals!$AD$24:$AD$29,MATCH(2,1/((Canals!$F$24:$F$29&lt;=$C63)*(Canals!$G$24:$G$29=_xlfn.IFS(AHT63="Handysize",Main!AKC63,AHT63="Supramax",AJV63,AHT63="Panamax",AJO63,AHT63="NeoPanamax",AJH63,AHT63="Suezmax",AJA63,AHT63="Capesize",AIT63,AHT63="VLOC",AIM63)))))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G63" s="75" t="e">
        <f t="array" aca="1" ref="AMG63" ca="1">INDEX(Canals!$AE$24:$AE$29,MATCH(2,1/((Canals!$F$24:$F$29&lt;=$C63)*(Canals!$G$24:$G$29=_xlfn.IFS(AHT63="Handysize",Main!AKC63,AHT63="Supramax",AJV63,AHT63="Panamax",AJO63,AHT63="NeoPanamax",AJH63,AHT63="Suezmax",AJA63,AHT63="Capesize",AIT63,AHT63="VLOC",AIM63)))))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H63" s="75" t="e">
        <f t="array" aca="1" ref="AMH63" ca="1">INDEX(Canals!$AF$24:$AF$29,MATCH(2,1/((Canals!$F$24:$F$29&lt;=$C63)*(Canals!$G$24:$G$29=_xlfn.IFS(AHT63="Handysize",Main!AKC63,AHT63="Supramax",AJV63,AHT63="Panamax",AJO63,AHT63="NeoPanamax",AJH63,AHT63="Suezmax",AJA63,AHT63="Capesize",AIT63,AHT63="VLOC",AIM63)))))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I63" s="75" t="e">
        <f t="array" aca="1" ref="AMI63" ca="1">INDEX(Canals!$AG$24:$AG$29,MATCH(2,1/((Canals!$F$24:$F$29&lt;=$C63)*(Canals!$G$24:$G$29=_xlfn.IFS(AHT63="Handysize",Main!AKC63,AHT63="Supramax",AJV63,AHT63="Panamax",AJO63,AHT63="NeoPanamax",AJH63,AHT63="Suezmax",AJA63,AHT63="Capesize",AIT63,AHT63="VLOC",AIM63)))))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J63" s="75" t="e">
        <f t="array" aca="1" ref="AMJ63" ca="1">INDEX(Canals!$AH$24:$AH$29,MATCH(2,1/((Canals!$F$24:$F$29&lt;=$C63)*(Canals!$G$24:$G$29=_xlfn.IFS(AHT63="Handysize",Main!AKC63,AHT63="Supramax",AJV63,AHT63="Panamax",AJO63,AHT63="NeoPanamax",AJH63,AHT63="Suezmax",AJA63,AHT63="Capesize",AIT63,AHT63="VLOC",AIM63)))))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K63" s="75" t="e">
        <f t="array" aca="1" ref="AMK63" ca="1">INDEX(Canals!$AI$24:$AI$29,MATCH(2,1/((Canals!$F$24:$F$29&lt;=$C63)*(Canals!$G$24:$G$29=_xlfn.IFS(AHT63="Handysize",Main!AKC63,AHT63="Supramax",AJV63,AHT63="Panamax",AJO63,AHT63="NeoPanamax",AJH63,AHT63="Suezmax",AJA63,AHT63="Capesize",AIT63,AHT63="VLOC",AIM63)))))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L63" s="75" t="e">
        <f t="array" aca="1" ref="AML63" ca="1">INDEX(Canals!$AJ$24:$AJ$29,MATCH(2,1/((Canals!$F$24:$F$29&lt;=$C63)*(Canals!$G$24:$G$29=_xlfn.IFS(AHT63="Handysize",Main!AKC63,AHT63="Supramax",AJV63,AHT63="Panamax",AJO63,AHT63="NeoPanamax",AJH63,AHT63="Suezmax",AJA63,AHT63="Capesize",AIT63,AHT63="VLOC",AIM63)))))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M63" s="75" t="e">
        <f t="array" aca="1" ref="AMM63" ca="1">INDEX(Canals!$AK$24:$AK$29,MATCH(2,1/((Canals!$F$24:$F$29&lt;=$C63)*(Canals!$G$24:$G$29=_xlfn.IFS(AHT63="Handysize",Main!AKC63,AHT63="Supramax",AJV63,AHT63="Panamax",AJO63,AHT63="NeoPanamax",AJH63,AHT63="Suezmax",AJA63,AHT63="Capesize",AIT63,AHT63="VLOC",AIM63)))))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N63" s="136" t="e">
        <f t="array" aca="1" ref="AMN63" ca="1">INDEX(Canals!$AL$24:$AL$29,MATCH(2,1/((Canals!$F$24:$F$29&lt;=$C63)*(Canals!$G$24:$G$29=_xlfn.IFS(AHT63="Handysize",Main!AKC63,AHT63="Supramax",AJV63,AHT63="Panamax",AJO63,AHT63="NeoPanamax",AJH63,AHT63="Suezmax",AJA63,AHT63="Capesize",AIT63,AHT63="VLOC",AIM63)))))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O63" s="136" t="e">
        <f t="array" aca="1" ref="AMO63" ca="1">INDEX(Canals!$AM$24:$AM$29,MATCH(2,1/((Canals!$F$24:$F$29&lt;=$C63)*(Canals!$G$24:$G$29=_xlfn.IFS(AHT63="Handysize",Main!AKC63,AHT63="Supramax",AJV63,AHT63="Panamax",AJO63,AHT63="NeoPanamax",AJH63,AHT63="Suezmax",AJA63,AHT63="Capesize",AIT63,AHT63="VLOC",AIM63)))))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P63" s="136" t="e">
        <f t="array" aca="1" ref="AMP63" ca="1">INDEX(Canals!$AN$24:$AN$29,MATCH(2,1/((Canals!$F$24:$F$29&lt;=$C63)*(Canals!$G$24:$G$29=_xlfn.IFS(AHT63="Handysize",Main!AKC63,AHT63="Supramax",AJV63,AHT63="Panamax",AJO63,AHT63="NeoPanamax",AJH63,AHT63="Suezmax",AJA63,AHT63="Capesize",AIT63,AHT63="VLOC",AIM63)))))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Q63" s="136" t="e">
        <f t="array" aca="1" ref="AMQ63" ca="1">INDEX(Canals!$AO$24:$AO$29,MATCH(2,1/((Canals!$F$24:$F$29&lt;=$C63)*(Canals!$G$24:$G$29=_xlfn.IFS(AHT63="Handysize",Main!AKC63,AHT63="Supramax",AJV63,AHT63="Panamax",AJO63,AHT63="NeoPanamax",AJH63,AHT63="Suezmax",AJA63,AHT63="Capesize",AIT63,AHT63="VLOC",AIM63)))))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R63" s="136" t="e">
        <f t="array" aca="1" ref="AMR63" ca="1">INDEX(Canals!$AP$24:$AP$29,MATCH(2,1/((Canals!$F$24:$F$29&lt;=$C63)*(Canals!$G$24:$G$29=_xlfn.IFS(AHT63="Handysize",Main!AKC63,AHT63="Supramax",AJV63,AHT63="Panamax",AJO63,AHT63="NeoPanamax",AJH63,AHT63="Suezmax",AJA63,AHT63="Capesize",AIT63,AHT63="VLOC",AIM63)))))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S63" s="136" t="e">
        <f t="array" aca="1" ref="AMS63" ca="1">INDEX(Canals!$AQ$24:$AQ$29,MATCH(2,1/((Canals!$F$24:$F$29&lt;=$C63)*(Canals!$G$24:$G$29=_xlfn.IFS(AHT63="Handysize",Main!AKC63,AHT63="Supramax",AJV63,AHT63="Panamax",AJO63,AHT63="NeoPanamax",AJH63,AHT63="Suezmax",AJA63,AHT63="Capesize",AIT63,AHT63="VLOC",AIM63)))))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T63" s="136" t="e">
        <f t="array" aca="1" ref="AMT63" ca="1">INDEX(Canals!$AR$24:$AR$29,MATCH(2,1/((Canals!$F$24:$F$29&lt;=$C63)*(Canals!$G$24:$G$29=_xlfn.IFS(AHT63="Handysize",Main!AKC63,AHT63="Supramax",AJV63,AHT63="Panamax",AJO63,AHT63="NeoPanamax",AJH63,AHT63="Suezmax",AJA63,AHT63="Capesize",AIT63,AHT63="VLOC",AIM63)))))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U63" s="136" t="e">
        <f t="array" aca="1" ref="AMU63" ca="1">INDEX(Canals!$AS$24:$AS$29,MATCH(2,1/((Canals!$F$24:$F$29&lt;=$C63)*(Canals!$G$24:$G$29=_xlfn.IFS(AHT63="Handysize",Main!AKC63,AHT63="Supramax",AJV63,AHT63="Panamax",AJO63,AHT63="NeoPanamax",AJH63,AHT63="Suezmax",AJA63,AHT63="Capesize",AIT63,AHT63="VLOC",AIM63)))))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V63" s="136" t="e">
        <f t="array" aca="1" ref="AMV63" ca="1">INDEX(Canals!$AT$24:$AT$29,MATCH(2,1/((Canals!$F$24:$F$29&lt;=$C63)*(Canals!$G$24:$G$29=_xlfn.IFS(AHT63="Handysize",Main!AKC63,AHT63="Supramax",AJV63,AHT63="Panamax",AJO63,AHT63="NeoPanamax",AJH63,AHT63="Suezmax",AJA63,AHT63="Capesize",AIT63,AHT63="VLOC",AIM63)))))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W63" s="136" t="e">
        <f t="array" aca="1" ref="AMW63" ca="1">INDEX(Canals!$AU$24:$AU$29,MATCH(2,1/((Canals!$F$24:$F$29&lt;=$C63)*(Canals!$G$24:$G$29=_xlfn.IFS(AHT63="Handysize",Main!AKC63,AHT63="Supramax",AJV63,AHT63="Panamax",AJO63,AHT63="NeoPanamax",AJH63,AHT63="Suezmax",AJA63,AHT63="Capesize",AIT63,AHT63="VLOC",AIM63)))))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X63" s="136" t="e">
        <f t="array" aca="1" ref="AMX63" ca="1">INDEX(Canals!$AV$24:$AV$29,MATCH(2,1/((Canals!$F$24:$F$29&lt;=$C63)*(Canals!$G$24:$G$29=_xlfn.IFS(AHT63="Handysize",Main!AKC63,AHT63="Supramax",AJV63,AHT63="Panamax",AJO63,AHT63="NeoPanamax",AJH63,AHT63="Suezmax",AJA63,AHT63="Capesize",AIT63,AHT63="VLOC",AIM63)))))</f>
        <v>#N/A</v>
      </c>
      <c r="AMZ63" s="75" t="e">
        <f t="array" aca="1" ref="AMZ63" ca="1">_xlfn.IFS(ALK63="DWT",AHR63,ALK63="NRT",AHV63,ALK63="GRT",AHW63,ALK63=0,0)</f>
        <v>#NAME?</v>
      </c>
      <c r="ANA63" s="279" t="e">
        <f t="shared" ca="1" si="561"/>
        <v>#NAME?</v>
      </c>
      <c r="ANB63" s="280" t="e">
        <f t="shared" ca="1" si="562"/>
        <v>#NAME?</v>
      </c>
      <c r="ANC63" s="280" t="e">
        <f t="shared" ca="1" si="563"/>
        <v>#NAME?</v>
      </c>
      <c r="AND63" s="280" t="e">
        <f t="shared" ca="1" si="564"/>
        <v>#NAME?</v>
      </c>
      <c r="ANE63" s="280" t="e">
        <f t="shared" ca="1" si="565"/>
        <v>#NAME?</v>
      </c>
      <c r="ANF63" s="280" t="e">
        <f t="shared" ca="1" si="566"/>
        <v>#NAME?</v>
      </c>
      <c r="ANG63" s="280" t="e">
        <f t="shared" ca="1" si="567"/>
        <v>#NAME?</v>
      </c>
      <c r="ANH63" s="280" t="e">
        <f t="shared" ca="1" si="568"/>
        <v>#NAME?</v>
      </c>
      <c r="ANI63" s="280" t="e">
        <f t="shared" ca="1" si="569"/>
        <v>#NAME?</v>
      </c>
      <c r="ANJ63" s="75">
        <f t="shared" si="570"/>
        <v>0</v>
      </c>
      <c r="ANK63" s="279" t="e">
        <f t="shared" ca="1" si="571"/>
        <v>#N/A</v>
      </c>
      <c r="ANL63" s="280" t="e">
        <f t="shared" ca="1" si="572"/>
        <v>#N/A</v>
      </c>
      <c r="ANM63" s="280" t="e">
        <f t="shared" ca="1" si="573"/>
        <v>#N/A</v>
      </c>
      <c r="ANN63" s="280" t="e">
        <f t="shared" ca="1" si="574"/>
        <v>#N/A</v>
      </c>
      <c r="ANO63" s="280" t="e">
        <f t="shared" ca="1" si="575"/>
        <v>#N/A</v>
      </c>
      <c r="ANP63" s="280" t="e">
        <f t="shared" ca="1" si="576"/>
        <v>#N/A</v>
      </c>
      <c r="ANQ63" s="280" t="e">
        <f t="shared" ca="1" si="577"/>
        <v>#N/A</v>
      </c>
      <c r="ANR63" s="280" t="e">
        <f t="shared" ca="1" si="578"/>
        <v>#N/A</v>
      </c>
      <c r="ANS63" s="280" t="e">
        <f t="shared" ca="1" si="579"/>
        <v>#N/A</v>
      </c>
      <c r="ANU63" s="75" t="e">
        <f t="array" aca="1" ref="ANU63" ca="1">_xlfn.IFS(AHT63="Handysize",Main!AJW63,AHT63="Supramax",AJP63,AHT63="Panamax",AJI63,AHT63="NeoPanamax",AJB63,AHT63="Suezmax",AIU63,AHT63="Capesize",AIN63,AHT63="VLOC",AIG63)*$JI63</f>
        <v>#NAME?</v>
      </c>
      <c r="ANV63" s="274" t="e">
        <f t="array" aca="1" ref="ANV63" ca="1">_xlfn.IFS(AHT63="Handysize",Main!AJX63,AHT63="Supramax",AJQ63,AHT63="Panamax",AJJ63,AHT63="NeoPanamax",AJC63,AHT63="Suezmax",AIV63,AHT63="Capesize",AIO63,AHT63="VLOC",AIH63)*$JI63</f>
        <v>#NAME?</v>
      </c>
      <c r="ANW63" s="71" t="e">
        <f t="array" aca="1" ref="ANW63" ca="1">_xlfn.IFS(AHT63="Handysize",Main!AHY63,AHT63="Supramax",AHZ63,AHT63="Panamax",AIA63,AHT63="NeoPanamax",AIB63,AHT63="Suezmax",AIC63,AHT63="Capesize",AID63,AHT63="VLOC",AIE63)</f>
        <v>#NAME?</v>
      </c>
      <c r="ANX63" s="71" t="e">
        <f t="array" aca="1" ref="ANX63" ca="1">_xlfn.IFS(AHT63="Handysize",Main!AKK63,AHT63="Supramax",AKL63,AHT63="Panamax",AKM63,AHT63="NeoPanamax",AKN63,AHT63="Suezmax",AKO63,AHT63="Capesize",AKP63,AHT63="VLOC",AKQ63)</f>
        <v>#NAME?</v>
      </c>
      <c r="ANY63" s="70">
        <f t="array" ref="ANY63">INDEX('Ship Speeds'!$G$11:$G$1011,MATCH(2,1/(('Ship Speeds'!$E$11:$E$1011&lt;=Main!$C63)*('Ship Speeds'!$F$11:$F$1011=Main!AHS63))))</f>
        <v>11</v>
      </c>
      <c r="ANZ63" s="403">
        <f t="shared" si="580"/>
        <v>0</v>
      </c>
      <c r="AOA63" s="401">
        <f t="shared" si="581"/>
        <v>1.2</v>
      </c>
      <c r="AOB63" s="70" t="e">
        <f t="shared" ca="1" si="582"/>
        <v>#NAME?</v>
      </c>
      <c r="AOC63" s="70" t="e">
        <f t="shared" ca="1" si="583"/>
        <v>#NAME?</v>
      </c>
      <c r="AOD63" s="70" t="e">
        <f t="shared" ca="1" si="584"/>
        <v>#NAME?</v>
      </c>
      <c r="AOE63" s="70" t="e">
        <f t="shared" ca="1" si="585"/>
        <v>#NAME?</v>
      </c>
      <c r="AOF63" s="72" t="e">
        <f t="shared" ca="1" si="586"/>
        <v>#N/A</v>
      </c>
      <c r="AOG63" s="70" t="e">
        <f t="shared" ca="1" si="587"/>
        <v>#NAME?</v>
      </c>
      <c r="AOH63" s="70" t="e">
        <f t="array" aca="1" ref="AOH63" ca="1">IF(ANU63=0,0,INDEX(AKE63:AKI63,MATCH(_xlfn.IFS(AHT63="Handysize",Main!AKA63,AHT63="Supramax",AJT63,AHT63="Panamax",AJM63,AHT63="NeoPanamax",AJF63,AHT63="Suezmax",AIY63,AHT63="Capesize",AIR63,AHT63="VLOC",AIK63),$AKE$7:$AKI$7,0)))</f>
        <v>#NAME?</v>
      </c>
      <c r="AOI63" s="70" t="e">
        <f t="array" aca="1" ref="AOI63" ca="1">IF(ANU63=0,0,INDEX(AKE63:AKI63,MATCH(_xlfn.IFS(AHT63="Handysize",Main!AKB63,AHT63="Supramax",AJU63,AHT63="Panamax",AJN63,AHT63="NeoPanamax",AJG63,AHT63="Suezmax",AIZ63,AHT63="Capesize",AIS63,AHT63="VLOC",AIL63),$AKE$7:$AKI$7,0)))</f>
        <v>#NAME?</v>
      </c>
      <c r="AOJ63" s="71" t="e">
        <f t="shared" ca="1" si="588"/>
        <v>#NAME?</v>
      </c>
      <c r="AOK63" s="71" t="e">
        <f t="shared" ca="1" si="589"/>
        <v>#NAME?</v>
      </c>
      <c r="AOL63" s="281" t="e">
        <f t="shared" ca="1" si="590"/>
        <v>#NAME?</v>
      </c>
      <c r="AOM63" s="71" t="e">
        <f t="shared" ca="1" si="591"/>
        <v>#NAME?</v>
      </c>
      <c r="AON63" s="71" t="e">
        <f t="shared" ca="1" si="592"/>
        <v>#NAME?</v>
      </c>
      <c r="AOO63" s="71" t="e">
        <f t="shared" ca="1" si="593"/>
        <v>#NAME?</v>
      </c>
      <c r="AOP63" s="71" t="e">
        <f t="shared" ca="1" si="594"/>
        <v>#NAME?</v>
      </c>
      <c r="AOQ63" s="71" t="e">
        <f t="shared" ca="1" si="595"/>
        <v>#NAME?</v>
      </c>
      <c r="AOR63" s="71" t="e">
        <f t="shared" ca="1" si="596"/>
        <v>#NAME?</v>
      </c>
      <c r="AOS63" s="71" t="e">
        <f t="shared" ca="1" si="597"/>
        <v>#NAME?</v>
      </c>
      <c r="AOT63" s="71" t="e">
        <f t="shared" ca="1" si="598"/>
        <v>#NAME?</v>
      </c>
      <c r="AOU63" s="71" t="e">
        <f t="shared" ca="1" si="599"/>
        <v>#NAME?</v>
      </c>
      <c r="AOV63" s="71" t="e">
        <f t="shared" ca="1" si="600"/>
        <v>#NAME?</v>
      </c>
      <c r="AOW63" s="71" t="e">
        <f t="shared" ca="1" si="601"/>
        <v>#NAME?</v>
      </c>
      <c r="AOX63" s="71" t="e">
        <f t="shared" ca="1" si="602"/>
        <v>#NAME?</v>
      </c>
      <c r="AOY63" s="72" t="e">
        <f t="shared" ca="1" si="603"/>
        <v>#NAME?</v>
      </c>
      <c r="AOZ63" s="72" t="e">
        <f t="shared" ca="1" si="604"/>
        <v>#NAME?</v>
      </c>
      <c r="APA63" s="71" t="e">
        <f t="shared" ca="1" si="605"/>
        <v>#NAME?</v>
      </c>
      <c r="APB63" s="71" t="e">
        <f t="array" aca="1" ref="APB63" ca="1">IF(ANU63=0,0,INDEX('Ship Time Charter Rates'!$H$22:$H$1021,MATCH(2,1/(('Ship Time Charter Rates'!$G$22:$G$1021=_xlfn.IFS(AHT63="Handysize",Main!AJY63,AHT63="Supramax",AJR63,AHT63="Panamax",AJK63,AHT63="NeoPanamax",AJD63,AHT63="Suezmax",AIW63,AHT63="Capesize",AIP63,AHT63="VLOC",AII63))*('Ship Time Charter Rates'!$E$22:$E$1021&lt;=Main!$C63)*(NOT(ISBLANK('Ship Time Charter Rates'!$H$22:$H$1021)))))))</f>
        <v>#NAME?</v>
      </c>
      <c r="APC63" s="71" t="e">
        <f t="shared" ca="1" si="606"/>
        <v>#NAME?</v>
      </c>
      <c r="APD63" s="70" t="e">
        <f t="shared" ca="1" si="607"/>
        <v>#NAME?</v>
      </c>
      <c r="APE63" s="71" t="e">
        <f t="shared" ca="1" si="608"/>
        <v>#NAME?</v>
      </c>
      <c r="APF63" s="71" t="e">
        <f t="shared" ca="1" si="609"/>
        <v>#NAME?</v>
      </c>
      <c r="APG63" s="72" t="e">
        <f t="shared" ca="1" si="610"/>
        <v>#NAME?</v>
      </c>
      <c r="API63" s="287" t="s">
        <v>39</v>
      </c>
      <c r="APK63" s="289" t="e">
        <f t="shared" ca="1" si="611"/>
        <v>#NAME?</v>
      </c>
      <c r="APL63" s="289" t="e">
        <f t="shared" ca="1" si="612"/>
        <v>#NAME?</v>
      </c>
      <c r="APM63" s="289" t="e">
        <f t="shared" ca="1" si="613"/>
        <v>#NAME?</v>
      </c>
      <c r="APO63" s="287" t="s">
        <v>39</v>
      </c>
    </row>
    <row r="66" spans="1:1107">
      <c r="A66" s="449" t="s">
        <v>464</v>
      </c>
    </row>
    <row r="67" spans="1:1107" ht="16.5" thickBot="1"/>
    <row r="68" spans="1:1107">
      <c r="A68" s="446" t="s">
        <v>467</v>
      </c>
      <c r="B68" s="447"/>
    </row>
    <row r="69" spans="1:1107" ht="16.5" thickBot="1">
      <c r="A69" s="450">
        <v>50</v>
      </c>
      <c r="B69" s="448"/>
      <c r="D69" s="183" t="s">
        <v>474</v>
      </c>
    </row>
    <row r="71" spans="1:1107">
      <c r="B71" s="445" t="e">
        <f ca="1">((FJ71+FB71*$A$69)-(CR71-CK71+BV71*CJ71))/CJ71</f>
        <v>#NAME?</v>
      </c>
      <c r="C71" s="18">
        <f t="shared" ref="C71:C78" si="674">$A$2</f>
        <v>43934</v>
      </c>
      <c r="D71" s="7" t="s">
        <v>20</v>
      </c>
      <c r="E71" s="86" t="s">
        <v>156</v>
      </c>
      <c r="F71" s="6">
        <v>43.776556813893116</v>
      </c>
      <c r="G71" s="1" t="s">
        <v>4</v>
      </c>
      <c r="H71" s="1" t="s">
        <v>5</v>
      </c>
      <c r="I71" s="15"/>
      <c r="J71" s="16">
        <f>J$80+J$81</f>
        <v>0.47</v>
      </c>
      <c r="K71" s="15"/>
      <c r="L71" s="16">
        <f>L$80+L$81</f>
        <v>0.09</v>
      </c>
      <c r="M71" s="15"/>
      <c r="N71" s="15"/>
      <c r="O71" s="16">
        <f>O$80+O$81</f>
        <v>0.15000000000000002</v>
      </c>
      <c r="P71" s="433">
        <v>77000</v>
      </c>
      <c r="Q71" s="98"/>
      <c r="R71" s="7" t="s">
        <v>95</v>
      </c>
      <c r="T71" s="287" t="s">
        <v>39</v>
      </c>
      <c r="V71" s="4"/>
      <c r="W71" s="16" t="str">
        <f t="shared" ref="W71:AC78" si="675">IF(ISBLANK($V71),"not used yet",IF($V71&lt;&gt;$E71,"error",0))</f>
        <v>not used yet</v>
      </c>
      <c r="X71" s="16" t="str">
        <f t="shared" si="675"/>
        <v>not used yet</v>
      </c>
      <c r="Y71" s="16" t="str">
        <f t="shared" si="675"/>
        <v>not used yet</v>
      </c>
      <c r="Z71" s="16" t="str">
        <f t="shared" si="675"/>
        <v>not used yet</v>
      </c>
      <c r="AA71" s="16" t="str">
        <f t="shared" si="675"/>
        <v>not used yet</v>
      </c>
      <c r="AB71" s="16" t="str">
        <f t="shared" si="675"/>
        <v>not used yet</v>
      </c>
      <c r="AC71" s="16" t="str">
        <f t="shared" si="675"/>
        <v>not used yet</v>
      </c>
      <c r="AE71" s="88" t="str">
        <f t="shared" ref="AE71:AE78" si="676">E71</f>
        <v>West Kalimantan Generic</v>
      </c>
      <c r="AF71" s="16">
        <f t="shared" ref="AF71:AF78" si="677">IF(NOT(ISBLANK(I71)),I71,IF71)</f>
        <v>0.48</v>
      </c>
      <c r="AG71" s="16">
        <f t="shared" ref="AG71:AG78" si="678">IF(NOT(ISBLANK(J71)),J71,IG71)</f>
        <v>0.47</v>
      </c>
      <c r="AH71" s="61">
        <f t="shared" ref="AH71:AH78" si="679">IF(NOT(ISBLANK(K71)),K71,IH71)</f>
        <v>0.08</v>
      </c>
      <c r="AI71" s="61">
        <f t="shared" ref="AI71:AI78" si="680">IF(NOT(ISBLANK(L71)),L71,II71)</f>
        <v>0.09</v>
      </c>
      <c r="AJ71" s="61">
        <f t="shared" ref="AJ71:AJ78" si="681">IF(NOT(ISBLANK(M71)),M71,IJ71)</f>
        <v>4.4999999999999998E-2</v>
      </c>
      <c r="AK71" s="16">
        <f t="shared" ref="AK71:AK78" si="682">IF(NOT(ISBLANK(N71)),N71,IK71)</f>
        <v>5.0000000000000001E-3</v>
      </c>
      <c r="AL71" s="16">
        <f t="shared" ref="AL71:AL78" si="683">IF(NOT(ISBLANK(O71)),O71,IL71)</f>
        <v>0.15000000000000002</v>
      </c>
      <c r="AM71" s="24" t="str">
        <f t="shared" ref="AM71:AM78" si="684">IM71</f>
        <v>LT</v>
      </c>
      <c r="AN71" s="427">
        <f t="shared" ref="AN71:AN78" si="685">IF(NOT(ISBLANK(P71)),P71*IF(H71="dmt",1,1-AL71),IO71*JN71*(1-AL71))</f>
        <v>77000</v>
      </c>
      <c r="AO71" s="127" t="str">
        <f t="array" ref="AO71">IFERROR(IF(AND(AN71&gt;'Indices Mines Exporting Ports'!$D$11,MATCH(2,1/(('Indices Mines Exporting Ports'!$B$3:$B$10&lt;=C71)*('Indices Mines Exporting Ports'!$C$3:$C$10=E71)))),"Yes","No"),"No")</f>
        <v>No</v>
      </c>
      <c r="AP71" s="126" t="str">
        <f t="array" ref="AP71">IF(AO71="Yes",INDEX('Indices Mines Exporting Ports'!$D$3:$D$10,MATCH(2,1/(('Indices Mines Exporting Ports'!$B$3:$B$10&lt;=Main!C71)*('Indices Mines Exporting Ports'!$C$3:$C$10=Main!AE71)))),IF(NOT(ISBLANK(Q71)),Q71,IP71))</f>
        <v>West_Kal_Generic_Offshore</v>
      </c>
      <c r="AQ71" s="262">
        <f t="array" ref="AQ71">IF(AO71="no",0,INDEX('Indices Mines Exporting Ports'!$E$3:$E$10,MATCH(2,1/(('Indices Mines Exporting Ports'!$B$3:$B$10&lt;=Main!$C71)*('Indices Mines Exporting Ports'!$D$3:$D$10=Main!$AP71)))))</f>
        <v>0</v>
      </c>
      <c r="AR71" s="267">
        <f t="array" ref="AR71">IF(AO71="No",0,AN71/ROUND(AN71/INDEX('Indices Mines Exporting Ports'!$F$3:$F$10,MATCH(2,1/(('Indices Mines Exporting Ports'!$B$3:$B$10&lt;=Main!C71)*('Indices Mines Exporting Ports'!$C$3:$C$10=Main!AE71)))),0))</f>
        <v>0</v>
      </c>
      <c r="AS71" s="127" t="str">
        <f t="shared" ref="AS71:AS78" si="686">IF(NOT(ISBLANK(R71)),R71,"Qingdao")</f>
        <v>Qingdao</v>
      </c>
      <c r="AT71" s="100" t="str">
        <f t="shared" ref="AT71:AT78" si="687">IQ71</f>
        <v>Indonesian LT</v>
      </c>
      <c r="AU71" s="100" t="str">
        <f t="shared" ref="AU71:AU78" si="688">IR71</f>
        <v>CBIX LT</v>
      </c>
      <c r="AV71" s="242" t="s">
        <v>4</v>
      </c>
      <c r="AW71" s="242" t="s">
        <v>5</v>
      </c>
      <c r="AX71" s="292" t="e">
        <f t="shared" ref="AX71:AX78" ca="1" si="689">IF(AND(G71="FOB",H71="dmt"),F71,IF(AND(G71="FOB",H71="wmt"),F71/(1-AL71),AZ71-AY71))</f>
        <v>#NAME?</v>
      </c>
      <c r="AY71" s="291" t="e">
        <f t="shared" ref="AY71:AY78" ca="1" si="690">APK71</f>
        <v>#NAME?</v>
      </c>
      <c r="AZ71" s="292" t="e">
        <f t="shared" ref="AZ71:AZ78" ca="1" si="691">IF(AND(G71&lt;&gt;"FOB",H71="dmt"),F71*IF(G71="CIF",1,(1+KL71))+APM71,IF(AND(G71&lt;&gt;"FOB",H71="wmt"),(F71*IF(G71="CIF",1,(1+KL71)))/(1-AL71),AX71+AY71))</f>
        <v>#NAME?</v>
      </c>
      <c r="BA71" s="102">
        <f t="shared" ref="BA71:BA78" si="692">IN71</f>
        <v>0.33</v>
      </c>
      <c r="BB71" s="12"/>
      <c r="BC71" s="306" t="s">
        <v>403</v>
      </c>
      <c r="BD71" s="407">
        <f t="shared" ref="BD71:BF78" si="693">IF($AT71=BD$7,$CV71,0)</f>
        <v>0</v>
      </c>
      <c r="BE71" s="407" t="e">
        <f t="shared" ca="1" si="693"/>
        <v>#NAME?</v>
      </c>
      <c r="BF71" s="407">
        <f t="shared" si="693"/>
        <v>0</v>
      </c>
      <c r="BG71" s="407" t="e">
        <f t="shared" ref="BG71:BG78" ca="1" si="694">IF($AU71=BG$7,$EE71,0)</f>
        <v>#NAME?</v>
      </c>
      <c r="BH71" s="407">
        <f t="shared" ref="BH71:BH78" si="695">IF($AU71=BH$7,$EE71,)</f>
        <v>0</v>
      </c>
      <c r="BI71" s="263" t="e">
        <f t="shared" ref="BI71:BI78" ca="1" si="696">GU71</f>
        <v>#NAME?</v>
      </c>
      <c r="BK71" s="287" t="s">
        <v>39</v>
      </c>
      <c r="BM71" s="291" t="e">
        <f t="shared" ref="BM71:BM78" ca="1" si="697">$AZ71</f>
        <v>#NAME?</v>
      </c>
      <c r="BN71" s="298">
        <f t="shared" ref="BN71:BN78" si="698">$AF71</f>
        <v>0.48</v>
      </c>
      <c r="BO71" s="298">
        <f t="shared" ref="BO71:BO78" si="699">$AG71</f>
        <v>0.47</v>
      </c>
      <c r="BP71" s="298">
        <f t="shared" ref="BP71:BP78" si="700">$AH71</f>
        <v>0.08</v>
      </c>
      <c r="BQ71" s="298">
        <f t="shared" ref="BQ71:BQ78" si="701">$AI71</f>
        <v>0.09</v>
      </c>
      <c r="BR71" s="298">
        <f t="shared" ref="BR71:BR78" si="702">$AJ71</f>
        <v>4.4999999999999998E-2</v>
      </c>
      <c r="BS71" s="298">
        <f t="shared" ref="BS71:BS78" si="703">$AK71</f>
        <v>5.0000000000000001E-3</v>
      </c>
      <c r="BT71" s="298">
        <f t="shared" ref="BT71:BT78" si="704">$AL71</f>
        <v>0.15000000000000002</v>
      </c>
      <c r="BU71" s="307" t="str">
        <f t="shared" ref="BU71:BU78" si="705">$AM71</f>
        <v>LT</v>
      </c>
      <c r="BV71" s="291">
        <f t="shared" ref="BV71:BV78" si="706">$BA71</f>
        <v>0.33</v>
      </c>
      <c r="BX71" s="300">
        <f t="array" ref="BX71">INDEX('Processing Factors'!$D$8:$D$29,MATCH(2,1/(('Processing Factors'!$B$8:$B$29&lt;=Main!$C71)*('Processing Factors'!$C$8:$C$29=Main!BU71))))</f>
        <v>0</v>
      </c>
      <c r="BY71" s="299">
        <f t="array" ref="BY71">INDEX('Processing Factors'!$E$8:$E$29,MATCH(2,1/(('Processing Factors'!$B$8:$B$29&lt;=Main!$C71)*('Processing Factors'!$C$8:$C$29=Main!BU71))))</f>
        <v>1</v>
      </c>
      <c r="BZ71" s="299">
        <f t="array" ref="BZ71">INDEX('Processing Factors'!$F$8:$F$29,MATCH(2,1/(('Processing Factors'!$B$8:$B$29&lt;=Main!$C71)*('Processing Factors'!$C$8:$C$29=Main!BU71))))</f>
        <v>0.9</v>
      </c>
      <c r="CA71" s="299">
        <f t="array" ref="CA71">INDEX('Processing Factors'!$G$8:$G$29,MATCH(2,1/(('Processing Factors'!$B$8:$B$29&lt;=Main!$C71)*('Processing Factors'!$C$8:$C$29=Main!BU71))))</f>
        <v>3.5999999999999997E-2</v>
      </c>
      <c r="CB71" s="299">
        <f t="array" ref="CB71">INDEX('Processing Factors'!$H$8:$H$29,MATCH(2,1/(('Processing Factors'!$B$8:$B$29&lt;=Main!$C71)*('Processing Factors'!$C$8:$C$29=Main!BU71))))</f>
        <v>12.15</v>
      </c>
      <c r="CC71" s="300">
        <f t="array" ref="CC71">INDEX('Processing Factors'!$I$8:$I$29,MATCH(2,1/(('Processing Factors'!$B$8:$B$29&lt;=Main!$C71)*('Processing Factors'!$C$8:$C$29=Main!BU71))))</f>
        <v>0</v>
      </c>
      <c r="CD71" s="300">
        <f t="array" ref="CD71">INDEX('Processing Factors'!$J$8:$J$29,MATCH(2,1/(('Processing Factors'!$B$8:$B$29&lt;=Main!$C71)*('Processing Factors'!$C$8:$C$29=Main!BU71))))</f>
        <v>0.9</v>
      </c>
      <c r="CE71" s="299">
        <f t="array" ref="CE71">INDEX('Processing Factors'!$K$8:$K$29,MATCH(2,1/(('Processing Factors'!$B$8:$B$29&lt;=Main!$C71)*('Processing Factors'!$C$8:$C$29=Main!BU71))))</f>
        <v>3.5000000000000003E-2</v>
      </c>
      <c r="CG71" s="302">
        <f t="shared" ref="CG71:CG78" si="707">(BN71-BO71-BQ71)*BX71+BO71+BQ71</f>
        <v>0.55999999999999994</v>
      </c>
      <c r="CH71" s="302">
        <f t="shared" ref="CH71:CH78" si="708">BQ71+CC71*(BP71-BQ71)</f>
        <v>0.09</v>
      </c>
      <c r="CI71" s="302">
        <f t="shared" ref="CI71:CI78" si="709">CG71-BY71*CH71</f>
        <v>0.47</v>
      </c>
      <c r="CJ71" s="299">
        <f t="shared" ref="CJ71:CJ78" si="710">1/CI71/CD71</f>
        <v>2.3640661938534278</v>
      </c>
      <c r="CK71" s="281" t="e">
        <f t="shared" ref="CK71:CK78" ca="1" si="711">(BM71+BV71)*CJ71</f>
        <v>#NAME?</v>
      </c>
      <c r="CL71" s="299">
        <f t="shared" ref="CL71:CL78" si="712">CH71*BZ71*CJ71+CE71</f>
        <v>0.22648936170212766</v>
      </c>
      <c r="CM71" s="281">
        <f t="shared" ref="CM71:CM78" si="713">CL71*$IW71</f>
        <v>54.356781737298796</v>
      </c>
      <c r="CN71" s="281">
        <f t="shared" ref="CN71:CN78" si="714">CB71*$IV71</f>
        <v>50.321396655852695</v>
      </c>
      <c r="CO71" s="281">
        <f t="shared" ref="CO71:CO78" si="715">CA71*$IX71</f>
        <v>1.2197497818850218</v>
      </c>
      <c r="CP71" s="299">
        <f t="shared" ref="CP71:CP78" si="716">(CJ71-1+CL71+$CA71)</f>
        <v>1.6265555555555555</v>
      </c>
      <c r="CQ71" s="281">
        <f t="shared" ref="CQ71:CQ78" si="717">CP71*$IY71</f>
        <v>6.8888568892804143</v>
      </c>
      <c r="CR71" s="281" t="e">
        <f t="shared" ref="CR71:CR78" ca="1" si="718">CK71+CM71+CN71+CO71+CQ71</f>
        <v>#NAME?</v>
      </c>
      <c r="CT71" s="287" t="s">
        <v>39</v>
      </c>
      <c r="CV71" s="305" t="e">
        <f t="shared" ref="CV71:CV78" ca="1" si="719">($CR71-EA71)/DS71-DE71</f>
        <v>#NAME?</v>
      </c>
      <c r="CW71" s="61">
        <f t="array" ref="CW71">INDEX('Indices Mines Exporting Ports'!E$20:E$51, MATCH(2,1/(('Indices Mines Exporting Ports'!$C$20:$C$51=$AT71)*('Indices Mines Exporting Ports'!$D$20:$D$51&lt;=$C71))))</f>
        <v>0.48</v>
      </c>
      <c r="CX71" s="61">
        <f t="array" ref="CX71">INDEX('Indices Mines Exporting Ports'!F$20:F$51, MATCH(2,1/(('Indices Mines Exporting Ports'!$C$20:$C$51=$AT71)*('Indices Mines Exporting Ports'!$D$20:$D$51&lt;=$C71))))</f>
        <v>0.44</v>
      </c>
      <c r="CY71" s="61">
        <f t="array" ref="CY71">INDEX('Indices Mines Exporting Ports'!G$20:G$51, MATCH(2,1/(('Indices Mines Exporting Ports'!$C$20:$C$51=$AT71)*('Indices Mines Exporting Ports'!$D$20:$D$51&lt;=$C71))))</f>
        <v>0.08</v>
      </c>
      <c r="CZ71" s="61">
        <f t="array" ref="CZ71">INDEX('Indices Mines Exporting Ports'!H$20:H$51, MATCH(2,1/(('Indices Mines Exporting Ports'!$C$20:$C$51=$AT71)*('Indices Mines Exporting Ports'!$D$20:$D$51&lt;=$C71))))</f>
        <v>3.5000000000000003E-2</v>
      </c>
      <c r="DA71" s="61">
        <f t="array" ref="DA71">INDEX('Indices Mines Exporting Ports'!I$20:I$51, MATCH(2,1/(('Indices Mines Exporting Ports'!$C$20:$C$51=$AT71)*('Indices Mines Exporting Ports'!$D$20:$D$51&lt;=$C71))))</f>
        <v>4.4999999999999998E-2</v>
      </c>
      <c r="DB71" s="61">
        <f t="array" ref="DB71">INDEX('Indices Mines Exporting Ports'!J$20:J$51, MATCH(2,1/(('Indices Mines Exporting Ports'!$C$20:$C$51=$AT71)*('Indices Mines Exporting Ports'!$D$20:$D$51&lt;=$C71))))</f>
        <v>5.0000000000000001E-3</v>
      </c>
      <c r="DC71" s="61">
        <f t="array" ref="DC71">INDEX('Indices Mines Exporting Ports'!K$20:K$51, MATCH(2,1/(('Indices Mines Exporting Ports'!$C$20:$C$51=$AT71)*('Indices Mines Exporting Ports'!$D$20:$D$51&lt;=$C71))))</f>
        <v>0.15</v>
      </c>
      <c r="DD71" s="103" t="str">
        <f t="array" ref="DD71">INDEX('Indices Mines Exporting Ports'!L$20:L$51, MATCH(2,1/(('Indices Mines Exporting Ports'!$C$20:$C$51=$AT71)*('Indices Mines Exporting Ports'!$D$20:$D$51&lt;=$C71))))</f>
        <v>LT</v>
      </c>
      <c r="DE71" s="243">
        <f t="array" ref="DE71">INDEX('Indices Mines Exporting Ports'!M$20:M$51, MATCH(2,1/(('Indices Mines Exporting Ports'!$C$20:$C$51=$AT71)*('Indices Mines Exporting Ports'!$D$20:$D$51&lt;=$C71))))</f>
        <v>0.33</v>
      </c>
      <c r="DG71" s="300">
        <f t="array" ref="DG71">INDEX('Processing Factors'!$D$8:$D$29,MATCH(2,1/(('Processing Factors'!$B$8:$B$29&lt;=Main!$C71)*('Processing Factors'!$C$8:$C$29=Main!DD71))))</f>
        <v>0</v>
      </c>
      <c r="DH71" s="299">
        <f t="array" ref="DH71">INDEX('Processing Factors'!$E$8:$E$29,MATCH(2,1/(('Processing Factors'!$B$8:$B$29&lt;=Main!$C71)*('Processing Factors'!$C$8:$C$29=Main!DD71))))</f>
        <v>1</v>
      </c>
      <c r="DI71" s="299">
        <f t="array" ref="DI71">INDEX('Processing Factors'!$F$8:$F$29,MATCH(2,1/(('Processing Factors'!$B$8:$B$29&lt;=Main!$C71)*('Processing Factors'!$C$8:$C$29=Main!DD71))))</f>
        <v>0.9</v>
      </c>
      <c r="DJ71" s="299">
        <f t="array" ref="DJ71">INDEX('Processing Factors'!$G$8:$G$29,MATCH(2,1/(('Processing Factors'!$B$8:$B$29&lt;=Main!$C71)*('Processing Factors'!$C$8:$C$29=Main!DD71))))</f>
        <v>3.5999999999999997E-2</v>
      </c>
      <c r="DK71" s="299">
        <f t="array" ref="DK71">INDEX('Processing Factors'!$H$8:$H$29,MATCH(2,1/(('Processing Factors'!$B$8:$B$29&lt;=Main!$C71)*('Processing Factors'!$C$8:$C$29=Main!DD71))))</f>
        <v>12.15</v>
      </c>
      <c r="DL71" s="300">
        <f t="array" ref="DL71">INDEX('Processing Factors'!$I$8:$I$29,MATCH(2,1/(('Processing Factors'!$B$8:$B$29&lt;=Main!$C71)*('Processing Factors'!$C$8:$C$29=Main!DD71))))</f>
        <v>0</v>
      </c>
      <c r="DM71" s="300">
        <f t="array" ref="DM71">INDEX('Processing Factors'!$J$8:$J$29,MATCH(2,1/(('Processing Factors'!$B$8:$B$29&lt;=Main!$C71)*('Processing Factors'!$C$8:$C$29=Main!DD71))))</f>
        <v>0.9</v>
      </c>
      <c r="DN71" s="299">
        <f t="array" ref="DN71">INDEX('Processing Factors'!$K$8:$K$29,MATCH(2,1/(('Processing Factors'!$B$8:$B$29&lt;=Main!$C71)*('Processing Factors'!$C$8:$C$29=Main!DD71))))</f>
        <v>3.5000000000000003E-2</v>
      </c>
      <c r="DP71" s="302">
        <f t="shared" ref="DP71:DP78" si="720">(CW71-CX71-CZ71)*DG71+CX71+CZ71</f>
        <v>0.47499999999999998</v>
      </c>
      <c r="DQ71" s="302">
        <f t="shared" ref="DQ71:DQ78" si="721">CZ71+DL71*(CY71-CZ71)</f>
        <v>3.5000000000000003E-2</v>
      </c>
      <c r="DR71" s="302">
        <f t="shared" ref="DR71:DR78" si="722">DP71-DH71*DQ71</f>
        <v>0.43999999999999995</v>
      </c>
      <c r="DS71" s="299">
        <f t="shared" ref="DS71:DS78" si="723">1/DR71/DM71</f>
        <v>2.5252525252525255</v>
      </c>
      <c r="DT71" s="304">
        <v>0</v>
      </c>
      <c r="DU71" s="299">
        <f t="shared" ref="DU71:DU78" si="724">DQ71*DI71*DS71+DN71</f>
        <v>0.11454545454545458</v>
      </c>
      <c r="DV71" s="281">
        <f t="shared" ref="DV71:DV78" si="725">DU71*$IW71</f>
        <v>27.490572735666216</v>
      </c>
      <c r="DW71" s="281">
        <f t="shared" ref="DW71:DW78" si="726">DK71*$IV71</f>
        <v>50.321396655852695</v>
      </c>
      <c r="DX71" s="281">
        <f t="shared" ref="DX71:DX78" si="727">DJ71*$IX71</f>
        <v>1.2197497818850218</v>
      </c>
      <c r="DY71" s="299">
        <f t="shared" ref="DY71:DY78" si="728">(DS71-1+DU71+$CA71)</f>
        <v>1.6757979797979801</v>
      </c>
      <c r="DZ71" s="281">
        <f t="shared" ref="DZ71:DZ78" si="729">DY71*$IY71</f>
        <v>7.0974104872984247</v>
      </c>
      <c r="EA71" s="281">
        <f t="shared" ref="EA71:EA78" si="730">DT71+DV71+DW71+DX71+DZ71</f>
        <v>86.129129660702361</v>
      </c>
      <c r="EC71" s="287" t="s">
        <v>39</v>
      </c>
      <c r="EE71" s="305" t="e">
        <f t="shared" ref="EE71:EE78" ca="1" si="731">($CR71-FJ71)/FB71-EN71</f>
        <v>#NAME?</v>
      </c>
      <c r="EF71" s="16">
        <f t="array" ref="EF71">INDEX('Indices Mines Exporting Ports'!E$20:E$51, MATCH(2,1/(('Indices Mines Exporting Ports'!$C$20:$C$51=$AU71)*('Indices Mines Exporting Ports'!$D$20:$D$51&lt;=$C71))))</f>
        <v>0.5</v>
      </c>
      <c r="EG71" s="16">
        <f t="array" ref="EG71">INDEX('Indices Mines Exporting Ports'!F$20:F$51, MATCH(2,1/(('Indices Mines Exporting Ports'!$C$20:$C$51=$AU71)*('Indices Mines Exporting Ports'!$D$20:$D$51&lt;=$C71))))</f>
        <v>0.45</v>
      </c>
      <c r="EH71" s="16">
        <f t="array" ref="EH71">INDEX('Indices Mines Exporting Ports'!G$20:G$51, MATCH(2,1/(('Indices Mines Exporting Ports'!$C$20:$C$51=$AU71)*('Indices Mines Exporting Ports'!$D$20:$D$51&lt;=$C71))))</f>
        <v>0.05</v>
      </c>
      <c r="EI71" s="16">
        <f t="array" ref="EI71">INDEX('Indices Mines Exporting Ports'!H$20:H$51, MATCH(2,1/(('Indices Mines Exporting Ports'!$C$20:$C$51=$AU71)*('Indices Mines Exporting Ports'!$D$20:$D$51&lt;=$C71))))</f>
        <v>0.05</v>
      </c>
      <c r="EJ71" s="16">
        <f t="array" ref="EJ71">INDEX('Indices Mines Exporting Ports'!I$20:I$51, MATCH(2,1/(('Indices Mines Exporting Ports'!$C$20:$C$51=$AU71)*('Indices Mines Exporting Ports'!$D$20:$D$51&lt;=$C71))))</f>
        <v>0</v>
      </c>
      <c r="EK71" s="16">
        <f t="array" ref="EK71">INDEX('Indices Mines Exporting Ports'!J$20:J$51, MATCH(2,1/(('Indices Mines Exporting Ports'!$C$20:$C$51=$AU71)*('Indices Mines Exporting Ports'!$D$20:$D$51&lt;=$C71))))</f>
        <v>0</v>
      </c>
      <c r="EL71" s="16">
        <f t="array" ref="EL71">INDEX('Indices Mines Exporting Ports'!K$20:K$51, MATCH(2,1/(('Indices Mines Exporting Ports'!$C$20:$C$51=$AU71)*('Indices Mines Exporting Ports'!$D$20:$D$51&lt;=$C71))))</f>
        <v>0.1</v>
      </c>
      <c r="EM71" s="103" t="str">
        <f t="array" ref="EM71">INDEX('Indices Mines Exporting Ports'!L$20:L$51, MATCH(2,1/(('Indices Mines Exporting Ports'!$C$20:$C$51=$AU71)*('Indices Mines Exporting Ports'!$D$20:$D$51&lt;=$C71))))</f>
        <v>LT</v>
      </c>
      <c r="EN71" s="243">
        <f t="array" ref="EN71">INDEX('Indices Mines Exporting Ports'!M$20:M$51, MATCH(2,1/(('Indices Mines Exporting Ports'!$C$20:$C$51=$AU71)*('Indices Mines Exporting Ports'!$D$20:$D$51&lt;=$C71))))</f>
        <v>0</v>
      </c>
      <c r="EP71" s="300">
        <f t="array" ref="EP71">INDEX('Processing Factors'!$D$8:$D$29,MATCH(2,1/(('Processing Factors'!$B$8:$B$29&lt;=Main!$C71)*('Processing Factors'!$C$8:$C$29=Main!EM71))))</f>
        <v>0</v>
      </c>
      <c r="EQ71" s="299">
        <f t="array" ref="EQ71">INDEX('Processing Factors'!$E$8:$E$29,MATCH(2,1/(('Processing Factors'!$B$8:$B$29&lt;=Main!$C71)*('Processing Factors'!$C$8:$C$29=Main!EM71))))</f>
        <v>1</v>
      </c>
      <c r="ER71" s="299">
        <f t="array" ref="ER71">INDEX('Processing Factors'!$F$8:$F$29,MATCH(2,1/(('Processing Factors'!$B$8:$B$29&lt;=Main!$C71)*('Processing Factors'!$C$8:$C$29=Main!EM71))))</f>
        <v>0.9</v>
      </c>
      <c r="ES71" s="299">
        <f t="array" ref="ES71">INDEX('Processing Factors'!$G$8:$G$29,MATCH(2,1/(('Processing Factors'!$B$8:$B$29&lt;=Main!$C71)*('Processing Factors'!$C$8:$C$29=Main!EM71))))</f>
        <v>3.5999999999999997E-2</v>
      </c>
      <c r="ET71" s="299">
        <f t="array" ref="ET71">INDEX('Processing Factors'!$H$8:$H$29,MATCH(2,1/(('Processing Factors'!$B$8:$B$29&lt;=Main!$C71)*('Processing Factors'!$C$8:$C$29=Main!EM71))))</f>
        <v>12.15</v>
      </c>
      <c r="EU71" s="300">
        <f t="array" ref="EU71">INDEX('Processing Factors'!$I$8:$I$29,MATCH(2,1/(('Processing Factors'!$B$8:$B$29&lt;=Main!$C71)*('Processing Factors'!$C$8:$C$29=Main!EM71))))</f>
        <v>0</v>
      </c>
      <c r="EV71" s="300">
        <f t="array" ref="EV71">INDEX('Processing Factors'!$J$8:$J$29,MATCH(2,1/(('Processing Factors'!$B$8:$B$29&lt;=Main!$C71)*('Processing Factors'!$C$8:$C$29=Main!EM71))))</f>
        <v>0.9</v>
      </c>
      <c r="EW71" s="299">
        <f t="array" ref="EW71">INDEX('Processing Factors'!$K$8:$K$29,MATCH(2,1/(('Processing Factors'!$B$8:$B$29&lt;=Main!$C71)*('Processing Factors'!$C$8:$C$29=Main!EM71))))</f>
        <v>3.5000000000000003E-2</v>
      </c>
      <c r="EY71" s="302">
        <f t="shared" ref="EY71:EY78" si="732">(EF71-EG71-EI71)*EP71+EG71+EI71</f>
        <v>0.5</v>
      </c>
      <c r="EZ71" s="302">
        <f t="shared" ref="EZ71:EZ78" si="733">EI71+EU71*(EH71-EI71)</f>
        <v>0.05</v>
      </c>
      <c r="FA71" s="302">
        <f t="shared" ref="FA71:FA78" si="734">EY71-EQ71*EZ71</f>
        <v>0.45</v>
      </c>
      <c r="FB71" s="299">
        <f t="shared" ref="FB71:FB78" si="735">1/FA71/EV71</f>
        <v>2.4691358024691357</v>
      </c>
      <c r="FC71" s="304">
        <v>0</v>
      </c>
      <c r="FD71" s="299">
        <f t="shared" ref="FD71:FD78" si="736">EZ71*ER71*FB71+EW71</f>
        <v>0.14611111111111114</v>
      </c>
      <c r="FE71" s="281">
        <f t="shared" ref="FE71:FE78" si="737">FD71*$IW71</f>
        <v>35.06623762093578</v>
      </c>
      <c r="FF71" s="281">
        <f t="shared" ref="FF71:FF78" si="738">ET71*$IV71</f>
        <v>50.321396655852695</v>
      </c>
      <c r="FG71" s="281">
        <f t="shared" ref="FG71:FG78" si="739">ES71*$IX71</f>
        <v>1.2197497818850218</v>
      </c>
      <c r="FH71" s="299">
        <f t="shared" ref="FH71:FH78" si="740">(FB71-1+FD71+$CA71)</f>
        <v>1.6512469135802468</v>
      </c>
      <c r="FI71" s="281">
        <f t="shared" ref="FI71:FI78" si="741">FH71*$IY71</f>
        <v>6.9934307731868799</v>
      </c>
      <c r="FJ71" s="281">
        <f t="shared" ref="FJ71:FJ78" si="742">FC71+FE71+FF71+FG71+FI71</f>
        <v>93.60081483186039</v>
      </c>
      <c r="FL71" s="287" t="s">
        <v>39</v>
      </c>
      <c r="FN71" s="315" t="e">
        <f t="shared" ref="FN71:FN78" ca="1" si="743">$AZ71</f>
        <v>#NAME?</v>
      </c>
      <c r="FO71" s="316">
        <f t="shared" ref="FO71:FO78" si="744">$AF71</f>
        <v>0.48</v>
      </c>
      <c r="FP71" s="316">
        <f t="shared" ref="FP71:FP78" si="745">$AG71</f>
        <v>0.47</v>
      </c>
      <c r="FQ71" s="316">
        <f t="shared" ref="FQ71:FQ78" si="746">$AH71</f>
        <v>0.08</v>
      </c>
      <c r="FR71" s="316">
        <f t="shared" ref="FR71:FR78" si="747">$AI71</f>
        <v>0.09</v>
      </c>
      <c r="FS71" s="316">
        <f t="shared" ref="FS71:FS78" si="748">$AJ71</f>
        <v>4.4999999999999998E-2</v>
      </c>
      <c r="FT71" s="316">
        <f t="shared" ref="FT71:FT78" si="749">$AK71</f>
        <v>5.0000000000000001E-3</v>
      </c>
      <c r="FU71" s="316">
        <f t="shared" ref="FU71:FU78" si="750">$AL71</f>
        <v>0.15000000000000002</v>
      </c>
      <c r="FV71" s="317" t="str">
        <f t="shared" ref="FV71:FV78" si="751">$AM71</f>
        <v>LT</v>
      </c>
      <c r="FW71" s="318">
        <v>0</v>
      </c>
      <c r="FX71" s="237"/>
      <c r="FY71" s="319">
        <f t="array" ref="FY71">INDEX('Processing Factors'!$D$8:$D$29,MATCH(2,1/(('Processing Factors'!$B$8:$B$29&lt;=Main!$C71)*('Processing Factors'!$C$8:$C$29=Main!FV71))))</f>
        <v>0</v>
      </c>
      <c r="FZ71" s="320">
        <f t="array" ref="FZ71">INDEX('Processing Factors'!$E$8:$E$29,MATCH(2,1/(('Processing Factors'!$B$8:$B$29&lt;=Main!$C71)*('Processing Factors'!$C$8:$C$29=Main!FV71))))</f>
        <v>1</v>
      </c>
      <c r="GA71" s="320">
        <f t="array" ref="GA71">INDEX('Processing Factors'!$F$8:$F$29,MATCH(2,1/(('Processing Factors'!$B$8:$B$29&lt;=Main!$C71)*('Processing Factors'!$C$8:$C$29=Main!FV71))))</f>
        <v>0.9</v>
      </c>
      <c r="GB71" s="320">
        <f t="array" ref="GB71">INDEX('Processing Factors'!$G$8:$G$29,MATCH(2,1/(('Processing Factors'!$B$8:$B$29&lt;=Main!$C71)*('Processing Factors'!$C$8:$C$29=Main!FV71))))</f>
        <v>3.5999999999999997E-2</v>
      </c>
      <c r="GC71" s="320">
        <f t="array" ref="GC71">INDEX('Processing Factors'!$H$8:$H$29,MATCH(2,1/(('Processing Factors'!$B$8:$B$29&lt;=Main!$C71)*('Processing Factors'!$C$8:$C$29=Main!FV71))))</f>
        <v>12.15</v>
      </c>
      <c r="GD71" s="319">
        <f t="array" ref="GD71">INDEX('Processing Factors'!$I$8:$I$29,MATCH(2,1/(('Processing Factors'!$B$8:$B$29&lt;=Main!$C71)*('Processing Factors'!$C$8:$C$29=Main!FV71))))</f>
        <v>0</v>
      </c>
      <c r="GE71" s="321">
        <v>0.92</v>
      </c>
      <c r="GF71" s="320">
        <f t="array" ref="GF71">INDEX('Processing Factors'!$K$8:$K$29,MATCH(2,1/(('Processing Factors'!$B$8:$B$29&lt;=Main!$C71)*('Processing Factors'!$C$8:$C$29=Main!FV71))))</f>
        <v>3.5000000000000003E-2</v>
      </c>
      <c r="GG71" s="237"/>
      <c r="GH71" s="322">
        <f t="shared" ref="GH71:GH78" si="752">(FO71-FP71-FR71)*FY71+FP71+FR71</f>
        <v>0.55999999999999994</v>
      </c>
      <c r="GI71" s="322">
        <f t="shared" ref="GI71:GI78" si="753">FR71+GD71*(FQ71-FR71)</f>
        <v>0.09</v>
      </c>
      <c r="GJ71" s="322">
        <f t="shared" ref="GJ71:GJ78" si="754">GH71-FZ71*GI71</f>
        <v>0.47</v>
      </c>
      <c r="GK71" s="320">
        <f t="shared" ref="GK71:GK78" si="755">1/GJ71/GE71</f>
        <v>2.3126734505087878</v>
      </c>
      <c r="GL71" s="323" t="e">
        <f t="shared" ref="GL71:GL78" ca="1" si="756">(FN71+FW71)*GK71</f>
        <v>#NAME?</v>
      </c>
      <c r="GM71" s="320">
        <f t="shared" ref="GM71:GM78" si="757">GI71*GA71*GK71+GF71</f>
        <v>0.22232654949121183</v>
      </c>
      <c r="GN71" s="323">
        <f t="shared" ref="GN71:GN78" si="758">GM71*$IW71</f>
        <v>53.357719030505059</v>
      </c>
      <c r="GO71" s="323">
        <f t="shared" ref="GO71:GO78" si="759">GC71*$IV71</f>
        <v>50.321396655852695</v>
      </c>
      <c r="GP71" s="323">
        <f t="shared" ref="GP71:GP78" si="760">GB71*$IX71</f>
        <v>1.2197497818850218</v>
      </c>
      <c r="GQ71" s="320">
        <f t="shared" ref="GQ71:GQ78" si="761">(GK71-1+GM71+$CA71)</f>
        <v>1.5709999999999997</v>
      </c>
      <c r="GR71" s="323">
        <f t="shared" ref="GR71:GR78" si="762">GQ71*$IY71</f>
        <v>6.6535656504908642</v>
      </c>
      <c r="GS71" s="323" t="e">
        <f t="shared" ref="GS71:GS78" ca="1" si="763">GL71+GN71+GO71+GP71+GR71</f>
        <v>#NAME?</v>
      </c>
      <c r="GT71" s="237"/>
      <c r="GU71" s="324" t="e">
        <f t="shared" ref="GU71:GU78" ca="1" si="764">($GS71-HZ71)/HR71-HD71</f>
        <v>#NAME?</v>
      </c>
      <c r="GV71" s="325">
        <f t="array" ref="GV71">INDEX('Indices Mines Exporting Ports'!E$20:E$51, MATCH(2,1/(('Indices Mines Exporting Ports'!$C$20:$C$51=$BC71)*('Indices Mines Exporting Ports'!$D$20:$D$51&lt;=$C71))))</f>
        <v>0.5</v>
      </c>
      <c r="GW71" s="325">
        <f t="array" ref="GW71">INDEX('Indices Mines Exporting Ports'!F$20:F$51, MATCH(2,1/(('Indices Mines Exporting Ports'!$C$20:$C$51=$BC71)*('Indices Mines Exporting Ports'!$D$20:$D$51&lt;=$C71))))</f>
        <v>0.45</v>
      </c>
      <c r="GX71" s="325">
        <f t="array" ref="GX71">INDEX('Indices Mines Exporting Ports'!G$20:G$51, MATCH(2,1/(('Indices Mines Exporting Ports'!$C$20:$C$51=$BC71)*('Indices Mines Exporting Ports'!$D$20:$D$51&lt;=$C71))))</f>
        <v>0.05</v>
      </c>
      <c r="GY71" s="325">
        <f t="array" ref="GY71">INDEX('Indices Mines Exporting Ports'!H$20:H$51, MATCH(2,1/(('Indices Mines Exporting Ports'!$C$20:$C$51=$BC71)*('Indices Mines Exporting Ports'!$D$20:$D$51&lt;=$C71))))</f>
        <v>0.05</v>
      </c>
      <c r="GZ71" s="325">
        <f t="array" ref="GZ71">INDEX('Indices Mines Exporting Ports'!I$20:I$51, MATCH(2,1/(('Indices Mines Exporting Ports'!$C$20:$C$51=$BC71)*('Indices Mines Exporting Ports'!$D$20:$D$51&lt;=$C71))))</f>
        <v>0</v>
      </c>
      <c r="HA71" s="325">
        <f t="array" ref="HA71">INDEX('Indices Mines Exporting Ports'!J$20:J$51, MATCH(2,1/(('Indices Mines Exporting Ports'!$C$20:$C$51=$BC71)*('Indices Mines Exporting Ports'!$D$20:$D$51&lt;=$C71))))</f>
        <v>0</v>
      </c>
      <c r="HB71" s="325">
        <f t="array" ref="HB71">INDEX('Indices Mines Exporting Ports'!K$20:K$51, MATCH(2,1/(('Indices Mines Exporting Ports'!$C$20:$C$51=$BC71)*('Indices Mines Exporting Ports'!$D$20:$D$51&lt;=$C71))))</f>
        <v>0.1</v>
      </c>
      <c r="HC71" s="326" t="str">
        <f t="array" ref="HC71">INDEX('Indices Mines Exporting Ports'!L$20:L$51, MATCH(2,1/(('Indices Mines Exporting Ports'!$C$20:$C$51=$BC71)*('Indices Mines Exporting Ports'!$D$20:$D$51&lt;=$C71))))</f>
        <v>LT</v>
      </c>
      <c r="HD71" s="262">
        <f t="array" ref="HD71">INDEX('Indices Mines Exporting Ports'!M$20:M$51, MATCH(2,1/(('Indices Mines Exporting Ports'!$C$20:$C$51=$BC71)*('Indices Mines Exporting Ports'!$D$20:$D$51&lt;=$C71))))</f>
        <v>0</v>
      </c>
      <c r="HE71" s="237"/>
      <c r="HF71" s="319">
        <f t="array" ref="HF71">INDEX('Processing Factors'!$D$8:$D$29,MATCH(2,1/(('Processing Factors'!$B$8:$B$29&lt;=Main!$C71)*('Processing Factors'!$C$8:$C$29=Main!HC71))))</f>
        <v>0</v>
      </c>
      <c r="HG71" s="320">
        <f t="array" ref="HG71">INDEX('Processing Factors'!$E$8:$E$29,MATCH(2,1/(('Processing Factors'!$B$8:$B$29&lt;=Main!$C71)*('Processing Factors'!$C$8:$C$29=Main!HC71))))</f>
        <v>1</v>
      </c>
      <c r="HH71" s="320">
        <f t="array" ref="HH71">INDEX('Processing Factors'!$F$8:$F$29,MATCH(2,1/(('Processing Factors'!$B$8:$B$29&lt;=Main!$C71)*('Processing Factors'!$C$8:$C$29=Main!HC71))))</f>
        <v>0.9</v>
      </c>
      <c r="HI71" s="320">
        <f t="array" ref="HI71">INDEX('Processing Factors'!$G$8:$G$29,MATCH(2,1/(('Processing Factors'!$B$8:$B$29&lt;=Main!$C71)*('Processing Factors'!$C$8:$C$29=Main!HC71))))</f>
        <v>3.5999999999999997E-2</v>
      </c>
      <c r="HJ71" s="320">
        <f t="array" ref="HJ71">INDEX('Processing Factors'!$H$8:$H$29,MATCH(2,1/(('Processing Factors'!$B$8:$B$29&lt;=Main!$C71)*('Processing Factors'!$C$8:$C$29=Main!HC71))))</f>
        <v>12.15</v>
      </c>
      <c r="HK71" s="319">
        <f t="array" ref="HK71">INDEX('Processing Factors'!$I$8:$I$29,MATCH(2,1/(('Processing Factors'!$B$8:$B$29&lt;=Main!$C71)*('Processing Factors'!$C$8:$C$29=Main!HC71))))</f>
        <v>0</v>
      </c>
      <c r="HL71" s="321">
        <v>0.92</v>
      </c>
      <c r="HM71" s="320">
        <f t="array" ref="HM71">INDEX('Processing Factors'!$K$8:$K$29,MATCH(2,1/(('Processing Factors'!$B$8:$B$29&lt;=Main!$C71)*('Processing Factors'!$C$8:$C$29=Main!HC71))))</f>
        <v>3.5000000000000003E-2</v>
      </c>
      <c r="HN71" s="237"/>
      <c r="HO71" s="322">
        <f t="shared" ref="HO71:HO78" si="765">(GV71-GW71-GY71)*HF71+GW71+GY71</f>
        <v>0.5</v>
      </c>
      <c r="HP71" s="322">
        <f t="shared" ref="HP71:HP78" si="766">GY71+HK71*(GX71-GY71)</f>
        <v>0.05</v>
      </c>
      <c r="HQ71" s="322">
        <f t="shared" ref="HQ71:HQ78" si="767">HO71-HG71*HP71</f>
        <v>0.45</v>
      </c>
      <c r="HR71" s="320">
        <f t="shared" ref="HR71:HR78" si="768">1/HQ71/HL71</f>
        <v>2.4154589371980677</v>
      </c>
      <c r="HS71" s="263">
        <v>0</v>
      </c>
      <c r="HT71" s="320">
        <f t="shared" ref="HT71:HT78" si="769">HP71*HH71*HR71+HM71</f>
        <v>0.14369565217391306</v>
      </c>
      <c r="HU71" s="323">
        <f t="shared" ref="HU71:HU78" si="770">HT71*$IW71</f>
        <v>34.486534568845585</v>
      </c>
      <c r="HV71" s="323">
        <f t="shared" ref="HV71:HV78" si="771">HJ71*$IV71</f>
        <v>50.321396655852695</v>
      </c>
      <c r="HW71" s="323">
        <f t="shared" ref="HW71:HW78" si="772">HI71*$IX71</f>
        <v>1.2197497818850218</v>
      </c>
      <c r="HX71" s="320">
        <f t="shared" ref="HX71:HX78" si="773">(HR71-1+HT71+$CA71)</f>
        <v>1.5951545893719807</v>
      </c>
      <c r="HY71" s="323">
        <f t="shared" ref="HY71:HY78" si="774">HX71*$IY71</f>
        <v>6.755866189095018</v>
      </c>
      <c r="HZ71" s="323">
        <f t="shared" ref="HZ71:HZ78" si="775">HS71+HU71+HV71+HW71+HY71</f>
        <v>92.783547195678324</v>
      </c>
      <c r="IB71" s="287" t="s">
        <v>39</v>
      </c>
      <c r="ID71" s="89" t="str">
        <f t="shared" ref="ID71:ID78" si="776">AE71</f>
        <v>West Kalimantan Generic</v>
      </c>
      <c r="IE71" s="18">
        <f t="shared" ref="IE71:IE78" si="777">$C71</f>
        <v>43934</v>
      </c>
      <c r="IF71" s="94">
        <f t="array" ref="IF71">INDEX('Indices Mines Exporting Ports'!E$20:E$51, MATCH(2,1/(('Indices Mines Exporting Ports'!$C$20:$C$51=$ID71)*('Indices Mines Exporting Ports'!$D$20:$D$51&lt;=$IE71))))</f>
        <v>0.48</v>
      </c>
      <c r="IG71" s="94">
        <f t="array" ref="IG71">INDEX('Indices Mines Exporting Ports'!F$20:F$51, MATCH(2,1/(('Indices Mines Exporting Ports'!$C$20:$C$51=$ID71)*('Indices Mines Exporting Ports'!$D$20:$D$51&lt;=$IE71))))</f>
        <v>0.44</v>
      </c>
      <c r="IH71" s="95">
        <f t="array" ref="IH71">INDEX('Indices Mines Exporting Ports'!G$20:G$51, MATCH(2,1/(('Indices Mines Exporting Ports'!$C$20:$C$51=$ID71)*('Indices Mines Exporting Ports'!$D$20:$D$51&lt;=$IE71))))</f>
        <v>0.08</v>
      </c>
      <c r="II71" s="95">
        <f t="array" ref="II71">INDEX('Indices Mines Exporting Ports'!H$20:H$51, MATCH(2,1/(('Indices Mines Exporting Ports'!$C$20:$C$51=$ID71)*('Indices Mines Exporting Ports'!$D$20:$D$51&lt;=$IE71))))</f>
        <v>3.5000000000000003E-2</v>
      </c>
      <c r="IJ71" s="95">
        <f t="array" ref="IJ71">INDEX('Indices Mines Exporting Ports'!I$20:I$51, MATCH(2,1/(('Indices Mines Exporting Ports'!$C$20:$C$51=$ID71)*('Indices Mines Exporting Ports'!$D$20:$D$51&lt;=$IE71))))</f>
        <v>4.4999999999999998E-2</v>
      </c>
      <c r="IK71" s="94">
        <f t="array" ref="IK71">INDEX('Indices Mines Exporting Ports'!J$20:J$51, MATCH(2,1/(('Indices Mines Exporting Ports'!$C$20:$C$51=$ID71)*('Indices Mines Exporting Ports'!$D$20:$D$51&lt;=$IE71))))</f>
        <v>5.0000000000000001E-3</v>
      </c>
      <c r="IL71" s="94">
        <f t="array" ref="IL71">INDEX('Indices Mines Exporting Ports'!K$20:K$51, MATCH(2,1/(('Indices Mines Exporting Ports'!$C$20:$C$51=$ID71)*('Indices Mines Exporting Ports'!$D$20:$D$51&lt;=$IE71))))</f>
        <v>0.15</v>
      </c>
      <c r="IM71" s="93" t="str">
        <f t="array" ref="IM71">INDEX('Indices Mines Exporting Ports'!L$20:L$51, MATCH(2,1/(('Indices Mines Exporting Ports'!$C$20:$C$51=$ID71)*('Indices Mines Exporting Ports'!$D$20:$D$51&lt;=$IE71))))</f>
        <v>LT</v>
      </c>
      <c r="IN71" s="101">
        <f t="array" ref="IN71">INDEX('Indices Mines Exporting Ports'!M$20:M$51, MATCH(2,1/(('Indices Mines Exporting Ports'!$C$20:$C$51=$ID71)*('Indices Mines Exporting Ports'!$D$20:$D$51&lt;=$IE71))))</f>
        <v>0.33</v>
      </c>
      <c r="IO71" s="96">
        <f t="array" ref="IO71">INDEX('Indices Mines Exporting Ports'!N$20:N$51, MATCH(2,1/(('Indices Mines Exporting Ports'!$C$20:$C$51=$ID71)*('Indices Mines Exporting Ports'!$D$20:$D$51&lt;=$IE71))))</f>
        <v>57000</v>
      </c>
      <c r="IP71" s="95" t="str">
        <f t="array" ref="IP71">INDEX('Indices Mines Exporting Ports'!Q$20:Q$51, MATCH(2,1/(('Indices Mines Exporting Ports'!$C$20:$C$51=$ID71)*('Indices Mines Exporting Ports'!$D$20:$D$51&lt;=$IE71))))</f>
        <v>West_Kal_Generic_Offshore</v>
      </c>
      <c r="IQ71" s="95" t="str">
        <f t="array" ref="IQ71">INDEX('Indices Mines Exporting Ports'!O$20:O$51, MATCH(2,1/(('Indices Mines Exporting Ports'!$C$20:$C$51=$ID71)*('Indices Mines Exporting Ports'!$D$20:$D$51&lt;=$IE71))))</f>
        <v>Indonesian LT</v>
      </c>
      <c r="IR71" s="95" t="str">
        <f t="array" ref="IR71">INDEX('Indices Mines Exporting Ports'!P$20:P$51, MATCH(2,1/(('Indices Mines Exporting Ports'!$C$20:$C$51=$ID71)*('Indices Mines Exporting Ports'!$D$20:$D$51&lt;=$IE71))))</f>
        <v>CBIX LT</v>
      </c>
      <c r="IT71" s="287" t="s">
        <v>39</v>
      </c>
      <c r="IV71" s="292">
        <f>VLOOKUP($C71,'China Price Series'!$C$10:$D$1009,2,TRUE)/$JA71/(VLOOKUP($C71,'China Price Series'!$C$10:$E$1009,3,TRUE)*$JG71/$JF71)</f>
        <v>4.1416787371072177</v>
      </c>
      <c r="IW71" s="292">
        <f>VLOOKUP($C71,'China Price Series'!$G$10:$H$1009,2,TRUE)/$JA71/(VLOOKUP($C71,'China Price Series'!$G$10:$I$1009,3,TRUE))</f>
        <v>239.99706356533991</v>
      </c>
      <c r="IX71" s="292">
        <f>VLOOKUP($C71,'China Price Series'!$K$10:$L$1009,2,TRUE)/$JA71</f>
        <v>33.881938385695051</v>
      </c>
      <c r="IY71" s="292">
        <f>VLOOKUP($C71,'China Price Series'!$N$10:$O$1009,2,TRUE)/$JA71</f>
        <v>4.2352422982118814</v>
      </c>
      <c r="JA71" s="277">
        <f t="array" ref="JA71">INDEX('FX rates'!E$10:E$1009,MATCH(2,1/(('FX rates'!$D$10:$D$1009&lt;=Main!$C71)*(NOT(ISBLANK('FX rates'!E$10:E$1009))))))</f>
        <v>7.0834199999999994</v>
      </c>
      <c r="JB71" s="277">
        <f t="array" ref="JB71">INDEX('FX rates'!F$10:F$1009,MATCH(2,1/(('FX rates'!$D$10:$D$1009&lt;=Main!$C71)*(NOT(ISBLANK('FX rates'!F$10:F$1009))))))</f>
        <v>0.61160022139928016</v>
      </c>
      <c r="JC71" s="277">
        <f t="array" ref="JC71">INDEX('FX rates'!G$10:G$1009,MATCH(2,1/(('FX rates'!$D$10:$D$1009&lt;=Main!$C71)*(NOT(ISBLANK('FX rates'!G$10:G$1009))))))</f>
        <v>1</v>
      </c>
      <c r="JD71" s="277">
        <f t="array" ref="JD71">INDEX('FX rates'!H$10:H$1009,MATCH(2,1/(('FX rates'!$D$10:$D$1009&lt;=Main!$C71)*(NOT(ISBLANK('FX rates'!H$10:H$1009))))))</f>
        <v>1.35</v>
      </c>
      <c r="JF71" s="111">
        <f t="array" ref="JF71">INDEX('Global factors'!C$5:C$23,MATCH(2,1/(('Global factors'!$B$5:$B$23&lt;=Main!$C71)*(NOT(ISBLANK('Global factors'!C$5:C$23))))))</f>
        <v>239000</v>
      </c>
      <c r="JG71" s="112">
        <f t="array" ref="JG71">INDEX('Global factors'!D$5:D$23,MATCH(2,1/(('Global factors'!$B$5:$B$23&lt;=Main!$C71)*(NOT(ISBLANK('Global factors'!D$5:D$23))))))</f>
        <v>1000</v>
      </c>
      <c r="JH71" s="112">
        <f t="array" ref="JH71">INDEX('Global factors'!E$5:E$23,MATCH(2,1/(('Global factors'!$B$5:$B$23&lt;=Main!$C71)*(NOT(ISBLANK('Global factors'!E$5:E$23))))))</f>
        <v>24</v>
      </c>
      <c r="JI71" s="112">
        <f t="array" ref="JI71">INDEX('Global factors'!F$5:F$23,MATCH(2,1/(('Global factors'!$B$5:$B$23&lt;=Main!$C71)*(NOT(ISBLANK('Global factors'!F$5:F$23))))))</f>
        <v>2</v>
      </c>
      <c r="JJ71" s="117">
        <f t="array" ref="JJ71">INDEX('Global factors'!G$5:G$23,MATCH(2,1/(('Global factors'!$B$5:$B$23&lt;=Main!$C71)*(NOT(ISBLANK('Global factors'!G$5:G$23))))))</f>
        <v>0.08</v>
      </c>
      <c r="JK71" s="113">
        <f t="array" ref="JK71">INDEX('Global factors'!H$5:H$23,MATCH(2,1/(('Global factors'!$B$5:$B$23&lt;=Main!$C71)*(NOT(ISBLANK('Global factors'!H$5:H$23))))))</f>
        <v>101.96</v>
      </c>
      <c r="JL71" s="113">
        <f t="array" ref="JL71">INDEX('Global factors'!I$5:I$23,MATCH(2,1/(('Global factors'!$B$5:$B$23&lt;=Main!$C71)*(NOT(ISBLANK('Global factors'!I$5:I$23))))))</f>
        <v>60.08</v>
      </c>
      <c r="JM71" s="114">
        <f t="array" ref="JM71">INDEX('Global factors'!J$5:J$23,MATCH(2,1/(('Global factors'!$B$5:$B$23&lt;=Main!$C71)*(NOT(ISBLANK('Global factors'!J$5:J$23))))))</f>
        <v>0.84853528628495334</v>
      </c>
      <c r="JN71" s="115">
        <f t="array" ref="JN71">INDEX('Global factors'!K$5:K$23,MATCH(2,1/(('Global factors'!$B$5:$B$23&lt;=Main!$C71)*(NOT(ISBLANK('Global factors'!K$5:K$23))))))</f>
        <v>0.97499999999999998</v>
      </c>
      <c r="JO71" s="116">
        <f t="array" ref="JO71">INDEX('Global factors'!L$5:L$23,MATCH(2,1/(('Global factors'!$B$5:$B$23&lt;=Main!$C71)*(NOT(ISBLANK('Global factors'!L$5:L$23))))))</f>
        <v>8.7299999999999997E-4</v>
      </c>
      <c r="JP71" s="116">
        <f t="array" ref="JP71">INDEX('Global factors'!M$5:M$23,MATCH(2,1/(('Global factors'!$B$5:$B$23&lt;=Main!$C71)*(NOT(ISBLANK('Global factors'!M$5:M$23))))))</f>
        <v>145.88999999999999</v>
      </c>
      <c r="JQ71" s="116">
        <f t="array" ref="JQ71">INDEX('Global factors'!N$5:N$23,MATCH(2,1/(('Global factors'!$B$5:$B$23&lt;=Main!$C71)*(NOT(ISBLANK('Global factors'!N$5:N$23))))))</f>
        <v>0.40339999999999998</v>
      </c>
      <c r="JR71" s="116">
        <f t="array" ref="JR71">INDEX('Global factors'!O$5:O$23,MATCH(2,1/(('Global factors'!$B$5:$B$23&lt;=Main!$C71)*(NOT(ISBLANK('Global factors'!O$5:O$23))))))</f>
        <v>0</v>
      </c>
      <c r="JS71" s="116">
        <f t="array" ref="JS71">INDEX('Global factors'!P$5:P$23,MATCH(2,1/(('Global factors'!$B$5:$B$23&lt;=Main!$C71)*(NOT(ISBLANK('Global factors'!P$5:P$23))))))</f>
        <v>0.51890000000000003</v>
      </c>
      <c r="JT71" s="116">
        <f t="array" ref="JT71">INDEX('Global factors'!Q$5:Q$23,MATCH(2,1/(('Global factors'!$B$5:$B$23&lt;=Main!$C71)*(NOT(ISBLANK('Global factors'!Q$5:Q$23))))))</f>
        <v>4797</v>
      </c>
      <c r="JU71" s="116">
        <f t="array" ref="JU71">INDEX('Global factors'!R$5:R$23,MATCH(2,1/(('Global factors'!$B$5:$B$23&lt;=Main!$C71)*(NOT(ISBLANK('Global factors'!R$5:R$23))))))</f>
        <v>7</v>
      </c>
      <c r="JV71" s="115">
        <f t="array" ref="JV71">INDEX('Global factors'!S$5:S$23,MATCH(2,1/(('Global factors'!$B$5:$B$23&lt;=Main!$C71)*(NOT(ISBLANK('Global factors'!S$5:S$23))))))</f>
        <v>0.12</v>
      </c>
      <c r="JW71" s="115">
        <f t="array" ref="JW71">INDEX('Global factors'!T$5:T$23,MATCH(2,1/(('Global factors'!$B$5:$B$23&lt;=Main!$C71)*(NOT(ISBLANK('Global factors'!T$5:T$23))))))</f>
        <v>0.5</v>
      </c>
      <c r="JX71" s="116">
        <f t="array" ref="JX71">INDEX('Global factors'!U$5:U$23,MATCH(2,1/(('Global factors'!$B$5:$B$23&lt;=Main!$C71)*(NOT(ISBLANK('Global factors'!U$5:U$23))))))</f>
        <v>0.5</v>
      </c>
      <c r="JY71" s="116">
        <f t="array" ref="JY71">INDEX('Global factors'!V$5:V$23,MATCH(2,1/(('Global factors'!$B$5:$B$23&lt;=Main!$C71)*(NOT(ISBLANK('Global factors'!V$5:V$23))))))</f>
        <v>10000</v>
      </c>
      <c r="JZ71" s="116">
        <f t="array" ref="JZ71">INDEX('Global factors'!W$5:W$23,MATCH(2,1/(('Global factors'!$B$5:$B$23&lt;=Main!$C71)*(NOT(ISBLANK('Global factors'!W$5:W$23))))))</f>
        <v>0.10680000000000001</v>
      </c>
      <c r="KA71" s="116">
        <f t="array" ref="KA71">INDEX('Global factors'!X$5:X$23,MATCH(2,1/(('Global factors'!$B$5:$B$23&lt;=Main!$C71)*(NOT(ISBLANK('Global factors'!X$5:X$23))))))</f>
        <v>1.2</v>
      </c>
      <c r="KB71" s="116">
        <v>0</v>
      </c>
      <c r="KC71" s="272">
        <f t="array" ref="KC71">INDEX('Global factors'!Y$5:Y$23,MATCH(2,1/(('Global factors'!$B$5:$B$23&lt;=Main!$C71)*(NOT(ISBLANK('Global factors'!Y$5:Y$23))))))</f>
        <v>23643.7088248818</v>
      </c>
      <c r="KD71" s="273">
        <f t="array" ref="KD71">INDEX('Global factors'!Z$5:Z$23,MATCH(2,1/(('Global factors'!$B$5:$B$23&lt;=Main!$C71)*(NOT(ISBLANK('Global factors'!Z$5:Z$23))))))</f>
        <v>0.62802869915581405</v>
      </c>
      <c r="KE71" s="273">
        <v>0</v>
      </c>
      <c r="KF71" s="273">
        <v>0</v>
      </c>
      <c r="KG71" s="116">
        <v>0</v>
      </c>
      <c r="KH71" s="116">
        <f t="array" ref="KH71">INDEX('Global factors'!AB$5:AB$23,MATCH(2,1/(('Global factors'!$B$5:$B$23&lt;=Main!$C71)*(NOT(ISBLANK('Global factors'!AB$5:AB$23))))))</f>
        <v>6.2556361557795204E-2</v>
      </c>
      <c r="KI71" s="116">
        <f t="array" ref="KI71">INDEX('Global factors'!AC$5:AC$23,MATCH(2,1/(('Global factors'!$B$5:$B$23&lt;=Main!$C71)*(NOT(ISBLANK('Global factors'!AC$5:AC$23))))))</f>
        <v>8.6923129044225601E-4</v>
      </c>
      <c r="KJ71" s="116">
        <f t="array" ref="KJ71">INDEX('Global factors'!AD$5:AD$23,MATCH(2,1/(('Global factors'!$B$5:$B$23&lt;=Main!$C71)*(NOT(ISBLANK('Global factors'!AD$5:AD$23))))))</f>
        <v>1.1499999999999999</v>
      </c>
      <c r="KK71" s="116" t="str">
        <f t="array" ref="KK71">INDEX('Global factors'!AE$5:AE$23,MATCH(2,1/(('Global factors'!$B$5:$B$23&lt;=Main!$C71)*(NOT(ISBLANK('Global factors'!AE$5:AE$23))))))</f>
        <v>Qingdao</v>
      </c>
      <c r="KL71" s="290">
        <f t="array" ref="KL71">INDEX('Global factors'!AF$5:AF$23,MATCH(2,1/(('Global factors'!$B$5:$B$23&lt;=Main!$C71)*(NOT(ISBLANK('Global factors'!AF$5:AF$23))))))</f>
        <v>3.0000000000000001E-3</v>
      </c>
      <c r="KM71" s="290"/>
      <c r="KO71" s="287" t="s">
        <v>39</v>
      </c>
      <c r="KQ71" s="25">
        <f t="shared" ref="KQ71:KQ78" si="778">IF($AO71="no",$AN71,$AR71)/(1-$AL71)/$JN71</f>
        <v>92911.010558069393</v>
      </c>
      <c r="KR71" s="4" t="str">
        <f>VLOOKUP(KQ71,'Ship Time Charter Rates'!$F$10:$G$17,2,TRUE)</f>
        <v>Panamax</v>
      </c>
      <c r="KS71" s="4" t="str">
        <f>VLOOKUP(KQ71,Canals!$E$5:$F$12,2,TRUE)</f>
        <v>Panamax</v>
      </c>
      <c r="KT71" s="25">
        <f t="shared" ref="KT71:KT78" si="779">(KQ71*$JO71 + $JP71)</f>
        <v>227.00131221719457</v>
      </c>
      <c r="KU71" s="25">
        <f t="shared" ref="KU71:KU78" si="780">(KQ71*$JQ71+$JR71)</f>
        <v>37480.301659125194</v>
      </c>
      <c r="KV71" s="25">
        <f t="shared" ref="KV71:KV78" si="781">(KQ71*$JS71+$JT71)</f>
        <v>53008.523378582213</v>
      </c>
      <c r="KX71" s="75">
        <f t="array" ref="KX71">INDEX('Indices Mines Exporting Ports'!$R$20:$R$51,MATCH(2,1/(('Indices Mines Exporting Ports'!$D$20:$D$51&lt;=Main!$C71)*('Indices Mines Exporting Ports'!$Q$20:$Q$51=$AP71))))</f>
        <v>15000</v>
      </c>
      <c r="KY71" s="75">
        <f t="array" ref="KY71">INDEX('Indices Mines Exporting Ports'!$S$20:$S$51,MATCH(2,1/(('Indices Mines Exporting Ports'!$D$20:$D$51&lt;=Main!$C71)*('Indices Mines Exporting Ports'!$Q$20:$Q$51=$AP71))))</f>
        <v>15000</v>
      </c>
      <c r="KZ71" s="75">
        <f t="array" ref="KZ71">INDEX('Indices Mines Exporting Ports'!$T$20:$T$51,MATCH(2,1/(('Indices Mines Exporting Ports'!$D$20:$D$51&lt;=Main!$C71)*('Indices Mines Exporting Ports'!$Q$20:$Q$51=$AP71))))</f>
        <v>15000</v>
      </c>
      <c r="LA71" s="75">
        <f t="array" ref="LA71">INDEX('Indices Mines Exporting Ports'!$U$20:$U$51,MATCH(2,1/(('Indices Mines Exporting Ports'!$D$20:$D$51&lt;=Main!$C71)*('Indices Mines Exporting Ports'!$Q$20:$Q$51=$AP71))))</f>
        <v>15000</v>
      </c>
      <c r="LB71" s="75">
        <f t="array" ref="LB71">INDEX('Indices Mines Exporting Ports'!$V$20:$V$51,MATCH(2,1/(('Indices Mines Exporting Ports'!$D$20:$D$51&lt;=Main!$C71)*('Indices Mines Exporting Ports'!$Q$20:$Q$51=$AP71))))</f>
        <v>15000</v>
      </c>
      <c r="LC71" s="75">
        <f t="array" ref="LC71">INDEX('Indices Mines Exporting Ports'!$W$20:$W$51,MATCH(2,1/(('Indices Mines Exporting Ports'!$D$20:$D$51&lt;=Main!$C71)*('Indices Mines Exporting Ports'!$Q$20:$Q$51=$AP71))))</f>
        <v>15000</v>
      </c>
      <c r="LD71" s="75">
        <f t="array" ref="LD71">INDEX('Indices Mines Exporting Ports'!$X$20:$X$51,MATCH(2,1/(('Indices Mines Exporting Ports'!$D$20:$D$51&lt;=Main!$C71)*('Indices Mines Exporting Ports'!$Q$20:$Q$51=$AP71))))</f>
        <v>15000</v>
      </c>
      <c r="LF71" s="75">
        <f t="array" ref="LF71">INDEX('Port Linkages'!$E$18:$E$157,MATCH(2,1/(('Port Linkages'!$C$18:$C$157=$AP71)*('Port Linkages'!$D$18:$D$157=IF($AO71="Yes",$AQ71,$AS71))*('Port Linkages'!$A$18:$A$157&lt;=$C71))))</f>
        <v>2326</v>
      </c>
      <c r="LG71" s="75">
        <f t="array" ref="LG71">INDEX('Port Linkages'!$F$18:$F$157,MATCH(2,1/(('Port Linkages'!$C$18:$C$157=$AP71)*('Port Linkages'!$D$18:$D$157=IF($AO71="Yes",$AQ71,$AS71))*('Port Linkages'!$A$18:$A$157&lt;=$C71))))</f>
        <v>0</v>
      </c>
      <c r="LH71" s="75" t="str">
        <f t="array" ref="LH71">INDEX('Port Linkages'!$G$18:$G$157,MATCH(2,1/(('Port Linkages'!$C$18:$C$157=$AP71)*('Port Linkages'!$D$18:$D$157=IF($AO71="Yes",$AQ71,$AS71))*('Port Linkages'!$A$18:$A$157&lt;=$C71))))</f>
        <v>VLOC_General</v>
      </c>
      <c r="LI71" s="75" t="str">
        <f t="array" ref="LI71">INDEX('Port Linkages'!$H$18:$H$157,MATCH(2,1/(('Port Linkages'!$C$18:$C$157=$AP71)*('Port Linkages'!$D$18:$D$157=IF($AO71="Yes",$AQ71,$AS71))*('Port Linkages'!$A$18:$A$157&lt;=$C71))))</f>
        <v>Singapore</v>
      </c>
      <c r="LJ71" s="75" t="str">
        <f t="array" ref="LJ71">INDEX('Port Linkages'!$I$18:$I$157,MATCH(2,1/(('Port Linkages'!$C$18:$C$157=$AP71)*('Port Linkages'!$D$18:$D$157=IF($AO71="Yes",$AQ71,$AS71))*('Port Linkages'!$A$18:$A$157&lt;=$C71))))</f>
        <v>VLSFO</v>
      </c>
      <c r="LK71" s="75" t="str">
        <f t="array" ref="LK71">INDEX('Port Linkages'!$J$18:$J$157,MATCH(2,1/(('Port Linkages'!$C$18:$C$157=$AP71)*('Port Linkages'!$D$18:$D$157=IF($AO71="Yes",$AQ71,$AS71))*('Port Linkages'!$A$18:$A$157&lt;=$C71))))</f>
        <v>MGO_Regular</v>
      </c>
      <c r="LL71" s="75" t="str">
        <f t="array" ref="LL71">INDEX('Port Linkages'!$K$18:$K$157,MATCH(2,1/(('Port Linkages'!$C$18:$C$157=$AP71)*('Port Linkages'!$D$18:$D$157=IF($AO71="Yes",$AQ71,$AS71))*('Port Linkages'!$A$18:$A$157&lt;=$C71))))</f>
        <v>none</v>
      </c>
      <c r="LM71" s="75">
        <f t="array" ref="LM71">INDEX('Port Linkages'!$L$18:$L$157,MATCH(2,1/(('Port Linkages'!$C$18:$C$157=$AP71)*('Port Linkages'!$D$18:$D$157=IF($AO71="Yes",$AQ71,$AS71))*('Port Linkages'!$A$18:$A$157&lt;=$C71))))</f>
        <v>2326</v>
      </c>
      <c r="LN71" s="75">
        <f t="array" ref="LN71">INDEX('Port Linkages'!$M$18:$M$157,MATCH(2,1/(('Port Linkages'!$C$18:$C$157=$AP71)*('Port Linkages'!$D$18:$D$157=IF($AO71="Yes",$AQ71,$AS71))*('Port Linkages'!$A$18:$A$157&lt;=$C71))))</f>
        <v>0</v>
      </c>
      <c r="LO71" s="75" t="str">
        <f t="array" ref="LO71">INDEX('Port Linkages'!$N$18:$N$157,MATCH(2,1/(('Port Linkages'!$C$18:$C$157=$AP71)*('Port Linkages'!$D$18:$D$157=IF($AO71="Yes",$AQ71,$AS71))*('Port Linkages'!$A$18:$A$157&lt;=$C71))))</f>
        <v>Capesize_General</v>
      </c>
      <c r="LP71" s="75" t="str">
        <f t="array" ref="LP71">INDEX('Port Linkages'!$O$18:$O$157,MATCH(2,1/(('Port Linkages'!$C$18:$C$157=$AP71)*('Port Linkages'!$D$18:$D$157=IF($AO71="Yes",$AQ71,$AS71))*('Port Linkages'!$A$18:$A$157&lt;=$C71))))</f>
        <v>Singapore</v>
      </c>
      <c r="LQ71" s="75" t="str">
        <f t="array" ref="LQ71">INDEX('Port Linkages'!$P$18:$P$157,MATCH(2,1/(('Port Linkages'!$C$18:$C$157=$AP71)*('Port Linkages'!$D$18:$D$157=IF($AO71="Yes",$AQ71,$AS71))*('Port Linkages'!$A$18:$A$157&lt;=$C71))))</f>
        <v>VLSFO</v>
      </c>
      <c r="LR71" s="75" t="str">
        <f t="array" ref="LR71">INDEX('Port Linkages'!$Q$18:$Q$157,MATCH(2,1/(('Port Linkages'!$C$18:$C$157=$AP71)*('Port Linkages'!$D$18:$D$157=IF($AO71="Yes",$AQ71,$AS71))*('Port Linkages'!$A$18:$A$157&lt;=$C71))))</f>
        <v>MGO_Regular</v>
      </c>
      <c r="LS71" s="75" t="str">
        <f t="array" ref="LS71">INDEX('Port Linkages'!$R$18:$R$157,MATCH(2,1/(('Port Linkages'!$C$18:$C$157=$AP71)*('Port Linkages'!$D$18:$D$157=IF($AO71="Yes",$AQ71,$AS71))*('Port Linkages'!$A$18:$A$157&lt;=$C71))))</f>
        <v>none</v>
      </c>
      <c r="LT71" s="75">
        <f t="array" ref="LT71">INDEX('Port Linkages'!$S$18:$S$157,MATCH(2,1/(('Port Linkages'!$C$18:$C$157=$AP71)*('Port Linkages'!$D$18:$D$157=IF($AO71="Yes",$AQ71,$AS71))*('Port Linkages'!$A$18:$A$157&lt;=$C71))))</f>
        <v>2326</v>
      </c>
      <c r="LU71" s="75">
        <f t="array" ref="LU71">INDEX('Port Linkages'!$T$18:$T$157,MATCH(2,1/(('Port Linkages'!$C$18:$C$157=$AP71)*('Port Linkages'!$D$18:$D$157=IF($AO71="Yes",$AQ71,$AS71))*('Port Linkages'!$A$18:$A$157&lt;=$C71))))</f>
        <v>0</v>
      </c>
      <c r="LV71" s="75" t="str">
        <f t="array" ref="LV71">INDEX('Port Linkages'!$U$18:$U$157,MATCH(2,1/(('Port Linkages'!$C$18:$C$157=$AP71)*('Port Linkages'!$D$18:$D$157=IF($AO71="Yes",$AQ71,$AS71))*('Port Linkages'!$A$18:$A$157&lt;=$C71))))</f>
        <v>Capesize_General</v>
      </c>
      <c r="LW71" s="75" t="str">
        <f t="array" ref="LW71">INDEX('Port Linkages'!$V$18:$V$157,MATCH(2,1/(('Port Linkages'!$C$18:$C$157=$AP71)*('Port Linkages'!$D$18:$D$157=IF($AO71="Yes",$AQ71,$AS71))*('Port Linkages'!$A$18:$A$157&lt;=$C71))))</f>
        <v>Singapore</v>
      </c>
      <c r="LX71" s="75" t="str">
        <f t="array" ref="LX71">INDEX('Port Linkages'!$W$18:$W$157,MATCH(2,1/(('Port Linkages'!$C$18:$C$157=$AP71)*('Port Linkages'!$D$18:$D$157=IF($AO71="Yes",$AQ71,$AS71))*('Port Linkages'!$A$18:$A$157&lt;=$C71))))</f>
        <v>VLSFO</v>
      </c>
      <c r="LY71" s="75" t="str">
        <f t="array" ref="LY71">INDEX('Port Linkages'!$X$18:$X$157,MATCH(2,1/(('Port Linkages'!$C$18:$C$157=$AP71)*('Port Linkages'!$D$18:$D$157=IF($AO71="Yes",$AQ71,$AS71))*('Port Linkages'!$A$18:$A$157&lt;=$C71))))</f>
        <v>MGO_Regular</v>
      </c>
      <c r="LZ71" s="75" t="str">
        <f t="array" ref="LZ71">INDEX('Port Linkages'!$Y$18:$Y$157,MATCH(2,1/(('Port Linkages'!$C$18:$C$157=$AP71)*('Port Linkages'!$D$18:$D$157=IF($AO71="Yes",$AQ71,$AS71))*('Port Linkages'!$A$18:$A$157&lt;=$C71))))</f>
        <v>none</v>
      </c>
      <c r="MA71" s="75">
        <f t="array" ref="MA71">INDEX('Port Linkages'!$Z$18:$Z$157,MATCH(2,1/(('Port Linkages'!$C$18:$C$157=$AP71)*('Port Linkages'!$D$18:$D$157=IF($AO71="Yes",$AQ71,$AS71))*('Port Linkages'!$A$18:$A$157&lt;=$C71))))</f>
        <v>2326</v>
      </c>
      <c r="MB71" s="75">
        <f t="array" ref="MB71">INDEX('Port Linkages'!$AA$18:$AA$157,MATCH(2,1/(('Port Linkages'!$C$18:$C$157=$AP71)*('Port Linkages'!$D$18:$D$157=IF($AO71="Yes",$AQ71,$AS71))*('Port Linkages'!$A$18:$A$157&lt;=$C71))))</f>
        <v>0</v>
      </c>
      <c r="MC71" s="75" t="str">
        <f t="array" ref="MC71">INDEX('Port Linkages'!$AB$18:$AB$157,MATCH(2,1/(('Port Linkages'!$C$18:$C$157=$AP71)*('Port Linkages'!$D$18:$D$157=IF($AO71="Yes",$AQ71,$AS71))*('Port Linkages'!$A$18:$A$157&lt;=$C71))))</f>
        <v>Capesize_General</v>
      </c>
      <c r="MD71" s="75" t="str">
        <f t="array" ref="MD71">INDEX('Port Linkages'!$AC$18:$AC$157,MATCH(2,1/(('Port Linkages'!$C$18:$C$157=$AP71)*('Port Linkages'!$D$18:$D$157=IF($AO71="Yes",$AQ71,$AS71))*('Port Linkages'!$A$18:$A$157&lt;=$C71))))</f>
        <v>Singapore</v>
      </c>
      <c r="ME71" s="75" t="str">
        <f t="array" ref="ME71">INDEX('Port Linkages'!$AD$18:$AD$157,MATCH(2,1/(('Port Linkages'!$C$18:$C$157=$AP71)*('Port Linkages'!$D$18:$D$157=IF($AO71="Yes",$AQ71,$AS71))*('Port Linkages'!$A$18:$A$157&lt;=$C71))))</f>
        <v>VLSFO</v>
      </c>
      <c r="MF71" s="75" t="str">
        <f t="array" ref="MF71">INDEX('Port Linkages'!$AE$18:$AE$157,MATCH(2,1/(('Port Linkages'!$C$18:$C$157=$AP71)*('Port Linkages'!$D$18:$D$157=IF($AO71="Yes",$AQ71,$AS71))*('Port Linkages'!$A$18:$A$157&lt;=$C71))))</f>
        <v>MGO_Regular</v>
      </c>
      <c r="MG71" s="75" t="str">
        <f t="array" ref="MG71">INDEX('Port Linkages'!$AF$18:$AF$157,MATCH(2,1/(('Port Linkages'!$C$18:$C$157=$AP71)*('Port Linkages'!$D$18:$D$157=IF($AO71="Yes",$AQ71,$AS71))*('Port Linkages'!$A$18:$A$157&lt;=$C71))))</f>
        <v>none</v>
      </c>
      <c r="MH71" s="75">
        <f t="array" ref="MH71">INDEX('Port Linkages'!$AG$18:$AG$157,MATCH(2,1/(('Port Linkages'!$C$18:$C$157=$AP71)*('Port Linkages'!$D$18:$D$157=IF($AO71="Yes",$AQ71,$AS71))*('Port Linkages'!$A$18:$A$157&lt;=$C71))))</f>
        <v>2326</v>
      </c>
      <c r="MI71" s="75">
        <f t="array" ref="MI71">INDEX('Port Linkages'!$AH$18:$AH$157,MATCH(2,1/(('Port Linkages'!$C$18:$C$157=$AP71)*('Port Linkages'!$D$18:$D$157=IF($AO71="Yes",$AQ71,$AS71))*('Port Linkages'!$A$18:$A$157&lt;=$C71))))</f>
        <v>0</v>
      </c>
      <c r="MJ71" s="75" t="str">
        <f t="array" ref="MJ71">INDEX('Port Linkages'!$AI$18:$AI$157,MATCH(2,1/(('Port Linkages'!$C$18:$C$157=$AP71)*('Port Linkages'!$D$18:$D$157=IF($AO71="Yes",$AQ71,$AS71))*('Port Linkages'!$A$18:$A$157&lt;=$C71))))</f>
        <v>Panamax_General</v>
      </c>
      <c r="MK71" s="75" t="str">
        <f t="array" ref="MK71">INDEX('Port Linkages'!$AJ$18:$AJ$157,MATCH(2,1/(('Port Linkages'!$C$18:$C$157=$AP71)*('Port Linkages'!$D$18:$D$157=IF($AO71="Yes",$AQ71,$AS71))*('Port Linkages'!$A$18:$A$157&lt;=$C71))))</f>
        <v>Singapore</v>
      </c>
      <c r="ML71" s="75" t="str">
        <f t="array" ref="ML71">INDEX('Port Linkages'!$AK$18:$AK$157,MATCH(2,1/(('Port Linkages'!$C$18:$C$157=$AP71)*('Port Linkages'!$D$18:$D$157=IF($AO71="Yes",$AQ71,$AS71))*('Port Linkages'!$A$18:$A$157&lt;=$C71))))</f>
        <v>VLSFO</v>
      </c>
      <c r="MM71" s="75" t="str">
        <f t="array" ref="MM71">INDEX('Port Linkages'!$AL$18:$AL$157,MATCH(2,1/(('Port Linkages'!$C$18:$C$157=$AP71)*('Port Linkages'!$D$18:$D$157=IF($AO71="Yes",$AQ71,$AS71))*('Port Linkages'!$A$18:$A$157&lt;=$C71))))</f>
        <v>MGO_Regular</v>
      </c>
      <c r="MN71" s="75" t="str">
        <f t="array" ref="MN71">INDEX('Port Linkages'!$AM$18:$AM$157,MATCH(2,1/(('Port Linkages'!$C$18:$C$157=$AP71)*('Port Linkages'!$D$18:$D$157=IF($AO71="Yes",$AQ71,$AS71))*('Port Linkages'!$A$18:$A$157&lt;=$C71))))</f>
        <v>none</v>
      </c>
      <c r="MO71" s="75">
        <f t="array" ref="MO71">INDEX('Port Linkages'!$AN$18:$AN$157,MATCH(2,1/(('Port Linkages'!$C$18:$C$157=$AP71)*('Port Linkages'!$D$18:$D$157=IF($AO71="Yes",$AQ71,$AS71))*('Port Linkages'!$A$18:$A$157&lt;=$C71))))</f>
        <v>2326</v>
      </c>
      <c r="MP71" s="75">
        <f t="array" ref="MP71">INDEX('Port Linkages'!$AO$18:$AO$157,MATCH(2,1/(('Port Linkages'!$C$18:$C$157=$AP71)*('Port Linkages'!$D$18:$D$157=IF($AO71="Yes",$AQ71,$AS71))*('Port Linkages'!$A$18:$A$157&lt;=$C71))))</f>
        <v>0</v>
      </c>
      <c r="MQ71" s="75" t="str">
        <f t="array" ref="MQ71">INDEX('Port Linkages'!$AP$18:$AP$157,MATCH(2,1/(('Port Linkages'!$C$18:$C$157=$AP71)*('Port Linkages'!$D$18:$D$157=IF($AO71="Yes",$AQ71,$AS71))*('Port Linkages'!$A$18:$A$157&lt;=$C71))))</f>
        <v>Supramax_General</v>
      </c>
      <c r="MR71" s="75" t="str">
        <f t="array" ref="MR71">INDEX('Port Linkages'!$AQ$18:$AQ$157,MATCH(2,1/(('Port Linkages'!$C$18:$C$157=$AP71)*('Port Linkages'!$D$18:$D$157=IF($AO71="Yes",$AQ71,$AS71))*('Port Linkages'!$A$18:$A$157&lt;=$C71))))</f>
        <v>Singapore</v>
      </c>
      <c r="MS71" s="75" t="str">
        <f t="array" ref="MS71">INDEX('Port Linkages'!$AR$18:$AR$157,MATCH(2,1/(('Port Linkages'!$C$18:$C$157=$AP71)*('Port Linkages'!$D$18:$D$157=IF($AO71="Yes",$AQ71,$AS71))*('Port Linkages'!$A$18:$A$157&lt;=$C71))))</f>
        <v>VLSFO</v>
      </c>
      <c r="MT71" s="75" t="str">
        <f t="array" ref="MT71">INDEX('Port Linkages'!$AS$18:$AS$157,MATCH(2,1/(('Port Linkages'!$C$18:$C$157=$AP71)*('Port Linkages'!$D$18:$D$157=IF($AO71="Yes",$AQ71,$AS71))*('Port Linkages'!$A$18:$A$157&lt;=$C71))))</f>
        <v>MGO_Regular</v>
      </c>
      <c r="MU71" s="75" t="str">
        <f t="array" ref="MU71">INDEX('Port Linkages'!$AT$18:$AT$157,MATCH(2,1/(('Port Linkages'!$C$18:$C$157=$AP71)*('Port Linkages'!$D$18:$D$157=IF($AO71="Yes",$AQ71,$AS71))*('Port Linkages'!$A$18:$A$157&lt;=$C71))))</f>
        <v>none</v>
      </c>
      <c r="MV71" s="75">
        <f t="array" ref="MV71">INDEX('Port Linkages'!$AU$18:$AU$157,MATCH(2,1/(('Port Linkages'!$C$18:$C$157=$AP71)*('Port Linkages'!$D$18:$D$157=IF($AO71="Yes",$AQ71,$AS71))*('Port Linkages'!$A$18:$A$157&lt;=$C71))))</f>
        <v>2326</v>
      </c>
      <c r="MW71" s="75">
        <f t="array" ref="MW71">INDEX('Port Linkages'!$AV$18:$AV$157,MATCH(2,1/(('Port Linkages'!$C$18:$C$157=$AP71)*('Port Linkages'!$D$18:$D$157=IF($AO71="Yes",$AQ71,$AS71))*('Port Linkages'!$A$18:$A$157&lt;=$C71))))</f>
        <v>0</v>
      </c>
      <c r="MX71" s="75" t="str">
        <f t="array" ref="MX71">INDEX('Port Linkages'!$AW$18:$AW$157,MATCH(2,1/(('Port Linkages'!$C$18:$C$157=$AP71)*('Port Linkages'!$D$18:$D$157=IF($AO71="Yes",$AQ71,$AS71))*('Port Linkages'!$A$18:$A$157&lt;=$C71))))</f>
        <v>Handysize_General</v>
      </c>
      <c r="MY71" s="75" t="str">
        <f t="array" ref="MY71">INDEX('Port Linkages'!$AX$18:$AX$157,MATCH(2,1/(('Port Linkages'!$C$18:$C$157=$AP71)*('Port Linkages'!$D$18:$D$157=IF($AO71="Yes",$AQ71,$AS71))*('Port Linkages'!$A$18:$A$157&lt;=$C71))))</f>
        <v>Singapore</v>
      </c>
      <c r="MZ71" s="75" t="str">
        <f t="array" ref="MZ71">INDEX('Port Linkages'!$AY$18:$AY$157,MATCH(2,1/(('Port Linkages'!$C$18:$C$157=$AP71)*('Port Linkages'!$D$18:$D$157=IF($AO71="Yes",$AQ71,$AS71))*('Port Linkages'!$A$18:$A$157&lt;=$C71))))</f>
        <v>VLSFO</v>
      </c>
      <c r="NA71" s="75" t="str">
        <f t="array" ref="NA71">INDEX('Port Linkages'!$AZ$18:$AZ$157,MATCH(2,1/(('Port Linkages'!$C$18:$C$157=$AP71)*('Port Linkages'!$D$18:$D$157=IF($AO71="Yes",$AQ71,$AS71))*('Port Linkages'!$A$18:$A$157&lt;=$C71))))</f>
        <v>MGO_Regular</v>
      </c>
      <c r="NB71" s="75" t="str">
        <f t="array" ref="NB71">INDEX('Port Linkages'!$BA$18:$BA$157,MATCH(2,1/(('Port Linkages'!$C$18:$C$157=$AP71)*('Port Linkages'!$D$18:$D$157=IF($AO71="Yes",$AQ71,$AS71))*('Port Linkages'!$A$18:$A$157&lt;=$C71))))</f>
        <v>none</v>
      </c>
      <c r="ND71" s="25" t="e">
        <f t="array" aca="1" ref="ND71" ca="1">INDEX('Ship Fuel Prices'!$F$5:$F$1004,MATCH(2,1/(('Ship Fuel Prices'!$E$5:$E$1004=_xlfn.IFS(KS71="Handysize",Main!MY71,KS71="Supramax",MR71,KS71="Panamax",MK71,KS71="NeoPanamax",MD71,KS71="Suezmax",LW71,KS71="Capesize",LP71,KS71="VLOC",LI71))*('Ship Fuel Prices'!$D$5:$D$1004&lt;=Main!$C71))))</f>
        <v>#N/A</v>
      </c>
      <c r="NE71" s="25" t="e">
        <f t="array" aca="1" ref="NE71" ca="1">INDEX('Ship Fuel Prices'!$G$5:$G$1004,MATCH(2,1/(('Ship Fuel Prices'!$E$5:$E$1004=_xlfn.IFS(KS71="Handysize",Main!MY71,KS71="Supramax",MR71,KS71="Panamax",MK71,KS71="NeoPanamax",MD71,KS71="Suezmax",LW71,KS71="Capesize",LP71,KS71="VLOC",LI71))*('Ship Fuel Prices'!$D$5:$D$1004&lt;=Main!$C71))))</f>
        <v>#N/A</v>
      </c>
      <c r="NF71" s="25" t="e">
        <f t="array" aca="1" ref="NF71" ca="1">INDEX('Ship Fuel Prices'!$H$5:$H$1004,MATCH(2,1/(('Ship Fuel Prices'!$E$5:$E$1004=_xlfn.IFS(KS71="Handysize",Main!MY71,KS71="Supramax",MR71,KS71="Panamax",MK71,KS71="NeoPanamax",MD71,KS71="Suezmax",LW71,KS71="Capesize",LP71,KS71="VLOC",LI71))*('Ship Fuel Prices'!$D$5:$D$1004&lt;=Main!$C71))))</f>
        <v>#N/A</v>
      </c>
      <c r="NG71" s="25" t="e">
        <f t="array" aca="1" ref="NG71" ca="1">INDEX('Ship Fuel Prices'!$I$5:$I$1004,MATCH(2,1/(('Ship Fuel Prices'!$E$5:$E$1004=_xlfn.IFS(KS71="Handysize",Main!MY71,KS71="Supramax",MR71,KS71="Panamax",MK71,KS71="NeoPanamax",MD71,KS71="Suezmax",LW71,KS71="Capesize",LP71,KS71="VLOC",LI71))*('Ship Fuel Prices'!$D$5:$D$1004&lt;=Main!$C71))))</f>
        <v>#N/A</v>
      </c>
      <c r="NH71" s="25" t="e">
        <f t="array" aca="1" ref="NH71" ca="1">INDEX('Ship Fuel Prices'!$J$5:$J$1004,MATCH(2,1/(('Ship Fuel Prices'!$E$5:$E$1004=_xlfn.IFS(KS71="Handysize",Main!MY71,KS71="Supramax",MR71,KS71="Panamax",MK71,KS71="NeoPanamax",MD71,KS71="Suezmax",LW71,KS71="Capesize",LP71,KS71="VLOC",LI71))*('Ship Fuel Prices'!$D$5:$D$1004&lt;=Main!$C71))))</f>
        <v>#N/A</v>
      </c>
      <c r="NJ71" s="75">
        <f t="array" ref="NJ71">INDEX('China n Importing Ports'!$E$20:$E$41,MATCH(2,1/(('China n Importing Ports'!$D$20:$D$41&lt;=$C71)*('China n Importing Ports'!$C$20:$C$41=IF($AO71="Yes",$AQ71,$AS71)))))</f>
        <v>42500</v>
      </c>
      <c r="NK71" s="75">
        <f t="array" ref="NK71">INDEX('China n Importing Ports'!$F$20:$F$41,MATCH(2,1/(('China n Importing Ports'!$D$20:$D$41&lt;=$C71)*('China n Importing Ports'!$C$20:$C$41=IF($AO71="Yes",$AQ71,$AS71)))))</f>
        <v>42500</v>
      </c>
      <c r="NL71" s="75">
        <f t="array" ref="NL71">INDEX('China n Importing Ports'!$G$20:$G$41,MATCH(2,1/(('China n Importing Ports'!$D$20:$D$41&lt;=$C71)*('China n Importing Ports'!$C$20:$C$41=IF($AO71="Yes",$AQ71,$AS71)))))</f>
        <v>42500</v>
      </c>
      <c r="NM71" s="75">
        <f t="array" ref="NM71">INDEX('China n Importing Ports'!$H$20:$H$41,MATCH(2,1/(('China n Importing Ports'!$D$20:$D$41&lt;=$C71)*('China n Importing Ports'!$C$20:$C$41=IF($AO71="Yes",$AQ71,$AS71)))))</f>
        <v>42500</v>
      </c>
      <c r="NN71" s="75">
        <f t="array" ref="NN71">INDEX('China n Importing Ports'!$I$20:$I$41,MATCH(2,1/(('China n Importing Ports'!$D$20:$D$41&lt;=$C71)*('China n Importing Ports'!$C$20:$C$41=IF($AO71="Yes",$AQ71,$AS71)))))</f>
        <v>42500</v>
      </c>
      <c r="NO71" s="75">
        <f t="array" ref="NO71">INDEX('China n Importing Ports'!$J$20:$J$41,MATCH(2,1/(('China n Importing Ports'!$D$20:$D$41&lt;=$C71)*('China n Importing Ports'!$C$20:$C$41=IF($AO71="Yes",$AQ71,$AS71)))))</f>
        <v>42500</v>
      </c>
      <c r="NP71" s="75">
        <f t="array" ref="NP71">INDEX('China n Importing Ports'!$K$20:$K$41,MATCH(2,1/(('China n Importing Ports'!$D$20:$D$41&lt;=$C71)*('China n Importing Ports'!$C$20:$C$41=IF($AO71="Yes",$AQ71,$AS71)))))</f>
        <v>42500</v>
      </c>
      <c r="NQ71" s="75" t="str">
        <f t="array" ref="NQ71">INDEX('China n Importing Ports'!$L$20:$L$41,MATCH(2,1/(('China n Importing Ports'!$D$20:$D$41&lt;=$C71)*('China n Importing Ports'!$C$20:$C$41=IF($AO71="Yes",$AQ71,$AS71)))))</f>
        <v>RMB</v>
      </c>
      <c r="NR71" s="75">
        <f t="array" ref="NR71">INDEX('China n Importing Ports'!$M$20:$M$41,MATCH(2,1/(('China n Importing Ports'!$D$20:$D$41&lt;=$C71)*('China n Importing Ports'!$C$20:$C$41=IF($AO71="Yes",$AQ71,$AS71)))))</f>
        <v>12342</v>
      </c>
      <c r="NS71" s="75">
        <f t="array" ref="NS71">INDEX('China n Importing Ports'!$N$20:$N$41,MATCH(2,1/(('China n Importing Ports'!$D$20:$D$41&lt;=$C71)*('China n Importing Ports'!$C$20:$C$41=IF($AO71="Yes",$AQ71,$AS71)))))</f>
        <v>0</v>
      </c>
      <c r="NT71" s="75">
        <f t="array" ref="NT71">INDEX('China n Importing Ports'!$O$20:$O$41,MATCH(2,1/(('China n Importing Ports'!$D$20:$D$41&lt;=$C71)*('China n Importing Ports'!$C$20:$C$41=IF($AO71="Yes",$AQ71,$AS71)))))</f>
        <v>0</v>
      </c>
      <c r="NU71" s="136">
        <f t="array" ref="NU71">INDEX('China n Importing Ports'!$P$20:$P$41,MATCH(2,1/(('China n Importing Ports'!$D$20:$D$41&lt;=$C71)*('China n Importing Ports'!$C$20:$C$41=IF($AO71="Yes",$AQ71,$AS71)))))</f>
        <v>2.64</v>
      </c>
      <c r="NV71" s="136">
        <f t="array" ref="NV71">INDEX('China n Importing Ports'!$Q$20:$Q$41,MATCH(2,1/(('China n Importing Ports'!$D$20:$D$41&lt;=$C71)*('China n Importing Ports'!$C$20:$C$41=IF($AO71="Yes",$AQ71,$AS71)))))</f>
        <v>0</v>
      </c>
      <c r="NW71" s="136">
        <f t="array" ref="NW71">INDEX('China n Importing Ports'!$R$20:$R$41,MATCH(2,1/(('China n Importing Ports'!$D$20:$D$41&lt;=$C71)*('China n Importing Ports'!$C$20:$C$41=IF($AO71="Yes",$AQ71,$AS71)))))</f>
        <v>0</v>
      </c>
      <c r="NX71" s="136">
        <f t="array" ref="NX71">INDEX('China n Importing Ports'!$S$20:$S$41,MATCH(2,1/(('China n Importing Ports'!$D$20:$D$41&lt;=$C71)*('China n Importing Ports'!$C$20:$C$41=IF($AO71="Yes",$AQ71,$AS71)))))</f>
        <v>4.53</v>
      </c>
      <c r="NY71" s="136">
        <f t="array" ref="NY71">INDEX('China n Importing Ports'!$T$20:$T$41,MATCH(2,1/(('China n Importing Ports'!$D$20:$D$41&lt;=$C71)*('China n Importing Ports'!$C$20:$C$41=IF($AO71="Yes",$AQ71,$AS71)))))</f>
        <v>0.36699999999999999</v>
      </c>
      <c r="NZ71" s="136">
        <f t="array" ref="NZ71">INDEX('China n Importing Ports'!$U$20:$U$41,MATCH(2,1/(('China n Importing Ports'!$D$20:$D$41&lt;=$C71)*('China n Importing Ports'!$C$20:$C$41=IF($AO71="Yes",$AQ71,$AS71)))))</f>
        <v>0.05</v>
      </c>
      <c r="OA71" s="136">
        <f t="array" ref="OA71">INDEX('China n Importing Ports'!$V$20:$V$41,MATCH(2,1/(('China n Importing Ports'!$D$20:$D$41&lt;=$C71)*('China n Importing Ports'!$C$20:$C$41=IF($AO71="Yes",$AQ71,$AS71)))))</f>
        <v>0</v>
      </c>
      <c r="OB71" s="136">
        <f t="array" ref="OB71">INDEX('China n Importing Ports'!$W$20:$W$41,MATCH(2,1/(('China n Importing Ports'!$D$20:$D$41&lt;=$C71)*('China n Importing Ports'!$C$20:$C$41=IF($AO71="Yes",$AQ71,$AS71)))))</f>
        <v>0</v>
      </c>
      <c r="OC71" s="136">
        <f t="array" ref="OC71">INDEX('China n Importing Ports'!$X$20:$X$41,MATCH(2,1/(('China n Importing Ports'!$D$20:$D$41&lt;=$C71)*('China n Importing Ports'!$C$20:$C$41=IF($AO71="Yes",$AQ71,$AS71)))))</f>
        <v>0</v>
      </c>
      <c r="OD71" s="136">
        <f t="array" ref="OD71">INDEX('China n Importing Ports'!$Y$20:$Y$41,MATCH(2,1/(('China n Importing Ports'!$D$20:$D$41&lt;=$C71)*('China n Importing Ports'!$C$20:$C$41=IF($AO71="Yes",$AQ71,$AS71)))))</f>
        <v>197</v>
      </c>
      <c r="OE71" s="136">
        <f t="array" ref="OE71">INDEX('China n Importing Ports'!$Z$20:$Z$41,MATCH(2,1/(('China n Importing Ports'!$D$20:$D$41&lt;=$C71)*('China n Importing Ports'!$C$20:$C$41=IF($AO71="Yes",$AQ71,$AS71)))))</f>
        <v>0</v>
      </c>
      <c r="OF71" s="136">
        <f t="array" ref="OF71">INDEX('China n Importing Ports'!$AA$20:$AA$41,MATCH(2,1/(('China n Importing Ports'!$D$20:$D$41&lt;=$C71)*('China n Importing Ports'!$C$20:$C$41=IF($AO71="Yes",$AQ71,$AS71)))))</f>
        <v>0</v>
      </c>
      <c r="OH71" s="75" t="e">
        <f t="array" aca="1" ref="OH71" ca="1">INDEX(Canals!$G$24:$G$29,MATCH(2,1/((Canals!$F$24:$F$29&lt;=$C71)*(Canals!$G$24:$G$29=_xlfn.IFS(KS71="Handysize",Main!NB71,KS71="Supramax",MU71,KS71="Panamax",MN71,KS71="NeoPanamax",MG71,KS71="Suezmax",LZ71,KS71="Capesize",LS71,KS71="VLOC",LL71)))))</f>
        <v>#N/A</v>
      </c>
      <c r="OI71" s="75" t="e">
        <f t="array" aca="1" ref="OI71" ca="1">INDEX(Canals!$H$24:$H$29,MATCH(2,1/((Canals!$F$24:$F$29&lt;=$C71)*(Canals!$G$24:$G$29=_xlfn.IFS(KS71="Handysize",Main!NB71,KS71="Supramax",MU71,KS71="Panamax",MN71,KS71="NeoPanamax",MG71,KS71="Suezmax",LZ71,KS71="Capesize",LS71,KS71="VLOC",LL71)))))</f>
        <v>#N/A</v>
      </c>
      <c r="OJ71" s="75" t="e">
        <f t="array" aca="1" ref="OJ71" ca="1">INDEX(Canals!$I$24:$I$29,MATCH(2,1/((Canals!$F$24:$F$29&lt;=$C71)*(Canals!$G$24:$G$29=_xlfn.IFS(KS71="Handysize",Main!NB71,KS71="Supramax",MU71,KS71="Panamax",MN71,KS71="NeoPanamax",MG71,KS71="Suezmax",LZ71,KS71="Capesize",LS71,KS71="VLOC",LL71)))))</f>
        <v>#N/A</v>
      </c>
      <c r="OK71" s="75" t="e">
        <f t="array" aca="1" ref="OK71" ca="1">INDEX(Canals!$J$24:$J$29,MATCH(2,1/((Canals!$F$24:$F$29&lt;=$C71)*(Canals!$G$24:$G$29=_xlfn.IFS(KS71="Handysize",Main!NB71,KS71="Supramax",MU71,KS71="Panamax",MN71,KS71="NeoPanamax",MG71,KS71="Suezmax",LZ71,KS71="Capesize",LS71,KS71="VLOC",LL71)))))</f>
        <v>#N/A</v>
      </c>
      <c r="OL71" s="75" t="e">
        <f t="array" aca="1" ref="OL71" ca="1">INDEX(Canals!$K$24:$K$29,MATCH(2,1/((Canals!$F$24:$F$29&lt;=$C71)*(Canals!$G$24:$G$29=_xlfn.IFS(KS71="Handysize",Main!NB71,KS71="Supramax",MU71,KS71="Panamax",MN71,KS71="NeoPanamax",MG71,KS71="Suezmax",LZ71,KS71="Capesize",LS71,KS71="VLOC",LL71)))))</f>
        <v>#N/A</v>
      </c>
      <c r="OM71" s="75" t="e">
        <f t="array" aca="1" ref="OM71" ca="1">INDEX(Canals!$L$24:$L$29,MATCH(2,1/((Canals!$F$24:$F$29&lt;=$C71)*(Canals!$G$24:$G$29=_xlfn.IFS(KS71="Handysize",Main!NB71,KS71="Supramax",MU71,KS71="Panamax",MN71,KS71="NeoPanamax",MG71,KS71="Suezmax",LZ71,KS71="Capesize",LS71,KS71="VLOC",LL71)))))</f>
        <v>#N/A</v>
      </c>
      <c r="ON71" s="75" t="e">
        <f t="array" aca="1" ref="ON71" ca="1">INDEX(Canals!$M$24:$M$29,MATCH(2,1/((Canals!$F$24:$F$29&lt;=$C71)*(Canals!$G$24:$G$29=_xlfn.IFS(KS71="Handysize",Main!NB71,KS71="Supramax",MU71,KS71="Panamax",MN71,KS71="NeoPanamax",MG71,KS71="Suezmax",LZ71,KS71="Capesize",LS71,KS71="VLOC",LL71)))))</f>
        <v>#N/A</v>
      </c>
      <c r="OO71" s="75" t="e">
        <f t="array" aca="1" ref="OO71" ca="1">INDEX(Canals!$N$24:$N$29,MATCH(2,1/((Canals!$F$24:$F$29&lt;=$C71)*(Canals!$G$24:$G$29=_xlfn.IFS(KS71="Handysize",Main!NB71,KS71="Supramax",MU71,KS71="Panamax",MN71,KS71="NeoPanamax",MG71,KS71="Suezmax",LZ71,KS71="Capesize",LS71,KS71="VLOC",LL71)))))</f>
        <v>#N/A</v>
      </c>
      <c r="OP71" s="75" t="e">
        <f t="array" aca="1" ref="OP71" ca="1">INDEX(Canals!$O$24:$O$29,MATCH(2,1/((Canals!$F$24:$F$29&lt;=$C71)*(Canals!$G$24:$G$29=_xlfn.IFS(KS71="Handysize",Main!NB71,KS71="Supramax",MU71,KS71="Panamax",MN71,KS71="NeoPanamax",MG71,KS71="Suezmax",LZ71,KS71="Capesize",LS71,KS71="VLOC",LL71)))))</f>
        <v>#N/A</v>
      </c>
      <c r="OQ71" s="75" t="e">
        <f t="array" aca="1" ref="OQ71" ca="1">INDEX(Canals!$P$24:$P$29,MATCH(2,1/((Canals!$F$24:$F$29&lt;=$C71)*(Canals!$G$24:$G$29=_xlfn.IFS(KS71="Handysize",Main!NB71,KS71="Supramax",MU71,KS71="Panamax",MN71,KS71="NeoPanamax",MG71,KS71="Suezmax",LZ71,KS71="Capesize",LS71,KS71="VLOC",LL71)))))</f>
        <v>#N/A</v>
      </c>
      <c r="OR71" s="75" t="e">
        <f t="array" aca="1" ref="OR71" ca="1">INDEX(Canals!$Q$24:$Q$29,MATCH(2,1/((Canals!$F$24:$F$29&lt;=$C71)*(Canals!$G$24:$G$29=_xlfn.IFS(KS71="Handysize",Main!NB71,KS71="Supramax",MU71,KS71="Panamax",MN71,KS71="NeoPanamax",MG71,KS71="Suezmax",LZ71,KS71="Capesize",LS71,KS71="VLOC",LL71)))))</f>
        <v>#N/A</v>
      </c>
      <c r="OS71" s="75" t="e">
        <f t="array" aca="1" ref="OS71" ca="1">INDEX(Canals!$R$24:$R$29,MATCH(2,1/((Canals!$F$24:$F$29&lt;=$C71)*(Canals!$G$24:$G$29=_xlfn.IFS(KS71="Handysize",Main!NB71,KS71="Supramax",MU71,KS71="Panamax",MN71,KS71="NeoPanamax",MG71,KS71="Suezmax",LZ71,KS71="Capesize",LS71,KS71="VLOC",LL71)))))</f>
        <v>#N/A</v>
      </c>
      <c r="OT71" s="136" t="e">
        <f t="array" aca="1" ref="OT71" ca="1">INDEX(Canals!$S$24:$S$29,MATCH(2,1/((Canals!$F$24:$F$29&lt;=$C71)*(Canals!$G$24:$G$29=_xlfn.IFS(KS71="Handysize",Main!NB71,KS71="Supramax",MU71,KS71="Panamax",MN71,KS71="NeoPanamax",MG71,KS71="Suezmax",LZ71,KS71="Capesize",LS71,KS71="VLOC",LL71)))))</f>
        <v>#N/A</v>
      </c>
      <c r="OU71" s="136" t="e">
        <f t="array" aca="1" ref="OU71" ca="1">INDEX(Canals!$T$24:$T$29,MATCH(2,1/((Canals!$F$24:$F$29&lt;=$C71)*(Canals!$G$24:$G$29=_xlfn.IFS(KS71="Handysize",Main!NB71,KS71="Supramax",MU71,KS71="Panamax",MN71,KS71="NeoPanamax",MG71,KS71="Suezmax",LZ71,KS71="Capesize",LS71,KS71="VLOC",LL71)))))</f>
        <v>#N/A</v>
      </c>
      <c r="OV71" s="136" t="e">
        <f t="array" aca="1" ref="OV71" ca="1">INDEX(Canals!$U$24:$U$29,MATCH(2,1/((Canals!$F$24:$F$29&lt;=$C71)*(Canals!$G$24:$G$29=_xlfn.IFS(KS71="Handysize",Main!NB71,KS71="Supramax",MU71,KS71="Panamax",MN71,KS71="NeoPanamax",MG71,KS71="Suezmax",LZ71,KS71="Capesize",LS71,KS71="VLOC",LL71)))))</f>
        <v>#N/A</v>
      </c>
      <c r="OW71" s="136" t="e">
        <f t="array" aca="1" ref="OW71" ca="1">INDEX(Canals!$V$24:$V$29,MATCH(2,1/((Canals!$F$24:$F$29&lt;=$C71)*(Canals!$G$24:$G$29=_xlfn.IFS(KS71="Handysize",Main!NB71,KS71="Supramax",MU71,KS71="Panamax",MN71,KS71="NeoPanamax",MG71,KS71="Suezmax",LZ71,KS71="Capesize",LS71,KS71="VLOC",LL71)))))</f>
        <v>#N/A</v>
      </c>
      <c r="OX71" s="136" t="e">
        <f t="array" aca="1" ref="OX71" ca="1">INDEX(Canals!$W$24:$W$29,MATCH(2,1/((Canals!$F$24:$F$29&lt;=$C71)*(Canals!$G$24:$G$29=_xlfn.IFS(KS71="Handysize",Main!NB71,KS71="Supramax",MU71,KS71="Panamax",MN71,KS71="NeoPanamax",MG71,KS71="Suezmax",LZ71,KS71="Capesize",LS71,KS71="VLOC",LL71)))))</f>
        <v>#N/A</v>
      </c>
      <c r="OY71" s="136" t="e">
        <f t="array" aca="1" ref="OY71" ca="1">INDEX(Canals!$X$24:$X$29,MATCH(2,1/((Canals!$F$24:$F$29&lt;=$C71)*(Canals!$G$24:$G$29=_xlfn.IFS(KS71="Handysize",Main!NB71,KS71="Supramax",MU71,KS71="Panamax",MN71,KS71="NeoPanamax",MG71,KS71="Suezmax",LZ71,KS71="Capesize",LS71,KS71="VLOC",LL71)))))</f>
        <v>#N/A</v>
      </c>
      <c r="OZ71" s="136" t="e">
        <f t="array" aca="1" ref="OZ71" ca="1">INDEX(Canals!$Y$24:$Y$29,MATCH(2,1/((Canals!$F$24:$F$29&lt;=$C71)*(Canals!$G$24:$G$29=_xlfn.IFS(KS71="Handysize",Main!NB71,KS71="Supramax",MU71,KS71="Panamax",MN71,KS71="NeoPanamax",MG71,KS71="Suezmax",LZ71,KS71="Capesize",LS71,KS71="VLOC",LL71)))))</f>
        <v>#N/A</v>
      </c>
      <c r="PA71" s="136" t="e">
        <f t="array" aca="1" ref="PA71" ca="1">INDEX(Canals!$Z$24:$Z$29,MATCH(2,1/((Canals!$F$24:$F$29&lt;=$C71)*(Canals!$G$24:$G$29=_xlfn.IFS(KS71="Handysize",Main!NB71,KS71="Supramax",MU71,KS71="Panamax",MN71,KS71="NeoPanamax",MG71,KS71="Suezmax",LZ71,KS71="Capesize",LS71,KS71="VLOC",LL71)))))</f>
        <v>#N/A</v>
      </c>
      <c r="PB71" s="136" t="e">
        <f t="array" aca="1" ref="PB71" ca="1">INDEX(Canals!$AA$24:$AA$29,MATCH(2,1/((Canals!$F$24:$F$29&lt;=$C71)*(Canals!$G$24:$G$29=_xlfn.IFS(KS71="Handysize",Main!NB71,KS71="Supramax",MU71,KS71="Panamax",MN71,KS71="NeoPanamax",MG71,KS71="Suezmax",LZ71,KS71="Capesize",LS71,KS71="VLOC",LL71)))))</f>
        <v>#N/A</v>
      </c>
      <c r="PC71" s="136" t="e">
        <f t="array" aca="1" ref="PC71" ca="1">INDEX(Canals!$AB$24:$AB$29,MATCH(2,1/((Canals!$F$24:$F$29&lt;=$C71)*(Canals!$G$24:$G$29=_xlfn.IFS(KS71="Handysize",Main!NB71,KS71="Supramax",MU71,KS71="Panamax",MN71,KS71="NeoPanamax",MG71,KS71="Suezmax",LZ71,KS71="Capesize",LS71,KS71="VLOC",LL71)))))</f>
        <v>#N/A</v>
      </c>
      <c r="PD71" s="75" t="e">
        <f t="array" aca="1" ref="PD71" ca="1">INDEX(Canals!$AC$24:$AC$29,MATCH(2,1/((Canals!$F$24:$F$29&lt;=$C71)*(Canals!$G$24:$G$29=_xlfn.IFS(KS71="Handysize",Main!NB71,KS71="Supramax",MU71,KS71="Panamax",MN71,KS71="NeoPanamax",MG71,KS71="Suezmax",LZ71,KS71="Capesize",LS71,KS71="VLOC",LL71)))))</f>
        <v>#N/A</v>
      </c>
      <c r="PE71" s="75" t="e">
        <f t="array" aca="1" ref="PE71" ca="1">INDEX(Canals!$AD$24:$AD$29,MATCH(2,1/((Canals!$F$24:$F$29&lt;=$C71)*(Canals!$G$24:$G$29=_xlfn.IFS(KS71="Handysize",Main!NB71,KS71="Supramax",MU71,KS71="Panamax",MN71,KS71="NeoPanamax",MG71,KS71="Suezmax",LZ71,KS71="Capesize",LS71,KS71="VLOC",LL71)))))</f>
        <v>#N/A</v>
      </c>
      <c r="PF71" s="75" t="e">
        <f t="array" aca="1" ref="PF71" ca="1">INDEX(Canals!$AE$24:$AE$29,MATCH(2,1/((Canals!$F$24:$F$29&lt;=$C71)*(Canals!$G$24:$G$29=_xlfn.IFS(KS71="Handysize",Main!NB71,KS71="Supramax",MU71,KS71="Panamax",MN71,KS71="NeoPanamax",MG71,KS71="Suezmax",LZ71,KS71="Capesize",LS71,KS71="VLOC",LL71)))))</f>
        <v>#N/A</v>
      </c>
      <c r="PG71" s="75" t="e">
        <f t="array" aca="1" ref="PG71" ca="1">INDEX(Canals!$AF$24:$AF$29,MATCH(2,1/((Canals!$F$24:$F$29&lt;=$C71)*(Canals!$G$24:$G$29=_xlfn.IFS(KS71="Handysize",Main!NB71,KS71="Supramax",MU71,KS71="Panamax",MN71,KS71="NeoPanamax",MG71,KS71="Suezmax",LZ71,KS71="Capesize",LS71,KS71="VLOC",LL71)))))</f>
        <v>#N/A</v>
      </c>
      <c r="PH71" s="75" t="e">
        <f t="array" aca="1" ref="PH71" ca="1">INDEX(Canals!$AG$24:$AG$29,MATCH(2,1/((Canals!$F$24:$F$29&lt;=$C71)*(Canals!$G$24:$G$29=_xlfn.IFS(KS71="Handysize",Main!NB71,KS71="Supramax",MU71,KS71="Panamax",MN71,KS71="NeoPanamax",MG71,KS71="Suezmax",LZ71,KS71="Capesize",LS71,KS71="VLOC",LL71)))))</f>
        <v>#N/A</v>
      </c>
      <c r="PI71" s="75" t="e">
        <f t="array" aca="1" ref="PI71" ca="1">INDEX(Canals!$AH$24:$AH$29,MATCH(2,1/((Canals!$F$24:$F$29&lt;=$C71)*(Canals!$G$24:$G$29=_xlfn.IFS(KS71="Handysize",Main!NB71,KS71="Supramax",MU71,KS71="Panamax",MN71,KS71="NeoPanamax",MG71,KS71="Suezmax",LZ71,KS71="Capesize",LS71,KS71="VLOC",LL71)))))</f>
        <v>#N/A</v>
      </c>
      <c r="PJ71" s="75" t="e">
        <f t="array" aca="1" ref="PJ71" ca="1">INDEX(Canals!$AI$24:$AI$29,MATCH(2,1/((Canals!$F$24:$F$29&lt;=$C71)*(Canals!$G$24:$G$29=_xlfn.IFS(KS71="Handysize",Main!NB71,KS71="Supramax",MU71,KS71="Panamax",MN71,KS71="NeoPanamax",MG71,KS71="Suezmax",LZ71,KS71="Capesize",LS71,KS71="VLOC",LL71)))))</f>
        <v>#N/A</v>
      </c>
      <c r="PK71" s="75" t="e">
        <f t="array" aca="1" ref="PK71" ca="1">INDEX(Canals!$AJ$24:$AJ$29,MATCH(2,1/((Canals!$F$24:$F$29&lt;=$C71)*(Canals!$G$24:$G$29=_xlfn.IFS(KS71="Handysize",Main!NB71,KS71="Supramax",MU71,KS71="Panamax",MN71,KS71="NeoPanamax",MG71,KS71="Suezmax",LZ71,KS71="Capesize",LS71,KS71="VLOC",LL71)))))</f>
        <v>#N/A</v>
      </c>
      <c r="PL71" s="75" t="e">
        <f t="array" aca="1" ref="PL71" ca="1">INDEX(Canals!$AK$24:$AK$29,MATCH(2,1/((Canals!$F$24:$F$29&lt;=$C71)*(Canals!$G$24:$G$29=_xlfn.IFS(KS71="Handysize",Main!NB71,KS71="Supramax",MU71,KS71="Panamax",MN71,KS71="NeoPanamax",MG71,KS71="Suezmax",LZ71,KS71="Capesize",LS71,KS71="VLOC",LL71)))))</f>
        <v>#N/A</v>
      </c>
      <c r="PM71" s="136" t="e">
        <f t="array" aca="1" ref="PM71" ca="1">INDEX(Canals!$AL$24:$AL$29,MATCH(2,1/((Canals!$F$24:$F$29&lt;=$C71)*(Canals!$G$24:$G$29=_xlfn.IFS(KS71="Handysize",Main!NB71,KS71="Supramax",MU71,KS71="Panamax",MN71,KS71="NeoPanamax",MG71,KS71="Suezmax",LZ71,KS71="Capesize",LS71,KS71="VLOC",LL71)))))</f>
        <v>#N/A</v>
      </c>
      <c r="PN71" s="136" t="e">
        <f t="array" aca="1" ref="PN71" ca="1">INDEX(Canals!$AM$24:$AM$29,MATCH(2,1/((Canals!$F$24:$F$29&lt;=$C71)*(Canals!$G$24:$G$29=_xlfn.IFS(KS71="Handysize",Main!NB71,KS71="Supramax",MU71,KS71="Panamax",MN71,KS71="NeoPanamax",MG71,KS71="Suezmax",LZ71,KS71="Capesize",LS71,KS71="VLOC",LL71)))))</f>
        <v>#N/A</v>
      </c>
      <c r="PO71" s="136" t="e">
        <f t="array" aca="1" ref="PO71" ca="1">INDEX(Canals!$AN$24:$AN$29,MATCH(2,1/((Canals!$F$24:$F$29&lt;=$C71)*(Canals!$G$24:$G$29=_xlfn.IFS(KS71="Handysize",Main!NB71,KS71="Supramax",MU71,KS71="Panamax",MN71,KS71="NeoPanamax",MG71,KS71="Suezmax",LZ71,KS71="Capesize",LS71,KS71="VLOC",LL71)))))</f>
        <v>#N/A</v>
      </c>
      <c r="PP71" s="136" t="e">
        <f t="array" aca="1" ref="PP71" ca="1">INDEX(Canals!$AO$24:$AO$29,MATCH(2,1/((Canals!$F$24:$F$29&lt;=$C71)*(Canals!$G$24:$G$29=_xlfn.IFS(KS71="Handysize",Main!NB71,KS71="Supramax",MU71,KS71="Panamax",MN71,KS71="NeoPanamax",MG71,KS71="Suezmax",LZ71,KS71="Capesize",LS71,KS71="VLOC",LL71)))))</f>
        <v>#N/A</v>
      </c>
      <c r="PQ71" s="136" t="e">
        <f t="array" aca="1" ref="PQ71" ca="1">INDEX(Canals!$AP$24:$AP$29,MATCH(2,1/((Canals!$F$24:$F$29&lt;=$C71)*(Canals!$G$24:$G$29=_xlfn.IFS(KS71="Handysize",Main!NB71,KS71="Supramax",MU71,KS71="Panamax",MN71,KS71="NeoPanamax",MG71,KS71="Suezmax",LZ71,KS71="Capesize",LS71,KS71="VLOC",LL71)))))</f>
        <v>#N/A</v>
      </c>
      <c r="PR71" s="136" t="e">
        <f t="array" aca="1" ref="PR71" ca="1">INDEX(Canals!$AQ$24:$AQ$29,MATCH(2,1/((Canals!$F$24:$F$29&lt;=$C71)*(Canals!$G$24:$G$29=_xlfn.IFS(KS71="Handysize",Main!NB71,KS71="Supramax",MU71,KS71="Panamax",MN71,KS71="NeoPanamax",MG71,KS71="Suezmax",LZ71,KS71="Capesize",LS71,KS71="VLOC",LL71)))))</f>
        <v>#N/A</v>
      </c>
      <c r="PS71" s="136" t="e">
        <f t="array" aca="1" ref="PS71" ca="1">INDEX(Canals!$AR$24:$AR$29,MATCH(2,1/((Canals!$F$24:$F$29&lt;=$C71)*(Canals!$G$24:$G$29=_xlfn.IFS(KS71="Handysize",Main!NB71,KS71="Supramax",MU71,KS71="Panamax",MN71,KS71="NeoPanamax",MG71,KS71="Suezmax",LZ71,KS71="Capesize",LS71,KS71="VLOC",LL71)))))</f>
        <v>#N/A</v>
      </c>
      <c r="PT71" s="136" t="e">
        <f t="array" aca="1" ref="PT71" ca="1">INDEX(Canals!$AS$24:$AS$29,MATCH(2,1/((Canals!$F$24:$F$29&lt;=$C71)*(Canals!$G$24:$G$29=_xlfn.IFS(KS71="Handysize",Main!NB71,KS71="Supramax",MU71,KS71="Panamax",MN71,KS71="NeoPanamax",MG71,KS71="Suezmax",LZ71,KS71="Capesize",LS71,KS71="VLOC",LL71)))))</f>
        <v>#N/A</v>
      </c>
      <c r="PU71" s="136" t="e">
        <f t="array" aca="1" ref="PU71" ca="1">INDEX(Canals!$AT$24:$AT$29,MATCH(2,1/((Canals!$F$24:$F$29&lt;=$C71)*(Canals!$G$24:$G$29=_xlfn.IFS(KS71="Handysize",Main!NB71,KS71="Supramax",MU71,KS71="Panamax",MN71,KS71="NeoPanamax",MG71,KS71="Suezmax",LZ71,KS71="Capesize",LS71,KS71="VLOC",LL71)))))</f>
        <v>#N/A</v>
      </c>
      <c r="PV71" s="136" t="e">
        <f t="array" aca="1" ref="PV71" ca="1">INDEX(Canals!$AU$24:$AU$29,MATCH(2,1/((Canals!$F$24:$F$29&lt;=$C71)*(Canals!$G$24:$G$29=_xlfn.IFS(KS71="Handysize",Main!NB71,KS71="Supramax",MU71,KS71="Panamax",MN71,KS71="NeoPanamax",MG71,KS71="Suezmax",LZ71,KS71="Capesize",LS71,KS71="VLOC",LL71)))))</f>
        <v>#N/A</v>
      </c>
      <c r="PW71" s="136" t="e">
        <f t="array" aca="1" ref="PW71" ca="1">INDEX(Canals!$AV$24:$AV$29,MATCH(2,1/((Canals!$F$24:$F$29&lt;=$C71)*(Canals!$G$24:$G$29=_xlfn.IFS(KS71="Handysize",Main!NB71,KS71="Supramax",MU71,KS71="Panamax",MN71,KS71="NeoPanamax",MG71,KS71="Suezmax",LZ71,KS71="Capesize",LS71,KS71="VLOC",LL71)))))</f>
        <v>#N/A</v>
      </c>
      <c r="PY71" s="75" t="e">
        <f t="array" aca="1" ref="PY71" ca="1">_xlfn.IFS(OJ71="DWT",KQ71,OJ71="NRT",KU71,OJ71="GRT",KV71)</f>
        <v>#NAME?</v>
      </c>
      <c r="PZ71" s="279" t="e">
        <f t="shared" ref="PZ71:PZ78" ca="1" si="782">IF(PY71&gt;OK71,OK71,PY71)</f>
        <v>#NAME?</v>
      </c>
      <c r="QA71" s="280" t="e">
        <f t="shared" ref="QA71:QA78" ca="1" si="783">IF(PY71&gt;SUM(OK71:OL71),OL71,PY71-SUM(PZ71:PZ71))</f>
        <v>#NAME?</v>
      </c>
      <c r="QB71" s="280" t="e">
        <f t="shared" ref="QB71:QB78" ca="1" si="784">IF(PY71&gt;SUM(OK71:OM71),OM71,PY71-SUM(PZ71:QA71))</f>
        <v>#NAME?</v>
      </c>
      <c r="QC71" s="280" t="e">
        <f t="shared" ref="QC71:QC78" ca="1" si="785">IF(PY71&gt;SUM(OK71:ON71),ON71,PY71-SUM(PZ71:QB71))</f>
        <v>#NAME?</v>
      </c>
      <c r="QD71" s="280" t="e">
        <f t="shared" ref="QD71:QD78" ca="1" si="786">IF(PY71&gt;SUM(OK71:OO71),OO71,PY71-SUM(PZ71:QC71))</f>
        <v>#NAME?</v>
      </c>
      <c r="QE71" s="280" t="e">
        <f t="shared" ref="QE71:QE78" ca="1" si="787">IF(PY71&gt;SUM(OK71:OP71),OP71,PY71-SUM(PZ71:QD71))</f>
        <v>#NAME?</v>
      </c>
      <c r="QF71" s="280" t="e">
        <f t="shared" ref="QF71:QF78" ca="1" si="788">IF(PY71&gt;SUM(OK71:OQ71),OQ71,PY71-SUM(PZ71:QE71))</f>
        <v>#NAME?</v>
      </c>
      <c r="QG71" s="280" t="e">
        <f t="shared" ref="QG71:QG78" ca="1" si="789">IF(PY71&gt;SUM(OK71:OR71),OR71,PY71-SUM(PZ71:QF71))</f>
        <v>#NAME?</v>
      </c>
      <c r="QH71" s="280" t="e">
        <f t="shared" ref="QH71:QH78" ca="1" si="790">IF(PY71&gt;SUM(OK71:OS71),OS71,PY71-SUM(PZ71:QG71))</f>
        <v>#NAME?</v>
      </c>
      <c r="QI71" s="75">
        <f t="shared" ref="QI71:QI78" si="791">KQ71*$JN71</f>
        <v>90588.23529411765</v>
      </c>
      <c r="QJ71" s="279" t="e">
        <f t="shared" ref="QJ71:QJ78" ca="1" si="792">IF(QI71&gt;PD71,PD71,QI71)</f>
        <v>#N/A</v>
      </c>
      <c r="QK71" s="280" t="e">
        <f t="shared" ref="QK71:QK78" ca="1" si="793">IF(QI71&gt;SUM(PD71:PE71),PE71,QI71-SUM(QJ71:QJ71))</f>
        <v>#N/A</v>
      </c>
      <c r="QL71" s="280" t="e">
        <f t="shared" ref="QL71:QL78" ca="1" si="794">IF(QI71&gt;SUM(PD71:PF71),PF71,QI71-SUM(QJ71:QK71))</f>
        <v>#N/A</v>
      </c>
      <c r="QM71" s="280" t="e">
        <f t="shared" ref="QM71:QM78" ca="1" si="795">IF(QI71&gt;SUM(PD71:PG71),PG71,QI71-SUM(QJ71:QL71))</f>
        <v>#N/A</v>
      </c>
      <c r="QN71" s="280" t="e">
        <f t="shared" ref="QN71:QN78" ca="1" si="796">IF(QI71&gt;SUM(PD71:PH71),PH71,QI71-SUM(QJ71:QM71))</f>
        <v>#N/A</v>
      </c>
      <c r="QO71" s="280" t="e">
        <f t="shared" ref="QO71:QO78" ca="1" si="797">IF(QI71&gt;SUM(PD71:PI71),PI71,QI71-SUM(QJ71:QN71))</f>
        <v>#N/A</v>
      </c>
      <c r="QP71" s="280" t="e">
        <f t="shared" ref="QP71:QP78" ca="1" si="798">IF(QI71&gt;SUM(PD71:PJ71),PJ71,QI71-SUM(QJ71:QO71))</f>
        <v>#N/A</v>
      </c>
      <c r="QQ71" s="280" t="e">
        <f t="shared" ref="QQ71:QQ78" ca="1" si="799">IF(QI71&gt;SUM(PD71:PK71),PK71,QI71-SUM(QJ71:QP71))</f>
        <v>#N/A</v>
      </c>
      <c r="QR71" s="280" t="e">
        <f t="shared" ref="QR71:QR78" ca="1" si="800">IF(QI71&gt;SUM(PD71:PL71),PL71,QI71-SUM(QJ71:QQ71))</f>
        <v>#N/A</v>
      </c>
      <c r="QT71" s="75" t="e">
        <f t="array" aca="1" ref="QT71" ca="1">_xlfn.IFS(KS71="Handysize",Main!MV71,KS71="Supramax",MO71,KS71="Panamax",MH71,KS71="NeoPanamax",MA71,KS71="Suezmax",LT71,KS71="Capesize",LM71,KS71="VLOC",LF71)*$JI71</f>
        <v>#NAME?</v>
      </c>
      <c r="QU71" s="274" t="e">
        <f t="array" aca="1" ref="QU71" ca="1">_xlfn.IFS(KS71="Handysize",Main!MW71,KS71="Supramax",MP71,KS71="Panamax",MI71,KS71="NeoPanamax",MB71,KS71="Suezmax",LU71,KS71="Capesize",LN71,KS71="VLOC",LG71)*$JI71</f>
        <v>#NAME?</v>
      </c>
      <c r="QV71" s="71" t="e">
        <f t="array" aca="1" ref="QV71" ca="1">_xlfn.IFS(KS71="Handysize",Main!KX71,KS71="Supramax",KY71,KS71="Panamax",KZ71,KS71="NeoPanamax",LA71,KS71="Suezmax",LB71,KS71="Capesize",LC71,KS71="VLOC",LD71)</f>
        <v>#NAME?</v>
      </c>
      <c r="QW71" s="71" t="e">
        <f t="array" aca="1" ref="QW71" ca="1">_xlfn.IFS(KS71="Handysize",Main!NJ71,KS71="Supramax",NK71,KS71="Panamax",NL71,KS71="NeoPanamax",NM71,KS71="Suezmax",NN71,KS71="Capesize",NO71,KS71="VLOC",NP71)</f>
        <v>#NAME?</v>
      </c>
      <c r="QX71" s="70">
        <f t="array" ref="QX71">INDEX('Ship Speeds'!$G$11:$G$1011,MATCH(2,1/(('Ship Speeds'!$E$11:$E$1011&lt;=Main!$C71)*('Ship Speeds'!$F$11:$F$1011=Main!KR71))))</f>
        <v>11</v>
      </c>
      <c r="QY71" s="403">
        <f t="shared" ref="QY71:QY78" si="801">(($KH71*QX71^2+$KI71*QX71^3+$KG71*QX71)*((KQ71/$KC71)^$KD71)*$KJ71+(KQ71/$KC71)*$KF71+$KE71)</f>
        <v>23.70260984288554</v>
      </c>
      <c r="QZ71" s="401">
        <f t="shared" ref="QZ71:QZ78" si="802">(KQ71/$JY71)*$JZ71+$KA71+$KB71*(KQ71/$JY71)^2</f>
        <v>2.1922895927601811</v>
      </c>
      <c r="RA71" s="70" t="e">
        <f t="shared" ref="RA71:RA78" ca="1" si="803">QT71/QX71/$JH71</f>
        <v>#NAME?</v>
      </c>
      <c r="RB71" s="70" t="e">
        <f t="shared" ref="RB71:RB78" ca="1" si="804">QU71/QX71/$JH71</f>
        <v>#NAME?</v>
      </c>
      <c r="RC71" s="70" t="e">
        <f t="shared" ref="RC71:RC78" ca="1" si="805">IF($AO71="no",$AN71,$AR71)/(1-$AL71)/QV71</f>
        <v>#NAME?</v>
      </c>
      <c r="RD71" s="70" t="e">
        <f t="shared" ref="RD71:RD78" ca="1" si="806">IF($AO71="no",$AN71,$AR71)/(1-$AL71)/QW71</f>
        <v>#NAME?</v>
      </c>
      <c r="RE71" s="72" t="e">
        <f t="shared" ref="RE71:RE78" ca="1" si="807">PW71*$JI71</f>
        <v>#N/A</v>
      </c>
      <c r="RF71" s="70" t="e">
        <f t="shared" ref="RF71:RF78" ca="1" si="808">MAX(SUM(RA71:RE71)*$JV71,$JU71)</f>
        <v>#NAME?</v>
      </c>
      <c r="RG71" s="70" t="e">
        <f t="array" aca="1" ref="RG71" ca="1">INDEX(ND71:NH71,MATCH(_xlfn.IFS(KS71="Handysize",Main!MZ71,KS71="Supramax",MS71,KS71="Panamax",ML71,KS71="NeoPanamax",ME71,KS71="Suezmax",LX71,KS71="Capesize",LQ71,KS71="VLOC",LJ71),$ND$7:$NH$7,0))</f>
        <v>#NAME?</v>
      </c>
      <c r="RH71" s="70" t="e">
        <f t="array" aca="1" ref="RH71" ca="1">INDEX(ND71:NH71,MATCH(_xlfn.IFS(KS71="Handysize",Main!NA71,KS71="Supramax",MT71,KS71="Panamax",MM71,KS71="NeoPanamax",MF71,KS71="Suezmax",LY71,KS71="Capesize",LR71,KS71="VLOC",LK71),$ND$7:$NH$7,0))</f>
        <v>#NAME?</v>
      </c>
      <c r="RI71" s="71" t="e">
        <f t="shared" ref="RI71:RI78" ca="1" si="809">RA71*QY71*RG71</f>
        <v>#NAME?</v>
      </c>
      <c r="RJ71" s="71" t="e">
        <f t="shared" ref="RJ71:RJ78" ca="1" si="810">SUM(RC71:RF71)*QZ71*RH71+RB71*QY71*RH71</f>
        <v>#NAME?</v>
      </c>
      <c r="RK71" s="281">
        <f t="shared" ref="RK71:RK78" si="811">INDEX($JA71:$JD71,MATCH(NQ71,$JA$7:$JD$7,0))</f>
        <v>7.0834199999999994</v>
      </c>
      <c r="RL71" s="71">
        <f t="shared" ref="RL71:RL78" si="812">NR71/RK71</f>
        <v>1742.3786814843679</v>
      </c>
      <c r="RM71" s="71" t="e">
        <f t="shared" ref="RM71:RM78" ca="1" si="813">NS71*SUM(RD71,$JX71)/RK71</f>
        <v>#NAME?</v>
      </c>
      <c r="RN71" s="71" t="e">
        <f t="shared" ref="RN71:RN78" ca="1" si="814">NT71*(RF71*(1-$JW71))/RK71</f>
        <v>#NAME?</v>
      </c>
      <c r="RO71" s="71">
        <f t="shared" ref="RO71:RO78" si="815">NU71*(KQ71*$JN71)/RK71</f>
        <v>33762.355073745537</v>
      </c>
      <c r="RP71" s="71" t="e">
        <f t="shared" ref="RP71:RP78" ca="1" si="816">NV71*(KQ71*$JN71)*SUM(RD71,$JX71)/RK71</f>
        <v>#NAME?</v>
      </c>
      <c r="RQ71" s="71" t="e">
        <f t="shared" ref="RQ71:RQ78" ca="1" si="817">NW71*(KQ71*$JN71)*(RF71*(1-$JW71))/RK71</f>
        <v>#NAME?</v>
      </c>
      <c r="RR71" s="71">
        <f t="shared" ref="RR71:RR78" si="818">NX71*KU71/RK71</f>
        <v>23969.461999406663</v>
      </c>
      <c r="RS71" s="71" t="e">
        <f t="shared" ref="RS71:RS78" ca="1" si="819">NY71*KU71*SUM(RD71,$JX71)/RK71</f>
        <v>#NAME?</v>
      </c>
      <c r="RT71" s="71" t="e">
        <f t="shared" ref="RT71:RT78" ca="1" si="820">NZ71*KU71*(RF71*(1-$JW71))/RK71</f>
        <v>#NAME?</v>
      </c>
      <c r="RU71" s="71">
        <f t="shared" ref="RU71:RU78" si="821">OA71*KV71/RK71</f>
        <v>0</v>
      </c>
      <c r="RV71" s="71" t="e">
        <f t="shared" ref="RV71:RV78" ca="1" si="822">OB71*KV71*SUM(RD71,$JX71)/RK71</f>
        <v>#NAME?</v>
      </c>
      <c r="RW71" s="71" t="e">
        <f t="shared" ref="RW71:RW78" ca="1" si="823">OC71*KV71*(RF71*(1-$JW71))/RK71</f>
        <v>#NAME?</v>
      </c>
      <c r="RX71" s="72">
        <f t="shared" ref="RX71:RX78" si="824">OD71*KT71/RK71</f>
        <v>6313.2298390872393</v>
      </c>
      <c r="RY71" s="72" t="e">
        <f t="shared" ref="RY71:RY78" ca="1" si="825">OE71*KT71*SUM(RD71,$JX71)/RK71</f>
        <v>#NAME?</v>
      </c>
      <c r="RZ71" s="71" t="e">
        <f t="shared" ref="RZ71:RZ78" ca="1" si="826">OF71*KT71*(RF71*(1-$JW71))/RK71</f>
        <v>#NAME?</v>
      </c>
      <c r="SA71" s="71" t="e">
        <f t="array" aca="1" ref="SA71" ca="1">INDEX('Ship Time Charter Rates'!$H$22:$H$1021,MATCH(2,1/(('Ship Time Charter Rates'!$G$22:$G$1021=_xlfn.IFS(KS71="Handysize",Main!MX71,KS71="Supramax",MQ71,KS71="Panamax",MJ71,KS71="NeoPanamax",MC71,KS71="Suezmax",LV71,KS71="Capesize",LO71,KS71="VLOC",LH71))*('Ship Time Charter Rates'!$E$22:$E$1021&lt;=Main!$C71)*(NOT(ISBLANK('Ship Time Charter Rates'!$H$22:$H$1021))))))</f>
        <v>#N/A</v>
      </c>
      <c r="SB71" s="71" t="e">
        <f t="shared" ref="SB71:SB78" ca="1" si="827">SUM(RA71:RF71,$JI71*$JX71)*SA71</f>
        <v>#NAME?</v>
      </c>
      <c r="SC71" s="70" t="e">
        <f t="shared" ref="SC71:SC78" ca="1" si="828">SUMPRODUCT(OT71:PB71,PZ71:QH71)+SUMPRODUCT(PM71:PU71,QJ71:QR71)</f>
        <v>#N/A</v>
      </c>
      <c r="SD71" s="71" t="e">
        <f t="shared" ref="SD71:SD78" ca="1" si="829">SUM(RI71,RJ71)+SB71+SC71+SUM(RL71:RZ71)</f>
        <v>#NAME?</v>
      </c>
      <c r="SE71" s="71" t="e">
        <f t="shared" ref="SE71:SE78" ca="1" si="830">SD71*(1+$KL71)</f>
        <v>#NAME?</v>
      </c>
      <c r="SF71" s="72" t="e">
        <f t="shared" ref="SF71:SF78" ca="1" si="831">IF(SE71=0,0,SE71/(KQ71*(1-$AL71)*$JN71))</f>
        <v>#NAME?</v>
      </c>
      <c r="SH71" s="25">
        <f t="shared" ref="SH71:SH78" si="832">IF($AO71="yes",$AN71,$AR71)/(1-$AL71)/$JN71</f>
        <v>0</v>
      </c>
      <c r="SI71" s="4" t="str">
        <f>VLOOKUP(SH71,'Ship Time Charter Rates'!$F$10:$G$17,2,TRUE)</f>
        <v>Handysize</v>
      </c>
      <c r="SJ71" s="4" t="str">
        <f>VLOOKUP(SH71,Canals!$E$5:$F$12,2,TRUE)</f>
        <v>Handysize</v>
      </c>
      <c r="SK71" s="25">
        <f t="shared" ref="SK71:SK78" si="833">(SH71*$JO71 + $JP71)</f>
        <v>145.88999999999999</v>
      </c>
      <c r="SL71" s="25">
        <f t="shared" ref="SL71:SL78" si="834">(SH71*$JQ71+$JR71)</f>
        <v>0</v>
      </c>
      <c r="SM71" s="25">
        <f t="shared" ref="SM71:SM78" si="835">(SH71*$JS71+$JT71)</f>
        <v>4797</v>
      </c>
      <c r="SO71" s="75">
        <f t="array" ref="SO71">INDEX('Indices Mines Exporting Ports'!$R$20:$R$51,MATCH(2,1/(('Indices Mines Exporting Ports'!$D$20:$D$51&lt;=Main!$C71)*('Indices Mines Exporting Ports'!$Q$20:$Q$51=$AQ71))))</f>
        <v>0</v>
      </c>
      <c r="SP71" s="75">
        <f t="array" ref="SP71">INDEX('Indices Mines Exporting Ports'!$S$20:$S$51,MATCH(2,1/(('Indices Mines Exporting Ports'!$D$20:$D$51&lt;=Main!$C71)*('Indices Mines Exporting Ports'!$Q$20:$Q$51=$AQ71))))</f>
        <v>0</v>
      </c>
      <c r="SQ71" s="75">
        <f t="array" ref="SQ71">INDEX('Indices Mines Exporting Ports'!$T$20:$T$51,MATCH(2,1/(('Indices Mines Exporting Ports'!$D$20:$D$51&lt;=Main!$C71)*('Indices Mines Exporting Ports'!$Q$20:$Q$51=$AQ71))))</f>
        <v>0</v>
      </c>
      <c r="SR71" s="75">
        <f t="array" ref="SR71">INDEX('Indices Mines Exporting Ports'!$U$20:$U$51,MATCH(2,1/(('Indices Mines Exporting Ports'!$D$20:$D$51&lt;=Main!$C71)*('Indices Mines Exporting Ports'!$Q$20:$Q$51=$AQ71))))</f>
        <v>0</v>
      </c>
      <c r="SS71" s="75">
        <f t="array" ref="SS71">INDEX('Indices Mines Exporting Ports'!$V$20:$V$51,MATCH(2,1/(('Indices Mines Exporting Ports'!$D$20:$D$51&lt;=Main!$C71)*('Indices Mines Exporting Ports'!$Q$20:$Q$51=$AQ71))))</f>
        <v>0</v>
      </c>
      <c r="ST71" s="75">
        <f t="array" ref="ST71">INDEX('Indices Mines Exporting Ports'!$W$20:$W$51,MATCH(2,1/(('Indices Mines Exporting Ports'!$D$20:$D$51&lt;=Main!$C71)*('Indices Mines Exporting Ports'!$Q$20:$Q$51=$AQ71))))</f>
        <v>0</v>
      </c>
      <c r="SU71" s="75">
        <f t="array" ref="SU71">INDEX('Indices Mines Exporting Ports'!$X$20:$X$51,MATCH(2,1/(('Indices Mines Exporting Ports'!$D$20:$D$51&lt;=Main!$C71)*('Indices Mines Exporting Ports'!$Q$20:$Q$51=$AQ71))))</f>
        <v>0</v>
      </c>
      <c r="SW71" s="75">
        <f t="array" ref="SW71">INDEX('Port Linkages'!$E$18:$E$157,MATCH(2,1/(('Port Linkages'!$C$18:$C$157=$AQ71)*('Port Linkages'!$D$18:$D$157=IF($AO71="no",$AQ71,$AS71))*('Port Linkages'!$A$18:$A$157&lt;=$C71))))</f>
        <v>0</v>
      </c>
      <c r="SX71" s="75">
        <f t="array" ref="SX71">INDEX('Port Linkages'!$F$18:$F$157,MATCH(2,1/(('Port Linkages'!$C$18:$C$157=$AQ71)*('Port Linkages'!$D$18:$D$157=IF($AO71="no",$AQ71,$AS71))*('Port Linkages'!$A$18:$A$157&lt;=$C71))))</f>
        <v>0</v>
      </c>
      <c r="SY71" s="75">
        <f t="array" ref="SY71">INDEX('Port Linkages'!$G$18:$G$157,MATCH(2,1/(('Port Linkages'!$C$18:$C$157=$AQ71)*('Port Linkages'!$D$18:$D$157=IF($AO71="no",$AQ71,$AS71))*('Port Linkages'!$A$18:$A$157&lt;=$C71))))</f>
        <v>0</v>
      </c>
      <c r="SZ71" s="75">
        <f t="array" ref="SZ71">INDEX('Port Linkages'!$H$18:$H$157,MATCH(2,1/(('Port Linkages'!$C$18:$C$157=$AQ71)*('Port Linkages'!$D$18:$D$157=IF($AO71="no",$AQ71,$AS71))*('Port Linkages'!$A$18:$A$157&lt;=$C71))))</f>
        <v>0</v>
      </c>
      <c r="TA71" s="75">
        <f t="array" ref="TA71">INDEX('Port Linkages'!$I$18:$I$157,MATCH(2,1/(('Port Linkages'!$C$18:$C$157=$AQ71)*('Port Linkages'!$D$18:$D$157=IF($AO71="no",$AQ71,$AS71))*('Port Linkages'!$A$18:$A$157&lt;=$C71))))</f>
        <v>0</v>
      </c>
      <c r="TB71" s="75">
        <f t="array" ref="TB71">INDEX('Port Linkages'!$J$18:$J$157,MATCH(2,1/(('Port Linkages'!$C$18:$C$157=$AQ71)*('Port Linkages'!$D$18:$D$157=IF($AO71="no",$AQ71,$AS71))*('Port Linkages'!$A$18:$A$157&lt;=$C71))))</f>
        <v>0</v>
      </c>
      <c r="TC71" s="75">
        <f t="array" ref="TC71">INDEX('Port Linkages'!$K$18:$K$157,MATCH(2,1/(('Port Linkages'!$C$18:$C$157=$AQ71)*('Port Linkages'!$D$18:$D$157=IF($AO71="no",$AQ71,$AS71))*('Port Linkages'!$A$18:$A$157&lt;=$C71))))</f>
        <v>0</v>
      </c>
      <c r="TD71" s="75">
        <f t="array" ref="TD71">INDEX('Port Linkages'!$L$18:$L$157,MATCH(2,1/(('Port Linkages'!$C$18:$C$157=$AQ71)*('Port Linkages'!$D$18:$D$157=IF($AO71="no",$AQ71,$AS71))*('Port Linkages'!$A$18:$A$157&lt;=$C71))))</f>
        <v>0</v>
      </c>
      <c r="TE71" s="75">
        <f t="array" ref="TE71">INDEX('Port Linkages'!$M$18:$M$157,MATCH(2,1/(('Port Linkages'!$C$18:$C$157=$AQ71)*('Port Linkages'!$D$18:$D$157=IF($AO71="no",$AQ71,$AS71))*('Port Linkages'!$A$18:$A$157&lt;=$C71))))</f>
        <v>0</v>
      </c>
      <c r="TF71" s="75">
        <f t="array" ref="TF71">INDEX('Port Linkages'!$N$18:$N$157,MATCH(2,1/(('Port Linkages'!$C$18:$C$157=$AQ71)*('Port Linkages'!$D$18:$D$157=IF($AO71="no",$AQ71,$AS71))*('Port Linkages'!$A$18:$A$157&lt;=$C71))))</f>
        <v>0</v>
      </c>
      <c r="TG71" s="75">
        <f t="array" ref="TG71">INDEX('Port Linkages'!$O$18:$O$157,MATCH(2,1/(('Port Linkages'!$C$18:$C$157=$AQ71)*('Port Linkages'!$D$18:$D$157=IF($AO71="no",$AQ71,$AS71))*('Port Linkages'!$A$18:$A$157&lt;=$C71))))</f>
        <v>0</v>
      </c>
      <c r="TH71" s="75">
        <f t="array" ref="TH71">INDEX('Port Linkages'!$P$18:$P$157,MATCH(2,1/(('Port Linkages'!$C$18:$C$157=$AQ71)*('Port Linkages'!$D$18:$D$157=IF($AO71="no",$AQ71,$AS71))*('Port Linkages'!$A$18:$A$157&lt;=$C71))))</f>
        <v>0</v>
      </c>
      <c r="TI71" s="75">
        <f t="array" ref="TI71">INDEX('Port Linkages'!$Q$18:$Q$157,MATCH(2,1/(('Port Linkages'!$C$18:$C$157=$AQ71)*('Port Linkages'!$D$18:$D$157=IF($AO71="no",$AQ71,$AS71))*('Port Linkages'!$A$18:$A$157&lt;=$C71))))</f>
        <v>0</v>
      </c>
      <c r="TJ71" s="75">
        <f t="array" ref="TJ71">INDEX('Port Linkages'!$R$18:$R$157,MATCH(2,1/(('Port Linkages'!$C$18:$C$157=$AQ71)*('Port Linkages'!$D$18:$D$157=IF($AO71="no",$AQ71,$AS71))*('Port Linkages'!$A$18:$A$157&lt;=$C71))))</f>
        <v>0</v>
      </c>
      <c r="TK71" s="75">
        <f t="array" ref="TK71">INDEX('Port Linkages'!$S$18:$S$157,MATCH(2,1/(('Port Linkages'!$C$18:$C$157=$AQ71)*('Port Linkages'!$D$18:$D$157=IF($AO71="no",$AQ71,$AS71))*('Port Linkages'!$A$18:$A$157&lt;=$C71))))</f>
        <v>0</v>
      </c>
      <c r="TL71" s="75">
        <f t="array" ref="TL71">INDEX('Port Linkages'!$T$18:$T$157,MATCH(2,1/(('Port Linkages'!$C$18:$C$157=$AQ71)*('Port Linkages'!$D$18:$D$157=IF($AO71="no",$AQ71,$AS71))*('Port Linkages'!$A$18:$A$157&lt;=$C71))))</f>
        <v>0</v>
      </c>
      <c r="TM71" s="75">
        <f t="array" ref="TM71">INDEX('Port Linkages'!$U$18:$U$157,MATCH(2,1/(('Port Linkages'!$C$18:$C$157=$AQ71)*('Port Linkages'!$D$18:$D$157=IF($AO71="no",$AQ71,$AS71))*('Port Linkages'!$A$18:$A$157&lt;=$C71))))</f>
        <v>0</v>
      </c>
      <c r="TN71" s="75">
        <f t="array" ref="TN71">INDEX('Port Linkages'!$V$18:$V$157,MATCH(2,1/(('Port Linkages'!$C$18:$C$157=$AQ71)*('Port Linkages'!$D$18:$D$157=IF($AO71="no",$AQ71,$AS71))*('Port Linkages'!$A$18:$A$157&lt;=$C71))))</f>
        <v>0</v>
      </c>
      <c r="TO71" s="75">
        <f t="array" ref="TO71">INDEX('Port Linkages'!$W$18:$W$157,MATCH(2,1/(('Port Linkages'!$C$18:$C$157=$AQ71)*('Port Linkages'!$D$18:$D$157=IF($AO71="no",$AQ71,$AS71))*('Port Linkages'!$A$18:$A$157&lt;=$C71))))</f>
        <v>0</v>
      </c>
      <c r="TP71" s="75">
        <f t="array" ref="TP71">INDEX('Port Linkages'!$X$18:$X$157,MATCH(2,1/(('Port Linkages'!$C$18:$C$157=$AQ71)*('Port Linkages'!$D$18:$D$157=IF($AO71="no",$AQ71,$AS71))*('Port Linkages'!$A$18:$A$157&lt;=$C71))))</f>
        <v>0</v>
      </c>
      <c r="TQ71" s="75">
        <f t="array" ref="TQ71">INDEX('Port Linkages'!$Y$18:$Y$157,MATCH(2,1/(('Port Linkages'!$C$18:$C$157=$AQ71)*('Port Linkages'!$D$18:$D$157=IF($AO71="no",$AQ71,$AS71))*('Port Linkages'!$A$18:$A$157&lt;=$C71))))</f>
        <v>0</v>
      </c>
      <c r="TR71" s="75">
        <f t="array" ref="TR71">INDEX('Port Linkages'!$Z$18:$Z$157,MATCH(2,1/(('Port Linkages'!$C$18:$C$157=$AQ71)*('Port Linkages'!$D$18:$D$157=IF($AO71="no",$AQ71,$AS71))*('Port Linkages'!$A$18:$A$157&lt;=$C71))))</f>
        <v>0</v>
      </c>
      <c r="TS71" s="75">
        <f t="array" ref="TS71">INDEX('Port Linkages'!$AA$18:$AA$157,MATCH(2,1/(('Port Linkages'!$C$18:$C$157=$AQ71)*('Port Linkages'!$D$18:$D$157=IF($AO71="no",$AQ71,$AS71))*('Port Linkages'!$A$18:$A$157&lt;=$C71))))</f>
        <v>0</v>
      </c>
      <c r="TT71" s="75">
        <f t="array" ref="TT71">INDEX('Port Linkages'!$AB$18:$AB$157,MATCH(2,1/(('Port Linkages'!$C$18:$C$157=$AQ71)*('Port Linkages'!$D$18:$D$157=IF($AO71="no",$AQ71,$AS71))*('Port Linkages'!$A$18:$A$157&lt;=$C71))))</f>
        <v>0</v>
      </c>
      <c r="TU71" s="75">
        <f t="array" ref="TU71">INDEX('Port Linkages'!$AC$18:$AC$157,MATCH(2,1/(('Port Linkages'!$C$18:$C$157=$AQ71)*('Port Linkages'!$D$18:$D$157=IF($AO71="no",$AQ71,$AS71))*('Port Linkages'!$A$18:$A$157&lt;=$C71))))</f>
        <v>0</v>
      </c>
      <c r="TV71" s="75">
        <f t="array" ref="TV71">INDEX('Port Linkages'!$AD$18:$AD$157,MATCH(2,1/(('Port Linkages'!$C$18:$C$157=$AQ71)*('Port Linkages'!$D$18:$D$157=IF($AO71="no",$AQ71,$AS71))*('Port Linkages'!$A$18:$A$157&lt;=$C71))))</f>
        <v>0</v>
      </c>
      <c r="TW71" s="75">
        <f t="array" ref="TW71">INDEX('Port Linkages'!$AE$18:$AE$157,MATCH(2,1/(('Port Linkages'!$C$18:$C$157=$AQ71)*('Port Linkages'!$D$18:$D$157=IF($AO71="no",$AQ71,$AS71))*('Port Linkages'!$A$18:$A$157&lt;=$C71))))</f>
        <v>0</v>
      </c>
      <c r="TX71" s="75">
        <f t="array" ref="TX71">INDEX('Port Linkages'!$AF$18:$AF$157,MATCH(2,1/(('Port Linkages'!$C$18:$C$157=$AQ71)*('Port Linkages'!$D$18:$D$157=IF($AO71="no",$AQ71,$AS71))*('Port Linkages'!$A$18:$A$157&lt;=$C71))))</f>
        <v>0</v>
      </c>
      <c r="TY71" s="75">
        <f t="array" ref="TY71">INDEX('Port Linkages'!$AG$18:$AG$157,MATCH(2,1/(('Port Linkages'!$C$18:$C$157=$AQ71)*('Port Linkages'!$D$18:$D$157=IF($AO71="no",$AQ71,$AS71))*('Port Linkages'!$A$18:$A$157&lt;=$C71))))</f>
        <v>0</v>
      </c>
      <c r="TZ71" s="75">
        <f t="array" ref="TZ71">INDEX('Port Linkages'!$AH$18:$AH$157,MATCH(2,1/(('Port Linkages'!$C$18:$C$157=$AQ71)*('Port Linkages'!$D$18:$D$157=IF($AO71="no",$AQ71,$AS71))*('Port Linkages'!$A$18:$A$157&lt;=$C71))))</f>
        <v>0</v>
      </c>
      <c r="UA71" s="75">
        <f t="array" ref="UA71">INDEX('Port Linkages'!$AI$18:$AI$157,MATCH(2,1/(('Port Linkages'!$C$18:$C$157=$AQ71)*('Port Linkages'!$D$18:$D$157=IF($AO71="no",$AQ71,$AS71))*('Port Linkages'!$A$18:$A$157&lt;=$C71))))</f>
        <v>0</v>
      </c>
      <c r="UB71" s="75">
        <f t="array" ref="UB71">INDEX('Port Linkages'!$AJ$18:$AJ$157,MATCH(2,1/(('Port Linkages'!$C$18:$C$157=$AQ71)*('Port Linkages'!$D$18:$D$157=IF($AO71="no",$AQ71,$AS71))*('Port Linkages'!$A$18:$A$157&lt;=$C71))))</f>
        <v>0</v>
      </c>
      <c r="UC71" s="75">
        <f t="array" ref="UC71">INDEX('Port Linkages'!$AK$18:$AK$157,MATCH(2,1/(('Port Linkages'!$C$18:$C$157=$AQ71)*('Port Linkages'!$D$18:$D$157=IF($AO71="no",$AQ71,$AS71))*('Port Linkages'!$A$18:$A$157&lt;=$C71))))</f>
        <v>0</v>
      </c>
      <c r="UD71" s="75">
        <f t="array" ref="UD71">INDEX('Port Linkages'!$AL$18:$AL$157,MATCH(2,1/(('Port Linkages'!$C$18:$C$157=$AQ71)*('Port Linkages'!$D$18:$D$157=IF($AO71="no",$AQ71,$AS71))*('Port Linkages'!$A$18:$A$157&lt;=$C71))))</f>
        <v>0</v>
      </c>
      <c r="UE71" s="75">
        <f t="array" ref="UE71">INDEX('Port Linkages'!$AM$18:$AM$157,MATCH(2,1/(('Port Linkages'!$C$18:$C$157=$AQ71)*('Port Linkages'!$D$18:$D$157=IF($AO71="no",$AQ71,$AS71))*('Port Linkages'!$A$18:$A$157&lt;=$C71))))</f>
        <v>0</v>
      </c>
      <c r="UF71" s="75">
        <f t="array" ref="UF71">INDEX('Port Linkages'!$AN$18:$AN$157,MATCH(2,1/(('Port Linkages'!$C$18:$C$157=$AQ71)*('Port Linkages'!$D$18:$D$157=IF($AO71="no",$AQ71,$AS71))*('Port Linkages'!$A$18:$A$157&lt;=$C71))))</f>
        <v>0</v>
      </c>
      <c r="UG71" s="75">
        <f t="array" ref="UG71">INDEX('Port Linkages'!$AO$18:$AO$157,MATCH(2,1/(('Port Linkages'!$C$18:$C$157=$AQ71)*('Port Linkages'!$D$18:$D$157=IF($AO71="no",$AQ71,$AS71))*('Port Linkages'!$A$18:$A$157&lt;=$C71))))</f>
        <v>0</v>
      </c>
      <c r="UH71" s="75">
        <f t="array" ref="UH71">INDEX('Port Linkages'!$AP$18:$AP$157,MATCH(2,1/(('Port Linkages'!$C$18:$C$157=$AQ71)*('Port Linkages'!$D$18:$D$157=IF($AO71="no",$AQ71,$AS71))*('Port Linkages'!$A$18:$A$157&lt;=$C71))))</f>
        <v>0</v>
      </c>
      <c r="UI71" s="75">
        <f t="array" ref="UI71">INDEX('Port Linkages'!$AQ$18:$AQ$157,MATCH(2,1/(('Port Linkages'!$C$18:$C$157=$AQ71)*('Port Linkages'!$D$18:$D$157=IF($AO71="no",$AQ71,$AS71))*('Port Linkages'!$A$18:$A$157&lt;=$C71))))</f>
        <v>0</v>
      </c>
      <c r="UJ71" s="75">
        <f t="array" ref="UJ71">INDEX('Port Linkages'!$AR$18:$AR$157,MATCH(2,1/(('Port Linkages'!$C$18:$C$157=$AQ71)*('Port Linkages'!$D$18:$D$157=IF($AO71="no",$AQ71,$AS71))*('Port Linkages'!$A$18:$A$157&lt;=$C71))))</f>
        <v>0</v>
      </c>
      <c r="UK71" s="75">
        <f t="array" ref="UK71">INDEX('Port Linkages'!$AS$18:$AS$157,MATCH(2,1/(('Port Linkages'!$C$18:$C$157=$AQ71)*('Port Linkages'!$D$18:$D$157=IF($AO71="no",$AQ71,$AS71))*('Port Linkages'!$A$18:$A$157&lt;=$C71))))</f>
        <v>0</v>
      </c>
      <c r="UL71" s="75">
        <f t="array" ref="UL71">INDEX('Port Linkages'!$AT$18:$AT$157,MATCH(2,1/(('Port Linkages'!$C$18:$C$157=$AQ71)*('Port Linkages'!$D$18:$D$157=IF($AO71="no",$AQ71,$AS71))*('Port Linkages'!$A$18:$A$157&lt;=$C71))))</f>
        <v>0</v>
      </c>
      <c r="UM71" s="75">
        <f t="array" ref="UM71">INDEX('Port Linkages'!$AU$18:$AU$157,MATCH(2,1/(('Port Linkages'!$C$18:$C$157=$AQ71)*('Port Linkages'!$D$18:$D$157=IF($AO71="no",$AQ71,$AS71))*('Port Linkages'!$A$18:$A$157&lt;=$C71))))</f>
        <v>0</v>
      </c>
      <c r="UN71" s="75">
        <f t="array" ref="UN71">INDEX('Port Linkages'!$AV$18:$AV$157,MATCH(2,1/(('Port Linkages'!$C$18:$C$157=$AQ71)*('Port Linkages'!$D$18:$D$157=IF($AO71="no",$AQ71,$AS71))*('Port Linkages'!$A$18:$A$157&lt;=$C71))))</f>
        <v>0</v>
      </c>
      <c r="UO71" s="75">
        <f t="array" ref="UO71">INDEX('Port Linkages'!$AW$18:$AW$157,MATCH(2,1/(('Port Linkages'!$C$18:$C$157=$AQ71)*('Port Linkages'!$D$18:$D$157=IF($AO71="no",$AQ71,$AS71))*('Port Linkages'!$A$18:$A$157&lt;=$C71))))</f>
        <v>0</v>
      </c>
      <c r="UP71" s="75">
        <f t="array" ref="UP71">INDEX('Port Linkages'!$AX$18:$AX$157,MATCH(2,1/(('Port Linkages'!$C$18:$C$157=$AQ71)*('Port Linkages'!$D$18:$D$157=IF($AO71="no",$AQ71,$AS71))*('Port Linkages'!$A$18:$A$157&lt;=$C71))))</f>
        <v>0</v>
      </c>
      <c r="UQ71" s="75">
        <f t="array" ref="UQ71">INDEX('Port Linkages'!$AY$18:$AY$157,MATCH(2,1/(('Port Linkages'!$C$18:$C$157=$AQ71)*('Port Linkages'!$D$18:$D$157=IF($AO71="no",$AQ71,$AS71))*('Port Linkages'!$A$18:$A$157&lt;=$C71))))</f>
        <v>0</v>
      </c>
      <c r="UR71" s="75">
        <f t="array" ref="UR71">INDEX('Port Linkages'!$AZ$18:$AZ$157,MATCH(2,1/(('Port Linkages'!$C$18:$C$157=$AQ71)*('Port Linkages'!$D$18:$D$157=IF($AO71="no",$AQ71,$AS71))*('Port Linkages'!$A$18:$A$157&lt;=$C71))))</f>
        <v>0</v>
      </c>
      <c r="US71" s="75">
        <f t="array" ref="US71">INDEX('Port Linkages'!$BA$18:$BA$157,MATCH(2,1/(('Port Linkages'!$C$18:$C$157=$AQ71)*('Port Linkages'!$D$18:$D$157=IF($AO71="no",$AQ71,$AS71))*('Port Linkages'!$A$18:$A$157&lt;=$C71))))</f>
        <v>0</v>
      </c>
      <c r="UU71" s="25" t="e">
        <f t="array" aca="1" ref="UU71" ca="1">INDEX('Ship Fuel Prices'!$F$5:$F$1004,MATCH(2,1/(('Ship Fuel Prices'!$E$5:$E$1004=_xlfn.IFS(SJ71="Handysize",Main!UP71,SJ71="Supramax",UI71,SJ71="Panamax",UB71,SJ71="NeoPanamax",TU71,SJ71="Suezmax",TN71,SJ71="Capesize",TG71,SJ71="VLOC",SZ71))*('Ship Fuel Prices'!$D$5:$D$1004&lt;=Main!$C71))))</f>
        <v>#N/A</v>
      </c>
      <c r="UV71" s="25" t="e">
        <f t="array" aca="1" ref="UV71" ca="1">INDEX('Ship Fuel Prices'!$G$5:$G$1004,MATCH(2,1/(('Ship Fuel Prices'!$E$5:$E$1004=_xlfn.IFS(SJ71="Handysize",Main!UP71,SJ71="Supramax",UI71,SJ71="Panamax",UB71,SJ71="NeoPanamax",TU71,SJ71="Suezmax",TN71,SJ71="Capesize",TG71,SJ71="VLOC",SZ71))*('Ship Fuel Prices'!$D$5:$D$1004&lt;=Main!$C71))))</f>
        <v>#N/A</v>
      </c>
      <c r="UW71" s="25" t="e">
        <f t="array" aca="1" ref="UW71" ca="1">INDEX('Ship Fuel Prices'!$H$5:$H$1004,MATCH(2,1/(('Ship Fuel Prices'!$E$5:$E$1004=_xlfn.IFS(SJ71="Handysize",Main!UP71,SJ71="Supramax",UI71,SJ71="Panamax",UB71,SJ71="NeoPanamax",TU71,SJ71="Suezmax",TN71,SJ71="Capesize",TG71,SJ71="VLOC",SZ71))*('Ship Fuel Prices'!$D$5:$D$1004&lt;=Main!$C71))))</f>
        <v>#N/A</v>
      </c>
      <c r="UX71" s="25" t="e">
        <f t="array" aca="1" ref="UX71" ca="1">INDEX('Ship Fuel Prices'!$I$5:$I$1004,MATCH(2,1/(('Ship Fuel Prices'!$E$5:$E$1004=_xlfn.IFS(SJ71="Handysize",Main!UP71,SJ71="Supramax",UI71,SJ71="Panamax",UB71,SJ71="NeoPanamax",TU71,SJ71="Suezmax",TN71,SJ71="Capesize",TG71,SJ71="VLOC",SZ71))*('Ship Fuel Prices'!$D$5:$D$1004&lt;=Main!$C71))))</f>
        <v>#N/A</v>
      </c>
      <c r="UY71" s="25" t="e">
        <f t="array" aca="1" ref="UY71" ca="1">INDEX('Ship Fuel Prices'!$J$5:$J$1004,MATCH(2,1/(('Ship Fuel Prices'!$E$5:$E$1004=_xlfn.IFS(SJ71="Handysize",Main!UP71,SJ71="Supramax",UI71,SJ71="Panamax",UB71,SJ71="NeoPanamax",TU71,SJ71="Suezmax",TN71,SJ71="Capesize",TG71,SJ71="VLOC",SZ71))*('Ship Fuel Prices'!$D$5:$D$1004&lt;=Main!$C71))))</f>
        <v>#N/A</v>
      </c>
      <c r="VA71" s="75">
        <f t="array" ref="VA71">INDEX('China n Importing Ports'!$E$20:$E$41,MATCH(2,1/(('China n Importing Ports'!$D$20:$D$41&lt;=$C71)*('China n Importing Ports'!$C$20:$C$41=IF($AO71="No",$AQ71,$AS71)))))</f>
        <v>0</v>
      </c>
      <c r="VB71" s="75">
        <f t="array" ref="VB71">INDEX('China n Importing Ports'!$F$20:$F$41,MATCH(2,1/(('China n Importing Ports'!$D$20:$D$41&lt;=$C71)*('China n Importing Ports'!$C$20:$C$41=IF($AO71="No",$AQ71,$AS71)))))</f>
        <v>0</v>
      </c>
      <c r="VC71" s="75">
        <f t="array" ref="VC71">INDEX('China n Importing Ports'!$G$20:$G$41,MATCH(2,1/(('China n Importing Ports'!$D$20:$D$41&lt;=$C71)*('China n Importing Ports'!$C$20:$C$41=IF($AO71="No",$AQ71,$AS71)))))</f>
        <v>0</v>
      </c>
      <c r="VD71" s="75">
        <f t="array" ref="VD71">INDEX('China n Importing Ports'!$H$20:$H$41,MATCH(2,1/(('China n Importing Ports'!$D$20:$D$41&lt;=$C71)*('China n Importing Ports'!$C$20:$C$41=IF($AO71="No",$AQ71,$AS71)))))</f>
        <v>0</v>
      </c>
      <c r="VE71" s="75">
        <f t="array" ref="VE71">INDEX('China n Importing Ports'!$I$20:$I$41,MATCH(2,1/(('China n Importing Ports'!$D$20:$D$41&lt;=$C71)*('China n Importing Ports'!$C$20:$C$41=IF($AO71="No",$AQ71,$AS71)))))</f>
        <v>0</v>
      </c>
      <c r="VF71" s="75">
        <f t="array" ref="VF71">INDEX('China n Importing Ports'!$J$20:$J$41,MATCH(2,1/(('China n Importing Ports'!$D$20:$D$41&lt;=$C71)*('China n Importing Ports'!$C$20:$C$41=IF($AO71="No",$AQ71,$AS71)))))</f>
        <v>0</v>
      </c>
      <c r="VG71" s="75">
        <f t="array" ref="VG71">INDEX('China n Importing Ports'!$K$20:$K$41,MATCH(2,1/(('China n Importing Ports'!$D$20:$D$41&lt;=$C71)*('China n Importing Ports'!$C$20:$C$41=IF($AO71="No",$AQ71,$AS71)))))</f>
        <v>0</v>
      </c>
      <c r="VH71" s="75">
        <f t="array" ref="VH71">INDEX('China n Importing Ports'!$L$20:$L$41,MATCH(2,1/(('China n Importing Ports'!$D$20:$D$41&lt;=$C71)*('China n Importing Ports'!$C$20:$C$41=IF($AO71="No",$AQ71,$AS71)))))</f>
        <v>0</v>
      </c>
      <c r="VI71" s="75">
        <f t="array" ref="VI71">INDEX('China n Importing Ports'!$M$20:$M$41,MATCH(2,1/(('China n Importing Ports'!$D$20:$D$41&lt;=$C71)*('China n Importing Ports'!$C$20:$C$41=IF($AO71="No",$AQ71,$AS71)))))</f>
        <v>0</v>
      </c>
      <c r="VJ71" s="75">
        <f t="array" ref="VJ71">INDEX('China n Importing Ports'!$N$20:$N$41,MATCH(2,1/(('China n Importing Ports'!$D$20:$D$41&lt;=$C71)*('China n Importing Ports'!$C$20:$C$41=IF($AO71="No",$AQ71,$AS71)))))</f>
        <v>0</v>
      </c>
      <c r="VK71" s="75">
        <f t="array" ref="VK71">INDEX('China n Importing Ports'!$O$20:$O$41,MATCH(2,1/(('China n Importing Ports'!$D$20:$D$41&lt;=$C71)*('China n Importing Ports'!$C$20:$C$41=IF($AO71="No",$AQ71,$AS71)))))</f>
        <v>0</v>
      </c>
      <c r="VL71" s="136">
        <f t="array" ref="VL71">INDEX('China n Importing Ports'!$P$20:$P$41,MATCH(2,1/(('China n Importing Ports'!$D$20:$D$41&lt;=$C71)*('China n Importing Ports'!$C$20:$C$41=IF($AO71="No",$AQ71,$AS71)))))</f>
        <v>0</v>
      </c>
      <c r="VM71" s="136">
        <f t="array" ref="VM71">INDEX('China n Importing Ports'!$Q$20:$Q$41,MATCH(2,1/(('China n Importing Ports'!$D$20:$D$41&lt;=$C71)*('China n Importing Ports'!$C$20:$C$41=IF($AO71="No",$AQ71,$AS71)))))</f>
        <v>0</v>
      </c>
      <c r="VN71" s="136">
        <f t="array" ref="VN71">INDEX('China n Importing Ports'!$R$20:$R$41,MATCH(2,1/(('China n Importing Ports'!$D$20:$D$41&lt;=$C71)*('China n Importing Ports'!$C$20:$C$41=IF($AO71="No",$AQ71,$AS71)))))</f>
        <v>0</v>
      </c>
      <c r="VO71" s="136">
        <f t="array" ref="VO71">INDEX('China n Importing Ports'!$S$20:$S$41,MATCH(2,1/(('China n Importing Ports'!$D$20:$D$41&lt;=$C71)*('China n Importing Ports'!$C$20:$C$41=IF($AO71="No",$AQ71,$AS71)))))</f>
        <v>0</v>
      </c>
      <c r="VP71" s="136">
        <f t="array" ref="VP71">INDEX('China n Importing Ports'!$T$20:$T$41,MATCH(2,1/(('China n Importing Ports'!$D$20:$D$41&lt;=$C71)*('China n Importing Ports'!$C$20:$C$41=IF($AO71="No",$AQ71,$AS71)))))</f>
        <v>0</v>
      </c>
      <c r="VQ71" s="136">
        <f t="array" ref="VQ71">INDEX('China n Importing Ports'!$U$20:$U$41,MATCH(2,1/(('China n Importing Ports'!$D$20:$D$41&lt;=$C71)*('China n Importing Ports'!$C$20:$C$41=IF($AO71="No",$AQ71,$AS71)))))</f>
        <v>0</v>
      </c>
      <c r="VR71" s="136">
        <f t="array" ref="VR71">INDEX('China n Importing Ports'!$V$20:$V$41,MATCH(2,1/(('China n Importing Ports'!$D$20:$D$41&lt;=$C71)*('China n Importing Ports'!$C$20:$C$41=IF($AO71="No",$AQ71,$AS71)))))</f>
        <v>0</v>
      </c>
      <c r="VS71" s="136">
        <f t="array" ref="VS71">INDEX('China n Importing Ports'!$W$20:$W$41,MATCH(2,1/(('China n Importing Ports'!$D$20:$D$41&lt;=$C71)*('China n Importing Ports'!$C$20:$C$41=IF($AO71="No",$AQ71,$AS71)))))</f>
        <v>0</v>
      </c>
      <c r="VT71" s="136">
        <f t="array" ref="VT71">INDEX('China n Importing Ports'!$X$20:$X$41,MATCH(2,1/(('China n Importing Ports'!$D$20:$D$41&lt;=$C71)*('China n Importing Ports'!$C$20:$C$41=IF($AO71="No",$AQ71,$AS71)))))</f>
        <v>0</v>
      </c>
      <c r="VU71" s="136">
        <f t="array" ref="VU71">INDEX('China n Importing Ports'!$Y$20:$Y$41,MATCH(2,1/(('China n Importing Ports'!$D$20:$D$41&lt;=$C71)*('China n Importing Ports'!$C$20:$C$41=IF($AO71="No",$AQ71,$AS71)))))</f>
        <v>0</v>
      </c>
      <c r="VV71" s="136">
        <f t="array" ref="VV71">INDEX('China n Importing Ports'!$Z$20:$Z$41,MATCH(2,1/(('China n Importing Ports'!$D$20:$D$41&lt;=$C71)*('China n Importing Ports'!$C$20:$C$41=IF($AO71="No",$AQ71,$AS71)))))</f>
        <v>0</v>
      </c>
      <c r="VW71" s="136">
        <f t="array" ref="VW71">INDEX('China n Importing Ports'!$AA$20:$AA$41,MATCH(2,1/(('China n Importing Ports'!$D$20:$D$41&lt;=$C71)*('China n Importing Ports'!$C$20:$C$41=IF($AO71="No",$AQ71,$AS71)))))</f>
        <v>0</v>
      </c>
      <c r="VY71" s="75" t="e">
        <f t="array" aca="1" ref="VY71" ca="1">INDEX(Canals!$G$24:$G$29,MATCH(2,1/((Canals!$F$24:$F$29&lt;=$C71)*(Canals!$G$24:$G$29=_xlfn.IFS(SJ71="Handysize",US71,SJ71="Supramax",UL71,SJ71="Panamax",UE71,SJ71="NeoPanamax",TX71,SJ71="Suezmax",TQ71,SJ71="Capesize",TJ71,SJ71="VLOC",TC71)))))</f>
        <v>#N/A</v>
      </c>
      <c r="VZ71" s="75" t="e">
        <f t="array" aca="1" ref="VZ71" ca="1">INDEX(Canals!$H$24:$H$29,MATCH(2,1/((Canals!$F$24:$F$29&lt;=$C71)*(Canals!$G$24:$G$29=_xlfn.IFS(SJ71="Handysize",US71,SJ71="Supramax",UL71,SJ71="Panamax",UE71,SJ71="NeoPanamax",TX71,SJ71="Suezmax",TQ71,SJ71="Capesize",TJ71,SJ71="VLOC",TC71)))))</f>
        <v>#N/A</v>
      </c>
      <c r="WA71" s="75" t="e">
        <f t="array" aca="1" ref="WA71" ca="1">INDEX(Canals!$I$24:$I$29,MATCH(2,1/((Canals!$F$24:$F$29&lt;=$C71)*(Canals!$G$24:$G$29=_xlfn.IFS(SJ71="Handysize",US71,SJ71="Supramax",UL71,SJ71="Panamax",UE71,SJ71="NeoPanamax",TX71,SJ71="Suezmax",TQ71,SJ71="Capesize",TJ71,SJ71="VLOC",TC71)))))</f>
        <v>#N/A</v>
      </c>
      <c r="WB71" s="75" t="e">
        <f t="array" aca="1" ref="WB71" ca="1">INDEX(Canals!$J$24:$J$29,MATCH(2,1/((Canals!$F$24:$F$29&lt;=$C71)*(Canals!$G$24:$G$29=_xlfn.IFS(SJ71="Handysize",Main!US71,SJ71="Supramax",UL71,SJ71="Panamax",UE71,SJ71="NeoPanamax",TX71,SJ71="Suezmax",TQ71,SJ71="Capesize",TJ71,SJ71="VLOC",TC71)))))</f>
        <v>#N/A</v>
      </c>
      <c r="WC71" s="75" t="e">
        <f t="array" aca="1" ref="WC71" ca="1">INDEX(Canals!$K$24:$K$29,MATCH(2,1/((Canals!$F$24:$F$29&lt;=$C71)*(Canals!$G$24:$G$29=_xlfn.IFS(SJ71="Handysize",Main!US71,SJ71="Supramax",UL71,SJ71="Panamax",UE71,SJ71="NeoPanamax",TX71,SJ71="Suezmax",TQ71,SJ71="Capesize",TJ71,SJ71="VLOC",TC71)))))</f>
        <v>#N/A</v>
      </c>
      <c r="WD71" s="75" t="e">
        <f t="array" aca="1" ref="WD71" ca="1">INDEX(Canals!$L$24:$L$29,MATCH(2,1/((Canals!$F$24:$F$29&lt;=$C71)*(Canals!$G$24:$G$29=_xlfn.IFS(SJ71="Handysize",Main!US71,SJ71="Supramax",UL71,SJ71="Panamax",UE71,SJ71="NeoPanamax",TX71,SJ71="Suezmax",TQ71,SJ71="Capesize",TJ71,SJ71="VLOC",TC71)))))</f>
        <v>#N/A</v>
      </c>
      <c r="WE71" s="75" t="e">
        <f t="array" aca="1" ref="WE71" ca="1">INDEX(Canals!$M$24:$M$29,MATCH(2,1/((Canals!$F$24:$F$29&lt;=$C71)*(Canals!$G$24:$G$29=_xlfn.IFS(SJ71="Handysize",Main!US71,SJ71="Supramax",UL71,SJ71="Panamax",UE71,SJ71="NeoPanamax",TX71,SJ71="Suezmax",TQ71,SJ71="Capesize",TJ71,SJ71="VLOC",TC71)))))</f>
        <v>#N/A</v>
      </c>
      <c r="WF71" s="75" t="e">
        <f t="array" aca="1" ref="WF71" ca="1">INDEX(Canals!$N$24:$N$29,MATCH(2,1/((Canals!$F$24:$F$29&lt;=$C71)*(Canals!$G$24:$G$29=_xlfn.IFS(SJ71="Handysize",Main!US71,SJ71="Supramax",UL71,SJ71="Panamax",UE71,SJ71="NeoPanamax",TX71,SJ71="Suezmax",TQ71,SJ71="Capesize",TJ71,SJ71="VLOC",TC71)))))</f>
        <v>#N/A</v>
      </c>
      <c r="WG71" s="75" t="e">
        <f t="array" aca="1" ref="WG71" ca="1">INDEX(Canals!$O$24:$O$29,MATCH(2,1/((Canals!$F$24:$F$29&lt;=$C71)*(Canals!$G$24:$G$29=_xlfn.IFS(SJ71="Handysize",Main!US71,SJ71="Supramax",UL71,SJ71="Panamax",UE71,SJ71="NeoPanamax",TX71,SJ71="Suezmax",TQ71,SJ71="Capesize",TJ71,SJ71="VLOC",TC71)))))</f>
        <v>#N/A</v>
      </c>
      <c r="WH71" s="75" t="e">
        <f t="array" aca="1" ref="WH71" ca="1">INDEX(Canals!$P$24:$P$29,MATCH(2,1/((Canals!$F$24:$F$29&lt;=$C71)*(Canals!$G$24:$G$29=_xlfn.IFS(SJ71="Handysize",Main!US71,SJ71="Supramax",UL71,SJ71="Panamax",UE71,SJ71="NeoPanamax",TX71,SJ71="Suezmax",TQ71,SJ71="Capesize",TJ71,SJ71="VLOC",TC71)))))</f>
        <v>#N/A</v>
      </c>
      <c r="WI71" s="75" t="e">
        <f t="array" aca="1" ref="WI71" ca="1">INDEX(Canals!$Q$24:$Q$29,MATCH(2,1/((Canals!$F$24:$F$29&lt;=$C71)*(Canals!$G$24:$G$29=_xlfn.IFS(SJ71="Handysize",Main!US71,SJ71="Supramax",UL71,SJ71="Panamax",UE71,SJ71="NeoPanamax",TX71,SJ71="Suezmax",TQ71,SJ71="Capesize",TJ71,SJ71="VLOC",TC71)))))</f>
        <v>#N/A</v>
      </c>
      <c r="WJ71" s="75" t="e">
        <f t="array" aca="1" ref="WJ71" ca="1">INDEX(Canals!$R$24:$R$29,MATCH(2,1/((Canals!$F$24:$F$29&lt;=$C71)*(Canals!$G$24:$G$29=_xlfn.IFS(SJ71="Handysize",Main!US71,SJ71="Supramax",UL71,SJ71="Panamax",UE71,SJ71="NeoPanamax",TX71,SJ71="Suezmax",TQ71,SJ71="Capesize",TJ71,SJ71="VLOC",TC71)))))</f>
        <v>#N/A</v>
      </c>
      <c r="WK71" s="136" t="e">
        <f t="array" aca="1" ref="WK71" ca="1">INDEX(Canals!$S$24:$S$29,MATCH(2,1/((Canals!$F$24:$F$29&lt;=$C71)*(Canals!$G$24:$G$29=_xlfn.IFS(SJ71="Handysize",Main!US71,SJ71="Supramax",UL71,SJ71="Panamax",UE71,SJ71="NeoPanamax",TX71,SJ71="Suezmax",TQ71,SJ71="Capesize",TJ71,SJ71="VLOC",TC71)))))</f>
        <v>#N/A</v>
      </c>
      <c r="WL71" s="136" t="e">
        <f t="array" aca="1" ref="WL71" ca="1">INDEX(Canals!$T$24:$T$29,MATCH(2,1/((Canals!$F$24:$F$29&lt;=$C71)*(Canals!$G$24:$G$29=_xlfn.IFS(SJ71="Handysize",Main!US71,SJ71="Supramax",UL71,SJ71="Panamax",UE71,SJ71="NeoPanamax",TX71,SJ71="Suezmax",TQ71,SJ71="Capesize",TJ71,SJ71="VLOC",TC71)))))</f>
        <v>#N/A</v>
      </c>
      <c r="WM71" s="136" t="e">
        <f t="array" aca="1" ref="WM71" ca="1">INDEX(Canals!$U$24:$U$29,MATCH(2,1/((Canals!$F$24:$F$29&lt;=$C71)*(Canals!$G$24:$G$29=_xlfn.IFS(SJ71="Handysize",Main!US71,SJ71="Supramax",UL71,SJ71="Panamax",UE71,SJ71="NeoPanamax",TX71,SJ71="Suezmax",TQ71,SJ71="Capesize",TJ71,SJ71="VLOC",TC71)))))</f>
        <v>#N/A</v>
      </c>
      <c r="WN71" s="136" t="e">
        <f t="array" aca="1" ref="WN71" ca="1">INDEX(Canals!$V$24:$V$29,MATCH(2,1/((Canals!$F$24:$F$29&lt;=$C71)*(Canals!$G$24:$G$29=_xlfn.IFS(SJ71="Handysize",Main!US71,SJ71="Supramax",UL71,SJ71="Panamax",UE71,SJ71="NeoPanamax",TX71,SJ71="Suezmax",TQ71,SJ71="Capesize",TJ71,SJ71="VLOC",TC71)))))</f>
        <v>#N/A</v>
      </c>
      <c r="WO71" s="136" t="e">
        <f t="array" aca="1" ref="WO71" ca="1">INDEX(Canals!$W$24:$W$29,MATCH(2,1/((Canals!$F$24:$F$29&lt;=$C71)*(Canals!$G$24:$G$29=_xlfn.IFS(SJ71="Handysize",Main!US71,SJ71="Supramax",UL71,SJ71="Panamax",UE71,SJ71="NeoPanamax",TX71,SJ71="Suezmax",TQ71,SJ71="Capesize",TJ71,SJ71="VLOC",TC71)))))</f>
        <v>#N/A</v>
      </c>
      <c r="WP71" s="136" t="e">
        <f t="array" aca="1" ref="WP71" ca="1">INDEX(Canals!$X$24:$X$29,MATCH(2,1/((Canals!$F$24:$F$29&lt;=$C71)*(Canals!$G$24:$G$29=_xlfn.IFS(SJ71="Handysize",Main!US71,SJ71="Supramax",UL71,SJ71="Panamax",UE71,SJ71="NeoPanamax",TX71,SJ71="Suezmax",TQ71,SJ71="Capesize",TJ71,SJ71="VLOC",TC71)))))</f>
        <v>#N/A</v>
      </c>
      <c r="WQ71" s="136" t="e">
        <f t="array" aca="1" ref="WQ71" ca="1">INDEX(Canals!$Y$24:$Y$29,MATCH(2,1/((Canals!$F$24:$F$29&lt;=$C71)*(Canals!$G$24:$G$29=_xlfn.IFS(SJ71="Handysize",Main!US71,SJ71="Supramax",UL71,SJ71="Panamax",UE71,SJ71="NeoPanamax",TX71,SJ71="Suezmax",TQ71,SJ71="Capesize",TJ71,SJ71="VLOC",TC71)))))</f>
        <v>#N/A</v>
      </c>
      <c r="WR71" s="136" t="e">
        <f t="array" aca="1" ref="WR71" ca="1">INDEX(Canals!$Z$24:$Z$29,MATCH(2,1/((Canals!$F$24:$F$29&lt;=$C71)*(Canals!$G$24:$G$29=_xlfn.IFS(SJ71="Handysize",Main!US71,SJ71="Supramax",UL71,SJ71="Panamax",UE71,SJ71="NeoPanamax",TX71,SJ71="Suezmax",TQ71,SJ71="Capesize",TJ71,SJ71="VLOC",TC71)))))</f>
        <v>#N/A</v>
      </c>
      <c r="WS71" s="136" t="e">
        <f t="array" aca="1" ref="WS71" ca="1">INDEX(Canals!$AA$24:$AA$29,MATCH(2,1/((Canals!$F$24:$F$29&lt;=$C71)*(Canals!$G$24:$G$29=_xlfn.IFS(SJ71="Handysize",Main!US71,SJ71="Supramax",UL71,SJ71="Panamax",UE71,SJ71="NeoPanamax",TX71,SJ71="Suezmax",TQ71,SJ71="Capesize",TJ71,SJ71="VLOC",TC71)))))</f>
        <v>#N/A</v>
      </c>
      <c r="WT71" s="136" t="e">
        <f t="array" aca="1" ref="WT71" ca="1">INDEX(Canals!$AB$24:$AB$29,MATCH(2,1/((Canals!$F$24:$F$29&lt;=$C71)*(Canals!$G$24:$G$29=_xlfn.IFS(SJ71="Handysize",Main!US71,SJ71="Supramax",UL71,SJ71="Panamax",UE71,SJ71="NeoPanamax",TX71,SJ71="Suezmax",TQ71,SJ71="Capesize",TJ71,SJ71="VLOC",TC71)))))</f>
        <v>#N/A</v>
      </c>
      <c r="WU71" s="75" t="e">
        <f t="array" aca="1" ref="WU71" ca="1">INDEX(Canals!$AC$24:$AC$29,MATCH(2,1/((Canals!$F$24:$F$29&lt;=$C71)*(Canals!$G$24:$G$29=_xlfn.IFS(SJ71="Handysize",Main!US71,SJ71="Supramax",UL71,SJ71="Panamax",UE71,SJ71="NeoPanamax",TX71,SJ71="Suezmax",TQ71,SJ71="Capesize",TJ71,SJ71="VLOC",TC71)))))</f>
        <v>#N/A</v>
      </c>
      <c r="WV71" s="75" t="e">
        <f t="array" aca="1" ref="WV71" ca="1">INDEX(Canals!$AD$24:$AD$29,MATCH(2,1/((Canals!$F$24:$F$29&lt;=$C71)*(Canals!$G$24:$G$29=_xlfn.IFS(SJ71="Handysize",Main!US71,SJ71="Supramax",UL71,SJ71="Panamax",UE71,SJ71="NeoPanamax",TX71,SJ71="Suezmax",TQ71,SJ71="Capesize",TJ71,SJ71="VLOC",TC71)))))</f>
        <v>#N/A</v>
      </c>
      <c r="WW71" s="75" t="e">
        <f t="array" aca="1" ref="WW71" ca="1">INDEX(Canals!$AE$24:$AE$29,MATCH(2,1/((Canals!$F$24:$F$29&lt;=$C71)*(Canals!$G$24:$G$29=_xlfn.IFS(SJ71="Handysize",Main!US71,SJ71="Supramax",UL71,SJ71="Panamax",UE71,SJ71="NeoPanamax",TX71,SJ71="Suezmax",TQ71,SJ71="Capesize",TJ71,SJ71="VLOC",TC71)))))</f>
        <v>#N/A</v>
      </c>
      <c r="WX71" s="75" t="e">
        <f t="array" aca="1" ref="WX71" ca="1">INDEX(Canals!$AF$24:$AF$29,MATCH(2,1/((Canals!$F$24:$F$29&lt;=$C71)*(Canals!$G$24:$G$29=_xlfn.IFS(SJ71="Handysize",Main!US71,SJ71="Supramax",UL71,SJ71="Panamax",UE71,SJ71="NeoPanamax",TX71,SJ71="Suezmax",TQ71,SJ71="Capesize",TJ71,SJ71="VLOC",TC71)))))</f>
        <v>#N/A</v>
      </c>
      <c r="WY71" s="75" t="e">
        <f t="array" aca="1" ref="WY71" ca="1">INDEX(Canals!$AG$24:$AG$29,MATCH(2,1/((Canals!$F$24:$F$29&lt;=$C71)*(Canals!$G$24:$G$29=_xlfn.IFS(SJ71="Handysize",Main!US71,SJ71="Supramax",UL71,SJ71="Panamax",UE71,SJ71="NeoPanamax",TX71,SJ71="Suezmax",TQ71,SJ71="Capesize",TJ71,SJ71="VLOC",TC71)))))</f>
        <v>#N/A</v>
      </c>
      <c r="WZ71" s="75" t="e">
        <f t="array" aca="1" ref="WZ71" ca="1">INDEX(Canals!$AH$24:$AH$29,MATCH(2,1/((Canals!$F$24:$F$29&lt;=$C71)*(Canals!$G$24:$G$29=_xlfn.IFS(SJ71="Handysize",Main!US71,SJ71="Supramax",UL71,SJ71="Panamax",UE71,SJ71="NeoPanamax",TX71,SJ71="Suezmax",TQ71,SJ71="Capesize",TJ71,SJ71="VLOC",TC71)))))</f>
        <v>#N/A</v>
      </c>
      <c r="XA71" s="75" t="e">
        <f t="array" aca="1" ref="XA71" ca="1">INDEX(Canals!$AI$24:$AI$29,MATCH(2,1/((Canals!$F$24:$F$29&lt;=$C71)*(Canals!$G$24:$G$29=_xlfn.IFS(SJ71="Handysize",Main!US71,SJ71="Supramax",UL71,SJ71="Panamax",UE71,SJ71="NeoPanamax",TX71,SJ71="Suezmax",TQ71,SJ71="Capesize",TJ71,SJ71="VLOC",TC71)))))</f>
        <v>#N/A</v>
      </c>
      <c r="XB71" s="75" t="e">
        <f t="array" aca="1" ref="XB71" ca="1">INDEX(Canals!$AJ$24:$AJ$29,MATCH(2,1/((Canals!$F$24:$F$29&lt;=$C71)*(Canals!$G$24:$G$29=_xlfn.IFS(SJ71="Handysize",Main!US71,SJ71="Supramax",UL71,SJ71="Panamax",UE71,SJ71="NeoPanamax",TX71,SJ71="Suezmax",TQ71,SJ71="Capesize",TJ71,SJ71="VLOC",TC71)))))</f>
        <v>#N/A</v>
      </c>
      <c r="XC71" s="75" t="e">
        <f t="array" aca="1" ref="XC71" ca="1">INDEX(Canals!$AK$24:$AK$29,MATCH(2,1/((Canals!$F$24:$F$29&lt;=$C71)*(Canals!$G$24:$G$29=_xlfn.IFS(SJ71="Handysize",Main!US71,SJ71="Supramax",UL71,SJ71="Panamax",UE71,SJ71="NeoPanamax",TX71,SJ71="Suezmax",TQ71,SJ71="Capesize",TJ71,SJ71="VLOC",TC71)))))</f>
        <v>#N/A</v>
      </c>
      <c r="XD71" s="136" t="e">
        <f t="array" aca="1" ref="XD71" ca="1">INDEX(Canals!$AL$24:$AL$29,MATCH(2,1/((Canals!$F$24:$F$29&lt;=$C71)*(Canals!$G$24:$G$29=_xlfn.IFS(SJ71="Handysize",Main!US71,SJ71="Supramax",UL71,SJ71="Panamax",UE71,SJ71="NeoPanamax",TX71,SJ71="Suezmax",TQ71,SJ71="Capesize",TJ71,SJ71="VLOC",TC71)))))</f>
        <v>#N/A</v>
      </c>
      <c r="XE71" s="136" t="e">
        <f t="array" aca="1" ref="XE71" ca="1">INDEX(Canals!$AM$24:$AM$29,MATCH(2,1/((Canals!$F$24:$F$29&lt;=$C71)*(Canals!$G$24:$G$29=_xlfn.IFS(SJ71="Handysize",Main!US71,SJ71="Supramax",UL71,SJ71="Panamax",UE71,SJ71="NeoPanamax",TX71,SJ71="Suezmax",TQ71,SJ71="Capesize",TJ71,SJ71="VLOC",TC71)))))</f>
        <v>#N/A</v>
      </c>
      <c r="XF71" s="136" t="e">
        <f t="array" aca="1" ref="XF71" ca="1">INDEX(Canals!$AN$24:$AN$29,MATCH(2,1/((Canals!$F$24:$F$29&lt;=$C71)*(Canals!$G$24:$G$29=_xlfn.IFS(SJ71="Handysize",Main!US71,SJ71="Supramax",UL71,SJ71="Panamax",UE71,SJ71="NeoPanamax",TX71,SJ71="Suezmax",TQ71,SJ71="Capesize",TJ71,SJ71="VLOC",TC71)))))</f>
        <v>#N/A</v>
      </c>
      <c r="XG71" s="136" t="e">
        <f t="array" aca="1" ref="XG71" ca="1">INDEX(Canals!$AO$24:$AO$29,MATCH(2,1/((Canals!$F$24:$F$29&lt;=$C71)*(Canals!$G$24:$G$29=_xlfn.IFS(SJ71="Handysize",Main!US71,SJ71="Supramax",UL71,SJ71="Panamax",UE71,SJ71="NeoPanamax",TX71,SJ71="Suezmax",TQ71,SJ71="Capesize",TJ71,SJ71="VLOC",TC71)))))</f>
        <v>#N/A</v>
      </c>
      <c r="XH71" s="136" t="e">
        <f t="array" aca="1" ref="XH71" ca="1">INDEX(Canals!$AP$24:$AP$29,MATCH(2,1/((Canals!$F$24:$F$29&lt;=$C71)*(Canals!$G$24:$G$29=_xlfn.IFS(SJ71="Handysize",Main!US71,SJ71="Supramax",UL71,SJ71="Panamax",UE71,SJ71="NeoPanamax",TX71,SJ71="Suezmax",TQ71,SJ71="Capesize",TJ71,SJ71="VLOC",TC71)))))</f>
        <v>#N/A</v>
      </c>
      <c r="XI71" s="136" t="e">
        <f t="array" aca="1" ref="XI71" ca="1">INDEX(Canals!$AQ$24:$AQ$29,MATCH(2,1/((Canals!$F$24:$F$29&lt;=$C71)*(Canals!$G$24:$G$29=_xlfn.IFS(SJ71="Handysize",Main!US71,SJ71="Supramax",UL71,SJ71="Panamax",UE71,SJ71="NeoPanamax",TX71,SJ71="Suezmax",TQ71,SJ71="Capesize",TJ71,SJ71="VLOC",TC71)))))</f>
        <v>#N/A</v>
      </c>
      <c r="XJ71" s="136" t="e">
        <f t="array" aca="1" ref="XJ71" ca="1">INDEX(Canals!$AR$24:$AR$29,MATCH(2,1/((Canals!$F$24:$F$29&lt;=$C71)*(Canals!$G$24:$G$29=_xlfn.IFS(SJ71="Handysize",Main!US71,SJ71="Supramax",UL71,SJ71="Panamax",UE71,SJ71="NeoPanamax",TX71,SJ71="Suezmax",TQ71,SJ71="Capesize",TJ71,SJ71="VLOC",TC71)))))</f>
        <v>#N/A</v>
      </c>
      <c r="XK71" s="136" t="e">
        <f t="array" aca="1" ref="XK71" ca="1">INDEX(Canals!$AS$24:$AS$29,MATCH(2,1/((Canals!$F$24:$F$29&lt;=$C71)*(Canals!$G$24:$G$29=_xlfn.IFS(SJ71="Handysize",Main!US71,SJ71="Supramax",UL71,SJ71="Panamax",UE71,SJ71="NeoPanamax",TX71,SJ71="Suezmax",TQ71,SJ71="Capesize",TJ71,SJ71="VLOC",TC71)))))</f>
        <v>#N/A</v>
      </c>
      <c r="XL71" s="136" t="e">
        <f t="array" aca="1" ref="XL71" ca="1">INDEX(Canals!$AT$24:$AT$29,MATCH(2,1/((Canals!$F$24:$F$29&lt;=$C71)*(Canals!$G$24:$G$29=_xlfn.IFS(SJ71="Handysize",Main!US71,SJ71="Supramax",UL71,SJ71="Panamax",UE71,SJ71="NeoPanamax",TX71,SJ71="Suezmax",TQ71,SJ71="Capesize",TJ71,SJ71="VLOC",TC71)))))</f>
        <v>#N/A</v>
      </c>
      <c r="XM71" s="136" t="e">
        <f t="array" aca="1" ref="XM71" ca="1">INDEX(Canals!$AU$24:$AU$29,MATCH(2,1/((Canals!$F$24:$F$29&lt;=$C71)*(Canals!$G$24:$G$29=_xlfn.IFS(SJ71="Handysize",Main!US71,SJ71="Supramax",UL71,SJ71="Panamax",UE71,SJ71="NeoPanamax",TX71,SJ71="Suezmax",TQ71,SJ71="Capesize",TJ71,SJ71="VLOC",TC71)))))</f>
        <v>#N/A</v>
      </c>
      <c r="XN71" s="136" t="e">
        <f t="array" aca="1" ref="XN71" ca="1">INDEX(Canals!$AV$24:$AV$29,MATCH(2,1/((Canals!$F$24:$F$29&lt;=$C71)*(Canals!$G$24:$G$29=_xlfn.IFS(SJ71="Handysize",Main!US71,SJ71="Supramax",UL71,SJ71="Panamax",UE71,SJ71="NeoPanamax",TX71,SJ71="Suezmax",TQ71,SJ71="Capesize",TJ71,SJ71="VLOC",TC71)))))</f>
        <v>#N/A</v>
      </c>
      <c r="XP71" s="75" t="e">
        <f t="array" aca="1" ref="XP71" ca="1">_xlfn.IFS(WA71="DWT",SH71,WA71="NRT",SL71,WA71="GRT",SM71,WA71=0,0)</f>
        <v>#NAME?</v>
      </c>
      <c r="XQ71" s="279" t="e">
        <f t="shared" ref="XQ71:XQ78" ca="1" si="836">IF(XP71&gt;WB71,WB71,XP71)</f>
        <v>#NAME?</v>
      </c>
      <c r="XR71" s="280" t="e">
        <f t="shared" ref="XR71:XR78" ca="1" si="837">IF(XP71&gt;SUM(WB71:WC71),WC71,XP71-SUM(XQ71:XQ71))</f>
        <v>#NAME?</v>
      </c>
      <c r="XS71" s="280" t="e">
        <f t="shared" ref="XS71:XS78" ca="1" si="838">IF(XP71&gt;SUM(WB71:WD71),WD71,XP71-SUM(XQ71:XR71))</f>
        <v>#NAME?</v>
      </c>
      <c r="XT71" s="280" t="e">
        <f t="shared" ref="XT71:XT78" ca="1" si="839">IF(XP71&gt;SUM(WB71:WE71),WE71,XP71-SUM(XQ71:XS71))</f>
        <v>#NAME?</v>
      </c>
      <c r="XU71" s="280" t="e">
        <f t="shared" ref="XU71:XU78" ca="1" si="840">IF(XP71&gt;SUM(WB71:WF71),WF71,XP71-SUM(XQ71:XT71))</f>
        <v>#NAME?</v>
      </c>
      <c r="XV71" s="280" t="e">
        <f t="shared" ref="XV71:XV78" ca="1" si="841">IF(XP71&gt;SUM(WB71:WG71),WG71,XP71-SUM(XQ71:XU71))</f>
        <v>#NAME?</v>
      </c>
      <c r="XW71" s="280" t="e">
        <f t="shared" ref="XW71:XW78" ca="1" si="842">IF(XP71&gt;SUM(WB71:WH71),WH71,XP71-SUM(XQ71:XV71))</f>
        <v>#NAME?</v>
      </c>
      <c r="XX71" s="280" t="e">
        <f t="shared" ref="XX71:XX78" ca="1" si="843">IF(XP71&gt;SUM(WB71:WI71),WI71,XP71-SUM(XQ71:XW71))</f>
        <v>#NAME?</v>
      </c>
      <c r="XY71" s="280" t="e">
        <f t="shared" ref="XY71:XY78" ca="1" si="844">IF(XP71&gt;SUM(WB71:WJ71),WJ71,XP71-SUM(XQ71:XX71))</f>
        <v>#NAME?</v>
      </c>
      <c r="XZ71" s="75">
        <f t="shared" ref="XZ71:XZ78" si="845">SH71*$JN71</f>
        <v>0</v>
      </c>
      <c r="YA71" s="279" t="e">
        <f t="shared" ref="YA71:YA78" ca="1" si="846">IF(XZ71&gt;WU71,WU71,XZ71)</f>
        <v>#N/A</v>
      </c>
      <c r="YB71" s="280" t="e">
        <f t="shared" ref="YB71:YB78" ca="1" si="847">IF(XZ71&gt;SUM(WU71:WV71),WV71,XZ71-SUM(YA71:YA71))</f>
        <v>#N/A</v>
      </c>
      <c r="YC71" s="280" t="e">
        <f t="shared" ref="YC71:YC78" ca="1" si="848">IF(XZ71&gt;SUM(WU71:WW71),WW71,XZ71-SUM(YA71:YB71))</f>
        <v>#N/A</v>
      </c>
      <c r="YD71" s="280" t="e">
        <f t="shared" ref="YD71:YD78" ca="1" si="849">IF(XZ71&gt;SUM(WU71:WX71),WX71,XZ71-SUM(YA71:YC71))</f>
        <v>#N/A</v>
      </c>
      <c r="YE71" s="280" t="e">
        <f t="shared" ref="YE71:YE78" ca="1" si="850">IF(XZ71&gt;SUM(WU71:WY71),WY71,XZ71-SUM(YA71:YD71))</f>
        <v>#N/A</v>
      </c>
      <c r="YF71" s="280" t="e">
        <f t="shared" ref="YF71:YF78" ca="1" si="851">IF(XZ71&gt;SUM(WU71:WZ71),WZ71,XZ71-SUM(YA71:YE71))</f>
        <v>#N/A</v>
      </c>
      <c r="YG71" s="280" t="e">
        <f t="shared" ref="YG71:YG78" ca="1" si="852">IF(XZ71&gt;SUM(WU71:XA71),XA71,XZ71-SUM(YA71:YF71))</f>
        <v>#N/A</v>
      </c>
      <c r="YH71" s="280" t="e">
        <f t="shared" ref="YH71:YH78" ca="1" si="853">IF(XZ71&gt;SUM(WU71:XB71),XB71,XZ71-SUM(YA71:YG71))</f>
        <v>#N/A</v>
      </c>
      <c r="YI71" s="280" t="e">
        <f t="shared" ref="YI71:YI78" ca="1" si="854">IF(XZ71&gt;SUM(WU71:XC71),XC71,XZ71-SUM(YA71:YH71))</f>
        <v>#N/A</v>
      </c>
      <c r="YK71" s="75" t="e">
        <f t="array" aca="1" ref="YK71" ca="1">_xlfn.IFS(SJ71="Handysize",Main!UM71,SJ71="Supramax",UF71,SJ71="Panamax",TY71,SJ71="NeoPanamax",TR71,SJ71="Suezmax",TK71,SJ71="Capesize",TD71,SJ71="VLOC",SW71)*$JI71</f>
        <v>#NAME?</v>
      </c>
      <c r="YL71" s="274" t="e">
        <f t="array" aca="1" ref="YL71" ca="1">_xlfn.IFS(SJ71="Handysize",Main!UN71,SJ71="Supramax",UG71,SJ71="Panamax",TZ71,SJ71="NeoPanamax",TS71,SJ71="Suezmax",TL71,SJ71="Capesize",TE71,SJ71="VLOC",SX71)*$JI71</f>
        <v>#NAME?</v>
      </c>
      <c r="YM71" s="71" t="e">
        <f t="array" aca="1" ref="YM71" ca="1">_xlfn.IFS(SJ71="Handysize",Main!SO71,SJ71="Supramax",SP71,SJ71="Panamax",SQ71,SJ71="NeoPanamax",SR71,SJ71="Suezmax",SS71,SJ71="Capesize",ST71,SJ71="VLOC",SU71)</f>
        <v>#NAME?</v>
      </c>
      <c r="YN71" s="71" t="e">
        <f t="array" aca="1" ref="YN71" ca="1">_xlfn.IFS(SJ71="Handysize",Main!VA71,SJ71="Supramax",VB71,SJ71="Panamax",VC71,SJ71="NeoPanamax",VD71,SJ71="Suezmax",VE71,SJ71="Capesize",VF71,SJ71="VLOC",VG71)</f>
        <v>#NAME?</v>
      </c>
      <c r="YO71" s="70">
        <f t="array" ref="YO71">INDEX('Ship Speeds'!$G$11:$G$1011,MATCH(2,1/(('Ship Speeds'!$E$11:$E$1011&lt;=Main!$C71)*('Ship Speeds'!$F$11:$F$1011=Main!SI71))))</f>
        <v>11</v>
      </c>
      <c r="YP71" s="403">
        <f t="shared" ref="YP71:YP78" si="855">(($KH71*YO71^2+$KI71*YO71^3+$KG71*YO71)*((SH71/$KC71)^$KD71)*$KJ71+(SH71/$KC71)*$KF71+$KE71)</f>
        <v>0</v>
      </c>
      <c r="YQ71" s="401">
        <f t="shared" ref="YQ71:YQ78" si="856">(SH71/$JY71)*$JZ71+$KA71+$KB71*(SH71/$JY71)^2</f>
        <v>1.2</v>
      </c>
      <c r="YR71" s="70" t="e">
        <f t="shared" ref="YR71:YR78" ca="1" si="857">YK71/YO71/$JH71</f>
        <v>#NAME?</v>
      </c>
      <c r="YS71" s="70" t="e">
        <f t="shared" ref="YS71:YS78" ca="1" si="858">YL71/YO71/$JH71</f>
        <v>#NAME?</v>
      </c>
      <c r="YT71" s="70" t="e">
        <f t="shared" ref="YT71:YT78" ca="1" si="859">IF(YM71=0,0,IF($AO71="yes",$AN71,$AR71)/(1-$AL71)/YM71)</f>
        <v>#NAME?</v>
      </c>
      <c r="YU71" s="70" t="e">
        <f t="shared" ref="YU71:YU78" ca="1" si="860">IF(YN71=0,0,IF($AO71="yes",$AN71,$AR71)/(1-$AL71)/YN71)</f>
        <v>#NAME?</v>
      </c>
      <c r="YV71" s="72" t="e">
        <f t="shared" ref="YV71:YV78" ca="1" si="861">XN71*$JI71</f>
        <v>#N/A</v>
      </c>
      <c r="YW71" s="70" t="e">
        <f t="shared" ref="YW71:YW78" ca="1" si="862">IF(YK71=0,0,MAX(SUM(YR71:YV71)*$JV71,$JU71))</f>
        <v>#NAME?</v>
      </c>
      <c r="YX71" s="70" t="e">
        <f t="array" aca="1" ref="YX71" ca="1">IF(YK71=0,0,INDEX(UU71:UY71,MATCH(_xlfn.IFS(SJ71="Handysize",Main!UQ71,SJ71="Supramax",UJ71,SJ71="Panamax",UC71,SJ71="NeoPanamax",TV71,SJ71="Suezmax",TO71,SJ71="Capesize",TH71,SJ71="VLOC",TA71),$UU$7:$UY$7,0)))</f>
        <v>#NAME?</v>
      </c>
      <c r="YY71" s="70" t="e">
        <f t="array" aca="1" ref="YY71" ca="1">IF(YK71=0,0,INDEX(UU71:UY71,MATCH(_xlfn.IFS(SJ71="Handysize",Main!UR71,SJ71="Supramax",UK71,SJ71="Panamax",UD71,SJ71="NeoPanamax",TW71,SJ71="Suezmax",TP71,SJ71="Capesize",TI71,SJ71="VLOC",TB71),$UU$7:$UY$7,0)))</f>
        <v>#NAME?</v>
      </c>
      <c r="YZ71" s="71" t="e">
        <f t="shared" ref="YZ71:YZ78" ca="1" si="863">YR71*YP71*YX71</f>
        <v>#NAME?</v>
      </c>
      <c r="ZA71" s="71" t="e">
        <f t="shared" ref="ZA71:ZA78" ca="1" si="864">SUM(YT71:YW71)*YQ71*YY71+YS71*YP71*YY71</f>
        <v>#NAME?</v>
      </c>
      <c r="ZB71" s="281" t="e">
        <f t="shared" ref="ZB71:ZB78" ca="1" si="865">IF(YK71=0,0,INDEX($JA71:$JD71,MATCH(VH71,$JA$7:$JD$7,0)))</f>
        <v>#NAME?</v>
      </c>
      <c r="ZC71" s="71" t="e">
        <f t="shared" ref="ZC71:ZC78" ca="1" si="866">IF(YK71=0,0,VI71/ZB71)</f>
        <v>#NAME?</v>
      </c>
      <c r="ZD71" s="71" t="e">
        <f t="shared" ref="ZD71:ZD78" ca="1" si="867">IF(YK71=0,0,VJ71*SUM(YU71,$JX71)/ZB71)</f>
        <v>#NAME?</v>
      </c>
      <c r="ZE71" s="71" t="e">
        <f t="shared" ref="ZE71:ZE78" ca="1" si="868">IF(YK71=0,0,VK71*(YW71*(1-$JW71))/ZB71)</f>
        <v>#NAME?</v>
      </c>
      <c r="ZF71" s="71" t="e">
        <f t="shared" ref="ZF71:ZF78" ca="1" si="869">IF(YK71=0,0,VL71*(SH71*$JN71)/ZB71)</f>
        <v>#NAME?</v>
      </c>
      <c r="ZG71" s="71" t="e">
        <f t="shared" ref="ZG71:ZG78" ca="1" si="870">IF(YK71=0,0,VM71*(SH71*$JN71)*SUM(YU71,$JX71)/ZB71)</f>
        <v>#NAME?</v>
      </c>
      <c r="ZH71" s="71" t="e">
        <f t="shared" ref="ZH71:ZH78" ca="1" si="871">IF(YK71=0,0,VN71*(SH71*$JN71)*(YW71*(1-$JW71))/ZB71)</f>
        <v>#NAME?</v>
      </c>
      <c r="ZI71" s="71" t="e">
        <f t="shared" ref="ZI71:ZI78" ca="1" si="872">IF(YK71=0,0,VO71*SL71/ZB71)</f>
        <v>#NAME?</v>
      </c>
      <c r="ZJ71" s="71" t="e">
        <f t="shared" ref="ZJ71:ZJ78" ca="1" si="873">IF(YK71=0,0,VP71*SL71*SUM(YU71,$JX71)/ZB71)</f>
        <v>#NAME?</v>
      </c>
      <c r="ZK71" s="71" t="e">
        <f t="shared" ref="ZK71:ZK78" ca="1" si="874">IF(YK71=0,0,VQ71*SL71*(YW71*(1-$JW71))/ZB71)</f>
        <v>#NAME?</v>
      </c>
      <c r="ZL71" s="71" t="e">
        <f t="shared" ref="ZL71:ZL78" ca="1" si="875">IF(YK71=0,0,VR71*SM71/ZB71)</f>
        <v>#NAME?</v>
      </c>
      <c r="ZM71" s="71" t="e">
        <f t="shared" ref="ZM71:ZM78" ca="1" si="876">IF(YK71=0,0,VS71*SM71*SUM(YU71,$JX71)/ZB71)</f>
        <v>#NAME?</v>
      </c>
      <c r="ZN71" s="71" t="e">
        <f t="shared" ref="ZN71:ZN78" ca="1" si="877">IF(YK71=0,0,VT71*SM71*(YW71*(1-$JW71))/ZB71)</f>
        <v>#NAME?</v>
      </c>
      <c r="ZO71" s="72" t="e">
        <f t="shared" ref="ZO71:ZO78" ca="1" si="878">IF(YK71=0,0,VU71*SK71/ZB71)</f>
        <v>#NAME?</v>
      </c>
      <c r="ZP71" s="72" t="e">
        <f t="shared" ref="ZP71:ZP78" ca="1" si="879">IF(YK71=0,0,VV71*SK71*SUM(YU71,$JX71)/ZB71)</f>
        <v>#NAME?</v>
      </c>
      <c r="ZQ71" s="71" t="e">
        <f t="shared" ref="ZQ71:ZQ78" ca="1" si="880">IF(YK71=0,0,VW71*SK71*(YW71*(1-$JW71))/ZB71)</f>
        <v>#NAME?</v>
      </c>
      <c r="ZR71" s="71" t="e">
        <f t="array" aca="1" ref="ZR71" ca="1">IF(YK71=0,0,INDEX('Ship Time Charter Rates'!$H$22:$H$1021,MATCH(2,1/(('Ship Time Charter Rates'!$G$22:$G$1021=_xlfn.IFS(SJ71="Handysize",Main!UO71,SJ71="Supramax",UH71,SJ71="Panamax",UA71,SJ71="NeoPanamax",TT71,SJ71="Suezmax",TM71,SJ71="Capesize",TF71,SJ71="VLOC",SY71))*('Ship Time Charter Rates'!$E$22:$E$1021&lt;=Main!$C71)*(NOT(ISBLANK('Ship Time Charter Rates'!$H$22:$H$1021)))))))</f>
        <v>#NAME?</v>
      </c>
      <c r="ZS71" s="71" t="e">
        <f t="shared" ref="ZS71:ZS78" ca="1" si="881">IF(YK71=0,0,SUM(YR71:YW71,$JI71*$JX71)*ZR71)</f>
        <v>#NAME?</v>
      </c>
      <c r="ZT71" s="70" t="e">
        <f t="shared" ref="ZT71:ZT78" ca="1" si="882">IF(YK71=0,0,SUMPRODUCT(WK71:WS71,XQ71:XY71)+SUMPRODUCT(XD71:XL71,YA71:YI71))</f>
        <v>#NAME?</v>
      </c>
      <c r="ZU71" s="71" t="e">
        <f t="shared" ref="ZU71:ZU78" ca="1" si="883">IF(YK71=0,0,SUM(YZ71,ZA71)+ZS71+ZT71+SUM(ZC71:ZQ71))</f>
        <v>#NAME?</v>
      </c>
      <c r="ZV71" s="71" t="e">
        <f t="shared" ref="ZV71:ZV78" ca="1" si="884">ZU71*(1+$KL71)</f>
        <v>#NAME?</v>
      </c>
      <c r="ZW71" s="72" t="e">
        <f t="shared" ref="ZW71:ZW78" ca="1" si="885">IF(ZV71=0,0,ZV71/(SH71*(1-$AL71)*$JN71))</f>
        <v>#NAME?</v>
      </c>
      <c r="ZY71" s="287" t="s">
        <v>39</v>
      </c>
      <c r="AAA71" s="25">
        <f t="shared" ref="AAA71:AAA78" si="886">IF($AO71="no",$AN71,$AR71)/(1-$AL71)/$JN71</f>
        <v>92911.010558069393</v>
      </c>
      <c r="AAB71" s="4" t="str">
        <f>VLOOKUP(AAA71,'Ship Time Charter Rates'!$F$10:$G$17,2,TRUE)</f>
        <v>Panamax</v>
      </c>
      <c r="AAC71" s="4" t="str">
        <f>VLOOKUP(AAA71,Canals!$E$5:$F$12,2,TRUE)</f>
        <v>Panamax</v>
      </c>
      <c r="AAD71" s="25">
        <f t="shared" ref="AAD71:AAD78" si="887">(AAA71*$JO71 + $JP71)</f>
        <v>227.00131221719457</v>
      </c>
      <c r="AAE71" s="25">
        <f t="shared" ref="AAE71:AAE78" si="888">(AAA71*$JQ71+$JR71)</f>
        <v>37480.301659125194</v>
      </c>
      <c r="AAF71" s="25">
        <f t="shared" ref="AAF71:AAF78" si="889">(AAA71*$JS71+$JT71)</f>
        <v>53008.523378582213</v>
      </c>
      <c r="AAH71" s="75">
        <f t="array" ref="AAH71">INDEX('Indices Mines Exporting Ports'!$R$20:$R$51,MATCH(2,1/(('Indices Mines Exporting Ports'!$D$20:$D$51&lt;=Main!$C71)*('Indices Mines Exporting Ports'!$Q$20:$Q$51=$AP71))))</f>
        <v>15000</v>
      </c>
      <c r="AAI71" s="75">
        <f t="array" ref="AAI71">INDEX('Indices Mines Exporting Ports'!$S$20:$S$51,MATCH(2,1/(('Indices Mines Exporting Ports'!$D$20:$D$51&lt;=Main!$C71)*('Indices Mines Exporting Ports'!$Q$20:$Q$51=$AP71))))</f>
        <v>15000</v>
      </c>
      <c r="AAJ71" s="75">
        <f t="array" ref="AAJ71">INDEX('Indices Mines Exporting Ports'!$T$20:$T$51,MATCH(2,1/(('Indices Mines Exporting Ports'!$D$20:$D$51&lt;=Main!$C71)*('Indices Mines Exporting Ports'!$Q$20:$Q$51=$AP71))))</f>
        <v>15000</v>
      </c>
      <c r="AAK71" s="75">
        <f t="array" ref="AAK71">INDEX('Indices Mines Exporting Ports'!$U$20:$U$51,MATCH(2,1/(('Indices Mines Exporting Ports'!$D$20:$D$51&lt;=Main!$C71)*('Indices Mines Exporting Ports'!$Q$20:$Q$51=$AP71))))</f>
        <v>15000</v>
      </c>
      <c r="AAL71" s="75">
        <f t="array" ref="AAL71">INDEX('Indices Mines Exporting Ports'!$V$20:$V$51,MATCH(2,1/(('Indices Mines Exporting Ports'!$D$20:$D$51&lt;=Main!$C71)*('Indices Mines Exporting Ports'!$Q$20:$Q$51=$AP71))))</f>
        <v>15000</v>
      </c>
      <c r="AAM71" s="75">
        <f t="array" ref="AAM71">INDEX('Indices Mines Exporting Ports'!$W$20:$W$51,MATCH(2,1/(('Indices Mines Exporting Ports'!$D$20:$D$51&lt;=Main!$C71)*('Indices Mines Exporting Ports'!$Q$20:$Q$51=$AP71))))</f>
        <v>15000</v>
      </c>
      <c r="AAN71" s="75">
        <f t="array" ref="AAN71">INDEX('Indices Mines Exporting Ports'!$X$20:$X$51,MATCH(2,1/(('Indices Mines Exporting Ports'!$D$20:$D$51&lt;=Main!$C71)*('Indices Mines Exporting Ports'!$Q$20:$Q$51=$AP71))))</f>
        <v>15000</v>
      </c>
      <c r="AAP71" s="75">
        <f t="array" ref="AAP71">INDEX('Port Linkages'!$E$18:$E$157,MATCH(2,1/(('Port Linkages'!$C$18:$C$157=$AP71)*('Port Linkages'!$D$18:$D$157=IF($AO71="Yes",$AQ71,$KK71))*('Port Linkages'!$A$18:$A$157&lt;=$C71))))</f>
        <v>2326</v>
      </c>
      <c r="AAQ71" s="75">
        <f t="array" ref="AAQ71">INDEX('Port Linkages'!$F$18:$F$157,MATCH(2,1/(('Port Linkages'!$C$18:$C$157=$AP71)*('Port Linkages'!$D$18:$D$157=IF($AO71="Yes",$AQ71,$KK71))*('Port Linkages'!$A$18:$A$157&lt;=$C71))))</f>
        <v>0</v>
      </c>
      <c r="AAR71" s="75" t="str">
        <f t="array" ref="AAR71">INDEX('Port Linkages'!$G$18:$G$157,MATCH(2,1/(('Port Linkages'!$C$18:$C$157=$AP71)*('Port Linkages'!$D$18:$D$157=IF($AO71="Yes",$AQ71,$KK71))*('Port Linkages'!$A$18:$A$157&lt;=$C71))))</f>
        <v>VLOC_General</v>
      </c>
      <c r="AAS71" s="75" t="str">
        <f t="array" ref="AAS71">INDEX('Port Linkages'!$H$18:$H$157,MATCH(2,1/(('Port Linkages'!$C$18:$C$157=$AP71)*('Port Linkages'!$D$18:$D$157=IF($AO71="Yes",$AQ71,$KK71))*('Port Linkages'!$A$18:$A$157&lt;=$C71))))</f>
        <v>Singapore</v>
      </c>
      <c r="AAT71" s="75" t="str">
        <f t="array" ref="AAT71">INDEX('Port Linkages'!$I$18:$I$157,MATCH(2,1/(('Port Linkages'!$C$18:$C$157=$AP71)*('Port Linkages'!$D$18:$D$157=IF($AO71="Yes",$AQ71,$KK71))*('Port Linkages'!$A$18:$A$157&lt;=$C71))))</f>
        <v>VLSFO</v>
      </c>
      <c r="AAU71" s="75" t="str">
        <f t="array" ref="AAU71">INDEX('Port Linkages'!$J$18:$J$157,MATCH(2,1/(('Port Linkages'!$C$18:$C$157=$AP71)*('Port Linkages'!$D$18:$D$157=IF($AO71="Yes",$AQ71,$KK71))*('Port Linkages'!$A$18:$A$157&lt;=$C71))))</f>
        <v>MGO_Regular</v>
      </c>
      <c r="AAV71" s="75" t="str">
        <f t="array" ref="AAV71">INDEX('Port Linkages'!$K$18:$K$157,MATCH(2,1/(('Port Linkages'!$C$18:$C$157=$AP71)*('Port Linkages'!$D$18:$D$157=IF($AO71="Yes",$AQ71,$KK71))*('Port Linkages'!$A$18:$A$157&lt;=$C71))))</f>
        <v>none</v>
      </c>
      <c r="AAW71" s="75">
        <f t="array" ref="AAW71">INDEX('Port Linkages'!$L$18:$L$157,MATCH(2,1/(('Port Linkages'!$C$18:$C$157=$AP71)*('Port Linkages'!$D$18:$D$157=IF($AO71="Yes",$AQ71,$KK71))*('Port Linkages'!$A$18:$A$157&lt;=$C71))))</f>
        <v>2326</v>
      </c>
      <c r="AAX71" s="75">
        <f t="array" ref="AAX71">INDEX('Port Linkages'!$M$18:$M$157,MATCH(2,1/(('Port Linkages'!$C$18:$C$157=$AP71)*('Port Linkages'!$D$18:$D$157=IF($AO71="Yes",$AQ71,$KK71))*('Port Linkages'!$A$18:$A$157&lt;=$C71))))</f>
        <v>0</v>
      </c>
      <c r="AAY71" s="75" t="str">
        <f t="array" ref="AAY71">INDEX('Port Linkages'!$N$18:$N$157,MATCH(2,1/(('Port Linkages'!$C$18:$C$157=$AP71)*('Port Linkages'!$D$18:$D$157=IF($AO71="Yes",$AQ71,$KK71))*('Port Linkages'!$A$18:$A$157&lt;=$C71))))</f>
        <v>Capesize_General</v>
      </c>
      <c r="AAZ71" s="75" t="str">
        <f t="array" ref="AAZ71">INDEX('Port Linkages'!$O$18:$O$157,MATCH(2,1/(('Port Linkages'!$C$18:$C$157=$AP71)*('Port Linkages'!$D$18:$D$157=IF($AO71="Yes",$AQ71,$KK71))*('Port Linkages'!$A$18:$A$157&lt;=$C71))))</f>
        <v>Singapore</v>
      </c>
      <c r="ABA71" s="75" t="str">
        <f t="array" ref="ABA71">INDEX('Port Linkages'!$P$18:$P$157,MATCH(2,1/(('Port Linkages'!$C$18:$C$157=$AP71)*('Port Linkages'!$D$18:$D$157=IF($AO71="Yes",$AQ71,$KK71))*('Port Linkages'!$A$18:$A$157&lt;=$C71))))</f>
        <v>VLSFO</v>
      </c>
      <c r="ABB71" s="75" t="str">
        <f t="array" ref="ABB71">INDEX('Port Linkages'!$Q$18:$Q$157,MATCH(2,1/(('Port Linkages'!$C$18:$C$157=$AP71)*('Port Linkages'!$D$18:$D$157=IF($AO71="Yes",$AQ71,$KK71))*('Port Linkages'!$A$18:$A$157&lt;=$C71))))</f>
        <v>MGO_Regular</v>
      </c>
      <c r="ABC71" s="75" t="str">
        <f t="array" ref="ABC71">INDEX('Port Linkages'!$R$18:$R$157,MATCH(2,1/(('Port Linkages'!$C$18:$C$157=$AP71)*('Port Linkages'!$D$18:$D$157=IF($AO71="Yes",$AQ71,$KK71))*('Port Linkages'!$A$18:$A$157&lt;=$C71))))</f>
        <v>none</v>
      </c>
      <c r="ABD71" s="75">
        <f t="array" ref="ABD71">INDEX('Port Linkages'!$S$18:$S$157,MATCH(2,1/(('Port Linkages'!$C$18:$C$157=$AP71)*('Port Linkages'!$D$18:$D$157=IF($AO71="Yes",$AQ71,$KK71))*('Port Linkages'!$A$18:$A$157&lt;=$C71))))</f>
        <v>2326</v>
      </c>
      <c r="ABE71" s="75">
        <f t="array" ref="ABE71">INDEX('Port Linkages'!$T$18:$T$157,MATCH(2,1/(('Port Linkages'!$C$18:$C$157=$AP71)*('Port Linkages'!$D$18:$D$157=IF($AO71="Yes",$AQ71,$KK71))*('Port Linkages'!$A$18:$A$157&lt;=$C71))))</f>
        <v>0</v>
      </c>
      <c r="ABF71" s="75" t="str">
        <f t="array" ref="ABF71">INDEX('Port Linkages'!$U$18:$U$157,MATCH(2,1/(('Port Linkages'!$C$18:$C$157=$AP71)*('Port Linkages'!$D$18:$D$157=IF($AO71="Yes",$AQ71,$KK71))*('Port Linkages'!$A$18:$A$157&lt;=$C71))))</f>
        <v>Capesize_General</v>
      </c>
      <c r="ABG71" s="75" t="str">
        <f t="array" ref="ABG71">INDEX('Port Linkages'!$V$18:$V$157,MATCH(2,1/(('Port Linkages'!$C$18:$C$157=$AP71)*('Port Linkages'!$D$18:$D$157=IF($AO71="Yes",$AQ71,$KK71))*('Port Linkages'!$A$18:$A$157&lt;=$C71))))</f>
        <v>Singapore</v>
      </c>
      <c r="ABH71" s="75" t="str">
        <f t="array" ref="ABH71">INDEX('Port Linkages'!$W$18:$W$157,MATCH(2,1/(('Port Linkages'!$C$18:$C$157=$AP71)*('Port Linkages'!$D$18:$D$157=IF($AO71="Yes",$AQ71,$KK71))*('Port Linkages'!$A$18:$A$157&lt;=$C71))))</f>
        <v>VLSFO</v>
      </c>
      <c r="ABI71" s="75" t="str">
        <f t="array" ref="ABI71">INDEX('Port Linkages'!$X$18:$X$157,MATCH(2,1/(('Port Linkages'!$C$18:$C$157=$AP71)*('Port Linkages'!$D$18:$D$157=IF($AO71="Yes",$AQ71,$KK71))*('Port Linkages'!$A$18:$A$157&lt;=$C71))))</f>
        <v>MGO_Regular</v>
      </c>
      <c r="ABJ71" s="75" t="str">
        <f t="array" ref="ABJ71">INDEX('Port Linkages'!$Y$18:$Y$157,MATCH(2,1/(('Port Linkages'!$C$18:$C$157=$AP71)*('Port Linkages'!$D$18:$D$157=IF($AO71="Yes",$AQ71,$KK71))*('Port Linkages'!$A$18:$A$157&lt;=$C71))))</f>
        <v>none</v>
      </c>
      <c r="ABK71" s="75">
        <f t="array" ref="ABK71">INDEX('Port Linkages'!$Z$18:$Z$157,MATCH(2,1/(('Port Linkages'!$C$18:$C$157=$AP71)*('Port Linkages'!$D$18:$D$157=IF($AO71="Yes",$AQ71,$KK71))*('Port Linkages'!$A$18:$A$157&lt;=$C71))))</f>
        <v>2326</v>
      </c>
      <c r="ABL71" s="75">
        <f t="array" ref="ABL71">INDEX('Port Linkages'!$AA$18:$AA$157,MATCH(2,1/(('Port Linkages'!$C$18:$C$157=$AP71)*('Port Linkages'!$D$18:$D$157=IF($AO71="Yes",$AQ71,$KK71))*('Port Linkages'!$A$18:$A$157&lt;=$C71))))</f>
        <v>0</v>
      </c>
      <c r="ABM71" s="75" t="str">
        <f t="array" ref="ABM71">INDEX('Port Linkages'!$AB$18:$AB$157,MATCH(2,1/(('Port Linkages'!$C$18:$C$157=$AP71)*('Port Linkages'!$D$18:$D$157=IF($AO71="Yes",$AQ71,$KK71))*('Port Linkages'!$A$18:$A$157&lt;=$C71))))</f>
        <v>Capesize_General</v>
      </c>
      <c r="ABN71" s="75" t="str">
        <f t="array" ref="ABN71">INDEX('Port Linkages'!$AC$18:$AC$157,MATCH(2,1/(('Port Linkages'!$C$18:$C$157=$AP71)*('Port Linkages'!$D$18:$D$157=IF($AO71="Yes",$AQ71,$KK71))*('Port Linkages'!$A$18:$A$157&lt;=$C71))))</f>
        <v>Singapore</v>
      </c>
      <c r="ABO71" s="75" t="str">
        <f t="array" ref="ABO71">INDEX('Port Linkages'!$AD$18:$AD$157,MATCH(2,1/(('Port Linkages'!$C$18:$C$157=$AP71)*('Port Linkages'!$D$18:$D$157=IF($AO71="Yes",$AQ71,$KK71))*('Port Linkages'!$A$18:$A$157&lt;=$C71))))</f>
        <v>VLSFO</v>
      </c>
      <c r="ABP71" s="75" t="str">
        <f t="array" ref="ABP71">INDEX('Port Linkages'!$AE$18:$AE$157,MATCH(2,1/(('Port Linkages'!$C$18:$C$157=$AP71)*('Port Linkages'!$D$18:$D$157=IF($AO71="Yes",$AQ71,$KK71))*('Port Linkages'!$A$18:$A$157&lt;=$C71))))</f>
        <v>MGO_Regular</v>
      </c>
      <c r="ABQ71" s="75" t="str">
        <f t="array" ref="ABQ71">INDEX('Port Linkages'!$AF$18:$AF$157,MATCH(2,1/(('Port Linkages'!$C$18:$C$157=$AP71)*('Port Linkages'!$D$18:$D$157=IF($AO71="Yes",$AQ71,$KK71))*('Port Linkages'!$A$18:$A$157&lt;=$C71))))</f>
        <v>none</v>
      </c>
      <c r="ABR71" s="75">
        <f t="array" ref="ABR71">INDEX('Port Linkages'!$AG$18:$AG$157,MATCH(2,1/(('Port Linkages'!$C$18:$C$157=$AP71)*('Port Linkages'!$D$18:$D$157=IF($AO71="Yes",$AQ71,$KK71))*('Port Linkages'!$A$18:$A$157&lt;=$C71))))</f>
        <v>2326</v>
      </c>
      <c r="ABS71" s="75">
        <f t="array" ref="ABS71">INDEX('Port Linkages'!$AH$18:$AH$157,MATCH(2,1/(('Port Linkages'!$C$18:$C$157=$AP71)*('Port Linkages'!$D$18:$D$157=IF($AO71="Yes",$AQ71,$KK71))*('Port Linkages'!$A$18:$A$157&lt;=$C71))))</f>
        <v>0</v>
      </c>
      <c r="ABT71" s="75" t="str">
        <f t="array" ref="ABT71">INDEX('Port Linkages'!$AI$18:$AI$157,MATCH(2,1/(('Port Linkages'!$C$18:$C$157=$AP71)*('Port Linkages'!$D$18:$D$157=IF($AO71="Yes",$AQ71,$KK71))*('Port Linkages'!$A$18:$A$157&lt;=$C71))))</f>
        <v>Panamax_General</v>
      </c>
      <c r="ABU71" s="75" t="str">
        <f t="array" ref="ABU71">INDEX('Port Linkages'!$AJ$18:$AJ$157,MATCH(2,1/(('Port Linkages'!$C$18:$C$157=$AP71)*('Port Linkages'!$D$18:$D$157=IF($AO71="Yes",$AQ71,$KK71))*('Port Linkages'!$A$18:$A$157&lt;=$C71))))</f>
        <v>Singapore</v>
      </c>
      <c r="ABV71" s="75" t="str">
        <f t="array" ref="ABV71">INDEX('Port Linkages'!$AK$18:$AK$157,MATCH(2,1/(('Port Linkages'!$C$18:$C$157=$AP71)*('Port Linkages'!$D$18:$D$157=IF($AO71="Yes",$AQ71,$KK71))*('Port Linkages'!$A$18:$A$157&lt;=$C71))))</f>
        <v>VLSFO</v>
      </c>
      <c r="ABW71" s="75" t="str">
        <f t="array" ref="ABW71">INDEX('Port Linkages'!$AL$18:$AL$157,MATCH(2,1/(('Port Linkages'!$C$18:$C$157=$AP71)*('Port Linkages'!$D$18:$D$157=IF($AO71="Yes",$AQ71,$KK71))*('Port Linkages'!$A$18:$A$157&lt;=$C71))))</f>
        <v>MGO_Regular</v>
      </c>
      <c r="ABX71" s="75" t="str">
        <f t="array" ref="ABX71">INDEX('Port Linkages'!$AM$18:$AM$157,MATCH(2,1/(('Port Linkages'!$C$18:$C$157=$AP71)*('Port Linkages'!$D$18:$D$157=IF($AO71="Yes",$AQ71,$KK71))*('Port Linkages'!$A$18:$A$157&lt;=$C71))))</f>
        <v>none</v>
      </c>
      <c r="ABY71" s="75">
        <f t="array" ref="ABY71">INDEX('Port Linkages'!$AN$18:$AN$157,MATCH(2,1/(('Port Linkages'!$C$18:$C$157=$AP71)*('Port Linkages'!$D$18:$D$157=IF($AO71="Yes",$AQ71,$KK71))*('Port Linkages'!$A$18:$A$157&lt;=$C71))))</f>
        <v>2326</v>
      </c>
      <c r="ABZ71" s="75">
        <f t="array" ref="ABZ71">INDEX('Port Linkages'!$AO$18:$AO$157,MATCH(2,1/(('Port Linkages'!$C$18:$C$157=$AP71)*('Port Linkages'!$D$18:$D$157=IF($AO71="Yes",$AQ71,$KK71))*('Port Linkages'!$A$18:$A$157&lt;=$C71))))</f>
        <v>0</v>
      </c>
      <c r="ACA71" s="75" t="str">
        <f t="array" ref="ACA71">INDEX('Port Linkages'!$AP$18:$AP$157,MATCH(2,1/(('Port Linkages'!$C$18:$C$157=$AP71)*('Port Linkages'!$D$18:$D$157=IF($AO71="Yes",$AQ71,$KK71))*('Port Linkages'!$A$18:$A$157&lt;=$C71))))</f>
        <v>Supramax_General</v>
      </c>
      <c r="ACB71" s="75" t="str">
        <f t="array" ref="ACB71">INDEX('Port Linkages'!$AQ$18:$AQ$157,MATCH(2,1/(('Port Linkages'!$C$18:$C$157=$AP71)*('Port Linkages'!$D$18:$D$157=IF($AO71="Yes",$AQ71,$KK71))*('Port Linkages'!$A$18:$A$157&lt;=$C71))))</f>
        <v>Singapore</v>
      </c>
      <c r="ACC71" s="75" t="str">
        <f t="array" ref="ACC71">INDEX('Port Linkages'!$AR$18:$AR$157,MATCH(2,1/(('Port Linkages'!$C$18:$C$157=$AP71)*('Port Linkages'!$D$18:$D$157=IF($AO71="Yes",$AQ71,$KK71))*('Port Linkages'!$A$18:$A$157&lt;=$C71))))</f>
        <v>VLSFO</v>
      </c>
      <c r="ACD71" s="75" t="str">
        <f t="array" ref="ACD71">INDEX('Port Linkages'!$AS$18:$AS$157,MATCH(2,1/(('Port Linkages'!$C$18:$C$157=$AP71)*('Port Linkages'!$D$18:$D$157=IF($AO71="Yes",$AQ71,$KK71))*('Port Linkages'!$A$18:$A$157&lt;=$C71))))</f>
        <v>MGO_Regular</v>
      </c>
      <c r="ACE71" s="75" t="str">
        <f t="array" ref="ACE71">INDEX('Port Linkages'!$AT$18:$AT$157,MATCH(2,1/(('Port Linkages'!$C$18:$C$157=$AP71)*('Port Linkages'!$D$18:$D$157=IF($AO71="Yes",$AQ71,$KK71))*('Port Linkages'!$A$18:$A$157&lt;=$C71))))</f>
        <v>none</v>
      </c>
      <c r="ACF71" s="75">
        <f t="array" ref="ACF71">INDEX('Port Linkages'!$AU$18:$AU$157,MATCH(2,1/(('Port Linkages'!$C$18:$C$157=$AP71)*('Port Linkages'!$D$18:$D$157=IF($AO71="Yes",$AQ71,$KK71))*('Port Linkages'!$A$18:$A$157&lt;=$C71))))</f>
        <v>2326</v>
      </c>
      <c r="ACG71" s="75">
        <f t="array" ref="ACG71">INDEX('Port Linkages'!$AV$18:$AV$157,MATCH(2,1/(('Port Linkages'!$C$18:$C$157=$AP71)*('Port Linkages'!$D$18:$D$157=IF($AO71="Yes",$AQ71,$KK71))*('Port Linkages'!$A$18:$A$157&lt;=$C71))))</f>
        <v>0</v>
      </c>
      <c r="ACH71" s="75" t="str">
        <f t="array" ref="ACH71">INDEX('Port Linkages'!$AW$18:$AW$157,MATCH(2,1/(('Port Linkages'!$C$18:$C$157=$AP71)*('Port Linkages'!$D$18:$D$157=IF($AO71="Yes",$AQ71,$KK71))*('Port Linkages'!$A$18:$A$157&lt;=$C71))))</f>
        <v>Handysize_General</v>
      </c>
      <c r="ACI71" s="75" t="str">
        <f t="array" ref="ACI71">INDEX('Port Linkages'!$AX$18:$AX$157,MATCH(2,1/(('Port Linkages'!$C$18:$C$157=$AP71)*('Port Linkages'!$D$18:$D$157=IF($AO71="Yes",$AQ71,$KK71))*('Port Linkages'!$A$18:$A$157&lt;=$C71))))</f>
        <v>Singapore</v>
      </c>
      <c r="ACJ71" s="75" t="str">
        <f t="array" ref="ACJ71">INDEX('Port Linkages'!$AY$18:$AY$157,MATCH(2,1/(('Port Linkages'!$C$18:$C$157=$AP71)*('Port Linkages'!$D$18:$D$157=IF($AO71="Yes",$AQ71,$KK71))*('Port Linkages'!$A$18:$A$157&lt;=$C71))))</f>
        <v>VLSFO</v>
      </c>
      <c r="ACK71" s="75" t="str">
        <f t="array" ref="ACK71">INDEX('Port Linkages'!$AZ$18:$AZ$157,MATCH(2,1/(('Port Linkages'!$C$18:$C$157=$AP71)*('Port Linkages'!$D$18:$D$157=IF($AO71="Yes",$AQ71,$KK71))*('Port Linkages'!$A$18:$A$157&lt;=$C71))))</f>
        <v>MGO_Regular</v>
      </c>
      <c r="ACL71" s="75" t="str">
        <f t="array" ref="ACL71">INDEX('Port Linkages'!$BA$18:$BA$157,MATCH(2,1/(('Port Linkages'!$C$18:$C$157=$AP71)*('Port Linkages'!$D$18:$D$157=IF($AO71="Yes",$AQ71,$KK71))*('Port Linkages'!$A$18:$A$157&lt;=$C71))))</f>
        <v>none</v>
      </c>
      <c r="ACN71" s="25" t="e">
        <f t="array" aca="1" ref="ACN71" ca="1">INDEX('Ship Fuel Prices'!$F$5:$F$1004,MATCH(2,1/(('Ship Fuel Prices'!$E$5:$E$1004=_xlfn.IFS(AAC71="Handysize",Main!ACI71,AAC71="Supramax",ACB71,AAC71="Panamax",ABU71,AAC71="NeoPanamax",ABN71,AAC71="Suezmax",ABG71,AAC71="Capesize",AAZ71,AAC71="VLOC",AAS71))*('Ship Fuel Prices'!$D$5:$D$1004&lt;=Main!$C71))))</f>
        <v>#N/A</v>
      </c>
      <c r="ACO71" s="25" t="e">
        <f t="array" aca="1" ref="ACO71" ca="1">INDEX('Ship Fuel Prices'!$G$5:$G$1004,MATCH(2,1/(('Ship Fuel Prices'!$E$5:$E$1004=_xlfn.IFS(AAC71="Handysize",Main!ACI71,AAC71="Supramax",ACB71,AAC71="Panamax",ABU71,AAC71="NeoPanamax",ABN71,AAC71="Suezmax",ABG71,AAC71="Capesize",AAZ71,AAC71="VLOC",AAS71))*('Ship Fuel Prices'!$D$5:$D$1004&lt;=Main!$C71))))</f>
        <v>#N/A</v>
      </c>
      <c r="ACP71" s="25" t="e">
        <f t="array" aca="1" ref="ACP71" ca="1">INDEX('Ship Fuel Prices'!$H$5:$H$1004,MATCH(2,1/(('Ship Fuel Prices'!$E$5:$E$1004=_xlfn.IFS(AAC71="Handysize",Main!ACI71,AAC71="Supramax",ACB71,AAC71="Panamax",ABU71,AAC71="NeoPanamax",ABN71,AAC71="Suezmax",ABG71,AAC71="Capesize",AAZ71,AAC71="VLOC",AAS71))*('Ship Fuel Prices'!$D$5:$D$1004&lt;=Main!$C71))))</f>
        <v>#N/A</v>
      </c>
      <c r="ACQ71" s="25" t="e">
        <f t="array" aca="1" ref="ACQ71" ca="1">INDEX('Ship Fuel Prices'!$I$5:$I$1004,MATCH(2,1/(('Ship Fuel Prices'!$E$5:$E$1004=_xlfn.IFS(AAC71="Handysize",Main!ACI71,AAC71="Supramax",ACB71,AAC71="Panamax",ABU71,AAC71="NeoPanamax",ABN71,AAC71="Suezmax",ABG71,AAC71="Capesize",AAZ71,AAC71="VLOC",AAS71))*('Ship Fuel Prices'!$D$5:$D$1004&lt;=Main!$C71))))</f>
        <v>#N/A</v>
      </c>
      <c r="ACR71" s="25" t="e">
        <f t="array" aca="1" ref="ACR71" ca="1">INDEX('Ship Fuel Prices'!$J$5:$J$1004,MATCH(2,1/(('Ship Fuel Prices'!$E$5:$E$1004=_xlfn.IFS(AAC71="Handysize",Main!ACI71,AAC71="Supramax",ACB71,AAC71="Panamax",ABU71,AAC71="NeoPanamax",ABN71,AAC71="Suezmax",ABG71,AAC71="Capesize",AAZ71,AAC71="VLOC",AAS71))*('Ship Fuel Prices'!$D$5:$D$1004&lt;=Main!$C71))))</f>
        <v>#N/A</v>
      </c>
      <c r="ACT71" s="75">
        <f t="array" ref="ACT71">INDEX('China n Importing Ports'!$E$20:$E$41,MATCH(2,1/(('China n Importing Ports'!$D$20:$D$41&lt;=$C71)*('China n Importing Ports'!$C$20:$C$41=IF($AO71="Yes",$AQ71,$KK71)))))</f>
        <v>42500</v>
      </c>
      <c r="ACU71" s="75">
        <f t="array" ref="ACU71">INDEX('China n Importing Ports'!$F$20:$F$41,MATCH(2,1/(('China n Importing Ports'!$D$20:$D$41&lt;=$C71)*('China n Importing Ports'!$C$20:$C$41=IF($AO71="Yes",$AQ71,$KK71)))))</f>
        <v>42500</v>
      </c>
      <c r="ACV71" s="75">
        <f t="array" ref="ACV71">INDEX('China n Importing Ports'!$G$20:$G$41,MATCH(2,1/(('China n Importing Ports'!$D$20:$D$41&lt;=$C71)*('China n Importing Ports'!$C$20:$C$41=IF($AO71="Yes",$AQ71,$KK71)))))</f>
        <v>42500</v>
      </c>
      <c r="ACW71" s="75">
        <f t="array" ref="ACW71">INDEX('China n Importing Ports'!$H$20:$H$41,MATCH(2,1/(('China n Importing Ports'!$D$20:$D$41&lt;=$C71)*('China n Importing Ports'!$C$20:$C$41=IF($AO71="Yes",$AQ71,$KK71)))))</f>
        <v>42500</v>
      </c>
      <c r="ACX71" s="75">
        <f t="array" ref="ACX71">INDEX('China n Importing Ports'!$I$20:$I$41,MATCH(2,1/(('China n Importing Ports'!$D$20:$D$41&lt;=$C71)*('China n Importing Ports'!$C$20:$C$41=IF($AO71="Yes",$AQ71,$KK71)))))</f>
        <v>42500</v>
      </c>
      <c r="ACY71" s="75">
        <f t="array" ref="ACY71">INDEX('China n Importing Ports'!$J$20:$J$41,MATCH(2,1/(('China n Importing Ports'!$D$20:$D$41&lt;=$C71)*('China n Importing Ports'!$C$20:$C$41=IF($AO71="Yes",$AQ71,$KK71)))))</f>
        <v>42500</v>
      </c>
      <c r="ACZ71" s="75">
        <f t="array" ref="ACZ71">INDEX('China n Importing Ports'!$K$20:$K$41,MATCH(2,1/(('China n Importing Ports'!$D$20:$D$41&lt;=$C71)*('China n Importing Ports'!$C$20:$C$41=IF($AO71="Yes",$AQ71,$KK71)))))</f>
        <v>42500</v>
      </c>
      <c r="ADA71" s="75" t="str">
        <f t="array" ref="ADA71">INDEX('China n Importing Ports'!$L$20:$L$41,MATCH(2,1/(('China n Importing Ports'!$D$20:$D$41&lt;=$C71)*('China n Importing Ports'!$C$20:$C$41=IF($AO71="Yes",$AQ71,$KK71)))))</f>
        <v>RMB</v>
      </c>
      <c r="ADB71" s="75">
        <f t="array" ref="ADB71">INDEX('China n Importing Ports'!$M$20:$M$41,MATCH(2,1/(('China n Importing Ports'!$D$20:$D$41&lt;=$C71)*('China n Importing Ports'!$C$20:$C$41=IF($AO71="Yes",$AQ71,$KK71)))))</f>
        <v>12342</v>
      </c>
      <c r="ADC71" s="75">
        <f t="array" ref="ADC71">INDEX('China n Importing Ports'!$N$20:$N$41,MATCH(2,1/(('China n Importing Ports'!$D$20:$D$41&lt;=$C71)*('China n Importing Ports'!$C$20:$C$41=IF($AO71="Yes",$AQ71,$KK71)))))</f>
        <v>0</v>
      </c>
      <c r="ADD71" s="75">
        <f t="array" ref="ADD71">INDEX('China n Importing Ports'!$O$20:$O$41,MATCH(2,1/(('China n Importing Ports'!$D$20:$D$41&lt;=$C71)*('China n Importing Ports'!$C$20:$C$41=IF($AO71="Yes",$AQ71,$KK71)))))</f>
        <v>0</v>
      </c>
      <c r="ADE71" s="136">
        <f t="array" ref="ADE71">INDEX('China n Importing Ports'!$P$20:$P$41,MATCH(2,1/(('China n Importing Ports'!$D$20:$D$41&lt;=$C71)*('China n Importing Ports'!$C$20:$C$41=IF($AO71="Yes",$AQ71,$KK71)))))</f>
        <v>2.64</v>
      </c>
      <c r="ADF71" s="136">
        <f t="array" ref="ADF71">INDEX('China n Importing Ports'!$Q$20:$Q$41,MATCH(2,1/(('China n Importing Ports'!$D$20:$D$41&lt;=$C71)*('China n Importing Ports'!$C$20:$C$41=IF($AO71="Yes",$AQ71,$KK71)))))</f>
        <v>0</v>
      </c>
      <c r="ADG71" s="136">
        <f t="array" ref="ADG71">INDEX('China n Importing Ports'!$R$20:$R$41,MATCH(2,1/(('China n Importing Ports'!$D$20:$D$41&lt;=$C71)*('China n Importing Ports'!$C$20:$C$41=IF($AO71="Yes",$AQ71,$KK71)))))</f>
        <v>0</v>
      </c>
      <c r="ADH71" s="136">
        <f t="array" ref="ADH71">INDEX('China n Importing Ports'!$S$20:$S$41,MATCH(2,1/(('China n Importing Ports'!$D$20:$D$41&lt;=$C71)*('China n Importing Ports'!$C$20:$C$41=IF($AO71="Yes",$AQ71,$KK71)))))</f>
        <v>4.53</v>
      </c>
      <c r="ADI71" s="136">
        <f t="array" ref="ADI71">INDEX('China n Importing Ports'!$T$20:$T$41,MATCH(2,1/(('China n Importing Ports'!$D$20:$D$41&lt;=$C71)*('China n Importing Ports'!$C$20:$C$41=IF($AO71="Yes",$AQ71,$KK71)))))</f>
        <v>0.36699999999999999</v>
      </c>
      <c r="ADJ71" s="136">
        <f t="array" ref="ADJ71">INDEX('China n Importing Ports'!$U$20:$U$41,MATCH(2,1/(('China n Importing Ports'!$D$20:$D$41&lt;=$C71)*('China n Importing Ports'!$C$20:$C$41=IF($AO71="Yes",$AQ71,$KK71)))))</f>
        <v>0.05</v>
      </c>
      <c r="ADK71" s="136">
        <f t="array" ref="ADK71">INDEX('China n Importing Ports'!$V$20:$V$41,MATCH(2,1/(('China n Importing Ports'!$D$20:$D$41&lt;=$C71)*('China n Importing Ports'!$C$20:$C$41=IF($AO71="Yes",$AQ71,$KK71)))))</f>
        <v>0</v>
      </c>
      <c r="ADL71" s="136">
        <f t="array" ref="ADL71">INDEX('China n Importing Ports'!$W$20:$W$41,MATCH(2,1/(('China n Importing Ports'!$D$20:$D$41&lt;=$C71)*('China n Importing Ports'!$C$20:$C$41=IF($AO71="Yes",$AQ71,$KK71)))))</f>
        <v>0</v>
      </c>
      <c r="ADM71" s="136">
        <f t="array" ref="ADM71">INDEX('China n Importing Ports'!$X$20:$X$41,MATCH(2,1/(('China n Importing Ports'!$D$20:$D$41&lt;=$C71)*('China n Importing Ports'!$C$20:$C$41=IF($AO71="Yes",$AQ71,$KK71)))))</f>
        <v>0</v>
      </c>
      <c r="ADN71" s="136">
        <f t="array" ref="ADN71">INDEX('China n Importing Ports'!$Y$20:$Y$41,MATCH(2,1/(('China n Importing Ports'!$D$20:$D$41&lt;=$C71)*('China n Importing Ports'!$C$20:$C$41=IF($AO71="Yes",$AQ71,$KK71)))))</f>
        <v>197</v>
      </c>
      <c r="ADO71" s="136">
        <f t="array" ref="ADO71">INDEX('China n Importing Ports'!$Z$20:$Z$41,MATCH(2,1/(('China n Importing Ports'!$D$20:$D$41&lt;=$C71)*('China n Importing Ports'!$C$20:$C$41=IF($AO71="Yes",$AQ71,$KK71)))))</f>
        <v>0</v>
      </c>
      <c r="ADP71" s="136">
        <f t="array" ref="ADP71">INDEX('China n Importing Ports'!$AA$20:$AA$41,MATCH(2,1/(('China n Importing Ports'!$D$20:$D$41&lt;=$C71)*('China n Importing Ports'!$C$20:$C$41=IF($AO71="Yes",$AQ71,$KK71)))))</f>
        <v>0</v>
      </c>
      <c r="ADR71" s="75" t="e">
        <f t="array" aca="1" ref="ADR71" ca="1">INDEX(Canals!$G$24:$G$29,MATCH(2,1/((Canals!$F$24:$F$29&lt;=$C71)*(Canals!$G$24:$G$29=_xlfn.IFS(AAC71="Handysize",Main!ACL71,AAC71="Supramax",ACE71,AAC71="Panamax",ABX71,AAC71="NeoPanamax",ABQ71,AAC71="Suezmax",ABJ71,AAC71="Capesize",ABC71,AAC71="VLOC",AAV71)))))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S71" s="75" t="e">
        <f t="array" aca="1" ref="ADS71" ca="1">INDEX(Canals!$H$24:$H$29,MATCH(2,1/((Canals!$F$24:$F$29&lt;=$C71)*(Canals!$G$24:$G$29=_xlfn.IFS(AAC71="Handysize",Main!ACL71,AAC71="Supramax",ACE71,AAC71="Panamax",ABX71,AAC71="NeoPanamax",ABQ71,AAC71="Suezmax",ABJ71,AAC71="Capesize",ABC71,AAC71="VLOC",AAV71)))))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T71" s="75" t="e">
        <f t="array" aca="1" ref="ADT71" ca="1">INDEX(Canals!$I$24:$I$29,MATCH(2,1/((Canals!$F$24:$F$29&lt;=$C71)*(Canals!$G$24:$G$29=_xlfn.IFS(AAC71="Handysize",Main!ACL71,AAC71="Supramax",ACE71,AAC71="Panamax",ABX71,AAC71="NeoPanamax",ABQ71,AAC71="Suezmax",ABJ71,AAC71="Capesize",ABC71,AAC71="VLOC",AAV71)))))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U71" s="75" t="e">
        <f t="array" aca="1" ref="ADU71" ca="1">INDEX(Canals!$J$24:$J$29,MATCH(2,1/((Canals!$F$24:$F$29&lt;=$C71)*(Canals!$G$24:$G$29=_xlfn.IFS(AAC71="Handysize",Main!ACL71,AAC71="Supramax",ACE71,AAC71="Panamax",ABX71,AAC71="NeoPanamax",ABQ71,AAC71="Suezmax",ABJ71,AAC71="Capesize",ABC71,AAC71="VLOC",AAV71)))))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V71" s="75" t="e">
        <f t="array" aca="1" ref="ADV71" ca="1">INDEX(Canals!$K$24:$K$29,MATCH(2,1/((Canals!$F$24:$F$29&lt;=$C71)*(Canals!$G$24:$G$29=_xlfn.IFS(AAC71="Handysize",Main!ACL71,AAC71="Supramax",ACE71,AAC71="Panamax",ABX71,AAC71="NeoPanamax",ABQ71,AAC71="Suezmax",ABJ71,AAC71="Capesize",ABC71,AAC71="VLOC",AAV71)))))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W71" s="75" t="e">
        <f t="array" aca="1" ref="ADW71" ca="1">INDEX(Canals!$L$24:$L$29,MATCH(2,1/((Canals!$F$24:$F$29&lt;=$C71)*(Canals!$G$24:$G$29=_xlfn.IFS(AAC71="Handysize",Main!ACL71,AAC71="Supramax",ACE71,AAC71="Panamax",ABX71,AAC71="NeoPanamax",ABQ71,AAC71="Suezmax",ABJ71,AAC71="Capesize",ABC71,AAC71="VLOC",AAV71)))))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X71" s="75" t="e">
        <f t="array" aca="1" ref="ADX71" ca="1">INDEX(Canals!$M$24:$M$29,MATCH(2,1/((Canals!$F$24:$F$29&lt;=$C71)*(Canals!$G$24:$G$29=_xlfn.IFS(AAC71="Handysize",Main!ACL71,AAC71="Supramax",ACE71,AAC71="Panamax",ABX71,AAC71="NeoPanamax",ABQ71,AAC71="Suezmax",ABJ71,AAC71="Capesize",ABC71,AAC71="VLOC",AAV71)))))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Y71" s="75" t="e">
        <f t="array" aca="1" ref="ADY71" ca="1">INDEX(Canals!$N$24:$N$29,MATCH(2,1/((Canals!$F$24:$F$29&lt;=$C71)*(Canals!$G$24:$G$29=_xlfn.IFS(AAC71="Handysize",Main!ACL71,AAC71="Supramax",ACE71,AAC71="Panamax",ABX71,AAC71="NeoPanamax",ABQ71,AAC71="Suezmax",ABJ71,AAC71="Capesize",ABC71,AAC71="VLOC",AAV71)))))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DZ71" s="75" t="e">
        <f t="array" aca="1" ref="ADZ71" ca="1">INDEX(Canals!$O$24:$O$29,MATCH(2,1/((Canals!$F$24:$F$29&lt;=$C71)*(Canals!$G$24:$G$29=_xlfn.IFS(AAC71="Handysize",Main!ACL71,AAC71="Supramax",ACE71,AAC71="Panamax",ABX71,AAC71="NeoPanamax",ABQ71,AAC71="Suezmax",ABJ71,AAC71="Capesize",ABC71,AAC71="VLOC",AAV71)))))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A71" s="75" t="e">
        <f t="array" aca="1" ref="AEA71" ca="1">INDEX(Canals!$P$24:$P$29,MATCH(2,1/((Canals!$F$24:$F$29&lt;=$C71)*(Canals!$G$24:$G$29=_xlfn.IFS(AAC71="Handysize",Main!ACL71,AAC71="Supramax",ACE71,AAC71="Panamax",ABX71,AAC71="NeoPanamax",ABQ71,AAC71="Suezmax",ABJ71,AAC71="Capesize",ABC71,AAC71="VLOC",AAV71)))))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B71" s="75" t="e">
        <f t="array" aca="1" ref="AEB71" ca="1">INDEX(Canals!$Q$24:$Q$29,MATCH(2,1/((Canals!$F$24:$F$29&lt;=$C71)*(Canals!$G$24:$G$29=_xlfn.IFS(AAC71="Handysize",Main!ACL71,AAC71="Supramax",ACE71,AAC71="Panamax",ABX71,AAC71="NeoPanamax",ABQ71,AAC71="Suezmax",ABJ71,AAC71="Capesize",ABC71,AAC71="VLOC",AAV71)))))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C71" s="75" t="e">
        <f t="array" aca="1" ref="AEC71" ca="1">INDEX(Canals!$R$24:$R$29,MATCH(2,1/((Canals!$F$24:$F$29&lt;=$C71)*(Canals!$G$24:$G$29=_xlfn.IFS(AAC71="Handysize",Main!ACL71,AAC71="Supramax",ACE71,AAC71="Panamax",ABX71,AAC71="NeoPanamax",ABQ71,AAC71="Suezmax",ABJ71,AAC71="Capesize",ABC71,AAC71="VLOC",AAV71)))))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D71" s="136" t="e">
        <f t="array" aca="1" ref="AED71" ca="1">INDEX(Canals!$S$24:$S$29,MATCH(2,1/((Canals!$F$24:$F$29&lt;=$C71)*(Canals!$G$24:$G$29=_xlfn.IFS(AAC71="Handysize",Main!ACL71,AAC71="Supramax",ACE71,AAC71="Panamax",ABX71,AAC71="NeoPanamax",ABQ71,AAC71="Suezmax",ABJ71,AAC71="Capesize",ABC71,AAC71="VLOC",AAV71)))))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E71" s="136" t="e">
        <f t="array" aca="1" ref="AEE71" ca="1">INDEX(Canals!$T$24:$T$29,MATCH(2,1/((Canals!$F$24:$F$29&lt;=$C71)*(Canals!$G$24:$G$29=_xlfn.IFS(AAC71="Handysize",Main!ACL71,AAC71="Supramax",ACE71,AAC71="Panamax",ABX71,AAC71="NeoPanamax",ABQ71,AAC71="Suezmax",ABJ71,AAC71="Capesize",ABC71,AAC71="VLOC",AAV71)))))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F71" s="136" t="e">
        <f t="array" aca="1" ref="AEF71" ca="1">INDEX(Canals!$U$24:$U$29,MATCH(2,1/((Canals!$F$24:$F$29&lt;=$C71)*(Canals!$G$24:$G$29=_xlfn.IFS(AAC71="Handysize",Main!ACL71,AAC71="Supramax",ACE71,AAC71="Panamax",ABX71,AAC71="NeoPanamax",ABQ71,AAC71="Suezmax",ABJ71,AAC71="Capesize",ABC71,AAC71="VLOC",AAV71)))))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G71" s="136" t="e">
        <f t="array" aca="1" ref="AEG71" ca="1">INDEX(Canals!$V$24:$V$29,MATCH(2,1/((Canals!$F$24:$F$29&lt;=$C71)*(Canals!$G$24:$G$29=_xlfn.IFS(AAC71="Handysize",Main!ACL71,AAC71="Supramax",ACE71,AAC71="Panamax",ABX71,AAC71="NeoPanamax",ABQ71,AAC71="Suezmax",ABJ71,AAC71="Capesize",ABC71,AAC71="VLOC",AAV71)))))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H71" s="136" t="e">
        <f t="array" aca="1" ref="AEH71" ca="1">INDEX(Canals!$W$24:$W$29,MATCH(2,1/((Canals!$F$24:$F$29&lt;=$C71)*(Canals!$G$24:$G$29=_xlfn.IFS(AAC71="Handysize",Main!ACL71,AAC71="Supramax",ACE71,AAC71="Panamax",ABX71,AAC71="NeoPanamax",ABQ71,AAC71="Suezmax",ABJ71,AAC71="Capesize",ABC71,AAC71="VLOC",AAV71)))))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I71" s="136" t="e">
        <f t="array" aca="1" ref="AEI71" ca="1">INDEX(Canals!$X$24:$X$29,MATCH(2,1/((Canals!$F$24:$F$29&lt;=$C71)*(Canals!$G$24:$G$29=_xlfn.IFS(AAC71="Handysize",Main!ACL71,AAC71="Supramax",ACE71,AAC71="Panamax",ABX71,AAC71="NeoPanamax",ABQ71,AAC71="Suezmax",ABJ71,AAC71="Capesize",ABC71,AAC71="VLOC",AAV71)))))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J71" s="136" t="e">
        <f t="array" aca="1" ref="AEJ71" ca="1">INDEX(Canals!$Y$24:$Y$29,MATCH(2,1/((Canals!$F$24:$F$29&lt;=$C71)*(Canals!$G$24:$G$29=_xlfn.IFS(AAC71="Handysize",Main!ACL71,AAC71="Supramax",ACE71,AAC71="Panamax",ABX71,AAC71="NeoPanamax",ABQ71,AAC71="Suezmax",ABJ71,AAC71="Capesize",ABC71,AAC71="VLOC",AAV71)))))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K71" s="136" t="e">
        <f t="array" aca="1" ref="AEK71" ca="1">INDEX(Canals!$Z$24:$Z$29,MATCH(2,1/((Canals!$F$24:$F$29&lt;=$C71)*(Canals!$G$24:$G$29=_xlfn.IFS(AAC71="Handysize",Main!ACL71,AAC71="Supramax",ACE71,AAC71="Panamax",ABX71,AAC71="NeoPanamax",ABQ71,AAC71="Suezmax",ABJ71,AAC71="Capesize",ABC71,AAC71="VLOC",AAV71)))))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L71" s="136" t="e">
        <f t="array" aca="1" ref="AEL71" ca="1">INDEX(Canals!$AA$24:$AA$29,MATCH(2,1/((Canals!$F$24:$F$29&lt;=$C71)*(Canals!$G$24:$G$29=_xlfn.IFS(AAC71="Handysize",Main!ACL71,AAC71="Supramax",ACE71,AAC71="Panamax",ABX71,AAC71="NeoPanamax",ABQ71,AAC71="Suezmax",ABJ71,AAC71="Capesize",ABC71,AAC71="VLOC",AAV71)))))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M71" s="136" t="e">
        <f t="array" aca="1" ref="AEM71" ca="1">INDEX(Canals!$AB$24:$AB$29,MATCH(2,1/((Canals!$F$24:$F$29&lt;=$C71)*(Canals!$G$24:$G$29=_xlfn.IFS(AAC71="Handysize",Main!ACL71,AAC71="Supramax",ACE71,AAC71="Panamax",ABX71,AAC71="NeoPanamax",ABQ71,AAC71="Suezmax",ABJ71,AAC71="Capesize",ABC71,AAC71="VLOC",AAV71)))))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N71" s="75" t="e">
        <f t="array" aca="1" ref="AEN71" ca="1">INDEX(Canals!$AC$24:$AC$29,MATCH(2,1/((Canals!$F$24:$F$29&lt;=$C71)*(Canals!$G$24:$G$29=_xlfn.IFS(AAC71="Handysize",Main!ACL71,AAC71="Supramax",ACE71,AAC71="Panamax",ABX71,AAC71="NeoPanamax",ABQ71,AAC71="Suezmax",ABJ71,AAC71="Capesize",ABC71,AAC71="VLOC",AAV71)))))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O71" s="75" t="e">
        <f t="array" aca="1" ref="AEO71" ca="1">INDEX(Canals!$AD$24:$AD$29,MATCH(2,1/((Canals!$F$24:$F$29&lt;=$C71)*(Canals!$G$24:$G$29=_xlfn.IFS(AAC71="Handysize",Main!ACL71,AAC71="Supramax",ACE71,AAC71="Panamax",ABX71,AAC71="NeoPanamax",ABQ71,AAC71="Suezmax",ABJ71,AAC71="Capesize",ABC71,AAC71="VLOC",AAV71)))))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P71" s="75" t="e">
        <f t="array" aca="1" ref="AEP71" ca="1">INDEX(Canals!$AE$24:$AE$29,MATCH(2,1/((Canals!$F$24:$F$29&lt;=$C71)*(Canals!$G$24:$G$29=_xlfn.IFS(AAC71="Handysize",Main!ACL71,AAC71="Supramax",ACE71,AAC71="Panamax",ABX71,AAC71="NeoPanamax",ABQ71,AAC71="Suezmax",ABJ71,AAC71="Capesize",ABC71,AAC71="VLOC",AAV71)))))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Q71" s="75" t="e">
        <f t="array" aca="1" ref="AEQ71" ca="1">INDEX(Canals!$AF$24:$AF$29,MATCH(2,1/((Canals!$F$24:$F$29&lt;=$C71)*(Canals!$G$24:$G$29=_xlfn.IFS(AAC71="Handysize",Main!ACL71,AAC71="Supramax",ACE71,AAC71="Panamax",ABX71,AAC71="NeoPanamax",ABQ71,AAC71="Suezmax",ABJ71,AAC71="Capesize",ABC71,AAC71="VLOC",AAV71)))))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R71" s="75" t="e">
        <f t="array" aca="1" ref="AER71" ca="1">INDEX(Canals!$AG$24:$AG$29,MATCH(2,1/((Canals!$F$24:$F$29&lt;=$C71)*(Canals!$G$24:$G$29=_xlfn.IFS(AAC71="Handysize",Main!ACL71,AAC71="Supramax",ACE71,AAC71="Panamax",ABX71,AAC71="NeoPanamax",ABQ71,AAC71="Suezmax",ABJ71,AAC71="Capesize",ABC71,AAC71="VLOC",AAV71)))))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S71" s="75" t="e">
        <f t="array" aca="1" ref="AES71" ca="1">INDEX(Canals!$AH$24:$AH$29,MATCH(2,1/((Canals!$F$24:$F$29&lt;=$C71)*(Canals!$G$24:$G$29=_xlfn.IFS(AAC71="Handysize",Main!ACL71,AAC71="Supramax",ACE71,AAC71="Panamax",ABX71,AAC71="NeoPanamax",ABQ71,AAC71="Suezmax",ABJ71,AAC71="Capesize",ABC71,AAC71="VLOC",AAV71)))))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T71" s="75" t="e">
        <f t="array" aca="1" ref="AET71" ca="1">INDEX(Canals!$AI$24:$AI$29,MATCH(2,1/((Canals!$F$24:$F$29&lt;=$C71)*(Canals!$G$24:$G$29=_xlfn.IFS(AAC71="Handysize",Main!ACL71,AAC71="Supramax",ACE71,AAC71="Panamax",ABX71,AAC71="NeoPanamax",ABQ71,AAC71="Suezmax",ABJ71,AAC71="Capesize",ABC71,AAC71="VLOC",AAV71)))))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U71" s="75" t="e">
        <f t="array" aca="1" ref="AEU71" ca="1">INDEX(Canals!$AJ$24:$AJ$29,MATCH(2,1/((Canals!$F$24:$F$29&lt;=$C71)*(Canals!$G$24:$G$29=_xlfn.IFS(AAC71="Handysize",Main!ACL71,AAC71="Supramax",ACE71,AAC71="Panamax",ABX71,AAC71="NeoPanamax",ABQ71,AAC71="Suezmax",ABJ71,AAC71="Capesize",ABC71,AAC71="VLOC",AAV71)))))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V71" s="75" t="e">
        <f t="array" aca="1" ref="AEV71" ca="1">INDEX(Canals!$AK$24:$AK$29,MATCH(2,1/((Canals!$F$24:$F$29&lt;=$C71)*(Canals!$G$24:$G$29=_xlfn.IFS(AAC71="Handysize",Main!ACL71,AAC71="Supramax",ACE71,AAC71="Panamax",ABX71,AAC71="NeoPanamax",ABQ71,AAC71="Suezmax",ABJ71,AAC71="Capesize",ABC71,AAC71="VLOC",AAV71)))))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W71" s="136" t="e">
        <f t="array" aca="1" ref="AEW71" ca="1">INDEX(Canals!$AL$24:$AL$29,MATCH(2,1/((Canals!$F$24:$F$29&lt;=$C71)*(Canals!$G$24:$G$29=_xlfn.IFS(AAC71="Handysize",Main!ACL71,AAC71="Supramax",ACE71,AAC71="Panamax",ABX71,AAC71="NeoPanamax",ABQ71,AAC71="Suezmax",ABJ71,AAC71="Capesize",ABC71,AAC71="VLOC",AAV71)))))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X71" s="136" t="e">
        <f t="array" aca="1" ref="AEX71" ca="1">INDEX(Canals!$AM$24:$AM$29,MATCH(2,1/((Canals!$F$24:$F$29&lt;=$C71)*(Canals!$G$24:$G$29=_xlfn.IFS(AAC71="Handysize",Main!ACL71,AAC71="Supramax",ACE71,AAC71="Panamax",ABX71,AAC71="NeoPanamax",ABQ71,AAC71="Suezmax",ABJ71,AAC71="Capesize",ABC71,AAC71="VLOC",AAV71)))))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Y71" s="136" t="e">
        <f t="array" aca="1" ref="AEY71" ca="1">INDEX(Canals!$AN$24:$AN$29,MATCH(2,1/((Canals!$F$24:$F$29&lt;=$C71)*(Canals!$G$24:$G$29=_xlfn.IFS(AAC71="Handysize",Main!ACL71,AAC71="Supramax",ACE71,AAC71="Panamax",ABX71,AAC71="NeoPanamax",ABQ71,AAC71="Suezmax",ABJ71,AAC71="Capesize",ABC71,AAC71="VLOC",AAV71)))))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EZ71" s="136" t="e">
        <f t="array" aca="1" ref="AEZ71" ca="1">INDEX(Canals!$AO$24:$AO$29,MATCH(2,1/((Canals!$F$24:$F$29&lt;=$C71)*(Canals!$G$24:$G$29=_xlfn.IFS(AAC71="Handysize",Main!ACL71,AAC71="Supramax",ACE71,AAC71="Panamax",ABX71,AAC71="NeoPanamax",ABQ71,AAC71="Suezmax",ABJ71,AAC71="Capesize",ABC71,AAC71="VLOC",AAV71)))))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A71" s="136" t="e">
        <f t="array" aca="1" ref="AFA71" ca="1">INDEX(Canals!$AP$24:$AP$29,MATCH(2,1/((Canals!$F$24:$F$29&lt;=$C71)*(Canals!$G$24:$G$29=_xlfn.IFS(AAC71="Handysize",Main!ACL71,AAC71="Supramax",ACE71,AAC71="Panamax",ABX71,AAC71="NeoPanamax",ABQ71,AAC71="Suezmax",ABJ71,AAC71="Capesize",ABC71,AAC71="VLOC",AAV71)))))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B71" s="136" t="e">
        <f t="array" aca="1" ref="AFB71" ca="1">INDEX(Canals!$AQ$24:$AQ$29,MATCH(2,1/((Canals!$F$24:$F$29&lt;=$C71)*(Canals!$G$24:$G$29=_xlfn.IFS(AAC71="Handysize",Main!ACL71,AAC71="Supramax",ACE71,AAC71="Panamax",ABX71,AAC71="NeoPanamax",ABQ71,AAC71="Suezmax",ABJ71,AAC71="Capesize",ABC71,AAC71="VLOC",AAV71)))))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C71" s="136" t="e">
        <f t="array" aca="1" ref="AFC71" ca="1">INDEX(Canals!$AR$24:$AR$29,MATCH(2,1/((Canals!$F$24:$F$29&lt;=$C71)*(Canals!$G$24:$G$29=_xlfn.IFS(AAC71="Handysize",Main!ACL71,AAC71="Supramax",ACE71,AAC71="Panamax",ABX71,AAC71="NeoPanamax",ABQ71,AAC71="Suezmax",ABJ71,AAC71="Capesize",ABC71,AAC71="VLOC",AAV71)))))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D71" s="136" t="e">
        <f t="array" aca="1" ref="AFD71" ca="1">INDEX(Canals!$AS$24:$AS$29,MATCH(2,1/((Canals!$F$24:$F$29&lt;=$C71)*(Canals!$G$24:$G$29=_xlfn.IFS(AAC71="Handysize",Main!ACL71,AAC71="Supramax",ACE71,AAC71="Panamax",ABX71,AAC71="NeoPanamax",ABQ71,AAC71="Suezmax",ABJ71,AAC71="Capesize",ABC71,AAC71="VLOC",AAV71)))))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E71" s="136" t="e">
        <f t="array" aca="1" ref="AFE71" ca="1">INDEX(Canals!$AT$24:$AT$29,MATCH(2,1/((Canals!$F$24:$F$29&lt;=$C71)*(Canals!$G$24:$G$29=_xlfn.IFS(AAC71="Handysize",Main!ACL71,AAC71="Supramax",ACE71,AAC71="Panamax",ABX71,AAC71="NeoPanamax",ABQ71,AAC71="Suezmax",ABJ71,AAC71="Capesize",ABC71,AAC71="VLOC",AAV71)))))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F71" s="136" t="e">
        <f t="array" aca="1" ref="AFF71" ca="1">INDEX(Canals!$AU$24:$AU$29,MATCH(2,1/((Canals!$F$24:$F$29&lt;=$C71)*(Canals!$G$24:$G$29=_xlfn.IFS(AAC71="Handysize",Main!ACL71,AAC71="Supramax",ACE71,AAC71="Panamax",ABX71,AAC71="NeoPanamax",ABQ71,AAC71="Suezmax",ABJ71,AAC71="Capesize",ABC71,AAC71="VLOC",AAV71)))))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G71" s="136" t="e">
        <f t="array" aca="1" ref="AFG71" ca="1">INDEX(Canals!$AV$24:$AV$29,MATCH(2,1/((Canals!$F$24:$F$29&lt;=$C71)*(Canals!$G$24:$G$29=_xlfn.IFS(AAC71="Handysize",Main!ACL71,AAC71="Supramax",ACE71,AAC71="Panamax",ABX71,AAC71="NeoPanamax",ABQ71,AAC71="Suezmax",ABJ71,AAC71="Capesize",ABC71,AAC71="VLOC",AAV71)))))</f>
        <v>#N/A</v>
      </c>
      <c r="AFI71" s="75" t="e">
        <f t="array" aca="1" ref="AFI71" ca="1">_xlfn.IFS(ADT71="DWT",AAA71,ADT71="NRT",AAE71,ADT71="GRT",AAF71)</f>
        <v>#NAME?</v>
      </c>
      <c r="AFJ71" s="279" t="e">
        <f t="shared" ref="AFJ71:AFJ78" ca="1" si="890">IF(AFI71&gt;ADU71,ADU71,AFI71)</f>
        <v>#NAME?</v>
      </c>
      <c r="AFK71" s="280" t="e">
        <f t="shared" ref="AFK71:AFK78" ca="1" si="891">IF(AFI71&gt;SUM(ADU71:ADV71),ADV71,AFI71-SUM(AFJ71:AFJ71))</f>
        <v>#NAME?</v>
      </c>
      <c r="AFL71" s="280" t="e">
        <f t="shared" ref="AFL71:AFL78" ca="1" si="892">IF(AFI71&gt;SUM(ADU71:ADW71),ADW71,AFI71-SUM(AFJ71:AFK71))</f>
        <v>#NAME?</v>
      </c>
      <c r="AFM71" s="280" t="e">
        <f t="shared" ref="AFM71:AFM78" ca="1" si="893">IF(AFI71&gt;SUM(ADU71:ADX71),ADX71,AFI71-SUM(AFJ71:AFL71))</f>
        <v>#NAME?</v>
      </c>
      <c r="AFN71" s="280" t="e">
        <f t="shared" ref="AFN71:AFN78" ca="1" si="894">IF(AFI71&gt;SUM(ADU71:ADY71),ADY71,AFI71-SUM(AFJ71:AFM71))</f>
        <v>#NAME?</v>
      </c>
      <c r="AFO71" s="280" t="e">
        <f t="shared" ref="AFO71:AFO78" ca="1" si="895">IF(AFI71&gt;SUM(ADU71:ADZ71),ADZ71,AFI71-SUM(AFJ71:AFN71))</f>
        <v>#NAME?</v>
      </c>
      <c r="AFP71" s="280" t="e">
        <f t="shared" ref="AFP71:AFP78" ca="1" si="896">IF(AFI71&gt;SUM(ADU71:AEA71),AEA71,AFI71-SUM(AFJ71:AFO71))</f>
        <v>#NAME?</v>
      </c>
      <c r="AFQ71" s="280" t="e">
        <f t="shared" ref="AFQ71:AFQ78" ca="1" si="897">IF(AFI71&gt;SUM(ADU71:AEB71),AEB71,AFI71-SUM(AFJ71:AFP71))</f>
        <v>#NAME?</v>
      </c>
      <c r="AFR71" s="280" t="e">
        <f t="shared" ref="AFR71:AFR78" ca="1" si="898">IF(AFI71&gt;SUM(ADU71:AEC71),AEC71,AFI71-SUM(AFJ71:AFQ71))</f>
        <v>#NAME?</v>
      </c>
      <c r="AFS71" s="75">
        <f t="shared" ref="AFS71:AFS78" si="899">AAA71*$JN71</f>
        <v>90588.23529411765</v>
      </c>
      <c r="AFT71" s="279" t="e">
        <f t="shared" ref="AFT71:AFT78" ca="1" si="900">IF(AFS71&gt;AEN71,AEN71,AFS71)</f>
        <v>#N/A</v>
      </c>
      <c r="AFU71" s="280" t="e">
        <f t="shared" ref="AFU71:AFU78" ca="1" si="901">IF(AFS71&gt;SUM(AEN71:AEO71),AEO71,AFS71-SUM(AFT71:AFT71))</f>
        <v>#N/A</v>
      </c>
      <c r="AFV71" s="280" t="e">
        <f t="shared" ref="AFV71:AFV78" ca="1" si="902">IF(AFS71&gt;SUM(AEN71:AEP71),AEP71,AFS71-SUM(AFT71:AFU71))</f>
        <v>#N/A</v>
      </c>
      <c r="AFW71" s="280" t="e">
        <f t="shared" ref="AFW71:AFW78" ca="1" si="903">IF(AFS71&gt;SUM(AEN71:AEQ71),AEQ71,AFS71-SUM(AFT71:AFV71))</f>
        <v>#N/A</v>
      </c>
      <c r="AFX71" s="280" t="e">
        <f t="shared" ref="AFX71:AFX78" ca="1" si="904">IF(AFS71&gt;SUM(AEN71:AER71),AER71,AFS71-SUM(AFT71:AFW71))</f>
        <v>#N/A</v>
      </c>
      <c r="AFY71" s="280" t="e">
        <f t="shared" ref="AFY71:AFY78" ca="1" si="905">IF(AFS71&gt;SUM(AEN71:AES71),AES71,AFS71-SUM(AFT71:AFX71))</f>
        <v>#N/A</v>
      </c>
      <c r="AFZ71" s="280" t="e">
        <f t="shared" ref="AFZ71:AFZ78" ca="1" si="906">IF(AFS71&gt;SUM(AEN71:AET71),AET71,AFS71-SUM(AFT71:AFY71))</f>
        <v>#N/A</v>
      </c>
      <c r="AGA71" s="280" t="e">
        <f t="shared" ref="AGA71:AGA78" ca="1" si="907">IF(AFS71&gt;SUM(AEN71:AEU71),AEU71,AFS71-SUM(AFT71:AFZ71))</f>
        <v>#N/A</v>
      </c>
      <c r="AGB71" s="280" t="e">
        <f t="shared" ref="AGB71:AGB78" ca="1" si="908">IF(AFS71&gt;SUM(AEN71:AEV71),AEV71,AFS71-SUM(AFT71:AGA71))</f>
        <v>#N/A</v>
      </c>
      <c r="AGD71" s="75" t="e">
        <f t="array" aca="1" ref="AGD71" ca="1">_xlfn.IFS(AAC71="Handysize",Main!ACF71,AAC71="Supramax",ABY71,AAC71="Panamax",ABR71,AAC71="NeoPanamax",ABK71,AAC71="Suezmax",ABD71,AAC71="Capesize",AAW71,AAC71="VLOC",AAP71)*$JI71</f>
        <v>#NAME?</v>
      </c>
      <c r="AGE71" s="274" t="e">
        <f t="array" aca="1" ref="AGE71" ca="1">_xlfn.IFS(AAC71="Handysize",Main!ACG71,AAC71="Supramax",ABZ71,AAC71="Panamax",ABS71,AAC71="NeoPanamax",ABL71,AAC71="Suezmax",ABE71,AAC71="Capesize",AAX71,AAC71="VLOC",AAQ71)*$JI71</f>
        <v>#NAME?</v>
      </c>
      <c r="AGF71" s="71" t="e">
        <f t="array" aca="1" ref="AGF71" ca="1">_xlfn.IFS(AAC71="Handysize",Main!AAH71,AAC71="Supramax",AAI71,AAC71="Panamax",AAJ71,AAC71="NeoPanamax",AAK71,AAC71="Suezmax",AAL71,AAC71="Capesize",AAM71,AAC71="VLOC",AAN71)</f>
        <v>#NAME?</v>
      </c>
      <c r="AGG71" s="71" t="e">
        <f t="array" aca="1" ref="AGG71" ca="1">_xlfn.IFS(AAC71="Handysize",Main!ACT71,AAC71="Supramax",ACU71,AAC71="Panamax",ACV71,AAC71="NeoPanamax",ACW71,AAC71="Suezmax",ACX71,AAC71="Capesize",ACY71,AAC71="VLOC",ACZ71)</f>
        <v>#NAME?</v>
      </c>
      <c r="AGH71" s="70">
        <f t="array" ref="AGH71">INDEX('Ship Speeds'!$G$11:$G$1011,MATCH(2,1/(('Ship Speeds'!$E$11:$E$1011&lt;=Main!$C71)*('Ship Speeds'!$F$11:$F$1011=Main!AAB71))))</f>
        <v>11</v>
      </c>
      <c r="AGI71" s="403">
        <f t="shared" ref="AGI71:AGI78" si="909">(($KH71*AGH71^2+$KI71*AGH71^3+$KG71*AGH71)*((AAA71/$KC71)^$KD71)*$KJ71+(AAA71/$KC71)*$KF71+$KE71)</f>
        <v>23.70260984288554</v>
      </c>
      <c r="AGJ71" s="401">
        <f t="shared" ref="AGJ71:AGJ78" si="910">(AAA71/$JY71)*$JZ71+$KA71+$KB71*(AAA71/$JY71)^2</f>
        <v>2.1922895927601811</v>
      </c>
      <c r="AGK71" s="70" t="e">
        <f t="shared" ref="AGK71:AGK78" ca="1" si="911">AGD71/AGH71/$JH71</f>
        <v>#NAME?</v>
      </c>
      <c r="AGL71" s="70" t="e">
        <f t="shared" ref="AGL71:AGL78" ca="1" si="912">AGE71/AGH71/$JH71</f>
        <v>#NAME?</v>
      </c>
      <c r="AGM71" s="70" t="e">
        <f t="shared" ref="AGM71:AGM78" ca="1" si="913">IF($AO71="no",$AN71,$AR71)/(1-$AL71)/AGF71</f>
        <v>#NAME?</v>
      </c>
      <c r="AGN71" s="70" t="e">
        <f t="shared" ref="AGN71:AGN78" ca="1" si="914">IF($AO71="no",$AN71,$AR71)/(1-$AL71)/AGG71</f>
        <v>#NAME?</v>
      </c>
      <c r="AGO71" s="72" t="e">
        <f t="shared" ref="AGO71:AGO78" ca="1" si="915">AFG71*$JI71</f>
        <v>#N/A</v>
      </c>
      <c r="AGP71" s="70" t="e">
        <f t="shared" ref="AGP71:AGP78" ca="1" si="916">MAX(SUM(AGK71:AGO71)*$JV71,$JU71)</f>
        <v>#NAME?</v>
      </c>
      <c r="AGQ71" s="70" t="e">
        <f t="array" aca="1" ref="AGQ71" ca="1">INDEX(ACN71:ACR71,MATCH(_xlfn.IFS(AAC71="Handysize",Main!ACJ71,AAC71="Supramax",ACC71,AAC71="Panamax",ABV71,AAC71="NeoPanamax",ABO71,AAC71="Suezmax",ABH71,AAC71="Capesize",ABA71,AAC71="VLOC",AAT71),$ACN$7:$ACR$7,0))</f>
        <v>#NAME?</v>
      </c>
      <c r="AGR71" s="70" t="e">
        <f t="array" aca="1" ref="AGR71" ca="1">INDEX(ACN71:ACR71,MATCH(_xlfn.IFS(AAC71="Handysize",Main!ACK71,AAC71="Supramax",ACD71,AAC71="Panamax",ABW71,AAC71="NeoPanamax",ABP71,AAC71="Suezmax",ABI71,AAC71="Capesize",ABB71,AAC71="VLOC",AAU71),$ACN$7:$ACR$7,0))</f>
        <v>#NAME?</v>
      </c>
      <c r="AGS71" s="71" t="e">
        <f t="shared" ref="AGS71:AGS78" ca="1" si="917">AGK71*AGI71*AGQ71</f>
        <v>#NAME?</v>
      </c>
      <c r="AGT71" s="71" t="e">
        <f t="shared" ref="AGT71:AGT78" ca="1" si="918">SUM(AGM71:AGP71)*AGJ71*AGR71+AGL71*AGI71*AGR71</f>
        <v>#NAME?</v>
      </c>
      <c r="AGU71" s="281">
        <f t="shared" ref="AGU71:AGU78" si="919">INDEX($JA71:$JD71,MATCH(ADA71,$JA$7:$JD$7,0))</f>
        <v>7.0834199999999994</v>
      </c>
      <c r="AGV71" s="71">
        <f t="shared" ref="AGV71:AGV78" si="920">ADB71/AGU71</f>
        <v>1742.3786814843679</v>
      </c>
      <c r="AGW71" s="71" t="e">
        <f t="shared" ref="AGW71:AGW78" ca="1" si="921">ADC71*SUM(AGN71,$JX71)/AGU71</f>
        <v>#NAME?</v>
      </c>
      <c r="AGX71" s="71" t="e">
        <f t="shared" ref="AGX71:AGX78" ca="1" si="922">ADD71*(AGP71*(1-$JW71))/AGU71</f>
        <v>#NAME?</v>
      </c>
      <c r="AGY71" s="71">
        <f t="shared" ref="AGY71:AGY78" si="923">ADE71*(AAA71*$JN71)/AGU71</f>
        <v>33762.355073745537</v>
      </c>
      <c r="AGZ71" s="71" t="e">
        <f t="shared" ref="AGZ71:AGZ78" ca="1" si="924">ADF71*(AAA71*$JN71)*SUM(AGN71,$JX71)/AGU71</f>
        <v>#NAME?</v>
      </c>
      <c r="AHA71" s="71" t="e">
        <f t="shared" ref="AHA71:AHA78" ca="1" si="925">ADG71*(AAA71*$JN71)*(AGP71*(1-$JW71))/AGU71</f>
        <v>#NAME?</v>
      </c>
      <c r="AHB71" s="71">
        <f t="shared" ref="AHB71:AHB78" si="926">ADH71*AAE71/AGU71</f>
        <v>23969.461999406663</v>
      </c>
      <c r="AHC71" s="71" t="e">
        <f t="shared" ref="AHC71:AHC78" ca="1" si="927">ADI71*AAE71*SUM(AGN71,$JX71)/AGU71</f>
        <v>#NAME?</v>
      </c>
      <c r="AHD71" s="71" t="e">
        <f t="shared" ref="AHD71:AHD78" ca="1" si="928">ADJ71*AAE71*(AGP71*(1-$JW71))/AGU71</f>
        <v>#NAME?</v>
      </c>
      <c r="AHE71" s="71">
        <f t="shared" ref="AHE71:AHE78" si="929">ADK71*AAF71/AGU71</f>
        <v>0</v>
      </c>
      <c r="AHF71" s="71" t="e">
        <f t="shared" ref="AHF71:AHF78" ca="1" si="930">ADL71*AAF71*SUM(AGN71,$JX71)/AGU71</f>
        <v>#NAME?</v>
      </c>
      <c r="AHG71" s="71" t="e">
        <f t="shared" ref="AHG71:AHG78" ca="1" si="931">ADM71*AAF71*(AGP71*(1-$JW71))/AGU71</f>
        <v>#NAME?</v>
      </c>
      <c r="AHH71" s="72">
        <f t="shared" ref="AHH71:AHH78" si="932">ADN71*AAD71/AGU71</f>
        <v>6313.2298390872393</v>
      </c>
      <c r="AHI71" s="72" t="e">
        <f t="shared" ref="AHI71:AHI78" ca="1" si="933">ADO71*AAD71*SUM(AGN71,$JX71)/AGU71</f>
        <v>#NAME?</v>
      </c>
      <c r="AHJ71" s="71" t="e">
        <f t="shared" ref="AHJ71:AHJ78" ca="1" si="934">ADP71*AAD71*(AGP71*(1-$JW71))/AGU71</f>
        <v>#NAME?</v>
      </c>
      <c r="AHK71" s="71" t="e">
        <f t="array" aca="1" ref="AHK71" ca="1">INDEX('Ship Time Charter Rates'!$H$22:$H$1021,MATCH(2,1/(('Ship Time Charter Rates'!$G$22:$G$1021=_xlfn.IFS(AAC71="Handysize",Main!ACH71,AAC71="Supramax",ACA71,AAC71="Panamax",ABT71,AAC71="NeoPanamax",ABM71,AAC71="Suezmax",ABF71,AAC71="Capesize",AAY71,AAC71="VLOC",AAR71))*('Ship Time Charter Rates'!$E$22:$E$1021&lt;=Main!$C71)*(NOT(ISBLANK('Ship Time Charter Rates'!$H$22:$H$1021))))))</f>
        <v>#N/A</v>
      </c>
      <c r="AHL71" s="71" t="e">
        <f t="shared" ref="AHL71:AHL78" ca="1" si="935">SUM(AGK71:AGP71,$JI71*$JX71)*AHK71</f>
        <v>#NAME?</v>
      </c>
      <c r="AHM71" s="70" t="e">
        <f t="shared" ref="AHM71:AHM78" ca="1" si="936">SUMPRODUCT(AED71:AEL71,AFJ71:AFR71)+SUMPRODUCT(AEW71:AFE71,AFT71:AGB71)</f>
        <v>#N/A</v>
      </c>
      <c r="AHN71" s="71" t="e">
        <f t="shared" ref="AHN71:AHN78" ca="1" si="937">SUM(AGS71,AGT71)+AHL71+AHM71+SUM(AGV71:AHJ71)</f>
        <v>#NAME?</v>
      </c>
      <c r="AHO71" s="71" t="e">
        <f t="shared" ref="AHO71:AHO78" ca="1" si="938">AHN71*(1+$KL71)</f>
        <v>#NAME?</v>
      </c>
      <c r="AHP71" s="72" t="e">
        <f t="shared" ref="AHP71:AHP78" ca="1" si="939">IF(AHO71=0,0,AHO71/(AAA71*(1-$AL71)*$JN71))</f>
        <v>#NAME?</v>
      </c>
      <c r="AHR71" s="25">
        <f t="shared" ref="AHR71:AHR78" si="940">IF($AO71="yes",$AN71,$AR71)/(1-$AL71)/$JN71</f>
        <v>0</v>
      </c>
      <c r="AHS71" s="4" t="str">
        <f>VLOOKUP(AHR71,'Ship Time Charter Rates'!$F$10:$G$17,2,TRUE)</f>
        <v>Handysize</v>
      </c>
      <c r="AHT71" s="4" t="str">
        <f>VLOOKUP(AHR71,Canals!$E$5:$F$12,2,TRUE)</f>
        <v>Handysize</v>
      </c>
      <c r="AHU71" s="25">
        <f t="shared" ref="AHU71:AHU78" si="941">(AHR71*$JO71 + $JP71)</f>
        <v>145.88999999999999</v>
      </c>
      <c r="AHV71" s="25">
        <f t="shared" ref="AHV71:AHV78" si="942">(AHR71*$JQ71+$JR71)</f>
        <v>0</v>
      </c>
      <c r="AHW71" s="25">
        <f t="shared" ref="AHW71:AHW78" si="943">(AHR71*$JS71+$JT71)</f>
        <v>4797</v>
      </c>
      <c r="AHY71" s="75">
        <f t="array" ref="AHY71">INDEX('Indices Mines Exporting Ports'!$R$20:$R$51,MATCH(2,1/(('Indices Mines Exporting Ports'!$D$20:$D$51&lt;=Main!$C71)*('Indices Mines Exporting Ports'!$Q$20:$Q$51=$AQ71))))</f>
        <v>0</v>
      </c>
      <c r="AHZ71" s="75">
        <f t="array" ref="AHZ71">INDEX('Indices Mines Exporting Ports'!$S$20:$S$51,MATCH(2,1/(('Indices Mines Exporting Ports'!$D$20:$D$51&lt;=Main!$C71)*('Indices Mines Exporting Ports'!$Q$20:$Q$51=$AQ71))))</f>
        <v>0</v>
      </c>
      <c r="AIA71" s="75">
        <f t="array" ref="AIA71">INDEX('Indices Mines Exporting Ports'!$T$20:$T$51,MATCH(2,1/(('Indices Mines Exporting Ports'!$D$20:$D$51&lt;=Main!$C71)*('Indices Mines Exporting Ports'!$Q$20:$Q$51=$AQ71))))</f>
        <v>0</v>
      </c>
      <c r="AIB71" s="75">
        <f t="array" ref="AIB71">INDEX('Indices Mines Exporting Ports'!$U$20:$U$51,MATCH(2,1/(('Indices Mines Exporting Ports'!$D$20:$D$51&lt;=Main!$C71)*('Indices Mines Exporting Ports'!$Q$20:$Q$51=$AQ71))))</f>
        <v>0</v>
      </c>
      <c r="AIC71" s="75">
        <f t="array" ref="AIC71">INDEX('Indices Mines Exporting Ports'!$V$20:$V$51,MATCH(2,1/(('Indices Mines Exporting Ports'!$D$20:$D$51&lt;=Main!$C71)*('Indices Mines Exporting Ports'!$Q$20:$Q$51=$AQ71))))</f>
        <v>0</v>
      </c>
      <c r="AID71" s="75">
        <f t="array" ref="AID71">INDEX('Indices Mines Exporting Ports'!$W$20:$W$51,MATCH(2,1/(('Indices Mines Exporting Ports'!$D$20:$D$51&lt;=Main!$C71)*('Indices Mines Exporting Ports'!$Q$20:$Q$51=$AQ71))))</f>
        <v>0</v>
      </c>
      <c r="AIE71" s="75">
        <f t="array" ref="AIE71">INDEX('Indices Mines Exporting Ports'!$X$20:$X$51,MATCH(2,1/(('Indices Mines Exporting Ports'!$D$20:$D$51&lt;=Main!$C71)*('Indices Mines Exporting Ports'!$Q$20:$Q$51=$AQ71))))</f>
        <v>0</v>
      </c>
      <c r="AIG71" s="75">
        <f t="array" ref="AIG71">INDEX('Port Linkages'!$E$18:$E$157,MATCH(2,1/(('Port Linkages'!$C$18:$C$157=$AQ71)*('Port Linkages'!$D$18:$D$157=IF($AO71="no",$AQ71,$KK71))*('Port Linkages'!$A$18:$A$157&lt;=$C71))))</f>
        <v>0</v>
      </c>
      <c r="AIH71" s="75">
        <f t="array" ref="AIH71">INDEX('Port Linkages'!$F$18:$F$157,MATCH(2,1/(('Port Linkages'!$C$18:$C$157=$AQ71)*('Port Linkages'!$D$18:$D$157=IF($AO71="no",$AQ71,$KK71))*('Port Linkages'!$A$18:$A$157&lt;=$C71))))</f>
        <v>0</v>
      </c>
      <c r="AII71" s="75">
        <f t="array" ref="AII71">INDEX('Port Linkages'!$G$18:$G$157,MATCH(2,1/(('Port Linkages'!$C$18:$C$157=$AQ71)*('Port Linkages'!$D$18:$D$157=IF($AO71="no",$AQ71,$KK71))*('Port Linkages'!$A$18:$A$157&lt;=$C71))))</f>
        <v>0</v>
      </c>
      <c r="AIJ71" s="75">
        <f t="array" ref="AIJ71">INDEX('Port Linkages'!$H$18:$H$157,MATCH(2,1/(('Port Linkages'!$C$18:$C$157=$AQ71)*('Port Linkages'!$D$18:$D$157=IF($AO71="no",$AQ71,$KK71))*('Port Linkages'!$A$18:$A$157&lt;=$C71))))</f>
        <v>0</v>
      </c>
      <c r="AIK71" s="75">
        <f t="array" ref="AIK71">INDEX('Port Linkages'!$I$18:$I$157,MATCH(2,1/(('Port Linkages'!$C$18:$C$157=$AQ71)*('Port Linkages'!$D$18:$D$157=IF($AO71="no",$AQ71,$KK71))*('Port Linkages'!$A$18:$A$157&lt;=$C71))))</f>
        <v>0</v>
      </c>
      <c r="AIL71" s="75">
        <f t="array" ref="AIL71">INDEX('Port Linkages'!$J$18:$J$157,MATCH(2,1/(('Port Linkages'!$C$18:$C$157=$AQ71)*('Port Linkages'!$D$18:$D$157=IF($AO71="no",$AQ71,$KK71))*('Port Linkages'!$A$18:$A$157&lt;=$C71))))</f>
        <v>0</v>
      </c>
      <c r="AIM71" s="75">
        <f t="array" ref="AIM71">INDEX('Port Linkages'!$K$18:$K$157,MATCH(2,1/(('Port Linkages'!$C$18:$C$157=$AQ71)*('Port Linkages'!$D$18:$D$157=IF($AO71="no",$AQ71,$KK71))*('Port Linkages'!$A$18:$A$157&lt;=$C71))))</f>
        <v>0</v>
      </c>
      <c r="AIN71" s="75">
        <f t="array" ref="AIN71">INDEX('Port Linkages'!$L$18:$L$157,MATCH(2,1/(('Port Linkages'!$C$18:$C$157=$AQ71)*('Port Linkages'!$D$18:$D$157=IF($AO71="no",$AQ71,$KK71))*('Port Linkages'!$A$18:$A$157&lt;=$C71))))</f>
        <v>0</v>
      </c>
      <c r="AIO71" s="75">
        <f t="array" ref="AIO71">INDEX('Port Linkages'!$M$18:$M$157,MATCH(2,1/(('Port Linkages'!$C$18:$C$157=$AQ71)*('Port Linkages'!$D$18:$D$157=IF($AO71="no",$AQ71,$KK71))*('Port Linkages'!$A$18:$A$157&lt;=$C71))))</f>
        <v>0</v>
      </c>
      <c r="AIP71" s="75">
        <f t="array" ref="AIP71">INDEX('Port Linkages'!$N$18:$N$157,MATCH(2,1/(('Port Linkages'!$C$18:$C$157=$AQ71)*('Port Linkages'!$D$18:$D$157=IF($AO71="no",$AQ71,$KK71))*('Port Linkages'!$A$18:$A$157&lt;=$C71))))</f>
        <v>0</v>
      </c>
      <c r="AIQ71" s="75">
        <f t="array" ref="AIQ71">INDEX('Port Linkages'!$O$18:$O$157,MATCH(2,1/(('Port Linkages'!$C$18:$C$157=$AQ71)*('Port Linkages'!$D$18:$D$157=IF($AO71="no",$AQ71,$KK71))*('Port Linkages'!$A$18:$A$157&lt;=$C71))))</f>
        <v>0</v>
      </c>
      <c r="AIR71" s="75">
        <f t="array" ref="AIR71">INDEX('Port Linkages'!$P$18:$P$157,MATCH(2,1/(('Port Linkages'!$C$18:$C$157=$AQ71)*('Port Linkages'!$D$18:$D$157=IF($AO71="no",$AQ71,$KK71))*('Port Linkages'!$A$18:$A$157&lt;=$C71))))</f>
        <v>0</v>
      </c>
      <c r="AIS71" s="75">
        <f t="array" ref="AIS71">INDEX('Port Linkages'!$Q$18:$Q$157,MATCH(2,1/(('Port Linkages'!$C$18:$C$157=$AQ71)*('Port Linkages'!$D$18:$D$157=IF($AO71="no",$AQ71,$KK71))*('Port Linkages'!$A$18:$A$157&lt;=$C71))))</f>
        <v>0</v>
      </c>
      <c r="AIT71" s="75">
        <f t="array" ref="AIT71">INDEX('Port Linkages'!$R$18:$R$157,MATCH(2,1/(('Port Linkages'!$C$18:$C$157=$AQ71)*('Port Linkages'!$D$18:$D$157=IF($AO71="no",$AQ71,$KK71))*('Port Linkages'!$A$18:$A$157&lt;=$C71))))</f>
        <v>0</v>
      </c>
      <c r="AIU71" s="75">
        <f t="array" ref="AIU71">INDEX('Port Linkages'!$S$18:$S$157,MATCH(2,1/(('Port Linkages'!$C$18:$C$157=$AQ71)*('Port Linkages'!$D$18:$D$157=IF($AO71="no",$AQ71,$KK71))*('Port Linkages'!$A$18:$A$157&lt;=$C71))))</f>
        <v>0</v>
      </c>
      <c r="AIV71" s="75">
        <f t="array" ref="AIV71">INDEX('Port Linkages'!$T$18:$T$157,MATCH(2,1/(('Port Linkages'!$C$18:$C$157=$AQ71)*('Port Linkages'!$D$18:$D$157=IF($AO71="no",$AQ71,$KK71))*('Port Linkages'!$A$18:$A$157&lt;=$C71))))</f>
        <v>0</v>
      </c>
      <c r="AIW71" s="75">
        <f t="array" ref="AIW71">INDEX('Port Linkages'!$U$18:$U$157,MATCH(2,1/(('Port Linkages'!$C$18:$C$157=$AQ71)*('Port Linkages'!$D$18:$D$157=IF($AO71="no",$AQ71,$KK71))*('Port Linkages'!$A$18:$A$157&lt;=$C71))))</f>
        <v>0</v>
      </c>
      <c r="AIX71" s="75">
        <f t="array" ref="AIX71">INDEX('Port Linkages'!$V$18:$V$157,MATCH(2,1/(('Port Linkages'!$C$18:$C$157=$AQ71)*('Port Linkages'!$D$18:$D$157=IF($AO71="no",$AQ71,$KK71))*('Port Linkages'!$A$18:$A$157&lt;=$C71))))</f>
        <v>0</v>
      </c>
      <c r="AIY71" s="75">
        <f t="array" ref="AIY71">INDEX('Port Linkages'!$W$18:$W$157,MATCH(2,1/(('Port Linkages'!$C$18:$C$157=$AQ71)*('Port Linkages'!$D$18:$D$157=IF($AO71="no",$AQ71,$KK71))*('Port Linkages'!$A$18:$A$157&lt;=$C71))))</f>
        <v>0</v>
      </c>
      <c r="AIZ71" s="75">
        <f t="array" ref="AIZ71">INDEX('Port Linkages'!$X$18:$X$157,MATCH(2,1/(('Port Linkages'!$C$18:$C$157=$AQ71)*('Port Linkages'!$D$18:$D$157=IF($AO71="no",$AQ71,$KK71))*('Port Linkages'!$A$18:$A$157&lt;=$C71))))</f>
        <v>0</v>
      </c>
      <c r="AJA71" s="75">
        <f t="array" ref="AJA71">INDEX('Port Linkages'!$Y$18:$Y$157,MATCH(2,1/(('Port Linkages'!$C$18:$C$157=$AQ71)*('Port Linkages'!$D$18:$D$157=IF($AO71="no",$AQ71,$KK71))*('Port Linkages'!$A$18:$A$157&lt;=$C71))))</f>
        <v>0</v>
      </c>
      <c r="AJB71" s="75">
        <f t="array" ref="AJB71">INDEX('Port Linkages'!$Z$18:$Z$157,MATCH(2,1/(('Port Linkages'!$C$18:$C$157=$AQ71)*('Port Linkages'!$D$18:$D$157=IF($AO71="no",$AQ71,$KK71))*('Port Linkages'!$A$18:$A$157&lt;=$C71))))</f>
        <v>0</v>
      </c>
      <c r="AJC71" s="75">
        <f t="array" ref="AJC71">INDEX('Port Linkages'!$AA$18:$AA$157,MATCH(2,1/(('Port Linkages'!$C$18:$C$157=$AQ71)*('Port Linkages'!$D$18:$D$157=IF($AO71="no",$AQ71,$KK71))*('Port Linkages'!$A$18:$A$157&lt;=$C71))))</f>
        <v>0</v>
      </c>
      <c r="AJD71" s="75">
        <f t="array" ref="AJD71">INDEX('Port Linkages'!$AB$18:$AB$157,MATCH(2,1/(('Port Linkages'!$C$18:$C$157=$AQ71)*('Port Linkages'!$D$18:$D$157=IF($AO71="no",$AQ71,$KK71))*('Port Linkages'!$A$18:$A$157&lt;=$C71))))</f>
        <v>0</v>
      </c>
      <c r="AJE71" s="75">
        <f t="array" ref="AJE71">INDEX('Port Linkages'!$AC$18:$AC$157,MATCH(2,1/(('Port Linkages'!$C$18:$C$157=$AQ71)*('Port Linkages'!$D$18:$D$157=IF($AO71="no",$AQ71,$KK71))*('Port Linkages'!$A$18:$A$157&lt;=$C71))))</f>
        <v>0</v>
      </c>
      <c r="AJF71" s="75">
        <f t="array" ref="AJF71">INDEX('Port Linkages'!$AD$18:$AD$157,MATCH(2,1/(('Port Linkages'!$C$18:$C$157=$AQ71)*('Port Linkages'!$D$18:$D$157=IF($AO71="no",$AQ71,$KK71))*('Port Linkages'!$A$18:$A$157&lt;=$C71))))</f>
        <v>0</v>
      </c>
      <c r="AJG71" s="75">
        <f t="array" ref="AJG71">INDEX('Port Linkages'!$AE$18:$AE$157,MATCH(2,1/(('Port Linkages'!$C$18:$C$157=$AQ71)*('Port Linkages'!$D$18:$D$157=IF($AO71="no",$AQ71,$KK71))*('Port Linkages'!$A$18:$A$157&lt;=$C71))))</f>
        <v>0</v>
      </c>
      <c r="AJH71" s="75">
        <f t="array" ref="AJH71">INDEX('Port Linkages'!$AF$18:$AF$157,MATCH(2,1/(('Port Linkages'!$C$18:$C$157=$AQ71)*('Port Linkages'!$D$18:$D$157=IF($AO71="no",$AQ71,$KK71))*('Port Linkages'!$A$18:$A$157&lt;=$C71))))</f>
        <v>0</v>
      </c>
      <c r="AJI71" s="75">
        <f t="array" ref="AJI71">INDEX('Port Linkages'!$AG$18:$AG$157,MATCH(2,1/(('Port Linkages'!$C$18:$C$157=$AQ71)*('Port Linkages'!$D$18:$D$157=IF($AO71="no",$AQ71,$KK71))*('Port Linkages'!$A$18:$A$157&lt;=$C71))))</f>
        <v>0</v>
      </c>
      <c r="AJJ71" s="75">
        <f t="array" ref="AJJ71">INDEX('Port Linkages'!$AH$18:$AH$157,MATCH(2,1/(('Port Linkages'!$C$18:$C$157=$AQ71)*('Port Linkages'!$D$18:$D$157=IF($AO71="no",$AQ71,$KK71))*('Port Linkages'!$A$18:$A$157&lt;=$C71))))</f>
        <v>0</v>
      </c>
      <c r="AJK71" s="75">
        <f t="array" ref="AJK71">INDEX('Port Linkages'!$AI$18:$AI$157,MATCH(2,1/(('Port Linkages'!$C$18:$C$157=$AQ71)*('Port Linkages'!$D$18:$D$157=IF($AO71="no",$AQ71,$KK71))*('Port Linkages'!$A$18:$A$157&lt;=$C71))))</f>
        <v>0</v>
      </c>
      <c r="AJL71" s="75">
        <f t="array" ref="AJL71">INDEX('Port Linkages'!$AJ$18:$AJ$157,MATCH(2,1/(('Port Linkages'!$C$18:$C$157=$AQ71)*('Port Linkages'!$D$18:$D$157=IF($AO71="no",$AQ71,$KK71))*('Port Linkages'!$A$18:$A$157&lt;=$C71))))</f>
        <v>0</v>
      </c>
      <c r="AJM71" s="75">
        <f t="array" ref="AJM71">INDEX('Port Linkages'!$AK$18:$AK$157,MATCH(2,1/(('Port Linkages'!$C$18:$C$157=$AQ71)*('Port Linkages'!$D$18:$D$157=IF($AO71="no",$AQ71,$KK71))*('Port Linkages'!$A$18:$A$157&lt;=$C71))))</f>
        <v>0</v>
      </c>
      <c r="AJN71" s="75">
        <f t="array" ref="AJN71">INDEX('Port Linkages'!$AL$18:$AL$157,MATCH(2,1/(('Port Linkages'!$C$18:$C$157=$AQ71)*('Port Linkages'!$D$18:$D$157=IF($AO71="no",$AQ71,$KK71))*('Port Linkages'!$A$18:$A$157&lt;=$C71))))</f>
        <v>0</v>
      </c>
      <c r="AJO71" s="75">
        <f t="array" ref="AJO71">INDEX('Port Linkages'!$AM$18:$AM$157,MATCH(2,1/(('Port Linkages'!$C$18:$C$157=$AQ71)*('Port Linkages'!$D$18:$D$157=IF($AO71="no",$AQ71,$KK71))*('Port Linkages'!$A$18:$A$157&lt;=$C71))))</f>
        <v>0</v>
      </c>
      <c r="AJP71" s="75">
        <f t="array" ref="AJP71">INDEX('Port Linkages'!$AN$18:$AN$157,MATCH(2,1/(('Port Linkages'!$C$18:$C$157=$AQ71)*('Port Linkages'!$D$18:$D$157=IF($AO71="no",$AQ71,$KK71))*('Port Linkages'!$A$18:$A$157&lt;=$C71))))</f>
        <v>0</v>
      </c>
      <c r="AJQ71" s="75">
        <f t="array" ref="AJQ71">INDEX('Port Linkages'!$AO$18:$AO$157,MATCH(2,1/(('Port Linkages'!$C$18:$C$157=$AQ71)*('Port Linkages'!$D$18:$D$157=IF($AO71="no",$AQ71,$KK71))*('Port Linkages'!$A$18:$A$157&lt;=$C71))))</f>
        <v>0</v>
      </c>
      <c r="AJR71" s="75">
        <f t="array" ref="AJR71">INDEX('Port Linkages'!$AP$18:$AP$157,MATCH(2,1/(('Port Linkages'!$C$18:$C$157=$AQ71)*('Port Linkages'!$D$18:$D$157=IF($AO71="no",$AQ71,$KK71))*('Port Linkages'!$A$18:$A$157&lt;=$C71))))</f>
        <v>0</v>
      </c>
      <c r="AJS71" s="75">
        <f t="array" ref="AJS71">INDEX('Port Linkages'!$AQ$18:$AQ$157,MATCH(2,1/(('Port Linkages'!$C$18:$C$157=$AQ71)*('Port Linkages'!$D$18:$D$157=IF($AO71="no",$AQ71,$KK71))*('Port Linkages'!$A$18:$A$157&lt;=$C71))))</f>
        <v>0</v>
      </c>
      <c r="AJT71" s="75">
        <f t="array" ref="AJT71">INDEX('Port Linkages'!$AR$18:$AR$157,MATCH(2,1/(('Port Linkages'!$C$18:$C$157=$AQ71)*('Port Linkages'!$D$18:$D$157=IF($AO71="no",$AQ71,$KK71))*('Port Linkages'!$A$18:$A$157&lt;=$C71))))</f>
        <v>0</v>
      </c>
      <c r="AJU71" s="75">
        <f t="array" ref="AJU71">INDEX('Port Linkages'!$AS$18:$AS$157,MATCH(2,1/(('Port Linkages'!$C$18:$C$157=$AQ71)*('Port Linkages'!$D$18:$D$157=IF($AO71="no",$AQ71,$KK71))*('Port Linkages'!$A$18:$A$157&lt;=$C71))))</f>
        <v>0</v>
      </c>
      <c r="AJV71" s="75">
        <f t="array" ref="AJV71">INDEX('Port Linkages'!$AT$18:$AT$157,MATCH(2,1/(('Port Linkages'!$C$18:$C$157=$AQ71)*('Port Linkages'!$D$18:$D$157=IF($AO71="no",$AQ71,$KK71))*('Port Linkages'!$A$18:$A$157&lt;=$C71))))</f>
        <v>0</v>
      </c>
      <c r="AJW71" s="75">
        <f t="array" ref="AJW71">INDEX('Port Linkages'!$AU$18:$AU$157,MATCH(2,1/(('Port Linkages'!$C$18:$C$157=$AQ71)*('Port Linkages'!$D$18:$D$157=IF($AO71="no",$AQ71,$KK71))*('Port Linkages'!$A$18:$A$157&lt;=$C71))))</f>
        <v>0</v>
      </c>
      <c r="AJX71" s="75">
        <f t="array" ref="AJX71">INDEX('Port Linkages'!$AV$18:$AV$157,MATCH(2,1/(('Port Linkages'!$C$18:$C$157=$AQ71)*('Port Linkages'!$D$18:$D$157=IF($AO71="no",$AQ71,$KK71))*('Port Linkages'!$A$18:$A$157&lt;=$C71))))</f>
        <v>0</v>
      </c>
      <c r="AJY71" s="75">
        <f t="array" ref="AJY71">INDEX('Port Linkages'!$AW$18:$AW$157,MATCH(2,1/(('Port Linkages'!$C$18:$C$157=$AQ71)*('Port Linkages'!$D$18:$D$157=IF($AO71="no",$AQ71,$KK71))*('Port Linkages'!$A$18:$A$157&lt;=$C71))))</f>
        <v>0</v>
      </c>
      <c r="AJZ71" s="75">
        <f t="array" ref="AJZ71">INDEX('Port Linkages'!$AX$18:$AX$157,MATCH(2,1/(('Port Linkages'!$C$18:$C$157=$AQ71)*('Port Linkages'!$D$18:$D$157=IF($AO71="no",$AQ71,$KK71))*('Port Linkages'!$A$18:$A$157&lt;=$C71))))</f>
        <v>0</v>
      </c>
      <c r="AKA71" s="75">
        <f t="array" ref="AKA71">INDEX('Port Linkages'!$AY$18:$AY$157,MATCH(2,1/(('Port Linkages'!$C$18:$C$157=$AQ71)*('Port Linkages'!$D$18:$D$157=IF($AO71="no",$AQ71,$KK71))*('Port Linkages'!$A$18:$A$157&lt;=$C71))))</f>
        <v>0</v>
      </c>
      <c r="AKB71" s="75">
        <f t="array" ref="AKB71">INDEX('Port Linkages'!$AZ$18:$AZ$157,MATCH(2,1/(('Port Linkages'!$C$18:$C$157=$AQ71)*('Port Linkages'!$D$18:$D$157=IF($AO71="no",$AQ71,$KK71))*('Port Linkages'!$A$18:$A$157&lt;=$C71))))</f>
        <v>0</v>
      </c>
      <c r="AKC71" s="75">
        <f t="array" ref="AKC71">INDEX('Port Linkages'!$BA$18:$BA$157,MATCH(2,1/(('Port Linkages'!$C$18:$C$157=$AQ71)*('Port Linkages'!$D$18:$D$157=IF($AO71="no",$AQ71,$KK71))*('Port Linkages'!$A$18:$A$157&lt;=$C71))))</f>
        <v>0</v>
      </c>
      <c r="AKE71" s="25" t="e">
        <f t="array" aca="1" ref="AKE71" ca="1">INDEX('Ship Fuel Prices'!$F$5:$F$1004,MATCH(2,1/(('Ship Fuel Prices'!$E$5:$E$1004=_xlfn.IFS(AHT71="Handysize",Main!AJZ71,AHT71="Supramax",AJS71,AHT71="Panamax",AJL71,AHT71="NeoPanamax",AJE71,AHT71="Suezmax",AIX71,AHT71="Capesize",AIQ71,AHT71="VLOC",AIJ71))*('Ship Fuel Prices'!$D$5:$D$1004&lt;=Main!$C71))))</f>
        <v>#N/A</v>
      </c>
      <c r="AKF71" s="25" t="e">
        <f t="array" aca="1" ref="AKF71" ca="1">INDEX('Ship Fuel Prices'!$G$5:$G$1004,MATCH(2,1/(('Ship Fuel Prices'!$E$5:$E$1004=_xlfn.IFS(AHT71="Handysize",Main!AJZ71,AHT71="Supramax",AJS71,AHT71="Panamax",AJL71,AHT71="NeoPanamax",AJE71,AHT71="Suezmax",AIX71,AHT71="Capesize",AIQ71,AHT71="VLOC",AIJ71))*('Ship Fuel Prices'!$D$5:$D$1004&lt;=Main!$C71))))</f>
        <v>#N/A</v>
      </c>
      <c r="AKG71" s="25" t="e">
        <f t="array" aca="1" ref="AKG71" ca="1">INDEX('Ship Fuel Prices'!$H$5:$H$1004,MATCH(2,1/(('Ship Fuel Prices'!$E$5:$E$1004=_xlfn.IFS(AHT71="Handysize",Main!AJZ71,AHT71="Supramax",AJS71,AHT71="Panamax",AJL71,AHT71="NeoPanamax",AJE71,AHT71="Suezmax",AIX71,AHT71="Capesize",AIQ71,AHT71="VLOC",AIJ71))*('Ship Fuel Prices'!$D$5:$D$1004&lt;=Main!$C71))))</f>
        <v>#N/A</v>
      </c>
      <c r="AKH71" s="25" t="e">
        <f t="array" aca="1" ref="AKH71" ca="1">INDEX('Ship Fuel Prices'!$I$5:$I$1004,MATCH(2,1/(('Ship Fuel Prices'!$E$5:$E$1004=_xlfn.IFS(AHT71="Handysize",Main!AJZ71,AHT71="Supramax",AJS71,AHT71="Panamax",AJL71,AHT71="NeoPanamax",AJE71,AHT71="Suezmax",AIX71,AHT71="Capesize",AIQ71,AHT71="VLOC",AIJ71))*('Ship Fuel Prices'!$D$5:$D$1004&lt;=Main!$C71))))</f>
        <v>#N/A</v>
      </c>
      <c r="AKI71" s="25" t="e">
        <f t="array" aca="1" ref="AKI71" ca="1">INDEX('Ship Fuel Prices'!$J$5:$J$1004,MATCH(2,1/(('Ship Fuel Prices'!$E$5:$E$1004=_xlfn.IFS(AHT71="Handysize",Main!AJZ71,AHT71="Supramax",AJS71,AHT71="Panamax",AJL71,AHT71="NeoPanamax",AJE71,AHT71="Suezmax",AIX71,AHT71="Capesize",AIQ71,AHT71="VLOC",AIJ71))*('Ship Fuel Prices'!$D$5:$D$1004&lt;=Main!$C71))))</f>
        <v>#N/A</v>
      </c>
      <c r="AKK71" s="75">
        <f t="array" ref="AKK71">INDEX('China n Importing Ports'!$E$20:$E$41,MATCH(2,1/(('China n Importing Ports'!$D$20:$D$41&lt;=$C71)*('China n Importing Ports'!$C$20:$C$41=IF($AO71="No",$AQ71,$KK71)))))</f>
        <v>0</v>
      </c>
      <c r="AKL71" s="75">
        <f t="array" ref="AKL71">INDEX('China n Importing Ports'!$F$20:$F$41,MATCH(2,1/(('China n Importing Ports'!$D$20:$D$41&lt;=$C71)*('China n Importing Ports'!$C$20:$C$41=IF($AO71="No",$AQ71,$KK71)))))</f>
        <v>0</v>
      </c>
      <c r="AKM71" s="75">
        <f t="array" ref="AKM71">INDEX('China n Importing Ports'!$G$20:$G$41,MATCH(2,1/(('China n Importing Ports'!$D$20:$D$41&lt;=$C71)*('China n Importing Ports'!$C$20:$C$41=IF($AO71="No",$AQ71,$KK71)))))</f>
        <v>0</v>
      </c>
      <c r="AKN71" s="75">
        <f t="array" ref="AKN71">INDEX('China n Importing Ports'!$H$20:$H$41,MATCH(2,1/(('China n Importing Ports'!$D$20:$D$41&lt;=$C71)*('China n Importing Ports'!$C$20:$C$41=IF($AO71="No",$AQ71,$KK71)))))</f>
        <v>0</v>
      </c>
      <c r="AKO71" s="75">
        <f t="array" ref="AKO71">INDEX('China n Importing Ports'!$I$20:$I$41,MATCH(2,1/(('China n Importing Ports'!$D$20:$D$41&lt;=$C71)*('China n Importing Ports'!$C$20:$C$41=IF($AO71="No",$AQ71,$KK71)))))</f>
        <v>0</v>
      </c>
      <c r="AKP71" s="75">
        <f t="array" ref="AKP71">INDEX('China n Importing Ports'!$J$20:$J$41,MATCH(2,1/(('China n Importing Ports'!$D$20:$D$41&lt;=$C71)*('China n Importing Ports'!$C$20:$C$41=IF($AO71="No",$AQ71,$KK71)))))</f>
        <v>0</v>
      </c>
      <c r="AKQ71" s="75">
        <f t="array" ref="AKQ71">INDEX('China n Importing Ports'!$K$20:$K$41,MATCH(2,1/(('China n Importing Ports'!$D$20:$D$41&lt;=$C71)*('China n Importing Ports'!$C$20:$C$41=IF($AO71="No",$AQ71,$KK71)))))</f>
        <v>0</v>
      </c>
      <c r="AKR71" s="75">
        <f t="array" ref="AKR71">INDEX('China n Importing Ports'!$L$20:$L$41,MATCH(2,1/(('China n Importing Ports'!$D$20:$D$41&lt;=$C71)*('China n Importing Ports'!$C$20:$C$41=IF($AO71="No",$AQ71,$KK71)))))</f>
        <v>0</v>
      </c>
      <c r="AKS71" s="75">
        <f t="array" ref="AKS71">INDEX('China n Importing Ports'!$M$20:$M$41,MATCH(2,1/(('China n Importing Ports'!$D$20:$D$41&lt;=$C71)*('China n Importing Ports'!$C$20:$C$41=IF($AO71="No",$AQ71,$KK71)))))</f>
        <v>0</v>
      </c>
      <c r="AKT71" s="75">
        <f t="array" ref="AKT71">INDEX('China n Importing Ports'!$N$20:$N$41,MATCH(2,1/(('China n Importing Ports'!$D$20:$D$41&lt;=$C71)*('China n Importing Ports'!$C$20:$C$41=IF($AO71="No",$AQ71,$KK71)))))</f>
        <v>0</v>
      </c>
      <c r="AKU71" s="75">
        <f t="array" ref="AKU71">INDEX('China n Importing Ports'!$O$20:$O$41,MATCH(2,1/(('China n Importing Ports'!$D$20:$D$41&lt;=$C71)*('China n Importing Ports'!$C$20:$C$41=IF($AO71="No",$AQ71,$KK71)))))</f>
        <v>0</v>
      </c>
      <c r="AKV71" s="136">
        <f t="array" ref="AKV71">INDEX('China n Importing Ports'!$P$20:$P$41,MATCH(2,1/(('China n Importing Ports'!$D$20:$D$41&lt;=$C71)*('China n Importing Ports'!$C$20:$C$41=IF($AO71="No",$AQ71,$KK71)))))</f>
        <v>0</v>
      </c>
      <c r="AKW71" s="136">
        <f t="array" ref="AKW71">INDEX('China n Importing Ports'!$Q$20:$Q$41,MATCH(2,1/(('China n Importing Ports'!$D$20:$D$41&lt;=$C71)*('China n Importing Ports'!$C$20:$C$41=IF($AO71="No",$AQ71,$KK71)))))</f>
        <v>0</v>
      </c>
      <c r="AKX71" s="136">
        <f t="array" ref="AKX71">INDEX('China n Importing Ports'!$R$20:$R$41,MATCH(2,1/(('China n Importing Ports'!$D$20:$D$41&lt;=$C71)*('China n Importing Ports'!$C$20:$C$41=IF($AO71="No",$AQ71,$KK71)))))</f>
        <v>0</v>
      </c>
      <c r="AKY71" s="136">
        <f t="array" ref="AKY71">INDEX('China n Importing Ports'!$S$20:$S$41,MATCH(2,1/(('China n Importing Ports'!$D$20:$D$41&lt;=$C71)*('China n Importing Ports'!$C$20:$C$41=IF($AO71="No",$AQ71,$KK71)))))</f>
        <v>0</v>
      </c>
      <c r="AKZ71" s="136">
        <f t="array" ref="AKZ71">INDEX('China n Importing Ports'!$T$20:$T$41,MATCH(2,1/(('China n Importing Ports'!$D$20:$D$41&lt;=$C71)*('China n Importing Ports'!$C$20:$C$41=IF($AO71="No",$AQ71,$KK71)))))</f>
        <v>0</v>
      </c>
      <c r="ALA71" s="136">
        <f t="array" ref="ALA71">INDEX('China n Importing Ports'!$U$20:$U$41,MATCH(2,1/(('China n Importing Ports'!$D$20:$D$41&lt;=$C71)*('China n Importing Ports'!$C$20:$C$41=IF($AO71="No",$AQ71,$KK71)))))</f>
        <v>0</v>
      </c>
      <c r="ALB71" s="136">
        <f t="array" ref="ALB71">INDEX('China n Importing Ports'!$V$20:$V$41,MATCH(2,1/(('China n Importing Ports'!$D$20:$D$41&lt;=$C71)*('China n Importing Ports'!$C$20:$C$41=IF($AO71="No",$AQ71,$KK71)))))</f>
        <v>0</v>
      </c>
      <c r="ALC71" s="136">
        <f t="array" ref="ALC71">INDEX('China n Importing Ports'!$W$20:$W$41,MATCH(2,1/(('China n Importing Ports'!$D$20:$D$41&lt;=$C71)*('China n Importing Ports'!$C$20:$C$41=IF($AO71="No",$AQ71,$KK71)))))</f>
        <v>0</v>
      </c>
      <c r="ALD71" s="136">
        <f t="array" ref="ALD71">INDEX('China n Importing Ports'!$X$20:$X$41,MATCH(2,1/(('China n Importing Ports'!$D$20:$D$41&lt;=$C71)*('China n Importing Ports'!$C$20:$C$41=IF($AO71="No",$AQ71,$KK71)))))</f>
        <v>0</v>
      </c>
      <c r="ALE71" s="136">
        <f t="array" ref="ALE71">INDEX('China n Importing Ports'!$Y$20:$Y$41,MATCH(2,1/(('China n Importing Ports'!$D$20:$D$41&lt;=$C71)*('China n Importing Ports'!$C$20:$C$41=IF($AO71="No",$AQ71,$KK71)))))</f>
        <v>0</v>
      </c>
      <c r="ALF71" s="136">
        <f t="array" ref="ALF71">INDEX('China n Importing Ports'!$Z$20:$Z$41,MATCH(2,1/(('China n Importing Ports'!$D$20:$D$41&lt;=$C71)*('China n Importing Ports'!$C$20:$C$41=IF($AO71="No",$AQ71,$KK71)))))</f>
        <v>0</v>
      </c>
      <c r="ALG71" s="136">
        <f t="array" ref="ALG71">INDEX('China n Importing Ports'!$AA$20:$AA$41,MATCH(2,1/(('China n Importing Ports'!$D$20:$D$41&lt;=$C71)*('China n Importing Ports'!$C$20:$C$41=IF($AO71="No",$AQ71,$KK71)))))</f>
        <v>0</v>
      </c>
      <c r="ALI71" s="75" t="e">
        <f t="array" aca="1" ref="ALI71" ca="1">INDEX(Canals!$G$24:$G$29,MATCH(2,1/((Canals!$F$24:$F$29&lt;=$C71)*(Canals!$G$24:$G$29=_xlfn.IFS(AHT71="Handysize",AKC71,AHT71="Supramax",AJV71,AHT71="Panamax",AJO71,AHT71="NeoPanamax",AJH71,AHT71="Suezmax",AJA71,AHT71="Capesize",AIT71,AHT71="VLOC",AIM71)))))</f>
        <v>#N/A</v>
      </c>
      <c r="ALJ71" s="75" t="e">
        <f t="array" aca="1" ref="ALJ71" ca="1">INDEX(Canals!$H$24:$H$29,MATCH(2,1/((Canals!$F$24:$F$29&lt;=$C71)*(Canals!$G$24:$G$29=_xlfn.IFS(AHT71="Handysize",AKC71,AHT71="Supramax",AJV71,AHT71="Panamax",AJO71,AHT71="NeoPanamax",AJH71,AHT71="Suezmax",AJA71,AHT71="Capesize",AIT71,AHT71="VLOC",AIM71)))))</f>
        <v>#N/A</v>
      </c>
      <c r="ALK71" s="75" t="e">
        <f t="array" aca="1" ref="ALK71" ca="1">INDEX(Canals!$I$24:$I$29,MATCH(2,1/((Canals!$F$24:$F$29&lt;=$C71)*(Canals!$G$24:$G$29=_xlfn.IFS(AHT71="Handysize",AKC71,AHT71="Supramax",AJV71,AHT71="Panamax",AJO71,AHT71="NeoPanamax",AJH71,AHT71="Suezmax",AJA71,AHT71="Capesize",AIT71,AHT71="VLOC",AIM71)))))</f>
        <v>#N/A</v>
      </c>
      <c r="ALL71" s="75" t="e">
        <f t="array" aca="1" ref="ALL71" ca="1">INDEX(Canals!$J$24:$J$29,MATCH(2,1/((Canals!$F$24:$F$29&lt;=$C71)*(Canals!$G$24:$G$29=_xlfn.IFS(AHT71="Handysize",Main!AKC71,AHT71="Supramax",AJV71,AHT71="Panamax",AJO71,AHT71="NeoPanamax",AJH71,AHT71="Suezmax",AJA71,AHT71="Capesize",AIT71,AHT71="VLOC",AIM71)))))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M71" s="75" t="e">
        <f t="array" aca="1" ref="ALM71" ca="1">INDEX(Canals!$K$24:$K$29,MATCH(2,1/((Canals!$F$24:$F$29&lt;=$C71)*(Canals!$G$24:$G$29=_xlfn.IFS(AHT71="Handysize",Main!AKC71,AHT71="Supramax",AJV71,AHT71="Panamax",AJO71,AHT71="NeoPanamax",AJH71,AHT71="Suezmax",AJA71,AHT71="Capesize",AIT71,AHT71="VLOC",AIM71)))))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N71" s="75" t="e">
        <f t="array" aca="1" ref="ALN71" ca="1">INDEX(Canals!$L$24:$L$29,MATCH(2,1/((Canals!$F$24:$F$29&lt;=$C71)*(Canals!$G$24:$G$29=_xlfn.IFS(AHT71="Handysize",Main!AKC71,AHT71="Supramax",AJV71,AHT71="Panamax",AJO71,AHT71="NeoPanamax",AJH71,AHT71="Suezmax",AJA71,AHT71="Capesize",AIT71,AHT71="VLOC",AIM71)))))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O71" s="75" t="e">
        <f t="array" aca="1" ref="ALO71" ca="1">INDEX(Canals!$M$24:$M$29,MATCH(2,1/((Canals!$F$24:$F$29&lt;=$C71)*(Canals!$G$24:$G$29=_xlfn.IFS(AHT71="Handysize",Main!AKC71,AHT71="Supramax",AJV71,AHT71="Panamax",AJO71,AHT71="NeoPanamax",AJH71,AHT71="Suezmax",AJA71,AHT71="Capesize",AIT71,AHT71="VLOC",AIM71)))))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P71" s="75" t="e">
        <f t="array" aca="1" ref="ALP71" ca="1">INDEX(Canals!$N$24:$N$29,MATCH(2,1/((Canals!$F$24:$F$29&lt;=$C71)*(Canals!$G$24:$G$29=_xlfn.IFS(AHT71="Handysize",Main!AKC71,AHT71="Supramax",AJV71,AHT71="Panamax",AJO71,AHT71="NeoPanamax",AJH71,AHT71="Suezmax",AJA71,AHT71="Capesize",AIT71,AHT71="VLOC",AIM71)))))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Q71" s="75" t="e">
        <f t="array" aca="1" ref="ALQ71" ca="1">INDEX(Canals!$O$24:$O$29,MATCH(2,1/((Canals!$F$24:$F$29&lt;=$C71)*(Canals!$G$24:$G$29=_xlfn.IFS(AHT71="Handysize",Main!AKC71,AHT71="Supramax",AJV71,AHT71="Panamax",AJO71,AHT71="NeoPanamax",AJH71,AHT71="Suezmax",AJA71,AHT71="Capesize",AIT71,AHT71="VLOC",AIM71)))))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R71" s="75" t="e">
        <f t="array" aca="1" ref="ALR71" ca="1">INDEX(Canals!$P$24:$P$29,MATCH(2,1/((Canals!$F$24:$F$29&lt;=$C71)*(Canals!$G$24:$G$29=_xlfn.IFS(AHT71="Handysize",Main!AKC71,AHT71="Supramax",AJV71,AHT71="Panamax",AJO71,AHT71="NeoPanamax",AJH71,AHT71="Suezmax",AJA71,AHT71="Capesize",AIT71,AHT71="VLOC",AIM71)))))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S71" s="75" t="e">
        <f t="array" aca="1" ref="ALS71" ca="1">INDEX(Canals!$Q$24:$Q$29,MATCH(2,1/((Canals!$F$24:$F$29&lt;=$C71)*(Canals!$G$24:$G$29=_xlfn.IFS(AHT71="Handysize",Main!AKC71,AHT71="Supramax",AJV71,AHT71="Panamax",AJO71,AHT71="NeoPanamax",AJH71,AHT71="Suezmax",AJA71,AHT71="Capesize",AIT71,AHT71="VLOC",AIM71)))))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T71" s="75" t="e">
        <f t="array" aca="1" ref="ALT71" ca="1">INDEX(Canals!$R$24:$R$29,MATCH(2,1/((Canals!$F$24:$F$29&lt;=$C71)*(Canals!$G$24:$G$29=_xlfn.IFS(AHT71="Handysize",Main!AKC71,AHT71="Supramax",AJV71,AHT71="Panamax",AJO71,AHT71="NeoPanamax",AJH71,AHT71="Suezmax",AJA71,AHT71="Capesize",AIT71,AHT71="VLOC",AIM71)))))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U71" s="136" t="e">
        <f t="array" aca="1" ref="ALU71" ca="1">INDEX(Canals!$S$24:$S$29,MATCH(2,1/((Canals!$F$24:$F$29&lt;=$C71)*(Canals!$G$24:$G$29=_xlfn.IFS(AHT71="Handysize",Main!AKC71,AHT71="Supramax",AJV71,AHT71="Panamax",AJO71,AHT71="NeoPanamax",AJH71,AHT71="Suezmax",AJA71,AHT71="Capesize",AIT71,AHT71="VLOC",AIM71)))))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V71" s="136" t="e">
        <f t="array" aca="1" ref="ALV71" ca="1">INDEX(Canals!$T$24:$T$29,MATCH(2,1/((Canals!$F$24:$F$29&lt;=$C71)*(Canals!$G$24:$G$29=_xlfn.IFS(AHT71="Handysize",Main!AKC71,AHT71="Supramax",AJV71,AHT71="Panamax",AJO71,AHT71="NeoPanamax",AJH71,AHT71="Suezmax",AJA71,AHT71="Capesize",AIT71,AHT71="VLOC",AIM71)))))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W71" s="136" t="e">
        <f t="array" aca="1" ref="ALW71" ca="1">INDEX(Canals!$U$24:$U$29,MATCH(2,1/((Canals!$F$24:$F$29&lt;=$C71)*(Canals!$G$24:$G$29=_xlfn.IFS(AHT71="Handysize",Main!AKC71,AHT71="Supramax",AJV71,AHT71="Panamax",AJO71,AHT71="NeoPanamax",AJH71,AHT71="Suezmax",AJA71,AHT71="Capesize",AIT71,AHT71="VLOC",AIM71)))))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X71" s="136" t="e">
        <f t="array" aca="1" ref="ALX71" ca="1">INDEX(Canals!$V$24:$V$29,MATCH(2,1/((Canals!$F$24:$F$29&lt;=$C71)*(Canals!$G$24:$G$29=_xlfn.IFS(AHT71="Handysize",Main!AKC71,AHT71="Supramax",AJV71,AHT71="Panamax",AJO71,AHT71="NeoPanamax",AJH71,AHT71="Suezmax",AJA71,AHT71="Capesize",AIT71,AHT71="VLOC",AIM71)))))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Y71" s="136" t="e">
        <f t="array" aca="1" ref="ALY71" ca="1">INDEX(Canals!$W$24:$W$29,MATCH(2,1/((Canals!$F$24:$F$29&lt;=$C71)*(Canals!$G$24:$G$29=_xlfn.IFS(AHT71="Handysize",Main!AKC71,AHT71="Supramax",AJV71,AHT71="Panamax",AJO71,AHT71="NeoPanamax",AJH71,AHT71="Suezmax",AJA71,AHT71="Capesize",AIT71,AHT71="VLOC",AIM71)))))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LZ71" s="136" t="e">
        <f t="array" aca="1" ref="ALZ71" ca="1">INDEX(Canals!$X$24:$X$29,MATCH(2,1/((Canals!$F$24:$F$29&lt;=$C71)*(Canals!$G$24:$G$29=_xlfn.IFS(AHT71="Handysize",Main!AKC71,AHT71="Supramax",AJV71,AHT71="Panamax",AJO71,AHT71="NeoPanamax",AJH71,AHT71="Suezmax",AJA71,AHT71="Capesize",AIT71,AHT71="VLOC",AIM71)))))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A71" s="136" t="e">
        <f t="array" aca="1" ref="AMA71" ca="1">INDEX(Canals!$Y$24:$Y$29,MATCH(2,1/((Canals!$F$24:$F$29&lt;=$C71)*(Canals!$G$24:$G$29=_xlfn.IFS(AHT71="Handysize",Main!AKC71,AHT71="Supramax",AJV71,AHT71="Panamax",AJO71,AHT71="NeoPanamax",AJH71,AHT71="Suezmax",AJA71,AHT71="Capesize",AIT71,AHT71="VLOC",AIM71)))))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B71" s="136" t="e">
        <f t="array" aca="1" ref="AMB71" ca="1">INDEX(Canals!$Z$24:$Z$29,MATCH(2,1/((Canals!$F$24:$F$29&lt;=$C71)*(Canals!$G$24:$G$29=_xlfn.IFS(AHT71="Handysize",Main!AKC71,AHT71="Supramax",AJV71,AHT71="Panamax",AJO71,AHT71="NeoPanamax",AJH71,AHT71="Suezmax",AJA71,AHT71="Capesize",AIT71,AHT71="VLOC",AIM71)))))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C71" s="136" t="e">
        <f t="array" aca="1" ref="AMC71" ca="1">INDEX(Canals!$AA$24:$AA$29,MATCH(2,1/((Canals!$F$24:$F$29&lt;=$C71)*(Canals!$G$24:$G$29=_xlfn.IFS(AHT71="Handysize",Main!AKC71,AHT71="Supramax",AJV71,AHT71="Panamax",AJO71,AHT71="NeoPanamax",AJH71,AHT71="Suezmax",AJA71,AHT71="Capesize",AIT71,AHT71="VLOC",AIM71)))))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D71" s="136" t="e">
        <f t="array" aca="1" ref="AMD71" ca="1">INDEX(Canals!$AB$24:$AB$29,MATCH(2,1/((Canals!$F$24:$F$29&lt;=$C71)*(Canals!$G$24:$G$29=_xlfn.IFS(AHT71="Handysize",Main!AKC71,AHT71="Supramax",AJV71,AHT71="Panamax",AJO71,AHT71="NeoPanamax",AJH71,AHT71="Suezmax",AJA71,AHT71="Capesize",AIT71,AHT71="VLOC",AIM71)))))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E71" s="75" t="e">
        <f t="array" aca="1" ref="AME71" ca="1">INDEX(Canals!$AC$24:$AC$29,MATCH(2,1/((Canals!$F$24:$F$29&lt;=$C71)*(Canals!$G$24:$G$29=_xlfn.IFS(AHT71="Handysize",Main!AKC71,AHT71="Supramax",AJV71,AHT71="Panamax",AJO71,AHT71="NeoPanamax",AJH71,AHT71="Suezmax",AJA71,AHT71="Capesize",AIT71,AHT71="VLOC",AIM71)))))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F71" s="75" t="e">
        <f t="array" aca="1" ref="AMF71" ca="1">INDEX(Canals!$AD$24:$AD$29,MATCH(2,1/((Canals!$F$24:$F$29&lt;=$C71)*(Canals!$G$24:$G$29=_xlfn.IFS(AHT71="Handysize",Main!AKC71,AHT71="Supramax",AJV71,AHT71="Panamax",AJO71,AHT71="NeoPanamax",AJH71,AHT71="Suezmax",AJA71,AHT71="Capesize",AIT71,AHT71="VLOC",AIM71)))))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G71" s="75" t="e">
        <f t="array" aca="1" ref="AMG71" ca="1">INDEX(Canals!$AE$24:$AE$29,MATCH(2,1/((Canals!$F$24:$F$29&lt;=$C71)*(Canals!$G$24:$G$29=_xlfn.IFS(AHT71="Handysize",Main!AKC71,AHT71="Supramax",AJV71,AHT71="Panamax",AJO71,AHT71="NeoPanamax",AJH71,AHT71="Suezmax",AJA71,AHT71="Capesize",AIT71,AHT71="VLOC",AIM71)))))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H71" s="75" t="e">
        <f t="array" aca="1" ref="AMH71" ca="1">INDEX(Canals!$AF$24:$AF$29,MATCH(2,1/((Canals!$F$24:$F$29&lt;=$C71)*(Canals!$G$24:$G$29=_xlfn.IFS(AHT71="Handysize",Main!AKC71,AHT71="Supramax",AJV71,AHT71="Panamax",AJO71,AHT71="NeoPanamax",AJH71,AHT71="Suezmax",AJA71,AHT71="Capesize",AIT71,AHT71="VLOC",AIM71)))))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I71" s="75" t="e">
        <f t="array" aca="1" ref="AMI71" ca="1">INDEX(Canals!$AG$24:$AG$29,MATCH(2,1/((Canals!$F$24:$F$29&lt;=$C71)*(Canals!$G$24:$G$29=_xlfn.IFS(AHT71="Handysize",Main!AKC71,AHT71="Supramax",AJV71,AHT71="Panamax",AJO71,AHT71="NeoPanamax",AJH71,AHT71="Suezmax",AJA71,AHT71="Capesize",AIT71,AHT71="VLOC",AIM71)))))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J71" s="75" t="e">
        <f t="array" aca="1" ref="AMJ71" ca="1">INDEX(Canals!$AH$24:$AH$29,MATCH(2,1/((Canals!$F$24:$F$29&lt;=$C71)*(Canals!$G$24:$G$29=_xlfn.IFS(AHT71="Handysize",Main!AKC71,AHT71="Supramax",AJV71,AHT71="Panamax",AJO71,AHT71="NeoPanamax",AJH71,AHT71="Suezmax",AJA71,AHT71="Capesize",AIT71,AHT71="VLOC",AIM71)))))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K71" s="75" t="e">
        <f t="array" aca="1" ref="AMK71" ca="1">INDEX(Canals!$AI$24:$AI$29,MATCH(2,1/((Canals!$F$24:$F$29&lt;=$C71)*(Canals!$G$24:$G$29=_xlfn.IFS(AHT71="Handysize",Main!AKC71,AHT71="Supramax",AJV71,AHT71="Panamax",AJO71,AHT71="NeoPanamax",AJH71,AHT71="Suezmax",AJA71,AHT71="Capesize",AIT71,AHT71="VLOC",AIM71)))))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L71" s="75" t="e">
        <f t="array" aca="1" ref="AML71" ca="1">INDEX(Canals!$AJ$24:$AJ$29,MATCH(2,1/((Canals!$F$24:$F$29&lt;=$C71)*(Canals!$G$24:$G$29=_xlfn.IFS(AHT71="Handysize",Main!AKC71,AHT71="Supramax",AJV71,AHT71="Panamax",AJO71,AHT71="NeoPanamax",AJH71,AHT71="Suezmax",AJA71,AHT71="Capesize",AIT71,AHT71="VLOC",AIM71)))))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M71" s="75" t="e">
        <f t="array" aca="1" ref="AMM71" ca="1">INDEX(Canals!$AK$24:$AK$29,MATCH(2,1/((Canals!$F$24:$F$29&lt;=$C71)*(Canals!$G$24:$G$29=_xlfn.IFS(AHT71="Handysize",Main!AKC71,AHT71="Supramax",AJV71,AHT71="Panamax",AJO71,AHT71="NeoPanamax",AJH71,AHT71="Suezmax",AJA71,AHT71="Capesize",AIT71,AHT71="VLOC",AIM71)))))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N71" s="136" t="e">
        <f t="array" aca="1" ref="AMN71" ca="1">INDEX(Canals!$AL$24:$AL$29,MATCH(2,1/((Canals!$F$24:$F$29&lt;=$C71)*(Canals!$G$24:$G$29=_xlfn.IFS(AHT71="Handysize",Main!AKC71,AHT71="Supramax",AJV71,AHT71="Panamax",AJO71,AHT71="NeoPanamax",AJH71,AHT71="Suezmax",AJA71,AHT71="Capesize",AIT71,AHT71="VLOC",AIM71)))))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O71" s="136" t="e">
        <f t="array" aca="1" ref="AMO71" ca="1">INDEX(Canals!$AM$24:$AM$29,MATCH(2,1/((Canals!$F$24:$F$29&lt;=$C71)*(Canals!$G$24:$G$29=_xlfn.IFS(AHT71="Handysize",Main!AKC71,AHT71="Supramax",AJV71,AHT71="Panamax",AJO71,AHT71="NeoPanamax",AJH71,AHT71="Suezmax",AJA71,AHT71="Capesize",AIT71,AHT71="VLOC",AIM71)))))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P71" s="136" t="e">
        <f t="array" aca="1" ref="AMP71" ca="1">INDEX(Canals!$AN$24:$AN$29,MATCH(2,1/((Canals!$F$24:$F$29&lt;=$C71)*(Canals!$G$24:$G$29=_xlfn.IFS(AHT71="Handysize",Main!AKC71,AHT71="Supramax",AJV71,AHT71="Panamax",AJO71,AHT71="NeoPanamax",AJH71,AHT71="Suezmax",AJA71,AHT71="Capesize",AIT71,AHT71="VLOC",AIM71)))))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Q71" s="136" t="e">
        <f t="array" aca="1" ref="AMQ71" ca="1">INDEX(Canals!$AO$24:$AO$29,MATCH(2,1/((Canals!$F$24:$F$29&lt;=$C71)*(Canals!$G$24:$G$29=_xlfn.IFS(AHT71="Handysize",Main!AKC71,AHT71="Supramax",AJV71,AHT71="Panamax",AJO71,AHT71="NeoPanamax",AJH71,AHT71="Suezmax",AJA71,AHT71="Capesize",AIT71,AHT71="VLOC",AIM71)))))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R71" s="136" t="e">
        <f t="array" aca="1" ref="AMR71" ca="1">INDEX(Canals!$AP$24:$AP$29,MATCH(2,1/((Canals!$F$24:$F$29&lt;=$C71)*(Canals!$G$24:$G$29=_xlfn.IFS(AHT71="Handysize",Main!AKC71,AHT71="Supramax",AJV71,AHT71="Panamax",AJO71,AHT71="NeoPanamax",AJH71,AHT71="Suezmax",AJA71,AHT71="Capesize",AIT71,AHT71="VLOC",AIM71)))))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S71" s="136" t="e">
        <f t="array" aca="1" ref="AMS71" ca="1">INDEX(Canals!$AQ$24:$AQ$29,MATCH(2,1/((Canals!$F$24:$F$29&lt;=$C71)*(Canals!$G$24:$G$29=_xlfn.IFS(AHT71="Handysize",Main!AKC71,AHT71="Supramax",AJV71,AHT71="Panamax",AJO71,AHT71="NeoPanamax",AJH71,AHT71="Suezmax",AJA71,AHT71="Capesize",AIT71,AHT71="VLOC",AIM71)))))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T71" s="136" t="e">
        <f t="array" aca="1" ref="AMT71" ca="1">INDEX(Canals!$AR$24:$AR$29,MATCH(2,1/((Canals!$F$24:$F$29&lt;=$C71)*(Canals!$G$24:$G$29=_xlfn.IFS(AHT71="Handysize",Main!AKC71,AHT71="Supramax",AJV71,AHT71="Panamax",AJO71,AHT71="NeoPanamax",AJH71,AHT71="Suezmax",AJA71,AHT71="Capesize",AIT71,AHT71="VLOC",AIM71)))))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U71" s="136" t="e">
        <f t="array" aca="1" ref="AMU71" ca="1">INDEX(Canals!$AS$24:$AS$29,MATCH(2,1/((Canals!$F$24:$F$29&lt;=$C71)*(Canals!$G$24:$G$29=_xlfn.IFS(AHT71="Handysize",Main!AKC71,AHT71="Supramax",AJV71,AHT71="Panamax",AJO71,AHT71="NeoPanamax",AJH71,AHT71="Suezmax",AJA71,AHT71="Capesize",AIT71,AHT71="VLOC",AIM71)))))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V71" s="136" t="e">
        <f t="array" aca="1" ref="AMV71" ca="1">INDEX(Canals!$AT$24:$AT$29,MATCH(2,1/((Canals!$F$24:$F$29&lt;=$C71)*(Canals!$G$24:$G$29=_xlfn.IFS(AHT71="Handysize",Main!AKC71,AHT71="Supramax",AJV71,AHT71="Panamax",AJO71,AHT71="NeoPanamax",AJH71,AHT71="Suezmax",AJA71,AHT71="Capesize",AIT71,AHT71="VLOC",AIM71)))))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W71" s="136" t="e">
        <f t="array" aca="1" ref="AMW71" ca="1">INDEX(Canals!$AU$24:$AU$29,MATCH(2,1/((Canals!$F$24:$F$29&lt;=$C71)*(Canals!$G$24:$G$29=_xlfn.IFS(AHT71="Handysize",Main!AKC71,AHT71="Supramax",AJV71,AHT71="Panamax",AJO71,AHT71="NeoPanamax",AJH71,AHT71="Suezmax",AJA71,AHT71="Capesize",AIT71,AHT71="VLOC",AIM71)))))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X71" s="136" t="e">
        <f t="array" aca="1" ref="AMX71" ca="1">INDEX(Canals!$AV$24:$AV$29,MATCH(2,1/((Canals!$F$24:$F$29&lt;=$C71)*(Canals!$G$24:$G$29=_xlfn.IFS(AHT71="Handysize",Main!AKC71,AHT71="Supramax",AJV71,AHT71="Panamax",AJO71,AHT71="NeoPanamax",AJH71,AHT71="Suezmax",AJA71,AHT71="Capesize",AIT71,AHT71="VLOC",AIM71)))))</f>
        <v>#N/A</v>
      </c>
      <c r="AMZ71" s="75" t="e">
        <f t="array" aca="1" ref="AMZ71" ca="1">_xlfn.IFS(ALK71="DWT",AHR71,ALK71="NRT",AHV71,ALK71="GRT",AHW71,ALK71=0,0)</f>
        <v>#NAME?</v>
      </c>
      <c r="ANA71" s="279" t="e">
        <f t="shared" ref="ANA71:ANA78" ca="1" si="944">IF(AMZ71&gt;ALL71,ALL71,AMZ71)</f>
        <v>#NAME?</v>
      </c>
      <c r="ANB71" s="280" t="e">
        <f t="shared" ref="ANB71:ANB78" ca="1" si="945">IF(AMZ71&gt;SUM(ALL71:ALM71),ALM71,AMZ71-SUM(ANA71:ANA71))</f>
        <v>#NAME?</v>
      </c>
      <c r="ANC71" s="280" t="e">
        <f t="shared" ref="ANC71:ANC78" ca="1" si="946">IF(AMZ71&gt;SUM(ALL71:ALN71),ALN71,AMZ71-SUM(ANA71:ANB71))</f>
        <v>#NAME?</v>
      </c>
      <c r="AND71" s="280" t="e">
        <f t="shared" ref="AND71:AND78" ca="1" si="947">IF(AMZ71&gt;SUM(ALL71:ALO71),ALO71,AMZ71-SUM(ANA71:ANC71))</f>
        <v>#NAME?</v>
      </c>
      <c r="ANE71" s="280" t="e">
        <f t="shared" ref="ANE71:ANE78" ca="1" si="948">IF(AMZ71&gt;SUM(ALL71:ALP71),ALP71,AMZ71-SUM(ANA71:AND71))</f>
        <v>#NAME?</v>
      </c>
      <c r="ANF71" s="280" t="e">
        <f t="shared" ref="ANF71:ANF78" ca="1" si="949">IF(AMZ71&gt;SUM(ALL71:ALQ71),ALQ71,AMZ71-SUM(ANA71:ANE71))</f>
        <v>#NAME?</v>
      </c>
      <c r="ANG71" s="280" t="e">
        <f t="shared" ref="ANG71:ANG78" ca="1" si="950">IF(AMZ71&gt;SUM(ALL71:ALR71),ALR71,AMZ71-SUM(ANA71:ANF71))</f>
        <v>#NAME?</v>
      </c>
      <c r="ANH71" s="280" t="e">
        <f t="shared" ref="ANH71:ANH78" ca="1" si="951">IF(AMZ71&gt;SUM(ALL71:ALS71),ALS71,AMZ71-SUM(ANA71:ANG71))</f>
        <v>#NAME?</v>
      </c>
      <c r="ANI71" s="280" t="e">
        <f t="shared" ref="ANI71:ANI78" ca="1" si="952">IF(AMZ71&gt;SUM(ALL71:ALT71),ALT71,AMZ71-SUM(ANA71:ANH71))</f>
        <v>#NAME?</v>
      </c>
      <c r="ANJ71" s="75">
        <f t="shared" ref="ANJ71:ANJ78" si="953">AHR71*$JN71</f>
        <v>0</v>
      </c>
      <c r="ANK71" s="279" t="e">
        <f t="shared" ref="ANK71:ANK78" ca="1" si="954">IF(ANJ71&gt;AME71,AME71,ANJ71)</f>
        <v>#N/A</v>
      </c>
      <c r="ANL71" s="280" t="e">
        <f t="shared" ref="ANL71:ANL78" ca="1" si="955">IF(ANJ71&gt;SUM(AME71:AMF71),AMF71,ANJ71-SUM(ANK71:ANK71))</f>
        <v>#N/A</v>
      </c>
      <c r="ANM71" s="280" t="e">
        <f t="shared" ref="ANM71:ANM78" ca="1" si="956">IF(ANJ71&gt;SUM(AME71:AMG71),AMG71,ANJ71-SUM(ANK71:ANL71))</f>
        <v>#N/A</v>
      </c>
      <c r="ANN71" s="280" t="e">
        <f t="shared" ref="ANN71:ANN78" ca="1" si="957">IF(ANJ71&gt;SUM(AME71:AMH71),AMH71,ANJ71-SUM(ANK71:ANM71))</f>
        <v>#N/A</v>
      </c>
      <c r="ANO71" s="280" t="e">
        <f t="shared" ref="ANO71:ANO78" ca="1" si="958">IF(ANJ71&gt;SUM(AME71:AMI71),AMI71,ANJ71-SUM(ANK71:ANN71))</f>
        <v>#N/A</v>
      </c>
      <c r="ANP71" s="280" t="e">
        <f t="shared" ref="ANP71:ANP78" ca="1" si="959">IF(ANJ71&gt;SUM(AME71:AMJ71),AMJ71,ANJ71-SUM(ANK71:ANO71))</f>
        <v>#N/A</v>
      </c>
      <c r="ANQ71" s="280" t="e">
        <f t="shared" ref="ANQ71:ANQ78" ca="1" si="960">IF(ANJ71&gt;SUM(AME71:AMK71),AMK71,ANJ71-SUM(ANK71:ANP71))</f>
        <v>#N/A</v>
      </c>
      <c r="ANR71" s="280" t="e">
        <f t="shared" ref="ANR71:ANR78" ca="1" si="961">IF(ANJ71&gt;SUM(AME71:AML71),AML71,ANJ71-SUM(ANK71:ANQ71))</f>
        <v>#N/A</v>
      </c>
      <c r="ANS71" s="280" t="e">
        <f t="shared" ref="ANS71:ANS78" ca="1" si="962">IF(ANJ71&gt;SUM(AME71:AMM71),AMM71,ANJ71-SUM(ANK71:ANR71))</f>
        <v>#N/A</v>
      </c>
      <c r="ANU71" s="75" t="e">
        <f t="array" aca="1" ref="ANU71" ca="1">_xlfn.IFS(AHT71="Handysize",Main!AJW71,AHT71="Supramax",AJP71,AHT71="Panamax",AJI71,AHT71="NeoPanamax",AJB71,AHT71="Suezmax",AIU71,AHT71="Capesize",AIN71,AHT71="VLOC",AIG71)*$JI71</f>
        <v>#NAME?</v>
      </c>
      <c r="ANV71" s="274" t="e">
        <f t="array" aca="1" ref="ANV71" ca="1">_xlfn.IFS(AHT71="Handysize",Main!AJX71,AHT71="Supramax",AJQ71,AHT71="Panamax",AJJ71,AHT71="NeoPanamax",AJC71,AHT71="Suezmax",AIV71,AHT71="Capesize",AIO71,AHT71="VLOC",AIH71)*$JI71</f>
        <v>#NAME?</v>
      </c>
      <c r="ANW71" s="71" t="e">
        <f t="array" aca="1" ref="ANW71" ca="1">_xlfn.IFS(AHT71="Handysize",Main!AHY71,AHT71="Supramax",AHZ71,AHT71="Panamax",AIA71,AHT71="NeoPanamax",AIB71,AHT71="Suezmax",AIC71,AHT71="Capesize",AID71,AHT71="VLOC",AIE71)</f>
        <v>#NAME?</v>
      </c>
      <c r="ANX71" s="71" t="e">
        <f t="array" aca="1" ref="ANX71" ca="1">_xlfn.IFS(AHT71="Handysize",Main!AKK71,AHT71="Supramax",AKL71,AHT71="Panamax",AKM71,AHT71="NeoPanamax",AKN71,AHT71="Suezmax",AKO71,AHT71="Capesize",AKP71,AHT71="VLOC",AKQ71)</f>
        <v>#NAME?</v>
      </c>
      <c r="ANY71" s="70">
        <f t="array" ref="ANY71">INDEX('Ship Speeds'!$G$11:$G$1011,MATCH(2,1/(('Ship Speeds'!$E$11:$E$1011&lt;=Main!$C71)*('Ship Speeds'!$F$11:$F$1011=Main!AHS71))))</f>
        <v>11</v>
      </c>
      <c r="ANZ71" s="403">
        <f t="shared" ref="ANZ71:ANZ78" si="963">(($KH71*ANY71^2+$KI71*ANY71^3+$KG71*ANY71)*((AHR71/$KC71)^$KD71)*$KJ71+(AHR71/$KC71)*$KF71+$KE71)</f>
        <v>0</v>
      </c>
      <c r="AOA71" s="401">
        <f t="shared" ref="AOA71:AOA78" si="964">(AHR71/$JY71)*$JZ71+$KA71+$KB71*(AHR71/$JY71)^2</f>
        <v>1.2</v>
      </c>
      <c r="AOB71" s="70" t="e">
        <f t="shared" ref="AOB71:AOB78" ca="1" si="965">ANU71/ANY71/$JH71</f>
        <v>#NAME?</v>
      </c>
      <c r="AOC71" s="70" t="e">
        <f t="shared" ref="AOC71:AOC78" ca="1" si="966">ANV71/ANY71/$JH71</f>
        <v>#NAME?</v>
      </c>
      <c r="AOD71" s="70" t="e">
        <f t="shared" ref="AOD71:AOD78" ca="1" si="967">IF(ANW71=0,0,IF($AO71="yes",$AN71,$AR71)/(1-$AL71)/ANW71)</f>
        <v>#NAME?</v>
      </c>
      <c r="AOE71" s="70" t="e">
        <f t="shared" ref="AOE71:AOE78" ca="1" si="968">IF(ANX71=0,0,IF($AO71="yes",$AN71,$AR71)/(1-$AL71)/ANX71)</f>
        <v>#NAME?</v>
      </c>
      <c r="AOF71" s="72" t="e">
        <f t="shared" ref="AOF71:AOF78" ca="1" si="969">AMX71*$JI71</f>
        <v>#N/A</v>
      </c>
      <c r="AOG71" s="70" t="e">
        <f t="shared" ref="AOG71:AOG78" ca="1" si="970">IF(ANU71=0,0,MAX(SUM(AOB71:AOF71)*$JV71,$JU71))</f>
        <v>#NAME?</v>
      </c>
      <c r="AOH71" s="70" t="e">
        <f t="array" aca="1" ref="AOH71" ca="1">IF(ANU71=0,0,INDEX(AKE71:AKI71,MATCH(_xlfn.IFS(AHT71="Handysize",Main!AKA71,AHT71="Supramax",AJT71,AHT71="Panamax",AJM71,AHT71="NeoPanamax",AJF71,AHT71="Suezmax",AIY71,AHT71="Capesize",AIR71,AHT71="VLOC",AIK71),$AKE$7:$AKI$7,0)))</f>
        <v>#NAME?</v>
      </c>
      <c r="AOI71" s="70" t="e">
        <f t="array" aca="1" ref="AOI71" ca="1">IF(ANU71=0,0,INDEX(AKE71:AKI71,MATCH(_xlfn.IFS(AHT71="Handysize",Main!AKB71,AHT71="Supramax",AJU71,AHT71="Panamax",AJN71,AHT71="NeoPanamax",AJG71,AHT71="Suezmax",AIZ71,AHT71="Capesize",AIS71,AHT71="VLOC",AIL71),$AKE$7:$AKI$7,0)))</f>
        <v>#NAME?</v>
      </c>
      <c r="AOJ71" s="71" t="e">
        <f t="shared" ref="AOJ71:AOJ78" ca="1" si="971">AOB71*ANZ71*AOH71</f>
        <v>#NAME?</v>
      </c>
      <c r="AOK71" s="71" t="e">
        <f t="shared" ref="AOK71:AOK78" ca="1" si="972">SUM(AOD71:AOG71)*AOA71*AOI71+AOC71*ANZ71*AOI71</f>
        <v>#NAME?</v>
      </c>
      <c r="AOL71" s="281" t="e">
        <f t="shared" ref="AOL71:AOL78" ca="1" si="973">IF(ANU71=0,0,INDEX($JA71:$JD71,MATCH(AKR71,$JA$7:$JD$7,0)))</f>
        <v>#NAME?</v>
      </c>
      <c r="AOM71" s="71" t="e">
        <f t="shared" ref="AOM71:AOM78" ca="1" si="974">IF(ANU71=0,0,AKS71/AOL71)</f>
        <v>#NAME?</v>
      </c>
      <c r="AON71" s="71" t="e">
        <f t="shared" ref="AON71:AON78" ca="1" si="975">IF(ANU71=0,0,AKT71*SUM(AOE71,$JX71)/AOL71)</f>
        <v>#NAME?</v>
      </c>
      <c r="AOO71" s="71" t="e">
        <f t="shared" ref="AOO71:AOO78" ca="1" si="976">IF(ANU71=0,0,AKU71*(AOG71*(1-$JW71))/AOL71)</f>
        <v>#NAME?</v>
      </c>
      <c r="AOP71" s="71" t="e">
        <f t="shared" ref="AOP71:AOP78" ca="1" si="977">IF(ANU71=0,0,AKV71*(AHR71*$JN71)/AOL71)</f>
        <v>#NAME?</v>
      </c>
      <c r="AOQ71" s="71" t="e">
        <f t="shared" ref="AOQ71:AOQ78" ca="1" si="978">IF(ANU71=0,0,AKW71*(AHR71*$JN71)*SUM(AOE71,$JX71)/AOL71)</f>
        <v>#NAME?</v>
      </c>
      <c r="AOR71" s="71" t="e">
        <f t="shared" ref="AOR71:AOR78" ca="1" si="979">IF(ANU71=0,0,AKX71*(AHR71*$JN71)*(AOG71*(1-$JW71))/AOL71)</f>
        <v>#NAME?</v>
      </c>
      <c r="AOS71" s="71" t="e">
        <f t="shared" ref="AOS71:AOS78" ca="1" si="980">IF(ANU71=0,0,AKY71*AHV71/AOL71)</f>
        <v>#NAME?</v>
      </c>
      <c r="AOT71" s="71" t="e">
        <f t="shared" ref="AOT71:AOT78" ca="1" si="981">IF(ANU71=0,0,AKZ71*AHV71*SUM(AOE71,$JX71)/AOL71)</f>
        <v>#NAME?</v>
      </c>
      <c r="AOU71" s="71" t="e">
        <f t="shared" ref="AOU71:AOU78" ca="1" si="982">IF(ANU71=0,0,ALA71*AHV71*(AOG71*(1-$JW71))/AOL71)</f>
        <v>#NAME?</v>
      </c>
      <c r="AOV71" s="71" t="e">
        <f t="shared" ref="AOV71:AOV78" ca="1" si="983">IF(ANU71=0,0,ALB71*AHW71/AOL71)</f>
        <v>#NAME?</v>
      </c>
      <c r="AOW71" s="71" t="e">
        <f t="shared" ref="AOW71:AOW78" ca="1" si="984">IF(ANU71=0,0,ALC71*AHW71*SUM(AOE71,$JX71)/AOL71)</f>
        <v>#NAME?</v>
      </c>
      <c r="AOX71" s="71" t="e">
        <f t="shared" ref="AOX71:AOX78" ca="1" si="985">IF(ANU71=0,0,ALD71*AHW71*(AOG71*(1-$JW71))/AOL71)</f>
        <v>#NAME?</v>
      </c>
      <c r="AOY71" s="72" t="e">
        <f t="shared" ref="AOY71:AOY78" ca="1" si="986">IF(ANU71=0,0,ALE71*AHU71/AOL71)</f>
        <v>#NAME?</v>
      </c>
      <c r="AOZ71" s="72" t="e">
        <f t="shared" ref="AOZ71:AOZ78" ca="1" si="987">IF(ANU71=0,0,ALF71*AHU71*SUM(AOE71,$JX71)/AOL71)</f>
        <v>#NAME?</v>
      </c>
      <c r="APA71" s="71" t="e">
        <f t="shared" ref="APA71:APA78" ca="1" si="988">IF(ANU71=0,0,ALG71*AHU71*(AOG71*(1-$JW71))/AOL71)</f>
        <v>#NAME?</v>
      </c>
      <c r="APB71" s="71" t="e">
        <f t="array" aca="1" ref="APB71" ca="1">IF(ANU71=0,0,INDEX('Ship Time Charter Rates'!$H$22:$H$1021,MATCH(2,1/(('Ship Time Charter Rates'!$G$22:$G$1021=_xlfn.IFS(AHT71="Handysize",Main!AJY71,AHT71="Supramax",AJR71,AHT71="Panamax",AJK71,AHT71="NeoPanamax",AJD71,AHT71="Suezmax",AIW71,AHT71="Capesize",AIP71,AHT71="VLOC",AII71))*('Ship Time Charter Rates'!$E$22:$E$1021&lt;=Main!$C71)*(NOT(ISBLANK('Ship Time Charter Rates'!$H$22:$H$1021)))))))</f>
        <v>#NAME?</v>
      </c>
      <c r="APC71" s="71" t="e">
        <f t="shared" ref="APC71:APC78" ca="1" si="989">IF(ANU71=0,0,SUM(AOB71:AOG71,$JI71*$JX71)*APB71)</f>
        <v>#NAME?</v>
      </c>
      <c r="APD71" s="70" t="e">
        <f t="shared" ref="APD71:APD78" ca="1" si="990">IF(ANU71=0,0,SUMPRODUCT(ALU71:AMC71,ANA71:ANI71)+SUMPRODUCT(AMN71:AMV71,ANK71:ANS71))</f>
        <v>#NAME?</v>
      </c>
      <c r="APE71" s="71" t="e">
        <f t="shared" ref="APE71:APE78" ca="1" si="991">IF(ANU71=0,0,SUM(AOJ71,AOK71)+APC71+APD71+SUM(AOM71:APA71))</f>
        <v>#NAME?</v>
      </c>
      <c r="APF71" s="71" t="e">
        <f t="shared" ref="APF71:APF78" ca="1" si="992">APE71*(1+$KL71)</f>
        <v>#NAME?</v>
      </c>
      <c r="APG71" s="72" t="e">
        <f t="shared" ref="APG71:APG78" ca="1" si="993">IF(APF71=0,0,APF71/(AHR71*(1-$AL71)*$JN71))</f>
        <v>#NAME?</v>
      </c>
      <c r="API71" s="287" t="s">
        <v>39</v>
      </c>
      <c r="APK71" s="289" t="e">
        <f t="shared" ref="APK71:APK78" ca="1" si="994">SUM(APG71,AHP71)</f>
        <v>#NAME?</v>
      </c>
      <c r="APL71" s="289" t="e">
        <f t="shared" ref="APL71:APL78" ca="1" si="995">SUM(ZW71,SF71)</f>
        <v>#NAME?</v>
      </c>
      <c r="APM71" s="289" t="e">
        <f t="shared" ref="APM71:APM78" ca="1" si="996">APK71-APL71</f>
        <v>#NAME?</v>
      </c>
      <c r="APO71" s="287" t="s">
        <v>39</v>
      </c>
    </row>
    <row r="72" spans="1:1107">
      <c r="B72" s="445" t="e">
        <f t="shared" ref="B72:B78" ca="1" si="997">((FJ72+FB72*$A$69)-(CR72-CK72+BV72*CJ72))/CJ72</f>
        <v>#NAME?</v>
      </c>
      <c r="C72" s="18">
        <f t="shared" si="674"/>
        <v>43934</v>
      </c>
      <c r="D72" s="7" t="s">
        <v>20</v>
      </c>
      <c r="E72" s="86" t="s">
        <v>156</v>
      </c>
      <c r="F72" s="6">
        <v>43.776556813893116</v>
      </c>
      <c r="G72" s="1" t="s">
        <v>4</v>
      </c>
      <c r="H72" s="1" t="s">
        <v>5</v>
      </c>
      <c r="I72" s="15"/>
      <c r="J72" s="16">
        <f>J$80+J$81</f>
        <v>0.47</v>
      </c>
      <c r="K72" s="15"/>
      <c r="L72" s="16">
        <f>L$80+L$81</f>
        <v>0.09</v>
      </c>
      <c r="M72" s="15"/>
      <c r="N72" s="15"/>
      <c r="O72" s="16">
        <f>O$80-O$81</f>
        <v>0.05</v>
      </c>
      <c r="P72" s="433">
        <v>77000</v>
      </c>
      <c r="Q72" s="98"/>
      <c r="R72" s="7" t="s">
        <v>95</v>
      </c>
      <c r="T72" s="287" t="s">
        <v>39</v>
      </c>
      <c r="V72" s="4"/>
      <c r="W72" s="16" t="str">
        <f t="shared" si="675"/>
        <v>not used yet</v>
      </c>
      <c r="X72" s="16" t="str">
        <f t="shared" si="675"/>
        <v>not used yet</v>
      </c>
      <c r="Y72" s="16" t="str">
        <f t="shared" si="675"/>
        <v>not used yet</v>
      </c>
      <c r="Z72" s="16" t="str">
        <f t="shared" si="675"/>
        <v>not used yet</v>
      </c>
      <c r="AA72" s="16" t="str">
        <f t="shared" si="675"/>
        <v>not used yet</v>
      </c>
      <c r="AB72" s="16" t="str">
        <f t="shared" si="675"/>
        <v>not used yet</v>
      </c>
      <c r="AC72" s="16" t="str">
        <f t="shared" si="675"/>
        <v>not used yet</v>
      </c>
      <c r="AE72" s="88" t="str">
        <f t="shared" si="676"/>
        <v>West Kalimantan Generic</v>
      </c>
      <c r="AF72" s="16">
        <f t="shared" si="677"/>
        <v>0.48</v>
      </c>
      <c r="AG72" s="16">
        <f t="shared" si="678"/>
        <v>0.47</v>
      </c>
      <c r="AH72" s="61">
        <f t="shared" si="679"/>
        <v>0.08</v>
      </c>
      <c r="AI72" s="61">
        <f t="shared" si="680"/>
        <v>0.09</v>
      </c>
      <c r="AJ72" s="61">
        <f t="shared" si="681"/>
        <v>4.4999999999999998E-2</v>
      </c>
      <c r="AK72" s="16">
        <f t="shared" si="682"/>
        <v>5.0000000000000001E-3</v>
      </c>
      <c r="AL72" s="16">
        <f t="shared" si="683"/>
        <v>0.05</v>
      </c>
      <c r="AM72" s="24" t="str">
        <f t="shared" si="684"/>
        <v>LT</v>
      </c>
      <c r="AN72" s="427">
        <f t="shared" si="685"/>
        <v>77000</v>
      </c>
      <c r="AO72" s="127" t="str">
        <f t="array" ref="AO72">IFERROR(IF(AND(AN72&gt;'Indices Mines Exporting Ports'!$D$11,MATCH(2,1/(('Indices Mines Exporting Ports'!$B$3:$B$10&lt;=C72)*('Indices Mines Exporting Ports'!$C$3:$C$10=E72)))),"Yes","No"),"No")</f>
        <v>No</v>
      </c>
      <c r="AP72" s="126" t="str">
        <f t="array" ref="AP72">IF(AO72="Yes",INDEX('Indices Mines Exporting Ports'!$D$3:$D$10,MATCH(2,1/(('Indices Mines Exporting Ports'!$B$3:$B$10&lt;=Main!C72)*('Indices Mines Exporting Ports'!$C$3:$C$10=Main!AE72)))),IF(NOT(ISBLANK(Q72)),Q72,IP72))</f>
        <v>West_Kal_Generic_Offshore</v>
      </c>
      <c r="AQ72" s="262">
        <f t="array" ref="AQ72">IF(AO72="no",0,INDEX('Indices Mines Exporting Ports'!$E$3:$E$10,MATCH(2,1/(('Indices Mines Exporting Ports'!$B$3:$B$10&lt;=Main!$C72)*('Indices Mines Exporting Ports'!$D$3:$D$10=Main!$AP72)))))</f>
        <v>0</v>
      </c>
      <c r="AR72" s="267">
        <f t="array" ref="AR72">IF(AO72="No",0,AN72/ROUND(AN72/INDEX('Indices Mines Exporting Ports'!$F$3:$F$10,MATCH(2,1/(('Indices Mines Exporting Ports'!$B$3:$B$10&lt;=Main!C72)*('Indices Mines Exporting Ports'!$C$3:$C$10=Main!AE72)))),0))</f>
        <v>0</v>
      </c>
      <c r="AS72" s="127" t="str">
        <f t="shared" si="686"/>
        <v>Qingdao</v>
      </c>
      <c r="AT72" s="100" t="str">
        <f t="shared" si="687"/>
        <v>Indonesian LT</v>
      </c>
      <c r="AU72" s="100" t="str">
        <f t="shared" si="688"/>
        <v>CBIX LT</v>
      </c>
      <c r="AV72" s="242" t="s">
        <v>4</v>
      </c>
      <c r="AW72" s="242" t="s">
        <v>5</v>
      </c>
      <c r="AX72" s="292" t="e">
        <f t="shared" ca="1" si="689"/>
        <v>#NAME?</v>
      </c>
      <c r="AY72" s="291" t="e">
        <f t="shared" ca="1" si="690"/>
        <v>#NAME?</v>
      </c>
      <c r="AZ72" s="292" t="e">
        <f t="shared" ca="1" si="691"/>
        <v>#NAME?</v>
      </c>
      <c r="BA72" s="102">
        <f t="shared" si="692"/>
        <v>0.33</v>
      </c>
      <c r="BB72" s="12"/>
      <c r="BC72" s="306" t="s">
        <v>403</v>
      </c>
      <c r="BD72" s="407">
        <f t="shared" si="693"/>
        <v>0</v>
      </c>
      <c r="BE72" s="407" t="e">
        <f t="shared" ca="1" si="693"/>
        <v>#NAME?</v>
      </c>
      <c r="BF72" s="407">
        <f t="shared" si="693"/>
        <v>0</v>
      </c>
      <c r="BG72" s="407" t="e">
        <f t="shared" ca="1" si="694"/>
        <v>#NAME?</v>
      </c>
      <c r="BH72" s="407">
        <f t="shared" si="695"/>
        <v>0</v>
      </c>
      <c r="BI72" s="263" t="e">
        <f t="shared" ca="1" si="696"/>
        <v>#NAME?</v>
      </c>
      <c r="BK72" s="287" t="s">
        <v>39</v>
      </c>
      <c r="BM72" s="291" t="e">
        <f t="shared" ca="1" si="697"/>
        <v>#NAME?</v>
      </c>
      <c r="BN72" s="298">
        <f t="shared" si="698"/>
        <v>0.48</v>
      </c>
      <c r="BO72" s="298">
        <f t="shared" si="699"/>
        <v>0.47</v>
      </c>
      <c r="BP72" s="298">
        <f t="shared" si="700"/>
        <v>0.08</v>
      </c>
      <c r="BQ72" s="298">
        <f t="shared" si="701"/>
        <v>0.09</v>
      </c>
      <c r="BR72" s="298">
        <f t="shared" si="702"/>
        <v>4.4999999999999998E-2</v>
      </c>
      <c r="BS72" s="298">
        <f t="shared" si="703"/>
        <v>5.0000000000000001E-3</v>
      </c>
      <c r="BT72" s="298">
        <f t="shared" si="704"/>
        <v>0.05</v>
      </c>
      <c r="BU72" s="307" t="str">
        <f t="shared" si="705"/>
        <v>LT</v>
      </c>
      <c r="BV72" s="291">
        <f t="shared" si="706"/>
        <v>0.33</v>
      </c>
      <c r="BX72" s="300">
        <f t="array" ref="BX72">INDEX('Processing Factors'!$D$8:$D$29,MATCH(2,1/(('Processing Factors'!$B$8:$B$29&lt;=Main!$C72)*('Processing Factors'!$C$8:$C$29=Main!BU72))))</f>
        <v>0</v>
      </c>
      <c r="BY72" s="299">
        <f t="array" ref="BY72">INDEX('Processing Factors'!$E$8:$E$29,MATCH(2,1/(('Processing Factors'!$B$8:$B$29&lt;=Main!$C72)*('Processing Factors'!$C$8:$C$29=Main!BU72))))</f>
        <v>1</v>
      </c>
      <c r="BZ72" s="299">
        <f t="array" ref="BZ72">INDEX('Processing Factors'!$F$8:$F$29,MATCH(2,1/(('Processing Factors'!$B$8:$B$29&lt;=Main!$C72)*('Processing Factors'!$C$8:$C$29=Main!BU72))))</f>
        <v>0.9</v>
      </c>
      <c r="CA72" s="299">
        <f t="array" ref="CA72">INDEX('Processing Factors'!$G$8:$G$29,MATCH(2,1/(('Processing Factors'!$B$8:$B$29&lt;=Main!$C72)*('Processing Factors'!$C$8:$C$29=Main!BU72))))</f>
        <v>3.5999999999999997E-2</v>
      </c>
      <c r="CB72" s="299">
        <f t="array" ref="CB72">INDEX('Processing Factors'!$H$8:$H$29,MATCH(2,1/(('Processing Factors'!$B$8:$B$29&lt;=Main!$C72)*('Processing Factors'!$C$8:$C$29=Main!BU72))))</f>
        <v>12.15</v>
      </c>
      <c r="CC72" s="300">
        <f t="array" ref="CC72">INDEX('Processing Factors'!$I$8:$I$29,MATCH(2,1/(('Processing Factors'!$B$8:$B$29&lt;=Main!$C72)*('Processing Factors'!$C$8:$C$29=Main!BU72))))</f>
        <v>0</v>
      </c>
      <c r="CD72" s="300">
        <f t="array" ref="CD72">INDEX('Processing Factors'!$J$8:$J$29,MATCH(2,1/(('Processing Factors'!$B$8:$B$29&lt;=Main!$C72)*('Processing Factors'!$C$8:$C$29=Main!BU72))))</f>
        <v>0.9</v>
      </c>
      <c r="CE72" s="299">
        <f t="array" ref="CE72">INDEX('Processing Factors'!$K$8:$K$29,MATCH(2,1/(('Processing Factors'!$B$8:$B$29&lt;=Main!$C72)*('Processing Factors'!$C$8:$C$29=Main!BU72))))</f>
        <v>3.5000000000000003E-2</v>
      </c>
      <c r="CG72" s="302">
        <f t="shared" si="707"/>
        <v>0.55999999999999994</v>
      </c>
      <c r="CH72" s="302">
        <f t="shared" si="708"/>
        <v>0.09</v>
      </c>
      <c r="CI72" s="302">
        <f t="shared" si="709"/>
        <v>0.47</v>
      </c>
      <c r="CJ72" s="299">
        <f t="shared" si="710"/>
        <v>2.3640661938534278</v>
      </c>
      <c r="CK72" s="281" t="e">
        <f t="shared" ca="1" si="711"/>
        <v>#NAME?</v>
      </c>
      <c r="CL72" s="299">
        <f t="shared" si="712"/>
        <v>0.22648936170212766</v>
      </c>
      <c r="CM72" s="281">
        <f t="shared" si="713"/>
        <v>54.356781737298796</v>
      </c>
      <c r="CN72" s="281">
        <f t="shared" si="714"/>
        <v>50.321396655852695</v>
      </c>
      <c r="CO72" s="281">
        <f t="shared" si="715"/>
        <v>1.2197497818850218</v>
      </c>
      <c r="CP72" s="299">
        <f t="shared" si="716"/>
        <v>1.6265555555555555</v>
      </c>
      <c r="CQ72" s="281">
        <f t="shared" si="717"/>
        <v>6.8888568892804143</v>
      </c>
      <c r="CR72" s="281" t="e">
        <f t="shared" ca="1" si="718"/>
        <v>#NAME?</v>
      </c>
      <c r="CT72" s="287" t="s">
        <v>39</v>
      </c>
      <c r="CV72" s="305" t="e">
        <f t="shared" ca="1" si="719"/>
        <v>#NAME?</v>
      </c>
      <c r="CW72" s="61">
        <f t="array" ref="CW72">INDEX('Indices Mines Exporting Ports'!E$20:E$51, MATCH(2,1/(('Indices Mines Exporting Ports'!$C$20:$C$51=$AT72)*('Indices Mines Exporting Ports'!$D$20:$D$51&lt;=$C72))))</f>
        <v>0.48</v>
      </c>
      <c r="CX72" s="61">
        <f t="array" ref="CX72">INDEX('Indices Mines Exporting Ports'!F$20:F$51, MATCH(2,1/(('Indices Mines Exporting Ports'!$C$20:$C$51=$AT72)*('Indices Mines Exporting Ports'!$D$20:$D$51&lt;=$C72))))</f>
        <v>0.44</v>
      </c>
      <c r="CY72" s="61">
        <f t="array" ref="CY72">INDEX('Indices Mines Exporting Ports'!G$20:G$51, MATCH(2,1/(('Indices Mines Exporting Ports'!$C$20:$C$51=$AT72)*('Indices Mines Exporting Ports'!$D$20:$D$51&lt;=$C72))))</f>
        <v>0.08</v>
      </c>
      <c r="CZ72" s="61">
        <f t="array" ref="CZ72">INDEX('Indices Mines Exporting Ports'!H$20:H$51, MATCH(2,1/(('Indices Mines Exporting Ports'!$C$20:$C$51=$AT72)*('Indices Mines Exporting Ports'!$D$20:$D$51&lt;=$C72))))</f>
        <v>3.5000000000000003E-2</v>
      </c>
      <c r="DA72" s="61">
        <f t="array" ref="DA72">INDEX('Indices Mines Exporting Ports'!I$20:I$51, MATCH(2,1/(('Indices Mines Exporting Ports'!$C$20:$C$51=$AT72)*('Indices Mines Exporting Ports'!$D$20:$D$51&lt;=$C72))))</f>
        <v>4.4999999999999998E-2</v>
      </c>
      <c r="DB72" s="61">
        <f t="array" ref="DB72">INDEX('Indices Mines Exporting Ports'!J$20:J$51, MATCH(2,1/(('Indices Mines Exporting Ports'!$C$20:$C$51=$AT72)*('Indices Mines Exporting Ports'!$D$20:$D$51&lt;=$C72))))</f>
        <v>5.0000000000000001E-3</v>
      </c>
      <c r="DC72" s="61">
        <f t="array" ref="DC72">INDEX('Indices Mines Exporting Ports'!K$20:K$51, MATCH(2,1/(('Indices Mines Exporting Ports'!$C$20:$C$51=$AT72)*('Indices Mines Exporting Ports'!$D$20:$D$51&lt;=$C72))))</f>
        <v>0.15</v>
      </c>
      <c r="DD72" s="103" t="str">
        <f t="array" ref="DD72">INDEX('Indices Mines Exporting Ports'!L$20:L$51, MATCH(2,1/(('Indices Mines Exporting Ports'!$C$20:$C$51=$AT72)*('Indices Mines Exporting Ports'!$D$20:$D$51&lt;=$C72))))</f>
        <v>LT</v>
      </c>
      <c r="DE72" s="243">
        <f t="array" ref="DE72">INDEX('Indices Mines Exporting Ports'!M$20:M$51, MATCH(2,1/(('Indices Mines Exporting Ports'!$C$20:$C$51=$AT72)*('Indices Mines Exporting Ports'!$D$20:$D$51&lt;=$C72))))</f>
        <v>0.33</v>
      </c>
      <c r="DG72" s="300">
        <f t="array" ref="DG72">INDEX('Processing Factors'!$D$8:$D$29,MATCH(2,1/(('Processing Factors'!$B$8:$B$29&lt;=Main!$C72)*('Processing Factors'!$C$8:$C$29=Main!DD72))))</f>
        <v>0</v>
      </c>
      <c r="DH72" s="299">
        <f t="array" ref="DH72">INDEX('Processing Factors'!$E$8:$E$29,MATCH(2,1/(('Processing Factors'!$B$8:$B$29&lt;=Main!$C72)*('Processing Factors'!$C$8:$C$29=Main!DD72))))</f>
        <v>1</v>
      </c>
      <c r="DI72" s="299">
        <f t="array" ref="DI72">INDEX('Processing Factors'!$F$8:$F$29,MATCH(2,1/(('Processing Factors'!$B$8:$B$29&lt;=Main!$C72)*('Processing Factors'!$C$8:$C$29=Main!DD72))))</f>
        <v>0.9</v>
      </c>
      <c r="DJ72" s="299">
        <f t="array" ref="DJ72">INDEX('Processing Factors'!$G$8:$G$29,MATCH(2,1/(('Processing Factors'!$B$8:$B$29&lt;=Main!$C72)*('Processing Factors'!$C$8:$C$29=Main!DD72))))</f>
        <v>3.5999999999999997E-2</v>
      </c>
      <c r="DK72" s="299">
        <f t="array" ref="DK72">INDEX('Processing Factors'!$H$8:$H$29,MATCH(2,1/(('Processing Factors'!$B$8:$B$29&lt;=Main!$C72)*('Processing Factors'!$C$8:$C$29=Main!DD72))))</f>
        <v>12.15</v>
      </c>
      <c r="DL72" s="300">
        <f t="array" ref="DL72">INDEX('Processing Factors'!$I$8:$I$29,MATCH(2,1/(('Processing Factors'!$B$8:$B$29&lt;=Main!$C72)*('Processing Factors'!$C$8:$C$29=Main!DD72))))</f>
        <v>0</v>
      </c>
      <c r="DM72" s="300">
        <f t="array" ref="DM72">INDEX('Processing Factors'!$J$8:$J$29,MATCH(2,1/(('Processing Factors'!$B$8:$B$29&lt;=Main!$C72)*('Processing Factors'!$C$8:$C$29=Main!DD72))))</f>
        <v>0.9</v>
      </c>
      <c r="DN72" s="299">
        <f t="array" ref="DN72">INDEX('Processing Factors'!$K$8:$K$29,MATCH(2,1/(('Processing Factors'!$B$8:$B$29&lt;=Main!$C72)*('Processing Factors'!$C$8:$C$29=Main!DD72))))</f>
        <v>3.5000000000000003E-2</v>
      </c>
      <c r="DP72" s="302">
        <f t="shared" si="720"/>
        <v>0.47499999999999998</v>
      </c>
      <c r="DQ72" s="302">
        <f t="shared" si="721"/>
        <v>3.5000000000000003E-2</v>
      </c>
      <c r="DR72" s="302">
        <f t="shared" si="722"/>
        <v>0.43999999999999995</v>
      </c>
      <c r="DS72" s="299">
        <f t="shared" si="723"/>
        <v>2.5252525252525255</v>
      </c>
      <c r="DT72" s="304">
        <v>0</v>
      </c>
      <c r="DU72" s="299">
        <f t="shared" si="724"/>
        <v>0.11454545454545458</v>
      </c>
      <c r="DV72" s="281">
        <f t="shared" si="725"/>
        <v>27.490572735666216</v>
      </c>
      <c r="DW72" s="281">
        <f t="shared" si="726"/>
        <v>50.321396655852695</v>
      </c>
      <c r="DX72" s="281">
        <f t="shared" si="727"/>
        <v>1.2197497818850218</v>
      </c>
      <c r="DY72" s="299">
        <f t="shared" si="728"/>
        <v>1.6757979797979801</v>
      </c>
      <c r="DZ72" s="281">
        <f t="shared" si="729"/>
        <v>7.0974104872984247</v>
      </c>
      <c r="EA72" s="281">
        <f t="shared" si="730"/>
        <v>86.129129660702361</v>
      </c>
      <c r="EC72" s="287" t="s">
        <v>39</v>
      </c>
      <c r="EE72" s="305" t="e">
        <f t="shared" ca="1" si="731"/>
        <v>#NAME?</v>
      </c>
      <c r="EF72" s="16">
        <f t="array" ref="EF72">INDEX('Indices Mines Exporting Ports'!E$20:E$51, MATCH(2,1/(('Indices Mines Exporting Ports'!$C$20:$C$51=$AU72)*('Indices Mines Exporting Ports'!$D$20:$D$51&lt;=$C72))))</f>
        <v>0.5</v>
      </c>
      <c r="EG72" s="16">
        <f t="array" ref="EG72">INDEX('Indices Mines Exporting Ports'!F$20:F$51, MATCH(2,1/(('Indices Mines Exporting Ports'!$C$20:$C$51=$AU72)*('Indices Mines Exporting Ports'!$D$20:$D$51&lt;=$C72))))</f>
        <v>0.45</v>
      </c>
      <c r="EH72" s="16">
        <f t="array" ref="EH72">INDEX('Indices Mines Exporting Ports'!G$20:G$51, MATCH(2,1/(('Indices Mines Exporting Ports'!$C$20:$C$51=$AU72)*('Indices Mines Exporting Ports'!$D$20:$D$51&lt;=$C72))))</f>
        <v>0.05</v>
      </c>
      <c r="EI72" s="16">
        <f t="array" ref="EI72">INDEX('Indices Mines Exporting Ports'!H$20:H$51, MATCH(2,1/(('Indices Mines Exporting Ports'!$C$20:$C$51=$AU72)*('Indices Mines Exporting Ports'!$D$20:$D$51&lt;=$C72))))</f>
        <v>0.05</v>
      </c>
      <c r="EJ72" s="16">
        <f t="array" ref="EJ72">INDEX('Indices Mines Exporting Ports'!I$20:I$51, MATCH(2,1/(('Indices Mines Exporting Ports'!$C$20:$C$51=$AU72)*('Indices Mines Exporting Ports'!$D$20:$D$51&lt;=$C72))))</f>
        <v>0</v>
      </c>
      <c r="EK72" s="16">
        <f t="array" ref="EK72">INDEX('Indices Mines Exporting Ports'!J$20:J$51, MATCH(2,1/(('Indices Mines Exporting Ports'!$C$20:$C$51=$AU72)*('Indices Mines Exporting Ports'!$D$20:$D$51&lt;=$C72))))</f>
        <v>0</v>
      </c>
      <c r="EL72" s="16">
        <f t="array" ref="EL72">INDEX('Indices Mines Exporting Ports'!K$20:K$51, MATCH(2,1/(('Indices Mines Exporting Ports'!$C$20:$C$51=$AU72)*('Indices Mines Exporting Ports'!$D$20:$D$51&lt;=$C72))))</f>
        <v>0.1</v>
      </c>
      <c r="EM72" s="103" t="str">
        <f t="array" ref="EM72">INDEX('Indices Mines Exporting Ports'!L$20:L$51, MATCH(2,1/(('Indices Mines Exporting Ports'!$C$20:$C$51=$AU72)*('Indices Mines Exporting Ports'!$D$20:$D$51&lt;=$C72))))</f>
        <v>LT</v>
      </c>
      <c r="EN72" s="243">
        <f t="array" ref="EN72">INDEX('Indices Mines Exporting Ports'!M$20:M$51, MATCH(2,1/(('Indices Mines Exporting Ports'!$C$20:$C$51=$AU72)*('Indices Mines Exporting Ports'!$D$20:$D$51&lt;=$C72))))</f>
        <v>0</v>
      </c>
      <c r="EP72" s="300">
        <f t="array" ref="EP72">INDEX('Processing Factors'!$D$8:$D$29,MATCH(2,1/(('Processing Factors'!$B$8:$B$29&lt;=Main!$C72)*('Processing Factors'!$C$8:$C$29=Main!EM72))))</f>
        <v>0</v>
      </c>
      <c r="EQ72" s="299">
        <f t="array" ref="EQ72">INDEX('Processing Factors'!$E$8:$E$29,MATCH(2,1/(('Processing Factors'!$B$8:$B$29&lt;=Main!$C72)*('Processing Factors'!$C$8:$C$29=Main!EM72))))</f>
        <v>1</v>
      </c>
      <c r="ER72" s="299">
        <f t="array" ref="ER72">INDEX('Processing Factors'!$F$8:$F$29,MATCH(2,1/(('Processing Factors'!$B$8:$B$29&lt;=Main!$C72)*('Processing Factors'!$C$8:$C$29=Main!EM72))))</f>
        <v>0.9</v>
      </c>
      <c r="ES72" s="299">
        <f t="array" ref="ES72">INDEX('Processing Factors'!$G$8:$G$29,MATCH(2,1/(('Processing Factors'!$B$8:$B$29&lt;=Main!$C72)*('Processing Factors'!$C$8:$C$29=Main!EM72))))</f>
        <v>3.5999999999999997E-2</v>
      </c>
      <c r="ET72" s="299">
        <f t="array" ref="ET72">INDEX('Processing Factors'!$H$8:$H$29,MATCH(2,1/(('Processing Factors'!$B$8:$B$29&lt;=Main!$C72)*('Processing Factors'!$C$8:$C$29=Main!EM72))))</f>
        <v>12.15</v>
      </c>
      <c r="EU72" s="300">
        <f t="array" ref="EU72">INDEX('Processing Factors'!$I$8:$I$29,MATCH(2,1/(('Processing Factors'!$B$8:$B$29&lt;=Main!$C72)*('Processing Factors'!$C$8:$C$29=Main!EM72))))</f>
        <v>0</v>
      </c>
      <c r="EV72" s="300">
        <f t="array" ref="EV72">INDEX('Processing Factors'!$J$8:$J$29,MATCH(2,1/(('Processing Factors'!$B$8:$B$29&lt;=Main!$C72)*('Processing Factors'!$C$8:$C$29=Main!EM72))))</f>
        <v>0.9</v>
      </c>
      <c r="EW72" s="299">
        <f t="array" ref="EW72">INDEX('Processing Factors'!$K$8:$K$29,MATCH(2,1/(('Processing Factors'!$B$8:$B$29&lt;=Main!$C72)*('Processing Factors'!$C$8:$C$29=Main!EM72))))</f>
        <v>3.5000000000000003E-2</v>
      </c>
      <c r="EY72" s="302">
        <f t="shared" si="732"/>
        <v>0.5</v>
      </c>
      <c r="EZ72" s="302">
        <f t="shared" si="733"/>
        <v>0.05</v>
      </c>
      <c r="FA72" s="302">
        <f t="shared" si="734"/>
        <v>0.45</v>
      </c>
      <c r="FB72" s="299">
        <f t="shared" si="735"/>
        <v>2.4691358024691357</v>
      </c>
      <c r="FC72" s="304">
        <v>0</v>
      </c>
      <c r="FD72" s="299">
        <f t="shared" si="736"/>
        <v>0.14611111111111114</v>
      </c>
      <c r="FE72" s="281">
        <f t="shared" si="737"/>
        <v>35.06623762093578</v>
      </c>
      <c r="FF72" s="281">
        <f t="shared" si="738"/>
        <v>50.321396655852695</v>
      </c>
      <c r="FG72" s="281">
        <f t="shared" si="739"/>
        <v>1.2197497818850218</v>
      </c>
      <c r="FH72" s="299">
        <f t="shared" si="740"/>
        <v>1.6512469135802468</v>
      </c>
      <c r="FI72" s="281">
        <f t="shared" si="741"/>
        <v>6.9934307731868799</v>
      </c>
      <c r="FJ72" s="281">
        <f t="shared" si="742"/>
        <v>93.60081483186039</v>
      </c>
      <c r="FL72" s="287" t="s">
        <v>39</v>
      </c>
      <c r="FN72" s="315" t="e">
        <f t="shared" ca="1" si="743"/>
        <v>#NAME?</v>
      </c>
      <c r="FO72" s="316">
        <f t="shared" si="744"/>
        <v>0.48</v>
      </c>
      <c r="FP72" s="316">
        <f t="shared" si="745"/>
        <v>0.47</v>
      </c>
      <c r="FQ72" s="316">
        <f t="shared" si="746"/>
        <v>0.08</v>
      </c>
      <c r="FR72" s="316">
        <f t="shared" si="747"/>
        <v>0.09</v>
      </c>
      <c r="FS72" s="316">
        <f t="shared" si="748"/>
        <v>4.4999999999999998E-2</v>
      </c>
      <c r="FT72" s="316">
        <f t="shared" si="749"/>
        <v>5.0000000000000001E-3</v>
      </c>
      <c r="FU72" s="316">
        <f t="shared" si="750"/>
        <v>0.05</v>
      </c>
      <c r="FV72" s="317" t="str">
        <f t="shared" si="751"/>
        <v>LT</v>
      </c>
      <c r="FW72" s="318">
        <v>0</v>
      </c>
      <c r="FX72" s="237"/>
      <c r="FY72" s="319">
        <f t="array" ref="FY72">INDEX('Processing Factors'!$D$8:$D$29,MATCH(2,1/(('Processing Factors'!$B$8:$B$29&lt;=Main!$C72)*('Processing Factors'!$C$8:$C$29=Main!FV72))))</f>
        <v>0</v>
      </c>
      <c r="FZ72" s="320">
        <f t="array" ref="FZ72">INDEX('Processing Factors'!$E$8:$E$29,MATCH(2,1/(('Processing Factors'!$B$8:$B$29&lt;=Main!$C72)*('Processing Factors'!$C$8:$C$29=Main!FV72))))</f>
        <v>1</v>
      </c>
      <c r="GA72" s="320">
        <f t="array" ref="GA72">INDEX('Processing Factors'!$F$8:$F$29,MATCH(2,1/(('Processing Factors'!$B$8:$B$29&lt;=Main!$C72)*('Processing Factors'!$C$8:$C$29=Main!FV72))))</f>
        <v>0.9</v>
      </c>
      <c r="GB72" s="320">
        <f t="array" ref="GB72">INDEX('Processing Factors'!$G$8:$G$29,MATCH(2,1/(('Processing Factors'!$B$8:$B$29&lt;=Main!$C72)*('Processing Factors'!$C$8:$C$29=Main!FV72))))</f>
        <v>3.5999999999999997E-2</v>
      </c>
      <c r="GC72" s="320">
        <f t="array" ref="GC72">INDEX('Processing Factors'!$H$8:$H$29,MATCH(2,1/(('Processing Factors'!$B$8:$B$29&lt;=Main!$C72)*('Processing Factors'!$C$8:$C$29=Main!FV72))))</f>
        <v>12.15</v>
      </c>
      <c r="GD72" s="319">
        <f t="array" ref="GD72">INDEX('Processing Factors'!$I$8:$I$29,MATCH(2,1/(('Processing Factors'!$B$8:$B$29&lt;=Main!$C72)*('Processing Factors'!$C$8:$C$29=Main!FV72))))</f>
        <v>0</v>
      </c>
      <c r="GE72" s="321">
        <v>0.92</v>
      </c>
      <c r="GF72" s="320">
        <f t="array" ref="GF72">INDEX('Processing Factors'!$K$8:$K$29,MATCH(2,1/(('Processing Factors'!$B$8:$B$29&lt;=Main!$C72)*('Processing Factors'!$C$8:$C$29=Main!FV72))))</f>
        <v>3.5000000000000003E-2</v>
      </c>
      <c r="GG72" s="237"/>
      <c r="GH72" s="322">
        <f t="shared" si="752"/>
        <v>0.55999999999999994</v>
      </c>
      <c r="GI72" s="322">
        <f t="shared" si="753"/>
        <v>0.09</v>
      </c>
      <c r="GJ72" s="322">
        <f t="shared" si="754"/>
        <v>0.47</v>
      </c>
      <c r="GK72" s="320">
        <f t="shared" si="755"/>
        <v>2.3126734505087878</v>
      </c>
      <c r="GL72" s="323" t="e">
        <f t="shared" ca="1" si="756"/>
        <v>#NAME?</v>
      </c>
      <c r="GM72" s="320">
        <f t="shared" si="757"/>
        <v>0.22232654949121183</v>
      </c>
      <c r="GN72" s="323">
        <f t="shared" si="758"/>
        <v>53.357719030505059</v>
      </c>
      <c r="GO72" s="323">
        <f t="shared" si="759"/>
        <v>50.321396655852695</v>
      </c>
      <c r="GP72" s="323">
        <f t="shared" si="760"/>
        <v>1.2197497818850218</v>
      </c>
      <c r="GQ72" s="320">
        <f t="shared" si="761"/>
        <v>1.5709999999999997</v>
      </c>
      <c r="GR72" s="323">
        <f t="shared" si="762"/>
        <v>6.6535656504908642</v>
      </c>
      <c r="GS72" s="323" t="e">
        <f t="shared" ca="1" si="763"/>
        <v>#NAME?</v>
      </c>
      <c r="GT72" s="237"/>
      <c r="GU72" s="324" t="e">
        <f t="shared" ca="1" si="764"/>
        <v>#NAME?</v>
      </c>
      <c r="GV72" s="325">
        <f t="array" ref="GV72">INDEX('Indices Mines Exporting Ports'!E$20:E$51, MATCH(2,1/(('Indices Mines Exporting Ports'!$C$20:$C$51=$BC72)*('Indices Mines Exporting Ports'!$D$20:$D$51&lt;=$C72))))</f>
        <v>0.5</v>
      </c>
      <c r="GW72" s="325">
        <f t="array" ref="GW72">INDEX('Indices Mines Exporting Ports'!F$20:F$51, MATCH(2,1/(('Indices Mines Exporting Ports'!$C$20:$C$51=$BC72)*('Indices Mines Exporting Ports'!$D$20:$D$51&lt;=$C72))))</f>
        <v>0.45</v>
      </c>
      <c r="GX72" s="325">
        <f t="array" ref="GX72">INDEX('Indices Mines Exporting Ports'!G$20:G$51, MATCH(2,1/(('Indices Mines Exporting Ports'!$C$20:$C$51=$BC72)*('Indices Mines Exporting Ports'!$D$20:$D$51&lt;=$C72))))</f>
        <v>0.05</v>
      </c>
      <c r="GY72" s="325">
        <f t="array" ref="GY72">INDEX('Indices Mines Exporting Ports'!H$20:H$51, MATCH(2,1/(('Indices Mines Exporting Ports'!$C$20:$C$51=$BC72)*('Indices Mines Exporting Ports'!$D$20:$D$51&lt;=$C72))))</f>
        <v>0.05</v>
      </c>
      <c r="GZ72" s="325">
        <f t="array" ref="GZ72">INDEX('Indices Mines Exporting Ports'!I$20:I$51, MATCH(2,1/(('Indices Mines Exporting Ports'!$C$20:$C$51=$BC72)*('Indices Mines Exporting Ports'!$D$20:$D$51&lt;=$C72))))</f>
        <v>0</v>
      </c>
      <c r="HA72" s="325">
        <f t="array" ref="HA72">INDEX('Indices Mines Exporting Ports'!J$20:J$51, MATCH(2,1/(('Indices Mines Exporting Ports'!$C$20:$C$51=$BC72)*('Indices Mines Exporting Ports'!$D$20:$D$51&lt;=$C72))))</f>
        <v>0</v>
      </c>
      <c r="HB72" s="325">
        <f t="array" ref="HB72">INDEX('Indices Mines Exporting Ports'!K$20:K$51, MATCH(2,1/(('Indices Mines Exporting Ports'!$C$20:$C$51=$BC72)*('Indices Mines Exporting Ports'!$D$20:$D$51&lt;=$C72))))</f>
        <v>0.1</v>
      </c>
      <c r="HC72" s="326" t="str">
        <f t="array" ref="HC72">INDEX('Indices Mines Exporting Ports'!L$20:L$51, MATCH(2,1/(('Indices Mines Exporting Ports'!$C$20:$C$51=$BC72)*('Indices Mines Exporting Ports'!$D$20:$D$51&lt;=$C72))))</f>
        <v>LT</v>
      </c>
      <c r="HD72" s="262">
        <f t="array" ref="HD72">INDEX('Indices Mines Exporting Ports'!M$20:M$51, MATCH(2,1/(('Indices Mines Exporting Ports'!$C$20:$C$51=$BC72)*('Indices Mines Exporting Ports'!$D$20:$D$51&lt;=$C72))))</f>
        <v>0</v>
      </c>
      <c r="HE72" s="237"/>
      <c r="HF72" s="319">
        <f t="array" ref="HF72">INDEX('Processing Factors'!$D$8:$D$29,MATCH(2,1/(('Processing Factors'!$B$8:$B$29&lt;=Main!$C72)*('Processing Factors'!$C$8:$C$29=Main!HC72))))</f>
        <v>0</v>
      </c>
      <c r="HG72" s="320">
        <f t="array" ref="HG72">INDEX('Processing Factors'!$E$8:$E$29,MATCH(2,1/(('Processing Factors'!$B$8:$B$29&lt;=Main!$C72)*('Processing Factors'!$C$8:$C$29=Main!HC72))))</f>
        <v>1</v>
      </c>
      <c r="HH72" s="320">
        <f t="array" ref="HH72">INDEX('Processing Factors'!$F$8:$F$29,MATCH(2,1/(('Processing Factors'!$B$8:$B$29&lt;=Main!$C72)*('Processing Factors'!$C$8:$C$29=Main!HC72))))</f>
        <v>0.9</v>
      </c>
      <c r="HI72" s="320">
        <f t="array" ref="HI72">INDEX('Processing Factors'!$G$8:$G$29,MATCH(2,1/(('Processing Factors'!$B$8:$B$29&lt;=Main!$C72)*('Processing Factors'!$C$8:$C$29=Main!HC72))))</f>
        <v>3.5999999999999997E-2</v>
      </c>
      <c r="HJ72" s="320">
        <f t="array" ref="HJ72">INDEX('Processing Factors'!$H$8:$H$29,MATCH(2,1/(('Processing Factors'!$B$8:$B$29&lt;=Main!$C72)*('Processing Factors'!$C$8:$C$29=Main!HC72))))</f>
        <v>12.15</v>
      </c>
      <c r="HK72" s="319">
        <f t="array" ref="HK72">INDEX('Processing Factors'!$I$8:$I$29,MATCH(2,1/(('Processing Factors'!$B$8:$B$29&lt;=Main!$C72)*('Processing Factors'!$C$8:$C$29=Main!HC72))))</f>
        <v>0</v>
      </c>
      <c r="HL72" s="321">
        <v>0.92</v>
      </c>
      <c r="HM72" s="320">
        <f t="array" ref="HM72">INDEX('Processing Factors'!$K$8:$K$29,MATCH(2,1/(('Processing Factors'!$B$8:$B$29&lt;=Main!$C72)*('Processing Factors'!$C$8:$C$29=Main!HC72))))</f>
        <v>3.5000000000000003E-2</v>
      </c>
      <c r="HN72" s="237"/>
      <c r="HO72" s="322">
        <f t="shared" si="765"/>
        <v>0.5</v>
      </c>
      <c r="HP72" s="322">
        <f t="shared" si="766"/>
        <v>0.05</v>
      </c>
      <c r="HQ72" s="322">
        <f t="shared" si="767"/>
        <v>0.45</v>
      </c>
      <c r="HR72" s="320">
        <f t="shared" si="768"/>
        <v>2.4154589371980677</v>
      </c>
      <c r="HS72" s="263">
        <v>0</v>
      </c>
      <c r="HT72" s="320">
        <f t="shared" si="769"/>
        <v>0.14369565217391306</v>
      </c>
      <c r="HU72" s="323">
        <f t="shared" si="770"/>
        <v>34.486534568845585</v>
      </c>
      <c r="HV72" s="323">
        <f t="shared" si="771"/>
        <v>50.321396655852695</v>
      </c>
      <c r="HW72" s="323">
        <f t="shared" si="772"/>
        <v>1.2197497818850218</v>
      </c>
      <c r="HX72" s="320">
        <f t="shared" si="773"/>
        <v>1.5951545893719807</v>
      </c>
      <c r="HY72" s="323">
        <f t="shared" si="774"/>
        <v>6.755866189095018</v>
      </c>
      <c r="HZ72" s="323">
        <f t="shared" si="775"/>
        <v>92.783547195678324</v>
      </c>
      <c r="IB72" s="287" t="s">
        <v>39</v>
      </c>
      <c r="ID72" s="89" t="str">
        <f t="shared" si="776"/>
        <v>West Kalimantan Generic</v>
      </c>
      <c r="IE72" s="18">
        <f t="shared" si="777"/>
        <v>43934</v>
      </c>
      <c r="IF72" s="94">
        <f t="array" ref="IF72">INDEX('Indices Mines Exporting Ports'!E$20:E$51, MATCH(2,1/(('Indices Mines Exporting Ports'!$C$20:$C$51=$ID72)*('Indices Mines Exporting Ports'!$D$20:$D$51&lt;=$IE72))))</f>
        <v>0.48</v>
      </c>
      <c r="IG72" s="94">
        <f t="array" ref="IG72">INDEX('Indices Mines Exporting Ports'!F$20:F$51, MATCH(2,1/(('Indices Mines Exporting Ports'!$C$20:$C$51=$ID72)*('Indices Mines Exporting Ports'!$D$20:$D$51&lt;=$IE72))))</f>
        <v>0.44</v>
      </c>
      <c r="IH72" s="95">
        <f t="array" ref="IH72">INDEX('Indices Mines Exporting Ports'!G$20:G$51, MATCH(2,1/(('Indices Mines Exporting Ports'!$C$20:$C$51=$ID72)*('Indices Mines Exporting Ports'!$D$20:$D$51&lt;=$IE72))))</f>
        <v>0.08</v>
      </c>
      <c r="II72" s="95">
        <f t="array" ref="II72">INDEX('Indices Mines Exporting Ports'!H$20:H$51, MATCH(2,1/(('Indices Mines Exporting Ports'!$C$20:$C$51=$ID72)*('Indices Mines Exporting Ports'!$D$20:$D$51&lt;=$IE72))))</f>
        <v>3.5000000000000003E-2</v>
      </c>
      <c r="IJ72" s="95">
        <f t="array" ref="IJ72">INDEX('Indices Mines Exporting Ports'!I$20:I$51, MATCH(2,1/(('Indices Mines Exporting Ports'!$C$20:$C$51=$ID72)*('Indices Mines Exporting Ports'!$D$20:$D$51&lt;=$IE72))))</f>
        <v>4.4999999999999998E-2</v>
      </c>
      <c r="IK72" s="94">
        <f t="array" ref="IK72">INDEX('Indices Mines Exporting Ports'!J$20:J$51, MATCH(2,1/(('Indices Mines Exporting Ports'!$C$20:$C$51=$ID72)*('Indices Mines Exporting Ports'!$D$20:$D$51&lt;=$IE72))))</f>
        <v>5.0000000000000001E-3</v>
      </c>
      <c r="IL72" s="94">
        <f t="array" ref="IL72">INDEX('Indices Mines Exporting Ports'!K$20:K$51, MATCH(2,1/(('Indices Mines Exporting Ports'!$C$20:$C$51=$ID72)*('Indices Mines Exporting Ports'!$D$20:$D$51&lt;=$IE72))))</f>
        <v>0.15</v>
      </c>
      <c r="IM72" s="93" t="str">
        <f t="array" ref="IM72">INDEX('Indices Mines Exporting Ports'!L$20:L$51, MATCH(2,1/(('Indices Mines Exporting Ports'!$C$20:$C$51=$ID72)*('Indices Mines Exporting Ports'!$D$20:$D$51&lt;=$IE72))))</f>
        <v>LT</v>
      </c>
      <c r="IN72" s="101">
        <f t="array" ref="IN72">INDEX('Indices Mines Exporting Ports'!M$20:M$51, MATCH(2,1/(('Indices Mines Exporting Ports'!$C$20:$C$51=$ID72)*('Indices Mines Exporting Ports'!$D$20:$D$51&lt;=$IE72))))</f>
        <v>0.33</v>
      </c>
      <c r="IO72" s="96">
        <f t="array" ref="IO72">INDEX('Indices Mines Exporting Ports'!N$20:N$51, MATCH(2,1/(('Indices Mines Exporting Ports'!$C$20:$C$51=$ID72)*('Indices Mines Exporting Ports'!$D$20:$D$51&lt;=$IE72))))</f>
        <v>57000</v>
      </c>
      <c r="IP72" s="95" t="str">
        <f t="array" ref="IP72">INDEX('Indices Mines Exporting Ports'!Q$20:Q$51, MATCH(2,1/(('Indices Mines Exporting Ports'!$C$20:$C$51=$ID72)*('Indices Mines Exporting Ports'!$D$20:$D$51&lt;=$IE72))))</f>
        <v>West_Kal_Generic_Offshore</v>
      </c>
      <c r="IQ72" s="95" t="str">
        <f t="array" ref="IQ72">INDEX('Indices Mines Exporting Ports'!O$20:O$51, MATCH(2,1/(('Indices Mines Exporting Ports'!$C$20:$C$51=$ID72)*('Indices Mines Exporting Ports'!$D$20:$D$51&lt;=$IE72))))</f>
        <v>Indonesian LT</v>
      </c>
      <c r="IR72" s="95" t="str">
        <f t="array" ref="IR72">INDEX('Indices Mines Exporting Ports'!P$20:P$51, MATCH(2,1/(('Indices Mines Exporting Ports'!$C$20:$C$51=$ID72)*('Indices Mines Exporting Ports'!$D$20:$D$51&lt;=$IE72))))</f>
        <v>CBIX LT</v>
      </c>
      <c r="IT72" s="287" t="s">
        <v>39</v>
      </c>
      <c r="IV72" s="292">
        <f>VLOOKUP($C72,'China Price Series'!$C$10:$D$1009,2,TRUE)/$JA72/(VLOOKUP($C72,'China Price Series'!$C$10:$E$1009,3,TRUE)*$JG72/$JF72)</f>
        <v>4.1416787371072177</v>
      </c>
      <c r="IW72" s="292">
        <f>VLOOKUP($C72,'China Price Series'!$G$10:$H$1009,2,TRUE)/$JA72/(VLOOKUP($C72,'China Price Series'!$G$10:$I$1009,3,TRUE))</f>
        <v>239.99706356533991</v>
      </c>
      <c r="IX72" s="292">
        <f>VLOOKUP($C72,'China Price Series'!$K$10:$L$1009,2,TRUE)/$JA72</f>
        <v>33.881938385695051</v>
      </c>
      <c r="IY72" s="292">
        <f>VLOOKUP($C72,'China Price Series'!$N$10:$O$1009,2,TRUE)/$JA72</f>
        <v>4.2352422982118814</v>
      </c>
      <c r="JA72" s="277">
        <f t="array" ref="JA72">INDEX('FX rates'!E$10:E$1009,MATCH(2,1/(('FX rates'!$D$10:$D$1009&lt;=Main!$C72)*(NOT(ISBLANK('FX rates'!E$10:E$1009))))))</f>
        <v>7.0834199999999994</v>
      </c>
      <c r="JB72" s="277">
        <f t="array" ref="JB72">INDEX('FX rates'!F$10:F$1009,MATCH(2,1/(('FX rates'!$D$10:$D$1009&lt;=Main!$C72)*(NOT(ISBLANK('FX rates'!F$10:F$1009))))))</f>
        <v>0.61160022139928016</v>
      </c>
      <c r="JC72" s="277">
        <f t="array" ref="JC72">INDEX('FX rates'!G$10:G$1009,MATCH(2,1/(('FX rates'!$D$10:$D$1009&lt;=Main!$C72)*(NOT(ISBLANK('FX rates'!G$10:G$1009))))))</f>
        <v>1</v>
      </c>
      <c r="JD72" s="277">
        <f t="array" ref="JD72">INDEX('FX rates'!H$10:H$1009,MATCH(2,1/(('FX rates'!$D$10:$D$1009&lt;=Main!$C72)*(NOT(ISBLANK('FX rates'!H$10:H$1009))))))</f>
        <v>1.35</v>
      </c>
      <c r="JF72" s="111">
        <f t="array" ref="JF72">INDEX('Global factors'!C$5:C$23,MATCH(2,1/(('Global factors'!$B$5:$B$23&lt;=Main!$C72)*(NOT(ISBLANK('Global factors'!C$5:C$23))))))</f>
        <v>239000</v>
      </c>
      <c r="JG72" s="112">
        <f t="array" ref="JG72">INDEX('Global factors'!D$5:D$23,MATCH(2,1/(('Global factors'!$B$5:$B$23&lt;=Main!$C72)*(NOT(ISBLANK('Global factors'!D$5:D$23))))))</f>
        <v>1000</v>
      </c>
      <c r="JH72" s="112">
        <f t="array" ref="JH72">INDEX('Global factors'!E$5:E$23,MATCH(2,1/(('Global factors'!$B$5:$B$23&lt;=Main!$C72)*(NOT(ISBLANK('Global factors'!E$5:E$23))))))</f>
        <v>24</v>
      </c>
      <c r="JI72" s="112">
        <f t="array" ref="JI72">INDEX('Global factors'!F$5:F$23,MATCH(2,1/(('Global factors'!$B$5:$B$23&lt;=Main!$C72)*(NOT(ISBLANK('Global factors'!F$5:F$23))))))</f>
        <v>2</v>
      </c>
      <c r="JJ72" s="117">
        <f t="array" ref="JJ72">INDEX('Global factors'!G$5:G$23,MATCH(2,1/(('Global factors'!$B$5:$B$23&lt;=Main!$C72)*(NOT(ISBLANK('Global factors'!G$5:G$23))))))</f>
        <v>0.08</v>
      </c>
      <c r="JK72" s="113">
        <f t="array" ref="JK72">INDEX('Global factors'!H$5:H$23,MATCH(2,1/(('Global factors'!$B$5:$B$23&lt;=Main!$C72)*(NOT(ISBLANK('Global factors'!H$5:H$23))))))</f>
        <v>101.96</v>
      </c>
      <c r="JL72" s="113">
        <f t="array" ref="JL72">INDEX('Global factors'!I$5:I$23,MATCH(2,1/(('Global factors'!$B$5:$B$23&lt;=Main!$C72)*(NOT(ISBLANK('Global factors'!I$5:I$23))))))</f>
        <v>60.08</v>
      </c>
      <c r="JM72" s="114">
        <f t="array" ref="JM72">INDEX('Global factors'!J$5:J$23,MATCH(2,1/(('Global factors'!$B$5:$B$23&lt;=Main!$C72)*(NOT(ISBLANK('Global factors'!J$5:J$23))))))</f>
        <v>0.84853528628495334</v>
      </c>
      <c r="JN72" s="115">
        <f t="array" ref="JN72">INDEX('Global factors'!K$5:K$23,MATCH(2,1/(('Global factors'!$B$5:$B$23&lt;=Main!$C72)*(NOT(ISBLANK('Global factors'!K$5:K$23))))))</f>
        <v>0.97499999999999998</v>
      </c>
      <c r="JO72" s="116">
        <f t="array" ref="JO72">INDEX('Global factors'!L$5:L$23,MATCH(2,1/(('Global factors'!$B$5:$B$23&lt;=Main!$C72)*(NOT(ISBLANK('Global factors'!L$5:L$23))))))</f>
        <v>8.7299999999999997E-4</v>
      </c>
      <c r="JP72" s="116">
        <f t="array" ref="JP72">INDEX('Global factors'!M$5:M$23,MATCH(2,1/(('Global factors'!$B$5:$B$23&lt;=Main!$C72)*(NOT(ISBLANK('Global factors'!M$5:M$23))))))</f>
        <v>145.88999999999999</v>
      </c>
      <c r="JQ72" s="116">
        <f t="array" ref="JQ72">INDEX('Global factors'!N$5:N$23,MATCH(2,1/(('Global factors'!$B$5:$B$23&lt;=Main!$C72)*(NOT(ISBLANK('Global factors'!N$5:N$23))))))</f>
        <v>0.40339999999999998</v>
      </c>
      <c r="JR72" s="116">
        <f t="array" ref="JR72">INDEX('Global factors'!O$5:O$23,MATCH(2,1/(('Global factors'!$B$5:$B$23&lt;=Main!$C72)*(NOT(ISBLANK('Global factors'!O$5:O$23))))))</f>
        <v>0</v>
      </c>
      <c r="JS72" s="116">
        <f t="array" ref="JS72">INDEX('Global factors'!P$5:P$23,MATCH(2,1/(('Global factors'!$B$5:$B$23&lt;=Main!$C72)*(NOT(ISBLANK('Global factors'!P$5:P$23))))))</f>
        <v>0.51890000000000003</v>
      </c>
      <c r="JT72" s="116">
        <f t="array" ref="JT72">INDEX('Global factors'!Q$5:Q$23,MATCH(2,1/(('Global factors'!$B$5:$B$23&lt;=Main!$C72)*(NOT(ISBLANK('Global factors'!Q$5:Q$23))))))</f>
        <v>4797</v>
      </c>
      <c r="JU72" s="116">
        <f t="array" ref="JU72">INDEX('Global factors'!R$5:R$23,MATCH(2,1/(('Global factors'!$B$5:$B$23&lt;=Main!$C72)*(NOT(ISBLANK('Global factors'!R$5:R$23))))))</f>
        <v>7</v>
      </c>
      <c r="JV72" s="115">
        <f t="array" ref="JV72">INDEX('Global factors'!S$5:S$23,MATCH(2,1/(('Global factors'!$B$5:$B$23&lt;=Main!$C72)*(NOT(ISBLANK('Global factors'!S$5:S$23))))))</f>
        <v>0.12</v>
      </c>
      <c r="JW72" s="115">
        <f t="array" ref="JW72">INDEX('Global factors'!T$5:T$23,MATCH(2,1/(('Global factors'!$B$5:$B$23&lt;=Main!$C72)*(NOT(ISBLANK('Global factors'!T$5:T$23))))))</f>
        <v>0.5</v>
      </c>
      <c r="JX72" s="116">
        <f t="array" ref="JX72">INDEX('Global factors'!U$5:U$23,MATCH(2,1/(('Global factors'!$B$5:$B$23&lt;=Main!$C72)*(NOT(ISBLANK('Global factors'!U$5:U$23))))))</f>
        <v>0.5</v>
      </c>
      <c r="JY72" s="116">
        <f t="array" ref="JY72">INDEX('Global factors'!V$5:V$23,MATCH(2,1/(('Global factors'!$B$5:$B$23&lt;=Main!$C72)*(NOT(ISBLANK('Global factors'!V$5:V$23))))))</f>
        <v>10000</v>
      </c>
      <c r="JZ72" s="116">
        <f t="array" ref="JZ72">INDEX('Global factors'!W$5:W$23,MATCH(2,1/(('Global factors'!$B$5:$B$23&lt;=Main!$C72)*(NOT(ISBLANK('Global factors'!W$5:W$23))))))</f>
        <v>0.10680000000000001</v>
      </c>
      <c r="KA72" s="116">
        <f t="array" ref="KA72">INDEX('Global factors'!X$5:X$23,MATCH(2,1/(('Global factors'!$B$5:$B$23&lt;=Main!$C72)*(NOT(ISBLANK('Global factors'!X$5:X$23))))))</f>
        <v>1.2</v>
      </c>
      <c r="KB72" s="116">
        <v>0</v>
      </c>
      <c r="KC72" s="272">
        <f t="array" ref="KC72">INDEX('Global factors'!Y$5:Y$23,MATCH(2,1/(('Global factors'!$B$5:$B$23&lt;=Main!$C72)*(NOT(ISBLANK('Global factors'!Y$5:Y$23))))))</f>
        <v>23643.7088248818</v>
      </c>
      <c r="KD72" s="273">
        <f t="array" ref="KD72">INDEX('Global factors'!Z$5:Z$23,MATCH(2,1/(('Global factors'!$B$5:$B$23&lt;=Main!$C72)*(NOT(ISBLANK('Global factors'!Z$5:Z$23))))))</f>
        <v>0.62802869915581405</v>
      </c>
      <c r="KE72" s="273">
        <v>0</v>
      </c>
      <c r="KF72" s="273">
        <v>0</v>
      </c>
      <c r="KG72" s="116">
        <v>0</v>
      </c>
      <c r="KH72" s="116">
        <f t="array" ref="KH72">INDEX('Global factors'!AB$5:AB$23,MATCH(2,1/(('Global factors'!$B$5:$B$23&lt;=Main!$C72)*(NOT(ISBLANK('Global factors'!AB$5:AB$23))))))</f>
        <v>6.2556361557795204E-2</v>
      </c>
      <c r="KI72" s="116">
        <f t="array" ref="KI72">INDEX('Global factors'!AC$5:AC$23,MATCH(2,1/(('Global factors'!$B$5:$B$23&lt;=Main!$C72)*(NOT(ISBLANK('Global factors'!AC$5:AC$23))))))</f>
        <v>8.6923129044225601E-4</v>
      </c>
      <c r="KJ72" s="116">
        <f t="array" ref="KJ72">INDEX('Global factors'!AD$5:AD$23,MATCH(2,1/(('Global factors'!$B$5:$B$23&lt;=Main!$C72)*(NOT(ISBLANK('Global factors'!AD$5:AD$23))))))</f>
        <v>1.1499999999999999</v>
      </c>
      <c r="KK72" s="116" t="str">
        <f t="array" ref="KK72">INDEX('Global factors'!AE$5:AE$23,MATCH(2,1/(('Global factors'!$B$5:$B$23&lt;=Main!$C72)*(NOT(ISBLANK('Global factors'!AE$5:AE$23))))))</f>
        <v>Qingdao</v>
      </c>
      <c r="KL72" s="290">
        <f t="array" ref="KL72">INDEX('Global factors'!AF$5:AF$23,MATCH(2,1/(('Global factors'!$B$5:$B$23&lt;=Main!$C72)*(NOT(ISBLANK('Global factors'!AF$5:AF$23))))))</f>
        <v>3.0000000000000001E-3</v>
      </c>
      <c r="KM72" s="290"/>
      <c r="KO72" s="287" t="s">
        <v>39</v>
      </c>
      <c r="KQ72" s="25">
        <f t="shared" si="778"/>
        <v>83130.904183535764</v>
      </c>
      <c r="KR72" s="4" t="str">
        <f>VLOOKUP(KQ72,'Ship Time Charter Rates'!$F$10:$G$17,2,TRUE)</f>
        <v>Panamax</v>
      </c>
      <c r="KS72" s="4" t="str">
        <f>VLOOKUP(KQ72,Canals!$E$5:$F$12,2,TRUE)</f>
        <v>Panamax</v>
      </c>
      <c r="KT72" s="25">
        <f t="shared" si="779"/>
        <v>218.46327935222672</v>
      </c>
      <c r="KU72" s="25">
        <f t="shared" si="780"/>
        <v>33535.006747638326</v>
      </c>
      <c r="KV72" s="25">
        <f t="shared" si="781"/>
        <v>47933.626180836713</v>
      </c>
      <c r="KX72" s="75">
        <f t="array" ref="KX72">INDEX('Indices Mines Exporting Ports'!$R$20:$R$51,MATCH(2,1/(('Indices Mines Exporting Ports'!$D$20:$D$51&lt;=Main!$C72)*('Indices Mines Exporting Ports'!$Q$20:$Q$51=$AP72))))</f>
        <v>15000</v>
      </c>
      <c r="KY72" s="75">
        <f t="array" ref="KY72">INDEX('Indices Mines Exporting Ports'!$S$20:$S$51,MATCH(2,1/(('Indices Mines Exporting Ports'!$D$20:$D$51&lt;=Main!$C72)*('Indices Mines Exporting Ports'!$Q$20:$Q$51=$AP72))))</f>
        <v>15000</v>
      </c>
      <c r="KZ72" s="75">
        <f t="array" ref="KZ72">INDEX('Indices Mines Exporting Ports'!$T$20:$T$51,MATCH(2,1/(('Indices Mines Exporting Ports'!$D$20:$D$51&lt;=Main!$C72)*('Indices Mines Exporting Ports'!$Q$20:$Q$51=$AP72))))</f>
        <v>15000</v>
      </c>
      <c r="LA72" s="75">
        <f t="array" ref="LA72">INDEX('Indices Mines Exporting Ports'!$U$20:$U$51,MATCH(2,1/(('Indices Mines Exporting Ports'!$D$20:$D$51&lt;=Main!$C72)*('Indices Mines Exporting Ports'!$Q$20:$Q$51=$AP72))))</f>
        <v>15000</v>
      </c>
      <c r="LB72" s="75">
        <f t="array" ref="LB72">INDEX('Indices Mines Exporting Ports'!$V$20:$V$51,MATCH(2,1/(('Indices Mines Exporting Ports'!$D$20:$D$51&lt;=Main!$C72)*('Indices Mines Exporting Ports'!$Q$20:$Q$51=$AP72))))</f>
        <v>15000</v>
      </c>
      <c r="LC72" s="75">
        <f t="array" ref="LC72">INDEX('Indices Mines Exporting Ports'!$W$20:$W$51,MATCH(2,1/(('Indices Mines Exporting Ports'!$D$20:$D$51&lt;=Main!$C72)*('Indices Mines Exporting Ports'!$Q$20:$Q$51=$AP72))))</f>
        <v>15000</v>
      </c>
      <c r="LD72" s="75">
        <f t="array" ref="LD72">INDEX('Indices Mines Exporting Ports'!$X$20:$X$51,MATCH(2,1/(('Indices Mines Exporting Ports'!$D$20:$D$51&lt;=Main!$C72)*('Indices Mines Exporting Ports'!$Q$20:$Q$51=$AP72))))</f>
        <v>15000</v>
      </c>
      <c r="LF72" s="75">
        <f t="array" ref="LF72">INDEX('Port Linkages'!$E$18:$E$157,MATCH(2,1/(('Port Linkages'!$C$18:$C$157=$AP72)*('Port Linkages'!$D$18:$D$157=IF($AO72="Yes",$AQ72,$AS72))*('Port Linkages'!$A$18:$A$157&lt;=$C72))))</f>
        <v>2326</v>
      </c>
      <c r="LG72" s="75">
        <f t="array" ref="LG72">INDEX('Port Linkages'!$F$18:$F$157,MATCH(2,1/(('Port Linkages'!$C$18:$C$157=$AP72)*('Port Linkages'!$D$18:$D$157=IF($AO72="Yes",$AQ72,$AS72))*('Port Linkages'!$A$18:$A$157&lt;=$C72))))</f>
        <v>0</v>
      </c>
      <c r="LH72" s="75" t="str">
        <f t="array" ref="LH72">INDEX('Port Linkages'!$G$18:$G$157,MATCH(2,1/(('Port Linkages'!$C$18:$C$157=$AP72)*('Port Linkages'!$D$18:$D$157=IF($AO72="Yes",$AQ72,$AS72))*('Port Linkages'!$A$18:$A$157&lt;=$C72))))</f>
        <v>VLOC_General</v>
      </c>
      <c r="LI72" s="75" t="str">
        <f t="array" ref="LI72">INDEX('Port Linkages'!$H$18:$H$157,MATCH(2,1/(('Port Linkages'!$C$18:$C$157=$AP72)*('Port Linkages'!$D$18:$D$157=IF($AO72="Yes",$AQ72,$AS72))*('Port Linkages'!$A$18:$A$157&lt;=$C72))))</f>
        <v>Singapore</v>
      </c>
      <c r="LJ72" s="75" t="str">
        <f t="array" ref="LJ72">INDEX('Port Linkages'!$I$18:$I$157,MATCH(2,1/(('Port Linkages'!$C$18:$C$157=$AP72)*('Port Linkages'!$D$18:$D$157=IF($AO72="Yes",$AQ72,$AS72))*('Port Linkages'!$A$18:$A$157&lt;=$C72))))</f>
        <v>VLSFO</v>
      </c>
      <c r="LK72" s="75" t="str">
        <f t="array" ref="LK72">INDEX('Port Linkages'!$J$18:$J$157,MATCH(2,1/(('Port Linkages'!$C$18:$C$157=$AP72)*('Port Linkages'!$D$18:$D$157=IF($AO72="Yes",$AQ72,$AS72))*('Port Linkages'!$A$18:$A$157&lt;=$C72))))</f>
        <v>MGO_Regular</v>
      </c>
      <c r="LL72" s="75" t="str">
        <f t="array" ref="LL72">INDEX('Port Linkages'!$K$18:$K$157,MATCH(2,1/(('Port Linkages'!$C$18:$C$157=$AP72)*('Port Linkages'!$D$18:$D$157=IF($AO72="Yes",$AQ72,$AS72))*('Port Linkages'!$A$18:$A$157&lt;=$C72))))</f>
        <v>none</v>
      </c>
      <c r="LM72" s="75">
        <f t="array" ref="LM72">INDEX('Port Linkages'!$L$18:$L$157,MATCH(2,1/(('Port Linkages'!$C$18:$C$157=$AP72)*('Port Linkages'!$D$18:$D$157=IF($AO72="Yes",$AQ72,$AS72))*('Port Linkages'!$A$18:$A$157&lt;=$C72))))</f>
        <v>2326</v>
      </c>
      <c r="LN72" s="75">
        <f t="array" ref="LN72">INDEX('Port Linkages'!$M$18:$M$157,MATCH(2,1/(('Port Linkages'!$C$18:$C$157=$AP72)*('Port Linkages'!$D$18:$D$157=IF($AO72="Yes",$AQ72,$AS72))*('Port Linkages'!$A$18:$A$157&lt;=$C72))))</f>
        <v>0</v>
      </c>
      <c r="LO72" s="75" t="str">
        <f t="array" ref="LO72">INDEX('Port Linkages'!$N$18:$N$157,MATCH(2,1/(('Port Linkages'!$C$18:$C$157=$AP72)*('Port Linkages'!$D$18:$D$157=IF($AO72="Yes",$AQ72,$AS72))*('Port Linkages'!$A$18:$A$157&lt;=$C72))))</f>
        <v>Capesize_General</v>
      </c>
      <c r="LP72" s="75" t="str">
        <f t="array" ref="LP72">INDEX('Port Linkages'!$O$18:$O$157,MATCH(2,1/(('Port Linkages'!$C$18:$C$157=$AP72)*('Port Linkages'!$D$18:$D$157=IF($AO72="Yes",$AQ72,$AS72))*('Port Linkages'!$A$18:$A$157&lt;=$C72))))</f>
        <v>Singapore</v>
      </c>
      <c r="LQ72" s="75" t="str">
        <f t="array" ref="LQ72">INDEX('Port Linkages'!$P$18:$P$157,MATCH(2,1/(('Port Linkages'!$C$18:$C$157=$AP72)*('Port Linkages'!$D$18:$D$157=IF($AO72="Yes",$AQ72,$AS72))*('Port Linkages'!$A$18:$A$157&lt;=$C72))))</f>
        <v>VLSFO</v>
      </c>
      <c r="LR72" s="75" t="str">
        <f t="array" ref="LR72">INDEX('Port Linkages'!$Q$18:$Q$157,MATCH(2,1/(('Port Linkages'!$C$18:$C$157=$AP72)*('Port Linkages'!$D$18:$D$157=IF($AO72="Yes",$AQ72,$AS72))*('Port Linkages'!$A$18:$A$157&lt;=$C72))))</f>
        <v>MGO_Regular</v>
      </c>
      <c r="LS72" s="75" t="str">
        <f t="array" ref="LS72">INDEX('Port Linkages'!$R$18:$R$157,MATCH(2,1/(('Port Linkages'!$C$18:$C$157=$AP72)*('Port Linkages'!$D$18:$D$157=IF($AO72="Yes",$AQ72,$AS72))*('Port Linkages'!$A$18:$A$157&lt;=$C72))))</f>
        <v>none</v>
      </c>
      <c r="LT72" s="75">
        <f t="array" ref="LT72">INDEX('Port Linkages'!$S$18:$S$157,MATCH(2,1/(('Port Linkages'!$C$18:$C$157=$AP72)*('Port Linkages'!$D$18:$D$157=IF($AO72="Yes",$AQ72,$AS72))*('Port Linkages'!$A$18:$A$157&lt;=$C72))))</f>
        <v>2326</v>
      </c>
      <c r="LU72" s="75">
        <f t="array" ref="LU72">INDEX('Port Linkages'!$T$18:$T$157,MATCH(2,1/(('Port Linkages'!$C$18:$C$157=$AP72)*('Port Linkages'!$D$18:$D$157=IF($AO72="Yes",$AQ72,$AS72))*('Port Linkages'!$A$18:$A$157&lt;=$C72))))</f>
        <v>0</v>
      </c>
      <c r="LV72" s="75" t="str">
        <f t="array" ref="LV72">INDEX('Port Linkages'!$U$18:$U$157,MATCH(2,1/(('Port Linkages'!$C$18:$C$157=$AP72)*('Port Linkages'!$D$18:$D$157=IF($AO72="Yes",$AQ72,$AS72))*('Port Linkages'!$A$18:$A$157&lt;=$C72))))</f>
        <v>Capesize_General</v>
      </c>
      <c r="LW72" s="75" t="str">
        <f t="array" ref="LW72">INDEX('Port Linkages'!$V$18:$V$157,MATCH(2,1/(('Port Linkages'!$C$18:$C$157=$AP72)*('Port Linkages'!$D$18:$D$157=IF($AO72="Yes",$AQ72,$AS72))*('Port Linkages'!$A$18:$A$157&lt;=$C72))))</f>
        <v>Singapore</v>
      </c>
      <c r="LX72" s="75" t="str">
        <f t="array" ref="LX72">INDEX('Port Linkages'!$W$18:$W$157,MATCH(2,1/(('Port Linkages'!$C$18:$C$157=$AP72)*('Port Linkages'!$D$18:$D$157=IF($AO72="Yes",$AQ72,$AS72))*('Port Linkages'!$A$18:$A$157&lt;=$C72))))</f>
        <v>VLSFO</v>
      </c>
      <c r="LY72" s="75" t="str">
        <f t="array" ref="LY72">INDEX('Port Linkages'!$X$18:$X$157,MATCH(2,1/(('Port Linkages'!$C$18:$C$157=$AP72)*('Port Linkages'!$D$18:$D$157=IF($AO72="Yes",$AQ72,$AS72))*('Port Linkages'!$A$18:$A$157&lt;=$C72))))</f>
        <v>MGO_Regular</v>
      </c>
      <c r="LZ72" s="75" t="str">
        <f t="array" ref="LZ72">INDEX('Port Linkages'!$Y$18:$Y$157,MATCH(2,1/(('Port Linkages'!$C$18:$C$157=$AP72)*('Port Linkages'!$D$18:$D$157=IF($AO72="Yes",$AQ72,$AS72))*('Port Linkages'!$A$18:$A$157&lt;=$C72))))</f>
        <v>none</v>
      </c>
      <c r="MA72" s="75">
        <f t="array" ref="MA72">INDEX('Port Linkages'!$Z$18:$Z$157,MATCH(2,1/(('Port Linkages'!$C$18:$C$157=$AP72)*('Port Linkages'!$D$18:$D$157=IF($AO72="Yes",$AQ72,$AS72))*('Port Linkages'!$A$18:$A$157&lt;=$C72))))</f>
        <v>2326</v>
      </c>
      <c r="MB72" s="75">
        <f t="array" ref="MB72">INDEX('Port Linkages'!$AA$18:$AA$157,MATCH(2,1/(('Port Linkages'!$C$18:$C$157=$AP72)*('Port Linkages'!$D$18:$D$157=IF($AO72="Yes",$AQ72,$AS72))*('Port Linkages'!$A$18:$A$157&lt;=$C72))))</f>
        <v>0</v>
      </c>
      <c r="MC72" s="75" t="str">
        <f t="array" ref="MC72">INDEX('Port Linkages'!$AB$18:$AB$157,MATCH(2,1/(('Port Linkages'!$C$18:$C$157=$AP72)*('Port Linkages'!$D$18:$D$157=IF($AO72="Yes",$AQ72,$AS72))*('Port Linkages'!$A$18:$A$157&lt;=$C72))))</f>
        <v>Capesize_General</v>
      </c>
      <c r="MD72" s="75" t="str">
        <f t="array" ref="MD72">INDEX('Port Linkages'!$AC$18:$AC$157,MATCH(2,1/(('Port Linkages'!$C$18:$C$157=$AP72)*('Port Linkages'!$D$18:$D$157=IF($AO72="Yes",$AQ72,$AS72))*('Port Linkages'!$A$18:$A$157&lt;=$C72))))</f>
        <v>Singapore</v>
      </c>
      <c r="ME72" s="75" t="str">
        <f t="array" ref="ME72">INDEX('Port Linkages'!$AD$18:$AD$157,MATCH(2,1/(('Port Linkages'!$C$18:$C$157=$AP72)*('Port Linkages'!$D$18:$D$157=IF($AO72="Yes",$AQ72,$AS72))*('Port Linkages'!$A$18:$A$157&lt;=$C72))))</f>
        <v>VLSFO</v>
      </c>
      <c r="MF72" s="75" t="str">
        <f t="array" ref="MF72">INDEX('Port Linkages'!$AE$18:$AE$157,MATCH(2,1/(('Port Linkages'!$C$18:$C$157=$AP72)*('Port Linkages'!$D$18:$D$157=IF($AO72="Yes",$AQ72,$AS72))*('Port Linkages'!$A$18:$A$157&lt;=$C72))))</f>
        <v>MGO_Regular</v>
      </c>
      <c r="MG72" s="75" t="str">
        <f t="array" ref="MG72">INDEX('Port Linkages'!$AF$18:$AF$157,MATCH(2,1/(('Port Linkages'!$C$18:$C$157=$AP72)*('Port Linkages'!$D$18:$D$157=IF($AO72="Yes",$AQ72,$AS72))*('Port Linkages'!$A$18:$A$157&lt;=$C72))))</f>
        <v>none</v>
      </c>
      <c r="MH72" s="75">
        <f t="array" ref="MH72">INDEX('Port Linkages'!$AG$18:$AG$157,MATCH(2,1/(('Port Linkages'!$C$18:$C$157=$AP72)*('Port Linkages'!$D$18:$D$157=IF($AO72="Yes",$AQ72,$AS72))*('Port Linkages'!$A$18:$A$157&lt;=$C72))))</f>
        <v>2326</v>
      </c>
      <c r="MI72" s="75">
        <f t="array" ref="MI72">INDEX('Port Linkages'!$AH$18:$AH$157,MATCH(2,1/(('Port Linkages'!$C$18:$C$157=$AP72)*('Port Linkages'!$D$18:$D$157=IF($AO72="Yes",$AQ72,$AS72))*('Port Linkages'!$A$18:$A$157&lt;=$C72))))</f>
        <v>0</v>
      </c>
      <c r="MJ72" s="75" t="str">
        <f t="array" ref="MJ72">INDEX('Port Linkages'!$AI$18:$AI$157,MATCH(2,1/(('Port Linkages'!$C$18:$C$157=$AP72)*('Port Linkages'!$D$18:$D$157=IF($AO72="Yes",$AQ72,$AS72))*('Port Linkages'!$A$18:$A$157&lt;=$C72))))</f>
        <v>Panamax_General</v>
      </c>
      <c r="MK72" s="75" t="str">
        <f t="array" ref="MK72">INDEX('Port Linkages'!$AJ$18:$AJ$157,MATCH(2,1/(('Port Linkages'!$C$18:$C$157=$AP72)*('Port Linkages'!$D$18:$D$157=IF($AO72="Yes",$AQ72,$AS72))*('Port Linkages'!$A$18:$A$157&lt;=$C72))))</f>
        <v>Singapore</v>
      </c>
      <c r="ML72" s="75" t="str">
        <f t="array" ref="ML72">INDEX('Port Linkages'!$AK$18:$AK$157,MATCH(2,1/(('Port Linkages'!$C$18:$C$157=$AP72)*('Port Linkages'!$D$18:$D$157=IF($AO72="Yes",$AQ72,$AS72))*('Port Linkages'!$A$18:$A$157&lt;=$C72))))</f>
        <v>VLSFO</v>
      </c>
      <c r="MM72" s="75" t="str">
        <f t="array" ref="MM72">INDEX('Port Linkages'!$AL$18:$AL$157,MATCH(2,1/(('Port Linkages'!$C$18:$C$157=$AP72)*('Port Linkages'!$D$18:$D$157=IF($AO72="Yes",$AQ72,$AS72))*('Port Linkages'!$A$18:$A$157&lt;=$C72))))</f>
        <v>MGO_Regular</v>
      </c>
      <c r="MN72" s="75" t="str">
        <f t="array" ref="MN72">INDEX('Port Linkages'!$AM$18:$AM$157,MATCH(2,1/(('Port Linkages'!$C$18:$C$157=$AP72)*('Port Linkages'!$D$18:$D$157=IF($AO72="Yes",$AQ72,$AS72))*('Port Linkages'!$A$18:$A$157&lt;=$C72))))</f>
        <v>none</v>
      </c>
      <c r="MO72" s="75">
        <f t="array" ref="MO72">INDEX('Port Linkages'!$AN$18:$AN$157,MATCH(2,1/(('Port Linkages'!$C$18:$C$157=$AP72)*('Port Linkages'!$D$18:$D$157=IF($AO72="Yes",$AQ72,$AS72))*('Port Linkages'!$A$18:$A$157&lt;=$C72))))</f>
        <v>2326</v>
      </c>
      <c r="MP72" s="75">
        <f t="array" ref="MP72">INDEX('Port Linkages'!$AO$18:$AO$157,MATCH(2,1/(('Port Linkages'!$C$18:$C$157=$AP72)*('Port Linkages'!$D$18:$D$157=IF($AO72="Yes",$AQ72,$AS72))*('Port Linkages'!$A$18:$A$157&lt;=$C72))))</f>
        <v>0</v>
      </c>
      <c r="MQ72" s="75" t="str">
        <f t="array" ref="MQ72">INDEX('Port Linkages'!$AP$18:$AP$157,MATCH(2,1/(('Port Linkages'!$C$18:$C$157=$AP72)*('Port Linkages'!$D$18:$D$157=IF($AO72="Yes",$AQ72,$AS72))*('Port Linkages'!$A$18:$A$157&lt;=$C72))))</f>
        <v>Supramax_General</v>
      </c>
      <c r="MR72" s="75" t="str">
        <f t="array" ref="MR72">INDEX('Port Linkages'!$AQ$18:$AQ$157,MATCH(2,1/(('Port Linkages'!$C$18:$C$157=$AP72)*('Port Linkages'!$D$18:$D$157=IF($AO72="Yes",$AQ72,$AS72))*('Port Linkages'!$A$18:$A$157&lt;=$C72))))</f>
        <v>Singapore</v>
      </c>
      <c r="MS72" s="75" t="str">
        <f t="array" ref="MS72">INDEX('Port Linkages'!$AR$18:$AR$157,MATCH(2,1/(('Port Linkages'!$C$18:$C$157=$AP72)*('Port Linkages'!$D$18:$D$157=IF($AO72="Yes",$AQ72,$AS72))*('Port Linkages'!$A$18:$A$157&lt;=$C72))))</f>
        <v>VLSFO</v>
      </c>
      <c r="MT72" s="75" t="str">
        <f t="array" ref="MT72">INDEX('Port Linkages'!$AS$18:$AS$157,MATCH(2,1/(('Port Linkages'!$C$18:$C$157=$AP72)*('Port Linkages'!$D$18:$D$157=IF($AO72="Yes",$AQ72,$AS72))*('Port Linkages'!$A$18:$A$157&lt;=$C72))))</f>
        <v>MGO_Regular</v>
      </c>
      <c r="MU72" s="75" t="str">
        <f t="array" ref="MU72">INDEX('Port Linkages'!$AT$18:$AT$157,MATCH(2,1/(('Port Linkages'!$C$18:$C$157=$AP72)*('Port Linkages'!$D$18:$D$157=IF($AO72="Yes",$AQ72,$AS72))*('Port Linkages'!$A$18:$A$157&lt;=$C72))))</f>
        <v>none</v>
      </c>
      <c r="MV72" s="75">
        <f t="array" ref="MV72">INDEX('Port Linkages'!$AU$18:$AU$157,MATCH(2,1/(('Port Linkages'!$C$18:$C$157=$AP72)*('Port Linkages'!$D$18:$D$157=IF($AO72="Yes",$AQ72,$AS72))*('Port Linkages'!$A$18:$A$157&lt;=$C72))))</f>
        <v>2326</v>
      </c>
      <c r="MW72" s="75">
        <f t="array" ref="MW72">INDEX('Port Linkages'!$AV$18:$AV$157,MATCH(2,1/(('Port Linkages'!$C$18:$C$157=$AP72)*('Port Linkages'!$D$18:$D$157=IF($AO72="Yes",$AQ72,$AS72))*('Port Linkages'!$A$18:$A$157&lt;=$C72))))</f>
        <v>0</v>
      </c>
      <c r="MX72" s="75" t="str">
        <f t="array" ref="MX72">INDEX('Port Linkages'!$AW$18:$AW$157,MATCH(2,1/(('Port Linkages'!$C$18:$C$157=$AP72)*('Port Linkages'!$D$18:$D$157=IF($AO72="Yes",$AQ72,$AS72))*('Port Linkages'!$A$18:$A$157&lt;=$C72))))</f>
        <v>Handysize_General</v>
      </c>
      <c r="MY72" s="75" t="str">
        <f t="array" ref="MY72">INDEX('Port Linkages'!$AX$18:$AX$157,MATCH(2,1/(('Port Linkages'!$C$18:$C$157=$AP72)*('Port Linkages'!$D$18:$D$157=IF($AO72="Yes",$AQ72,$AS72))*('Port Linkages'!$A$18:$A$157&lt;=$C72))))</f>
        <v>Singapore</v>
      </c>
      <c r="MZ72" s="75" t="str">
        <f t="array" ref="MZ72">INDEX('Port Linkages'!$AY$18:$AY$157,MATCH(2,1/(('Port Linkages'!$C$18:$C$157=$AP72)*('Port Linkages'!$D$18:$D$157=IF($AO72="Yes",$AQ72,$AS72))*('Port Linkages'!$A$18:$A$157&lt;=$C72))))</f>
        <v>VLSFO</v>
      </c>
      <c r="NA72" s="75" t="str">
        <f t="array" ref="NA72">INDEX('Port Linkages'!$AZ$18:$AZ$157,MATCH(2,1/(('Port Linkages'!$C$18:$C$157=$AP72)*('Port Linkages'!$D$18:$D$157=IF($AO72="Yes",$AQ72,$AS72))*('Port Linkages'!$A$18:$A$157&lt;=$C72))))</f>
        <v>MGO_Regular</v>
      </c>
      <c r="NB72" s="75" t="str">
        <f t="array" ref="NB72">INDEX('Port Linkages'!$BA$18:$BA$157,MATCH(2,1/(('Port Linkages'!$C$18:$C$157=$AP72)*('Port Linkages'!$D$18:$D$157=IF($AO72="Yes",$AQ72,$AS72))*('Port Linkages'!$A$18:$A$157&lt;=$C72))))</f>
        <v>none</v>
      </c>
      <c r="ND72" s="25" t="e">
        <f t="array" aca="1" ref="ND72" ca="1">INDEX('Ship Fuel Prices'!$F$5:$F$1004,MATCH(2,1/(('Ship Fuel Prices'!$E$5:$E$1004=_xlfn.IFS(KS72="Handysize",Main!MY72,KS72="Supramax",MR72,KS72="Panamax",MK72,KS72="NeoPanamax",MD72,KS72="Suezmax",LW72,KS72="Capesize",LP72,KS72="VLOC",LI72))*('Ship Fuel Prices'!$D$5:$D$1004&lt;=Main!$C72))))</f>
        <v>#N/A</v>
      </c>
      <c r="NE72" s="25" t="e">
        <f t="array" aca="1" ref="NE72" ca="1">INDEX('Ship Fuel Prices'!$G$5:$G$1004,MATCH(2,1/(('Ship Fuel Prices'!$E$5:$E$1004=_xlfn.IFS(KS72="Handysize",Main!MY72,KS72="Supramax",MR72,KS72="Panamax",MK72,KS72="NeoPanamax",MD72,KS72="Suezmax",LW72,KS72="Capesize",LP72,KS72="VLOC",LI72))*('Ship Fuel Prices'!$D$5:$D$1004&lt;=Main!$C72))))</f>
        <v>#N/A</v>
      </c>
      <c r="NF72" s="25" t="e">
        <f t="array" aca="1" ref="NF72" ca="1">INDEX('Ship Fuel Prices'!$H$5:$H$1004,MATCH(2,1/(('Ship Fuel Prices'!$E$5:$E$1004=_xlfn.IFS(KS72="Handysize",Main!MY72,KS72="Supramax",MR72,KS72="Panamax",MK72,KS72="NeoPanamax",MD72,KS72="Suezmax",LW72,KS72="Capesize",LP72,KS72="VLOC",LI72))*('Ship Fuel Prices'!$D$5:$D$1004&lt;=Main!$C72))))</f>
        <v>#N/A</v>
      </c>
      <c r="NG72" s="25" t="e">
        <f t="array" aca="1" ref="NG72" ca="1">INDEX('Ship Fuel Prices'!$I$5:$I$1004,MATCH(2,1/(('Ship Fuel Prices'!$E$5:$E$1004=_xlfn.IFS(KS72="Handysize",Main!MY72,KS72="Supramax",MR72,KS72="Panamax",MK72,KS72="NeoPanamax",MD72,KS72="Suezmax",LW72,KS72="Capesize",LP72,KS72="VLOC",LI72))*('Ship Fuel Prices'!$D$5:$D$1004&lt;=Main!$C72))))</f>
        <v>#N/A</v>
      </c>
      <c r="NH72" s="25" t="e">
        <f t="array" aca="1" ref="NH72" ca="1">INDEX('Ship Fuel Prices'!$J$5:$J$1004,MATCH(2,1/(('Ship Fuel Prices'!$E$5:$E$1004=_xlfn.IFS(KS72="Handysize",Main!MY72,KS72="Supramax",MR72,KS72="Panamax",MK72,KS72="NeoPanamax",MD72,KS72="Suezmax",LW72,KS72="Capesize",LP72,KS72="VLOC",LI72))*('Ship Fuel Prices'!$D$5:$D$1004&lt;=Main!$C72))))</f>
        <v>#N/A</v>
      </c>
      <c r="NJ72" s="75">
        <f t="array" ref="NJ72">INDEX('China n Importing Ports'!$E$20:$E$41,MATCH(2,1/(('China n Importing Ports'!$D$20:$D$41&lt;=$C72)*('China n Importing Ports'!$C$20:$C$41=IF($AO72="Yes",$AQ72,$AS72)))))</f>
        <v>42500</v>
      </c>
      <c r="NK72" s="75">
        <f t="array" ref="NK72">INDEX('China n Importing Ports'!$F$20:$F$41,MATCH(2,1/(('China n Importing Ports'!$D$20:$D$41&lt;=$C72)*('China n Importing Ports'!$C$20:$C$41=IF($AO72="Yes",$AQ72,$AS72)))))</f>
        <v>42500</v>
      </c>
      <c r="NL72" s="75">
        <f t="array" ref="NL72">INDEX('China n Importing Ports'!$G$20:$G$41,MATCH(2,1/(('China n Importing Ports'!$D$20:$D$41&lt;=$C72)*('China n Importing Ports'!$C$20:$C$41=IF($AO72="Yes",$AQ72,$AS72)))))</f>
        <v>42500</v>
      </c>
      <c r="NM72" s="75">
        <f t="array" ref="NM72">INDEX('China n Importing Ports'!$H$20:$H$41,MATCH(2,1/(('China n Importing Ports'!$D$20:$D$41&lt;=$C72)*('China n Importing Ports'!$C$20:$C$41=IF($AO72="Yes",$AQ72,$AS72)))))</f>
        <v>42500</v>
      </c>
      <c r="NN72" s="75">
        <f t="array" ref="NN72">INDEX('China n Importing Ports'!$I$20:$I$41,MATCH(2,1/(('China n Importing Ports'!$D$20:$D$41&lt;=$C72)*('China n Importing Ports'!$C$20:$C$41=IF($AO72="Yes",$AQ72,$AS72)))))</f>
        <v>42500</v>
      </c>
      <c r="NO72" s="75">
        <f t="array" ref="NO72">INDEX('China n Importing Ports'!$J$20:$J$41,MATCH(2,1/(('China n Importing Ports'!$D$20:$D$41&lt;=$C72)*('China n Importing Ports'!$C$20:$C$41=IF($AO72="Yes",$AQ72,$AS72)))))</f>
        <v>42500</v>
      </c>
      <c r="NP72" s="75">
        <f t="array" ref="NP72">INDEX('China n Importing Ports'!$K$20:$K$41,MATCH(2,1/(('China n Importing Ports'!$D$20:$D$41&lt;=$C72)*('China n Importing Ports'!$C$20:$C$41=IF($AO72="Yes",$AQ72,$AS72)))))</f>
        <v>42500</v>
      </c>
      <c r="NQ72" s="75" t="str">
        <f t="array" ref="NQ72">INDEX('China n Importing Ports'!$L$20:$L$41,MATCH(2,1/(('China n Importing Ports'!$D$20:$D$41&lt;=$C72)*('China n Importing Ports'!$C$20:$C$41=IF($AO72="Yes",$AQ72,$AS72)))))</f>
        <v>RMB</v>
      </c>
      <c r="NR72" s="75">
        <f t="array" ref="NR72">INDEX('China n Importing Ports'!$M$20:$M$41,MATCH(2,1/(('China n Importing Ports'!$D$20:$D$41&lt;=$C72)*('China n Importing Ports'!$C$20:$C$41=IF($AO72="Yes",$AQ72,$AS72)))))</f>
        <v>12342</v>
      </c>
      <c r="NS72" s="75">
        <f t="array" ref="NS72">INDEX('China n Importing Ports'!$N$20:$N$41,MATCH(2,1/(('China n Importing Ports'!$D$20:$D$41&lt;=$C72)*('China n Importing Ports'!$C$20:$C$41=IF($AO72="Yes",$AQ72,$AS72)))))</f>
        <v>0</v>
      </c>
      <c r="NT72" s="75">
        <f t="array" ref="NT72">INDEX('China n Importing Ports'!$O$20:$O$41,MATCH(2,1/(('China n Importing Ports'!$D$20:$D$41&lt;=$C72)*('China n Importing Ports'!$C$20:$C$41=IF($AO72="Yes",$AQ72,$AS72)))))</f>
        <v>0</v>
      </c>
      <c r="NU72" s="136">
        <f t="array" ref="NU72">INDEX('China n Importing Ports'!$P$20:$P$41,MATCH(2,1/(('China n Importing Ports'!$D$20:$D$41&lt;=$C72)*('China n Importing Ports'!$C$20:$C$41=IF($AO72="Yes",$AQ72,$AS72)))))</f>
        <v>2.64</v>
      </c>
      <c r="NV72" s="136">
        <f t="array" ref="NV72">INDEX('China n Importing Ports'!$Q$20:$Q$41,MATCH(2,1/(('China n Importing Ports'!$D$20:$D$41&lt;=$C72)*('China n Importing Ports'!$C$20:$C$41=IF($AO72="Yes",$AQ72,$AS72)))))</f>
        <v>0</v>
      </c>
      <c r="NW72" s="136">
        <f t="array" ref="NW72">INDEX('China n Importing Ports'!$R$20:$R$41,MATCH(2,1/(('China n Importing Ports'!$D$20:$D$41&lt;=$C72)*('China n Importing Ports'!$C$20:$C$41=IF($AO72="Yes",$AQ72,$AS72)))))</f>
        <v>0</v>
      </c>
      <c r="NX72" s="136">
        <f t="array" ref="NX72">INDEX('China n Importing Ports'!$S$20:$S$41,MATCH(2,1/(('China n Importing Ports'!$D$20:$D$41&lt;=$C72)*('China n Importing Ports'!$C$20:$C$41=IF($AO72="Yes",$AQ72,$AS72)))))</f>
        <v>4.53</v>
      </c>
      <c r="NY72" s="136">
        <f t="array" ref="NY72">INDEX('China n Importing Ports'!$T$20:$T$41,MATCH(2,1/(('China n Importing Ports'!$D$20:$D$41&lt;=$C72)*('China n Importing Ports'!$C$20:$C$41=IF($AO72="Yes",$AQ72,$AS72)))))</f>
        <v>0.36699999999999999</v>
      </c>
      <c r="NZ72" s="136">
        <f t="array" ref="NZ72">INDEX('China n Importing Ports'!$U$20:$U$41,MATCH(2,1/(('China n Importing Ports'!$D$20:$D$41&lt;=$C72)*('China n Importing Ports'!$C$20:$C$41=IF($AO72="Yes",$AQ72,$AS72)))))</f>
        <v>0.05</v>
      </c>
      <c r="OA72" s="136">
        <f t="array" ref="OA72">INDEX('China n Importing Ports'!$V$20:$V$41,MATCH(2,1/(('China n Importing Ports'!$D$20:$D$41&lt;=$C72)*('China n Importing Ports'!$C$20:$C$41=IF($AO72="Yes",$AQ72,$AS72)))))</f>
        <v>0</v>
      </c>
      <c r="OB72" s="136">
        <f t="array" ref="OB72">INDEX('China n Importing Ports'!$W$20:$W$41,MATCH(2,1/(('China n Importing Ports'!$D$20:$D$41&lt;=$C72)*('China n Importing Ports'!$C$20:$C$41=IF($AO72="Yes",$AQ72,$AS72)))))</f>
        <v>0</v>
      </c>
      <c r="OC72" s="136">
        <f t="array" ref="OC72">INDEX('China n Importing Ports'!$X$20:$X$41,MATCH(2,1/(('China n Importing Ports'!$D$20:$D$41&lt;=$C72)*('China n Importing Ports'!$C$20:$C$41=IF($AO72="Yes",$AQ72,$AS72)))))</f>
        <v>0</v>
      </c>
      <c r="OD72" s="136">
        <f t="array" ref="OD72">INDEX('China n Importing Ports'!$Y$20:$Y$41,MATCH(2,1/(('China n Importing Ports'!$D$20:$D$41&lt;=$C72)*('China n Importing Ports'!$C$20:$C$41=IF($AO72="Yes",$AQ72,$AS72)))))</f>
        <v>197</v>
      </c>
      <c r="OE72" s="136">
        <f t="array" ref="OE72">INDEX('China n Importing Ports'!$Z$20:$Z$41,MATCH(2,1/(('China n Importing Ports'!$D$20:$D$41&lt;=$C72)*('China n Importing Ports'!$C$20:$C$41=IF($AO72="Yes",$AQ72,$AS72)))))</f>
        <v>0</v>
      </c>
      <c r="OF72" s="136">
        <f t="array" ref="OF72">INDEX('China n Importing Ports'!$AA$20:$AA$41,MATCH(2,1/(('China n Importing Ports'!$D$20:$D$41&lt;=$C72)*('China n Importing Ports'!$C$20:$C$41=IF($AO72="Yes",$AQ72,$AS72)))))</f>
        <v>0</v>
      </c>
      <c r="OH72" s="75" t="e">
        <f t="array" aca="1" ref="OH72" ca="1">INDEX(Canals!$G$24:$G$29,MATCH(2,1/((Canals!$F$24:$F$29&lt;=$C72)*(Canals!$G$24:$G$29=_xlfn.IFS(KS72="Handysize",Main!NB72,KS72="Supramax",MU72,KS72="Panamax",MN72,KS72="NeoPanamax",MG72,KS72="Suezmax",LZ72,KS72="Capesize",LS72,KS72="VLOC",LL72)))))</f>
        <v>#N/A</v>
      </c>
      <c r="OI72" s="75" t="e">
        <f t="array" aca="1" ref="OI72" ca="1">INDEX(Canals!$H$24:$H$29,MATCH(2,1/((Canals!$F$24:$F$29&lt;=$C72)*(Canals!$G$24:$G$29=_xlfn.IFS(KS72="Handysize",Main!NB72,KS72="Supramax",MU72,KS72="Panamax",MN72,KS72="NeoPanamax",MG72,KS72="Suezmax",LZ72,KS72="Capesize",LS72,KS72="VLOC",LL72)))))</f>
        <v>#N/A</v>
      </c>
      <c r="OJ72" s="75" t="e">
        <f t="array" aca="1" ref="OJ72" ca="1">INDEX(Canals!$I$24:$I$29,MATCH(2,1/((Canals!$F$24:$F$29&lt;=$C72)*(Canals!$G$24:$G$29=_xlfn.IFS(KS72="Handysize",Main!NB72,KS72="Supramax",MU72,KS72="Panamax",MN72,KS72="NeoPanamax",MG72,KS72="Suezmax",LZ72,KS72="Capesize",LS72,KS72="VLOC",LL72)))))</f>
        <v>#N/A</v>
      </c>
      <c r="OK72" s="75" t="e">
        <f t="array" aca="1" ref="OK72" ca="1">INDEX(Canals!$J$24:$J$29,MATCH(2,1/((Canals!$F$24:$F$29&lt;=$C72)*(Canals!$G$24:$G$29=_xlfn.IFS(KS72="Handysize",Main!NB72,KS72="Supramax",MU72,KS72="Panamax",MN72,KS72="NeoPanamax",MG72,KS72="Suezmax",LZ72,KS72="Capesize",LS72,KS72="VLOC",LL72)))))</f>
        <v>#N/A</v>
      </c>
      <c r="OL72" s="75" t="e">
        <f t="array" aca="1" ref="OL72" ca="1">INDEX(Canals!$K$24:$K$29,MATCH(2,1/((Canals!$F$24:$F$29&lt;=$C72)*(Canals!$G$24:$G$29=_xlfn.IFS(KS72="Handysize",Main!NB72,KS72="Supramax",MU72,KS72="Panamax",MN72,KS72="NeoPanamax",MG72,KS72="Suezmax",LZ72,KS72="Capesize",LS72,KS72="VLOC",LL72)))))</f>
        <v>#N/A</v>
      </c>
      <c r="OM72" s="75" t="e">
        <f t="array" aca="1" ref="OM72" ca="1">INDEX(Canals!$L$24:$L$29,MATCH(2,1/((Canals!$F$24:$F$29&lt;=$C72)*(Canals!$G$24:$G$29=_xlfn.IFS(KS72="Handysize",Main!NB72,KS72="Supramax",MU72,KS72="Panamax",MN72,KS72="NeoPanamax",MG72,KS72="Suezmax",LZ72,KS72="Capesize",LS72,KS72="VLOC",LL72)))))</f>
        <v>#N/A</v>
      </c>
      <c r="ON72" s="75" t="e">
        <f t="array" aca="1" ref="ON72" ca="1">INDEX(Canals!$M$24:$M$29,MATCH(2,1/((Canals!$F$24:$F$29&lt;=$C72)*(Canals!$G$24:$G$29=_xlfn.IFS(KS72="Handysize",Main!NB72,KS72="Supramax",MU72,KS72="Panamax",MN72,KS72="NeoPanamax",MG72,KS72="Suezmax",LZ72,KS72="Capesize",LS72,KS72="VLOC",LL72)))))</f>
        <v>#N/A</v>
      </c>
      <c r="OO72" s="75" t="e">
        <f t="array" aca="1" ref="OO72" ca="1">INDEX(Canals!$N$24:$N$29,MATCH(2,1/((Canals!$F$24:$F$29&lt;=$C72)*(Canals!$G$24:$G$29=_xlfn.IFS(KS72="Handysize",Main!NB72,KS72="Supramax",MU72,KS72="Panamax",MN72,KS72="NeoPanamax",MG72,KS72="Suezmax",LZ72,KS72="Capesize",LS72,KS72="VLOC",LL72)))))</f>
        <v>#N/A</v>
      </c>
      <c r="OP72" s="75" t="e">
        <f t="array" aca="1" ref="OP72" ca="1">INDEX(Canals!$O$24:$O$29,MATCH(2,1/((Canals!$F$24:$F$29&lt;=$C72)*(Canals!$G$24:$G$29=_xlfn.IFS(KS72="Handysize",Main!NB72,KS72="Supramax",MU72,KS72="Panamax",MN72,KS72="NeoPanamax",MG72,KS72="Suezmax",LZ72,KS72="Capesize",LS72,KS72="VLOC",LL72)))))</f>
        <v>#N/A</v>
      </c>
      <c r="OQ72" s="75" t="e">
        <f t="array" aca="1" ref="OQ72" ca="1">INDEX(Canals!$P$24:$P$29,MATCH(2,1/((Canals!$F$24:$F$29&lt;=$C72)*(Canals!$G$24:$G$29=_xlfn.IFS(KS72="Handysize",Main!NB72,KS72="Supramax",MU72,KS72="Panamax",MN72,KS72="NeoPanamax",MG72,KS72="Suezmax",LZ72,KS72="Capesize",LS72,KS72="VLOC",LL72)))))</f>
        <v>#N/A</v>
      </c>
      <c r="OR72" s="75" t="e">
        <f t="array" aca="1" ref="OR72" ca="1">INDEX(Canals!$Q$24:$Q$29,MATCH(2,1/((Canals!$F$24:$F$29&lt;=$C72)*(Canals!$G$24:$G$29=_xlfn.IFS(KS72="Handysize",Main!NB72,KS72="Supramax",MU72,KS72="Panamax",MN72,KS72="NeoPanamax",MG72,KS72="Suezmax",LZ72,KS72="Capesize",LS72,KS72="VLOC",LL72)))))</f>
        <v>#N/A</v>
      </c>
      <c r="OS72" s="75" t="e">
        <f t="array" aca="1" ref="OS72" ca="1">INDEX(Canals!$R$24:$R$29,MATCH(2,1/((Canals!$F$24:$F$29&lt;=$C72)*(Canals!$G$24:$G$29=_xlfn.IFS(KS72="Handysize",Main!NB72,KS72="Supramax",MU72,KS72="Panamax",MN72,KS72="NeoPanamax",MG72,KS72="Suezmax",LZ72,KS72="Capesize",LS72,KS72="VLOC",LL72)))))</f>
        <v>#N/A</v>
      </c>
      <c r="OT72" s="136" t="e">
        <f t="array" aca="1" ref="OT72" ca="1">INDEX(Canals!$S$24:$S$29,MATCH(2,1/((Canals!$F$24:$F$29&lt;=$C72)*(Canals!$G$24:$G$29=_xlfn.IFS(KS72="Handysize",Main!NB72,KS72="Supramax",MU72,KS72="Panamax",MN72,KS72="NeoPanamax",MG72,KS72="Suezmax",LZ72,KS72="Capesize",LS72,KS72="VLOC",LL72)))))</f>
        <v>#N/A</v>
      </c>
      <c r="OU72" s="136" t="e">
        <f t="array" aca="1" ref="OU72" ca="1">INDEX(Canals!$T$24:$T$29,MATCH(2,1/((Canals!$F$24:$F$29&lt;=$C72)*(Canals!$G$24:$G$29=_xlfn.IFS(KS72="Handysize",Main!NB72,KS72="Supramax",MU72,KS72="Panamax",MN72,KS72="NeoPanamax",MG72,KS72="Suezmax",LZ72,KS72="Capesize",LS72,KS72="VLOC",LL72)))))</f>
        <v>#N/A</v>
      </c>
      <c r="OV72" s="136" t="e">
        <f t="array" aca="1" ref="OV72" ca="1">INDEX(Canals!$U$24:$U$29,MATCH(2,1/((Canals!$F$24:$F$29&lt;=$C72)*(Canals!$G$24:$G$29=_xlfn.IFS(KS72="Handysize",Main!NB72,KS72="Supramax",MU72,KS72="Panamax",MN72,KS72="NeoPanamax",MG72,KS72="Suezmax",LZ72,KS72="Capesize",LS72,KS72="VLOC",LL72)))))</f>
        <v>#N/A</v>
      </c>
      <c r="OW72" s="136" t="e">
        <f t="array" aca="1" ref="OW72" ca="1">INDEX(Canals!$V$24:$V$29,MATCH(2,1/((Canals!$F$24:$F$29&lt;=$C72)*(Canals!$G$24:$G$29=_xlfn.IFS(KS72="Handysize",Main!NB72,KS72="Supramax",MU72,KS72="Panamax",MN72,KS72="NeoPanamax",MG72,KS72="Suezmax",LZ72,KS72="Capesize",LS72,KS72="VLOC",LL72)))))</f>
        <v>#N/A</v>
      </c>
      <c r="OX72" s="136" t="e">
        <f t="array" aca="1" ref="OX72" ca="1">INDEX(Canals!$W$24:$W$29,MATCH(2,1/((Canals!$F$24:$F$29&lt;=$C72)*(Canals!$G$24:$G$29=_xlfn.IFS(KS72="Handysize",Main!NB72,KS72="Supramax",MU72,KS72="Panamax",MN72,KS72="NeoPanamax",MG72,KS72="Suezmax",LZ72,KS72="Capesize",LS72,KS72="VLOC",LL72)))))</f>
        <v>#N/A</v>
      </c>
      <c r="OY72" s="136" t="e">
        <f t="array" aca="1" ref="OY72" ca="1">INDEX(Canals!$X$24:$X$29,MATCH(2,1/((Canals!$F$24:$F$29&lt;=$C72)*(Canals!$G$24:$G$29=_xlfn.IFS(KS72="Handysize",Main!NB72,KS72="Supramax",MU72,KS72="Panamax",MN72,KS72="NeoPanamax",MG72,KS72="Suezmax",LZ72,KS72="Capesize",LS72,KS72="VLOC",LL72)))))</f>
        <v>#N/A</v>
      </c>
      <c r="OZ72" s="136" t="e">
        <f t="array" aca="1" ref="OZ72" ca="1">INDEX(Canals!$Y$24:$Y$29,MATCH(2,1/((Canals!$F$24:$F$29&lt;=$C72)*(Canals!$G$24:$G$29=_xlfn.IFS(KS72="Handysize",Main!NB72,KS72="Supramax",MU72,KS72="Panamax",MN72,KS72="NeoPanamax",MG72,KS72="Suezmax",LZ72,KS72="Capesize",LS72,KS72="VLOC",LL72)))))</f>
        <v>#N/A</v>
      </c>
      <c r="PA72" s="136" t="e">
        <f t="array" aca="1" ref="PA72" ca="1">INDEX(Canals!$Z$24:$Z$29,MATCH(2,1/((Canals!$F$24:$F$29&lt;=$C72)*(Canals!$G$24:$G$29=_xlfn.IFS(KS72="Handysize",Main!NB72,KS72="Supramax",MU72,KS72="Panamax",MN72,KS72="NeoPanamax",MG72,KS72="Suezmax",LZ72,KS72="Capesize",LS72,KS72="VLOC",LL72)))))</f>
        <v>#N/A</v>
      </c>
      <c r="PB72" s="136" t="e">
        <f t="array" aca="1" ref="PB72" ca="1">INDEX(Canals!$AA$24:$AA$29,MATCH(2,1/((Canals!$F$24:$F$29&lt;=$C72)*(Canals!$G$24:$G$29=_xlfn.IFS(KS72="Handysize",Main!NB72,KS72="Supramax",MU72,KS72="Panamax",MN72,KS72="NeoPanamax",MG72,KS72="Suezmax",LZ72,KS72="Capesize",LS72,KS72="VLOC",LL72)))))</f>
        <v>#N/A</v>
      </c>
      <c r="PC72" s="136" t="e">
        <f t="array" aca="1" ref="PC72" ca="1">INDEX(Canals!$AB$24:$AB$29,MATCH(2,1/((Canals!$F$24:$F$29&lt;=$C72)*(Canals!$G$24:$G$29=_xlfn.IFS(KS72="Handysize",Main!NB72,KS72="Supramax",MU72,KS72="Panamax",MN72,KS72="NeoPanamax",MG72,KS72="Suezmax",LZ72,KS72="Capesize",LS72,KS72="VLOC",LL72)))))</f>
        <v>#N/A</v>
      </c>
      <c r="PD72" s="75" t="e">
        <f t="array" aca="1" ref="PD72" ca="1">INDEX(Canals!$AC$24:$AC$29,MATCH(2,1/((Canals!$F$24:$F$29&lt;=$C72)*(Canals!$G$24:$G$29=_xlfn.IFS(KS72="Handysize",Main!NB72,KS72="Supramax",MU72,KS72="Panamax",MN72,KS72="NeoPanamax",MG72,KS72="Suezmax",LZ72,KS72="Capesize",LS72,KS72="VLOC",LL72)))))</f>
        <v>#N/A</v>
      </c>
      <c r="PE72" s="75" t="e">
        <f t="array" aca="1" ref="PE72" ca="1">INDEX(Canals!$AD$24:$AD$29,MATCH(2,1/((Canals!$F$24:$F$29&lt;=$C72)*(Canals!$G$24:$G$29=_xlfn.IFS(KS72="Handysize",Main!NB72,KS72="Supramax",MU72,KS72="Panamax",MN72,KS72="NeoPanamax",MG72,KS72="Suezmax",LZ72,KS72="Capesize",LS72,KS72="VLOC",LL72)))))</f>
        <v>#N/A</v>
      </c>
      <c r="PF72" s="75" t="e">
        <f t="array" aca="1" ref="PF72" ca="1">INDEX(Canals!$AE$24:$AE$29,MATCH(2,1/((Canals!$F$24:$F$29&lt;=$C72)*(Canals!$G$24:$G$29=_xlfn.IFS(KS72="Handysize",Main!NB72,KS72="Supramax",MU72,KS72="Panamax",MN72,KS72="NeoPanamax",MG72,KS72="Suezmax",LZ72,KS72="Capesize",LS72,KS72="VLOC",LL72)))))</f>
        <v>#N/A</v>
      </c>
      <c r="PG72" s="75" t="e">
        <f t="array" aca="1" ref="PG72" ca="1">INDEX(Canals!$AF$24:$AF$29,MATCH(2,1/((Canals!$F$24:$F$29&lt;=$C72)*(Canals!$G$24:$G$29=_xlfn.IFS(KS72="Handysize",Main!NB72,KS72="Supramax",MU72,KS72="Panamax",MN72,KS72="NeoPanamax",MG72,KS72="Suezmax",LZ72,KS72="Capesize",LS72,KS72="VLOC",LL72)))))</f>
        <v>#N/A</v>
      </c>
      <c r="PH72" s="75" t="e">
        <f t="array" aca="1" ref="PH72" ca="1">INDEX(Canals!$AG$24:$AG$29,MATCH(2,1/((Canals!$F$24:$F$29&lt;=$C72)*(Canals!$G$24:$G$29=_xlfn.IFS(KS72="Handysize",Main!NB72,KS72="Supramax",MU72,KS72="Panamax",MN72,KS72="NeoPanamax",MG72,KS72="Suezmax",LZ72,KS72="Capesize",LS72,KS72="VLOC",LL72)))))</f>
        <v>#N/A</v>
      </c>
      <c r="PI72" s="75" t="e">
        <f t="array" aca="1" ref="PI72" ca="1">INDEX(Canals!$AH$24:$AH$29,MATCH(2,1/((Canals!$F$24:$F$29&lt;=$C72)*(Canals!$G$24:$G$29=_xlfn.IFS(KS72="Handysize",Main!NB72,KS72="Supramax",MU72,KS72="Panamax",MN72,KS72="NeoPanamax",MG72,KS72="Suezmax",LZ72,KS72="Capesize",LS72,KS72="VLOC",LL72)))))</f>
        <v>#N/A</v>
      </c>
      <c r="PJ72" s="75" t="e">
        <f t="array" aca="1" ref="PJ72" ca="1">INDEX(Canals!$AI$24:$AI$29,MATCH(2,1/((Canals!$F$24:$F$29&lt;=$C72)*(Canals!$G$24:$G$29=_xlfn.IFS(KS72="Handysize",Main!NB72,KS72="Supramax",MU72,KS72="Panamax",MN72,KS72="NeoPanamax",MG72,KS72="Suezmax",LZ72,KS72="Capesize",LS72,KS72="VLOC",LL72)))))</f>
        <v>#N/A</v>
      </c>
      <c r="PK72" s="75" t="e">
        <f t="array" aca="1" ref="PK72" ca="1">INDEX(Canals!$AJ$24:$AJ$29,MATCH(2,1/((Canals!$F$24:$F$29&lt;=$C72)*(Canals!$G$24:$G$29=_xlfn.IFS(KS72="Handysize",Main!NB72,KS72="Supramax",MU72,KS72="Panamax",MN72,KS72="NeoPanamax",MG72,KS72="Suezmax",LZ72,KS72="Capesize",LS72,KS72="VLOC",LL72)))))</f>
        <v>#N/A</v>
      </c>
      <c r="PL72" s="75" t="e">
        <f t="array" aca="1" ref="PL72" ca="1">INDEX(Canals!$AK$24:$AK$29,MATCH(2,1/((Canals!$F$24:$F$29&lt;=$C72)*(Canals!$G$24:$G$29=_xlfn.IFS(KS72="Handysize",Main!NB72,KS72="Supramax",MU72,KS72="Panamax",MN72,KS72="NeoPanamax",MG72,KS72="Suezmax",LZ72,KS72="Capesize",LS72,KS72="VLOC",LL72)))))</f>
        <v>#N/A</v>
      </c>
      <c r="PM72" s="136" t="e">
        <f t="array" aca="1" ref="PM72" ca="1">INDEX(Canals!$AL$24:$AL$29,MATCH(2,1/((Canals!$F$24:$F$29&lt;=$C72)*(Canals!$G$24:$G$29=_xlfn.IFS(KS72="Handysize",Main!NB72,KS72="Supramax",MU72,KS72="Panamax",MN72,KS72="NeoPanamax",MG72,KS72="Suezmax",LZ72,KS72="Capesize",LS72,KS72="VLOC",LL72)))))</f>
        <v>#N/A</v>
      </c>
      <c r="PN72" s="136" t="e">
        <f t="array" aca="1" ref="PN72" ca="1">INDEX(Canals!$AM$24:$AM$29,MATCH(2,1/((Canals!$F$24:$F$29&lt;=$C72)*(Canals!$G$24:$G$29=_xlfn.IFS(KS72="Handysize",Main!NB72,KS72="Supramax",MU72,KS72="Panamax",MN72,KS72="NeoPanamax",MG72,KS72="Suezmax",LZ72,KS72="Capesize",LS72,KS72="VLOC",LL72)))))</f>
        <v>#N/A</v>
      </c>
      <c r="PO72" s="136" t="e">
        <f t="array" aca="1" ref="PO72" ca="1">INDEX(Canals!$AN$24:$AN$29,MATCH(2,1/((Canals!$F$24:$F$29&lt;=$C72)*(Canals!$G$24:$G$29=_xlfn.IFS(KS72="Handysize",Main!NB72,KS72="Supramax",MU72,KS72="Panamax",MN72,KS72="NeoPanamax",MG72,KS72="Suezmax",LZ72,KS72="Capesize",LS72,KS72="VLOC",LL72)))))</f>
        <v>#N/A</v>
      </c>
      <c r="PP72" s="136" t="e">
        <f t="array" aca="1" ref="PP72" ca="1">INDEX(Canals!$AO$24:$AO$29,MATCH(2,1/((Canals!$F$24:$F$29&lt;=$C72)*(Canals!$G$24:$G$29=_xlfn.IFS(KS72="Handysize",Main!NB72,KS72="Supramax",MU72,KS72="Panamax",MN72,KS72="NeoPanamax",MG72,KS72="Suezmax",LZ72,KS72="Capesize",LS72,KS72="VLOC",LL72)))))</f>
        <v>#N/A</v>
      </c>
      <c r="PQ72" s="136" t="e">
        <f t="array" aca="1" ref="PQ72" ca="1">INDEX(Canals!$AP$24:$AP$29,MATCH(2,1/((Canals!$F$24:$F$29&lt;=$C72)*(Canals!$G$24:$G$29=_xlfn.IFS(KS72="Handysize",Main!NB72,KS72="Supramax",MU72,KS72="Panamax",MN72,KS72="NeoPanamax",MG72,KS72="Suezmax",LZ72,KS72="Capesize",LS72,KS72="VLOC",LL72)))))</f>
        <v>#N/A</v>
      </c>
      <c r="PR72" s="136" t="e">
        <f t="array" aca="1" ref="PR72" ca="1">INDEX(Canals!$AQ$24:$AQ$29,MATCH(2,1/((Canals!$F$24:$F$29&lt;=$C72)*(Canals!$G$24:$G$29=_xlfn.IFS(KS72="Handysize",Main!NB72,KS72="Supramax",MU72,KS72="Panamax",MN72,KS72="NeoPanamax",MG72,KS72="Suezmax",LZ72,KS72="Capesize",LS72,KS72="VLOC",LL72)))))</f>
        <v>#N/A</v>
      </c>
      <c r="PS72" s="136" t="e">
        <f t="array" aca="1" ref="PS72" ca="1">INDEX(Canals!$AR$24:$AR$29,MATCH(2,1/((Canals!$F$24:$F$29&lt;=$C72)*(Canals!$G$24:$G$29=_xlfn.IFS(KS72="Handysize",Main!NB72,KS72="Supramax",MU72,KS72="Panamax",MN72,KS72="NeoPanamax",MG72,KS72="Suezmax",LZ72,KS72="Capesize",LS72,KS72="VLOC",LL72)))))</f>
        <v>#N/A</v>
      </c>
      <c r="PT72" s="136" t="e">
        <f t="array" aca="1" ref="PT72" ca="1">INDEX(Canals!$AS$24:$AS$29,MATCH(2,1/((Canals!$F$24:$F$29&lt;=$C72)*(Canals!$G$24:$G$29=_xlfn.IFS(KS72="Handysize",Main!NB72,KS72="Supramax",MU72,KS72="Panamax",MN72,KS72="NeoPanamax",MG72,KS72="Suezmax",LZ72,KS72="Capesize",LS72,KS72="VLOC",LL72)))))</f>
        <v>#N/A</v>
      </c>
      <c r="PU72" s="136" t="e">
        <f t="array" aca="1" ref="PU72" ca="1">INDEX(Canals!$AT$24:$AT$29,MATCH(2,1/((Canals!$F$24:$F$29&lt;=$C72)*(Canals!$G$24:$G$29=_xlfn.IFS(KS72="Handysize",Main!NB72,KS72="Supramax",MU72,KS72="Panamax",MN72,KS72="NeoPanamax",MG72,KS72="Suezmax",LZ72,KS72="Capesize",LS72,KS72="VLOC",LL72)))))</f>
        <v>#N/A</v>
      </c>
      <c r="PV72" s="136" t="e">
        <f t="array" aca="1" ref="PV72" ca="1">INDEX(Canals!$AU$24:$AU$29,MATCH(2,1/((Canals!$F$24:$F$29&lt;=$C72)*(Canals!$G$24:$G$29=_xlfn.IFS(KS72="Handysize",Main!NB72,KS72="Supramax",MU72,KS72="Panamax",MN72,KS72="NeoPanamax",MG72,KS72="Suezmax",LZ72,KS72="Capesize",LS72,KS72="VLOC",LL72)))))</f>
        <v>#N/A</v>
      </c>
      <c r="PW72" s="136" t="e">
        <f t="array" aca="1" ref="PW72" ca="1">INDEX(Canals!$AV$24:$AV$29,MATCH(2,1/((Canals!$F$24:$F$29&lt;=$C72)*(Canals!$G$24:$G$29=_xlfn.IFS(KS72="Handysize",Main!NB72,KS72="Supramax",MU72,KS72="Panamax",MN72,KS72="NeoPanamax",MG72,KS72="Suezmax",LZ72,KS72="Capesize",LS72,KS72="VLOC",LL72)))))</f>
        <v>#N/A</v>
      </c>
      <c r="PY72" s="75" t="e">
        <f t="array" aca="1" ref="PY72" ca="1">_xlfn.IFS(OJ72="DWT",KQ72,OJ72="NRT",KU72,OJ72="GRT",KV72)</f>
        <v>#NAME?</v>
      </c>
      <c r="PZ72" s="279" t="e">
        <f t="shared" ca="1" si="782"/>
        <v>#NAME?</v>
      </c>
      <c r="QA72" s="280" t="e">
        <f t="shared" ca="1" si="783"/>
        <v>#NAME?</v>
      </c>
      <c r="QB72" s="280" t="e">
        <f t="shared" ca="1" si="784"/>
        <v>#NAME?</v>
      </c>
      <c r="QC72" s="280" t="e">
        <f t="shared" ca="1" si="785"/>
        <v>#NAME?</v>
      </c>
      <c r="QD72" s="280" t="e">
        <f t="shared" ca="1" si="786"/>
        <v>#NAME?</v>
      </c>
      <c r="QE72" s="280" t="e">
        <f t="shared" ca="1" si="787"/>
        <v>#NAME?</v>
      </c>
      <c r="QF72" s="280" t="e">
        <f t="shared" ca="1" si="788"/>
        <v>#NAME?</v>
      </c>
      <c r="QG72" s="280" t="e">
        <f t="shared" ca="1" si="789"/>
        <v>#NAME?</v>
      </c>
      <c r="QH72" s="280" t="e">
        <f t="shared" ca="1" si="790"/>
        <v>#NAME?</v>
      </c>
      <c r="QI72" s="75">
        <f t="shared" si="791"/>
        <v>81052.631578947374</v>
      </c>
      <c r="QJ72" s="279" t="e">
        <f t="shared" ca="1" si="792"/>
        <v>#N/A</v>
      </c>
      <c r="QK72" s="280" t="e">
        <f t="shared" ca="1" si="793"/>
        <v>#N/A</v>
      </c>
      <c r="QL72" s="280" t="e">
        <f t="shared" ca="1" si="794"/>
        <v>#N/A</v>
      </c>
      <c r="QM72" s="280" t="e">
        <f t="shared" ca="1" si="795"/>
        <v>#N/A</v>
      </c>
      <c r="QN72" s="280" t="e">
        <f t="shared" ca="1" si="796"/>
        <v>#N/A</v>
      </c>
      <c r="QO72" s="280" t="e">
        <f t="shared" ca="1" si="797"/>
        <v>#N/A</v>
      </c>
      <c r="QP72" s="280" t="e">
        <f t="shared" ca="1" si="798"/>
        <v>#N/A</v>
      </c>
      <c r="QQ72" s="280" t="e">
        <f t="shared" ca="1" si="799"/>
        <v>#N/A</v>
      </c>
      <c r="QR72" s="280" t="e">
        <f t="shared" ca="1" si="800"/>
        <v>#N/A</v>
      </c>
      <c r="QT72" s="75" t="e">
        <f t="array" aca="1" ref="QT72" ca="1">_xlfn.IFS(KS72="Handysize",Main!MV72,KS72="Supramax",MO72,KS72="Panamax",MH72,KS72="NeoPanamax",MA72,KS72="Suezmax",LT72,KS72="Capesize",LM72,KS72="VLOC",LF72)*$JI72</f>
        <v>#NAME?</v>
      </c>
      <c r="QU72" s="274" t="e">
        <f t="array" aca="1" ref="QU72" ca="1">_xlfn.IFS(KS72="Handysize",Main!MW72,KS72="Supramax",MP72,KS72="Panamax",MI72,KS72="NeoPanamax",MB72,KS72="Suezmax",LU72,KS72="Capesize",LN72,KS72="VLOC",LG72)*$JI72</f>
        <v>#NAME?</v>
      </c>
      <c r="QV72" s="71" t="e">
        <f t="array" aca="1" ref="QV72" ca="1">_xlfn.IFS(KS72="Handysize",Main!KX72,KS72="Supramax",KY72,KS72="Panamax",KZ72,KS72="NeoPanamax",LA72,KS72="Suezmax",LB72,KS72="Capesize",LC72,KS72="VLOC",LD72)</f>
        <v>#NAME?</v>
      </c>
      <c r="QW72" s="71" t="e">
        <f t="array" aca="1" ref="QW72" ca="1">_xlfn.IFS(KS72="Handysize",Main!NJ72,KS72="Supramax",NK72,KS72="Panamax",NL72,KS72="NeoPanamax",NM72,KS72="Suezmax",NN72,KS72="Capesize",NO72,KS72="VLOC",NP72)</f>
        <v>#NAME?</v>
      </c>
      <c r="QX72" s="70">
        <f t="array" ref="QX72">INDEX('Ship Speeds'!$G$11:$G$1011,MATCH(2,1/(('Ship Speeds'!$E$11:$E$1011&lt;=Main!$C72)*('Ship Speeds'!$F$11:$F$1011=Main!KR72))))</f>
        <v>11</v>
      </c>
      <c r="QY72" s="403">
        <f t="shared" si="801"/>
        <v>22.103418307276918</v>
      </c>
      <c r="QZ72" s="401">
        <f t="shared" si="802"/>
        <v>2.087838056680162</v>
      </c>
      <c r="RA72" s="70" t="e">
        <f t="shared" ca="1" si="803"/>
        <v>#NAME?</v>
      </c>
      <c r="RB72" s="70" t="e">
        <f t="shared" ca="1" si="804"/>
        <v>#NAME?</v>
      </c>
      <c r="RC72" s="70" t="e">
        <f t="shared" ca="1" si="805"/>
        <v>#NAME?</v>
      </c>
      <c r="RD72" s="70" t="e">
        <f t="shared" ca="1" si="806"/>
        <v>#NAME?</v>
      </c>
      <c r="RE72" s="72" t="e">
        <f t="shared" ca="1" si="807"/>
        <v>#N/A</v>
      </c>
      <c r="RF72" s="70" t="e">
        <f t="shared" ca="1" si="808"/>
        <v>#NAME?</v>
      </c>
      <c r="RG72" s="70" t="e">
        <f t="array" aca="1" ref="RG72" ca="1">INDEX(ND72:NH72,MATCH(_xlfn.IFS(KS72="Handysize",Main!MZ72,KS72="Supramax",MS72,KS72="Panamax",ML72,KS72="NeoPanamax",ME72,KS72="Suezmax",LX72,KS72="Capesize",LQ72,KS72="VLOC",LJ72),$ND$7:$NH$7,0))</f>
        <v>#NAME?</v>
      </c>
      <c r="RH72" s="70" t="e">
        <f t="array" aca="1" ref="RH72" ca="1">INDEX(ND72:NH72,MATCH(_xlfn.IFS(KS72="Handysize",Main!NA72,KS72="Supramax",MT72,KS72="Panamax",MM72,KS72="NeoPanamax",MF72,KS72="Suezmax",LY72,KS72="Capesize",LR72,KS72="VLOC",LK72),$ND$7:$NH$7,0))</f>
        <v>#NAME?</v>
      </c>
      <c r="RI72" s="71" t="e">
        <f t="shared" ca="1" si="809"/>
        <v>#NAME?</v>
      </c>
      <c r="RJ72" s="71" t="e">
        <f t="shared" ca="1" si="810"/>
        <v>#NAME?</v>
      </c>
      <c r="RK72" s="281">
        <f t="shared" si="811"/>
        <v>7.0834199999999994</v>
      </c>
      <c r="RL72" s="71">
        <f t="shared" si="812"/>
        <v>1742.3786814843679</v>
      </c>
      <c r="RM72" s="71" t="e">
        <f t="shared" ca="1" si="813"/>
        <v>#NAME?</v>
      </c>
      <c r="RN72" s="71" t="e">
        <f t="shared" ca="1" si="814"/>
        <v>#NAME?</v>
      </c>
      <c r="RO72" s="71">
        <f t="shared" si="815"/>
        <v>30208.422960719694</v>
      </c>
      <c r="RP72" s="71" t="e">
        <f t="shared" ca="1" si="816"/>
        <v>#NAME?</v>
      </c>
      <c r="RQ72" s="71" t="e">
        <f t="shared" ca="1" si="817"/>
        <v>#NAME?</v>
      </c>
      <c r="RR72" s="71">
        <f t="shared" si="818"/>
        <v>21446.360736311224</v>
      </c>
      <c r="RS72" s="71" t="e">
        <f t="shared" ca="1" si="819"/>
        <v>#NAME?</v>
      </c>
      <c r="RT72" s="71" t="e">
        <f t="shared" ca="1" si="820"/>
        <v>#NAME?</v>
      </c>
      <c r="RU72" s="71">
        <f t="shared" si="821"/>
        <v>0</v>
      </c>
      <c r="RV72" s="71" t="e">
        <f t="shared" ca="1" si="822"/>
        <v>#NAME?</v>
      </c>
      <c r="RW72" s="71" t="e">
        <f t="shared" ca="1" si="823"/>
        <v>#NAME?</v>
      </c>
      <c r="RX72" s="72">
        <f t="shared" si="824"/>
        <v>6075.774983325663</v>
      </c>
      <c r="RY72" s="72" t="e">
        <f t="shared" ca="1" si="825"/>
        <v>#NAME?</v>
      </c>
      <c r="RZ72" s="71" t="e">
        <f t="shared" ca="1" si="826"/>
        <v>#NAME?</v>
      </c>
      <c r="SA72" s="71" t="e">
        <f t="array" aca="1" ref="SA72" ca="1">INDEX('Ship Time Charter Rates'!$H$22:$H$1021,MATCH(2,1/(('Ship Time Charter Rates'!$G$22:$G$1021=_xlfn.IFS(KS72="Handysize",Main!MX72,KS72="Supramax",MQ72,KS72="Panamax",MJ72,KS72="NeoPanamax",MC72,KS72="Suezmax",LV72,KS72="Capesize",LO72,KS72="VLOC",LH72))*('Ship Time Charter Rates'!$E$22:$E$1021&lt;=Main!$C72)*(NOT(ISBLANK('Ship Time Charter Rates'!$H$22:$H$1021))))))</f>
        <v>#N/A</v>
      </c>
      <c r="SB72" s="71" t="e">
        <f t="shared" ca="1" si="827"/>
        <v>#NAME?</v>
      </c>
      <c r="SC72" s="70" t="e">
        <f t="shared" ca="1" si="828"/>
        <v>#N/A</v>
      </c>
      <c r="SD72" s="71" t="e">
        <f t="shared" ca="1" si="829"/>
        <v>#NAME?</v>
      </c>
      <c r="SE72" s="71" t="e">
        <f t="shared" ca="1" si="830"/>
        <v>#NAME?</v>
      </c>
      <c r="SF72" s="72" t="e">
        <f t="shared" ca="1" si="831"/>
        <v>#NAME?</v>
      </c>
      <c r="SH72" s="25">
        <f t="shared" si="832"/>
        <v>0</v>
      </c>
      <c r="SI72" s="4" t="str">
        <f>VLOOKUP(SH72,'Ship Time Charter Rates'!$F$10:$G$17,2,TRUE)</f>
        <v>Handysize</v>
      </c>
      <c r="SJ72" s="4" t="str">
        <f>VLOOKUP(SH72,Canals!$E$5:$F$12,2,TRUE)</f>
        <v>Handysize</v>
      </c>
      <c r="SK72" s="25">
        <f t="shared" si="833"/>
        <v>145.88999999999999</v>
      </c>
      <c r="SL72" s="25">
        <f t="shared" si="834"/>
        <v>0</v>
      </c>
      <c r="SM72" s="25">
        <f t="shared" si="835"/>
        <v>4797</v>
      </c>
      <c r="SO72" s="75">
        <f t="array" ref="SO72">INDEX('Indices Mines Exporting Ports'!$R$20:$R$51,MATCH(2,1/(('Indices Mines Exporting Ports'!$D$20:$D$51&lt;=Main!$C72)*('Indices Mines Exporting Ports'!$Q$20:$Q$51=$AQ72))))</f>
        <v>0</v>
      </c>
      <c r="SP72" s="75">
        <f t="array" ref="SP72">INDEX('Indices Mines Exporting Ports'!$S$20:$S$51,MATCH(2,1/(('Indices Mines Exporting Ports'!$D$20:$D$51&lt;=Main!$C72)*('Indices Mines Exporting Ports'!$Q$20:$Q$51=$AQ72))))</f>
        <v>0</v>
      </c>
      <c r="SQ72" s="75">
        <f t="array" ref="SQ72">INDEX('Indices Mines Exporting Ports'!$T$20:$T$51,MATCH(2,1/(('Indices Mines Exporting Ports'!$D$20:$D$51&lt;=Main!$C72)*('Indices Mines Exporting Ports'!$Q$20:$Q$51=$AQ72))))</f>
        <v>0</v>
      </c>
      <c r="SR72" s="75">
        <f t="array" ref="SR72">INDEX('Indices Mines Exporting Ports'!$U$20:$U$51,MATCH(2,1/(('Indices Mines Exporting Ports'!$D$20:$D$51&lt;=Main!$C72)*('Indices Mines Exporting Ports'!$Q$20:$Q$51=$AQ72))))</f>
        <v>0</v>
      </c>
      <c r="SS72" s="75">
        <f t="array" ref="SS72">INDEX('Indices Mines Exporting Ports'!$V$20:$V$51,MATCH(2,1/(('Indices Mines Exporting Ports'!$D$20:$D$51&lt;=Main!$C72)*('Indices Mines Exporting Ports'!$Q$20:$Q$51=$AQ72))))</f>
        <v>0</v>
      </c>
      <c r="ST72" s="75">
        <f t="array" ref="ST72">INDEX('Indices Mines Exporting Ports'!$W$20:$W$51,MATCH(2,1/(('Indices Mines Exporting Ports'!$D$20:$D$51&lt;=Main!$C72)*('Indices Mines Exporting Ports'!$Q$20:$Q$51=$AQ72))))</f>
        <v>0</v>
      </c>
      <c r="SU72" s="75">
        <f t="array" ref="SU72">INDEX('Indices Mines Exporting Ports'!$X$20:$X$51,MATCH(2,1/(('Indices Mines Exporting Ports'!$D$20:$D$51&lt;=Main!$C72)*('Indices Mines Exporting Ports'!$Q$20:$Q$51=$AQ72))))</f>
        <v>0</v>
      </c>
      <c r="SW72" s="75">
        <f t="array" ref="SW72">INDEX('Port Linkages'!$E$18:$E$157,MATCH(2,1/(('Port Linkages'!$C$18:$C$157=$AQ72)*('Port Linkages'!$D$18:$D$157=IF($AO72="no",$AQ72,$AS72))*('Port Linkages'!$A$18:$A$157&lt;=$C72))))</f>
        <v>0</v>
      </c>
      <c r="SX72" s="75">
        <f t="array" ref="SX72">INDEX('Port Linkages'!$F$18:$F$157,MATCH(2,1/(('Port Linkages'!$C$18:$C$157=$AQ72)*('Port Linkages'!$D$18:$D$157=IF($AO72="no",$AQ72,$AS72))*('Port Linkages'!$A$18:$A$157&lt;=$C72))))</f>
        <v>0</v>
      </c>
      <c r="SY72" s="75">
        <f t="array" ref="SY72">INDEX('Port Linkages'!$G$18:$G$157,MATCH(2,1/(('Port Linkages'!$C$18:$C$157=$AQ72)*('Port Linkages'!$D$18:$D$157=IF($AO72="no",$AQ72,$AS72))*('Port Linkages'!$A$18:$A$157&lt;=$C72))))</f>
        <v>0</v>
      </c>
      <c r="SZ72" s="75">
        <f t="array" ref="SZ72">INDEX('Port Linkages'!$H$18:$H$157,MATCH(2,1/(('Port Linkages'!$C$18:$C$157=$AQ72)*('Port Linkages'!$D$18:$D$157=IF($AO72="no",$AQ72,$AS72))*('Port Linkages'!$A$18:$A$157&lt;=$C72))))</f>
        <v>0</v>
      </c>
      <c r="TA72" s="75">
        <f t="array" ref="TA72">INDEX('Port Linkages'!$I$18:$I$157,MATCH(2,1/(('Port Linkages'!$C$18:$C$157=$AQ72)*('Port Linkages'!$D$18:$D$157=IF($AO72="no",$AQ72,$AS72))*('Port Linkages'!$A$18:$A$157&lt;=$C72))))</f>
        <v>0</v>
      </c>
      <c r="TB72" s="75">
        <f t="array" ref="TB72">INDEX('Port Linkages'!$J$18:$J$157,MATCH(2,1/(('Port Linkages'!$C$18:$C$157=$AQ72)*('Port Linkages'!$D$18:$D$157=IF($AO72="no",$AQ72,$AS72))*('Port Linkages'!$A$18:$A$157&lt;=$C72))))</f>
        <v>0</v>
      </c>
      <c r="TC72" s="75">
        <f t="array" ref="TC72">INDEX('Port Linkages'!$K$18:$K$157,MATCH(2,1/(('Port Linkages'!$C$18:$C$157=$AQ72)*('Port Linkages'!$D$18:$D$157=IF($AO72="no",$AQ72,$AS72))*('Port Linkages'!$A$18:$A$157&lt;=$C72))))</f>
        <v>0</v>
      </c>
      <c r="TD72" s="75">
        <f t="array" ref="TD72">INDEX('Port Linkages'!$L$18:$L$157,MATCH(2,1/(('Port Linkages'!$C$18:$C$157=$AQ72)*('Port Linkages'!$D$18:$D$157=IF($AO72="no",$AQ72,$AS72))*('Port Linkages'!$A$18:$A$157&lt;=$C72))))</f>
        <v>0</v>
      </c>
      <c r="TE72" s="75">
        <f t="array" ref="TE72">INDEX('Port Linkages'!$M$18:$M$157,MATCH(2,1/(('Port Linkages'!$C$18:$C$157=$AQ72)*('Port Linkages'!$D$18:$D$157=IF($AO72="no",$AQ72,$AS72))*('Port Linkages'!$A$18:$A$157&lt;=$C72))))</f>
        <v>0</v>
      </c>
      <c r="TF72" s="75">
        <f t="array" ref="TF72">INDEX('Port Linkages'!$N$18:$N$157,MATCH(2,1/(('Port Linkages'!$C$18:$C$157=$AQ72)*('Port Linkages'!$D$18:$D$157=IF($AO72="no",$AQ72,$AS72))*('Port Linkages'!$A$18:$A$157&lt;=$C72))))</f>
        <v>0</v>
      </c>
      <c r="TG72" s="75">
        <f t="array" ref="TG72">INDEX('Port Linkages'!$O$18:$O$157,MATCH(2,1/(('Port Linkages'!$C$18:$C$157=$AQ72)*('Port Linkages'!$D$18:$D$157=IF($AO72="no",$AQ72,$AS72))*('Port Linkages'!$A$18:$A$157&lt;=$C72))))</f>
        <v>0</v>
      </c>
      <c r="TH72" s="75">
        <f t="array" ref="TH72">INDEX('Port Linkages'!$P$18:$P$157,MATCH(2,1/(('Port Linkages'!$C$18:$C$157=$AQ72)*('Port Linkages'!$D$18:$D$157=IF($AO72="no",$AQ72,$AS72))*('Port Linkages'!$A$18:$A$157&lt;=$C72))))</f>
        <v>0</v>
      </c>
      <c r="TI72" s="75">
        <f t="array" ref="TI72">INDEX('Port Linkages'!$Q$18:$Q$157,MATCH(2,1/(('Port Linkages'!$C$18:$C$157=$AQ72)*('Port Linkages'!$D$18:$D$157=IF($AO72="no",$AQ72,$AS72))*('Port Linkages'!$A$18:$A$157&lt;=$C72))))</f>
        <v>0</v>
      </c>
      <c r="TJ72" s="75">
        <f t="array" ref="TJ72">INDEX('Port Linkages'!$R$18:$R$157,MATCH(2,1/(('Port Linkages'!$C$18:$C$157=$AQ72)*('Port Linkages'!$D$18:$D$157=IF($AO72="no",$AQ72,$AS72))*('Port Linkages'!$A$18:$A$157&lt;=$C72))))</f>
        <v>0</v>
      </c>
      <c r="TK72" s="75">
        <f t="array" ref="TK72">INDEX('Port Linkages'!$S$18:$S$157,MATCH(2,1/(('Port Linkages'!$C$18:$C$157=$AQ72)*('Port Linkages'!$D$18:$D$157=IF($AO72="no",$AQ72,$AS72))*('Port Linkages'!$A$18:$A$157&lt;=$C72))))</f>
        <v>0</v>
      </c>
      <c r="TL72" s="75">
        <f t="array" ref="TL72">INDEX('Port Linkages'!$T$18:$T$157,MATCH(2,1/(('Port Linkages'!$C$18:$C$157=$AQ72)*('Port Linkages'!$D$18:$D$157=IF($AO72="no",$AQ72,$AS72))*('Port Linkages'!$A$18:$A$157&lt;=$C72))))</f>
        <v>0</v>
      </c>
      <c r="TM72" s="75">
        <f t="array" ref="TM72">INDEX('Port Linkages'!$U$18:$U$157,MATCH(2,1/(('Port Linkages'!$C$18:$C$157=$AQ72)*('Port Linkages'!$D$18:$D$157=IF($AO72="no",$AQ72,$AS72))*('Port Linkages'!$A$18:$A$157&lt;=$C72))))</f>
        <v>0</v>
      </c>
      <c r="TN72" s="75">
        <f t="array" ref="TN72">INDEX('Port Linkages'!$V$18:$V$157,MATCH(2,1/(('Port Linkages'!$C$18:$C$157=$AQ72)*('Port Linkages'!$D$18:$D$157=IF($AO72="no",$AQ72,$AS72))*('Port Linkages'!$A$18:$A$157&lt;=$C72))))</f>
        <v>0</v>
      </c>
      <c r="TO72" s="75">
        <f t="array" ref="TO72">INDEX('Port Linkages'!$W$18:$W$157,MATCH(2,1/(('Port Linkages'!$C$18:$C$157=$AQ72)*('Port Linkages'!$D$18:$D$157=IF($AO72="no",$AQ72,$AS72))*('Port Linkages'!$A$18:$A$157&lt;=$C72))))</f>
        <v>0</v>
      </c>
      <c r="TP72" s="75">
        <f t="array" ref="TP72">INDEX('Port Linkages'!$X$18:$X$157,MATCH(2,1/(('Port Linkages'!$C$18:$C$157=$AQ72)*('Port Linkages'!$D$18:$D$157=IF($AO72="no",$AQ72,$AS72))*('Port Linkages'!$A$18:$A$157&lt;=$C72))))</f>
        <v>0</v>
      </c>
      <c r="TQ72" s="75">
        <f t="array" ref="TQ72">INDEX('Port Linkages'!$Y$18:$Y$157,MATCH(2,1/(('Port Linkages'!$C$18:$C$157=$AQ72)*('Port Linkages'!$D$18:$D$157=IF($AO72="no",$AQ72,$AS72))*('Port Linkages'!$A$18:$A$157&lt;=$C72))))</f>
        <v>0</v>
      </c>
      <c r="TR72" s="75">
        <f t="array" ref="TR72">INDEX('Port Linkages'!$Z$18:$Z$157,MATCH(2,1/(('Port Linkages'!$C$18:$C$157=$AQ72)*('Port Linkages'!$D$18:$D$157=IF($AO72="no",$AQ72,$AS72))*('Port Linkages'!$A$18:$A$157&lt;=$C72))))</f>
        <v>0</v>
      </c>
      <c r="TS72" s="75">
        <f t="array" ref="TS72">INDEX('Port Linkages'!$AA$18:$AA$157,MATCH(2,1/(('Port Linkages'!$C$18:$C$157=$AQ72)*('Port Linkages'!$D$18:$D$157=IF($AO72="no",$AQ72,$AS72))*('Port Linkages'!$A$18:$A$157&lt;=$C72))))</f>
        <v>0</v>
      </c>
      <c r="TT72" s="75">
        <f t="array" ref="TT72">INDEX('Port Linkages'!$AB$18:$AB$157,MATCH(2,1/(('Port Linkages'!$C$18:$C$157=$AQ72)*('Port Linkages'!$D$18:$D$157=IF($AO72="no",$AQ72,$AS72))*('Port Linkages'!$A$18:$A$157&lt;=$C72))))</f>
        <v>0</v>
      </c>
      <c r="TU72" s="75">
        <f t="array" ref="TU72">INDEX('Port Linkages'!$AC$18:$AC$157,MATCH(2,1/(('Port Linkages'!$C$18:$C$157=$AQ72)*('Port Linkages'!$D$18:$D$157=IF($AO72="no",$AQ72,$AS72))*('Port Linkages'!$A$18:$A$157&lt;=$C72))))</f>
        <v>0</v>
      </c>
      <c r="TV72" s="75">
        <f t="array" ref="TV72">INDEX('Port Linkages'!$AD$18:$AD$157,MATCH(2,1/(('Port Linkages'!$C$18:$C$157=$AQ72)*('Port Linkages'!$D$18:$D$157=IF($AO72="no",$AQ72,$AS72))*('Port Linkages'!$A$18:$A$157&lt;=$C72))))</f>
        <v>0</v>
      </c>
      <c r="TW72" s="75">
        <f t="array" ref="TW72">INDEX('Port Linkages'!$AE$18:$AE$157,MATCH(2,1/(('Port Linkages'!$C$18:$C$157=$AQ72)*('Port Linkages'!$D$18:$D$157=IF($AO72="no",$AQ72,$AS72))*('Port Linkages'!$A$18:$A$157&lt;=$C72))))</f>
        <v>0</v>
      </c>
      <c r="TX72" s="75">
        <f t="array" ref="TX72">INDEX('Port Linkages'!$AF$18:$AF$157,MATCH(2,1/(('Port Linkages'!$C$18:$C$157=$AQ72)*('Port Linkages'!$D$18:$D$157=IF($AO72="no",$AQ72,$AS72))*('Port Linkages'!$A$18:$A$157&lt;=$C72))))</f>
        <v>0</v>
      </c>
      <c r="TY72" s="75">
        <f t="array" ref="TY72">INDEX('Port Linkages'!$AG$18:$AG$157,MATCH(2,1/(('Port Linkages'!$C$18:$C$157=$AQ72)*('Port Linkages'!$D$18:$D$157=IF($AO72="no",$AQ72,$AS72))*('Port Linkages'!$A$18:$A$157&lt;=$C72))))</f>
        <v>0</v>
      </c>
      <c r="TZ72" s="75">
        <f t="array" ref="TZ72">INDEX('Port Linkages'!$AH$18:$AH$157,MATCH(2,1/(('Port Linkages'!$C$18:$C$157=$AQ72)*('Port Linkages'!$D$18:$D$157=IF($AO72="no",$AQ72,$AS72))*('Port Linkages'!$A$18:$A$157&lt;=$C72))))</f>
        <v>0</v>
      </c>
      <c r="UA72" s="75">
        <f t="array" ref="UA72">INDEX('Port Linkages'!$AI$18:$AI$157,MATCH(2,1/(('Port Linkages'!$C$18:$C$157=$AQ72)*('Port Linkages'!$D$18:$D$157=IF($AO72="no",$AQ72,$AS72))*('Port Linkages'!$A$18:$A$157&lt;=$C72))))</f>
        <v>0</v>
      </c>
      <c r="UB72" s="75">
        <f t="array" ref="UB72">INDEX('Port Linkages'!$AJ$18:$AJ$157,MATCH(2,1/(('Port Linkages'!$C$18:$C$157=$AQ72)*('Port Linkages'!$D$18:$D$157=IF($AO72="no",$AQ72,$AS72))*('Port Linkages'!$A$18:$A$157&lt;=$C72))))</f>
        <v>0</v>
      </c>
      <c r="UC72" s="75">
        <f t="array" ref="UC72">INDEX('Port Linkages'!$AK$18:$AK$157,MATCH(2,1/(('Port Linkages'!$C$18:$C$157=$AQ72)*('Port Linkages'!$D$18:$D$157=IF($AO72="no",$AQ72,$AS72))*('Port Linkages'!$A$18:$A$157&lt;=$C72))))</f>
        <v>0</v>
      </c>
      <c r="UD72" s="75">
        <f t="array" ref="UD72">INDEX('Port Linkages'!$AL$18:$AL$157,MATCH(2,1/(('Port Linkages'!$C$18:$C$157=$AQ72)*('Port Linkages'!$D$18:$D$157=IF($AO72="no",$AQ72,$AS72))*('Port Linkages'!$A$18:$A$157&lt;=$C72))))</f>
        <v>0</v>
      </c>
      <c r="UE72" s="75">
        <f t="array" ref="UE72">INDEX('Port Linkages'!$AM$18:$AM$157,MATCH(2,1/(('Port Linkages'!$C$18:$C$157=$AQ72)*('Port Linkages'!$D$18:$D$157=IF($AO72="no",$AQ72,$AS72))*('Port Linkages'!$A$18:$A$157&lt;=$C72))))</f>
        <v>0</v>
      </c>
      <c r="UF72" s="75">
        <f t="array" ref="UF72">INDEX('Port Linkages'!$AN$18:$AN$157,MATCH(2,1/(('Port Linkages'!$C$18:$C$157=$AQ72)*('Port Linkages'!$D$18:$D$157=IF($AO72="no",$AQ72,$AS72))*('Port Linkages'!$A$18:$A$157&lt;=$C72))))</f>
        <v>0</v>
      </c>
      <c r="UG72" s="75">
        <f t="array" ref="UG72">INDEX('Port Linkages'!$AO$18:$AO$157,MATCH(2,1/(('Port Linkages'!$C$18:$C$157=$AQ72)*('Port Linkages'!$D$18:$D$157=IF($AO72="no",$AQ72,$AS72))*('Port Linkages'!$A$18:$A$157&lt;=$C72))))</f>
        <v>0</v>
      </c>
      <c r="UH72" s="75">
        <f t="array" ref="UH72">INDEX('Port Linkages'!$AP$18:$AP$157,MATCH(2,1/(('Port Linkages'!$C$18:$C$157=$AQ72)*('Port Linkages'!$D$18:$D$157=IF($AO72="no",$AQ72,$AS72))*('Port Linkages'!$A$18:$A$157&lt;=$C72))))</f>
        <v>0</v>
      </c>
      <c r="UI72" s="75">
        <f t="array" ref="UI72">INDEX('Port Linkages'!$AQ$18:$AQ$157,MATCH(2,1/(('Port Linkages'!$C$18:$C$157=$AQ72)*('Port Linkages'!$D$18:$D$157=IF($AO72="no",$AQ72,$AS72))*('Port Linkages'!$A$18:$A$157&lt;=$C72))))</f>
        <v>0</v>
      </c>
      <c r="UJ72" s="75">
        <f t="array" ref="UJ72">INDEX('Port Linkages'!$AR$18:$AR$157,MATCH(2,1/(('Port Linkages'!$C$18:$C$157=$AQ72)*('Port Linkages'!$D$18:$D$157=IF($AO72="no",$AQ72,$AS72))*('Port Linkages'!$A$18:$A$157&lt;=$C72))))</f>
        <v>0</v>
      </c>
      <c r="UK72" s="75">
        <f t="array" ref="UK72">INDEX('Port Linkages'!$AS$18:$AS$157,MATCH(2,1/(('Port Linkages'!$C$18:$C$157=$AQ72)*('Port Linkages'!$D$18:$D$157=IF($AO72="no",$AQ72,$AS72))*('Port Linkages'!$A$18:$A$157&lt;=$C72))))</f>
        <v>0</v>
      </c>
      <c r="UL72" s="75">
        <f t="array" ref="UL72">INDEX('Port Linkages'!$AT$18:$AT$157,MATCH(2,1/(('Port Linkages'!$C$18:$C$157=$AQ72)*('Port Linkages'!$D$18:$D$157=IF($AO72="no",$AQ72,$AS72))*('Port Linkages'!$A$18:$A$157&lt;=$C72))))</f>
        <v>0</v>
      </c>
      <c r="UM72" s="75">
        <f t="array" ref="UM72">INDEX('Port Linkages'!$AU$18:$AU$157,MATCH(2,1/(('Port Linkages'!$C$18:$C$157=$AQ72)*('Port Linkages'!$D$18:$D$157=IF($AO72="no",$AQ72,$AS72))*('Port Linkages'!$A$18:$A$157&lt;=$C72))))</f>
        <v>0</v>
      </c>
      <c r="UN72" s="75">
        <f t="array" ref="UN72">INDEX('Port Linkages'!$AV$18:$AV$157,MATCH(2,1/(('Port Linkages'!$C$18:$C$157=$AQ72)*('Port Linkages'!$D$18:$D$157=IF($AO72="no",$AQ72,$AS72))*('Port Linkages'!$A$18:$A$157&lt;=$C72))))</f>
        <v>0</v>
      </c>
      <c r="UO72" s="75">
        <f t="array" ref="UO72">INDEX('Port Linkages'!$AW$18:$AW$157,MATCH(2,1/(('Port Linkages'!$C$18:$C$157=$AQ72)*('Port Linkages'!$D$18:$D$157=IF($AO72="no",$AQ72,$AS72))*('Port Linkages'!$A$18:$A$157&lt;=$C72))))</f>
        <v>0</v>
      </c>
      <c r="UP72" s="75">
        <f t="array" ref="UP72">INDEX('Port Linkages'!$AX$18:$AX$157,MATCH(2,1/(('Port Linkages'!$C$18:$C$157=$AQ72)*('Port Linkages'!$D$18:$D$157=IF($AO72="no",$AQ72,$AS72))*('Port Linkages'!$A$18:$A$157&lt;=$C72))))</f>
        <v>0</v>
      </c>
      <c r="UQ72" s="75">
        <f t="array" ref="UQ72">INDEX('Port Linkages'!$AY$18:$AY$157,MATCH(2,1/(('Port Linkages'!$C$18:$C$157=$AQ72)*('Port Linkages'!$D$18:$D$157=IF($AO72="no",$AQ72,$AS72))*('Port Linkages'!$A$18:$A$157&lt;=$C72))))</f>
        <v>0</v>
      </c>
      <c r="UR72" s="75">
        <f t="array" ref="UR72">INDEX('Port Linkages'!$AZ$18:$AZ$157,MATCH(2,1/(('Port Linkages'!$C$18:$C$157=$AQ72)*('Port Linkages'!$D$18:$D$157=IF($AO72="no",$AQ72,$AS72))*('Port Linkages'!$A$18:$A$157&lt;=$C72))))</f>
        <v>0</v>
      </c>
      <c r="US72" s="75">
        <f t="array" ref="US72">INDEX('Port Linkages'!$BA$18:$BA$157,MATCH(2,1/(('Port Linkages'!$C$18:$C$157=$AQ72)*('Port Linkages'!$D$18:$D$157=IF($AO72="no",$AQ72,$AS72))*('Port Linkages'!$A$18:$A$157&lt;=$C72))))</f>
        <v>0</v>
      </c>
      <c r="UU72" s="25" t="e">
        <f t="array" aca="1" ref="UU72" ca="1">INDEX('Ship Fuel Prices'!$F$5:$F$1004,MATCH(2,1/(('Ship Fuel Prices'!$E$5:$E$1004=_xlfn.IFS(SJ72="Handysize",Main!UP72,SJ72="Supramax",UI72,SJ72="Panamax",UB72,SJ72="NeoPanamax",TU72,SJ72="Suezmax",TN72,SJ72="Capesize",TG72,SJ72="VLOC",SZ72))*('Ship Fuel Prices'!$D$5:$D$1004&lt;=Main!$C72))))</f>
        <v>#N/A</v>
      </c>
      <c r="UV72" s="25" t="e">
        <f t="array" aca="1" ref="UV72" ca="1">INDEX('Ship Fuel Prices'!$G$5:$G$1004,MATCH(2,1/(('Ship Fuel Prices'!$E$5:$E$1004=_xlfn.IFS(SJ72="Handysize",Main!UP72,SJ72="Supramax",UI72,SJ72="Panamax",UB72,SJ72="NeoPanamax",TU72,SJ72="Suezmax",TN72,SJ72="Capesize",TG72,SJ72="VLOC",SZ72))*('Ship Fuel Prices'!$D$5:$D$1004&lt;=Main!$C72))))</f>
        <v>#N/A</v>
      </c>
      <c r="UW72" s="25" t="e">
        <f t="array" aca="1" ref="UW72" ca="1">INDEX('Ship Fuel Prices'!$H$5:$H$1004,MATCH(2,1/(('Ship Fuel Prices'!$E$5:$E$1004=_xlfn.IFS(SJ72="Handysize",Main!UP72,SJ72="Supramax",UI72,SJ72="Panamax",UB72,SJ72="NeoPanamax",TU72,SJ72="Suezmax",TN72,SJ72="Capesize",TG72,SJ72="VLOC",SZ72))*('Ship Fuel Prices'!$D$5:$D$1004&lt;=Main!$C72))))</f>
        <v>#N/A</v>
      </c>
      <c r="UX72" s="25" t="e">
        <f t="array" aca="1" ref="UX72" ca="1">INDEX('Ship Fuel Prices'!$I$5:$I$1004,MATCH(2,1/(('Ship Fuel Prices'!$E$5:$E$1004=_xlfn.IFS(SJ72="Handysize",Main!UP72,SJ72="Supramax",UI72,SJ72="Panamax",UB72,SJ72="NeoPanamax",TU72,SJ72="Suezmax",TN72,SJ72="Capesize",TG72,SJ72="VLOC",SZ72))*('Ship Fuel Prices'!$D$5:$D$1004&lt;=Main!$C72))))</f>
        <v>#N/A</v>
      </c>
      <c r="UY72" s="25" t="e">
        <f t="array" aca="1" ref="UY72" ca="1">INDEX('Ship Fuel Prices'!$J$5:$J$1004,MATCH(2,1/(('Ship Fuel Prices'!$E$5:$E$1004=_xlfn.IFS(SJ72="Handysize",Main!UP72,SJ72="Supramax",UI72,SJ72="Panamax",UB72,SJ72="NeoPanamax",TU72,SJ72="Suezmax",TN72,SJ72="Capesize",TG72,SJ72="VLOC",SZ72))*('Ship Fuel Prices'!$D$5:$D$1004&lt;=Main!$C72))))</f>
        <v>#N/A</v>
      </c>
      <c r="VA72" s="75">
        <f t="array" ref="VA72">INDEX('China n Importing Ports'!$E$20:$E$41,MATCH(2,1/(('China n Importing Ports'!$D$20:$D$41&lt;=$C72)*('China n Importing Ports'!$C$20:$C$41=IF($AO72="No",$AQ72,$AS72)))))</f>
        <v>0</v>
      </c>
      <c r="VB72" s="75">
        <f t="array" ref="VB72">INDEX('China n Importing Ports'!$F$20:$F$41,MATCH(2,1/(('China n Importing Ports'!$D$20:$D$41&lt;=$C72)*('China n Importing Ports'!$C$20:$C$41=IF($AO72="No",$AQ72,$AS72)))))</f>
        <v>0</v>
      </c>
      <c r="VC72" s="75">
        <f t="array" ref="VC72">INDEX('China n Importing Ports'!$G$20:$G$41,MATCH(2,1/(('China n Importing Ports'!$D$20:$D$41&lt;=$C72)*('China n Importing Ports'!$C$20:$C$41=IF($AO72="No",$AQ72,$AS72)))))</f>
        <v>0</v>
      </c>
      <c r="VD72" s="75">
        <f t="array" ref="VD72">INDEX('China n Importing Ports'!$H$20:$H$41,MATCH(2,1/(('China n Importing Ports'!$D$20:$D$41&lt;=$C72)*('China n Importing Ports'!$C$20:$C$41=IF($AO72="No",$AQ72,$AS72)))))</f>
        <v>0</v>
      </c>
      <c r="VE72" s="75">
        <f t="array" ref="VE72">INDEX('China n Importing Ports'!$I$20:$I$41,MATCH(2,1/(('China n Importing Ports'!$D$20:$D$41&lt;=$C72)*('China n Importing Ports'!$C$20:$C$41=IF($AO72="No",$AQ72,$AS72)))))</f>
        <v>0</v>
      </c>
      <c r="VF72" s="75">
        <f t="array" ref="VF72">INDEX('China n Importing Ports'!$J$20:$J$41,MATCH(2,1/(('China n Importing Ports'!$D$20:$D$41&lt;=$C72)*('China n Importing Ports'!$C$20:$C$41=IF($AO72="No",$AQ72,$AS72)))))</f>
        <v>0</v>
      </c>
      <c r="VG72" s="75">
        <f t="array" ref="VG72">INDEX('China n Importing Ports'!$K$20:$K$41,MATCH(2,1/(('China n Importing Ports'!$D$20:$D$41&lt;=$C72)*('China n Importing Ports'!$C$20:$C$41=IF($AO72="No",$AQ72,$AS72)))))</f>
        <v>0</v>
      </c>
      <c r="VH72" s="75">
        <f t="array" ref="VH72">INDEX('China n Importing Ports'!$L$20:$L$41,MATCH(2,1/(('China n Importing Ports'!$D$20:$D$41&lt;=$C72)*('China n Importing Ports'!$C$20:$C$41=IF($AO72="No",$AQ72,$AS72)))))</f>
        <v>0</v>
      </c>
      <c r="VI72" s="75">
        <f t="array" ref="VI72">INDEX('China n Importing Ports'!$M$20:$M$41,MATCH(2,1/(('China n Importing Ports'!$D$20:$D$41&lt;=$C72)*('China n Importing Ports'!$C$20:$C$41=IF($AO72="No",$AQ72,$AS72)))))</f>
        <v>0</v>
      </c>
      <c r="VJ72" s="75">
        <f t="array" ref="VJ72">INDEX('China n Importing Ports'!$N$20:$N$41,MATCH(2,1/(('China n Importing Ports'!$D$20:$D$41&lt;=$C72)*('China n Importing Ports'!$C$20:$C$41=IF($AO72="No",$AQ72,$AS72)))))</f>
        <v>0</v>
      </c>
      <c r="VK72" s="75">
        <f t="array" ref="VK72">INDEX('China n Importing Ports'!$O$20:$O$41,MATCH(2,1/(('China n Importing Ports'!$D$20:$D$41&lt;=$C72)*('China n Importing Ports'!$C$20:$C$41=IF($AO72="No",$AQ72,$AS72)))))</f>
        <v>0</v>
      </c>
      <c r="VL72" s="136">
        <f t="array" ref="VL72">INDEX('China n Importing Ports'!$P$20:$P$41,MATCH(2,1/(('China n Importing Ports'!$D$20:$D$41&lt;=$C72)*('China n Importing Ports'!$C$20:$C$41=IF($AO72="No",$AQ72,$AS72)))))</f>
        <v>0</v>
      </c>
      <c r="VM72" s="136">
        <f t="array" ref="VM72">INDEX('China n Importing Ports'!$Q$20:$Q$41,MATCH(2,1/(('China n Importing Ports'!$D$20:$D$41&lt;=$C72)*('China n Importing Ports'!$C$20:$C$41=IF($AO72="No",$AQ72,$AS72)))))</f>
        <v>0</v>
      </c>
      <c r="VN72" s="136">
        <f t="array" ref="VN72">INDEX('China n Importing Ports'!$R$20:$R$41,MATCH(2,1/(('China n Importing Ports'!$D$20:$D$41&lt;=$C72)*('China n Importing Ports'!$C$20:$C$41=IF($AO72="No",$AQ72,$AS72)))))</f>
        <v>0</v>
      </c>
      <c r="VO72" s="136">
        <f t="array" ref="VO72">INDEX('China n Importing Ports'!$S$20:$S$41,MATCH(2,1/(('China n Importing Ports'!$D$20:$D$41&lt;=$C72)*('China n Importing Ports'!$C$20:$C$41=IF($AO72="No",$AQ72,$AS72)))))</f>
        <v>0</v>
      </c>
      <c r="VP72" s="136">
        <f t="array" ref="VP72">INDEX('China n Importing Ports'!$T$20:$T$41,MATCH(2,1/(('China n Importing Ports'!$D$20:$D$41&lt;=$C72)*('China n Importing Ports'!$C$20:$C$41=IF($AO72="No",$AQ72,$AS72)))))</f>
        <v>0</v>
      </c>
      <c r="VQ72" s="136">
        <f t="array" ref="VQ72">INDEX('China n Importing Ports'!$U$20:$U$41,MATCH(2,1/(('China n Importing Ports'!$D$20:$D$41&lt;=$C72)*('China n Importing Ports'!$C$20:$C$41=IF($AO72="No",$AQ72,$AS72)))))</f>
        <v>0</v>
      </c>
      <c r="VR72" s="136">
        <f t="array" ref="VR72">INDEX('China n Importing Ports'!$V$20:$V$41,MATCH(2,1/(('China n Importing Ports'!$D$20:$D$41&lt;=$C72)*('China n Importing Ports'!$C$20:$C$41=IF($AO72="No",$AQ72,$AS72)))))</f>
        <v>0</v>
      </c>
      <c r="VS72" s="136">
        <f t="array" ref="VS72">INDEX('China n Importing Ports'!$W$20:$W$41,MATCH(2,1/(('China n Importing Ports'!$D$20:$D$41&lt;=$C72)*('China n Importing Ports'!$C$20:$C$41=IF($AO72="No",$AQ72,$AS72)))))</f>
        <v>0</v>
      </c>
      <c r="VT72" s="136">
        <f t="array" ref="VT72">INDEX('China n Importing Ports'!$X$20:$X$41,MATCH(2,1/(('China n Importing Ports'!$D$20:$D$41&lt;=$C72)*('China n Importing Ports'!$C$20:$C$41=IF($AO72="No",$AQ72,$AS72)))))</f>
        <v>0</v>
      </c>
      <c r="VU72" s="136">
        <f t="array" ref="VU72">INDEX('China n Importing Ports'!$Y$20:$Y$41,MATCH(2,1/(('China n Importing Ports'!$D$20:$D$41&lt;=$C72)*('China n Importing Ports'!$C$20:$C$41=IF($AO72="No",$AQ72,$AS72)))))</f>
        <v>0</v>
      </c>
      <c r="VV72" s="136">
        <f t="array" ref="VV72">INDEX('China n Importing Ports'!$Z$20:$Z$41,MATCH(2,1/(('China n Importing Ports'!$D$20:$D$41&lt;=$C72)*('China n Importing Ports'!$C$20:$C$41=IF($AO72="No",$AQ72,$AS72)))))</f>
        <v>0</v>
      </c>
      <c r="VW72" s="136">
        <f t="array" ref="VW72">INDEX('China n Importing Ports'!$AA$20:$AA$41,MATCH(2,1/(('China n Importing Ports'!$D$20:$D$41&lt;=$C72)*('China n Importing Ports'!$C$20:$C$41=IF($AO72="No",$AQ72,$AS72)))))</f>
        <v>0</v>
      </c>
      <c r="VY72" s="75" t="e">
        <f t="array" aca="1" ref="VY72" ca="1">INDEX(Canals!$G$24:$G$29,MATCH(2,1/((Canals!$F$24:$F$29&lt;=$C72)*(Canals!$G$24:$G$29=_xlfn.IFS(SJ72="Handysize",US72,SJ72="Supramax",UL72,SJ72="Panamax",UE72,SJ72="NeoPanamax",TX72,SJ72="Suezmax",TQ72,SJ72="Capesize",TJ72,SJ72="VLOC",TC72)))))</f>
        <v>#N/A</v>
      </c>
      <c r="VZ72" s="75" t="e">
        <f t="array" aca="1" ref="VZ72" ca="1">INDEX(Canals!$H$24:$H$29,MATCH(2,1/((Canals!$F$24:$F$29&lt;=$C72)*(Canals!$G$24:$G$29=_xlfn.IFS(SJ72="Handysize",US72,SJ72="Supramax",UL72,SJ72="Panamax",UE72,SJ72="NeoPanamax",TX72,SJ72="Suezmax",TQ72,SJ72="Capesize",TJ72,SJ72="VLOC",TC72)))))</f>
        <v>#N/A</v>
      </c>
      <c r="WA72" s="75" t="e">
        <f t="array" aca="1" ref="WA72" ca="1">INDEX(Canals!$I$24:$I$29,MATCH(2,1/((Canals!$F$24:$F$29&lt;=$C72)*(Canals!$G$24:$G$29=_xlfn.IFS(SJ72="Handysize",US72,SJ72="Supramax",UL72,SJ72="Panamax",UE72,SJ72="NeoPanamax",TX72,SJ72="Suezmax",TQ72,SJ72="Capesize",TJ72,SJ72="VLOC",TC72)))))</f>
        <v>#N/A</v>
      </c>
      <c r="WB72" s="75" t="e">
        <f t="array" aca="1" ref="WB72" ca="1">INDEX(Canals!$J$24:$J$29,MATCH(2,1/((Canals!$F$24:$F$29&lt;=$C72)*(Canals!$G$24:$G$29=_xlfn.IFS(SJ72="Handysize",Main!US72,SJ72="Supramax",UL72,SJ72="Panamax",UE72,SJ72="NeoPanamax",TX72,SJ72="Suezmax",TQ72,SJ72="Capesize",TJ72,SJ72="VLOC",TC72)))))</f>
        <v>#N/A</v>
      </c>
      <c r="WC72" s="75" t="e">
        <f t="array" aca="1" ref="WC72" ca="1">INDEX(Canals!$K$24:$K$29,MATCH(2,1/((Canals!$F$24:$F$29&lt;=$C72)*(Canals!$G$24:$G$29=_xlfn.IFS(SJ72="Handysize",Main!US72,SJ72="Supramax",UL72,SJ72="Panamax",UE72,SJ72="NeoPanamax",TX72,SJ72="Suezmax",TQ72,SJ72="Capesize",TJ72,SJ72="VLOC",TC72)))))</f>
        <v>#N/A</v>
      </c>
      <c r="WD72" s="75" t="e">
        <f t="array" aca="1" ref="WD72" ca="1">INDEX(Canals!$L$24:$L$29,MATCH(2,1/((Canals!$F$24:$F$29&lt;=$C72)*(Canals!$G$24:$G$29=_xlfn.IFS(SJ72="Handysize",Main!US72,SJ72="Supramax",UL72,SJ72="Panamax",UE72,SJ72="NeoPanamax",TX72,SJ72="Suezmax",TQ72,SJ72="Capesize",TJ72,SJ72="VLOC",TC72)))))</f>
        <v>#N/A</v>
      </c>
      <c r="WE72" s="75" t="e">
        <f t="array" aca="1" ref="WE72" ca="1">INDEX(Canals!$M$24:$M$29,MATCH(2,1/((Canals!$F$24:$F$29&lt;=$C72)*(Canals!$G$24:$G$29=_xlfn.IFS(SJ72="Handysize",Main!US72,SJ72="Supramax",UL72,SJ72="Panamax",UE72,SJ72="NeoPanamax",TX72,SJ72="Suezmax",TQ72,SJ72="Capesize",TJ72,SJ72="VLOC",TC72)))))</f>
        <v>#N/A</v>
      </c>
      <c r="WF72" s="75" t="e">
        <f t="array" aca="1" ref="WF72" ca="1">INDEX(Canals!$N$24:$N$29,MATCH(2,1/((Canals!$F$24:$F$29&lt;=$C72)*(Canals!$G$24:$G$29=_xlfn.IFS(SJ72="Handysize",Main!US72,SJ72="Supramax",UL72,SJ72="Panamax",UE72,SJ72="NeoPanamax",TX72,SJ72="Suezmax",TQ72,SJ72="Capesize",TJ72,SJ72="VLOC",TC72)))))</f>
        <v>#N/A</v>
      </c>
      <c r="WG72" s="75" t="e">
        <f t="array" aca="1" ref="WG72" ca="1">INDEX(Canals!$O$24:$O$29,MATCH(2,1/((Canals!$F$24:$F$29&lt;=$C72)*(Canals!$G$24:$G$29=_xlfn.IFS(SJ72="Handysize",Main!US72,SJ72="Supramax",UL72,SJ72="Panamax",UE72,SJ72="NeoPanamax",TX72,SJ72="Suezmax",TQ72,SJ72="Capesize",TJ72,SJ72="VLOC",TC72)))))</f>
        <v>#N/A</v>
      </c>
      <c r="WH72" s="75" t="e">
        <f t="array" aca="1" ref="WH72" ca="1">INDEX(Canals!$P$24:$P$29,MATCH(2,1/((Canals!$F$24:$F$29&lt;=$C72)*(Canals!$G$24:$G$29=_xlfn.IFS(SJ72="Handysize",Main!US72,SJ72="Supramax",UL72,SJ72="Panamax",UE72,SJ72="NeoPanamax",TX72,SJ72="Suezmax",TQ72,SJ72="Capesize",TJ72,SJ72="VLOC",TC72)))))</f>
        <v>#N/A</v>
      </c>
      <c r="WI72" s="75" t="e">
        <f t="array" aca="1" ref="WI72" ca="1">INDEX(Canals!$Q$24:$Q$29,MATCH(2,1/((Canals!$F$24:$F$29&lt;=$C72)*(Canals!$G$24:$G$29=_xlfn.IFS(SJ72="Handysize",Main!US72,SJ72="Supramax",UL72,SJ72="Panamax",UE72,SJ72="NeoPanamax",TX72,SJ72="Suezmax",TQ72,SJ72="Capesize",TJ72,SJ72="VLOC",TC72)))))</f>
        <v>#N/A</v>
      </c>
      <c r="WJ72" s="75" t="e">
        <f t="array" aca="1" ref="WJ72" ca="1">INDEX(Canals!$R$24:$R$29,MATCH(2,1/((Canals!$F$24:$F$29&lt;=$C72)*(Canals!$G$24:$G$29=_xlfn.IFS(SJ72="Handysize",Main!US72,SJ72="Supramax",UL72,SJ72="Panamax",UE72,SJ72="NeoPanamax",TX72,SJ72="Suezmax",TQ72,SJ72="Capesize",TJ72,SJ72="VLOC",TC72)))))</f>
        <v>#N/A</v>
      </c>
      <c r="WK72" s="136" t="e">
        <f t="array" aca="1" ref="WK72" ca="1">INDEX(Canals!$S$24:$S$29,MATCH(2,1/((Canals!$F$24:$F$29&lt;=$C72)*(Canals!$G$24:$G$29=_xlfn.IFS(SJ72="Handysize",Main!US72,SJ72="Supramax",UL72,SJ72="Panamax",UE72,SJ72="NeoPanamax",TX72,SJ72="Suezmax",TQ72,SJ72="Capesize",TJ72,SJ72="VLOC",TC72)))))</f>
        <v>#N/A</v>
      </c>
      <c r="WL72" s="136" t="e">
        <f t="array" aca="1" ref="WL72" ca="1">INDEX(Canals!$T$24:$T$29,MATCH(2,1/((Canals!$F$24:$F$29&lt;=$C72)*(Canals!$G$24:$G$29=_xlfn.IFS(SJ72="Handysize",Main!US72,SJ72="Supramax",UL72,SJ72="Panamax",UE72,SJ72="NeoPanamax",TX72,SJ72="Suezmax",TQ72,SJ72="Capesize",TJ72,SJ72="VLOC",TC72)))))</f>
        <v>#N/A</v>
      </c>
      <c r="WM72" s="136" t="e">
        <f t="array" aca="1" ref="WM72" ca="1">INDEX(Canals!$U$24:$U$29,MATCH(2,1/((Canals!$F$24:$F$29&lt;=$C72)*(Canals!$G$24:$G$29=_xlfn.IFS(SJ72="Handysize",Main!US72,SJ72="Supramax",UL72,SJ72="Panamax",UE72,SJ72="NeoPanamax",TX72,SJ72="Suezmax",TQ72,SJ72="Capesize",TJ72,SJ72="VLOC",TC72)))))</f>
        <v>#N/A</v>
      </c>
      <c r="WN72" s="136" t="e">
        <f t="array" aca="1" ref="WN72" ca="1">INDEX(Canals!$V$24:$V$29,MATCH(2,1/((Canals!$F$24:$F$29&lt;=$C72)*(Canals!$G$24:$G$29=_xlfn.IFS(SJ72="Handysize",Main!US72,SJ72="Supramax",UL72,SJ72="Panamax",UE72,SJ72="NeoPanamax",TX72,SJ72="Suezmax",TQ72,SJ72="Capesize",TJ72,SJ72="VLOC",TC72)))))</f>
        <v>#N/A</v>
      </c>
      <c r="WO72" s="136" t="e">
        <f t="array" aca="1" ref="WO72" ca="1">INDEX(Canals!$W$24:$W$29,MATCH(2,1/((Canals!$F$24:$F$29&lt;=$C72)*(Canals!$G$24:$G$29=_xlfn.IFS(SJ72="Handysize",Main!US72,SJ72="Supramax",UL72,SJ72="Panamax",UE72,SJ72="NeoPanamax",TX72,SJ72="Suezmax",TQ72,SJ72="Capesize",TJ72,SJ72="VLOC",TC72)))))</f>
        <v>#N/A</v>
      </c>
      <c r="WP72" s="136" t="e">
        <f t="array" aca="1" ref="WP72" ca="1">INDEX(Canals!$X$24:$X$29,MATCH(2,1/((Canals!$F$24:$F$29&lt;=$C72)*(Canals!$G$24:$G$29=_xlfn.IFS(SJ72="Handysize",Main!US72,SJ72="Supramax",UL72,SJ72="Panamax",UE72,SJ72="NeoPanamax",TX72,SJ72="Suezmax",TQ72,SJ72="Capesize",TJ72,SJ72="VLOC",TC72)))))</f>
        <v>#N/A</v>
      </c>
      <c r="WQ72" s="136" t="e">
        <f t="array" aca="1" ref="WQ72" ca="1">INDEX(Canals!$Y$24:$Y$29,MATCH(2,1/((Canals!$F$24:$F$29&lt;=$C72)*(Canals!$G$24:$G$29=_xlfn.IFS(SJ72="Handysize",Main!US72,SJ72="Supramax",UL72,SJ72="Panamax",UE72,SJ72="NeoPanamax",TX72,SJ72="Suezmax",TQ72,SJ72="Capesize",TJ72,SJ72="VLOC",TC72)))))</f>
        <v>#N/A</v>
      </c>
      <c r="WR72" s="136" t="e">
        <f t="array" aca="1" ref="WR72" ca="1">INDEX(Canals!$Z$24:$Z$29,MATCH(2,1/((Canals!$F$24:$F$29&lt;=$C72)*(Canals!$G$24:$G$29=_xlfn.IFS(SJ72="Handysize",Main!US72,SJ72="Supramax",UL72,SJ72="Panamax",UE72,SJ72="NeoPanamax",TX72,SJ72="Suezmax",TQ72,SJ72="Capesize",TJ72,SJ72="VLOC",TC72)))))</f>
        <v>#N/A</v>
      </c>
      <c r="WS72" s="136" t="e">
        <f t="array" aca="1" ref="WS72" ca="1">INDEX(Canals!$AA$24:$AA$29,MATCH(2,1/((Canals!$F$24:$F$29&lt;=$C72)*(Canals!$G$24:$G$29=_xlfn.IFS(SJ72="Handysize",Main!US72,SJ72="Supramax",UL72,SJ72="Panamax",UE72,SJ72="NeoPanamax",TX72,SJ72="Suezmax",TQ72,SJ72="Capesize",TJ72,SJ72="VLOC",TC72)))))</f>
        <v>#N/A</v>
      </c>
      <c r="WT72" s="136" t="e">
        <f t="array" aca="1" ref="WT72" ca="1">INDEX(Canals!$AB$24:$AB$29,MATCH(2,1/((Canals!$F$24:$F$29&lt;=$C72)*(Canals!$G$24:$G$29=_xlfn.IFS(SJ72="Handysize",Main!US72,SJ72="Supramax",UL72,SJ72="Panamax",UE72,SJ72="NeoPanamax",TX72,SJ72="Suezmax",TQ72,SJ72="Capesize",TJ72,SJ72="VLOC",TC72)))))</f>
        <v>#N/A</v>
      </c>
      <c r="WU72" s="75" t="e">
        <f t="array" aca="1" ref="WU72" ca="1">INDEX(Canals!$AC$24:$AC$29,MATCH(2,1/((Canals!$F$24:$F$29&lt;=$C72)*(Canals!$G$24:$G$29=_xlfn.IFS(SJ72="Handysize",Main!US72,SJ72="Supramax",UL72,SJ72="Panamax",UE72,SJ72="NeoPanamax",TX72,SJ72="Suezmax",TQ72,SJ72="Capesize",TJ72,SJ72="VLOC",TC72)))))</f>
        <v>#N/A</v>
      </c>
      <c r="WV72" s="75" t="e">
        <f t="array" aca="1" ref="WV72" ca="1">INDEX(Canals!$AD$24:$AD$29,MATCH(2,1/((Canals!$F$24:$F$29&lt;=$C72)*(Canals!$G$24:$G$29=_xlfn.IFS(SJ72="Handysize",Main!US72,SJ72="Supramax",UL72,SJ72="Panamax",UE72,SJ72="NeoPanamax",TX72,SJ72="Suezmax",TQ72,SJ72="Capesize",TJ72,SJ72="VLOC",TC72)))))</f>
        <v>#N/A</v>
      </c>
      <c r="WW72" s="75" t="e">
        <f t="array" aca="1" ref="WW72" ca="1">INDEX(Canals!$AE$24:$AE$29,MATCH(2,1/((Canals!$F$24:$F$29&lt;=$C72)*(Canals!$G$24:$G$29=_xlfn.IFS(SJ72="Handysize",Main!US72,SJ72="Supramax",UL72,SJ72="Panamax",UE72,SJ72="NeoPanamax",TX72,SJ72="Suezmax",TQ72,SJ72="Capesize",TJ72,SJ72="VLOC",TC72)))))</f>
        <v>#N/A</v>
      </c>
      <c r="WX72" s="75" t="e">
        <f t="array" aca="1" ref="WX72" ca="1">INDEX(Canals!$AF$24:$AF$29,MATCH(2,1/((Canals!$F$24:$F$29&lt;=$C72)*(Canals!$G$24:$G$29=_xlfn.IFS(SJ72="Handysize",Main!US72,SJ72="Supramax",UL72,SJ72="Panamax",UE72,SJ72="NeoPanamax",TX72,SJ72="Suezmax",TQ72,SJ72="Capesize",TJ72,SJ72="VLOC",TC72)))))</f>
        <v>#N/A</v>
      </c>
      <c r="WY72" s="75" t="e">
        <f t="array" aca="1" ref="WY72" ca="1">INDEX(Canals!$AG$24:$AG$29,MATCH(2,1/((Canals!$F$24:$F$29&lt;=$C72)*(Canals!$G$24:$G$29=_xlfn.IFS(SJ72="Handysize",Main!US72,SJ72="Supramax",UL72,SJ72="Panamax",UE72,SJ72="NeoPanamax",TX72,SJ72="Suezmax",TQ72,SJ72="Capesize",TJ72,SJ72="VLOC",TC72)))))</f>
        <v>#N/A</v>
      </c>
      <c r="WZ72" s="75" t="e">
        <f t="array" aca="1" ref="WZ72" ca="1">INDEX(Canals!$AH$24:$AH$29,MATCH(2,1/((Canals!$F$24:$F$29&lt;=$C72)*(Canals!$G$24:$G$29=_xlfn.IFS(SJ72="Handysize",Main!US72,SJ72="Supramax",UL72,SJ72="Panamax",UE72,SJ72="NeoPanamax",TX72,SJ72="Suezmax",TQ72,SJ72="Capesize",TJ72,SJ72="VLOC",TC72)))))</f>
        <v>#N/A</v>
      </c>
      <c r="XA72" s="75" t="e">
        <f t="array" aca="1" ref="XA72" ca="1">INDEX(Canals!$AI$24:$AI$29,MATCH(2,1/((Canals!$F$24:$F$29&lt;=$C72)*(Canals!$G$24:$G$29=_xlfn.IFS(SJ72="Handysize",Main!US72,SJ72="Supramax",UL72,SJ72="Panamax",UE72,SJ72="NeoPanamax",TX72,SJ72="Suezmax",TQ72,SJ72="Capesize",TJ72,SJ72="VLOC",TC72)))))</f>
        <v>#N/A</v>
      </c>
      <c r="XB72" s="75" t="e">
        <f t="array" aca="1" ref="XB72" ca="1">INDEX(Canals!$AJ$24:$AJ$29,MATCH(2,1/((Canals!$F$24:$F$29&lt;=$C72)*(Canals!$G$24:$G$29=_xlfn.IFS(SJ72="Handysize",Main!US72,SJ72="Supramax",UL72,SJ72="Panamax",UE72,SJ72="NeoPanamax",TX72,SJ72="Suezmax",TQ72,SJ72="Capesize",TJ72,SJ72="VLOC",TC72)))))</f>
        <v>#N/A</v>
      </c>
      <c r="XC72" s="75" t="e">
        <f t="array" aca="1" ref="XC72" ca="1">INDEX(Canals!$AK$24:$AK$29,MATCH(2,1/((Canals!$F$24:$F$29&lt;=$C72)*(Canals!$G$24:$G$29=_xlfn.IFS(SJ72="Handysize",Main!US72,SJ72="Supramax",UL72,SJ72="Panamax",UE72,SJ72="NeoPanamax",TX72,SJ72="Suezmax",TQ72,SJ72="Capesize",TJ72,SJ72="VLOC",TC72)))))</f>
        <v>#N/A</v>
      </c>
      <c r="XD72" s="136" t="e">
        <f t="array" aca="1" ref="XD72" ca="1">INDEX(Canals!$AL$24:$AL$29,MATCH(2,1/((Canals!$F$24:$F$29&lt;=$C72)*(Canals!$G$24:$G$29=_xlfn.IFS(SJ72="Handysize",Main!US72,SJ72="Supramax",UL72,SJ72="Panamax",UE72,SJ72="NeoPanamax",TX72,SJ72="Suezmax",TQ72,SJ72="Capesize",TJ72,SJ72="VLOC",TC72)))))</f>
        <v>#N/A</v>
      </c>
      <c r="XE72" s="136" t="e">
        <f t="array" aca="1" ref="XE72" ca="1">INDEX(Canals!$AM$24:$AM$29,MATCH(2,1/((Canals!$F$24:$F$29&lt;=$C72)*(Canals!$G$24:$G$29=_xlfn.IFS(SJ72="Handysize",Main!US72,SJ72="Supramax",UL72,SJ72="Panamax",UE72,SJ72="NeoPanamax",TX72,SJ72="Suezmax",TQ72,SJ72="Capesize",TJ72,SJ72="VLOC",TC72)))))</f>
        <v>#N/A</v>
      </c>
      <c r="XF72" s="136" t="e">
        <f t="array" aca="1" ref="XF72" ca="1">INDEX(Canals!$AN$24:$AN$29,MATCH(2,1/((Canals!$F$24:$F$29&lt;=$C72)*(Canals!$G$24:$G$29=_xlfn.IFS(SJ72="Handysize",Main!US72,SJ72="Supramax",UL72,SJ72="Panamax",UE72,SJ72="NeoPanamax",TX72,SJ72="Suezmax",TQ72,SJ72="Capesize",TJ72,SJ72="VLOC",TC72)))))</f>
        <v>#N/A</v>
      </c>
      <c r="XG72" s="136" t="e">
        <f t="array" aca="1" ref="XG72" ca="1">INDEX(Canals!$AO$24:$AO$29,MATCH(2,1/((Canals!$F$24:$F$29&lt;=$C72)*(Canals!$G$24:$G$29=_xlfn.IFS(SJ72="Handysize",Main!US72,SJ72="Supramax",UL72,SJ72="Panamax",UE72,SJ72="NeoPanamax",TX72,SJ72="Suezmax",TQ72,SJ72="Capesize",TJ72,SJ72="VLOC",TC72)))))</f>
        <v>#N/A</v>
      </c>
      <c r="XH72" s="136" t="e">
        <f t="array" aca="1" ref="XH72" ca="1">INDEX(Canals!$AP$24:$AP$29,MATCH(2,1/((Canals!$F$24:$F$29&lt;=$C72)*(Canals!$G$24:$G$29=_xlfn.IFS(SJ72="Handysize",Main!US72,SJ72="Supramax",UL72,SJ72="Panamax",UE72,SJ72="NeoPanamax",TX72,SJ72="Suezmax",TQ72,SJ72="Capesize",TJ72,SJ72="VLOC",TC72)))))</f>
        <v>#N/A</v>
      </c>
      <c r="XI72" s="136" t="e">
        <f t="array" aca="1" ref="XI72" ca="1">INDEX(Canals!$AQ$24:$AQ$29,MATCH(2,1/((Canals!$F$24:$F$29&lt;=$C72)*(Canals!$G$24:$G$29=_xlfn.IFS(SJ72="Handysize",Main!US72,SJ72="Supramax",UL72,SJ72="Panamax",UE72,SJ72="NeoPanamax",TX72,SJ72="Suezmax",TQ72,SJ72="Capesize",TJ72,SJ72="VLOC",TC72)))))</f>
        <v>#N/A</v>
      </c>
      <c r="XJ72" s="136" t="e">
        <f t="array" aca="1" ref="XJ72" ca="1">INDEX(Canals!$AR$24:$AR$29,MATCH(2,1/((Canals!$F$24:$F$29&lt;=$C72)*(Canals!$G$24:$G$29=_xlfn.IFS(SJ72="Handysize",Main!US72,SJ72="Supramax",UL72,SJ72="Panamax",UE72,SJ72="NeoPanamax",TX72,SJ72="Suezmax",TQ72,SJ72="Capesize",TJ72,SJ72="VLOC",TC72)))))</f>
        <v>#N/A</v>
      </c>
      <c r="XK72" s="136" t="e">
        <f t="array" aca="1" ref="XK72" ca="1">INDEX(Canals!$AS$24:$AS$29,MATCH(2,1/((Canals!$F$24:$F$29&lt;=$C72)*(Canals!$G$24:$G$29=_xlfn.IFS(SJ72="Handysize",Main!US72,SJ72="Supramax",UL72,SJ72="Panamax",UE72,SJ72="NeoPanamax",TX72,SJ72="Suezmax",TQ72,SJ72="Capesize",TJ72,SJ72="VLOC",TC72)))))</f>
        <v>#N/A</v>
      </c>
      <c r="XL72" s="136" t="e">
        <f t="array" aca="1" ref="XL72" ca="1">INDEX(Canals!$AT$24:$AT$29,MATCH(2,1/((Canals!$F$24:$F$29&lt;=$C72)*(Canals!$G$24:$G$29=_xlfn.IFS(SJ72="Handysize",Main!US72,SJ72="Supramax",UL72,SJ72="Panamax",UE72,SJ72="NeoPanamax",TX72,SJ72="Suezmax",TQ72,SJ72="Capesize",TJ72,SJ72="VLOC",TC72)))))</f>
        <v>#N/A</v>
      </c>
      <c r="XM72" s="136" t="e">
        <f t="array" aca="1" ref="XM72" ca="1">INDEX(Canals!$AU$24:$AU$29,MATCH(2,1/((Canals!$F$24:$F$29&lt;=$C72)*(Canals!$G$24:$G$29=_xlfn.IFS(SJ72="Handysize",Main!US72,SJ72="Supramax",UL72,SJ72="Panamax",UE72,SJ72="NeoPanamax",TX72,SJ72="Suezmax",TQ72,SJ72="Capesize",TJ72,SJ72="VLOC",TC72)))))</f>
        <v>#N/A</v>
      </c>
      <c r="XN72" s="136" t="e">
        <f t="array" aca="1" ref="XN72" ca="1">INDEX(Canals!$AV$24:$AV$29,MATCH(2,1/((Canals!$F$24:$F$29&lt;=$C72)*(Canals!$G$24:$G$29=_xlfn.IFS(SJ72="Handysize",Main!US72,SJ72="Supramax",UL72,SJ72="Panamax",UE72,SJ72="NeoPanamax",TX72,SJ72="Suezmax",TQ72,SJ72="Capesize",TJ72,SJ72="VLOC",TC72)))))</f>
        <v>#N/A</v>
      </c>
      <c r="XP72" s="75" t="e">
        <f t="array" aca="1" ref="XP72" ca="1">_xlfn.IFS(WA72="DWT",SH72,WA72="NRT",SL72,WA72="GRT",SM72,WA72=0,0)</f>
        <v>#NAME?</v>
      </c>
      <c r="XQ72" s="279" t="e">
        <f t="shared" ca="1" si="836"/>
        <v>#NAME?</v>
      </c>
      <c r="XR72" s="280" t="e">
        <f t="shared" ca="1" si="837"/>
        <v>#NAME?</v>
      </c>
      <c r="XS72" s="280" t="e">
        <f t="shared" ca="1" si="838"/>
        <v>#NAME?</v>
      </c>
      <c r="XT72" s="280" t="e">
        <f t="shared" ca="1" si="839"/>
        <v>#NAME?</v>
      </c>
      <c r="XU72" s="280" t="e">
        <f t="shared" ca="1" si="840"/>
        <v>#NAME?</v>
      </c>
      <c r="XV72" s="280" t="e">
        <f t="shared" ca="1" si="841"/>
        <v>#NAME?</v>
      </c>
      <c r="XW72" s="280" t="e">
        <f t="shared" ca="1" si="842"/>
        <v>#NAME?</v>
      </c>
      <c r="XX72" s="280" t="e">
        <f t="shared" ca="1" si="843"/>
        <v>#NAME?</v>
      </c>
      <c r="XY72" s="280" t="e">
        <f t="shared" ca="1" si="844"/>
        <v>#NAME?</v>
      </c>
      <c r="XZ72" s="75">
        <f t="shared" si="845"/>
        <v>0</v>
      </c>
      <c r="YA72" s="279" t="e">
        <f t="shared" ca="1" si="846"/>
        <v>#N/A</v>
      </c>
      <c r="YB72" s="280" t="e">
        <f t="shared" ca="1" si="847"/>
        <v>#N/A</v>
      </c>
      <c r="YC72" s="280" t="e">
        <f t="shared" ca="1" si="848"/>
        <v>#N/A</v>
      </c>
      <c r="YD72" s="280" t="e">
        <f t="shared" ca="1" si="849"/>
        <v>#N/A</v>
      </c>
      <c r="YE72" s="280" t="e">
        <f t="shared" ca="1" si="850"/>
        <v>#N/A</v>
      </c>
      <c r="YF72" s="280" t="e">
        <f t="shared" ca="1" si="851"/>
        <v>#N/A</v>
      </c>
      <c r="YG72" s="280" t="e">
        <f t="shared" ca="1" si="852"/>
        <v>#N/A</v>
      </c>
      <c r="YH72" s="280" t="e">
        <f t="shared" ca="1" si="853"/>
        <v>#N/A</v>
      </c>
      <c r="YI72" s="280" t="e">
        <f t="shared" ca="1" si="854"/>
        <v>#N/A</v>
      </c>
      <c r="YK72" s="75" t="e">
        <f t="array" aca="1" ref="YK72" ca="1">_xlfn.IFS(SJ72="Handysize",Main!UM72,SJ72="Supramax",UF72,SJ72="Panamax",TY72,SJ72="NeoPanamax",TR72,SJ72="Suezmax",TK72,SJ72="Capesize",TD72,SJ72="VLOC",SW72)*$JI72</f>
        <v>#NAME?</v>
      </c>
      <c r="YL72" s="274" t="e">
        <f t="array" aca="1" ref="YL72" ca="1">_xlfn.IFS(SJ72="Handysize",Main!UN72,SJ72="Supramax",UG72,SJ72="Panamax",TZ72,SJ72="NeoPanamax",TS72,SJ72="Suezmax",TL72,SJ72="Capesize",TE72,SJ72="VLOC",SX72)*$JI72</f>
        <v>#NAME?</v>
      </c>
      <c r="YM72" s="71" t="e">
        <f t="array" aca="1" ref="YM72" ca="1">_xlfn.IFS(SJ72="Handysize",Main!SO72,SJ72="Supramax",SP72,SJ72="Panamax",SQ72,SJ72="NeoPanamax",SR72,SJ72="Suezmax",SS72,SJ72="Capesize",ST72,SJ72="VLOC",SU72)</f>
        <v>#NAME?</v>
      </c>
      <c r="YN72" s="71" t="e">
        <f t="array" aca="1" ref="YN72" ca="1">_xlfn.IFS(SJ72="Handysize",Main!VA72,SJ72="Supramax",VB72,SJ72="Panamax",VC72,SJ72="NeoPanamax",VD72,SJ72="Suezmax",VE72,SJ72="Capesize",VF72,SJ72="VLOC",VG72)</f>
        <v>#NAME?</v>
      </c>
      <c r="YO72" s="70">
        <f t="array" ref="YO72">INDEX('Ship Speeds'!$G$11:$G$1011,MATCH(2,1/(('Ship Speeds'!$E$11:$E$1011&lt;=Main!$C72)*('Ship Speeds'!$F$11:$F$1011=Main!SI72))))</f>
        <v>11</v>
      </c>
      <c r="YP72" s="403">
        <f t="shared" si="855"/>
        <v>0</v>
      </c>
      <c r="YQ72" s="401">
        <f t="shared" si="856"/>
        <v>1.2</v>
      </c>
      <c r="YR72" s="70" t="e">
        <f t="shared" ca="1" si="857"/>
        <v>#NAME?</v>
      </c>
      <c r="YS72" s="70" t="e">
        <f t="shared" ca="1" si="858"/>
        <v>#NAME?</v>
      </c>
      <c r="YT72" s="70" t="e">
        <f t="shared" ca="1" si="859"/>
        <v>#NAME?</v>
      </c>
      <c r="YU72" s="70" t="e">
        <f t="shared" ca="1" si="860"/>
        <v>#NAME?</v>
      </c>
      <c r="YV72" s="72" t="e">
        <f t="shared" ca="1" si="861"/>
        <v>#N/A</v>
      </c>
      <c r="YW72" s="70" t="e">
        <f t="shared" ca="1" si="862"/>
        <v>#NAME?</v>
      </c>
      <c r="YX72" s="70" t="e">
        <f t="array" aca="1" ref="YX72" ca="1">IF(YK72=0,0,INDEX(UU72:UY72,MATCH(_xlfn.IFS(SJ72="Handysize",Main!UQ72,SJ72="Supramax",UJ72,SJ72="Panamax",UC72,SJ72="NeoPanamax",TV72,SJ72="Suezmax",TO72,SJ72="Capesize",TH72,SJ72="VLOC",TA72),$UU$7:$UY$7,0)))</f>
        <v>#NAME?</v>
      </c>
      <c r="YY72" s="70" t="e">
        <f t="array" aca="1" ref="YY72" ca="1">IF(YK72=0,0,INDEX(UU72:UY72,MATCH(_xlfn.IFS(SJ72="Handysize",Main!UR72,SJ72="Supramax",UK72,SJ72="Panamax",UD72,SJ72="NeoPanamax",TW72,SJ72="Suezmax",TP72,SJ72="Capesize",TI72,SJ72="VLOC",TB72),$UU$7:$UY$7,0)))</f>
        <v>#NAME?</v>
      </c>
      <c r="YZ72" s="71" t="e">
        <f t="shared" ca="1" si="863"/>
        <v>#NAME?</v>
      </c>
      <c r="ZA72" s="71" t="e">
        <f t="shared" ca="1" si="864"/>
        <v>#NAME?</v>
      </c>
      <c r="ZB72" s="281" t="e">
        <f t="shared" ca="1" si="865"/>
        <v>#NAME?</v>
      </c>
      <c r="ZC72" s="71" t="e">
        <f t="shared" ca="1" si="866"/>
        <v>#NAME?</v>
      </c>
      <c r="ZD72" s="71" t="e">
        <f t="shared" ca="1" si="867"/>
        <v>#NAME?</v>
      </c>
      <c r="ZE72" s="71" t="e">
        <f t="shared" ca="1" si="868"/>
        <v>#NAME?</v>
      </c>
      <c r="ZF72" s="71" t="e">
        <f t="shared" ca="1" si="869"/>
        <v>#NAME?</v>
      </c>
      <c r="ZG72" s="71" t="e">
        <f t="shared" ca="1" si="870"/>
        <v>#NAME?</v>
      </c>
      <c r="ZH72" s="71" t="e">
        <f t="shared" ca="1" si="871"/>
        <v>#NAME?</v>
      </c>
      <c r="ZI72" s="71" t="e">
        <f t="shared" ca="1" si="872"/>
        <v>#NAME?</v>
      </c>
      <c r="ZJ72" s="71" t="e">
        <f t="shared" ca="1" si="873"/>
        <v>#NAME?</v>
      </c>
      <c r="ZK72" s="71" t="e">
        <f t="shared" ca="1" si="874"/>
        <v>#NAME?</v>
      </c>
      <c r="ZL72" s="71" t="e">
        <f t="shared" ca="1" si="875"/>
        <v>#NAME?</v>
      </c>
      <c r="ZM72" s="71" t="e">
        <f t="shared" ca="1" si="876"/>
        <v>#NAME?</v>
      </c>
      <c r="ZN72" s="71" t="e">
        <f t="shared" ca="1" si="877"/>
        <v>#NAME?</v>
      </c>
      <c r="ZO72" s="72" t="e">
        <f t="shared" ca="1" si="878"/>
        <v>#NAME?</v>
      </c>
      <c r="ZP72" s="72" t="e">
        <f t="shared" ca="1" si="879"/>
        <v>#NAME?</v>
      </c>
      <c r="ZQ72" s="71" t="e">
        <f t="shared" ca="1" si="880"/>
        <v>#NAME?</v>
      </c>
      <c r="ZR72" s="71" t="e">
        <f t="array" aca="1" ref="ZR72" ca="1">IF(YK72=0,0,INDEX('Ship Time Charter Rates'!$H$22:$H$1021,MATCH(2,1/(('Ship Time Charter Rates'!$G$22:$G$1021=_xlfn.IFS(SJ72="Handysize",Main!UO72,SJ72="Supramax",UH72,SJ72="Panamax",UA72,SJ72="NeoPanamax",TT72,SJ72="Suezmax",TM72,SJ72="Capesize",TF72,SJ72="VLOC",SY72))*('Ship Time Charter Rates'!$E$22:$E$1021&lt;=Main!$C72)*(NOT(ISBLANK('Ship Time Charter Rates'!$H$22:$H$1021)))))))</f>
        <v>#NAME?</v>
      </c>
      <c r="ZS72" s="71" t="e">
        <f t="shared" ca="1" si="881"/>
        <v>#NAME?</v>
      </c>
      <c r="ZT72" s="70" t="e">
        <f t="shared" ca="1" si="882"/>
        <v>#NAME?</v>
      </c>
      <c r="ZU72" s="71" t="e">
        <f t="shared" ca="1" si="883"/>
        <v>#NAME?</v>
      </c>
      <c r="ZV72" s="71" t="e">
        <f t="shared" ca="1" si="884"/>
        <v>#NAME?</v>
      </c>
      <c r="ZW72" s="72" t="e">
        <f t="shared" ca="1" si="885"/>
        <v>#NAME?</v>
      </c>
      <c r="ZY72" s="287" t="s">
        <v>39</v>
      </c>
      <c r="AAA72" s="25">
        <f t="shared" si="886"/>
        <v>83130.904183535764</v>
      </c>
      <c r="AAB72" s="4" t="str">
        <f>VLOOKUP(AAA72,'Ship Time Charter Rates'!$F$10:$G$17,2,TRUE)</f>
        <v>Panamax</v>
      </c>
      <c r="AAC72" s="4" t="str">
        <f>VLOOKUP(AAA72,Canals!$E$5:$F$12,2,TRUE)</f>
        <v>Panamax</v>
      </c>
      <c r="AAD72" s="25">
        <f t="shared" si="887"/>
        <v>218.46327935222672</v>
      </c>
      <c r="AAE72" s="25">
        <f t="shared" si="888"/>
        <v>33535.006747638326</v>
      </c>
      <c r="AAF72" s="25">
        <f t="shared" si="889"/>
        <v>47933.626180836713</v>
      </c>
      <c r="AAH72" s="75">
        <f t="array" ref="AAH72">INDEX('Indices Mines Exporting Ports'!$R$20:$R$51,MATCH(2,1/(('Indices Mines Exporting Ports'!$D$20:$D$51&lt;=Main!$C72)*('Indices Mines Exporting Ports'!$Q$20:$Q$51=$AP72))))</f>
        <v>15000</v>
      </c>
      <c r="AAI72" s="75">
        <f t="array" ref="AAI72">INDEX('Indices Mines Exporting Ports'!$S$20:$S$51,MATCH(2,1/(('Indices Mines Exporting Ports'!$D$20:$D$51&lt;=Main!$C72)*('Indices Mines Exporting Ports'!$Q$20:$Q$51=$AP72))))</f>
        <v>15000</v>
      </c>
      <c r="AAJ72" s="75">
        <f t="array" ref="AAJ72">INDEX('Indices Mines Exporting Ports'!$T$20:$T$51,MATCH(2,1/(('Indices Mines Exporting Ports'!$D$20:$D$51&lt;=Main!$C72)*('Indices Mines Exporting Ports'!$Q$20:$Q$51=$AP72))))</f>
        <v>15000</v>
      </c>
      <c r="AAK72" s="75">
        <f t="array" ref="AAK72">INDEX('Indices Mines Exporting Ports'!$U$20:$U$51,MATCH(2,1/(('Indices Mines Exporting Ports'!$D$20:$D$51&lt;=Main!$C72)*('Indices Mines Exporting Ports'!$Q$20:$Q$51=$AP72))))</f>
        <v>15000</v>
      </c>
      <c r="AAL72" s="75">
        <f t="array" ref="AAL72">INDEX('Indices Mines Exporting Ports'!$V$20:$V$51,MATCH(2,1/(('Indices Mines Exporting Ports'!$D$20:$D$51&lt;=Main!$C72)*('Indices Mines Exporting Ports'!$Q$20:$Q$51=$AP72))))</f>
        <v>15000</v>
      </c>
      <c r="AAM72" s="75">
        <f t="array" ref="AAM72">INDEX('Indices Mines Exporting Ports'!$W$20:$W$51,MATCH(2,1/(('Indices Mines Exporting Ports'!$D$20:$D$51&lt;=Main!$C72)*('Indices Mines Exporting Ports'!$Q$20:$Q$51=$AP72))))</f>
        <v>15000</v>
      </c>
      <c r="AAN72" s="75">
        <f t="array" ref="AAN72">INDEX('Indices Mines Exporting Ports'!$X$20:$X$51,MATCH(2,1/(('Indices Mines Exporting Ports'!$D$20:$D$51&lt;=Main!$C72)*('Indices Mines Exporting Ports'!$Q$20:$Q$51=$AP72))))</f>
        <v>15000</v>
      </c>
      <c r="AAP72" s="75">
        <f t="array" ref="AAP72">INDEX('Port Linkages'!$E$18:$E$157,MATCH(2,1/(('Port Linkages'!$C$18:$C$157=$AP72)*('Port Linkages'!$D$18:$D$157=IF($AO72="Yes",$AQ72,$KK72))*('Port Linkages'!$A$18:$A$157&lt;=$C72))))</f>
        <v>2326</v>
      </c>
      <c r="AAQ72" s="75">
        <f t="array" ref="AAQ72">INDEX('Port Linkages'!$F$18:$F$157,MATCH(2,1/(('Port Linkages'!$C$18:$C$157=$AP72)*('Port Linkages'!$D$18:$D$157=IF($AO72="Yes",$AQ72,$KK72))*('Port Linkages'!$A$18:$A$157&lt;=$C72))))</f>
        <v>0</v>
      </c>
      <c r="AAR72" s="75" t="str">
        <f t="array" ref="AAR72">INDEX('Port Linkages'!$G$18:$G$157,MATCH(2,1/(('Port Linkages'!$C$18:$C$157=$AP72)*('Port Linkages'!$D$18:$D$157=IF($AO72="Yes",$AQ72,$KK72))*('Port Linkages'!$A$18:$A$157&lt;=$C72))))</f>
        <v>VLOC_General</v>
      </c>
      <c r="AAS72" s="75" t="str">
        <f t="array" ref="AAS72">INDEX('Port Linkages'!$H$18:$H$157,MATCH(2,1/(('Port Linkages'!$C$18:$C$157=$AP72)*('Port Linkages'!$D$18:$D$157=IF($AO72="Yes",$AQ72,$KK72))*('Port Linkages'!$A$18:$A$157&lt;=$C72))))</f>
        <v>Singapore</v>
      </c>
      <c r="AAT72" s="75" t="str">
        <f t="array" ref="AAT72">INDEX('Port Linkages'!$I$18:$I$157,MATCH(2,1/(('Port Linkages'!$C$18:$C$157=$AP72)*('Port Linkages'!$D$18:$D$157=IF($AO72="Yes",$AQ72,$KK72))*('Port Linkages'!$A$18:$A$157&lt;=$C72))))</f>
        <v>VLSFO</v>
      </c>
      <c r="AAU72" s="75" t="str">
        <f t="array" ref="AAU72">INDEX('Port Linkages'!$J$18:$J$157,MATCH(2,1/(('Port Linkages'!$C$18:$C$157=$AP72)*('Port Linkages'!$D$18:$D$157=IF($AO72="Yes",$AQ72,$KK72))*('Port Linkages'!$A$18:$A$157&lt;=$C72))))</f>
        <v>MGO_Regular</v>
      </c>
      <c r="AAV72" s="75" t="str">
        <f t="array" ref="AAV72">INDEX('Port Linkages'!$K$18:$K$157,MATCH(2,1/(('Port Linkages'!$C$18:$C$157=$AP72)*('Port Linkages'!$D$18:$D$157=IF($AO72="Yes",$AQ72,$KK72))*('Port Linkages'!$A$18:$A$157&lt;=$C72))))</f>
        <v>none</v>
      </c>
      <c r="AAW72" s="75">
        <f t="array" ref="AAW72">INDEX('Port Linkages'!$L$18:$L$157,MATCH(2,1/(('Port Linkages'!$C$18:$C$157=$AP72)*('Port Linkages'!$D$18:$D$157=IF($AO72="Yes",$AQ72,$KK72))*('Port Linkages'!$A$18:$A$157&lt;=$C72))))</f>
        <v>2326</v>
      </c>
      <c r="AAX72" s="75">
        <f t="array" ref="AAX72">INDEX('Port Linkages'!$M$18:$M$157,MATCH(2,1/(('Port Linkages'!$C$18:$C$157=$AP72)*('Port Linkages'!$D$18:$D$157=IF($AO72="Yes",$AQ72,$KK72))*('Port Linkages'!$A$18:$A$157&lt;=$C72))))</f>
        <v>0</v>
      </c>
      <c r="AAY72" s="75" t="str">
        <f t="array" ref="AAY72">INDEX('Port Linkages'!$N$18:$N$157,MATCH(2,1/(('Port Linkages'!$C$18:$C$157=$AP72)*('Port Linkages'!$D$18:$D$157=IF($AO72="Yes",$AQ72,$KK72))*('Port Linkages'!$A$18:$A$157&lt;=$C72))))</f>
        <v>Capesize_General</v>
      </c>
      <c r="AAZ72" s="75" t="str">
        <f t="array" ref="AAZ72">INDEX('Port Linkages'!$O$18:$O$157,MATCH(2,1/(('Port Linkages'!$C$18:$C$157=$AP72)*('Port Linkages'!$D$18:$D$157=IF($AO72="Yes",$AQ72,$KK72))*('Port Linkages'!$A$18:$A$157&lt;=$C72))))</f>
        <v>Singapore</v>
      </c>
      <c r="ABA72" s="75" t="str">
        <f t="array" ref="ABA72">INDEX('Port Linkages'!$P$18:$P$157,MATCH(2,1/(('Port Linkages'!$C$18:$C$157=$AP72)*('Port Linkages'!$D$18:$D$157=IF($AO72="Yes",$AQ72,$KK72))*('Port Linkages'!$A$18:$A$157&lt;=$C72))))</f>
        <v>VLSFO</v>
      </c>
      <c r="ABB72" s="75" t="str">
        <f t="array" ref="ABB72">INDEX('Port Linkages'!$Q$18:$Q$157,MATCH(2,1/(('Port Linkages'!$C$18:$C$157=$AP72)*('Port Linkages'!$D$18:$D$157=IF($AO72="Yes",$AQ72,$KK72))*('Port Linkages'!$A$18:$A$157&lt;=$C72))))</f>
        <v>MGO_Regular</v>
      </c>
      <c r="ABC72" s="75" t="str">
        <f t="array" ref="ABC72">INDEX('Port Linkages'!$R$18:$R$157,MATCH(2,1/(('Port Linkages'!$C$18:$C$157=$AP72)*('Port Linkages'!$D$18:$D$157=IF($AO72="Yes",$AQ72,$KK72))*('Port Linkages'!$A$18:$A$157&lt;=$C72))))</f>
        <v>none</v>
      </c>
      <c r="ABD72" s="75">
        <f t="array" ref="ABD72">INDEX('Port Linkages'!$S$18:$S$157,MATCH(2,1/(('Port Linkages'!$C$18:$C$157=$AP72)*('Port Linkages'!$D$18:$D$157=IF($AO72="Yes",$AQ72,$KK72))*('Port Linkages'!$A$18:$A$157&lt;=$C72))))</f>
        <v>2326</v>
      </c>
      <c r="ABE72" s="75">
        <f t="array" ref="ABE72">INDEX('Port Linkages'!$T$18:$T$157,MATCH(2,1/(('Port Linkages'!$C$18:$C$157=$AP72)*('Port Linkages'!$D$18:$D$157=IF($AO72="Yes",$AQ72,$KK72))*('Port Linkages'!$A$18:$A$157&lt;=$C72))))</f>
        <v>0</v>
      </c>
      <c r="ABF72" s="75" t="str">
        <f t="array" ref="ABF72">INDEX('Port Linkages'!$U$18:$U$157,MATCH(2,1/(('Port Linkages'!$C$18:$C$157=$AP72)*('Port Linkages'!$D$18:$D$157=IF($AO72="Yes",$AQ72,$KK72))*('Port Linkages'!$A$18:$A$157&lt;=$C72))))</f>
        <v>Capesize_General</v>
      </c>
      <c r="ABG72" s="75" t="str">
        <f t="array" ref="ABG72">INDEX('Port Linkages'!$V$18:$V$157,MATCH(2,1/(('Port Linkages'!$C$18:$C$157=$AP72)*('Port Linkages'!$D$18:$D$157=IF($AO72="Yes",$AQ72,$KK72))*('Port Linkages'!$A$18:$A$157&lt;=$C72))))</f>
        <v>Singapore</v>
      </c>
      <c r="ABH72" s="75" t="str">
        <f t="array" ref="ABH72">INDEX('Port Linkages'!$W$18:$W$157,MATCH(2,1/(('Port Linkages'!$C$18:$C$157=$AP72)*('Port Linkages'!$D$18:$D$157=IF($AO72="Yes",$AQ72,$KK72))*('Port Linkages'!$A$18:$A$157&lt;=$C72))))</f>
        <v>VLSFO</v>
      </c>
      <c r="ABI72" s="75" t="str">
        <f t="array" ref="ABI72">INDEX('Port Linkages'!$X$18:$X$157,MATCH(2,1/(('Port Linkages'!$C$18:$C$157=$AP72)*('Port Linkages'!$D$18:$D$157=IF($AO72="Yes",$AQ72,$KK72))*('Port Linkages'!$A$18:$A$157&lt;=$C72))))</f>
        <v>MGO_Regular</v>
      </c>
      <c r="ABJ72" s="75" t="str">
        <f t="array" ref="ABJ72">INDEX('Port Linkages'!$Y$18:$Y$157,MATCH(2,1/(('Port Linkages'!$C$18:$C$157=$AP72)*('Port Linkages'!$D$18:$D$157=IF($AO72="Yes",$AQ72,$KK72))*('Port Linkages'!$A$18:$A$157&lt;=$C72))))</f>
        <v>none</v>
      </c>
      <c r="ABK72" s="75">
        <f t="array" ref="ABK72">INDEX('Port Linkages'!$Z$18:$Z$157,MATCH(2,1/(('Port Linkages'!$C$18:$C$157=$AP72)*('Port Linkages'!$D$18:$D$157=IF($AO72="Yes",$AQ72,$KK72))*('Port Linkages'!$A$18:$A$157&lt;=$C72))))</f>
        <v>2326</v>
      </c>
      <c r="ABL72" s="75">
        <f t="array" ref="ABL72">INDEX('Port Linkages'!$AA$18:$AA$157,MATCH(2,1/(('Port Linkages'!$C$18:$C$157=$AP72)*('Port Linkages'!$D$18:$D$157=IF($AO72="Yes",$AQ72,$KK72))*('Port Linkages'!$A$18:$A$157&lt;=$C72))))</f>
        <v>0</v>
      </c>
      <c r="ABM72" s="75" t="str">
        <f t="array" ref="ABM72">INDEX('Port Linkages'!$AB$18:$AB$157,MATCH(2,1/(('Port Linkages'!$C$18:$C$157=$AP72)*('Port Linkages'!$D$18:$D$157=IF($AO72="Yes",$AQ72,$KK72))*('Port Linkages'!$A$18:$A$157&lt;=$C72))))</f>
        <v>Capesize_General</v>
      </c>
      <c r="ABN72" s="75" t="str">
        <f t="array" ref="ABN72">INDEX('Port Linkages'!$AC$18:$AC$157,MATCH(2,1/(('Port Linkages'!$C$18:$C$157=$AP72)*('Port Linkages'!$D$18:$D$157=IF($AO72="Yes",$AQ72,$KK72))*('Port Linkages'!$A$18:$A$157&lt;=$C72))))</f>
        <v>Singapore</v>
      </c>
      <c r="ABO72" s="75" t="str">
        <f t="array" ref="ABO72">INDEX('Port Linkages'!$AD$18:$AD$157,MATCH(2,1/(('Port Linkages'!$C$18:$C$157=$AP72)*('Port Linkages'!$D$18:$D$157=IF($AO72="Yes",$AQ72,$KK72))*('Port Linkages'!$A$18:$A$157&lt;=$C72))))</f>
        <v>VLSFO</v>
      </c>
      <c r="ABP72" s="75" t="str">
        <f t="array" ref="ABP72">INDEX('Port Linkages'!$AE$18:$AE$157,MATCH(2,1/(('Port Linkages'!$C$18:$C$157=$AP72)*('Port Linkages'!$D$18:$D$157=IF($AO72="Yes",$AQ72,$KK72))*('Port Linkages'!$A$18:$A$157&lt;=$C72))))</f>
        <v>MGO_Regular</v>
      </c>
      <c r="ABQ72" s="75" t="str">
        <f t="array" ref="ABQ72">INDEX('Port Linkages'!$AF$18:$AF$157,MATCH(2,1/(('Port Linkages'!$C$18:$C$157=$AP72)*('Port Linkages'!$D$18:$D$157=IF($AO72="Yes",$AQ72,$KK72))*('Port Linkages'!$A$18:$A$157&lt;=$C72))))</f>
        <v>none</v>
      </c>
      <c r="ABR72" s="75">
        <f t="array" ref="ABR72">INDEX('Port Linkages'!$AG$18:$AG$157,MATCH(2,1/(('Port Linkages'!$C$18:$C$157=$AP72)*('Port Linkages'!$D$18:$D$157=IF($AO72="Yes",$AQ72,$KK72))*('Port Linkages'!$A$18:$A$157&lt;=$C72))))</f>
        <v>2326</v>
      </c>
      <c r="ABS72" s="75">
        <f t="array" ref="ABS72">INDEX('Port Linkages'!$AH$18:$AH$157,MATCH(2,1/(('Port Linkages'!$C$18:$C$157=$AP72)*('Port Linkages'!$D$18:$D$157=IF($AO72="Yes",$AQ72,$KK72))*('Port Linkages'!$A$18:$A$157&lt;=$C72))))</f>
        <v>0</v>
      </c>
      <c r="ABT72" s="75" t="str">
        <f t="array" ref="ABT72">INDEX('Port Linkages'!$AI$18:$AI$157,MATCH(2,1/(('Port Linkages'!$C$18:$C$157=$AP72)*('Port Linkages'!$D$18:$D$157=IF($AO72="Yes",$AQ72,$KK72))*('Port Linkages'!$A$18:$A$157&lt;=$C72))))</f>
        <v>Panamax_General</v>
      </c>
      <c r="ABU72" s="75" t="str">
        <f t="array" ref="ABU72">INDEX('Port Linkages'!$AJ$18:$AJ$157,MATCH(2,1/(('Port Linkages'!$C$18:$C$157=$AP72)*('Port Linkages'!$D$18:$D$157=IF($AO72="Yes",$AQ72,$KK72))*('Port Linkages'!$A$18:$A$157&lt;=$C72))))</f>
        <v>Singapore</v>
      </c>
      <c r="ABV72" s="75" t="str">
        <f t="array" ref="ABV72">INDEX('Port Linkages'!$AK$18:$AK$157,MATCH(2,1/(('Port Linkages'!$C$18:$C$157=$AP72)*('Port Linkages'!$D$18:$D$157=IF($AO72="Yes",$AQ72,$KK72))*('Port Linkages'!$A$18:$A$157&lt;=$C72))))</f>
        <v>VLSFO</v>
      </c>
      <c r="ABW72" s="75" t="str">
        <f t="array" ref="ABW72">INDEX('Port Linkages'!$AL$18:$AL$157,MATCH(2,1/(('Port Linkages'!$C$18:$C$157=$AP72)*('Port Linkages'!$D$18:$D$157=IF($AO72="Yes",$AQ72,$KK72))*('Port Linkages'!$A$18:$A$157&lt;=$C72))))</f>
        <v>MGO_Regular</v>
      </c>
      <c r="ABX72" s="75" t="str">
        <f t="array" ref="ABX72">INDEX('Port Linkages'!$AM$18:$AM$157,MATCH(2,1/(('Port Linkages'!$C$18:$C$157=$AP72)*('Port Linkages'!$D$18:$D$157=IF($AO72="Yes",$AQ72,$KK72))*('Port Linkages'!$A$18:$A$157&lt;=$C72))))</f>
        <v>none</v>
      </c>
      <c r="ABY72" s="75">
        <f t="array" ref="ABY72">INDEX('Port Linkages'!$AN$18:$AN$157,MATCH(2,1/(('Port Linkages'!$C$18:$C$157=$AP72)*('Port Linkages'!$D$18:$D$157=IF($AO72="Yes",$AQ72,$KK72))*('Port Linkages'!$A$18:$A$157&lt;=$C72))))</f>
        <v>2326</v>
      </c>
      <c r="ABZ72" s="75">
        <f t="array" ref="ABZ72">INDEX('Port Linkages'!$AO$18:$AO$157,MATCH(2,1/(('Port Linkages'!$C$18:$C$157=$AP72)*('Port Linkages'!$D$18:$D$157=IF($AO72="Yes",$AQ72,$KK72))*('Port Linkages'!$A$18:$A$157&lt;=$C72))))</f>
        <v>0</v>
      </c>
      <c r="ACA72" s="75" t="str">
        <f t="array" ref="ACA72">INDEX('Port Linkages'!$AP$18:$AP$157,MATCH(2,1/(('Port Linkages'!$C$18:$C$157=$AP72)*('Port Linkages'!$D$18:$D$157=IF($AO72="Yes",$AQ72,$KK72))*('Port Linkages'!$A$18:$A$157&lt;=$C72))))</f>
        <v>Supramax_General</v>
      </c>
      <c r="ACB72" s="75" t="str">
        <f t="array" ref="ACB72">INDEX('Port Linkages'!$AQ$18:$AQ$157,MATCH(2,1/(('Port Linkages'!$C$18:$C$157=$AP72)*('Port Linkages'!$D$18:$D$157=IF($AO72="Yes",$AQ72,$KK72))*('Port Linkages'!$A$18:$A$157&lt;=$C72))))</f>
        <v>Singapore</v>
      </c>
      <c r="ACC72" s="75" t="str">
        <f t="array" ref="ACC72">INDEX('Port Linkages'!$AR$18:$AR$157,MATCH(2,1/(('Port Linkages'!$C$18:$C$157=$AP72)*('Port Linkages'!$D$18:$D$157=IF($AO72="Yes",$AQ72,$KK72))*('Port Linkages'!$A$18:$A$157&lt;=$C72))))</f>
        <v>VLSFO</v>
      </c>
      <c r="ACD72" s="75" t="str">
        <f t="array" ref="ACD72">INDEX('Port Linkages'!$AS$18:$AS$157,MATCH(2,1/(('Port Linkages'!$C$18:$C$157=$AP72)*('Port Linkages'!$D$18:$D$157=IF($AO72="Yes",$AQ72,$KK72))*('Port Linkages'!$A$18:$A$157&lt;=$C72))))</f>
        <v>MGO_Regular</v>
      </c>
      <c r="ACE72" s="75" t="str">
        <f t="array" ref="ACE72">INDEX('Port Linkages'!$AT$18:$AT$157,MATCH(2,1/(('Port Linkages'!$C$18:$C$157=$AP72)*('Port Linkages'!$D$18:$D$157=IF($AO72="Yes",$AQ72,$KK72))*('Port Linkages'!$A$18:$A$157&lt;=$C72))))</f>
        <v>none</v>
      </c>
      <c r="ACF72" s="75">
        <f t="array" ref="ACF72">INDEX('Port Linkages'!$AU$18:$AU$157,MATCH(2,1/(('Port Linkages'!$C$18:$C$157=$AP72)*('Port Linkages'!$D$18:$D$157=IF($AO72="Yes",$AQ72,$KK72))*('Port Linkages'!$A$18:$A$157&lt;=$C72))))</f>
        <v>2326</v>
      </c>
      <c r="ACG72" s="75">
        <f t="array" ref="ACG72">INDEX('Port Linkages'!$AV$18:$AV$157,MATCH(2,1/(('Port Linkages'!$C$18:$C$157=$AP72)*('Port Linkages'!$D$18:$D$157=IF($AO72="Yes",$AQ72,$KK72))*('Port Linkages'!$A$18:$A$157&lt;=$C72))))</f>
        <v>0</v>
      </c>
      <c r="ACH72" s="75" t="str">
        <f t="array" ref="ACH72">INDEX('Port Linkages'!$AW$18:$AW$157,MATCH(2,1/(('Port Linkages'!$C$18:$C$157=$AP72)*('Port Linkages'!$D$18:$D$157=IF($AO72="Yes",$AQ72,$KK72))*('Port Linkages'!$A$18:$A$157&lt;=$C72))))</f>
        <v>Handysize_General</v>
      </c>
      <c r="ACI72" s="75" t="str">
        <f t="array" ref="ACI72">INDEX('Port Linkages'!$AX$18:$AX$157,MATCH(2,1/(('Port Linkages'!$C$18:$C$157=$AP72)*('Port Linkages'!$D$18:$D$157=IF($AO72="Yes",$AQ72,$KK72))*('Port Linkages'!$A$18:$A$157&lt;=$C72))))</f>
        <v>Singapore</v>
      </c>
      <c r="ACJ72" s="75" t="str">
        <f t="array" ref="ACJ72">INDEX('Port Linkages'!$AY$18:$AY$157,MATCH(2,1/(('Port Linkages'!$C$18:$C$157=$AP72)*('Port Linkages'!$D$18:$D$157=IF($AO72="Yes",$AQ72,$KK72))*('Port Linkages'!$A$18:$A$157&lt;=$C72))))</f>
        <v>VLSFO</v>
      </c>
      <c r="ACK72" s="75" t="str">
        <f t="array" ref="ACK72">INDEX('Port Linkages'!$AZ$18:$AZ$157,MATCH(2,1/(('Port Linkages'!$C$18:$C$157=$AP72)*('Port Linkages'!$D$18:$D$157=IF($AO72="Yes",$AQ72,$KK72))*('Port Linkages'!$A$18:$A$157&lt;=$C72))))</f>
        <v>MGO_Regular</v>
      </c>
      <c r="ACL72" s="75" t="str">
        <f t="array" ref="ACL72">INDEX('Port Linkages'!$BA$18:$BA$157,MATCH(2,1/(('Port Linkages'!$C$18:$C$157=$AP72)*('Port Linkages'!$D$18:$D$157=IF($AO72="Yes",$AQ72,$KK72))*('Port Linkages'!$A$18:$A$157&lt;=$C72))))</f>
        <v>none</v>
      </c>
      <c r="ACN72" s="25" t="e">
        <f t="array" aca="1" ref="ACN72" ca="1">INDEX('Ship Fuel Prices'!$F$5:$F$1004,MATCH(2,1/(('Ship Fuel Prices'!$E$5:$E$1004=_xlfn.IFS(AAC72="Handysize",Main!ACI72,AAC72="Supramax",ACB72,AAC72="Panamax",ABU72,AAC72="NeoPanamax",ABN72,AAC72="Suezmax",ABG72,AAC72="Capesize",AAZ72,AAC72="VLOC",AAS72))*('Ship Fuel Prices'!$D$5:$D$1004&lt;=Main!$C72))))</f>
        <v>#N/A</v>
      </c>
      <c r="ACO72" s="25" t="e">
        <f t="array" aca="1" ref="ACO72" ca="1">INDEX('Ship Fuel Prices'!$G$5:$G$1004,MATCH(2,1/(('Ship Fuel Prices'!$E$5:$E$1004=_xlfn.IFS(AAC72="Handysize",Main!ACI72,AAC72="Supramax",ACB72,AAC72="Panamax",ABU72,AAC72="NeoPanamax",ABN72,AAC72="Suezmax",ABG72,AAC72="Capesize",AAZ72,AAC72="VLOC",AAS72))*('Ship Fuel Prices'!$D$5:$D$1004&lt;=Main!$C72))))</f>
        <v>#N/A</v>
      </c>
      <c r="ACP72" s="25" t="e">
        <f t="array" aca="1" ref="ACP72" ca="1">INDEX('Ship Fuel Prices'!$H$5:$H$1004,MATCH(2,1/(('Ship Fuel Prices'!$E$5:$E$1004=_xlfn.IFS(AAC72="Handysize",Main!ACI72,AAC72="Supramax",ACB72,AAC72="Panamax",ABU72,AAC72="NeoPanamax",ABN72,AAC72="Suezmax",ABG72,AAC72="Capesize",AAZ72,AAC72="VLOC",AAS72))*('Ship Fuel Prices'!$D$5:$D$1004&lt;=Main!$C72))))</f>
        <v>#N/A</v>
      </c>
      <c r="ACQ72" s="25" t="e">
        <f t="array" aca="1" ref="ACQ72" ca="1">INDEX('Ship Fuel Prices'!$I$5:$I$1004,MATCH(2,1/(('Ship Fuel Prices'!$E$5:$E$1004=_xlfn.IFS(AAC72="Handysize",Main!ACI72,AAC72="Supramax",ACB72,AAC72="Panamax",ABU72,AAC72="NeoPanamax",ABN72,AAC72="Suezmax",ABG72,AAC72="Capesize",AAZ72,AAC72="VLOC",AAS72))*('Ship Fuel Prices'!$D$5:$D$1004&lt;=Main!$C72))))</f>
        <v>#N/A</v>
      </c>
      <c r="ACR72" s="25" t="e">
        <f t="array" aca="1" ref="ACR72" ca="1">INDEX('Ship Fuel Prices'!$J$5:$J$1004,MATCH(2,1/(('Ship Fuel Prices'!$E$5:$E$1004=_xlfn.IFS(AAC72="Handysize",Main!ACI72,AAC72="Supramax",ACB72,AAC72="Panamax",ABU72,AAC72="NeoPanamax",ABN72,AAC72="Suezmax",ABG72,AAC72="Capesize",AAZ72,AAC72="VLOC",AAS72))*('Ship Fuel Prices'!$D$5:$D$1004&lt;=Main!$C72))))</f>
        <v>#N/A</v>
      </c>
      <c r="ACT72" s="75">
        <f t="array" ref="ACT72">INDEX('China n Importing Ports'!$E$20:$E$41,MATCH(2,1/(('China n Importing Ports'!$D$20:$D$41&lt;=$C72)*('China n Importing Ports'!$C$20:$C$41=IF($AO72="Yes",$AQ72,$KK72)))))</f>
        <v>42500</v>
      </c>
      <c r="ACU72" s="75">
        <f t="array" ref="ACU72">INDEX('China n Importing Ports'!$F$20:$F$41,MATCH(2,1/(('China n Importing Ports'!$D$20:$D$41&lt;=$C72)*('China n Importing Ports'!$C$20:$C$41=IF($AO72="Yes",$AQ72,$KK72)))))</f>
        <v>42500</v>
      </c>
      <c r="ACV72" s="75">
        <f t="array" ref="ACV72">INDEX('China n Importing Ports'!$G$20:$G$41,MATCH(2,1/(('China n Importing Ports'!$D$20:$D$41&lt;=$C72)*('China n Importing Ports'!$C$20:$C$41=IF($AO72="Yes",$AQ72,$KK72)))))</f>
        <v>42500</v>
      </c>
      <c r="ACW72" s="75">
        <f t="array" ref="ACW72">INDEX('China n Importing Ports'!$H$20:$H$41,MATCH(2,1/(('China n Importing Ports'!$D$20:$D$41&lt;=$C72)*('China n Importing Ports'!$C$20:$C$41=IF($AO72="Yes",$AQ72,$KK72)))))</f>
        <v>42500</v>
      </c>
      <c r="ACX72" s="75">
        <f t="array" ref="ACX72">INDEX('China n Importing Ports'!$I$20:$I$41,MATCH(2,1/(('China n Importing Ports'!$D$20:$D$41&lt;=$C72)*('China n Importing Ports'!$C$20:$C$41=IF($AO72="Yes",$AQ72,$KK72)))))</f>
        <v>42500</v>
      </c>
      <c r="ACY72" s="75">
        <f t="array" ref="ACY72">INDEX('China n Importing Ports'!$J$20:$J$41,MATCH(2,1/(('China n Importing Ports'!$D$20:$D$41&lt;=$C72)*('China n Importing Ports'!$C$20:$C$41=IF($AO72="Yes",$AQ72,$KK72)))))</f>
        <v>42500</v>
      </c>
      <c r="ACZ72" s="75">
        <f t="array" ref="ACZ72">INDEX('China n Importing Ports'!$K$20:$K$41,MATCH(2,1/(('China n Importing Ports'!$D$20:$D$41&lt;=$C72)*('China n Importing Ports'!$C$20:$C$41=IF($AO72="Yes",$AQ72,$KK72)))))</f>
        <v>42500</v>
      </c>
      <c r="ADA72" s="75" t="str">
        <f t="array" ref="ADA72">INDEX('China n Importing Ports'!$L$20:$L$41,MATCH(2,1/(('China n Importing Ports'!$D$20:$D$41&lt;=$C72)*('China n Importing Ports'!$C$20:$C$41=IF($AO72="Yes",$AQ72,$KK72)))))</f>
        <v>RMB</v>
      </c>
      <c r="ADB72" s="75">
        <f t="array" ref="ADB72">INDEX('China n Importing Ports'!$M$20:$M$41,MATCH(2,1/(('China n Importing Ports'!$D$20:$D$41&lt;=$C72)*('China n Importing Ports'!$C$20:$C$41=IF($AO72="Yes",$AQ72,$KK72)))))</f>
        <v>12342</v>
      </c>
      <c r="ADC72" s="75">
        <f t="array" ref="ADC72">INDEX('China n Importing Ports'!$N$20:$N$41,MATCH(2,1/(('China n Importing Ports'!$D$20:$D$41&lt;=$C72)*('China n Importing Ports'!$C$20:$C$41=IF($AO72="Yes",$AQ72,$KK72)))))</f>
        <v>0</v>
      </c>
      <c r="ADD72" s="75">
        <f t="array" ref="ADD72">INDEX('China n Importing Ports'!$O$20:$O$41,MATCH(2,1/(('China n Importing Ports'!$D$20:$D$41&lt;=$C72)*('China n Importing Ports'!$C$20:$C$41=IF($AO72="Yes",$AQ72,$KK72)))))</f>
        <v>0</v>
      </c>
      <c r="ADE72" s="136">
        <f t="array" ref="ADE72">INDEX('China n Importing Ports'!$P$20:$P$41,MATCH(2,1/(('China n Importing Ports'!$D$20:$D$41&lt;=$C72)*('China n Importing Ports'!$C$20:$C$41=IF($AO72="Yes",$AQ72,$KK72)))))</f>
        <v>2.64</v>
      </c>
      <c r="ADF72" s="136">
        <f t="array" ref="ADF72">INDEX('China n Importing Ports'!$Q$20:$Q$41,MATCH(2,1/(('China n Importing Ports'!$D$20:$D$41&lt;=$C72)*('China n Importing Ports'!$C$20:$C$41=IF($AO72="Yes",$AQ72,$KK72)))))</f>
        <v>0</v>
      </c>
      <c r="ADG72" s="136">
        <f t="array" ref="ADG72">INDEX('China n Importing Ports'!$R$20:$R$41,MATCH(2,1/(('China n Importing Ports'!$D$20:$D$41&lt;=$C72)*('China n Importing Ports'!$C$20:$C$41=IF($AO72="Yes",$AQ72,$KK72)))))</f>
        <v>0</v>
      </c>
      <c r="ADH72" s="136">
        <f t="array" ref="ADH72">INDEX('China n Importing Ports'!$S$20:$S$41,MATCH(2,1/(('China n Importing Ports'!$D$20:$D$41&lt;=$C72)*('China n Importing Ports'!$C$20:$C$41=IF($AO72="Yes",$AQ72,$KK72)))))</f>
        <v>4.53</v>
      </c>
      <c r="ADI72" s="136">
        <f t="array" ref="ADI72">INDEX('China n Importing Ports'!$T$20:$T$41,MATCH(2,1/(('China n Importing Ports'!$D$20:$D$41&lt;=$C72)*('China n Importing Ports'!$C$20:$C$41=IF($AO72="Yes",$AQ72,$KK72)))))</f>
        <v>0.36699999999999999</v>
      </c>
      <c r="ADJ72" s="136">
        <f t="array" ref="ADJ72">INDEX('China n Importing Ports'!$U$20:$U$41,MATCH(2,1/(('China n Importing Ports'!$D$20:$D$41&lt;=$C72)*('China n Importing Ports'!$C$20:$C$41=IF($AO72="Yes",$AQ72,$KK72)))))</f>
        <v>0.05</v>
      </c>
      <c r="ADK72" s="136">
        <f t="array" ref="ADK72">INDEX('China n Importing Ports'!$V$20:$V$41,MATCH(2,1/(('China n Importing Ports'!$D$20:$D$41&lt;=$C72)*('China n Importing Ports'!$C$20:$C$41=IF($AO72="Yes",$AQ72,$KK72)))))</f>
        <v>0</v>
      </c>
      <c r="ADL72" s="136">
        <f t="array" ref="ADL72">INDEX('China n Importing Ports'!$W$20:$W$41,MATCH(2,1/(('China n Importing Ports'!$D$20:$D$41&lt;=$C72)*('China n Importing Ports'!$C$20:$C$41=IF($AO72="Yes",$AQ72,$KK72)))))</f>
        <v>0</v>
      </c>
      <c r="ADM72" s="136">
        <f t="array" ref="ADM72">INDEX('China n Importing Ports'!$X$20:$X$41,MATCH(2,1/(('China n Importing Ports'!$D$20:$D$41&lt;=$C72)*('China n Importing Ports'!$C$20:$C$41=IF($AO72="Yes",$AQ72,$KK72)))))</f>
        <v>0</v>
      </c>
      <c r="ADN72" s="136">
        <f t="array" ref="ADN72">INDEX('China n Importing Ports'!$Y$20:$Y$41,MATCH(2,1/(('China n Importing Ports'!$D$20:$D$41&lt;=$C72)*('China n Importing Ports'!$C$20:$C$41=IF($AO72="Yes",$AQ72,$KK72)))))</f>
        <v>197</v>
      </c>
      <c r="ADO72" s="136">
        <f t="array" ref="ADO72">INDEX('China n Importing Ports'!$Z$20:$Z$41,MATCH(2,1/(('China n Importing Ports'!$D$20:$D$41&lt;=$C72)*('China n Importing Ports'!$C$20:$C$41=IF($AO72="Yes",$AQ72,$KK72)))))</f>
        <v>0</v>
      </c>
      <c r="ADP72" s="136">
        <f t="array" ref="ADP72">INDEX('China n Importing Ports'!$AA$20:$AA$41,MATCH(2,1/(('China n Importing Ports'!$D$20:$D$41&lt;=$C72)*('China n Importing Ports'!$C$20:$C$41=IF($AO72="Yes",$AQ72,$KK72)))))</f>
        <v>0</v>
      </c>
      <c r="ADR72" s="75" t="e">
        <f t="array" aca="1" ref="ADR72" ca="1">INDEX(Canals!$G$24:$G$29,MATCH(2,1/((Canals!$F$24:$F$29&lt;=$C72)*(Canals!$G$24:$G$29=_xlfn.IFS(AAC72="Handysize",Main!ACL72,AAC72="Supramax",ACE72,AAC72="Panamax",ABX72,AAC72="NeoPanamax",ABQ72,AAC72="Suezmax",ABJ72,AAC72="Capesize",ABC72,AAC72="VLOC",AAV72)))))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S72" s="75" t="e">
        <f t="array" aca="1" ref="ADS72" ca="1">INDEX(Canals!$H$24:$H$29,MATCH(2,1/((Canals!$F$24:$F$29&lt;=$C72)*(Canals!$G$24:$G$29=_xlfn.IFS(AAC72="Handysize",Main!ACL72,AAC72="Supramax",ACE72,AAC72="Panamax",ABX72,AAC72="NeoPanamax",ABQ72,AAC72="Suezmax",ABJ72,AAC72="Capesize",ABC72,AAC72="VLOC",AAV72)))))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T72" s="75" t="e">
        <f t="array" aca="1" ref="ADT72" ca="1">INDEX(Canals!$I$24:$I$29,MATCH(2,1/((Canals!$F$24:$F$29&lt;=$C72)*(Canals!$G$24:$G$29=_xlfn.IFS(AAC72="Handysize",Main!ACL72,AAC72="Supramax",ACE72,AAC72="Panamax",ABX72,AAC72="NeoPanamax",ABQ72,AAC72="Suezmax",ABJ72,AAC72="Capesize",ABC72,AAC72="VLOC",AAV72)))))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U72" s="75" t="e">
        <f t="array" aca="1" ref="ADU72" ca="1">INDEX(Canals!$J$24:$J$29,MATCH(2,1/((Canals!$F$24:$F$29&lt;=$C72)*(Canals!$G$24:$G$29=_xlfn.IFS(AAC72="Handysize",Main!ACL72,AAC72="Supramax",ACE72,AAC72="Panamax",ABX72,AAC72="NeoPanamax",ABQ72,AAC72="Suezmax",ABJ72,AAC72="Capesize",ABC72,AAC72="VLOC",AAV72)))))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V72" s="75" t="e">
        <f t="array" aca="1" ref="ADV72" ca="1">INDEX(Canals!$K$24:$K$29,MATCH(2,1/((Canals!$F$24:$F$29&lt;=$C72)*(Canals!$G$24:$G$29=_xlfn.IFS(AAC72="Handysize",Main!ACL72,AAC72="Supramax",ACE72,AAC72="Panamax",ABX72,AAC72="NeoPanamax",ABQ72,AAC72="Suezmax",ABJ72,AAC72="Capesize",ABC72,AAC72="VLOC",AAV72)))))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W72" s="75" t="e">
        <f t="array" aca="1" ref="ADW72" ca="1">INDEX(Canals!$L$24:$L$29,MATCH(2,1/((Canals!$F$24:$F$29&lt;=$C72)*(Canals!$G$24:$G$29=_xlfn.IFS(AAC72="Handysize",Main!ACL72,AAC72="Supramax",ACE72,AAC72="Panamax",ABX72,AAC72="NeoPanamax",ABQ72,AAC72="Suezmax",ABJ72,AAC72="Capesize",ABC72,AAC72="VLOC",AAV72)))))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X72" s="75" t="e">
        <f t="array" aca="1" ref="ADX72" ca="1">INDEX(Canals!$M$24:$M$29,MATCH(2,1/((Canals!$F$24:$F$29&lt;=$C72)*(Canals!$G$24:$G$29=_xlfn.IFS(AAC72="Handysize",Main!ACL72,AAC72="Supramax",ACE72,AAC72="Panamax",ABX72,AAC72="NeoPanamax",ABQ72,AAC72="Suezmax",ABJ72,AAC72="Capesize",ABC72,AAC72="VLOC",AAV72)))))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Y72" s="75" t="e">
        <f t="array" aca="1" ref="ADY72" ca="1">INDEX(Canals!$N$24:$N$29,MATCH(2,1/((Canals!$F$24:$F$29&lt;=$C72)*(Canals!$G$24:$G$29=_xlfn.IFS(AAC72="Handysize",Main!ACL72,AAC72="Supramax",ACE72,AAC72="Panamax",ABX72,AAC72="NeoPanamax",ABQ72,AAC72="Suezmax",ABJ72,AAC72="Capesize",ABC72,AAC72="VLOC",AAV72)))))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DZ72" s="75" t="e">
        <f t="array" aca="1" ref="ADZ72" ca="1">INDEX(Canals!$O$24:$O$29,MATCH(2,1/((Canals!$F$24:$F$29&lt;=$C72)*(Canals!$G$24:$G$29=_xlfn.IFS(AAC72="Handysize",Main!ACL72,AAC72="Supramax",ACE72,AAC72="Panamax",ABX72,AAC72="NeoPanamax",ABQ72,AAC72="Suezmax",ABJ72,AAC72="Capesize",ABC72,AAC72="VLOC",AAV72)))))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A72" s="75" t="e">
        <f t="array" aca="1" ref="AEA72" ca="1">INDEX(Canals!$P$24:$P$29,MATCH(2,1/((Canals!$F$24:$F$29&lt;=$C72)*(Canals!$G$24:$G$29=_xlfn.IFS(AAC72="Handysize",Main!ACL72,AAC72="Supramax",ACE72,AAC72="Panamax",ABX72,AAC72="NeoPanamax",ABQ72,AAC72="Suezmax",ABJ72,AAC72="Capesize",ABC72,AAC72="VLOC",AAV72)))))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B72" s="75" t="e">
        <f t="array" aca="1" ref="AEB72" ca="1">INDEX(Canals!$Q$24:$Q$29,MATCH(2,1/((Canals!$F$24:$F$29&lt;=$C72)*(Canals!$G$24:$G$29=_xlfn.IFS(AAC72="Handysize",Main!ACL72,AAC72="Supramax",ACE72,AAC72="Panamax",ABX72,AAC72="NeoPanamax",ABQ72,AAC72="Suezmax",ABJ72,AAC72="Capesize",ABC72,AAC72="VLOC",AAV72)))))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C72" s="75" t="e">
        <f t="array" aca="1" ref="AEC72" ca="1">INDEX(Canals!$R$24:$R$29,MATCH(2,1/((Canals!$F$24:$F$29&lt;=$C72)*(Canals!$G$24:$G$29=_xlfn.IFS(AAC72="Handysize",Main!ACL72,AAC72="Supramax",ACE72,AAC72="Panamax",ABX72,AAC72="NeoPanamax",ABQ72,AAC72="Suezmax",ABJ72,AAC72="Capesize",ABC72,AAC72="VLOC",AAV72)))))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D72" s="136" t="e">
        <f t="array" aca="1" ref="AED72" ca="1">INDEX(Canals!$S$24:$S$29,MATCH(2,1/((Canals!$F$24:$F$29&lt;=$C72)*(Canals!$G$24:$G$29=_xlfn.IFS(AAC72="Handysize",Main!ACL72,AAC72="Supramax",ACE72,AAC72="Panamax",ABX72,AAC72="NeoPanamax",ABQ72,AAC72="Suezmax",ABJ72,AAC72="Capesize",ABC72,AAC72="VLOC",AAV72)))))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E72" s="136" t="e">
        <f t="array" aca="1" ref="AEE72" ca="1">INDEX(Canals!$T$24:$T$29,MATCH(2,1/((Canals!$F$24:$F$29&lt;=$C72)*(Canals!$G$24:$G$29=_xlfn.IFS(AAC72="Handysize",Main!ACL72,AAC72="Supramax",ACE72,AAC72="Panamax",ABX72,AAC72="NeoPanamax",ABQ72,AAC72="Suezmax",ABJ72,AAC72="Capesize",ABC72,AAC72="VLOC",AAV72)))))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F72" s="136" t="e">
        <f t="array" aca="1" ref="AEF72" ca="1">INDEX(Canals!$U$24:$U$29,MATCH(2,1/((Canals!$F$24:$F$29&lt;=$C72)*(Canals!$G$24:$G$29=_xlfn.IFS(AAC72="Handysize",Main!ACL72,AAC72="Supramax",ACE72,AAC72="Panamax",ABX72,AAC72="NeoPanamax",ABQ72,AAC72="Suezmax",ABJ72,AAC72="Capesize",ABC72,AAC72="VLOC",AAV72)))))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G72" s="136" t="e">
        <f t="array" aca="1" ref="AEG72" ca="1">INDEX(Canals!$V$24:$V$29,MATCH(2,1/((Canals!$F$24:$F$29&lt;=$C72)*(Canals!$G$24:$G$29=_xlfn.IFS(AAC72="Handysize",Main!ACL72,AAC72="Supramax",ACE72,AAC72="Panamax",ABX72,AAC72="NeoPanamax",ABQ72,AAC72="Suezmax",ABJ72,AAC72="Capesize",ABC72,AAC72="VLOC",AAV72)))))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H72" s="136" t="e">
        <f t="array" aca="1" ref="AEH72" ca="1">INDEX(Canals!$W$24:$W$29,MATCH(2,1/((Canals!$F$24:$F$29&lt;=$C72)*(Canals!$G$24:$G$29=_xlfn.IFS(AAC72="Handysize",Main!ACL72,AAC72="Supramax",ACE72,AAC72="Panamax",ABX72,AAC72="NeoPanamax",ABQ72,AAC72="Suezmax",ABJ72,AAC72="Capesize",ABC72,AAC72="VLOC",AAV72)))))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I72" s="136" t="e">
        <f t="array" aca="1" ref="AEI72" ca="1">INDEX(Canals!$X$24:$X$29,MATCH(2,1/((Canals!$F$24:$F$29&lt;=$C72)*(Canals!$G$24:$G$29=_xlfn.IFS(AAC72="Handysize",Main!ACL72,AAC72="Supramax",ACE72,AAC72="Panamax",ABX72,AAC72="NeoPanamax",ABQ72,AAC72="Suezmax",ABJ72,AAC72="Capesize",ABC72,AAC72="VLOC",AAV72)))))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J72" s="136" t="e">
        <f t="array" aca="1" ref="AEJ72" ca="1">INDEX(Canals!$Y$24:$Y$29,MATCH(2,1/((Canals!$F$24:$F$29&lt;=$C72)*(Canals!$G$24:$G$29=_xlfn.IFS(AAC72="Handysize",Main!ACL72,AAC72="Supramax",ACE72,AAC72="Panamax",ABX72,AAC72="NeoPanamax",ABQ72,AAC72="Suezmax",ABJ72,AAC72="Capesize",ABC72,AAC72="VLOC",AAV72)))))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K72" s="136" t="e">
        <f t="array" aca="1" ref="AEK72" ca="1">INDEX(Canals!$Z$24:$Z$29,MATCH(2,1/((Canals!$F$24:$F$29&lt;=$C72)*(Canals!$G$24:$G$29=_xlfn.IFS(AAC72="Handysize",Main!ACL72,AAC72="Supramax",ACE72,AAC72="Panamax",ABX72,AAC72="NeoPanamax",ABQ72,AAC72="Suezmax",ABJ72,AAC72="Capesize",ABC72,AAC72="VLOC",AAV72)))))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L72" s="136" t="e">
        <f t="array" aca="1" ref="AEL72" ca="1">INDEX(Canals!$AA$24:$AA$29,MATCH(2,1/((Canals!$F$24:$F$29&lt;=$C72)*(Canals!$G$24:$G$29=_xlfn.IFS(AAC72="Handysize",Main!ACL72,AAC72="Supramax",ACE72,AAC72="Panamax",ABX72,AAC72="NeoPanamax",ABQ72,AAC72="Suezmax",ABJ72,AAC72="Capesize",ABC72,AAC72="VLOC",AAV72)))))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M72" s="136" t="e">
        <f t="array" aca="1" ref="AEM72" ca="1">INDEX(Canals!$AB$24:$AB$29,MATCH(2,1/((Canals!$F$24:$F$29&lt;=$C72)*(Canals!$G$24:$G$29=_xlfn.IFS(AAC72="Handysize",Main!ACL72,AAC72="Supramax",ACE72,AAC72="Panamax",ABX72,AAC72="NeoPanamax",ABQ72,AAC72="Suezmax",ABJ72,AAC72="Capesize",ABC72,AAC72="VLOC",AAV72)))))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N72" s="75" t="e">
        <f t="array" aca="1" ref="AEN72" ca="1">INDEX(Canals!$AC$24:$AC$29,MATCH(2,1/((Canals!$F$24:$F$29&lt;=$C72)*(Canals!$G$24:$G$29=_xlfn.IFS(AAC72="Handysize",Main!ACL72,AAC72="Supramax",ACE72,AAC72="Panamax",ABX72,AAC72="NeoPanamax",ABQ72,AAC72="Suezmax",ABJ72,AAC72="Capesize",ABC72,AAC72="VLOC",AAV72)))))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O72" s="75" t="e">
        <f t="array" aca="1" ref="AEO72" ca="1">INDEX(Canals!$AD$24:$AD$29,MATCH(2,1/((Canals!$F$24:$F$29&lt;=$C72)*(Canals!$G$24:$G$29=_xlfn.IFS(AAC72="Handysize",Main!ACL72,AAC72="Supramax",ACE72,AAC72="Panamax",ABX72,AAC72="NeoPanamax",ABQ72,AAC72="Suezmax",ABJ72,AAC72="Capesize",ABC72,AAC72="VLOC",AAV72)))))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P72" s="75" t="e">
        <f t="array" aca="1" ref="AEP72" ca="1">INDEX(Canals!$AE$24:$AE$29,MATCH(2,1/((Canals!$F$24:$F$29&lt;=$C72)*(Canals!$G$24:$G$29=_xlfn.IFS(AAC72="Handysize",Main!ACL72,AAC72="Supramax",ACE72,AAC72="Panamax",ABX72,AAC72="NeoPanamax",ABQ72,AAC72="Suezmax",ABJ72,AAC72="Capesize",ABC72,AAC72="VLOC",AAV72)))))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Q72" s="75" t="e">
        <f t="array" aca="1" ref="AEQ72" ca="1">INDEX(Canals!$AF$24:$AF$29,MATCH(2,1/((Canals!$F$24:$F$29&lt;=$C72)*(Canals!$G$24:$G$29=_xlfn.IFS(AAC72="Handysize",Main!ACL72,AAC72="Supramax",ACE72,AAC72="Panamax",ABX72,AAC72="NeoPanamax",ABQ72,AAC72="Suezmax",ABJ72,AAC72="Capesize",ABC72,AAC72="VLOC",AAV72)))))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R72" s="75" t="e">
        <f t="array" aca="1" ref="AER72" ca="1">INDEX(Canals!$AG$24:$AG$29,MATCH(2,1/((Canals!$F$24:$F$29&lt;=$C72)*(Canals!$G$24:$G$29=_xlfn.IFS(AAC72="Handysize",Main!ACL72,AAC72="Supramax",ACE72,AAC72="Panamax",ABX72,AAC72="NeoPanamax",ABQ72,AAC72="Suezmax",ABJ72,AAC72="Capesize",ABC72,AAC72="VLOC",AAV72)))))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S72" s="75" t="e">
        <f t="array" aca="1" ref="AES72" ca="1">INDEX(Canals!$AH$24:$AH$29,MATCH(2,1/((Canals!$F$24:$F$29&lt;=$C72)*(Canals!$G$24:$G$29=_xlfn.IFS(AAC72="Handysize",Main!ACL72,AAC72="Supramax",ACE72,AAC72="Panamax",ABX72,AAC72="NeoPanamax",ABQ72,AAC72="Suezmax",ABJ72,AAC72="Capesize",ABC72,AAC72="VLOC",AAV72)))))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T72" s="75" t="e">
        <f t="array" aca="1" ref="AET72" ca="1">INDEX(Canals!$AI$24:$AI$29,MATCH(2,1/((Canals!$F$24:$F$29&lt;=$C72)*(Canals!$G$24:$G$29=_xlfn.IFS(AAC72="Handysize",Main!ACL72,AAC72="Supramax",ACE72,AAC72="Panamax",ABX72,AAC72="NeoPanamax",ABQ72,AAC72="Suezmax",ABJ72,AAC72="Capesize",ABC72,AAC72="VLOC",AAV72)))))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U72" s="75" t="e">
        <f t="array" aca="1" ref="AEU72" ca="1">INDEX(Canals!$AJ$24:$AJ$29,MATCH(2,1/((Canals!$F$24:$F$29&lt;=$C72)*(Canals!$G$24:$G$29=_xlfn.IFS(AAC72="Handysize",Main!ACL72,AAC72="Supramax",ACE72,AAC72="Panamax",ABX72,AAC72="NeoPanamax",ABQ72,AAC72="Suezmax",ABJ72,AAC72="Capesize",ABC72,AAC72="VLOC",AAV72)))))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V72" s="75" t="e">
        <f t="array" aca="1" ref="AEV72" ca="1">INDEX(Canals!$AK$24:$AK$29,MATCH(2,1/((Canals!$F$24:$F$29&lt;=$C72)*(Canals!$G$24:$G$29=_xlfn.IFS(AAC72="Handysize",Main!ACL72,AAC72="Supramax",ACE72,AAC72="Panamax",ABX72,AAC72="NeoPanamax",ABQ72,AAC72="Suezmax",ABJ72,AAC72="Capesize",ABC72,AAC72="VLOC",AAV72)))))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W72" s="136" t="e">
        <f t="array" aca="1" ref="AEW72" ca="1">INDEX(Canals!$AL$24:$AL$29,MATCH(2,1/((Canals!$F$24:$F$29&lt;=$C72)*(Canals!$G$24:$G$29=_xlfn.IFS(AAC72="Handysize",Main!ACL72,AAC72="Supramax",ACE72,AAC72="Panamax",ABX72,AAC72="NeoPanamax",ABQ72,AAC72="Suezmax",ABJ72,AAC72="Capesize",ABC72,AAC72="VLOC",AAV72)))))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X72" s="136" t="e">
        <f t="array" aca="1" ref="AEX72" ca="1">INDEX(Canals!$AM$24:$AM$29,MATCH(2,1/((Canals!$F$24:$F$29&lt;=$C72)*(Canals!$G$24:$G$29=_xlfn.IFS(AAC72="Handysize",Main!ACL72,AAC72="Supramax",ACE72,AAC72="Panamax",ABX72,AAC72="NeoPanamax",ABQ72,AAC72="Suezmax",ABJ72,AAC72="Capesize",ABC72,AAC72="VLOC",AAV72)))))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Y72" s="136" t="e">
        <f t="array" aca="1" ref="AEY72" ca="1">INDEX(Canals!$AN$24:$AN$29,MATCH(2,1/((Canals!$F$24:$F$29&lt;=$C72)*(Canals!$G$24:$G$29=_xlfn.IFS(AAC72="Handysize",Main!ACL72,AAC72="Supramax",ACE72,AAC72="Panamax",ABX72,AAC72="NeoPanamax",ABQ72,AAC72="Suezmax",ABJ72,AAC72="Capesize",ABC72,AAC72="VLOC",AAV72)))))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EZ72" s="136" t="e">
        <f t="array" aca="1" ref="AEZ72" ca="1">INDEX(Canals!$AO$24:$AO$29,MATCH(2,1/((Canals!$F$24:$F$29&lt;=$C72)*(Canals!$G$24:$G$29=_xlfn.IFS(AAC72="Handysize",Main!ACL72,AAC72="Supramax",ACE72,AAC72="Panamax",ABX72,AAC72="NeoPanamax",ABQ72,AAC72="Suezmax",ABJ72,AAC72="Capesize",ABC72,AAC72="VLOC",AAV72)))))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A72" s="136" t="e">
        <f t="array" aca="1" ref="AFA72" ca="1">INDEX(Canals!$AP$24:$AP$29,MATCH(2,1/((Canals!$F$24:$F$29&lt;=$C72)*(Canals!$G$24:$G$29=_xlfn.IFS(AAC72="Handysize",Main!ACL72,AAC72="Supramax",ACE72,AAC72="Panamax",ABX72,AAC72="NeoPanamax",ABQ72,AAC72="Suezmax",ABJ72,AAC72="Capesize",ABC72,AAC72="VLOC",AAV72)))))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B72" s="136" t="e">
        <f t="array" aca="1" ref="AFB72" ca="1">INDEX(Canals!$AQ$24:$AQ$29,MATCH(2,1/((Canals!$F$24:$F$29&lt;=$C72)*(Canals!$G$24:$G$29=_xlfn.IFS(AAC72="Handysize",Main!ACL72,AAC72="Supramax",ACE72,AAC72="Panamax",ABX72,AAC72="NeoPanamax",ABQ72,AAC72="Suezmax",ABJ72,AAC72="Capesize",ABC72,AAC72="VLOC",AAV72)))))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C72" s="136" t="e">
        <f t="array" aca="1" ref="AFC72" ca="1">INDEX(Canals!$AR$24:$AR$29,MATCH(2,1/((Canals!$F$24:$F$29&lt;=$C72)*(Canals!$G$24:$G$29=_xlfn.IFS(AAC72="Handysize",Main!ACL72,AAC72="Supramax",ACE72,AAC72="Panamax",ABX72,AAC72="NeoPanamax",ABQ72,AAC72="Suezmax",ABJ72,AAC72="Capesize",ABC72,AAC72="VLOC",AAV72)))))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D72" s="136" t="e">
        <f t="array" aca="1" ref="AFD72" ca="1">INDEX(Canals!$AS$24:$AS$29,MATCH(2,1/((Canals!$F$24:$F$29&lt;=$C72)*(Canals!$G$24:$G$29=_xlfn.IFS(AAC72="Handysize",Main!ACL72,AAC72="Supramax",ACE72,AAC72="Panamax",ABX72,AAC72="NeoPanamax",ABQ72,AAC72="Suezmax",ABJ72,AAC72="Capesize",ABC72,AAC72="VLOC",AAV72)))))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E72" s="136" t="e">
        <f t="array" aca="1" ref="AFE72" ca="1">INDEX(Canals!$AT$24:$AT$29,MATCH(2,1/((Canals!$F$24:$F$29&lt;=$C72)*(Canals!$G$24:$G$29=_xlfn.IFS(AAC72="Handysize",Main!ACL72,AAC72="Supramax",ACE72,AAC72="Panamax",ABX72,AAC72="NeoPanamax",ABQ72,AAC72="Suezmax",ABJ72,AAC72="Capesize",ABC72,AAC72="VLOC",AAV72)))))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F72" s="136" t="e">
        <f t="array" aca="1" ref="AFF72" ca="1">INDEX(Canals!$AU$24:$AU$29,MATCH(2,1/((Canals!$F$24:$F$29&lt;=$C72)*(Canals!$G$24:$G$29=_xlfn.IFS(AAC72="Handysize",Main!ACL72,AAC72="Supramax",ACE72,AAC72="Panamax",ABX72,AAC72="NeoPanamax",ABQ72,AAC72="Suezmax",ABJ72,AAC72="Capesize",ABC72,AAC72="VLOC",AAV72)))))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G72" s="136" t="e">
        <f t="array" aca="1" ref="AFG72" ca="1">INDEX(Canals!$AV$24:$AV$29,MATCH(2,1/((Canals!$F$24:$F$29&lt;=$C72)*(Canals!$G$24:$G$29=_xlfn.IFS(AAC72="Handysize",Main!ACL72,AAC72="Supramax",ACE72,AAC72="Panamax",ABX72,AAC72="NeoPanamax",ABQ72,AAC72="Suezmax",ABJ72,AAC72="Capesize",ABC72,AAC72="VLOC",AAV72)))))</f>
        <v>#N/A</v>
      </c>
      <c r="AFI72" s="75" t="e">
        <f t="array" aca="1" ref="AFI72" ca="1">_xlfn.IFS(ADT72="DWT",AAA72,ADT72="NRT",AAE72,ADT72="GRT",AAF72)</f>
        <v>#NAME?</v>
      </c>
      <c r="AFJ72" s="279" t="e">
        <f t="shared" ca="1" si="890"/>
        <v>#NAME?</v>
      </c>
      <c r="AFK72" s="280" t="e">
        <f t="shared" ca="1" si="891"/>
        <v>#NAME?</v>
      </c>
      <c r="AFL72" s="280" t="e">
        <f t="shared" ca="1" si="892"/>
        <v>#NAME?</v>
      </c>
      <c r="AFM72" s="280" t="e">
        <f t="shared" ca="1" si="893"/>
        <v>#NAME?</v>
      </c>
      <c r="AFN72" s="280" t="e">
        <f t="shared" ca="1" si="894"/>
        <v>#NAME?</v>
      </c>
      <c r="AFO72" s="280" t="e">
        <f t="shared" ca="1" si="895"/>
        <v>#NAME?</v>
      </c>
      <c r="AFP72" s="280" t="e">
        <f t="shared" ca="1" si="896"/>
        <v>#NAME?</v>
      </c>
      <c r="AFQ72" s="280" t="e">
        <f t="shared" ca="1" si="897"/>
        <v>#NAME?</v>
      </c>
      <c r="AFR72" s="280" t="e">
        <f t="shared" ca="1" si="898"/>
        <v>#NAME?</v>
      </c>
      <c r="AFS72" s="75">
        <f t="shared" si="899"/>
        <v>81052.631578947374</v>
      </c>
      <c r="AFT72" s="279" t="e">
        <f t="shared" ca="1" si="900"/>
        <v>#N/A</v>
      </c>
      <c r="AFU72" s="280" t="e">
        <f t="shared" ca="1" si="901"/>
        <v>#N/A</v>
      </c>
      <c r="AFV72" s="280" t="e">
        <f t="shared" ca="1" si="902"/>
        <v>#N/A</v>
      </c>
      <c r="AFW72" s="280" t="e">
        <f t="shared" ca="1" si="903"/>
        <v>#N/A</v>
      </c>
      <c r="AFX72" s="280" t="e">
        <f t="shared" ca="1" si="904"/>
        <v>#N/A</v>
      </c>
      <c r="AFY72" s="280" t="e">
        <f t="shared" ca="1" si="905"/>
        <v>#N/A</v>
      </c>
      <c r="AFZ72" s="280" t="e">
        <f t="shared" ca="1" si="906"/>
        <v>#N/A</v>
      </c>
      <c r="AGA72" s="280" t="e">
        <f t="shared" ca="1" si="907"/>
        <v>#N/A</v>
      </c>
      <c r="AGB72" s="280" t="e">
        <f t="shared" ca="1" si="908"/>
        <v>#N/A</v>
      </c>
      <c r="AGD72" s="75" t="e">
        <f t="array" aca="1" ref="AGD72" ca="1">_xlfn.IFS(AAC72="Handysize",Main!ACF72,AAC72="Supramax",ABY72,AAC72="Panamax",ABR72,AAC72="NeoPanamax",ABK72,AAC72="Suezmax",ABD72,AAC72="Capesize",AAW72,AAC72="VLOC",AAP72)*$JI72</f>
        <v>#NAME?</v>
      </c>
      <c r="AGE72" s="274" t="e">
        <f t="array" aca="1" ref="AGE72" ca="1">_xlfn.IFS(AAC72="Handysize",Main!ACG72,AAC72="Supramax",ABZ72,AAC72="Panamax",ABS72,AAC72="NeoPanamax",ABL72,AAC72="Suezmax",ABE72,AAC72="Capesize",AAX72,AAC72="VLOC",AAQ72)*$JI72</f>
        <v>#NAME?</v>
      </c>
      <c r="AGF72" s="71" t="e">
        <f t="array" aca="1" ref="AGF72" ca="1">_xlfn.IFS(AAC72="Handysize",Main!AAH72,AAC72="Supramax",AAI72,AAC72="Panamax",AAJ72,AAC72="NeoPanamax",AAK72,AAC72="Suezmax",AAL72,AAC72="Capesize",AAM72,AAC72="VLOC",AAN72)</f>
        <v>#NAME?</v>
      </c>
      <c r="AGG72" s="71" t="e">
        <f t="array" aca="1" ref="AGG72" ca="1">_xlfn.IFS(AAC72="Handysize",Main!ACT72,AAC72="Supramax",ACU72,AAC72="Panamax",ACV72,AAC72="NeoPanamax",ACW72,AAC72="Suezmax",ACX72,AAC72="Capesize",ACY72,AAC72="VLOC",ACZ72)</f>
        <v>#NAME?</v>
      </c>
      <c r="AGH72" s="70">
        <f t="array" ref="AGH72">INDEX('Ship Speeds'!$G$11:$G$1011,MATCH(2,1/(('Ship Speeds'!$E$11:$E$1011&lt;=Main!$C72)*('Ship Speeds'!$F$11:$F$1011=Main!AAB72))))</f>
        <v>11</v>
      </c>
      <c r="AGI72" s="403">
        <f t="shared" si="909"/>
        <v>22.103418307276918</v>
      </c>
      <c r="AGJ72" s="401">
        <f t="shared" si="910"/>
        <v>2.087838056680162</v>
      </c>
      <c r="AGK72" s="70" t="e">
        <f t="shared" ca="1" si="911"/>
        <v>#NAME?</v>
      </c>
      <c r="AGL72" s="70" t="e">
        <f t="shared" ca="1" si="912"/>
        <v>#NAME?</v>
      </c>
      <c r="AGM72" s="70" t="e">
        <f t="shared" ca="1" si="913"/>
        <v>#NAME?</v>
      </c>
      <c r="AGN72" s="70" t="e">
        <f t="shared" ca="1" si="914"/>
        <v>#NAME?</v>
      </c>
      <c r="AGO72" s="72" t="e">
        <f t="shared" ca="1" si="915"/>
        <v>#N/A</v>
      </c>
      <c r="AGP72" s="70" t="e">
        <f t="shared" ca="1" si="916"/>
        <v>#NAME?</v>
      </c>
      <c r="AGQ72" s="70" t="e">
        <f t="array" aca="1" ref="AGQ72" ca="1">INDEX(ACN72:ACR72,MATCH(_xlfn.IFS(AAC72="Handysize",Main!ACJ72,AAC72="Supramax",ACC72,AAC72="Panamax",ABV72,AAC72="NeoPanamax",ABO72,AAC72="Suezmax",ABH72,AAC72="Capesize",ABA72,AAC72="VLOC",AAT72),$ACN$7:$ACR$7,0))</f>
        <v>#NAME?</v>
      </c>
      <c r="AGR72" s="70" t="e">
        <f t="array" aca="1" ref="AGR72" ca="1">INDEX(ACN72:ACR72,MATCH(_xlfn.IFS(AAC72="Handysize",Main!ACK72,AAC72="Supramax",ACD72,AAC72="Panamax",ABW72,AAC72="NeoPanamax",ABP72,AAC72="Suezmax",ABI72,AAC72="Capesize",ABB72,AAC72="VLOC",AAU72),$ACN$7:$ACR$7,0))</f>
        <v>#NAME?</v>
      </c>
      <c r="AGS72" s="71" t="e">
        <f t="shared" ca="1" si="917"/>
        <v>#NAME?</v>
      </c>
      <c r="AGT72" s="71" t="e">
        <f t="shared" ca="1" si="918"/>
        <v>#NAME?</v>
      </c>
      <c r="AGU72" s="281">
        <f t="shared" si="919"/>
        <v>7.0834199999999994</v>
      </c>
      <c r="AGV72" s="71">
        <f t="shared" si="920"/>
        <v>1742.3786814843679</v>
      </c>
      <c r="AGW72" s="71" t="e">
        <f t="shared" ca="1" si="921"/>
        <v>#NAME?</v>
      </c>
      <c r="AGX72" s="71" t="e">
        <f t="shared" ca="1" si="922"/>
        <v>#NAME?</v>
      </c>
      <c r="AGY72" s="71">
        <f t="shared" si="923"/>
        <v>30208.422960719694</v>
      </c>
      <c r="AGZ72" s="71" t="e">
        <f t="shared" ca="1" si="924"/>
        <v>#NAME?</v>
      </c>
      <c r="AHA72" s="71" t="e">
        <f t="shared" ca="1" si="925"/>
        <v>#NAME?</v>
      </c>
      <c r="AHB72" s="71">
        <f t="shared" si="926"/>
        <v>21446.360736311224</v>
      </c>
      <c r="AHC72" s="71" t="e">
        <f t="shared" ca="1" si="927"/>
        <v>#NAME?</v>
      </c>
      <c r="AHD72" s="71" t="e">
        <f t="shared" ca="1" si="928"/>
        <v>#NAME?</v>
      </c>
      <c r="AHE72" s="71">
        <f t="shared" si="929"/>
        <v>0</v>
      </c>
      <c r="AHF72" s="71" t="e">
        <f t="shared" ca="1" si="930"/>
        <v>#NAME?</v>
      </c>
      <c r="AHG72" s="71" t="e">
        <f t="shared" ca="1" si="931"/>
        <v>#NAME?</v>
      </c>
      <c r="AHH72" s="72">
        <f t="shared" si="932"/>
        <v>6075.774983325663</v>
      </c>
      <c r="AHI72" s="72" t="e">
        <f t="shared" ca="1" si="933"/>
        <v>#NAME?</v>
      </c>
      <c r="AHJ72" s="71" t="e">
        <f t="shared" ca="1" si="934"/>
        <v>#NAME?</v>
      </c>
      <c r="AHK72" s="71" t="e">
        <f t="array" aca="1" ref="AHK72" ca="1">INDEX('Ship Time Charter Rates'!$H$22:$H$1021,MATCH(2,1/(('Ship Time Charter Rates'!$G$22:$G$1021=_xlfn.IFS(AAC72="Handysize",Main!ACH72,AAC72="Supramax",ACA72,AAC72="Panamax",ABT72,AAC72="NeoPanamax",ABM72,AAC72="Suezmax",ABF72,AAC72="Capesize",AAY72,AAC72="VLOC",AAR72))*('Ship Time Charter Rates'!$E$22:$E$1021&lt;=Main!$C72)*(NOT(ISBLANK('Ship Time Charter Rates'!$H$22:$H$1021))))))</f>
        <v>#N/A</v>
      </c>
      <c r="AHL72" s="71" t="e">
        <f t="shared" ca="1" si="935"/>
        <v>#NAME?</v>
      </c>
      <c r="AHM72" s="70" t="e">
        <f t="shared" ca="1" si="936"/>
        <v>#N/A</v>
      </c>
      <c r="AHN72" s="71" t="e">
        <f t="shared" ca="1" si="937"/>
        <v>#NAME?</v>
      </c>
      <c r="AHO72" s="71" t="e">
        <f t="shared" ca="1" si="938"/>
        <v>#NAME?</v>
      </c>
      <c r="AHP72" s="72" t="e">
        <f t="shared" ca="1" si="939"/>
        <v>#NAME?</v>
      </c>
      <c r="AHR72" s="25">
        <f t="shared" si="940"/>
        <v>0</v>
      </c>
      <c r="AHS72" s="4" t="str">
        <f>VLOOKUP(AHR72,'Ship Time Charter Rates'!$F$10:$G$17,2,TRUE)</f>
        <v>Handysize</v>
      </c>
      <c r="AHT72" s="4" t="str">
        <f>VLOOKUP(AHR72,Canals!$E$5:$F$12,2,TRUE)</f>
        <v>Handysize</v>
      </c>
      <c r="AHU72" s="25">
        <f t="shared" si="941"/>
        <v>145.88999999999999</v>
      </c>
      <c r="AHV72" s="25">
        <f t="shared" si="942"/>
        <v>0</v>
      </c>
      <c r="AHW72" s="25">
        <f t="shared" si="943"/>
        <v>4797</v>
      </c>
      <c r="AHY72" s="75">
        <f t="array" ref="AHY72">INDEX('Indices Mines Exporting Ports'!$R$20:$R$51,MATCH(2,1/(('Indices Mines Exporting Ports'!$D$20:$D$51&lt;=Main!$C72)*('Indices Mines Exporting Ports'!$Q$20:$Q$51=$AQ72))))</f>
        <v>0</v>
      </c>
      <c r="AHZ72" s="75">
        <f t="array" ref="AHZ72">INDEX('Indices Mines Exporting Ports'!$S$20:$S$51,MATCH(2,1/(('Indices Mines Exporting Ports'!$D$20:$D$51&lt;=Main!$C72)*('Indices Mines Exporting Ports'!$Q$20:$Q$51=$AQ72))))</f>
        <v>0</v>
      </c>
      <c r="AIA72" s="75">
        <f t="array" ref="AIA72">INDEX('Indices Mines Exporting Ports'!$T$20:$T$51,MATCH(2,1/(('Indices Mines Exporting Ports'!$D$20:$D$51&lt;=Main!$C72)*('Indices Mines Exporting Ports'!$Q$20:$Q$51=$AQ72))))</f>
        <v>0</v>
      </c>
      <c r="AIB72" s="75">
        <f t="array" ref="AIB72">INDEX('Indices Mines Exporting Ports'!$U$20:$U$51,MATCH(2,1/(('Indices Mines Exporting Ports'!$D$20:$D$51&lt;=Main!$C72)*('Indices Mines Exporting Ports'!$Q$20:$Q$51=$AQ72))))</f>
        <v>0</v>
      </c>
      <c r="AIC72" s="75">
        <f t="array" ref="AIC72">INDEX('Indices Mines Exporting Ports'!$V$20:$V$51,MATCH(2,1/(('Indices Mines Exporting Ports'!$D$20:$D$51&lt;=Main!$C72)*('Indices Mines Exporting Ports'!$Q$20:$Q$51=$AQ72))))</f>
        <v>0</v>
      </c>
      <c r="AID72" s="75">
        <f t="array" ref="AID72">INDEX('Indices Mines Exporting Ports'!$W$20:$W$51,MATCH(2,1/(('Indices Mines Exporting Ports'!$D$20:$D$51&lt;=Main!$C72)*('Indices Mines Exporting Ports'!$Q$20:$Q$51=$AQ72))))</f>
        <v>0</v>
      </c>
      <c r="AIE72" s="75">
        <f t="array" ref="AIE72">INDEX('Indices Mines Exporting Ports'!$X$20:$X$51,MATCH(2,1/(('Indices Mines Exporting Ports'!$D$20:$D$51&lt;=Main!$C72)*('Indices Mines Exporting Ports'!$Q$20:$Q$51=$AQ72))))</f>
        <v>0</v>
      </c>
      <c r="AIG72" s="75">
        <f t="array" ref="AIG72">INDEX('Port Linkages'!$E$18:$E$157,MATCH(2,1/(('Port Linkages'!$C$18:$C$157=$AQ72)*('Port Linkages'!$D$18:$D$157=IF($AO72="no",$AQ72,$KK72))*('Port Linkages'!$A$18:$A$157&lt;=$C72))))</f>
        <v>0</v>
      </c>
      <c r="AIH72" s="75">
        <f t="array" ref="AIH72">INDEX('Port Linkages'!$F$18:$F$157,MATCH(2,1/(('Port Linkages'!$C$18:$C$157=$AQ72)*('Port Linkages'!$D$18:$D$157=IF($AO72="no",$AQ72,$KK72))*('Port Linkages'!$A$18:$A$157&lt;=$C72))))</f>
        <v>0</v>
      </c>
      <c r="AII72" s="75">
        <f t="array" ref="AII72">INDEX('Port Linkages'!$G$18:$G$157,MATCH(2,1/(('Port Linkages'!$C$18:$C$157=$AQ72)*('Port Linkages'!$D$18:$D$157=IF($AO72="no",$AQ72,$KK72))*('Port Linkages'!$A$18:$A$157&lt;=$C72))))</f>
        <v>0</v>
      </c>
      <c r="AIJ72" s="75">
        <f t="array" ref="AIJ72">INDEX('Port Linkages'!$H$18:$H$157,MATCH(2,1/(('Port Linkages'!$C$18:$C$157=$AQ72)*('Port Linkages'!$D$18:$D$157=IF($AO72="no",$AQ72,$KK72))*('Port Linkages'!$A$18:$A$157&lt;=$C72))))</f>
        <v>0</v>
      </c>
      <c r="AIK72" s="75">
        <f t="array" ref="AIK72">INDEX('Port Linkages'!$I$18:$I$157,MATCH(2,1/(('Port Linkages'!$C$18:$C$157=$AQ72)*('Port Linkages'!$D$18:$D$157=IF($AO72="no",$AQ72,$KK72))*('Port Linkages'!$A$18:$A$157&lt;=$C72))))</f>
        <v>0</v>
      </c>
      <c r="AIL72" s="75">
        <f t="array" ref="AIL72">INDEX('Port Linkages'!$J$18:$J$157,MATCH(2,1/(('Port Linkages'!$C$18:$C$157=$AQ72)*('Port Linkages'!$D$18:$D$157=IF($AO72="no",$AQ72,$KK72))*('Port Linkages'!$A$18:$A$157&lt;=$C72))))</f>
        <v>0</v>
      </c>
      <c r="AIM72" s="75">
        <f t="array" ref="AIM72">INDEX('Port Linkages'!$K$18:$K$157,MATCH(2,1/(('Port Linkages'!$C$18:$C$157=$AQ72)*('Port Linkages'!$D$18:$D$157=IF($AO72="no",$AQ72,$KK72))*('Port Linkages'!$A$18:$A$157&lt;=$C72))))</f>
        <v>0</v>
      </c>
      <c r="AIN72" s="75">
        <f t="array" ref="AIN72">INDEX('Port Linkages'!$L$18:$L$157,MATCH(2,1/(('Port Linkages'!$C$18:$C$157=$AQ72)*('Port Linkages'!$D$18:$D$157=IF($AO72="no",$AQ72,$KK72))*('Port Linkages'!$A$18:$A$157&lt;=$C72))))</f>
        <v>0</v>
      </c>
      <c r="AIO72" s="75">
        <f t="array" ref="AIO72">INDEX('Port Linkages'!$M$18:$M$157,MATCH(2,1/(('Port Linkages'!$C$18:$C$157=$AQ72)*('Port Linkages'!$D$18:$D$157=IF($AO72="no",$AQ72,$KK72))*('Port Linkages'!$A$18:$A$157&lt;=$C72))))</f>
        <v>0</v>
      </c>
      <c r="AIP72" s="75">
        <f t="array" ref="AIP72">INDEX('Port Linkages'!$N$18:$N$157,MATCH(2,1/(('Port Linkages'!$C$18:$C$157=$AQ72)*('Port Linkages'!$D$18:$D$157=IF($AO72="no",$AQ72,$KK72))*('Port Linkages'!$A$18:$A$157&lt;=$C72))))</f>
        <v>0</v>
      </c>
      <c r="AIQ72" s="75">
        <f t="array" ref="AIQ72">INDEX('Port Linkages'!$O$18:$O$157,MATCH(2,1/(('Port Linkages'!$C$18:$C$157=$AQ72)*('Port Linkages'!$D$18:$D$157=IF($AO72="no",$AQ72,$KK72))*('Port Linkages'!$A$18:$A$157&lt;=$C72))))</f>
        <v>0</v>
      </c>
      <c r="AIR72" s="75">
        <f t="array" ref="AIR72">INDEX('Port Linkages'!$P$18:$P$157,MATCH(2,1/(('Port Linkages'!$C$18:$C$157=$AQ72)*('Port Linkages'!$D$18:$D$157=IF($AO72="no",$AQ72,$KK72))*('Port Linkages'!$A$18:$A$157&lt;=$C72))))</f>
        <v>0</v>
      </c>
      <c r="AIS72" s="75">
        <f t="array" ref="AIS72">INDEX('Port Linkages'!$Q$18:$Q$157,MATCH(2,1/(('Port Linkages'!$C$18:$C$157=$AQ72)*('Port Linkages'!$D$18:$D$157=IF($AO72="no",$AQ72,$KK72))*('Port Linkages'!$A$18:$A$157&lt;=$C72))))</f>
        <v>0</v>
      </c>
      <c r="AIT72" s="75">
        <f t="array" ref="AIT72">INDEX('Port Linkages'!$R$18:$R$157,MATCH(2,1/(('Port Linkages'!$C$18:$C$157=$AQ72)*('Port Linkages'!$D$18:$D$157=IF($AO72="no",$AQ72,$KK72))*('Port Linkages'!$A$18:$A$157&lt;=$C72))))</f>
        <v>0</v>
      </c>
      <c r="AIU72" s="75">
        <f t="array" ref="AIU72">INDEX('Port Linkages'!$S$18:$S$157,MATCH(2,1/(('Port Linkages'!$C$18:$C$157=$AQ72)*('Port Linkages'!$D$18:$D$157=IF($AO72="no",$AQ72,$KK72))*('Port Linkages'!$A$18:$A$157&lt;=$C72))))</f>
        <v>0</v>
      </c>
      <c r="AIV72" s="75">
        <f t="array" ref="AIV72">INDEX('Port Linkages'!$T$18:$T$157,MATCH(2,1/(('Port Linkages'!$C$18:$C$157=$AQ72)*('Port Linkages'!$D$18:$D$157=IF($AO72="no",$AQ72,$KK72))*('Port Linkages'!$A$18:$A$157&lt;=$C72))))</f>
        <v>0</v>
      </c>
      <c r="AIW72" s="75">
        <f t="array" ref="AIW72">INDEX('Port Linkages'!$U$18:$U$157,MATCH(2,1/(('Port Linkages'!$C$18:$C$157=$AQ72)*('Port Linkages'!$D$18:$D$157=IF($AO72="no",$AQ72,$KK72))*('Port Linkages'!$A$18:$A$157&lt;=$C72))))</f>
        <v>0</v>
      </c>
      <c r="AIX72" s="75">
        <f t="array" ref="AIX72">INDEX('Port Linkages'!$V$18:$V$157,MATCH(2,1/(('Port Linkages'!$C$18:$C$157=$AQ72)*('Port Linkages'!$D$18:$D$157=IF($AO72="no",$AQ72,$KK72))*('Port Linkages'!$A$18:$A$157&lt;=$C72))))</f>
        <v>0</v>
      </c>
      <c r="AIY72" s="75">
        <f t="array" ref="AIY72">INDEX('Port Linkages'!$W$18:$W$157,MATCH(2,1/(('Port Linkages'!$C$18:$C$157=$AQ72)*('Port Linkages'!$D$18:$D$157=IF($AO72="no",$AQ72,$KK72))*('Port Linkages'!$A$18:$A$157&lt;=$C72))))</f>
        <v>0</v>
      </c>
      <c r="AIZ72" s="75">
        <f t="array" ref="AIZ72">INDEX('Port Linkages'!$X$18:$X$157,MATCH(2,1/(('Port Linkages'!$C$18:$C$157=$AQ72)*('Port Linkages'!$D$18:$D$157=IF($AO72="no",$AQ72,$KK72))*('Port Linkages'!$A$18:$A$157&lt;=$C72))))</f>
        <v>0</v>
      </c>
      <c r="AJA72" s="75">
        <f t="array" ref="AJA72">INDEX('Port Linkages'!$Y$18:$Y$157,MATCH(2,1/(('Port Linkages'!$C$18:$C$157=$AQ72)*('Port Linkages'!$D$18:$D$157=IF($AO72="no",$AQ72,$KK72))*('Port Linkages'!$A$18:$A$157&lt;=$C72))))</f>
        <v>0</v>
      </c>
      <c r="AJB72" s="75">
        <f t="array" ref="AJB72">INDEX('Port Linkages'!$Z$18:$Z$157,MATCH(2,1/(('Port Linkages'!$C$18:$C$157=$AQ72)*('Port Linkages'!$D$18:$D$157=IF($AO72="no",$AQ72,$KK72))*('Port Linkages'!$A$18:$A$157&lt;=$C72))))</f>
        <v>0</v>
      </c>
      <c r="AJC72" s="75">
        <f t="array" ref="AJC72">INDEX('Port Linkages'!$AA$18:$AA$157,MATCH(2,1/(('Port Linkages'!$C$18:$C$157=$AQ72)*('Port Linkages'!$D$18:$D$157=IF($AO72="no",$AQ72,$KK72))*('Port Linkages'!$A$18:$A$157&lt;=$C72))))</f>
        <v>0</v>
      </c>
      <c r="AJD72" s="75">
        <f t="array" ref="AJD72">INDEX('Port Linkages'!$AB$18:$AB$157,MATCH(2,1/(('Port Linkages'!$C$18:$C$157=$AQ72)*('Port Linkages'!$D$18:$D$157=IF($AO72="no",$AQ72,$KK72))*('Port Linkages'!$A$18:$A$157&lt;=$C72))))</f>
        <v>0</v>
      </c>
      <c r="AJE72" s="75">
        <f t="array" ref="AJE72">INDEX('Port Linkages'!$AC$18:$AC$157,MATCH(2,1/(('Port Linkages'!$C$18:$C$157=$AQ72)*('Port Linkages'!$D$18:$D$157=IF($AO72="no",$AQ72,$KK72))*('Port Linkages'!$A$18:$A$157&lt;=$C72))))</f>
        <v>0</v>
      </c>
      <c r="AJF72" s="75">
        <f t="array" ref="AJF72">INDEX('Port Linkages'!$AD$18:$AD$157,MATCH(2,1/(('Port Linkages'!$C$18:$C$157=$AQ72)*('Port Linkages'!$D$18:$D$157=IF($AO72="no",$AQ72,$KK72))*('Port Linkages'!$A$18:$A$157&lt;=$C72))))</f>
        <v>0</v>
      </c>
      <c r="AJG72" s="75">
        <f t="array" ref="AJG72">INDEX('Port Linkages'!$AE$18:$AE$157,MATCH(2,1/(('Port Linkages'!$C$18:$C$157=$AQ72)*('Port Linkages'!$D$18:$D$157=IF($AO72="no",$AQ72,$KK72))*('Port Linkages'!$A$18:$A$157&lt;=$C72))))</f>
        <v>0</v>
      </c>
      <c r="AJH72" s="75">
        <f t="array" ref="AJH72">INDEX('Port Linkages'!$AF$18:$AF$157,MATCH(2,1/(('Port Linkages'!$C$18:$C$157=$AQ72)*('Port Linkages'!$D$18:$D$157=IF($AO72="no",$AQ72,$KK72))*('Port Linkages'!$A$18:$A$157&lt;=$C72))))</f>
        <v>0</v>
      </c>
      <c r="AJI72" s="75">
        <f t="array" ref="AJI72">INDEX('Port Linkages'!$AG$18:$AG$157,MATCH(2,1/(('Port Linkages'!$C$18:$C$157=$AQ72)*('Port Linkages'!$D$18:$D$157=IF($AO72="no",$AQ72,$KK72))*('Port Linkages'!$A$18:$A$157&lt;=$C72))))</f>
        <v>0</v>
      </c>
      <c r="AJJ72" s="75">
        <f t="array" ref="AJJ72">INDEX('Port Linkages'!$AH$18:$AH$157,MATCH(2,1/(('Port Linkages'!$C$18:$C$157=$AQ72)*('Port Linkages'!$D$18:$D$157=IF($AO72="no",$AQ72,$KK72))*('Port Linkages'!$A$18:$A$157&lt;=$C72))))</f>
        <v>0</v>
      </c>
      <c r="AJK72" s="75">
        <f t="array" ref="AJK72">INDEX('Port Linkages'!$AI$18:$AI$157,MATCH(2,1/(('Port Linkages'!$C$18:$C$157=$AQ72)*('Port Linkages'!$D$18:$D$157=IF($AO72="no",$AQ72,$KK72))*('Port Linkages'!$A$18:$A$157&lt;=$C72))))</f>
        <v>0</v>
      </c>
      <c r="AJL72" s="75">
        <f t="array" ref="AJL72">INDEX('Port Linkages'!$AJ$18:$AJ$157,MATCH(2,1/(('Port Linkages'!$C$18:$C$157=$AQ72)*('Port Linkages'!$D$18:$D$157=IF($AO72="no",$AQ72,$KK72))*('Port Linkages'!$A$18:$A$157&lt;=$C72))))</f>
        <v>0</v>
      </c>
      <c r="AJM72" s="75">
        <f t="array" ref="AJM72">INDEX('Port Linkages'!$AK$18:$AK$157,MATCH(2,1/(('Port Linkages'!$C$18:$C$157=$AQ72)*('Port Linkages'!$D$18:$D$157=IF($AO72="no",$AQ72,$KK72))*('Port Linkages'!$A$18:$A$157&lt;=$C72))))</f>
        <v>0</v>
      </c>
      <c r="AJN72" s="75">
        <f t="array" ref="AJN72">INDEX('Port Linkages'!$AL$18:$AL$157,MATCH(2,1/(('Port Linkages'!$C$18:$C$157=$AQ72)*('Port Linkages'!$D$18:$D$157=IF($AO72="no",$AQ72,$KK72))*('Port Linkages'!$A$18:$A$157&lt;=$C72))))</f>
        <v>0</v>
      </c>
      <c r="AJO72" s="75">
        <f t="array" ref="AJO72">INDEX('Port Linkages'!$AM$18:$AM$157,MATCH(2,1/(('Port Linkages'!$C$18:$C$157=$AQ72)*('Port Linkages'!$D$18:$D$157=IF($AO72="no",$AQ72,$KK72))*('Port Linkages'!$A$18:$A$157&lt;=$C72))))</f>
        <v>0</v>
      </c>
      <c r="AJP72" s="75">
        <f t="array" ref="AJP72">INDEX('Port Linkages'!$AN$18:$AN$157,MATCH(2,1/(('Port Linkages'!$C$18:$C$157=$AQ72)*('Port Linkages'!$D$18:$D$157=IF($AO72="no",$AQ72,$KK72))*('Port Linkages'!$A$18:$A$157&lt;=$C72))))</f>
        <v>0</v>
      </c>
      <c r="AJQ72" s="75">
        <f t="array" ref="AJQ72">INDEX('Port Linkages'!$AO$18:$AO$157,MATCH(2,1/(('Port Linkages'!$C$18:$C$157=$AQ72)*('Port Linkages'!$D$18:$D$157=IF($AO72="no",$AQ72,$KK72))*('Port Linkages'!$A$18:$A$157&lt;=$C72))))</f>
        <v>0</v>
      </c>
      <c r="AJR72" s="75">
        <f t="array" ref="AJR72">INDEX('Port Linkages'!$AP$18:$AP$157,MATCH(2,1/(('Port Linkages'!$C$18:$C$157=$AQ72)*('Port Linkages'!$D$18:$D$157=IF($AO72="no",$AQ72,$KK72))*('Port Linkages'!$A$18:$A$157&lt;=$C72))))</f>
        <v>0</v>
      </c>
      <c r="AJS72" s="75">
        <f t="array" ref="AJS72">INDEX('Port Linkages'!$AQ$18:$AQ$157,MATCH(2,1/(('Port Linkages'!$C$18:$C$157=$AQ72)*('Port Linkages'!$D$18:$D$157=IF($AO72="no",$AQ72,$KK72))*('Port Linkages'!$A$18:$A$157&lt;=$C72))))</f>
        <v>0</v>
      </c>
      <c r="AJT72" s="75">
        <f t="array" ref="AJT72">INDEX('Port Linkages'!$AR$18:$AR$157,MATCH(2,1/(('Port Linkages'!$C$18:$C$157=$AQ72)*('Port Linkages'!$D$18:$D$157=IF($AO72="no",$AQ72,$KK72))*('Port Linkages'!$A$18:$A$157&lt;=$C72))))</f>
        <v>0</v>
      </c>
      <c r="AJU72" s="75">
        <f t="array" ref="AJU72">INDEX('Port Linkages'!$AS$18:$AS$157,MATCH(2,1/(('Port Linkages'!$C$18:$C$157=$AQ72)*('Port Linkages'!$D$18:$D$157=IF($AO72="no",$AQ72,$KK72))*('Port Linkages'!$A$18:$A$157&lt;=$C72))))</f>
        <v>0</v>
      </c>
      <c r="AJV72" s="75">
        <f t="array" ref="AJV72">INDEX('Port Linkages'!$AT$18:$AT$157,MATCH(2,1/(('Port Linkages'!$C$18:$C$157=$AQ72)*('Port Linkages'!$D$18:$D$157=IF($AO72="no",$AQ72,$KK72))*('Port Linkages'!$A$18:$A$157&lt;=$C72))))</f>
        <v>0</v>
      </c>
      <c r="AJW72" s="75">
        <f t="array" ref="AJW72">INDEX('Port Linkages'!$AU$18:$AU$157,MATCH(2,1/(('Port Linkages'!$C$18:$C$157=$AQ72)*('Port Linkages'!$D$18:$D$157=IF($AO72="no",$AQ72,$KK72))*('Port Linkages'!$A$18:$A$157&lt;=$C72))))</f>
        <v>0</v>
      </c>
      <c r="AJX72" s="75">
        <f t="array" ref="AJX72">INDEX('Port Linkages'!$AV$18:$AV$157,MATCH(2,1/(('Port Linkages'!$C$18:$C$157=$AQ72)*('Port Linkages'!$D$18:$D$157=IF($AO72="no",$AQ72,$KK72))*('Port Linkages'!$A$18:$A$157&lt;=$C72))))</f>
        <v>0</v>
      </c>
      <c r="AJY72" s="75">
        <f t="array" ref="AJY72">INDEX('Port Linkages'!$AW$18:$AW$157,MATCH(2,1/(('Port Linkages'!$C$18:$C$157=$AQ72)*('Port Linkages'!$D$18:$D$157=IF($AO72="no",$AQ72,$KK72))*('Port Linkages'!$A$18:$A$157&lt;=$C72))))</f>
        <v>0</v>
      </c>
      <c r="AJZ72" s="75">
        <f t="array" ref="AJZ72">INDEX('Port Linkages'!$AX$18:$AX$157,MATCH(2,1/(('Port Linkages'!$C$18:$C$157=$AQ72)*('Port Linkages'!$D$18:$D$157=IF($AO72="no",$AQ72,$KK72))*('Port Linkages'!$A$18:$A$157&lt;=$C72))))</f>
        <v>0</v>
      </c>
      <c r="AKA72" s="75">
        <f t="array" ref="AKA72">INDEX('Port Linkages'!$AY$18:$AY$157,MATCH(2,1/(('Port Linkages'!$C$18:$C$157=$AQ72)*('Port Linkages'!$D$18:$D$157=IF($AO72="no",$AQ72,$KK72))*('Port Linkages'!$A$18:$A$157&lt;=$C72))))</f>
        <v>0</v>
      </c>
      <c r="AKB72" s="75">
        <f t="array" ref="AKB72">INDEX('Port Linkages'!$AZ$18:$AZ$157,MATCH(2,1/(('Port Linkages'!$C$18:$C$157=$AQ72)*('Port Linkages'!$D$18:$D$157=IF($AO72="no",$AQ72,$KK72))*('Port Linkages'!$A$18:$A$157&lt;=$C72))))</f>
        <v>0</v>
      </c>
      <c r="AKC72" s="75">
        <f t="array" ref="AKC72">INDEX('Port Linkages'!$BA$18:$BA$157,MATCH(2,1/(('Port Linkages'!$C$18:$C$157=$AQ72)*('Port Linkages'!$D$18:$D$157=IF($AO72="no",$AQ72,$KK72))*('Port Linkages'!$A$18:$A$157&lt;=$C72))))</f>
        <v>0</v>
      </c>
      <c r="AKE72" s="25" t="e">
        <f t="array" aca="1" ref="AKE72" ca="1">INDEX('Ship Fuel Prices'!$F$5:$F$1004,MATCH(2,1/(('Ship Fuel Prices'!$E$5:$E$1004=_xlfn.IFS(AHT72="Handysize",Main!AJZ72,AHT72="Supramax",AJS72,AHT72="Panamax",AJL72,AHT72="NeoPanamax",AJE72,AHT72="Suezmax",AIX72,AHT72="Capesize",AIQ72,AHT72="VLOC",AIJ72))*('Ship Fuel Prices'!$D$5:$D$1004&lt;=Main!$C72))))</f>
        <v>#N/A</v>
      </c>
      <c r="AKF72" s="25" t="e">
        <f t="array" aca="1" ref="AKF72" ca="1">INDEX('Ship Fuel Prices'!$G$5:$G$1004,MATCH(2,1/(('Ship Fuel Prices'!$E$5:$E$1004=_xlfn.IFS(AHT72="Handysize",Main!AJZ72,AHT72="Supramax",AJS72,AHT72="Panamax",AJL72,AHT72="NeoPanamax",AJE72,AHT72="Suezmax",AIX72,AHT72="Capesize",AIQ72,AHT72="VLOC",AIJ72))*('Ship Fuel Prices'!$D$5:$D$1004&lt;=Main!$C72))))</f>
        <v>#N/A</v>
      </c>
      <c r="AKG72" s="25" t="e">
        <f t="array" aca="1" ref="AKG72" ca="1">INDEX('Ship Fuel Prices'!$H$5:$H$1004,MATCH(2,1/(('Ship Fuel Prices'!$E$5:$E$1004=_xlfn.IFS(AHT72="Handysize",Main!AJZ72,AHT72="Supramax",AJS72,AHT72="Panamax",AJL72,AHT72="NeoPanamax",AJE72,AHT72="Suezmax",AIX72,AHT72="Capesize",AIQ72,AHT72="VLOC",AIJ72))*('Ship Fuel Prices'!$D$5:$D$1004&lt;=Main!$C72))))</f>
        <v>#N/A</v>
      </c>
      <c r="AKH72" s="25" t="e">
        <f t="array" aca="1" ref="AKH72" ca="1">INDEX('Ship Fuel Prices'!$I$5:$I$1004,MATCH(2,1/(('Ship Fuel Prices'!$E$5:$E$1004=_xlfn.IFS(AHT72="Handysize",Main!AJZ72,AHT72="Supramax",AJS72,AHT72="Panamax",AJL72,AHT72="NeoPanamax",AJE72,AHT72="Suezmax",AIX72,AHT72="Capesize",AIQ72,AHT72="VLOC",AIJ72))*('Ship Fuel Prices'!$D$5:$D$1004&lt;=Main!$C72))))</f>
        <v>#N/A</v>
      </c>
      <c r="AKI72" s="25" t="e">
        <f t="array" aca="1" ref="AKI72" ca="1">INDEX('Ship Fuel Prices'!$J$5:$J$1004,MATCH(2,1/(('Ship Fuel Prices'!$E$5:$E$1004=_xlfn.IFS(AHT72="Handysize",Main!AJZ72,AHT72="Supramax",AJS72,AHT72="Panamax",AJL72,AHT72="NeoPanamax",AJE72,AHT72="Suezmax",AIX72,AHT72="Capesize",AIQ72,AHT72="VLOC",AIJ72))*('Ship Fuel Prices'!$D$5:$D$1004&lt;=Main!$C72))))</f>
        <v>#N/A</v>
      </c>
      <c r="AKK72" s="75">
        <f t="array" ref="AKK72">INDEX('China n Importing Ports'!$E$20:$E$41,MATCH(2,1/(('China n Importing Ports'!$D$20:$D$41&lt;=$C72)*('China n Importing Ports'!$C$20:$C$41=IF($AO72="No",$AQ72,$KK72)))))</f>
        <v>0</v>
      </c>
      <c r="AKL72" s="75">
        <f t="array" ref="AKL72">INDEX('China n Importing Ports'!$F$20:$F$41,MATCH(2,1/(('China n Importing Ports'!$D$20:$D$41&lt;=$C72)*('China n Importing Ports'!$C$20:$C$41=IF($AO72="No",$AQ72,$KK72)))))</f>
        <v>0</v>
      </c>
      <c r="AKM72" s="75">
        <f t="array" ref="AKM72">INDEX('China n Importing Ports'!$G$20:$G$41,MATCH(2,1/(('China n Importing Ports'!$D$20:$D$41&lt;=$C72)*('China n Importing Ports'!$C$20:$C$41=IF($AO72="No",$AQ72,$KK72)))))</f>
        <v>0</v>
      </c>
      <c r="AKN72" s="75">
        <f t="array" ref="AKN72">INDEX('China n Importing Ports'!$H$20:$H$41,MATCH(2,1/(('China n Importing Ports'!$D$20:$D$41&lt;=$C72)*('China n Importing Ports'!$C$20:$C$41=IF($AO72="No",$AQ72,$KK72)))))</f>
        <v>0</v>
      </c>
      <c r="AKO72" s="75">
        <f t="array" ref="AKO72">INDEX('China n Importing Ports'!$I$20:$I$41,MATCH(2,1/(('China n Importing Ports'!$D$20:$D$41&lt;=$C72)*('China n Importing Ports'!$C$20:$C$41=IF($AO72="No",$AQ72,$KK72)))))</f>
        <v>0</v>
      </c>
      <c r="AKP72" s="75">
        <f t="array" ref="AKP72">INDEX('China n Importing Ports'!$J$20:$J$41,MATCH(2,1/(('China n Importing Ports'!$D$20:$D$41&lt;=$C72)*('China n Importing Ports'!$C$20:$C$41=IF($AO72="No",$AQ72,$KK72)))))</f>
        <v>0</v>
      </c>
      <c r="AKQ72" s="75">
        <f t="array" ref="AKQ72">INDEX('China n Importing Ports'!$K$20:$K$41,MATCH(2,1/(('China n Importing Ports'!$D$20:$D$41&lt;=$C72)*('China n Importing Ports'!$C$20:$C$41=IF($AO72="No",$AQ72,$KK72)))))</f>
        <v>0</v>
      </c>
      <c r="AKR72" s="75">
        <f t="array" ref="AKR72">INDEX('China n Importing Ports'!$L$20:$L$41,MATCH(2,1/(('China n Importing Ports'!$D$20:$D$41&lt;=$C72)*('China n Importing Ports'!$C$20:$C$41=IF($AO72="No",$AQ72,$KK72)))))</f>
        <v>0</v>
      </c>
      <c r="AKS72" s="75">
        <f t="array" ref="AKS72">INDEX('China n Importing Ports'!$M$20:$M$41,MATCH(2,1/(('China n Importing Ports'!$D$20:$D$41&lt;=$C72)*('China n Importing Ports'!$C$20:$C$41=IF($AO72="No",$AQ72,$KK72)))))</f>
        <v>0</v>
      </c>
      <c r="AKT72" s="75">
        <f t="array" ref="AKT72">INDEX('China n Importing Ports'!$N$20:$N$41,MATCH(2,1/(('China n Importing Ports'!$D$20:$D$41&lt;=$C72)*('China n Importing Ports'!$C$20:$C$41=IF($AO72="No",$AQ72,$KK72)))))</f>
        <v>0</v>
      </c>
      <c r="AKU72" s="75">
        <f t="array" ref="AKU72">INDEX('China n Importing Ports'!$O$20:$O$41,MATCH(2,1/(('China n Importing Ports'!$D$20:$D$41&lt;=$C72)*('China n Importing Ports'!$C$20:$C$41=IF($AO72="No",$AQ72,$KK72)))))</f>
        <v>0</v>
      </c>
      <c r="AKV72" s="136">
        <f t="array" ref="AKV72">INDEX('China n Importing Ports'!$P$20:$P$41,MATCH(2,1/(('China n Importing Ports'!$D$20:$D$41&lt;=$C72)*('China n Importing Ports'!$C$20:$C$41=IF($AO72="No",$AQ72,$KK72)))))</f>
        <v>0</v>
      </c>
      <c r="AKW72" s="136">
        <f t="array" ref="AKW72">INDEX('China n Importing Ports'!$Q$20:$Q$41,MATCH(2,1/(('China n Importing Ports'!$D$20:$D$41&lt;=$C72)*('China n Importing Ports'!$C$20:$C$41=IF($AO72="No",$AQ72,$KK72)))))</f>
        <v>0</v>
      </c>
      <c r="AKX72" s="136">
        <f t="array" ref="AKX72">INDEX('China n Importing Ports'!$R$20:$R$41,MATCH(2,1/(('China n Importing Ports'!$D$20:$D$41&lt;=$C72)*('China n Importing Ports'!$C$20:$C$41=IF($AO72="No",$AQ72,$KK72)))))</f>
        <v>0</v>
      </c>
      <c r="AKY72" s="136">
        <f t="array" ref="AKY72">INDEX('China n Importing Ports'!$S$20:$S$41,MATCH(2,1/(('China n Importing Ports'!$D$20:$D$41&lt;=$C72)*('China n Importing Ports'!$C$20:$C$41=IF($AO72="No",$AQ72,$KK72)))))</f>
        <v>0</v>
      </c>
      <c r="AKZ72" s="136">
        <f t="array" ref="AKZ72">INDEX('China n Importing Ports'!$T$20:$T$41,MATCH(2,1/(('China n Importing Ports'!$D$20:$D$41&lt;=$C72)*('China n Importing Ports'!$C$20:$C$41=IF($AO72="No",$AQ72,$KK72)))))</f>
        <v>0</v>
      </c>
      <c r="ALA72" s="136">
        <f t="array" ref="ALA72">INDEX('China n Importing Ports'!$U$20:$U$41,MATCH(2,1/(('China n Importing Ports'!$D$20:$D$41&lt;=$C72)*('China n Importing Ports'!$C$20:$C$41=IF($AO72="No",$AQ72,$KK72)))))</f>
        <v>0</v>
      </c>
      <c r="ALB72" s="136">
        <f t="array" ref="ALB72">INDEX('China n Importing Ports'!$V$20:$V$41,MATCH(2,1/(('China n Importing Ports'!$D$20:$D$41&lt;=$C72)*('China n Importing Ports'!$C$20:$C$41=IF($AO72="No",$AQ72,$KK72)))))</f>
        <v>0</v>
      </c>
      <c r="ALC72" s="136">
        <f t="array" ref="ALC72">INDEX('China n Importing Ports'!$W$20:$W$41,MATCH(2,1/(('China n Importing Ports'!$D$20:$D$41&lt;=$C72)*('China n Importing Ports'!$C$20:$C$41=IF($AO72="No",$AQ72,$KK72)))))</f>
        <v>0</v>
      </c>
      <c r="ALD72" s="136">
        <f t="array" ref="ALD72">INDEX('China n Importing Ports'!$X$20:$X$41,MATCH(2,1/(('China n Importing Ports'!$D$20:$D$41&lt;=$C72)*('China n Importing Ports'!$C$20:$C$41=IF($AO72="No",$AQ72,$KK72)))))</f>
        <v>0</v>
      </c>
      <c r="ALE72" s="136">
        <f t="array" ref="ALE72">INDEX('China n Importing Ports'!$Y$20:$Y$41,MATCH(2,1/(('China n Importing Ports'!$D$20:$D$41&lt;=$C72)*('China n Importing Ports'!$C$20:$C$41=IF($AO72="No",$AQ72,$KK72)))))</f>
        <v>0</v>
      </c>
      <c r="ALF72" s="136">
        <f t="array" ref="ALF72">INDEX('China n Importing Ports'!$Z$20:$Z$41,MATCH(2,1/(('China n Importing Ports'!$D$20:$D$41&lt;=$C72)*('China n Importing Ports'!$C$20:$C$41=IF($AO72="No",$AQ72,$KK72)))))</f>
        <v>0</v>
      </c>
      <c r="ALG72" s="136">
        <f t="array" ref="ALG72">INDEX('China n Importing Ports'!$AA$20:$AA$41,MATCH(2,1/(('China n Importing Ports'!$D$20:$D$41&lt;=$C72)*('China n Importing Ports'!$C$20:$C$41=IF($AO72="No",$AQ72,$KK72)))))</f>
        <v>0</v>
      </c>
      <c r="ALI72" s="75" t="e">
        <f t="array" aca="1" ref="ALI72" ca="1">INDEX(Canals!$G$24:$G$29,MATCH(2,1/((Canals!$F$24:$F$29&lt;=$C72)*(Canals!$G$24:$G$29=_xlfn.IFS(AHT72="Handysize",AKC72,AHT72="Supramax",AJV72,AHT72="Panamax",AJO72,AHT72="NeoPanamax",AJH72,AHT72="Suezmax",AJA72,AHT72="Capesize",AIT72,AHT72="VLOC",AIM72)))))</f>
        <v>#N/A</v>
      </c>
      <c r="ALJ72" s="75" t="e">
        <f t="array" aca="1" ref="ALJ72" ca="1">INDEX(Canals!$H$24:$H$29,MATCH(2,1/((Canals!$F$24:$F$29&lt;=$C72)*(Canals!$G$24:$G$29=_xlfn.IFS(AHT72="Handysize",AKC72,AHT72="Supramax",AJV72,AHT72="Panamax",AJO72,AHT72="NeoPanamax",AJH72,AHT72="Suezmax",AJA72,AHT72="Capesize",AIT72,AHT72="VLOC",AIM72)))))</f>
        <v>#N/A</v>
      </c>
      <c r="ALK72" s="75" t="e">
        <f t="array" aca="1" ref="ALK72" ca="1">INDEX(Canals!$I$24:$I$29,MATCH(2,1/((Canals!$F$24:$F$29&lt;=$C72)*(Canals!$G$24:$G$29=_xlfn.IFS(AHT72="Handysize",AKC72,AHT72="Supramax",AJV72,AHT72="Panamax",AJO72,AHT72="NeoPanamax",AJH72,AHT72="Suezmax",AJA72,AHT72="Capesize",AIT72,AHT72="VLOC",AIM72)))))</f>
        <v>#N/A</v>
      </c>
      <c r="ALL72" s="75" t="e">
        <f t="array" aca="1" ref="ALL72" ca="1">INDEX(Canals!$J$24:$J$29,MATCH(2,1/((Canals!$F$24:$F$29&lt;=$C72)*(Canals!$G$24:$G$29=_xlfn.IFS(AHT72="Handysize",Main!AKC72,AHT72="Supramax",AJV72,AHT72="Panamax",AJO72,AHT72="NeoPanamax",AJH72,AHT72="Suezmax",AJA72,AHT72="Capesize",AIT72,AHT72="VLOC",AIM72)))))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M72" s="75" t="e">
        <f t="array" aca="1" ref="ALM72" ca="1">INDEX(Canals!$K$24:$K$29,MATCH(2,1/((Canals!$F$24:$F$29&lt;=$C72)*(Canals!$G$24:$G$29=_xlfn.IFS(AHT72="Handysize",Main!AKC72,AHT72="Supramax",AJV72,AHT72="Panamax",AJO72,AHT72="NeoPanamax",AJH72,AHT72="Suezmax",AJA72,AHT72="Capesize",AIT72,AHT72="VLOC",AIM72)))))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N72" s="75" t="e">
        <f t="array" aca="1" ref="ALN72" ca="1">INDEX(Canals!$L$24:$L$29,MATCH(2,1/((Canals!$F$24:$F$29&lt;=$C72)*(Canals!$G$24:$G$29=_xlfn.IFS(AHT72="Handysize",Main!AKC72,AHT72="Supramax",AJV72,AHT72="Panamax",AJO72,AHT72="NeoPanamax",AJH72,AHT72="Suezmax",AJA72,AHT72="Capesize",AIT72,AHT72="VLOC",AIM72)))))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O72" s="75" t="e">
        <f t="array" aca="1" ref="ALO72" ca="1">INDEX(Canals!$M$24:$M$29,MATCH(2,1/((Canals!$F$24:$F$29&lt;=$C72)*(Canals!$G$24:$G$29=_xlfn.IFS(AHT72="Handysize",Main!AKC72,AHT72="Supramax",AJV72,AHT72="Panamax",AJO72,AHT72="NeoPanamax",AJH72,AHT72="Suezmax",AJA72,AHT72="Capesize",AIT72,AHT72="VLOC",AIM72)))))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P72" s="75" t="e">
        <f t="array" aca="1" ref="ALP72" ca="1">INDEX(Canals!$N$24:$N$29,MATCH(2,1/((Canals!$F$24:$F$29&lt;=$C72)*(Canals!$G$24:$G$29=_xlfn.IFS(AHT72="Handysize",Main!AKC72,AHT72="Supramax",AJV72,AHT72="Panamax",AJO72,AHT72="NeoPanamax",AJH72,AHT72="Suezmax",AJA72,AHT72="Capesize",AIT72,AHT72="VLOC",AIM72)))))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Q72" s="75" t="e">
        <f t="array" aca="1" ref="ALQ72" ca="1">INDEX(Canals!$O$24:$O$29,MATCH(2,1/((Canals!$F$24:$F$29&lt;=$C72)*(Canals!$G$24:$G$29=_xlfn.IFS(AHT72="Handysize",Main!AKC72,AHT72="Supramax",AJV72,AHT72="Panamax",AJO72,AHT72="NeoPanamax",AJH72,AHT72="Suezmax",AJA72,AHT72="Capesize",AIT72,AHT72="VLOC",AIM72)))))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R72" s="75" t="e">
        <f t="array" aca="1" ref="ALR72" ca="1">INDEX(Canals!$P$24:$P$29,MATCH(2,1/((Canals!$F$24:$F$29&lt;=$C72)*(Canals!$G$24:$G$29=_xlfn.IFS(AHT72="Handysize",Main!AKC72,AHT72="Supramax",AJV72,AHT72="Panamax",AJO72,AHT72="NeoPanamax",AJH72,AHT72="Suezmax",AJA72,AHT72="Capesize",AIT72,AHT72="VLOC",AIM72)))))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S72" s="75" t="e">
        <f t="array" aca="1" ref="ALS72" ca="1">INDEX(Canals!$Q$24:$Q$29,MATCH(2,1/((Canals!$F$24:$F$29&lt;=$C72)*(Canals!$G$24:$G$29=_xlfn.IFS(AHT72="Handysize",Main!AKC72,AHT72="Supramax",AJV72,AHT72="Panamax",AJO72,AHT72="NeoPanamax",AJH72,AHT72="Suezmax",AJA72,AHT72="Capesize",AIT72,AHT72="VLOC",AIM72)))))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T72" s="75" t="e">
        <f t="array" aca="1" ref="ALT72" ca="1">INDEX(Canals!$R$24:$R$29,MATCH(2,1/((Canals!$F$24:$F$29&lt;=$C72)*(Canals!$G$24:$G$29=_xlfn.IFS(AHT72="Handysize",Main!AKC72,AHT72="Supramax",AJV72,AHT72="Panamax",AJO72,AHT72="NeoPanamax",AJH72,AHT72="Suezmax",AJA72,AHT72="Capesize",AIT72,AHT72="VLOC",AIM72)))))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U72" s="136" t="e">
        <f t="array" aca="1" ref="ALU72" ca="1">INDEX(Canals!$S$24:$S$29,MATCH(2,1/((Canals!$F$24:$F$29&lt;=$C72)*(Canals!$G$24:$G$29=_xlfn.IFS(AHT72="Handysize",Main!AKC72,AHT72="Supramax",AJV72,AHT72="Panamax",AJO72,AHT72="NeoPanamax",AJH72,AHT72="Suezmax",AJA72,AHT72="Capesize",AIT72,AHT72="VLOC",AIM72)))))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V72" s="136" t="e">
        <f t="array" aca="1" ref="ALV72" ca="1">INDEX(Canals!$T$24:$T$29,MATCH(2,1/((Canals!$F$24:$F$29&lt;=$C72)*(Canals!$G$24:$G$29=_xlfn.IFS(AHT72="Handysize",Main!AKC72,AHT72="Supramax",AJV72,AHT72="Panamax",AJO72,AHT72="NeoPanamax",AJH72,AHT72="Suezmax",AJA72,AHT72="Capesize",AIT72,AHT72="VLOC",AIM72)))))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W72" s="136" t="e">
        <f t="array" aca="1" ref="ALW72" ca="1">INDEX(Canals!$U$24:$U$29,MATCH(2,1/((Canals!$F$24:$F$29&lt;=$C72)*(Canals!$G$24:$G$29=_xlfn.IFS(AHT72="Handysize",Main!AKC72,AHT72="Supramax",AJV72,AHT72="Panamax",AJO72,AHT72="NeoPanamax",AJH72,AHT72="Suezmax",AJA72,AHT72="Capesize",AIT72,AHT72="VLOC",AIM72)))))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X72" s="136" t="e">
        <f t="array" aca="1" ref="ALX72" ca="1">INDEX(Canals!$V$24:$V$29,MATCH(2,1/((Canals!$F$24:$F$29&lt;=$C72)*(Canals!$G$24:$G$29=_xlfn.IFS(AHT72="Handysize",Main!AKC72,AHT72="Supramax",AJV72,AHT72="Panamax",AJO72,AHT72="NeoPanamax",AJH72,AHT72="Suezmax",AJA72,AHT72="Capesize",AIT72,AHT72="VLOC",AIM72)))))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Y72" s="136" t="e">
        <f t="array" aca="1" ref="ALY72" ca="1">INDEX(Canals!$W$24:$W$29,MATCH(2,1/((Canals!$F$24:$F$29&lt;=$C72)*(Canals!$G$24:$G$29=_xlfn.IFS(AHT72="Handysize",Main!AKC72,AHT72="Supramax",AJV72,AHT72="Panamax",AJO72,AHT72="NeoPanamax",AJH72,AHT72="Suezmax",AJA72,AHT72="Capesize",AIT72,AHT72="VLOC",AIM72)))))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LZ72" s="136" t="e">
        <f t="array" aca="1" ref="ALZ72" ca="1">INDEX(Canals!$X$24:$X$29,MATCH(2,1/((Canals!$F$24:$F$29&lt;=$C72)*(Canals!$G$24:$G$29=_xlfn.IFS(AHT72="Handysize",Main!AKC72,AHT72="Supramax",AJV72,AHT72="Panamax",AJO72,AHT72="NeoPanamax",AJH72,AHT72="Suezmax",AJA72,AHT72="Capesize",AIT72,AHT72="VLOC",AIM72)))))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A72" s="136" t="e">
        <f t="array" aca="1" ref="AMA72" ca="1">INDEX(Canals!$Y$24:$Y$29,MATCH(2,1/((Canals!$F$24:$F$29&lt;=$C72)*(Canals!$G$24:$G$29=_xlfn.IFS(AHT72="Handysize",Main!AKC72,AHT72="Supramax",AJV72,AHT72="Panamax",AJO72,AHT72="NeoPanamax",AJH72,AHT72="Suezmax",AJA72,AHT72="Capesize",AIT72,AHT72="VLOC",AIM72)))))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B72" s="136" t="e">
        <f t="array" aca="1" ref="AMB72" ca="1">INDEX(Canals!$Z$24:$Z$29,MATCH(2,1/((Canals!$F$24:$F$29&lt;=$C72)*(Canals!$G$24:$G$29=_xlfn.IFS(AHT72="Handysize",Main!AKC72,AHT72="Supramax",AJV72,AHT72="Panamax",AJO72,AHT72="NeoPanamax",AJH72,AHT72="Suezmax",AJA72,AHT72="Capesize",AIT72,AHT72="VLOC",AIM72)))))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C72" s="136" t="e">
        <f t="array" aca="1" ref="AMC72" ca="1">INDEX(Canals!$AA$24:$AA$29,MATCH(2,1/((Canals!$F$24:$F$29&lt;=$C72)*(Canals!$G$24:$G$29=_xlfn.IFS(AHT72="Handysize",Main!AKC72,AHT72="Supramax",AJV72,AHT72="Panamax",AJO72,AHT72="NeoPanamax",AJH72,AHT72="Suezmax",AJA72,AHT72="Capesize",AIT72,AHT72="VLOC",AIM72)))))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D72" s="136" t="e">
        <f t="array" aca="1" ref="AMD72" ca="1">INDEX(Canals!$AB$24:$AB$29,MATCH(2,1/((Canals!$F$24:$F$29&lt;=$C72)*(Canals!$G$24:$G$29=_xlfn.IFS(AHT72="Handysize",Main!AKC72,AHT72="Supramax",AJV72,AHT72="Panamax",AJO72,AHT72="NeoPanamax",AJH72,AHT72="Suezmax",AJA72,AHT72="Capesize",AIT72,AHT72="VLOC",AIM72)))))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E72" s="75" t="e">
        <f t="array" aca="1" ref="AME72" ca="1">INDEX(Canals!$AC$24:$AC$29,MATCH(2,1/((Canals!$F$24:$F$29&lt;=$C72)*(Canals!$G$24:$G$29=_xlfn.IFS(AHT72="Handysize",Main!AKC72,AHT72="Supramax",AJV72,AHT72="Panamax",AJO72,AHT72="NeoPanamax",AJH72,AHT72="Suezmax",AJA72,AHT72="Capesize",AIT72,AHT72="VLOC",AIM72)))))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F72" s="75" t="e">
        <f t="array" aca="1" ref="AMF72" ca="1">INDEX(Canals!$AD$24:$AD$29,MATCH(2,1/((Canals!$F$24:$F$29&lt;=$C72)*(Canals!$G$24:$G$29=_xlfn.IFS(AHT72="Handysize",Main!AKC72,AHT72="Supramax",AJV72,AHT72="Panamax",AJO72,AHT72="NeoPanamax",AJH72,AHT72="Suezmax",AJA72,AHT72="Capesize",AIT72,AHT72="VLOC",AIM72)))))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G72" s="75" t="e">
        <f t="array" aca="1" ref="AMG72" ca="1">INDEX(Canals!$AE$24:$AE$29,MATCH(2,1/((Canals!$F$24:$F$29&lt;=$C72)*(Canals!$G$24:$G$29=_xlfn.IFS(AHT72="Handysize",Main!AKC72,AHT72="Supramax",AJV72,AHT72="Panamax",AJO72,AHT72="NeoPanamax",AJH72,AHT72="Suezmax",AJA72,AHT72="Capesize",AIT72,AHT72="VLOC",AIM72)))))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H72" s="75" t="e">
        <f t="array" aca="1" ref="AMH72" ca="1">INDEX(Canals!$AF$24:$AF$29,MATCH(2,1/((Canals!$F$24:$F$29&lt;=$C72)*(Canals!$G$24:$G$29=_xlfn.IFS(AHT72="Handysize",Main!AKC72,AHT72="Supramax",AJV72,AHT72="Panamax",AJO72,AHT72="NeoPanamax",AJH72,AHT72="Suezmax",AJA72,AHT72="Capesize",AIT72,AHT72="VLOC",AIM72)))))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I72" s="75" t="e">
        <f t="array" aca="1" ref="AMI72" ca="1">INDEX(Canals!$AG$24:$AG$29,MATCH(2,1/((Canals!$F$24:$F$29&lt;=$C72)*(Canals!$G$24:$G$29=_xlfn.IFS(AHT72="Handysize",Main!AKC72,AHT72="Supramax",AJV72,AHT72="Panamax",AJO72,AHT72="NeoPanamax",AJH72,AHT72="Suezmax",AJA72,AHT72="Capesize",AIT72,AHT72="VLOC",AIM72)))))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J72" s="75" t="e">
        <f t="array" aca="1" ref="AMJ72" ca="1">INDEX(Canals!$AH$24:$AH$29,MATCH(2,1/((Canals!$F$24:$F$29&lt;=$C72)*(Canals!$G$24:$G$29=_xlfn.IFS(AHT72="Handysize",Main!AKC72,AHT72="Supramax",AJV72,AHT72="Panamax",AJO72,AHT72="NeoPanamax",AJH72,AHT72="Suezmax",AJA72,AHT72="Capesize",AIT72,AHT72="VLOC",AIM72)))))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K72" s="75" t="e">
        <f t="array" aca="1" ref="AMK72" ca="1">INDEX(Canals!$AI$24:$AI$29,MATCH(2,1/((Canals!$F$24:$F$29&lt;=$C72)*(Canals!$G$24:$G$29=_xlfn.IFS(AHT72="Handysize",Main!AKC72,AHT72="Supramax",AJV72,AHT72="Panamax",AJO72,AHT72="NeoPanamax",AJH72,AHT72="Suezmax",AJA72,AHT72="Capesize",AIT72,AHT72="VLOC",AIM72)))))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L72" s="75" t="e">
        <f t="array" aca="1" ref="AML72" ca="1">INDEX(Canals!$AJ$24:$AJ$29,MATCH(2,1/((Canals!$F$24:$F$29&lt;=$C72)*(Canals!$G$24:$G$29=_xlfn.IFS(AHT72="Handysize",Main!AKC72,AHT72="Supramax",AJV72,AHT72="Panamax",AJO72,AHT72="NeoPanamax",AJH72,AHT72="Suezmax",AJA72,AHT72="Capesize",AIT72,AHT72="VLOC",AIM72)))))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M72" s="75" t="e">
        <f t="array" aca="1" ref="AMM72" ca="1">INDEX(Canals!$AK$24:$AK$29,MATCH(2,1/((Canals!$F$24:$F$29&lt;=$C72)*(Canals!$G$24:$G$29=_xlfn.IFS(AHT72="Handysize",Main!AKC72,AHT72="Supramax",AJV72,AHT72="Panamax",AJO72,AHT72="NeoPanamax",AJH72,AHT72="Suezmax",AJA72,AHT72="Capesize",AIT72,AHT72="VLOC",AIM72)))))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N72" s="136" t="e">
        <f t="array" aca="1" ref="AMN72" ca="1">INDEX(Canals!$AL$24:$AL$29,MATCH(2,1/((Canals!$F$24:$F$29&lt;=$C72)*(Canals!$G$24:$G$29=_xlfn.IFS(AHT72="Handysize",Main!AKC72,AHT72="Supramax",AJV72,AHT72="Panamax",AJO72,AHT72="NeoPanamax",AJH72,AHT72="Suezmax",AJA72,AHT72="Capesize",AIT72,AHT72="VLOC",AIM72)))))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O72" s="136" t="e">
        <f t="array" aca="1" ref="AMO72" ca="1">INDEX(Canals!$AM$24:$AM$29,MATCH(2,1/((Canals!$F$24:$F$29&lt;=$C72)*(Canals!$G$24:$G$29=_xlfn.IFS(AHT72="Handysize",Main!AKC72,AHT72="Supramax",AJV72,AHT72="Panamax",AJO72,AHT72="NeoPanamax",AJH72,AHT72="Suezmax",AJA72,AHT72="Capesize",AIT72,AHT72="VLOC",AIM72)))))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P72" s="136" t="e">
        <f t="array" aca="1" ref="AMP72" ca="1">INDEX(Canals!$AN$24:$AN$29,MATCH(2,1/((Canals!$F$24:$F$29&lt;=$C72)*(Canals!$G$24:$G$29=_xlfn.IFS(AHT72="Handysize",Main!AKC72,AHT72="Supramax",AJV72,AHT72="Panamax",AJO72,AHT72="NeoPanamax",AJH72,AHT72="Suezmax",AJA72,AHT72="Capesize",AIT72,AHT72="VLOC",AIM72)))))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Q72" s="136" t="e">
        <f t="array" aca="1" ref="AMQ72" ca="1">INDEX(Canals!$AO$24:$AO$29,MATCH(2,1/((Canals!$F$24:$F$29&lt;=$C72)*(Canals!$G$24:$G$29=_xlfn.IFS(AHT72="Handysize",Main!AKC72,AHT72="Supramax",AJV72,AHT72="Panamax",AJO72,AHT72="NeoPanamax",AJH72,AHT72="Suezmax",AJA72,AHT72="Capesize",AIT72,AHT72="VLOC",AIM72)))))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R72" s="136" t="e">
        <f t="array" aca="1" ref="AMR72" ca="1">INDEX(Canals!$AP$24:$AP$29,MATCH(2,1/((Canals!$F$24:$F$29&lt;=$C72)*(Canals!$G$24:$G$29=_xlfn.IFS(AHT72="Handysize",Main!AKC72,AHT72="Supramax",AJV72,AHT72="Panamax",AJO72,AHT72="NeoPanamax",AJH72,AHT72="Suezmax",AJA72,AHT72="Capesize",AIT72,AHT72="VLOC",AIM72)))))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S72" s="136" t="e">
        <f t="array" aca="1" ref="AMS72" ca="1">INDEX(Canals!$AQ$24:$AQ$29,MATCH(2,1/((Canals!$F$24:$F$29&lt;=$C72)*(Canals!$G$24:$G$29=_xlfn.IFS(AHT72="Handysize",Main!AKC72,AHT72="Supramax",AJV72,AHT72="Panamax",AJO72,AHT72="NeoPanamax",AJH72,AHT72="Suezmax",AJA72,AHT72="Capesize",AIT72,AHT72="VLOC",AIM72)))))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T72" s="136" t="e">
        <f t="array" aca="1" ref="AMT72" ca="1">INDEX(Canals!$AR$24:$AR$29,MATCH(2,1/((Canals!$F$24:$F$29&lt;=$C72)*(Canals!$G$24:$G$29=_xlfn.IFS(AHT72="Handysize",Main!AKC72,AHT72="Supramax",AJV72,AHT72="Panamax",AJO72,AHT72="NeoPanamax",AJH72,AHT72="Suezmax",AJA72,AHT72="Capesize",AIT72,AHT72="VLOC",AIM72)))))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U72" s="136" t="e">
        <f t="array" aca="1" ref="AMU72" ca="1">INDEX(Canals!$AS$24:$AS$29,MATCH(2,1/((Canals!$F$24:$F$29&lt;=$C72)*(Canals!$G$24:$G$29=_xlfn.IFS(AHT72="Handysize",Main!AKC72,AHT72="Supramax",AJV72,AHT72="Panamax",AJO72,AHT72="NeoPanamax",AJH72,AHT72="Suezmax",AJA72,AHT72="Capesize",AIT72,AHT72="VLOC",AIM72)))))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V72" s="136" t="e">
        <f t="array" aca="1" ref="AMV72" ca="1">INDEX(Canals!$AT$24:$AT$29,MATCH(2,1/((Canals!$F$24:$F$29&lt;=$C72)*(Canals!$G$24:$G$29=_xlfn.IFS(AHT72="Handysize",Main!AKC72,AHT72="Supramax",AJV72,AHT72="Panamax",AJO72,AHT72="NeoPanamax",AJH72,AHT72="Suezmax",AJA72,AHT72="Capesize",AIT72,AHT72="VLOC",AIM72)))))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W72" s="136" t="e">
        <f t="array" aca="1" ref="AMW72" ca="1">INDEX(Canals!$AU$24:$AU$29,MATCH(2,1/((Canals!$F$24:$F$29&lt;=$C72)*(Canals!$G$24:$G$29=_xlfn.IFS(AHT72="Handysize",Main!AKC72,AHT72="Supramax",AJV72,AHT72="Panamax",AJO72,AHT72="NeoPanamax",AJH72,AHT72="Suezmax",AJA72,AHT72="Capesize",AIT72,AHT72="VLOC",AIM72)))))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X72" s="136" t="e">
        <f t="array" aca="1" ref="AMX72" ca="1">INDEX(Canals!$AV$24:$AV$29,MATCH(2,1/((Canals!$F$24:$F$29&lt;=$C72)*(Canals!$G$24:$G$29=_xlfn.IFS(AHT72="Handysize",Main!AKC72,AHT72="Supramax",AJV72,AHT72="Panamax",AJO72,AHT72="NeoPanamax",AJH72,AHT72="Suezmax",AJA72,AHT72="Capesize",AIT72,AHT72="VLOC",AIM72)))))</f>
        <v>#N/A</v>
      </c>
      <c r="AMZ72" s="75" t="e">
        <f t="array" aca="1" ref="AMZ72" ca="1">_xlfn.IFS(ALK72="DWT",AHR72,ALK72="NRT",AHV72,ALK72="GRT",AHW72,ALK72=0,0)</f>
        <v>#NAME?</v>
      </c>
      <c r="ANA72" s="279" t="e">
        <f t="shared" ca="1" si="944"/>
        <v>#NAME?</v>
      </c>
      <c r="ANB72" s="280" t="e">
        <f t="shared" ca="1" si="945"/>
        <v>#NAME?</v>
      </c>
      <c r="ANC72" s="280" t="e">
        <f t="shared" ca="1" si="946"/>
        <v>#NAME?</v>
      </c>
      <c r="AND72" s="280" t="e">
        <f t="shared" ca="1" si="947"/>
        <v>#NAME?</v>
      </c>
      <c r="ANE72" s="280" t="e">
        <f t="shared" ca="1" si="948"/>
        <v>#NAME?</v>
      </c>
      <c r="ANF72" s="280" t="e">
        <f t="shared" ca="1" si="949"/>
        <v>#NAME?</v>
      </c>
      <c r="ANG72" s="280" t="e">
        <f t="shared" ca="1" si="950"/>
        <v>#NAME?</v>
      </c>
      <c r="ANH72" s="280" t="e">
        <f t="shared" ca="1" si="951"/>
        <v>#NAME?</v>
      </c>
      <c r="ANI72" s="280" t="e">
        <f t="shared" ca="1" si="952"/>
        <v>#NAME?</v>
      </c>
      <c r="ANJ72" s="75">
        <f t="shared" si="953"/>
        <v>0</v>
      </c>
      <c r="ANK72" s="279" t="e">
        <f t="shared" ca="1" si="954"/>
        <v>#N/A</v>
      </c>
      <c r="ANL72" s="280" t="e">
        <f t="shared" ca="1" si="955"/>
        <v>#N/A</v>
      </c>
      <c r="ANM72" s="280" t="e">
        <f t="shared" ca="1" si="956"/>
        <v>#N/A</v>
      </c>
      <c r="ANN72" s="280" t="e">
        <f t="shared" ca="1" si="957"/>
        <v>#N/A</v>
      </c>
      <c r="ANO72" s="280" t="e">
        <f t="shared" ca="1" si="958"/>
        <v>#N/A</v>
      </c>
      <c r="ANP72" s="280" t="e">
        <f t="shared" ca="1" si="959"/>
        <v>#N/A</v>
      </c>
      <c r="ANQ72" s="280" t="e">
        <f t="shared" ca="1" si="960"/>
        <v>#N/A</v>
      </c>
      <c r="ANR72" s="280" t="e">
        <f t="shared" ca="1" si="961"/>
        <v>#N/A</v>
      </c>
      <c r="ANS72" s="280" t="e">
        <f t="shared" ca="1" si="962"/>
        <v>#N/A</v>
      </c>
      <c r="ANU72" s="75" t="e">
        <f t="array" aca="1" ref="ANU72" ca="1">_xlfn.IFS(AHT72="Handysize",Main!AJW72,AHT72="Supramax",AJP72,AHT72="Panamax",AJI72,AHT72="NeoPanamax",AJB72,AHT72="Suezmax",AIU72,AHT72="Capesize",AIN72,AHT72="VLOC",AIG72)*$JI72</f>
        <v>#NAME?</v>
      </c>
      <c r="ANV72" s="274" t="e">
        <f t="array" aca="1" ref="ANV72" ca="1">_xlfn.IFS(AHT72="Handysize",Main!AJX72,AHT72="Supramax",AJQ72,AHT72="Panamax",AJJ72,AHT72="NeoPanamax",AJC72,AHT72="Suezmax",AIV72,AHT72="Capesize",AIO72,AHT72="VLOC",AIH72)*$JI72</f>
        <v>#NAME?</v>
      </c>
      <c r="ANW72" s="71" t="e">
        <f t="array" aca="1" ref="ANW72" ca="1">_xlfn.IFS(AHT72="Handysize",Main!AHY72,AHT72="Supramax",AHZ72,AHT72="Panamax",AIA72,AHT72="NeoPanamax",AIB72,AHT72="Suezmax",AIC72,AHT72="Capesize",AID72,AHT72="VLOC",AIE72)</f>
        <v>#NAME?</v>
      </c>
      <c r="ANX72" s="71" t="e">
        <f t="array" aca="1" ref="ANX72" ca="1">_xlfn.IFS(AHT72="Handysize",Main!AKK72,AHT72="Supramax",AKL72,AHT72="Panamax",AKM72,AHT72="NeoPanamax",AKN72,AHT72="Suezmax",AKO72,AHT72="Capesize",AKP72,AHT72="VLOC",AKQ72)</f>
        <v>#NAME?</v>
      </c>
      <c r="ANY72" s="70">
        <f t="array" ref="ANY72">INDEX('Ship Speeds'!$G$11:$G$1011,MATCH(2,1/(('Ship Speeds'!$E$11:$E$1011&lt;=Main!$C72)*('Ship Speeds'!$F$11:$F$1011=Main!AHS72))))</f>
        <v>11</v>
      </c>
      <c r="ANZ72" s="403">
        <f t="shared" si="963"/>
        <v>0</v>
      </c>
      <c r="AOA72" s="401">
        <f t="shared" si="964"/>
        <v>1.2</v>
      </c>
      <c r="AOB72" s="70" t="e">
        <f t="shared" ca="1" si="965"/>
        <v>#NAME?</v>
      </c>
      <c r="AOC72" s="70" t="e">
        <f t="shared" ca="1" si="966"/>
        <v>#NAME?</v>
      </c>
      <c r="AOD72" s="70" t="e">
        <f t="shared" ca="1" si="967"/>
        <v>#NAME?</v>
      </c>
      <c r="AOE72" s="70" t="e">
        <f t="shared" ca="1" si="968"/>
        <v>#NAME?</v>
      </c>
      <c r="AOF72" s="72" t="e">
        <f t="shared" ca="1" si="969"/>
        <v>#N/A</v>
      </c>
      <c r="AOG72" s="70" t="e">
        <f t="shared" ca="1" si="970"/>
        <v>#NAME?</v>
      </c>
      <c r="AOH72" s="70" t="e">
        <f t="array" aca="1" ref="AOH72" ca="1">IF(ANU72=0,0,INDEX(AKE72:AKI72,MATCH(_xlfn.IFS(AHT72="Handysize",Main!AKA72,AHT72="Supramax",AJT72,AHT72="Panamax",AJM72,AHT72="NeoPanamax",AJF72,AHT72="Suezmax",AIY72,AHT72="Capesize",AIR72,AHT72="VLOC",AIK72),$AKE$7:$AKI$7,0)))</f>
        <v>#NAME?</v>
      </c>
      <c r="AOI72" s="70" t="e">
        <f t="array" aca="1" ref="AOI72" ca="1">IF(ANU72=0,0,INDEX(AKE72:AKI72,MATCH(_xlfn.IFS(AHT72="Handysize",Main!AKB72,AHT72="Supramax",AJU72,AHT72="Panamax",AJN72,AHT72="NeoPanamax",AJG72,AHT72="Suezmax",AIZ72,AHT72="Capesize",AIS72,AHT72="VLOC",AIL72),$AKE$7:$AKI$7,0)))</f>
        <v>#NAME?</v>
      </c>
      <c r="AOJ72" s="71" t="e">
        <f t="shared" ca="1" si="971"/>
        <v>#NAME?</v>
      </c>
      <c r="AOK72" s="71" t="e">
        <f t="shared" ca="1" si="972"/>
        <v>#NAME?</v>
      </c>
      <c r="AOL72" s="281" t="e">
        <f t="shared" ca="1" si="973"/>
        <v>#NAME?</v>
      </c>
      <c r="AOM72" s="71" t="e">
        <f t="shared" ca="1" si="974"/>
        <v>#NAME?</v>
      </c>
      <c r="AON72" s="71" t="e">
        <f t="shared" ca="1" si="975"/>
        <v>#NAME?</v>
      </c>
      <c r="AOO72" s="71" t="e">
        <f t="shared" ca="1" si="976"/>
        <v>#NAME?</v>
      </c>
      <c r="AOP72" s="71" t="e">
        <f t="shared" ca="1" si="977"/>
        <v>#NAME?</v>
      </c>
      <c r="AOQ72" s="71" t="e">
        <f t="shared" ca="1" si="978"/>
        <v>#NAME?</v>
      </c>
      <c r="AOR72" s="71" t="e">
        <f t="shared" ca="1" si="979"/>
        <v>#NAME?</v>
      </c>
      <c r="AOS72" s="71" t="e">
        <f t="shared" ca="1" si="980"/>
        <v>#NAME?</v>
      </c>
      <c r="AOT72" s="71" t="e">
        <f t="shared" ca="1" si="981"/>
        <v>#NAME?</v>
      </c>
      <c r="AOU72" s="71" t="e">
        <f t="shared" ca="1" si="982"/>
        <v>#NAME?</v>
      </c>
      <c r="AOV72" s="71" t="e">
        <f t="shared" ca="1" si="983"/>
        <v>#NAME?</v>
      </c>
      <c r="AOW72" s="71" t="e">
        <f t="shared" ca="1" si="984"/>
        <v>#NAME?</v>
      </c>
      <c r="AOX72" s="71" t="e">
        <f t="shared" ca="1" si="985"/>
        <v>#NAME?</v>
      </c>
      <c r="AOY72" s="72" t="e">
        <f t="shared" ca="1" si="986"/>
        <v>#NAME?</v>
      </c>
      <c r="AOZ72" s="72" t="e">
        <f t="shared" ca="1" si="987"/>
        <v>#NAME?</v>
      </c>
      <c r="APA72" s="71" t="e">
        <f t="shared" ca="1" si="988"/>
        <v>#NAME?</v>
      </c>
      <c r="APB72" s="71" t="e">
        <f t="array" aca="1" ref="APB72" ca="1">IF(ANU72=0,0,INDEX('Ship Time Charter Rates'!$H$22:$H$1021,MATCH(2,1/(('Ship Time Charter Rates'!$G$22:$G$1021=_xlfn.IFS(AHT72="Handysize",Main!AJY72,AHT72="Supramax",AJR72,AHT72="Panamax",AJK72,AHT72="NeoPanamax",AJD72,AHT72="Suezmax",AIW72,AHT72="Capesize",AIP72,AHT72="VLOC",AII72))*('Ship Time Charter Rates'!$E$22:$E$1021&lt;=Main!$C72)*(NOT(ISBLANK('Ship Time Charter Rates'!$H$22:$H$1021)))))))</f>
        <v>#NAME?</v>
      </c>
      <c r="APC72" s="71" t="e">
        <f t="shared" ca="1" si="989"/>
        <v>#NAME?</v>
      </c>
      <c r="APD72" s="70" t="e">
        <f t="shared" ca="1" si="990"/>
        <v>#NAME?</v>
      </c>
      <c r="APE72" s="71" t="e">
        <f t="shared" ca="1" si="991"/>
        <v>#NAME?</v>
      </c>
      <c r="APF72" s="71" t="e">
        <f t="shared" ca="1" si="992"/>
        <v>#NAME?</v>
      </c>
      <c r="APG72" s="72" t="e">
        <f t="shared" ca="1" si="993"/>
        <v>#NAME?</v>
      </c>
      <c r="API72" s="287" t="s">
        <v>39</v>
      </c>
      <c r="APK72" s="289" t="e">
        <f t="shared" ca="1" si="994"/>
        <v>#NAME?</v>
      </c>
      <c r="APL72" s="289" t="e">
        <f t="shared" ca="1" si="995"/>
        <v>#NAME?</v>
      </c>
      <c r="APM72" s="289" t="e">
        <f t="shared" ca="1" si="996"/>
        <v>#NAME?</v>
      </c>
      <c r="APO72" s="287" t="s">
        <v>39</v>
      </c>
    </row>
    <row r="73" spans="1:1107">
      <c r="B73" s="445" t="e">
        <f t="shared" ca="1" si="997"/>
        <v>#NAME?</v>
      </c>
      <c r="C73" s="18">
        <f t="shared" si="674"/>
        <v>43934</v>
      </c>
      <c r="D73" s="7" t="s">
        <v>20</v>
      </c>
      <c r="E73" s="86" t="s">
        <v>156</v>
      </c>
      <c r="F73" s="6">
        <v>56.965101330524895</v>
      </c>
      <c r="G73" s="1" t="s">
        <v>4</v>
      </c>
      <c r="H73" s="1" t="s">
        <v>5</v>
      </c>
      <c r="I73" s="15"/>
      <c r="J73" s="16">
        <f>J$80+J$81</f>
        <v>0.47</v>
      </c>
      <c r="K73" s="15"/>
      <c r="L73" s="16">
        <f>L$80-L$81</f>
        <v>0.03</v>
      </c>
      <c r="M73" s="15"/>
      <c r="N73" s="15"/>
      <c r="O73" s="16">
        <f>O$80+O$81</f>
        <v>0.15000000000000002</v>
      </c>
      <c r="P73" s="433">
        <v>77000</v>
      </c>
      <c r="Q73" s="98"/>
      <c r="R73" s="7" t="s">
        <v>95</v>
      </c>
      <c r="T73" s="287" t="s">
        <v>39</v>
      </c>
      <c r="V73" s="4"/>
      <c r="W73" s="16" t="str">
        <f t="shared" si="675"/>
        <v>not used yet</v>
      </c>
      <c r="X73" s="16" t="str">
        <f t="shared" si="675"/>
        <v>not used yet</v>
      </c>
      <c r="Y73" s="16" t="str">
        <f t="shared" si="675"/>
        <v>not used yet</v>
      </c>
      <c r="Z73" s="16" t="str">
        <f t="shared" si="675"/>
        <v>not used yet</v>
      </c>
      <c r="AA73" s="16" t="str">
        <f t="shared" si="675"/>
        <v>not used yet</v>
      </c>
      <c r="AB73" s="16" t="str">
        <f t="shared" si="675"/>
        <v>not used yet</v>
      </c>
      <c r="AC73" s="16" t="str">
        <f t="shared" si="675"/>
        <v>not used yet</v>
      </c>
      <c r="AE73" s="88" t="str">
        <f t="shared" si="676"/>
        <v>West Kalimantan Generic</v>
      </c>
      <c r="AF73" s="16">
        <f t="shared" si="677"/>
        <v>0.48</v>
      </c>
      <c r="AG73" s="16">
        <f t="shared" si="678"/>
        <v>0.47</v>
      </c>
      <c r="AH73" s="61">
        <f t="shared" si="679"/>
        <v>0.08</v>
      </c>
      <c r="AI73" s="61">
        <f t="shared" si="680"/>
        <v>0.03</v>
      </c>
      <c r="AJ73" s="61">
        <f t="shared" si="681"/>
        <v>4.4999999999999998E-2</v>
      </c>
      <c r="AK73" s="16">
        <f t="shared" si="682"/>
        <v>5.0000000000000001E-3</v>
      </c>
      <c r="AL73" s="16">
        <f t="shared" si="683"/>
        <v>0.15000000000000002</v>
      </c>
      <c r="AM73" s="24" t="str">
        <f t="shared" si="684"/>
        <v>LT</v>
      </c>
      <c r="AN73" s="427">
        <f t="shared" si="685"/>
        <v>77000</v>
      </c>
      <c r="AO73" s="127" t="str">
        <f t="array" ref="AO73">IFERROR(IF(AND(AN73&gt;'Indices Mines Exporting Ports'!$D$11,MATCH(2,1/(('Indices Mines Exporting Ports'!$B$3:$B$10&lt;=C73)*('Indices Mines Exporting Ports'!$C$3:$C$10=E73)))),"Yes","No"),"No")</f>
        <v>No</v>
      </c>
      <c r="AP73" s="126" t="str">
        <f t="array" ref="AP73">IF(AO73="Yes",INDEX('Indices Mines Exporting Ports'!$D$3:$D$10,MATCH(2,1/(('Indices Mines Exporting Ports'!$B$3:$B$10&lt;=Main!C73)*('Indices Mines Exporting Ports'!$C$3:$C$10=Main!AE73)))),IF(NOT(ISBLANK(Q73)),Q73,IP73))</f>
        <v>West_Kal_Generic_Offshore</v>
      </c>
      <c r="AQ73" s="262">
        <f t="array" ref="AQ73">IF(AO73="no",0,INDEX('Indices Mines Exporting Ports'!$E$3:$E$10,MATCH(2,1/(('Indices Mines Exporting Ports'!$B$3:$B$10&lt;=Main!$C73)*('Indices Mines Exporting Ports'!$D$3:$D$10=Main!$AP73)))))</f>
        <v>0</v>
      </c>
      <c r="AR73" s="267">
        <f t="array" ref="AR73">IF(AO73="No",0,AN73/ROUND(AN73/INDEX('Indices Mines Exporting Ports'!$F$3:$F$10,MATCH(2,1/(('Indices Mines Exporting Ports'!$B$3:$B$10&lt;=Main!C73)*('Indices Mines Exporting Ports'!$C$3:$C$10=Main!AE73)))),0))</f>
        <v>0</v>
      </c>
      <c r="AS73" s="127" t="str">
        <f t="shared" si="686"/>
        <v>Qingdao</v>
      </c>
      <c r="AT73" s="100" t="str">
        <f t="shared" si="687"/>
        <v>Indonesian LT</v>
      </c>
      <c r="AU73" s="100" t="str">
        <f t="shared" si="688"/>
        <v>CBIX LT</v>
      </c>
      <c r="AV73" s="242" t="s">
        <v>4</v>
      </c>
      <c r="AW73" s="242" t="s">
        <v>5</v>
      </c>
      <c r="AX73" s="292" t="e">
        <f t="shared" ca="1" si="689"/>
        <v>#NAME?</v>
      </c>
      <c r="AY73" s="291" t="e">
        <f t="shared" ca="1" si="690"/>
        <v>#NAME?</v>
      </c>
      <c r="AZ73" s="292" t="e">
        <f t="shared" ca="1" si="691"/>
        <v>#NAME?</v>
      </c>
      <c r="BA73" s="102">
        <f t="shared" si="692"/>
        <v>0.33</v>
      </c>
      <c r="BB73" s="12"/>
      <c r="BC73" s="306" t="s">
        <v>403</v>
      </c>
      <c r="BD73" s="407">
        <f t="shared" si="693"/>
        <v>0</v>
      </c>
      <c r="BE73" s="407" t="e">
        <f t="shared" ca="1" si="693"/>
        <v>#NAME?</v>
      </c>
      <c r="BF73" s="407">
        <f t="shared" si="693"/>
        <v>0</v>
      </c>
      <c r="BG73" s="407" t="e">
        <f t="shared" ca="1" si="694"/>
        <v>#NAME?</v>
      </c>
      <c r="BH73" s="407">
        <f t="shared" si="695"/>
        <v>0</v>
      </c>
      <c r="BI73" s="263" t="e">
        <f t="shared" ca="1" si="696"/>
        <v>#NAME?</v>
      </c>
      <c r="BK73" s="287" t="s">
        <v>39</v>
      </c>
      <c r="BM73" s="291" t="e">
        <f t="shared" ca="1" si="697"/>
        <v>#NAME?</v>
      </c>
      <c r="BN73" s="298">
        <f t="shared" si="698"/>
        <v>0.48</v>
      </c>
      <c r="BO73" s="298">
        <f t="shared" si="699"/>
        <v>0.47</v>
      </c>
      <c r="BP73" s="298">
        <f t="shared" si="700"/>
        <v>0.08</v>
      </c>
      <c r="BQ73" s="298">
        <f t="shared" si="701"/>
        <v>0.03</v>
      </c>
      <c r="BR73" s="298">
        <f t="shared" si="702"/>
        <v>4.4999999999999998E-2</v>
      </c>
      <c r="BS73" s="298">
        <f t="shared" si="703"/>
        <v>5.0000000000000001E-3</v>
      </c>
      <c r="BT73" s="298">
        <f t="shared" si="704"/>
        <v>0.15000000000000002</v>
      </c>
      <c r="BU73" s="307" t="str">
        <f t="shared" si="705"/>
        <v>LT</v>
      </c>
      <c r="BV73" s="291">
        <f t="shared" si="706"/>
        <v>0.33</v>
      </c>
      <c r="BX73" s="300">
        <f t="array" ref="BX73">INDEX('Processing Factors'!$D$8:$D$29,MATCH(2,1/(('Processing Factors'!$B$8:$B$29&lt;=Main!$C73)*('Processing Factors'!$C$8:$C$29=Main!BU73))))</f>
        <v>0</v>
      </c>
      <c r="BY73" s="299">
        <f t="array" ref="BY73">INDEX('Processing Factors'!$E$8:$E$29,MATCH(2,1/(('Processing Factors'!$B$8:$B$29&lt;=Main!$C73)*('Processing Factors'!$C$8:$C$29=Main!BU73))))</f>
        <v>1</v>
      </c>
      <c r="BZ73" s="299">
        <f t="array" ref="BZ73">INDEX('Processing Factors'!$F$8:$F$29,MATCH(2,1/(('Processing Factors'!$B$8:$B$29&lt;=Main!$C73)*('Processing Factors'!$C$8:$C$29=Main!BU73))))</f>
        <v>0.9</v>
      </c>
      <c r="CA73" s="299">
        <f t="array" ref="CA73">INDEX('Processing Factors'!$G$8:$G$29,MATCH(2,1/(('Processing Factors'!$B$8:$B$29&lt;=Main!$C73)*('Processing Factors'!$C$8:$C$29=Main!BU73))))</f>
        <v>3.5999999999999997E-2</v>
      </c>
      <c r="CB73" s="299">
        <f t="array" ref="CB73">INDEX('Processing Factors'!$H$8:$H$29,MATCH(2,1/(('Processing Factors'!$B$8:$B$29&lt;=Main!$C73)*('Processing Factors'!$C$8:$C$29=Main!BU73))))</f>
        <v>12.15</v>
      </c>
      <c r="CC73" s="300">
        <f t="array" ref="CC73">INDEX('Processing Factors'!$I$8:$I$29,MATCH(2,1/(('Processing Factors'!$B$8:$B$29&lt;=Main!$C73)*('Processing Factors'!$C$8:$C$29=Main!BU73))))</f>
        <v>0</v>
      </c>
      <c r="CD73" s="300">
        <f t="array" ref="CD73">INDEX('Processing Factors'!$J$8:$J$29,MATCH(2,1/(('Processing Factors'!$B$8:$B$29&lt;=Main!$C73)*('Processing Factors'!$C$8:$C$29=Main!BU73))))</f>
        <v>0.9</v>
      </c>
      <c r="CE73" s="299">
        <f t="array" ref="CE73">INDEX('Processing Factors'!$K$8:$K$29,MATCH(2,1/(('Processing Factors'!$B$8:$B$29&lt;=Main!$C73)*('Processing Factors'!$C$8:$C$29=Main!BU73))))</f>
        <v>3.5000000000000003E-2</v>
      </c>
      <c r="CG73" s="302">
        <f t="shared" si="707"/>
        <v>0.5</v>
      </c>
      <c r="CH73" s="302">
        <f t="shared" si="708"/>
        <v>0.03</v>
      </c>
      <c r="CI73" s="302">
        <f t="shared" si="709"/>
        <v>0.47</v>
      </c>
      <c r="CJ73" s="299">
        <f t="shared" si="710"/>
        <v>2.3640661938534278</v>
      </c>
      <c r="CK73" s="281" t="e">
        <f t="shared" ca="1" si="711"/>
        <v>#NAME?</v>
      </c>
      <c r="CL73" s="299">
        <f t="shared" si="712"/>
        <v>9.8829787234042552E-2</v>
      </c>
      <c r="CM73" s="281">
        <f t="shared" si="713"/>
        <v>23.718858728957528</v>
      </c>
      <c r="CN73" s="281">
        <f t="shared" si="714"/>
        <v>50.321396655852695</v>
      </c>
      <c r="CO73" s="281">
        <f t="shared" si="715"/>
        <v>1.2197497818850218</v>
      </c>
      <c r="CP73" s="299">
        <f t="shared" si="716"/>
        <v>1.4988959810874702</v>
      </c>
      <c r="CQ73" s="281">
        <f t="shared" si="717"/>
        <v>6.3481876597214502</v>
      </c>
      <c r="CR73" s="281" t="e">
        <f t="shared" ca="1" si="718"/>
        <v>#NAME?</v>
      </c>
      <c r="CT73" s="287" t="s">
        <v>39</v>
      </c>
      <c r="CV73" s="305" t="e">
        <f t="shared" ca="1" si="719"/>
        <v>#NAME?</v>
      </c>
      <c r="CW73" s="61">
        <f t="array" ref="CW73">INDEX('Indices Mines Exporting Ports'!E$20:E$51, MATCH(2,1/(('Indices Mines Exporting Ports'!$C$20:$C$51=$AT73)*('Indices Mines Exporting Ports'!$D$20:$D$51&lt;=$C73))))</f>
        <v>0.48</v>
      </c>
      <c r="CX73" s="61">
        <f t="array" ref="CX73">INDEX('Indices Mines Exporting Ports'!F$20:F$51, MATCH(2,1/(('Indices Mines Exporting Ports'!$C$20:$C$51=$AT73)*('Indices Mines Exporting Ports'!$D$20:$D$51&lt;=$C73))))</f>
        <v>0.44</v>
      </c>
      <c r="CY73" s="61">
        <f t="array" ref="CY73">INDEX('Indices Mines Exporting Ports'!G$20:G$51, MATCH(2,1/(('Indices Mines Exporting Ports'!$C$20:$C$51=$AT73)*('Indices Mines Exporting Ports'!$D$20:$D$51&lt;=$C73))))</f>
        <v>0.08</v>
      </c>
      <c r="CZ73" s="61">
        <f t="array" ref="CZ73">INDEX('Indices Mines Exporting Ports'!H$20:H$51, MATCH(2,1/(('Indices Mines Exporting Ports'!$C$20:$C$51=$AT73)*('Indices Mines Exporting Ports'!$D$20:$D$51&lt;=$C73))))</f>
        <v>3.5000000000000003E-2</v>
      </c>
      <c r="DA73" s="61">
        <f t="array" ref="DA73">INDEX('Indices Mines Exporting Ports'!I$20:I$51, MATCH(2,1/(('Indices Mines Exporting Ports'!$C$20:$C$51=$AT73)*('Indices Mines Exporting Ports'!$D$20:$D$51&lt;=$C73))))</f>
        <v>4.4999999999999998E-2</v>
      </c>
      <c r="DB73" s="61">
        <f t="array" ref="DB73">INDEX('Indices Mines Exporting Ports'!J$20:J$51, MATCH(2,1/(('Indices Mines Exporting Ports'!$C$20:$C$51=$AT73)*('Indices Mines Exporting Ports'!$D$20:$D$51&lt;=$C73))))</f>
        <v>5.0000000000000001E-3</v>
      </c>
      <c r="DC73" s="61">
        <f t="array" ref="DC73">INDEX('Indices Mines Exporting Ports'!K$20:K$51, MATCH(2,1/(('Indices Mines Exporting Ports'!$C$20:$C$51=$AT73)*('Indices Mines Exporting Ports'!$D$20:$D$51&lt;=$C73))))</f>
        <v>0.15</v>
      </c>
      <c r="DD73" s="103" t="str">
        <f t="array" ref="DD73">INDEX('Indices Mines Exporting Ports'!L$20:L$51, MATCH(2,1/(('Indices Mines Exporting Ports'!$C$20:$C$51=$AT73)*('Indices Mines Exporting Ports'!$D$20:$D$51&lt;=$C73))))</f>
        <v>LT</v>
      </c>
      <c r="DE73" s="243">
        <f t="array" ref="DE73">INDEX('Indices Mines Exporting Ports'!M$20:M$51, MATCH(2,1/(('Indices Mines Exporting Ports'!$C$20:$C$51=$AT73)*('Indices Mines Exporting Ports'!$D$20:$D$51&lt;=$C73))))</f>
        <v>0.33</v>
      </c>
      <c r="DG73" s="300">
        <f t="array" ref="DG73">INDEX('Processing Factors'!$D$8:$D$29,MATCH(2,1/(('Processing Factors'!$B$8:$B$29&lt;=Main!$C73)*('Processing Factors'!$C$8:$C$29=Main!DD73))))</f>
        <v>0</v>
      </c>
      <c r="DH73" s="299">
        <f t="array" ref="DH73">INDEX('Processing Factors'!$E$8:$E$29,MATCH(2,1/(('Processing Factors'!$B$8:$B$29&lt;=Main!$C73)*('Processing Factors'!$C$8:$C$29=Main!DD73))))</f>
        <v>1</v>
      </c>
      <c r="DI73" s="299">
        <f t="array" ref="DI73">INDEX('Processing Factors'!$F$8:$F$29,MATCH(2,1/(('Processing Factors'!$B$8:$B$29&lt;=Main!$C73)*('Processing Factors'!$C$8:$C$29=Main!DD73))))</f>
        <v>0.9</v>
      </c>
      <c r="DJ73" s="299">
        <f t="array" ref="DJ73">INDEX('Processing Factors'!$G$8:$G$29,MATCH(2,1/(('Processing Factors'!$B$8:$B$29&lt;=Main!$C73)*('Processing Factors'!$C$8:$C$29=Main!DD73))))</f>
        <v>3.5999999999999997E-2</v>
      </c>
      <c r="DK73" s="299">
        <f t="array" ref="DK73">INDEX('Processing Factors'!$H$8:$H$29,MATCH(2,1/(('Processing Factors'!$B$8:$B$29&lt;=Main!$C73)*('Processing Factors'!$C$8:$C$29=Main!DD73))))</f>
        <v>12.15</v>
      </c>
      <c r="DL73" s="300">
        <f t="array" ref="DL73">INDEX('Processing Factors'!$I$8:$I$29,MATCH(2,1/(('Processing Factors'!$B$8:$B$29&lt;=Main!$C73)*('Processing Factors'!$C$8:$C$29=Main!DD73))))</f>
        <v>0</v>
      </c>
      <c r="DM73" s="300">
        <f t="array" ref="DM73">INDEX('Processing Factors'!$J$8:$J$29,MATCH(2,1/(('Processing Factors'!$B$8:$B$29&lt;=Main!$C73)*('Processing Factors'!$C$8:$C$29=Main!DD73))))</f>
        <v>0.9</v>
      </c>
      <c r="DN73" s="299">
        <f t="array" ref="DN73">INDEX('Processing Factors'!$K$8:$K$29,MATCH(2,1/(('Processing Factors'!$B$8:$B$29&lt;=Main!$C73)*('Processing Factors'!$C$8:$C$29=Main!DD73))))</f>
        <v>3.5000000000000003E-2</v>
      </c>
      <c r="DP73" s="302">
        <f t="shared" si="720"/>
        <v>0.47499999999999998</v>
      </c>
      <c r="DQ73" s="302">
        <f t="shared" si="721"/>
        <v>3.5000000000000003E-2</v>
      </c>
      <c r="DR73" s="302">
        <f t="shared" si="722"/>
        <v>0.43999999999999995</v>
      </c>
      <c r="DS73" s="299">
        <f t="shared" si="723"/>
        <v>2.5252525252525255</v>
      </c>
      <c r="DT73" s="304">
        <v>0</v>
      </c>
      <c r="DU73" s="299">
        <f t="shared" si="724"/>
        <v>0.11454545454545458</v>
      </c>
      <c r="DV73" s="281">
        <f t="shared" si="725"/>
        <v>27.490572735666216</v>
      </c>
      <c r="DW73" s="281">
        <f t="shared" si="726"/>
        <v>50.321396655852695</v>
      </c>
      <c r="DX73" s="281">
        <f t="shared" si="727"/>
        <v>1.2197497818850218</v>
      </c>
      <c r="DY73" s="299">
        <f t="shared" si="728"/>
        <v>1.6757979797979801</v>
      </c>
      <c r="DZ73" s="281">
        <f t="shared" si="729"/>
        <v>7.0974104872984247</v>
      </c>
      <c r="EA73" s="281">
        <f t="shared" si="730"/>
        <v>86.129129660702361</v>
      </c>
      <c r="EC73" s="287" t="s">
        <v>39</v>
      </c>
      <c r="EE73" s="305" t="e">
        <f t="shared" ca="1" si="731"/>
        <v>#NAME?</v>
      </c>
      <c r="EF73" s="16">
        <f t="array" ref="EF73">INDEX('Indices Mines Exporting Ports'!E$20:E$51, MATCH(2,1/(('Indices Mines Exporting Ports'!$C$20:$C$51=$AU73)*('Indices Mines Exporting Ports'!$D$20:$D$51&lt;=$C73))))</f>
        <v>0.5</v>
      </c>
      <c r="EG73" s="16">
        <f t="array" ref="EG73">INDEX('Indices Mines Exporting Ports'!F$20:F$51, MATCH(2,1/(('Indices Mines Exporting Ports'!$C$20:$C$51=$AU73)*('Indices Mines Exporting Ports'!$D$20:$D$51&lt;=$C73))))</f>
        <v>0.45</v>
      </c>
      <c r="EH73" s="16">
        <f t="array" ref="EH73">INDEX('Indices Mines Exporting Ports'!G$20:G$51, MATCH(2,1/(('Indices Mines Exporting Ports'!$C$20:$C$51=$AU73)*('Indices Mines Exporting Ports'!$D$20:$D$51&lt;=$C73))))</f>
        <v>0.05</v>
      </c>
      <c r="EI73" s="16">
        <f t="array" ref="EI73">INDEX('Indices Mines Exporting Ports'!H$20:H$51, MATCH(2,1/(('Indices Mines Exporting Ports'!$C$20:$C$51=$AU73)*('Indices Mines Exporting Ports'!$D$20:$D$51&lt;=$C73))))</f>
        <v>0.05</v>
      </c>
      <c r="EJ73" s="16">
        <f t="array" ref="EJ73">INDEX('Indices Mines Exporting Ports'!I$20:I$51, MATCH(2,1/(('Indices Mines Exporting Ports'!$C$20:$C$51=$AU73)*('Indices Mines Exporting Ports'!$D$20:$D$51&lt;=$C73))))</f>
        <v>0</v>
      </c>
      <c r="EK73" s="16">
        <f t="array" ref="EK73">INDEX('Indices Mines Exporting Ports'!J$20:J$51, MATCH(2,1/(('Indices Mines Exporting Ports'!$C$20:$C$51=$AU73)*('Indices Mines Exporting Ports'!$D$20:$D$51&lt;=$C73))))</f>
        <v>0</v>
      </c>
      <c r="EL73" s="16">
        <f t="array" ref="EL73">INDEX('Indices Mines Exporting Ports'!K$20:K$51, MATCH(2,1/(('Indices Mines Exporting Ports'!$C$20:$C$51=$AU73)*('Indices Mines Exporting Ports'!$D$20:$D$51&lt;=$C73))))</f>
        <v>0.1</v>
      </c>
      <c r="EM73" s="103" t="str">
        <f t="array" ref="EM73">INDEX('Indices Mines Exporting Ports'!L$20:L$51, MATCH(2,1/(('Indices Mines Exporting Ports'!$C$20:$C$51=$AU73)*('Indices Mines Exporting Ports'!$D$20:$D$51&lt;=$C73))))</f>
        <v>LT</v>
      </c>
      <c r="EN73" s="243">
        <f t="array" ref="EN73">INDEX('Indices Mines Exporting Ports'!M$20:M$51, MATCH(2,1/(('Indices Mines Exporting Ports'!$C$20:$C$51=$AU73)*('Indices Mines Exporting Ports'!$D$20:$D$51&lt;=$C73))))</f>
        <v>0</v>
      </c>
      <c r="EP73" s="300">
        <f t="array" ref="EP73">INDEX('Processing Factors'!$D$8:$D$29,MATCH(2,1/(('Processing Factors'!$B$8:$B$29&lt;=Main!$C73)*('Processing Factors'!$C$8:$C$29=Main!EM73))))</f>
        <v>0</v>
      </c>
      <c r="EQ73" s="299">
        <f t="array" ref="EQ73">INDEX('Processing Factors'!$E$8:$E$29,MATCH(2,1/(('Processing Factors'!$B$8:$B$29&lt;=Main!$C73)*('Processing Factors'!$C$8:$C$29=Main!EM73))))</f>
        <v>1</v>
      </c>
      <c r="ER73" s="299">
        <f t="array" ref="ER73">INDEX('Processing Factors'!$F$8:$F$29,MATCH(2,1/(('Processing Factors'!$B$8:$B$29&lt;=Main!$C73)*('Processing Factors'!$C$8:$C$29=Main!EM73))))</f>
        <v>0.9</v>
      </c>
      <c r="ES73" s="299">
        <f t="array" ref="ES73">INDEX('Processing Factors'!$G$8:$G$29,MATCH(2,1/(('Processing Factors'!$B$8:$B$29&lt;=Main!$C73)*('Processing Factors'!$C$8:$C$29=Main!EM73))))</f>
        <v>3.5999999999999997E-2</v>
      </c>
      <c r="ET73" s="299">
        <f t="array" ref="ET73">INDEX('Processing Factors'!$H$8:$H$29,MATCH(2,1/(('Processing Factors'!$B$8:$B$29&lt;=Main!$C73)*('Processing Factors'!$C$8:$C$29=Main!EM73))))</f>
        <v>12.15</v>
      </c>
      <c r="EU73" s="300">
        <f t="array" ref="EU73">INDEX('Processing Factors'!$I$8:$I$29,MATCH(2,1/(('Processing Factors'!$B$8:$B$29&lt;=Main!$C73)*('Processing Factors'!$C$8:$C$29=Main!EM73))))</f>
        <v>0</v>
      </c>
      <c r="EV73" s="300">
        <f t="array" ref="EV73">INDEX('Processing Factors'!$J$8:$J$29,MATCH(2,1/(('Processing Factors'!$B$8:$B$29&lt;=Main!$C73)*('Processing Factors'!$C$8:$C$29=Main!EM73))))</f>
        <v>0.9</v>
      </c>
      <c r="EW73" s="299">
        <f t="array" ref="EW73">INDEX('Processing Factors'!$K$8:$K$29,MATCH(2,1/(('Processing Factors'!$B$8:$B$29&lt;=Main!$C73)*('Processing Factors'!$C$8:$C$29=Main!EM73))))</f>
        <v>3.5000000000000003E-2</v>
      </c>
      <c r="EY73" s="302">
        <f t="shared" si="732"/>
        <v>0.5</v>
      </c>
      <c r="EZ73" s="302">
        <f t="shared" si="733"/>
        <v>0.05</v>
      </c>
      <c r="FA73" s="302">
        <f t="shared" si="734"/>
        <v>0.45</v>
      </c>
      <c r="FB73" s="299">
        <f t="shared" si="735"/>
        <v>2.4691358024691357</v>
      </c>
      <c r="FC73" s="304">
        <v>0</v>
      </c>
      <c r="FD73" s="299">
        <f t="shared" si="736"/>
        <v>0.14611111111111114</v>
      </c>
      <c r="FE73" s="281">
        <f t="shared" si="737"/>
        <v>35.06623762093578</v>
      </c>
      <c r="FF73" s="281">
        <f t="shared" si="738"/>
        <v>50.321396655852695</v>
      </c>
      <c r="FG73" s="281">
        <f t="shared" si="739"/>
        <v>1.2197497818850218</v>
      </c>
      <c r="FH73" s="299">
        <f t="shared" si="740"/>
        <v>1.6512469135802468</v>
      </c>
      <c r="FI73" s="281">
        <f t="shared" si="741"/>
        <v>6.9934307731868799</v>
      </c>
      <c r="FJ73" s="281">
        <f t="shared" si="742"/>
        <v>93.60081483186039</v>
      </c>
      <c r="FL73" s="287" t="s">
        <v>39</v>
      </c>
      <c r="FN73" s="315" t="e">
        <f t="shared" ca="1" si="743"/>
        <v>#NAME?</v>
      </c>
      <c r="FO73" s="316">
        <f t="shared" si="744"/>
        <v>0.48</v>
      </c>
      <c r="FP73" s="316">
        <f t="shared" si="745"/>
        <v>0.47</v>
      </c>
      <c r="FQ73" s="316">
        <f t="shared" si="746"/>
        <v>0.08</v>
      </c>
      <c r="FR73" s="316">
        <f t="shared" si="747"/>
        <v>0.03</v>
      </c>
      <c r="FS73" s="316">
        <f t="shared" si="748"/>
        <v>4.4999999999999998E-2</v>
      </c>
      <c r="FT73" s="316">
        <f t="shared" si="749"/>
        <v>5.0000000000000001E-3</v>
      </c>
      <c r="FU73" s="316">
        <f t="shared" si="750"/>
        <v>0.15000000000000002</v>
      </c>
      <c r="FV73" s="317" t="str">
        <f t="shared" si="751"/>
        <v>LT</v>
      </c>
      <c r="FW73" s="318">
        <v>0</v>
      </c>
      <c r="FX73" s="237"/>
      <c r="FY73" s="319">
        <f t="array" ref="FY73">INDEX('Processing Factors'!$D$8:$D$29,MATCH(2,1/(('Processing Factors'!$B$8:$B$29&lt;=Main!$C73)*('Processing Factors'!$C$8:$C$29=Main!FV73))))</f>
        <v>0</v>
      </c>
      <c r="FZ73" s="320">
        <f t="array" ref="FZ73">INDEX('Processing Factors'!$E$8:$E$29,MATCH(2,1/(('Processing Factors'!$B$8:$B$29&lt;=Main!$C73)*('Processing Factors'!$C$8:$C$29=Main!FV73))))</f>
        <v>1</v>
      </c>
      <c r="GA73" s="320">
        <f t="array" ref="GA73">INDEX('Processing Factors'!$F$8:$F$29,MATCH(2,1/(('Processing Factors'!$B$8:$B$29&lt;=Main!$C73)*('Processing Factors'!$C$8:$C$29=Main!FV73))))</f>
        <v>0.9</v>
      </c>
      <c r="GB73" s="320">
        <f t="array" ref="GB73">INDEX('Processing Factors'!$G$8:$G$29,MATCH(2,1/(('Processing Factors'!$B$8:$B$29&lt;=Main!$C73)*('Processing Factors'!$C$8:$C$29=Main!FV73))))</f>
        <v>3.5999999999999997E-2</v>
      </c>
      <c r="GC73" s="320">
        <f t="array" ref="GC73">INDEX('Processing Factors'!$H$8:$H$29,MATCH(2,1/(('Processing Factors'!$B$8:$B$29&lt;=Main!$C73)*('Processing Factors'!$C$8:$C$29=Main!FV73))))</f>
        <v>12.15</v>
      </c>
      <c r="GD73" s="319">
        <f t="array" ref="GD73">INDEX('Processing Factors'!$I$8:$I$29,MATCH(2,1/(('Processing Factors'!$B$8:$B$29&lt;=Main!$C73)*('Processing Factors'!$C$8:$C$29=Main!FV73))))</f>
        <v>0</v>
      </c>
      <c r="GE73" s="321">
        <v>0.92</v>
      </c>
      <c r="GF73" s="320">
        <f t="array" ref="GF73">INDEX('Processing Factors'!$K$8:$K$29,MATCH(2,1/(('Processing Factors'!$B$8:$B$29&lt;=Main!$C73)*('Processing Factors'!$C$8:$C$29=Main!FV73))))</f>
        <v>3.5000000000000003E-2</v>
      </c>
      <c r="GG73" s="237"/>
      <c r="GH73" s="322">
        <f t="shared" si="752"/>
        <v>0.5</v>
      </c>
      <c r="GI73" s="322">
        <f t="shared" si="753"/>
        <v>0.03</v>
      </c>
      <c r="GJ73" s="322">
        <f t="shared" si="754"/>
        <v>0.47</v>
      </c>
      <c r="GK73" s="320">
        <f t="shared" si="755"/>
        <v>2.3126734505087878</v>
      </c>
      <c r="GL73" s="323" t="e">
        <f t="shared" ca="1" si="756"/>
        <v>#NAME?</v>
      </c>
      <c r="GM73" s="320">
        <f t="shared" si="757"/>
        <v>9.7442183163737275E-2</v>
      </c>
      <c r="GN73" s="323">
        <f t="shared" si="758"/>
        <v>23.385837826692949</v>
      </c>
      <c r="GO73" s="323">
        <f t="shared" si="759"/>
        <v>50.321396655852695</v>
      </c>
      <c r="GP73" s="323">
        <f t="shared" si="760"/>
        <v>1.2197497818850218</v>
      </c>
      <c r="GQ73" s="320">
        <f t="shared" si="761"/>
        <v>1.4461156336725252</v>
      </c>
      <c r="GR73" s="323">
        <f t="shared" si="762"/>
        <v>6.1246500998353568</v>
      </c>
      <c r="GS73" s="323" t="e">
        <f t="shared" ca="1" si="763"/>
        <v>#NAME?</v>
      </c>
      <c r="GT73" s="237"/>
      <c r="GU73" s="324" t="e">
        <f t="shared" ca="1" si="764"/>
        <v>#NAME?</v>
      </c>
      <c r="GV73" s="325">
        <f t="array" ref="GV73">INDEX('Indices Mines Exporting Ports'!E$20:E$51, MATCH(2,1/(('Indices Mines Exporting Ports'!$C$20:$C$51=$BC73)*('Indices Mines Exporting Ports'!$D$20:$D$51&lt;=$C73))))</f>
        <v>0.5</v>
      </c>
      <c r="GW73" s="325">
        <f t="array" ref="GW73">INDEX('Indices Mines Exporting Ports'!F$20:F$51, MATCH(2,1/(('Indices Mines Exporting Ports'!$C$20:$C$51=$BC73)*('Indices Mines Exporting Ports'!$D$20:$D$51&lt;=$C73))))</f>
        <v>0.45</v>
      </c>
      <c r="GX73" s="325">
        <f t="array" ref="GX73">INDEX('Indices Mines Exporting Ports'!G$20:G$51, MATCH(2,1/(('Indices Mines Exporting Ports'!$C$20:$C$51=$BC73)*('Indices Mines Exporting Ports'!$D$20:$D$51&lt;=$C73))))</f>
        <v>0.05</v>
      </c>
      <c r="GY73" s="325">
        <f t="array" ref="GY73">INDEX('Indices Mines Exporting Ports'!H$20:H$51, MATCH(2,1/(('Indices Mines Exporting Ports'!$C$20:$C$51=$BC73)*('Indices Mines Exporting Ports'!$D$20:$D$51&lt;=$C73))))</f>
        <v>0.05</v>
      </c>
      <c r="GZ73" s="325">
        <f t="array" ref="GZ73">INDEX('Indices Mines Exporting Ports'!I$20:I$51, MATCH(2,1/(('Indices Mines Exporting Ports'!$C$20:$C$51=$BC73)*('Indices Mines Exporting Ports'!$D$20:$D$51&lt;=$C73))))</f>
        <v>0</v>
      </c>
      <c r="HA73" s="325">
        <f t="array" ref="HA73">INDEX('Indices Mines Exporting Ports'!J$20:J$51, MATCH(2,1/(('Indices Mines Exporting Ports'!$C$20:$C$51=$BC73)*('Indices Mines Exporting Ports'!$D$20:$D$51&lt;=$C73))))</f>
        <v>0</v>
      </c>
      <c r="HB73" s="325">
        <f t="array" ref="HB73">INDEX('Indices Mines Exporting Ports'!K$20:K$51, MATCH(2,1/(('Indices Mines Exporting Ports'!$C$20:$C$51=$BC73)*('Indices Mines Exporting Ports'!$D$20:$D$51&lt;=$C73))))</f>
        <v>0.1</v>
      </c>
      <c r="HC73" s="326" t="str">
        <f t="array" ref="HC73">INDEX('Indices Mines Exporting Ports'!L$20:L$51, MATCH(2,1/(('Indices Mines Exporting Ports'!$C$20:$C$51=$BC73)*('Indices Mines Exporting Ports'!$D$20:$D$51&lt;=$C73))))</f>
        <v>LT</v>
      </c>
      <c r="HD73" s="262">
        <f t="array" ref="HD73">INDEX('Indices Mines Exporting Ports'!M$20:M$51, MATCH(2,1/(('Indices Mines Exporting Ports'!$C$20:$C$51=$BC73)*('Indices Mines Exporting Ports'!$D$20:$D$51&lt;=$C73))))</f>
        <v>0</v>
      </c>
      <c r="HE73" s="237"/>
      <c r="HF73" s="319">
        <f t="array" ref="HF73">INDEX('Processing Factors'!$D$8:$D$29,MATCH(2,1/(('Processing Factors'!$B$8:$B$29&lt;=Main!$C73)*('Processing Factors'!$C$8:$C$29=Main!HC73))))</f>
        <v>0</v>
      </c>
      <c r="HG73" s="320">
        <f t="array" ref="HG73">INDEX('Processing Factors'!$E$8:$E$29,MATCH(2,1/(('Processing Factors'!$B$8:$B$29&lt;=Main!$C73)*('Processing Factors'!$C$8:$C$29=Main!HC73))))</f>
        <v>1</v>
      </c>
      <c r="HH73" s="320">
        <f t="array" ref="HH73">INDEX('Processing Factors'!$F$8:$F$29,MATCH(2,1/(('Processing Factors'!$B$8:$B$29&lt;=Main!$C73)*('Processing Factors'!$C$8:$C$29=Main!HC73))))</f>
        <v>0.9</v>
      </c>
      <c r="HI73" s="320">
        <f t="array" ref="HI73">INDEX('Processing Factors'!$G$8:$G$29,MATCH(2,1/(('Processing Factors'!$B$8:$B$29&lt;=Main!$C73)*('Processing Factors'!$C$8:$C$29=Main!HC73))))</f>
        <v>3.5999999999999997E-2</v>
      </c>
      <c r="HJ73" s="320">
        <f t="array" ref="HJ73">INDEX('Processing Factors'!$H$8:$H$29,MATCH(2,1/(('Processing Factors'!$B$8:$B$29&lt;=Main!$C73)*('Processing Factors'!$C$8:$C$29=Main!HC73))))</f>
        <v>12.15</v>
      </c>
      <c r="HK73" s="319">
        <f t="array" ref="HK73">INDEX('Processing Factors'!$I$8:$I$29,MATCH(2,1/(('Processing Factors'!$B$8:$B$29&lt;=Main!$C73)*('Processing Factors'!$C$8:$C$29=Main!HC73))))</f>
        <v>0</v>
      </c>
      <c r="HL73" s="321">
        <v>0.92</v>
      </c>
      <c r="HM73" s="320">
        <f t="array" ref="HM73">INDEX('Processing Factors'!$K$8:$K$29,MATCH(2,1/(('Processing Factors'!$B$8:$B$29&lt;=Main!$C73)*('Processing Factors'!$C$8:$C$29=Main!HC73))))</f>
        <v>3.5000000000000003E-2</v>
      </c>
      <c r="HN73" s="237"/>
      <c r="HO73" s="322">
        <f t="shared" si="765"/>
        <v>0.5</v>
      </c>
      <c r="HP73" s="322">
        <f t="shared" si="766"/>
        <v>0.05</v>
      </c>
      <c r="HQ73" s="322">
        <f t="shared" si="767"/>
        <v>0.45</v>
      </c>
      <c r="HR73" s="320">
        <f t="shared" si="768"/>
        <v>2.4154589371980677</v>
      </c>
      <c r="HS73" s="263">
        <v>0</v>
      </c>
      <c r="HT73" s="320">
        <f t="shared" si="769"/>
        <v>0.14369565217391306</v>
      </c>
      <c r="HU73" s="323">
        <f t="shared" si="770"/>
        <v>34.486534568845585</v>
      </c>
      <c r="HV73" s="323">
        <f t="shared" si="771"/>
        <v>50.321396655852695</v>
      </c>
      <c r="HW73" s="323">
        <f t="shared" si="772"/>
        <v>1.2197497818850218</v>
      </c>
      <c r="HX73" s="320">
        <f t="shared" si="773"/>
        <v>1.5951545893719807</v>
      </c>
      <c r="HY73" s="323">
        <f t="shared" si="774"/>
        <v>6.755866189095018</v>
      </c>
      <c r="HZ73" s="323">
        <f t="shared" si="775"/>
        <v>92.783547195678324</v>
      </c>
      <c r="IB73" s="287" t="s">
        <v>39</v>
      </c>
      <c r="ID73" s="89" t="str">
        <f t="shared" si="776"/>
        <v>West Kalimantan Generic</v>
      </c>
      <c r="IE73" s="18">
        <f t="shared" si="777"/>
        <v>43934</v>
      </c>
      <c r="IF73" s="94">
        <f t="array" ref="IF73">INDEX('Indices Mines Exporting Ports'!E$20:E$51, MATCH(2,1/(('Indices Mines Exporting Ports'!$C$20:$C$51=$ID73)*('Indices Mines Exporting Ports'!$D$20:$D$51&lt;=$IE73))))</f>
        <v>0.48</v>
      </c>
      <c r="IG73" s="94">
        <f t="array" ref="IG73">INDEX('Indices Mines Exporting Ports'!F$20:F$51, MATCH(2,1/(('Indices Mines Exporting Ports'!$C$20:$C$51=$ID73)*('Indices Mines Exporting Ports'!$D$20:$D$51&lt;=$IE73))))</f>
        <v>0.44</v>
      </c>
      <c r="IH73" s="95">
        <f t="array" ref="IH73">INDEX('Indices Mines Exporting Ports'!G$20:G$51, MATCH(2,1/(('Indices Mines Exporting Ports'!$C$20:$C$51=$ID73)*('Indices Mines Exporting Ports'!$D$20:$D$51&lt;=$IE73))))</f>
        <v>0.08</v>
      </c>
      <c r="II73" s="95">
        <f t="array" ref="II73">INDEX('Indices Mines Exporting Ports'!H$20:H$51, MATCH(2,1/(('Indices Mines Exporting Ports'!$C$20:$C$51=$ID73)*('Indices Mines Exporting Ports'!$D$20:$D$51&lt;=$IE73))))</f>
        <v>3.5000000000000003E-2</v>
      </c>
      <c r="IJ73" s="95">
        <f t="array" ref="IJ73">INDEX('Indices Mines Exporting Ports'!I$20:I$51, MATCH(2,1/(('Indices Mines Exporting Ports'!$C$20:$C$51=$ID73)*('Indices Mines Exporting Ports'!$D$20:$D$51&lt;=$IE73))))</f>
        <v>4.4999999999999998E-2</v>
      </c>
      <c r="IK73" s="94">
        <f t="array" ref="IK73">INDEX('Indices Mines Exporting Ports'!J$20:J$51, MATCH(2,1/(('Indices Mines Exporting Ports'!$C$20:$C$51=$ID73)*('Indices Mines Exporting Ports'!$D$20:$D$51&lt;=$IE73))))</f>
        <v>5.0000000000000001E-3</v>
      </c>
      <c r="IL73" s="94">
        <f t="array" ref="IL73">INDEX('Indices Mines Exporting Ports'!K$20:K$51, MATCH(2,1/(('Indices Mines Exporting Ports'!$C$20:$C$51=$ID73)*('Indices Mines Exporting Ports'!$D$20:$D$51&lt;=$IE73))))</f>
        <v>0.15</v>
      </c>
      <c r="IM73" s="93" t="str">
        <f t="array" ref="IM73">INDEX('Indices Mines Exporting Ports'!L$20:L$51, MATCH(2,1/(('Indices Mines Exporting Ports'!$C$20:$C$51=$ID73)*('Indices Mines Exporting Ports'!$D$20:$D$51&lt;=$IE73))))</f>
        <v>LT</v>
      </c>
      <c r="IN73" s="101">
        <f t="array" ref="IN73">INDEX('Indices Mines Exporting Ports'!M$20:M$51, MATCH(2,1/(('Indices Mines Exporting Ports'!$C$20:$C$51=$ID73)*('Indices Mines Exporting Ports'!$D$20:$D$51&lt;=$IE73))))</f>
        <v>0.33</v>
      </c>
      <c r="IO73" s="96">
        <f t="array" ref="IO73">INDEX('Indices Mines Exporting Ports'!N$20:N$51, MATCH(2,1/(('Indices Mines Exporting Ports'!$C$20:$C$51=$ID73)*('Indices Mines Exporting Ports'!$D$20:$D$51&lt;=$IE73))))</f>
        <v>57000</v>
      </c>
      <c r="IP73" s="95" t="str">
        <f t="array" ref="IP73">INDEX('Indices Mines Exporting Ports'!Q$20:Q$51, MATCH(2,1/(('Indices Mines Exporting Ports'!$C$20:$C$51=$ID73)*('Indices Mines Exporting Ports'!$D$20:$D$51&lt;=$IE73))))</f>
        <v>West_Kal_Generic_Offshore</v>
      </c>
      <c r="IQ73" s="95" t="str">
        <f t="array" ref="IQ73">INDEX('Indices Mines Exporting Ports'!O$20:O$51, MATCH(2,1/(('Indices Mines Exporting Ports'!$C$20:$C$51=$ID73)*('Indices Mines Exporting Ports'!$D$20:$D$51&lt;=$IE73))))</f>
        <v>Indonesian LT</v>
      </c>
      <c r="IR73" s="95" t="str">
        <f t="array" ref="IR73">INDEX('Indices Mines Exporting Ports'!P$20:P$51, MATCH(2,1/(('Indices Mines Exporting Ports'!$C$20:$C$51=$ID73)*('Indices Mines Exporting Ports'!$D$20:$D$51&lt;=$IE73))))</f>
        <v>CBIX LT</v>
      </c>
      <c r="IT73" s="287" t="s">
        <v>39</v>
      </c>
      <c r="IV73" s="292">
        <f>VLOOKUP($C73,'China Price Series'!$C$10:$D$1009,2,TRUE)/$JA73/(VLOOKUP($C73,'China Price Series'!$C$10:$E$1009,3,TRUE)*$JG73/$JF73)</f>
        <v>4.1416787371072177</v>
      </c>
      <c r="IW73" s="292">
        <f>VLOOKUP($C73,'China Price Series'!$G$10:$H$1009,2,TRUE)/$JA73/(VLOOKUP($C73,'China Price Series'!$G$10:$I$1009,3,TRUE))</f>
        <v>239.99706356533991</v>
      </c>
      <c r="IX73" s="292">
        <f>VLOOKUP($C73,'China Price Series'!$K$10:$L$1009,2,TRUE)/$JA73</f>
        <v>33.881938385695051</v>
      </c>
      <c r="IY73" s="292">
        <f>VLOOKUP($C73,'China Price Series'!$N$10:$O$1009,2,TRUE)/$JA73</f>
        <v>4.2352422982118814</v>
      </c>
      <c r="JA73" s="277">
        <f t="array" ref="JA73">INDEX('FX rates'!E$10:E$1009,MATCH(2,1/(('FX rates'!$D$10:$D$1009&lt;=Main!$C73)*(NOT(ISBLANK('FX rates'!E$10:E$1009))))))</f>
        <v>7.0834199999999994</v>
      </c>
      <c r="JB73" s="277">
        <f t="array" ref="JB73">INDEX('FX rates'!F$10:F$1009,MATCH(2,1/(('FX rates'!$D$10:$D$1009&lt;=Main!$C73)*(NOT(ISBLANK('FX rates'!F$10:F$1009))))))</f>
        <v>0.61160022139928016</v>
      </c>
      <c r="JC73" s="277">
        <f t="array" ref="JC73">INDEX('FX rates'!G$10:G$1009,MATCH(2,1/(('FX rates'!$D$10:$D$1009&lt;=Main!$C73)*(NOT(ISBLANK('FX rates'!G$10:G$1009))))))</f>
        <v>1</v>
      </c>
      <c r="JD73" s="277">
        <f t="array" ref="JD73">INDEX('FX rates'!H$10:H$1009,MATCH(2,1/(('FX rates'!$D$10:$D$1009&lt;=Main!$C73)*(NOT(ISBLANK('FX rates'!H$10:H$1009))))))</f>
        <v>1.35</v>
      </c>
      <c r="JF73" s="111">
        <f t="array" ref="JF73">INDEX('Global factors'!C$5:C$23,MATCH(2,1/(('Global factors'!$B$5:$B$23&lt;=Main!$C73)*(NOT(ISBLANK('Global factors'!C$5:C$23))))))</f>
        <v>239000</v>
      </c>
      <c r="JG73" s="112">
        <f t="array" ref="JG73">INDEX('Global factors'!D$5:D$23,MATCH(2,1/(('Global factors'!$B$5:$B$23&lt;=Main!$C73)*(NOT(ISBLANK('Global factors'!D$5:D$23))))))</f>
        <v>1000</v>
      </c>
      <c r="JH73" s="112">
        <f t="array" ref="JH73">INDEX('Global factors'!E$5:E$23,MATCH(2,1/(('Global factors'!$B$5:$B$23&lt;=Main!$C73)*(NOT(ISBLANK('Global factors'!E$5:E$23))))))</f>
        <v>24</v>
      </c>
      <c r="JI73" s="112">
        <f t="array" ref="JI73">INDEX('Global factors'!F$5:F$23,MATCH(2,1/(('Global factors'!$B$5:$B$23&lt;=Main!$C73)*(NOT(ISBLANK('Global factors'!F$5:F$23))))))</f>
        <v>2</v>
      </c>
      <c r="JJ73" s="117">
        <f t="array" ref="JJ73">INDEX('Global factors'!G$5:G$23,MATCH(2,1/(('Global factors'!$B$5:$B$23&lt;=Main!$C73)*(NOT(ISBLANK('Global factors'!G$5:G$23))))))</f>
        <v>0.08</v>
      </c>
      <c r="JK73" s="113">
        <f t="array" ref="JK73">INDEX('Global factors'!H$5:H$23,MATCH(2,1/(('Global factors'!$B$5:$B$23&lt;=Main!$C73)*(NOT(ISBLANK('Global factors'!H$5:H$23))))))</f>
        <v>101.96</v>
      </c>
      <c r="JL73" s="113">
        <f t="array" ref="JL73">INDEX('Global factors'!I$5:I$23,MATCH(2,1/(('Global factors'!$B$5:$B$23&lt;=Main!$C73)*(NOT(ISBLANK('Global factors'!I$5:I$23))))))</f>
        <v>60.08</v>
      </c>
      <c r="JM73" s="114">
        <f t="array" ref="JM73">INDEX('Global factors'!J$5:J$23,MATCH(2,1/(('Global factors'!$B$5:$B$23&lt;=Main!$C73)*(NOT(ISBLANK('Global factors'!J$5:J$23))))))</f>
        <v>0.84853528628495334</v>
      </c>
      <c r="JN73" s="115">
        <f t="array" ref="JN73">INDEX('Global factors'!K$5:K$23,MATCH(2,1/(('Global factors'!$B$5:$B$23&lt;=Main!$C73)*(NOT(ISBLANK('Global factors'!K$5:K$23))))))</f>
        <v>0.97499999999999998</v>
      </c>
      <c r="JO73" s="116">
        <f t="array" ref="JO73">INDEX('Global factors'!L$5:L$23,MATCH(2,1/(('Global factors'!$B$5:$B$23&lt;=Main!$C73)*(NOT(ISBLANK('Global factors'!L$5:L$23))))))</f>
        <v>8.7299999999999997E-4</v>
      </c>
      <c r="JP73" s="116">
        <f t="array" ref="JP73">INDEX('Global factors'!M$5:M$23,MATCH(2,1/(('Global factors'!$B$5:$B$23&lt;=Main!$C73)*(NOT(ISBLANK('Global factors'!M$5:M$23))))))</f>
        <v>145.88999999999999</v>
      </c>
      <c r="JQ73" s="116">
        <f t="array" ref="JQ73">INDEX('Global factors'!N$5:N$23,MATCH(2,1/(('Global factors'!$B$5:$B$23&lt;=Main!$C73)*(NOT(ISBLANK('Global factors'!N$5:N$23))))))</f>
        <v>0.40339999999999998</v>
      </c>
      <c r="JR73" s="116">
        <f t="array" ref="JR73">INDEX('Global factors'!O$5:O$23,MATCH(2,1/(('Global factors'!$B$5:$B$23&lt;=Main!$C73)*(NOT(ISBLANK('Global factors'!O$5:O$23))))))</f>
        <v>0</v>
      </c>
      <c r="JS73" s="116">
        <f t="array" ref="JS73">INDEX('Global factors'!P$5:P$23,MATCH(2,1/(('Global factors'!$B$5:$B$23&lt;=Main!$C73)*(NOT(ISBLANK('Global factors'!P$5:P$23))))))</f>
        <v>0.51890000000000003</v>
      </c>
      <c r="JT73" s="116">
        <f t="array" ref="JT73">INDEX('Global factors'!Q$5:Q$23,MATCH(2,1/(('Global factors'!$B$5:$B$23&lt;=Main!$C73)*(NOT(ISBLANK('Global factors'!Q$5:Q$23))))))</f>
        <v>4797</v>
      </c>
      <c r="JU73" s="116">
        <f t="array" ref="JU73">INDEX('Global factors'!R$5:R$23,MATCH(2,1/(('Global factors'!$B$5:$B$23&lt;=Main!$C73)*(NOT(ISBLANK('Global factors'!R$5:R$23))))))</f>
        <v>7</v>
      </c>
      <c r="JV73" s="115">
        <f t="array" ref="JV73">INDEX('Global factors'!S$5:S$23,MATCH(2,1/(('Global factors'!$B$5:$B$23&lt;=Main!$C73)*(NOT(ISBLANK('Global factors'!S$5:S$23))))))</f>
        <v>0.12</v>
      </c>
      <c r="JW73" s="115">
        <f t="array" ref="JW73">INDEX('Global factors'!T$5:T$23,MATCH(2,1/(('Global factors'!$B$5:$B$23&lt;=Main!$C73)*(NOT(ISBLANK('Global factors'!T$5:T$23))))))</f>
        <v>0.5</v>
      </c>
      <c r="JX73" s="116">
        <f t="array" ref="JX73">INDEX('Global factors'!U$5:U$23,MATCH(2,1/(('Global factors'!$B$5:$B$23&lt;=Main!$C73)*(NOT(ISBLANK('Global factors'!U$5:U$23))))))</f>
        <v>0.5</v>
      </c>
      <c r="JY73" s="116">
        <f t="array" ref="JY73">INDEX('Global factors'!V$5:V$23,MATCH(2,1/(('Global factors'!$B$5:$B$23&lt;=Main!$C73)*(NOT(ISBLANK('Global factors'!V$5:V$23))))))</f>
        <v>10000</v>
      </c>
      <c r="JZ73" s="116">
        <f t="array" ref="JZ73">INDEX('Global factors'!W$5:W$23,MATCH(2,1/(('Global factors'!$B$5:$B$23&lt;=Main!$C73)*(NOT(ISBLANK('Global factors'!W$5:W$23))))))</f>
        <v>0.10680000000000001</v>
      </c>
      <c r="KA73" s="116">
        <f t="array" ref="KA73">INDEX('Global factors'!X$5:X$23,MATCH(2,1/(('Global factors'!$B$5:$B$23&lt;=Main!$C73)*(NOT(ISBLANK('Global factors'!X$5:X$23))))))</f>
        <v>1.2</v>
      </c>
      <c r="KB73" s="116">
        <v>0</v>
      </c>
      <c r="KC73" s="272">
        <f t="array" ref="KC73">INDEX('Global factors'!Y$5:Y$23,MATCH(2,1/(('Global factors'!$B$5:$B$23&lt;=Main!$C73)*(NOT(ISBLANK('Global factors'!Y$5:Y$23))))))</f>
        <v>23643.7088248818</v>
      </c>
      <c r="KD73" s="273">
        <f t="array" ref="KD73">INDEX('Global factors'!Z$5:Z$23,MATCH(2,1/(('Global factors'!$B$5:$B$23&lt;=Main!$C73)*(NOT(ISBLANK('Global factors'!Z$5:Z$23))))))</f>
        <v>0.62802869915581405</v>
      </c>
      <c r="KE73" s="273">
        <v>0</v>
      </c>
      <c r="KF73" s="273">
        <v>0</v>
      </c>
      <c r="KG73" s="116">
        <v>0</v>
      </c>
      <c r="KH73" s="116">
        <f t="array" ref="KH73">INDEX('Global factors'!AB$5:AB$23,MATCH(2,1/(('Global factors'!$B$5:$B$23&lt;=Main!$C73)*(NOT(ISBLANK('Global factors'!AB$5:AB$23))))))</f>
        <v>6.2556361557795204E-2</v>
      </c>
      <c r="KI73" s="116">
        <f t="array" ref="KI73">INDEX('Global factors'!AC$5:AC$23,MATCH(2,1/(('Global factors'!$B$5:$B$23&lt;=Main!$C73)*(NOT(ISBLANK('Global factors'!AC$5:AC$23))))))</f>
        <v>8.6923129044225601E-4</v>
      </c>
      <c r="KJ73" s="116">
        <f t="array" ref="KJ73">INDEX('Global factors'!AD$5:AD$23,MATCH(2,1/(('Global factors'!$B$5:$B$23&lt;=Main!$C73)*(NOT(ISBLANK('Global factors'!AD$5:AD$23))))))</f>
        <v>1.1499999999999999</v>
      </c>
      <c r="KK73" s="116" t="str">
        <f t="array" ref="KK73">INDEX('Global factors'!AE$5:AE$23,MATCH(2,1/(('Global factors'!$B$5:$B$23&lt;=Main!$C73)*(NOT(ISBLANK('Global factors'!AE$5:AE$23))))))</f>
        <v>Qingdao</v>
      </c>
      <c r="KL73" s="290">
        <f t="array" ref="KL73">INDEX('Global factors'!AF$5:AF$23,MATCH(2,1/(('Global factors'!$B$5:$B$23&lt;=Main!$C73)*(NOT(ISBLANK('Global factors'!AF$5:AF$23))))))</f>
        <v>3.0000000000000001E-3</v>
      </c>
      <c r="KM73" s="290"/>
      <c r="KO73" s="287" t="s">
        <v>39</v>
      </c>
      <c r="KQ73" s="25">
        <f t="shared" si="778"/>
        <v>92911.010558069393</v>
      </c>
      <c r="KR73" s="4" t="str">
        <f>VLOOKUP(KQ73,'Ship Time Charter Rates'!$F$10:$G$17,2,TRUE)</f>
        <v>Panamax</v>
      </c>
      <c r="KS73" s="4" t="str">
        <f>VLOOKUP(KQ73,Canals!$E$5:$F$12,2,TRUE)</f>
        <v>Panamax</v>
      </c>
      <c r="KT73" s="25">
        <f t="shared" si="779"/>
        <v>227.00131221719457</v>
      </c>
      <c r="KU73" s="25">
        <f t="shared" si="780"/>
        <v>37480.301659125194</v>
      </c>
      <c r="KV73" s="25">
        <f t="shared" si="781"/>
        <v>53008.523378582213</v>
      </c>
      <c r="KX73" s="75">
        <f t="array" ref="KX73">INDEX('Indices Mines Exporting Ports'!$R$20:$R$51,MATCH(2,1/(('Indices Mines Exporting Ports'!$D$20:$D$51&lt;=Main!$C73)*('Indices Mines Exporting Ports'!$Q$20:$Q$51=$AP73))))</f>
        <v>15000</v>
      </c>
      <c r="KY73" s="75">
        <f t="array" ref="KY73">INDEX('Indices Mines Exporting Ports'!$S$20:$S$51,MATCH(2,1/(('Indices Mines Exporting Ports'!$D$20:$D$51&lt;=Main!$C73)*('Indices Mines Exporting Ports'!$Q$20:$Q$51=$AP73))))</f>
        <v>15000</v>
      </c>
      <c r="KZ73" s="75">
        <f t="array" ref="KZ73">INDEX('Indices Mines Exporting Ports'!$T$20:$T$51,MATCH(2,1/(('Indices Mines Exporting Ports'!$D$20:$D$51&lt;=Main!$C73)*('Indices Mines Exporting Ports'!$Q$20:$Q$51=$AP73))))</f>
        <v>15000</v>
      </c>
      <c r="LA73" s="75">
        <f t="array" ref="LA73">INDEX('Indices Mines Exporting Ports'!$U$20:$U$51,MATCH(2,1/(('Indices Mines Exporting Ports'!$D$20:$D$51&lt;=Main!$C73)*('Indices Mines Exporting Ports'!$Q$20:$Q$51=$AP73))))</f>
        <v>15000</v>
      </c>
      <c r="LB73" s="75">
        <f t="array" ref="LB73">INDEX('Indices Mines Exporting Ports'!$V$20:$V$51,MATCH(2,1/(('Indices Mines Exporting Ports'!$D$20:$D$51&lt;=Main!$C73)*('Indices Mines Exporting Ports'!$Q$20:$Q$51=$AP73))))</f>
        <v>15000</v>
      </c>
      <c r="LC73" s="75">
        <f t="array" ref="LC73">INDEX('Indices Mines Exporting Ports'!$W$20:$W$51,MATCH(2,1/(('Indices Mines Exporting Ports'!$D$20:$D$51&lt;=Main!$C73)*('Indices Mines Exporting Ports'!$Q$20:$Q$51=$AP73))))</f>
        <v>15000</v>
      </c>
      <c r="LD73" s="75">
        <f t="array" ref="LD73">INDEX('Indices Mines Exporting Ports'!$X$20:$X$51,MATCH(2,1/(('Indices Mines Exporting Ports'!$D$20:$D$51&lt;=Main!$C73)*('Indices Mines Exporting Ports'!$Q$20:$Q$51=$AP73))))</f>
        <v>15000</v>
      </c>
      <c r="LF73" s="75">
        <f t="array" ref="LF73">INDEX('Port Linkages'!$E$18:$E$157,MATCH(2,1/(('Port Linkages'!$C$18:$C$157=$AP73)*('Port Linkages'!$D$18:$D$157=IF($AO73="Yes",$AQ73,$AS73))*('Port Linkages'!$A$18:$A$157&lt;=$C73))))</f>
        <v>2326</v>
      </c>
      <c r="LG73" s="75">
        <f t="array" ref="LG73">INDEX('Port Linkages'!$F$18:$F$157,MATCH(2,1/(('Port Linkages'!$C$18:$C$157=$AP73)*('Port Linkages'!$D$18:$D$157=IF($AO73="Yes",$AQ73,$AS73))*('Port Linkages'!$A$18:$A$157&lt;=$C73))))</f>
        <v>0</v>
      </c>
      <c r="LH73" s="75" t="str">
        <f t="array" ref="LH73">INDEX('Port Linkages'!$G$18:$G$157,MATCH(2,1/(('Port Linkages'!$C$18:$C$157=$AP73)*('Port Linkages'!$D$18:$D$157=IF($AO73="Yes",$AQ73,$AS73))*('Port Linkages'!$A$18:$A$157&lt;=$C73))))</f>
        <v>VLOC_General</v>
      </c>
      <c r="LI73" s="75" t="str">
        <f t="array" ref="LI73">INDEX('Port Linkages'!$H$18:$H$157,MATCH(2,1/(('Port Linkages'!$C$18:$C$157=$AP73)*('Port Linkages'!$D$18:$D$157=IF($AO73="Yes",$AQ73,$AS73))*('Port Linkages'!$A$18:$A$157&lt;=$C73))))</f>
        <v>Singapore</v>
      </c>
      <c r="LJ73" s="75" t="str">
        <f t="array" ref="LJ73">INDEX('Port Linkages'!$I$18:$I$157,MATCH(2,1/(('Port Linkages'!$C$18:$C$157=$AP73)*('Port Linkages'!$D$18:$D$157=IF($AO73="Yes",$AQ73,$AS73))*('Port Linkages'!$A$18:$A$157&lt;=$C73))))</f>
        <v>VLSFO</v>
      </c>
      <c r="LK73" s="75" t="str">
        <f t="array" ref="LK73">INDEX('Port Linkages'!$J$18:$J$157,MATCH(2,1/(('Port Linkages'!$C$18:$C$157=$AP73)*('Port Linkages'!$D$18:$D$157=IF($AO73="Yes",$AQ73,$AS73))*('Port Linkages'!$A$18:$A$157&lt;=$C73))))</f>
        <v>MGO_Regular</v>
      </c>
      <c r="LL73" s="75" t="str">
        <f t="array" ref="LL73">INDEX('Port Linkages'!$K$18:$K$157,MATCH(2,1/(('Port Linkages'!$C$18:$C$157=$AP73)*('Port Linkages'!$D$18:$D$157=IF($AO73="Yes",$AQ73,$AS73))*('Port Linkages'!$A$18:$A$157&lt;=$C73))))</f>
        <v>none</v>
      </c>
      <c r="LM73" s="75">
        <f t="array" ref="LM73">INDEX('Port Linkages'!$L$18:$L$157,MATCH(2,1/(('Port Linkages'!$C$18:$C$157=$AP73)*('Port Linkages'!$D$18:$D$157=IF($AO73="Yes",$AQ73,$AS73))*('Port Linkages'!$A$18:$A$157&lt;=$C73))))</f>
        <v>2326</v>
      </c>
      <c r="LN73" s="75">
        <f t="array" ref="LN73">INDEX('Port Linkages'!$M$18:$M$157,MATCH(2,1/(('Port Linkages'!$C$18:$C$157=$AP73)*('Port Linkages'!$D$18:$D$157=IF($AO73="Yes",$AQ73,$AS73))*('Port Linkages'!$A$18:$A$157&lt;=$C73))))</f>
        <v>0</v>
      </c>
      <c r="LO73" s="75" t="str">
        <f t="array" ref="LO73">INDEX('Port Linkages'!$N$18:$N$157,MATCH(2,1/(('Port Linkages'!$C$18:$C$157=$AP73)*('Port Linkages'!$D$18:$D$157=IF($AO73="Yes",$AQ73,$AS73))*('Port Linkages'!$A$18:$A$157&lt;=$C73))))</f>
        <v>Capesize_General</v>
      </c>
      <c r="LP73" s="75" t="str">
        <f t="array" ref="LP73">INDEX('Port Linkages'!$O$18:$O$157,MATCH(2,1/(('Port Linkages'!$C$18:$C$157=$AP73)*('Port Linkages'!$D$18:$D$157=IF($AO73="Yes",$AQ73,$AS73))*('Port Linkages'!$A$18:$A$157&lt;=$C73))))</f>
        <v>Singapore</v>
      </c>
      <c r="LQ73" s="75" t="str">
        <f t="array" ref="LQ73">INDEX('Port Linkages'!$P$18:$P$157,MATCH(2,1/(('Port Linkages'!$C$18:$C$157=$AP73)*('Port Linkages'!$D$18:$D$157=IF($AO73="Yes",$AQ73,$AS73))*('Port Linkages'!$A$18:$A$157&lt;=$C73))))</f>
        <v>VLSFO</v>
      </c>
      <c r="LR73" s="75" t="str">
        <f t="array" ref="LR73">INDEX('Port Linkages'!$Q$18:$Q$157,MATCH(2,1/(('Port Linkages'!$C$18:$C$157=$AP73)*('Port Linkages'!$D$18:$D$157=IF($AO73="Yes",$AQ73,$AS73))*('Port Linkages'!$A$18:$A$157&lt;=$C73))))</f>
        <v>MGO_Regular</v>
      </c>
      <c r="LS73" s="75" t="str">
        <f t="array" ref="LS73">INDEX('Port Linkages'!$R$18:$R$157,MATCH(2,1/(('Port Linkages'!$C$18:$C$157=$AP73)*('Port Linkages'!$D$18:$D$157=IF($AO73="Yes",$AQ73,$AS73))*('Port Linkages'!$A$18:$A$157&lt;=$C73))))</f>
        <v>none</v>
      </c>
      <c r="LT73" s="75">
        <f t="array" ref="LT73">INDEX('Port Linkages'!$S$18:$S$157,MATCH(2,1/(('Port Linkages'!$C$18:$C$157=$AP73)*('Port Linkages'!$D$18:$D$157=IF($AO73="Yes",$AQ73,$AS73))*('Port Linkages'!$A$18:$A$157&lt;=$C73))))</f>
        <v>2326</v>
      </c>
      <c r="LU73" s="75">
        <f t="array" ref="LU73">INDEX('Port Linkages'!$T$18:$T$157,MATCH(2,1/(('Port Linkages'!$C$18:$C$157=$AP73)*('Port Linkages'!$D$18:$D$157=IF($AO73="Yes",$AQ73,$AS73))*('Port Linkages'!$A$18:$A$157&lt;=$C73))))</f>
        <v>0</v>
      </c>
      <c r="LV73" s="75" t="str">
        <f t="array" ref="LV73">INDEX('Port Linkages'!$U$18:$U$157,MATCH(2,1/(('Port Linkages'!$C$18:$C$157=$AP73)*('Port Linkages'!$D$18:$D$157=IF($AO73="Yes",$AQ73,$AS73))*('Port Linkages'!$A$18:$A$157&lt;=$C73))))</f>
        <v>Capesize_General</v>
      </c>
      <c r="LW73" s="75" t="str">
        <f t="array" ref="LW73">INDEX('Port Linkages'!$V$18:$V$157,MATCH(2,1/(('Port Linkages'!$C$18:$C$157=$AP73)*('Port Linkages'!$D$18:$D$157=IF($AO73="Yes",$AQ73,$AS73))*('Port Linkages'!$A$18:$A$157&lt;=$C73))))</f>
        <v>Singapore</v>
      </c>
      <c r="LX73" s="75" t="str">
        <f t="array" ref="LX73">INDEX('Port Linkages'!$W$18:$W$157,MATCH(2,1/(('Port Linkages'!$C$18:$C$157=$AP73)*('Port Linkages'!$D$18:$D$157=IF($AO73="Yes",$AQ73,$AS73))*('Port Linkages'!$A$18:$A$157&lt;=$C73))))</f>
        <v>VLSFO</v>
      </c>
      <c r="LY73" s="75" t="str">
        <f t="array" ref="LY73">INDEX('Port Linkages'!$X$18:$X$157,MATCH(2,1/(('Port Linkages'!$C$18:$C$157=$AP73)*('Port Linkages'!$D$18:$D$157=IF($AO73="Yes",$AQ73,$AS73))*('Port Linkages'!$A$18:$A$157&lt;=$C73))))</f>
        <v>MGO_Regular</v>
      </c>
      <c r="LZ73" s="75" t="str">
        <f t="array" ref="LZ73">INDEX('Port Linkages'!$Y$18:$Y$157,MATCH(2,1/(('Port Linkages'!$C$18:$C$157=$AP73)*('Port Linkages'!$D$18:$D$157=IF($AO73="Yes",$AQ73,$AS73))*('Port Linkages'!$A$18:$A$157&lt;=$C73))))</f>
        <v>none</v>
      </c>
      <c r="MA73" s="75">
        <f t="array" ref="MA73">INDEX('Port Linkages'!$Z$18:$Z$157,MATCH(2,1/(('Port Linkages'!$C$18:$C$157=$AP73)*('Port Linkages'!$D$18:$D$157=IF($AO73="Yes",$AQ73,$AS73))*('Port Linkages'!$A$18:$A$157&lt;=$C73))))</f>
        <v>2326</v>
      </c>
      <c r="MB73" s="75">
        <f t="array" ref="MB73">INDEX('Port Linkages'!$AA$18:$AA$157,MATCH(2,1/(('Port Linkages'!$C$18:$C$157=$AP73)*('Port Linkages'!$D$18:$D$157=IF($AO73="Yes",$AQ73,$AS73))*('Port Linkages'!$A$18:$A$157&lt;=$C73))))</f>
        <v>0</v>
      </c>
      <c r="MC73" s="75" t="str">
        <f t="array" ref="MC73">INDEX('Port Linkages'!$AB$18:$AB$157,MATCH(2,1/(('Port Linkages'!$C$18:$C$157=$AP73)*('Port Linkages'!$D$18:$D$157=IF($AO73="Yes",$AQ73,$AS73))*('Port Linkages'!$A$18:$A$157&lt;=$C73))))</f>
        <v>Capesize_General</v>
      </c>
      <c r="MD73" s="75" t="str">
        <f t="array" ref="MD73">INDEX('Port Linkages'!$AC$18:$AC$157,MATCH(2,1/(('Port Linkages'!$C$18:$C$157=$AP73)*('Port Linkages'!$D$18:$D$157=IF($AO73="Yes",$AQ73,$AS73))*('Port Linkages'!$A$18:$A$157&lt;=$C73))))</f>
        <v>Singapore</v>
      </c>
      <c r="ME73" s="75" t="str">
        <f t="array" ref="ME73">INDEX('Port Linkages'!$AD$18:$AD$157,MATCH(2,1/(('Port Linkages'!$C$18:$C$157=$AP73)*('Port Linkages'!$D$18:$D$157=IF($AO73="Yes",$AQ73,$AS73))*('Port Linkages'!$A$18:$A$157&lt;=$C73))))</f>
        <v>VLSFO</v>
      </c>
      <c r="MF73" s="75" t="str">
        <f t="array" ref="MF73">INDEX('Port Linkages'!$AE$18:$AE$157,MATCH(2,1/(('Port Linkages'!$C$18:$C$157=$AP73)*('Port Linkages'!$D$18:$D$157=IF($AO73="Yes",$AQ73,$AS73))*('Port Linkages'!$A$18:$A$157&lt;=$C73))))</f>
        <v>MGO_Regular</v>
      </c>
      <c r="MG73" s="75" t="str">
        <f t="array" ref="MG73">INDEX('Port Linkages'!$AF$18:$AF$157,MATCH(2,1/(('Port Linkages'!$C$18:$C$157=$AP73)*('Port Linkages'!$D$18:$D$157=IF($AO73="Yes",$AQ73,$AS73))*('Port Linkages'!$A$18:$A$157&lt;=$C73))))</f>
        <v>none</v>
      </c>
      <c r="MH73" s="75">
        <f t="array" ref="MH73">INDEX('Port Linkages'!$AG$18:$AG$157,MATCH(2,1/(('Port Linkages'!$C$18:$C$157=$AP73)*('Port Linkages'!$D$18:$D$157=IF($AO73="Yes",$AQ73,$AS73))*('Port Linkages'!$A$18:$A$157&lt;=$C73))))</f>
        <v>2326</v>
      </c>
      <c r="MI73" s="75">
        <f t="array" ref="MI73">INDEX('Port Linkages'!$AH$18:$AH$157,MATCH(2,1/(('Port Linkages'!$C$18:$C$157=$AP73)*('Port Linkages'!$D$18:$D$157=IF($AO73="Yes",$AQ73,$AS73))*('Port Linkages'!$A$18:$A$157&lt;=$C73))))</f>
        <v>0</v>
      </c>
      <c r="MJ73" s="75" t="str">
        <f t="array" ref="MJ73">INDEX('Port Linkages'!$AI$18:$AI$157,MATCH(2,1/(('Port Linkages'!$C$18:$C$157=$AP73)*('Port Linkages'!$D$18:$D$157=IF($AO73="Yes",$AQ73,$AS73))*('Port Linkages'!$A$18:$A$157&lt;=$C73))))</f>
        <v>Panamax_General</v>
      </c>
      <c r="MK73" s="75" t="str">
        <f t="array" ref="MK73">INDEX('Port Linkages'!$AJ$18:$AJ$157,MATCH(2,1/(('Port Linkages'!$C$18:$C$157=$AP73)*('Port Linkages'!$D$18:$D$157=IF($AO73="Yes",$AQ73,$AS73))*('Port Linkages'!$A$18:$A$157&lt;=$C73))))</f>
        <v>Singapore</v>
      </c>
      <c r="ML73" s="75" t="str">
        <f t="array" ref="ML73">INDEX('Port Linkages'!$AK$18:$AK$157,MATCH(2,1/(('Port Linkages'!$C$18:$C$157=$AP73)*('Port Linkages'!$D$18:$D$157=IF($AO73="Yes",$AQ73,$AS73))*('Port Linkages'!$A$18:$A$157&lt;=$C73))))</f>
        <v>VLSFO</v>
      </c>
      <c r="MM73" s="75" t="str">
        <f t="array" ref="MM73">INDEX('Port Linkages'!$AL$18:$AL$157,MATCH(2,1/(('Port Linkages'!$C$18:$C$157=$AP73)*('Port Linkages'!$D$18:$D$157=IF($AO73="Yes",$AQ73,$AS73))*('Port Linkages'!$A$18:$A$157&lt;=$C73))))</f>
        <v>MGO_Regular</v>
      </c>
      <c r="MN73" s="75" t="str">
        <f t="array" ref="MN73">INDEX('Port Linkages'!$AM$18:$AM$157,MATCH(2,1/(('Port Linkages'!$C$18:$C$157=$AP73)*('Port Linkages'!$D$18:$D$157=IF($AO73="Yes",$AQ73,$AS73))*('Port Linkages'!$A$18:$A$157&lt;=$C73))))</f>
        <v>none</v>
      </c>
      <c r="MO73" s="75">
        <f t="array" ref="MO73">INDEX('Port Linkages'!$AN$18:$AN$157,MATCH(2,1/(('Port Linkages'!$C$18:$C$157=$AP73)*('Port Linkages'!$D$18:$D$157=IF($AO73="Yes",$AQ73,$AS73))*('Port Linkages'!$A$18:$A$157&lt;=$C73))))</f>
        <v>2326</v>
      </c>
      <c r="MP73" s="75">
        <f t="array" ref="MP73">INDEX('Port Linkages'!$AO$18:$AO$157,MATCH(2,1/(('Port Linkages'!$C$18:$C$157=$AP73)*('Port Linkages'!$D$18:$D$157=IF($AO73="Yes",$AQ73,$AS73))*('Port Linkages'!$A$18:$A$157&lt;=$C73))))</f>
        <v>0</v>
      </c>
      <c r="MQ73" s="75" t="str">
        <f t="array" ref="MQ73">INDEX('Port Linkages'!$AP$18:$AP$157,MATCH(2,1/(('Port Linkages'!$C$18:$C$157=$AP73)*('Port Linkages'!$D$18:$D$157=IF($AO73="Yes",$AQ73,$AS73))*('Port Linkages'!$A$18:$A$157&lt;=$C73))))</f>
        <v>Supramax_General</v>
      </c>
      <c r="MR73" s="75" t="str">
        <f t="array" ref="MR73">INDEX('Port Linkages'!$AQ$18:$AQ$157,MATCH(2,1/(('Port Linkages'!$C$18:$C$157=$AP73)*('Port Linkages'!$D$18:$D$157=IF($AO73="Yes",$AQ73,$AS73))*('Port Linkages'!$A$18:$A$157&lt;=$C73))))</f>
        <v>Singapore</v>
      </c>
      <c r="MS73" s="75" t="str">
        <f t="array" ref="MS73">INDEX('Port Linkages'!$AR$18:$AR$157,MATCH(2,1/(('Port Linkages'!$C$18:$C$157=$AP73)*('Port Linkages'!$D$18:$D$157=IF($AO73="Yes",$AQ73,$AS73))*('Port Linkages'!$A$18:$A$157&lt;=$C73))))</f>
        <v>VLSFO</v>
      </c>
      <c r="MT73" s="75" t="str">
        <f t="array" ref="MT73">INDEX('Port Linkages'!$AS$18:$AS$157,MATCH(2,1/(('Port Linkages'!$C$18:$C$157=$AP73)*('Port Linkages'!$D$18:$D$157=IF($AO73="Yes",$AQ73,$AS73))*('Port Linkages'!$A$18:$A$157&lt;=$C73))))</f>
        <v>MGO_Regular</v>
      </c>
      <c r="MU73" s="75" t="str">
        <f t="array" ref="MU73">INDEX('Port Linkages'!$AT$18:$AT$157,MATCH(2,1/(('Port Linkages'!$C$18:$C$157=$AP73)*('Port Linkages'!$D$18:$D$157=IF($AO73="Yes",$AQ73,$AS73))*('Port Linkages'!$A$18:$A$157&lt;=$C73))))</f>
        <v>none</v>
      </c>
      <c r="MV73" s="75">
        <f t="array" ref="MV73">INDEX('Port Linkages'!$AU$18:$AU$157,MATCH(2,1/(('Port Linkages'!$C$18:$C$157=$AP73)*('Port Linkages'!$D$18:$D$157=IF($AO73="Yes",$AQ73,$AS73))*('Port Linkages'!$A$18:$A$157&lt;=$C73))))</f>
        <v>2326</v>
      </c>
      <c r="MW73" s="75">
        <f t="array" ref="MW73">INDEX('Port Linkages'!$AV$18:$AV$157,MATCH(2,1/(('Port Linkages'!$C$18:$C$157=$AP73)*('Port Linkages'!$D$18:$D$157=IF($AO73="Yes",$AQ73,$AS73))*('Port Linkages'!$A$18:$A$157&lt;=$C73))))</f>
        <v>0</v>
      </c>
      <c r="MX73" s="75" t="str">
        <f t="array" ref="MX73">INDEX('Port Linkages'!$AW$18:$AW$157,MATCH(2,1/(('Port Linkages'!$C$18:$C$157=$AP73)*('Port Linkages'!$D$18:$D$157=IF($AO73="Yes",$AQ73,$AS73))*('Port Linkages'!$A$18:$A$157&lt;=$C73))))</f>
        <v>Handysize_General</v>
      </c>
      <c r="MY73" s="75" t="str">
        <f t="array" ref="MY73">INDEX('Port Linkages'!$AX$18:$AX$157,MATCH(2,1/(('Port Linkages'!$C$18:$C$157=$AP73)*('Port Linkages'!$D$18:$D$157=IF($AO73="Yes",$AQ73,$AS73))*('Port Linkages'!$A$18:$A$157&lt;=$C73))))</f>
        <v>Singapore</v>
      </c>
      <c r="MZ73" s="75" t="str">
        <f t="array" ref="MZ73">INDEX('Port Linkages'!$AY$18:$AY$157,MATCH(2,1/(('Port Linkages'!$C$18:$C$157=$AP73)*('Port Linkages'!$D$18:$D$157=IF($AO73="Yes",$AQ73,$AS73))*('Port Linkages'!$A$18:$A$157&lt;=$C73))))</f>
        <v>VLSFO</v>
      </c>
      <c r="NA73" s="75" t="str">
        <f t="array" ref="NA73">INDEX('Port Linkages'!$AZ$18:$AZ$157,MATCH(2,1/(('Port Linkages'!$C$18:$C$157=$AP73)*('Port Linkages'!$D$18:$D$157=IF($AO73="Yes",$AQ73,$AS73))*('Port Linkages'!$A$18:$A$157&lt;=$C73))))</f>
        <v>MGO_Regular</v>
      </c>
      <c r="NB73" s="75" t="str">
        <f t="array" ref="NB73">INDEX('Port Linkages'!$BA$18:$BA$157,MATCH(2,1/(('Port Linkages'!$C$18:$C$157=$AP73)*('Port Linkages'!$D$18:$D$157=IF($AO73="Yes",$AQ73,$AS73))*('Port Linkages'!$A$18:$A$157&lt;=$C73))))</f>
        <v>none</v>
      </c>
      <c r="ND73" s="25" t="e">
        <f t="array" aca="1" ref="ND73" ca="1">INDEX('Ship Fuel Prices'!$F$5:$F$1004,MATCH(2,1/(('Ship Fuel Prices'!$E$5:$E$1004=_xlfn.IFS(KS73="Handysize",Main!MY73,KS73="Supramax",MR73,KS73="Panamax",MK73,KS73="NeoPanamax",MD73,KS73="Suezmax",LW73,KS73="Capesize",LP73,KS73="VLOC",LI73))*('Ship Fuel Prices'!$D$5:$D$1004&lt;=Main!$C73))))</f>
        <v>#N/A</v>
      </c>
      <c r="NE73" s="25" t="e">
        <f t="array" aca="1" ref="NE73" ca="1">INDEX('Ship Fuel Prices'!$G$5:$G$1004,MATCH(2,1/(('Ship Fuel Prices'!$E$5:$E$1004=_xlfn.IFS(KS73="Handysize",Main!MY73,KS73="Supramax",MR73,KS73="Panamax",MK73,KS73="NeoPanamax",MD73,KS73="Suezmax",LW73,KS73="Capesize",LP73,KS73="VLOC",LI73))*('Ship Fuel Prices'!$D$5:$D$1004&lt;=Main!$C73))))</f>
        <v>#N/A</v>
      </c>
      <c r="NF73" s="25" t="e">
        <f t="array" aca="1" ref="NF73" ca="1">INDEX('Ship Fuel Prices'!$H$5:$H$1004,MATCH(2,1/(('Ship Fuel Prices'!$E$5:$E$1004=_xlfn.IFS(KS73="Handysize",Main!MY73,KS73="Supramax",MR73,KS73="Panamax",MK73,KS73="NeoPanamax",MD73,KS73="Suezmax",LW73,KS73="Capesize",LP73,KS73="VLOC",LI73))*('Ship Fuel Prices'!$D$5:$D$1004&lt;=Main!$C73))))</f>
        <v>#N/A</v>
      </c>
      <c r="NG73" s="25" t="e">
        <f t="array" aca="1" ref="NG73" ca="1">INDEX('Ship Fuel Prices'!$I$5:$I$1004,MATCH(2,1/(('Ship Fuel Prices'!$E$5:$E$1004=_xlfn.IFS(KS73="Handysize",Main!MY73,KS73="Supramax",MR73,KS73="Panamax",MK73,KS73="NeoPanamax",MD73,KS73="Suezmax",LW73,KS73="Capesize",LP73,KS73="VLOC",LI73))*('Ship Fuel Prices'!$D$5:$D$1004&lt;=Main!$C73))))</f>
        <v>#N/A</v>
      </c>
      <c r="NH73" s="25" t="e">
        <f t="array" aca="1" ref="NH73" ca="1">INDEX('Ship Fuel Prices'!$J$5:$J$1004,MATCH(2,1/(('Ship Fuel Prices'!$E$5:$E$1004=_xlfn.IFS(KS73="Handysize",Main!MY73,KS73="Supramax",MR73,KS73="Panamax",MK73,KS73="NeoPanamax",MD73,KS73="Suezmax",LW73,KS73="Capesize",LP73,KS73="VLOC",LI73))*('Ship Fuel Prices'!$D$5:$D$1004&lt;=Main!$C73))))</f>
        <v>#N/A</v>
      </c>
      <c r="NJ73" s="75">
        <f t="array" ref="NJ73">INDEX('China n Importing Ports'!$E$20:$E$41,MATCH(2,1/(('China n Importing Ports'!$D$20:$D$41&lt;=$C73)*('China n Importing Ports'!$C$20:$C$41=IF($AO73="Yes",$AQ73,$AS73)))))</f>
        <v>42500</v>
      </c>
      <c r="NK73" s="75">
        <f t="array" ref="NK73">INDEX('China n Importing Ports'!$F$20:$F$41,MATCH(2,1/(('China n Importing Ports'!$D$20:$D$41&lt;=$C73)*('China n Importing Ports'!$C$20:$C$41=IF($AO73="Yes",$AQ73,$AS73)))))</f>
        <v>42500</v>
      </c>
      <c r="NL73" s="75">
        <f t="array" ref="NL73">INDEX('China n Importing Ports'!$G$20:$G$41,MATCH(2,1/(('China n Importing Ports'!$D$20:$D$41&lt;=$C73)*('China n Importing Ports'!$C$20:$C$41=IF($AO73="Yes",$AQ73,$AS73)))))</f>
        <v>42500</v>
      </c>
      <c r="NM73" s="75">
        <f t="array" ref="NM73">INDEX('China n Importing Ports'!$H$20:$H$41,MATCH(2,1/(('China n Importing Ports'!$D$20:$D$41&lt;=$C73)*('China n Importing Ports'!$C$20:$C$41=IF($AO73="Yes",$AQ73,$AS73)))))</f>
        <v>42500</v>
      </c>
      <c r="NN73" s="75">
        <f t="array" ref="NN73">INDEX('China n Importing Ports'!$I$20:$I$41,MATCH(2,1/(('China n Importing Ports'!$D$20:$D$41&lt;=$C73)*('China n Importing Ports'!$C$20:$C$41=IF($AO73="Yes",$AQ73,$AS73)))))</f>
        <v>42500</v>
      </c>
      <c r="NO73" s="75">
        <f t="array" ref="NO73">INDEX('China n Importing Ports'!$J$20:$J$41,MATCH(2,1/(('China n Importing Ports'!$D$20:$D$41&lt;=$C73)*('China n Importing Ports'!$C$20:$C$41=IF($AO73="Yes",$AQ73,$AS73)))))</f>
        <v>42500</v>
      </c>
      <c r="NP73" s="75">
        <f t="array" ref="NP73">INDEX('China n Importing Ports'!$K$20:$K$41,MATCH(2,1/(('China n Importing Ports'!$D$20:$D$41&lt;=$C73)*('China n Importing Ports'!$C$20:$C$41=IF($AO73="Yes",$AQ73,$AS73)))))</f>
        <v>42500</v>
      </c>
      <c r="NQ73" s="75" t="str">
        <f t="array" ref="NQ73">INDEX('China n Importing Ports'!$L$20:$L$41,MATCH(2,1/(('China n Importing Ports'!$D$20:$D$41&lt;=$C73)*('China n Importing Ports'!$C$20:$C$41=IF($AO73="Yes",$AQ73,$AS73)))))</f>
        <v>RMB</v>
      </c>
      <c r="NR73" s="75">
        <f t="array" ref="NR73">INDEX('China n Importing Ports'!$M$20:$M$41,MATCH(2,1/(('China n Importing Ports'!$D$20:$D$41&lt;=$C73)*('China n Importing Ports'!$C$20:$C$41=IF($AO73="Yes",$AQ73,$AS73)))))</f>
        <v>12342</v>
      </c>
      <c r="NS73" s="75">
        <f t="array" ref="NS73">INDEX('China n Importing Ports'!$N$20:$N$41,MATCH(2,1/(('China n Importing Ports'!$D$20:$D$41&lt;=$C73)*('China n Importing Ports'!$C$20:$C$41=IF($AO73="Yes",$AQ73,$AS73)))))</f>
        <v>0</v>
      </c>
      <c r="NT73" s="75">
        <f t="array" ref="NT73">INDEX('China n Importing Ports'!$O$20:$O$41,MATCH(2,1/(('China n Importing Ports'!$D$20:$D$41&lt;=$C73)*('China n Importing Ports'!$C$20:$C$41=IF($AO73="Yes",$AQ73,$AS73)))))</f>
        <v>0</v>
      </c>
      <c r="NU73" s="136">
        <f t="array" ref="NU73">INDEX('China n Importing Ports'!$P$20:$P$41,MATCH(2,1/(('China n Importing Ports'!$D$20:$D$41&lt;=$C73)*('China n Importing Ports'!$C$20:$C$41=IF($AO73="Yes",$AQ73,$AS73)))))</f>
        <v>2.64</v>
      </c>
      <c r="NV73" s="136">
        <f t="array" ref="NV73">INDEX('China n Importing Ports'!$Q$20:$Q$41,MATCH(2,1/(('China n Importing Ports'!$D$20:$D$41&lt;=$C73)*('China n Importing Ports'!$C$20:$C$41=IF($AO73="Yes",$AQ73,$AS73)))))</f>
        <v>0</v>
      </c>
      <c r="NW73" s="136">
        <f t="array" ref="NW73">INDEX('China n Importing Ports'!$R$20:$R$41,MATCH(2,1/(('China n Importing Ports'!$D$20:$D$41&lt;=$C73)*('China n Importing Ports'!$C$20:$C$41=IF($AO73="Yes",$AQ73,$AS73)))))</f>
        <v>0</v>
      </c>
      <c r="NX73" s="136">
        <f t="array" ref="NX73">INDEX('China n Importing Ports'!$S$20:$S$41,MATCH(2,1/(('China n Importing Ports'!$D$20:$D$41&lt;=$C73)*('China n Importing Ports'!$C$20:$C$41=IF($AO73="Yes",$AQ73,$AS73)))))</f>
        <v>4.53</v>
      </c>
      <c r="NY73" s="136">
        <f t="array" ref="NY73">INDEX('China n Importing Ports'!$T$20:$T$41,MATCH(2,1/(('China n Importing Ports'!$D$20:$D$41&lt;=$C73)*('China n Importing Ports'!$C$20:$C$41=IF($AO73="Yes",$AQ73,$AS73)))))</f>
        <v>0.36699999999999999</v>
      </c>
      <c r="NZ73" s="136">
        <f t="array" ref="NZ73">INDEX('China n Importing Ports'!$U$20:$U$41,MATCH(2,1/(('China n Importing Ports'!$D$20:$D$41&lt;=$C73)*('China n Importing Ports'!$C$20:$C$41=IF($AO73="Yes",$AQ73,$AS73)))))</f>
        <v>0.05</v>
      </c>
      <c r="OA73" s="136">
        <f t="array" ref="OA73">INDEX('China n Importing Ports'!$V$20:$V$41,MATCH(2,1/(('China n Importing Ports'!$D$20:$D$41&lt;=$C73)*('China n Importing Ports'!$C$20:$C$41=IF($AO73="Yes",$AQ73,$AS73)))))</f>
        <v>0</v>
      </c>
      <c r="OB73" s="136">
        <f t="array" ref="OB73">INDEX('China n Importing Ports'!$W$20:$W$41,MATCH(2,1/(('China n Importing Ports'!$D$20:$D$41&lt;=$C73)*('China n Importing Ports'!$C$20:$C$41=IF($AO73="Yes",$AQ73,$AS73)))))</f>
        <v>0</v>
      </c>
      <c r="OC73" s="136">
        <f t="array" ref="OC73">INDEX('China n Importing Ports'!$X$20:$X$41,MATCH(2,1/(('China n Importing Ports'!$D$20:$D$41&lt;=$C73)*('China n Importing Ports'!$C$20:$C$41=IF($AO73="Yes",$AQ73,$AS73)))))</f>
        <v>0</v>
      </c>
      <c r="OD73" s="136">
        <f t="array" ref="OD73">INDEX('China n Importing Ports'!$Y$20:$Y$41,MATCH(2,1/(('China n Importing Ports'!$D$20:$D$41&lt;=$C73)*('China n Importing Ports'!$C$20:$C$41=IF($AO73="Yes",$AQ73,$AS73)))))</f>
        <v>197</v>
      </c>
      <c r="OE73" s="136">
        <f t="array" ref="OE73">INDEX('China n Importing Ports'!$Z$20:$Z$41,MATCH(2,1/(('China n Importing Ports'!$D$20:$D$41&lt;=$C73)*('China n Importing Ports'!$C$20:$C$41=IF($AO73="Yes",$AQ73,$AS73)))))</f>
        <v>0</v>
      </c>
      <c r="OF73" s="136">
        <f t="array" ref="OF73">INDEX('China n Importing Ports'!$AA$20:$AA$41,MATCH(2,1/(('China n Importing Ports'!$D$20:$D$41&lt;=$C73)*('China n Importing Ports'!$C$20:$C$41=IF($AO73="Yes",$AQ73,$AS73)))))</f>
        <v>0</v>
      </c>
      <c r="OH73" s="75" t="e">
        <f t="array" aca="1" ref="OH73" ca="1">INDEX(Canals!$G$24:$G$29,MATCH(2,1/((Canals!$F$24:$F$29&lt;=$C73)*(Canals!$G$24:$G$29=_xlfn.IFS(KS73="Handysize",Main!NB73,KS73="Supramax",MU73,KS73="Panamax",MN73,KS73="NeoPanamax",MG73,KS73="Suezmax",LZ73,KS73="Capesize",LS73,KS73="VLOC",LL73)))))</f>
        <v>#N/A</v>
      </c>
      <c r="OI73" s="75" t="e">
        <f t="array" aca="1" ref="OI73" ca="1">INDEX(Canals!$H$24:$H$29,MATCH(2,1/((Canals!$F$24:$F$29&lt;=$C73)*(Canals!$G$24:$G$29=_xlfn.IFS(KS73="Handysize",Main!NB73,KS73="Supramax",MU73,KS73="Panamax",MN73,KS73="NeoPanamax",MG73,KS73="Suezmax",LZ73,KS73="Capesize",LS73,KS73="VLOC",LL73)))))</f>
        <v>#N/A</v>
      </c>
      <c r="OJ73" s="75" t="e">
        <f t="array" aca="1" ref="OJ73" ca="1">INDEX(Canals!$I$24:$I$29,MATCH(2,1/((Canals!$F$24:$F$29&lt;=$C73)*(Canals!$G$24:$G$29=_xlfn.IFS(KS73="Handysize",Main!NB73,KS73="Supramax",MU73,KS73="Panamax",MN73,KS73="NeoPanamax",MG73,KS73="Suezmax",LZ73,KS73="Capesize",LS73,KS73="VLOC",LL73)))))</f>
        <v>#N/A</v>
      </c>
      <c r="OK73" s="75" t="e">
        <f t="array" aca="1" ref="OK73" ca="1">INDEX(Canals!$J$24:$J$29,MATCH(2,1/((Canals!$F$24:$F$29&lt;=$C73)*(Canals!$G$24:$G$29=_xlfn.IFS(KS73="Handysize",Main!NB73,KS73="Supramax",MU73,KS73="Panamax",MN73,KS73="NeoPanamax",MG73,KS73="Suezmax",LZ73,KS73="Capesize",LS73,KS73="VLOC",LL73)))))</f>
        <v>#N/A</v>
      </c>
      <c r="OL73" s="75" t="e">
        <f t="array" aca="1" ref="OL73" ca="1">INDEX(Canals!$K$24:$K$29,MATCH(2,1/((Canals!$F$24:$F$29&lt;=$C73)*(Canals!$G$24:$G$29=_xlfn.IFS(KS73="Handysize",Main!NB73,KS73="Supramax",MU73,KS73="Panamax",MN73,KS73="NeoPanamax",MG73,KS73="Suezmax",LZ73,KS73="Capesize",LS73,KS73="VLOC",LL73)))))</f>
        <v>#N/A</v>
      </c>
      <c r="OM73" s="75" t="e">
        <f t="array" aca="1" ref="OM73" ca="1">INDEX(Canals!$L$24:$L$29,MATCH(2,1/((Canals!$F$24:$F$29&lt;=$C73)*(Canals!$G$24:$G$29=_xlfn.IFS(KS73="Handysize",Main!NB73,KS73="Supramax",MU73,KS73="Panamax",MN73,KS73="NeoPanamax",MG73,KS73="Suezmax",LZ73,KS73="Capesize",LS73,KS73="VLOC",LL73)))))</f>
        <v>#N/A</v>
      </c>
      <c r="ON73" s="75" t="e">
        <f t="array" aca="1" ref="ON73" ca="1">INDEX(Canals!$M$24:$M$29,MATCH(2,1/((Canals!$F$24:$F$29&lt;=$C73)*(Canals!$G$24:$G$29=_xlfn.IFS(KS73="Handysize",Main!NB73,KS73="Supramax",MU73,KS73="Panamax",MN73,KS73="NeoPanamax",MG73,KS73="Suezmax",LZ73,KS73="Capesize",LS73,KS73="VLOC",LL73)))))</f>
        <v>#N/A</v>
      </c>
      <c r="OO73" s="75" t="e">
        <f t="array" aca="1" ref="OO73" ca="1">INDEX(Canals!$N$24:$N$29,MATCH(2,1/((Canals!$F$24:$F$29&lt;=$C73)*(Canals!$G$24:$G$29=_xlfn.IFS(KS73="Handysize",Main!NB73,KS73="Supramax",MU73,KS73="Panamax",MN73,KS73="NeoPanamax",MG73,KS73="Suezmax",LZ73,KS73="Capesize",LS73,KS73="VLOC",LL73)))))</f>
        <v>#N/A</v>
      </c>
      <c r="OP73" s="75" t="e">
        <f t="array" aca="1" ref="OP73" ca="1">INDEX(Canals!$O$24:$O$29,MATCH(2,1/((Canals!$F$24:$F$29&lt;=$C73)*(Canals!$G$24:$G$29=_xlfn.IFS(KS73="Handysize",Main!NB73,KS73="Supramax",MU73,KS73="Panamax",MN73,KS73="NeoPanamax",MG73,KS73="Suezmax",LZ73,KS73="Capesize",LS73,KS73="VLOC",LL73)))))</f>
        <v>#N/A</v>
      </c>
      <c r="OQ73" s="75" t="e">
        <f t="array" aca="1" ref="OQ73" ca="1">INDEX(Canals!$P$24:$P$29,MATCH(2,1/((Canals!$F$24:$F$29&lt;=$C73)*(Canals!$G$24:$G$29=_xlfn.IFS(KS73="Handysize",Main!NB73,KS73="Supramax",MU73,KS73="Panamax",MN73,KS73="NeoPanamax",MG73,KS73="Suezmax",LZ73,KS73="Capesize",LS73,KS73="VLOC",LL73)))))</f>
        <v>#N/A</v>
      </c>
      <c r="OR73" s="75" t="e">
        <f t="array" aca="1" ref="OR73" ca="1">INDEX(Canals!$Q$24:$Q$29,MATCH(2,1/((Canals!$F$24:$F$29&lt;=$C73)*(Canals!$G$24:$G$29=_xlfn.IFS(KS73="Handysize",Main!NB73,KS73="Supramax",MU73,KS73="Panamax",MN73,KS73="NeoPanamax",MG73,KS73="Suezmax",LZ73,KS73="Capesize",LS73,KS73="VLOC",LL73)))))</f>
        <v>#N/A</v>
      </c>
      <c r="OS73" s="75" t="e">
        <f t="array" aca="1" ref="OS73" ca="1">INDEX(Canals!$R$24:$R$29,MATCH(2,1/((Canals!$F$24:$F$29&lt;=$C73)*(Canals!$G$24:$G$29=_xlfn.IFS(KS73="Handysize",Main!NB73,KS73="Supramax",MU73,KS73="Panamax",MN73,KS73="NeoPanamax",MG73,KS73="Suezmax",LZ73,KS73="Capesize",LS73,KS73="VLOC",LL73)))))</f>
        <v>#N/A</v>
      </c>
      <c r="OT73" s="136" t="e">
        <f t="array" aca="1" ref="OT73" ca="1">INDEX(Canals!$S$24:$S$29,MATCH(2,1/((Canals!$F$24:$F$29&lt;=$C73)*(Canals!$G$24:$G$29=_xlfn.IFS(KS73="Handysize",Main!NB73,KS73="Supramax",MU73,KS73="Panamax",MN73,KS73="NeoPanamax",MG73,KS73="Suezmax",LZ73,KS73="Capesize",LS73,KS73="VLOC",LL73)))))</f>
        <v>#N/A</v>
      </c>
      <c r="OU73" s="136" t="e">
        <f t="array" aca="1" ref="OU73" ca="1">INDEX(Canals!$T$24:$T$29,MATCH(2,1/((Canals!$F$24:$F$29&lt;=$C73)*(Canals!$G$24:$G$29=_xlfn.IFS(KS73="Handysize",Main!NB73,KS73="Supramax",MU73,KS73="Panamax",MN73,KS73="NeoPanamax",MG73,KS73="Suezmax",LZ73,KS73="Capesize",LS73,KS73="VLOC",LL73)))))</f>
        <v>#N/A</v>
      </c>
      <c r="OV73" s="136" t="e">
        <f t="array" aca="1" ref="OV73" ca="1">INDEX(Canals!$U$24:$U$29,MATCH(2,1/((Canals!$F$24:$F$29&lt;=$C73)*(Canals!$G$24:$G$29=_xlfn.IFS(KS73="Handysize",Main!NB73,KS73="Supramax",MU73,KS73="Panamax",MN73,KS73="NeoPanamax",MG73,KS73="Suezmax",LZ73,KS73="Capesize",LS73,KS73="VLOC",LL73)))))</f>
        <v>#N/A</v>
      </c>
      <c r="OW73" s="136" t="e">
        <f t="array" aca="1" ref="OW73" ca="1">INDEX(Canals!$V$24:$V$29,MATCH(2,1/((Canals!$F$24:$F$29&lt;=$C73)*(Canals!$G$24:$G$29=_xlfn.IFS(KS73="Handysize",Main!NB73,KS73="Supramax",MU73,KS73="Panamax",MN73,KS73="NeoPanamax",MG73,KS73="Suezmax",LZ73,KS73="Capesize",LS73,KS73="VLOC",LL73)))))</f>
        <v>#N/A</v>
      </c>
      <c r="OX73" s="136" t="e">
        <f t="array" aca="1" ref="OX73" ca="1">INDEX(Canals!$W$24:$W$29,MATCH(2,1/((Canals!$F$24:$F$29&lt;=$C73)*(Canals!$G$24:$G$29=_xlfn.IFS(KS73="Handysize",Main!NB73,KS73="Supramax",MU73,KS73="Panamax",MN73,KS73="NeoPanamax",MG73,KS73="Suezmax",LZ73,KS73="Capesize",LS73,KS73="VLOC",LL73)))))</f>
        <v>#N/A</v>
      </c>
      <c r="OY73" s="136" t="e">
        <f t="array" aca="1" ref="OY73" ca="1">INDEX(Canals!$X$24:$X$29,MATCH(2,1/((Canals!$F$24:$F$29&lt;=$C73)*(Canals!$G$24:$G$29=_xlfn.IFS(KS73="Handysize",Main!NB73,KS73="Supramax",MU73,KS73="Panamax",MN73,KS73="NeoPanamax",MG73,KS73="Suezmax",LZ73,KS73="Capesize",LS73,KS73="VLOC",LL73)))))</f>
        <v>#N/A</v>
      </c>
      <c r="OZ73" s="136" t="e">
        <f t="array" aca="1" ref="OZ73" ca="1">INDEX(Canals!$Y$24:$Y$29,MATCH(2,1/((Canals!$F$24:$F$29&lt;=$C73)*(Canals!$G$24:$G$29=_xlfn.IFS(KS73="Handysize",Main!NB73,KS73="Supramax",MU73,KS73="Panamax",MN73,KS73="NeoPanamax",MG73,KS73="Suezmax",LZ73,KS73="Capesize",LS73,KS73="VLOC",LL73)))))</f>
        <v>#N/A</v>
      </c>
      <c r="PA73" s="136" t="e">
        <f t="array" aca="1" ref="PA73" ca="1">INDEX(Canals!$Z$24:$Z$29,MATCH(2,1/((Canals!$F$24:$F$29&lt;=$C73)*(Canals!$G$24:$G$29=_xlfn.IFS(KS73="Handysize",Main!NB73,KS73="Supramax",MU73,KS73="Panamax",MN73,KS73="NeoPanamax",MG73,KS73="Suezmax",LZ73,KS73="Capesize",LS73,KS73="VLOC",LL73)))))</f>
        <v>#N/A</v>
      </c>
      <c r="PB73" s="136" t="e">
        <f t="array" aca="1" ref="PB73" ca="1">INDEX(Canals!$AA$24:$AA$29,MATCH(2,1/((Canals!$F$24:$F$29&lt;=$C73)*(Canals!$G$24:$G$29=_xlfn.IFS(KS73="Handysize",Main!NB73,KS73="Supramax",MU73,KS73="Panamax",MN73,KS73="NeoPanamax",MG73,KS73="Suezmax",LZ73,KS73="Capesize",LS73,KS73="VLOC",LL73)))))</f>
        <v>#N/A</v>
      </c>
      <c r="PC73" s="136" t="e">
        <f t="array" aca="1" ref="PC73" ca="1">INDEX(Canals!$AB$24:$AB$29,MATCH(2,1/((Canals!$F$24:$F$29&lt;=$C73)*(Canals!$G$24:$G$29=_xlfn.IFS(KS73="Handysize",Main!NB73,KS73="Supramax",MU73,KS73="Panamax",MN73,KS73="NeoPanamax",MG73,KS73="Suezmax",LZ73,KS73="Capesize",LS73,KS73="VLOC",LL73)))))</f>
        <v>#N/A</v>
      </c>
      <c r="PD73" s="75" t="e">
        <f t="array" aca="1" ref="PD73" ca="1">INDEX(Canals!$AC$24:$AC$29,MATCH(2,1/((Canals!$F$24:$F$29&lt;=$C73)*(Canals!$G$24:$G$29=_xlfn.IFS(KS73="Handysize",Main!NB73,KS73="Supramax",MU73,KS73="Panamax",MN73,KS73="NeoPanamax",MG73,KS73="Suezmax",LZ73,KS73="Capesize",LS73,KS73="VLOC",LL73)))))</f>
        <v>#N/A</v>
      </c>
      <c r="PE73" s="75" t="e">
        <f t="array" aca="1" ref="PE73" ca="1">INDEX(Canals!$AD$24:$AD$29,MATCH(2,1/((Canals!$F$24:$F$29&lt;=$C73)*(Canals!$G$24:$G$29=_xlfn.IFS(KS73="Handysize",Main!NB73,KS73="Supramax",MU73,KS73="Panamax",MN73,KS73="NeoPanamax",MG73,KS73="Suezmax",LZ73,KS73="Capesize",LS73,KS73="VLOC",LL73)))))</f>
        <v>#N/A</v>
      </c>
      <c r="PF73" s="75" t="e">
        <f t="array" aca="1" ref="PF73" ca="1">INDEX(Canals!$AE$24:$AE$29,MATCH(2,1/((Canals!$F$24:$F$29&lt;=$C73)*(Canals!$G$24:$G$29=_xlfn.IFS(KS73="Handysize",Main!NB73,KS73="Supramax",MU73,KS73="Panamax",MN73,KS73="NeoPanamax",MG73,KS73="Suezmax",LZ73,KS73="Capesize",LS73,KS73="VLOC",LL73)))))</f>
        <v>#N/A</v>
      </c>
      <c r="PG73" s="75" t="e">
        <f t="array" aca="1" ref="PG73" ca="1">INDEX(Canals!$AF$24:$AF$29,MATCH(2,1/((Canals!$F$24:$F$29&lt;=$C73)*(Canals!$G$24:$G$29=_xlfn.IFS(KS73="Handysize",Main!NB73,KS73="Supramax",MU73,KS73="Panamax",MN73,KS73="NeoPanamax",MG73,KS73="Suezmax",LZ73,KS73="Capesize",LS73,KS73="VLOC",LL73)))))</f>
        <v>#N/A</v>
      </c>
      <c r="PH73" s="75" t="e">
        <f t="array" aca="1" ref="PH73" ca="1">INDEX(Canals!$AG$24:$AG$29,MATCH(2,1/((Canals!$F$24:$F$29&lt;=$C73)*(Canals!$G$24:$G$29=_xlfn.IFS(KS73="Handysize",Main!NB73,KS73="Supramax",MU73,KS73="Panamax",MN73,KS73="NeoPanamax",MG73,KS73="Suezmax",LZ73,KS73="Capesize",LS73,KS73="VLOC",LL73)))))</f>
        <v>#N/A</v>
      </c>
      <c r="PI73" s="75" t="e">
        <f t="array" aca="1" ref="PI73" ca="1">INDEX(Canals!$AH$24:$AH$29,MATCH(2,1/((Canals!$F$24:$F$29&lt;=$C73)*(Canals!$G$24:$G$29=_xlfn.IFS(KS73="Handysize",Main!NB73,KS73="Supramax",MU73,KS73="Panamax",MN73,KS73="NeoPanamax",MG73,KS73="Suezmax",LZ73,KS73="Capesize",LS73,KS73="VLOC",LL73)))))</f>
        <v>#N/A</v>
      </c>
      <c r="PJ73" s="75" t="e">
        <f t="array" aca="1" ref="PJ73" ca="1">INDEX(Canals!$AI$24:$AI$29,MATCH(2,1/((Canals!$F$24:$F$29&lt;=$C73)*(Canals!$G$24:$G$29=_xlfn.IFS(KS73="Handysize",Main!NB73,KS73="Supramax",MU73,KS73="Panamax",MN73,KS73="NeoPanamax",MG73,KS73="Suezmax",LZ73,KS73="Capesize",LS73,KS73="VLOC",LL73)))))</f>
        <v>#N/A</v>
      </c>
      <c r="PK73" s="75" t="e">
        <f t="array" aca="1" ref="PK73" ca="1">INDEX(Canals!$AJ$24:$AJ$29,MATCH(2,1/((Canals!$F$24:$F$29&lt;=$C73)*(Canals!$G$24:$G$29=_xlfn.IFS(KS73="Handysize",Main!NB73,KS73="Supramax",MU73,KS73="Panamax",MN73,KS73="NeoPanamax",MG73,KS73="Suezmax",LZ73,KS73="Capesize",LS73,KS73="VLOC",LL73)))))</f>
        <v>#N/A</v>
      </c>
      <c r="PL73" s="75" t="e">
        <f t="array" aca="1" ref="PL73" ca="1">INDEX(Canals!$AK$24:$AK$29,MATCH(2,1/((Canals!$F$24:$F$29&lt;=$C73)*(Canals!$G$24:$G$29=_xlfn.IFS(KS73="Handysize",Main!NB73,KS73="Supramax",MU73,KS73="Panamax",MN73,KS73="NeoPanamax",MG73,KS73="Suezmax",LZ73,KS73="Capesize",LS73,KS73="VLOC",LL73)))))</f>
        <v>#N/A</v>
      </c>
      <c r="PM73" s="136" t="e">
        <f t="array" aca="1" ref="PM73" ca="1">INDEX(Canals!$AL$24:$AL$29,MATCH(2,1/((Canals!$F$24:$F$29&lt;=$C73)*(Canals!$G$24:$G$29=_xlfn.IFS(KS73="Handysize",Main!NB73,KS73="Supramax",MU73,KS73="Panamax",MN73,KS73="NeoPanamax",MG73,KS73="Suezmax",LZ73,KS73="Capesize",LS73,KS73="VLOC",LL73)))))</f>
        <v>#N/A</v>
      </c>
      <c r="PN73" s="136" t="e">
        <f t="array" aca="1" ref="PN73" ca="1">INDEX(Canals!$AM$24:$AM$29,MATCH(2,1/((Canals!$F$24:$F$29&lt;=$C73)*(Canals!$G$24:$G$29=_xlfn.IFS(KS73="Handysize",Main!NB73,KS73="Supramax",MU73,KS73="Panamax",MN73,KS73="NeoPanamax",MG73,KS73="Suezmax",LZ73,KS73="Capesize",LS73,KS73="VLOC",LL73)))))</f>
        <v>#N/A</v>
      </c>
      <c r="PO73" s="136" t="e">
        <f t="array" aca="1" ref="PO73" ca="1">INDEX(Canals!$AN$24:$AN$29,MATCH(2,1/((Canals!$F$24:$F$29&lt;=$C73)*(Canals!$G$24:$G$29=_xlfn.IFS(KS73="Handysize",Main!NB73,KS73="Supramax",MU73,KS73="Panamax",MN73,KS73="NeoPanamax",MG73,KS73="Suezmax",LZ73,KS73="Capesize",LS73,KS73="VLOC",LL73)))))</f>
        <v>#N/A</v>
      </c>
      <c r="PP73" s="136" t="e">
        <f t="array" aca="1" ref="PP73" ca="1">INDEX(Canals!$AO$24:$AO$29,MATCH(2,1/((Canals!$F$24:$F$29&lt;=$C73)*(Canals!$G$24:$G$29=_xlfn.IFS(KS73="Handysize",Main!NB73,KS73="Supramax",MU73,KS73="Panamax",MN73,KS73="NeoPanamax",MG73,KS73="Suezmax",LZ73,KS73="Capesize",LS73,KS73="VLOC",LL73)))))</f>
        <v>#N/A</v>
      </c>
      <c r="PQ73" s="136" t="e">
        <f t="array" aca="1" ref="PQ73" ca="1">INDEX(Canals!$AP$24:$AP$29,MATCH(2,1/((Canals!$F$24:$F$29&lt;=$C73)*(Canals!$G$24:$G$29=_xlfn.IFS(KS73="Handysize",Main!NB73,KS73="Supramax",MU73,KS73="Panamax",MN73,KS73="NeoPanamax",MG73,KS73="Suezmax",LZ73,KS73="Capesize",LS73,KS73="VLOC",LL73)))))</f>
        <v>#N/A</v>
      </c>
      <c r="PR73" s="136" t="e">
        <f t="array" aca="1" ref="PR73" ca="1">INDEX(Canals!$AQ$24:$AQ$29,MATCH(2,1/((Canals!$F$24:$F$29&lt;=$C73)*(Canals!$G$24:$G$29=_xlfn.IFS(KS73="Handysize",Main!NB73,KS73="Supramax",MU73,KS73="Panamax",MN73,KS73="NeoPanamax",MG73,KS73="Suezmax",LZ73,KS73="Capesize",LS73,KS73="VLOC",LL73)))))</f>
        <v>#N/A</v>
      </c>
      <c r="PS73" s="136" t="e">
        <f t="array" aca="1" ref="PS73" ca="1">INDEX(Canals!$AR$24:$AR$29,MATCH(2,1/((Canals!$F$24:$F$29&lt;=$C73)*(Canals!$G$24:$G$29=_xlfn.IFS(KS73="Handysize",Main!NB73,KS73="Supramax",MU73,KS73="Panamax",MN73,KS73="NeoPanamax",MG73,KS73="Suezmax",LZ73,KS73="Capesize",LS73,KS73="VLOC",LL73)))))</f>
        <v>#N/A</v>
      </c>
      <c r="PT73" s="136" t="e">
        <f t="array" aca="1" ref="PT73" ca="1">INDEX(Canals!$AS$24:$AS$29,MATCH(2,1/((Canals!$F$24:$F$29&lt;=$C73)*(Canals!$G$24:$G$29=_xlfn.IFS(KS73="Handysize",Main!NB73,KS73="Supramax",MU73,KS73="Panamax",MN73,KS73="NeoPanamax",MG73,KS73="Suezmax",LZ73,KS73="Capesize",LS73,KS73="VLOC",LL73)))))</f>
        <v>#N/A</v>
      </c>
      <c r="PU73" s="136" t="e">
        <f t="array" aca="1" ref="PU73" ca="1">INDEX(Canals!$AT$24:$AT$29,MATCH(2,1/((Canals!$F$24:$F$29&lt;=$C73)*(Canals!$G$24:$G$29=_xlfn.IFS(KS73="Handysize",Main!NB73,KS73="Supramax",MU73,KS73="Panamax",MN73,KS73="NeoPanamax",MG73,KS73="Suezmax",LZ73,KS73="Capesize",LS73,KS73="VLOC",LL73)))))</f>
        <v>#N/A</v>
      </c>
      <c r="PV73" s="136" t="e">
        <f t="array" aca="1" ref="PV73" ca="1">INDEX(Canals!$AU$24:$AU$29,MATCH(2,1/((Canals!$F$24:$F$29&lt;=$C73)*(Canals!$G$24:$G$29=_xlfn.IFS(KS73="Handysize",Main!NB73,KS73="Supramax",MU73,KS73="Panamax",MN73,KS73="NeoPanamax",MG73,KS73="Suezmax",LZ73,KS73="Capesize",LS73,KS73="VLOC",LL73)))))</f>
        <v>#N/A</v>
      </c>
      <c r="PW73" s="136" t="e">
        <f t="array" aca="1" ref="PW73" ca="1">INDEX(Canals!$AV$24:$AV$29,MATCH(2,1/((Canals!$F$24:$F$29&lt;=$C73)*(Canals!$G$24:$G$29=_xlfn.IFS(KS73="Handysize",Main!NB73,KS73="Supramax",MU73,KS73="Panamax",MN73,KS73="NeoPanamax",MG73,KS73="Suezmax",LZ73,KS73="Capesize",LS73,KS73="VLOC",LL73)))))</f>
        <v>#N/A</v>
      </c>
      <c r="PY73" s="75" t="e">
        <f t="array" aca="1" ref="PY73" ca="1">_xlfn.IFS(OJ73="DWT",KQ73,OJ73="NRT",KU73,OJ73="GRT",KV73)</f>
        <v>#NAME?</v>
      </c>
      <c r="PZ73" s="279" t="e">
        <f t="shared" ca="1" si="782"/>
        <v>#NAME?</v>
      </c>
      <c r="QA73" s="280" t="e">
        <f t="shared" ca="1" si="783"/>
        <v>#NAME?</v>
      </c>
      <c r="QB73" s="280" t="e">
        <f t="shared" ca="1" si="784"/>
        <v>#NAME?</v>
      </c>
      <c r="QC73" s="280" t="e">
        <f t="shared" ca="1" si="785"/>
        <v>#NAME?</v>
      </c>
      <c r="QD73" s="280" t="e">
        <f t="shared" ca="1" si="786"/>
        <v>#NAME?</v>
      </c>
      <c r="QE73" s="280" t="e">
        <f t="shared" ca="1" si="787"/>
        <v>#NAME?</v>
      </c>
      <c r="QF73" s="280" t="e">
        <f t="shared" ca="1" si="788"/>
        <v>#NAME?</v>
      </c>
      <c r="QG73" s="280" t="e">
        <f t="shared" ca="1" si="789"/>
        <v>#NAME?</v>
      </c>
      <c r="QH73" s="280" t="e">
        <f t="shared" ca="1" si="790"/>
        <v>#NAME?</v>
      </c>
      <c r="QI73" s="75">
        <f t="shared" si="791"/>
        <v>90588.23529411765</v>
      </c>
      <c r="QJ73" s="279" t="e">
        <f t="shared" ca="1" si="792"/>
        <v>#N/A</v>
      </c>
      <c r="QK73" s="280" t="e">
        <f t="shared" ca="1" si="793"/>
        <v>#N/A</v>
      </c>
      <c r="QL73" s="280" t="e">
        <f t="shared" ca="1" si="794"/>
        <v>#N/A</v>
      </c>
      <c r="QM73" s="280" t="e">
        <f t="shared" ca="1" si="795"/>
        <v>#N/A</v>
      </c>
      <c r="QN73" s="280" t="e">
        <f t="shared" ca="1" si="796"/>
        <v>#N/A</v>
      </c>
      <c r="QO73" s="280" t="e">
        <f t="shared" ca="1" si="797"/>
        <v>#N/A</v>
      </c>
      <c r="QP73" s="280" t="e">
        <f t="shared" ca="1" si="798"/>
        <v>#N/A</v>
      </c>
      <c r="QQ73" s="280" t="e">
        <f t="shared" ca="1" si="799"/>
        <v>#N/A</v>
      </c>
      <c r="QR73" s="280" t="e">
        <f t="shared" ca="1" si="800"/>
        <v>#N/A</v>
      </c>
      <c r="QT73" s="75" t="e">
        <f t="array" aca="1" ref="QT73" ca="1">_xlfn.IFS(KS73="Handysize",Main!MV73,KS73="Supramax",MO73,KS73="Panamax",MH73,KS73="NeoPanamax",MA73,KS73="Suezmax",LT73,KS73="Capesize",LM73,KS73="VLOC",LF73)*$JI73</f>
        <v>#NAME?</v>
      </c>
      <c r="QU73" s="274" t="e">
        <f t="array" aca="1" ref="QU73" ca="1">_xlfn.IFS(KS73="Handysize",Main!MW73,KS73="Supramax",MP73,KS73="Panamax",MI73,KS73="NeoPanamax",MB73,KS73="Suezmax",LU73,KS73="Capesize",LN73,KS73="VLOC",LG73)*$JI73</f>
        <v>#NAME?</v>
      </c>
      <c r="QV73" s="71" t="e">
        <f t="array" aca="1" ref="QV73" ca="1">_xlfn.IFS(KS73="Handysize",Main!KX73,KS73="Supramax",KY73,KS73="Panamax",KZ73,KS73="NeoPanamax",LA73,KS73="Suezmax",LB73,KS73="Capesize",LC73,KS73="VLOC",LD73)</f>
        <v>#NAME?</v>
      </c>
      <c r="QW73" s="71" t="e">
        <f t="array" aca="1" ref="QW73" ca="1">_xlfn.IFS(KS73="Handysize",Main!NJ73,KS73="Supramax",NK73,KS73="Panamax",NL73,KS73="NeoPanamax",NM73,KS73="Suezmax",NN73,KS73="Capesize",NO73,KS73="VLOC",NP73)</f>
        <v>#NAME?</v>
      </c>
      <c r="QX73" s="70">
        <f t="array" ref="QX73">INDEX('Ship Speeds'!$G$11:$G$1011,MATCH(2,1/(('Ship Speeds'!$E$11:$E$1011&lt;=Main!$C73)*('Ship Speeds'!$F$11:$F$1011=Main!KR73))))</f>
        <v>11</v>
      </c>
      <c r="QY73" s="403">
        <f t="shared" si="801"/>
        <v>23.70260984288554</v>
      </c>
      <c r="QZ73" s="401">
        <f t="shared" si="802"/>
        <v>2.1922895927601811</v>
      </c>
      <c r="RA73" s="70" t="e">
        <f t="shared" ca="1" si="803"/>
        <v>#NAME?</v>
      </c>
      <c r="RB73" s="70" t="e">
        <f t="shared" ca="1" si="804"/>
        <v>#NAME?</v>
      </c>
      <c r="RC73" s="70" t="e">
        <f t="shared" ca="1" si="805"/>
        <v>#NAME?</v>
      </c>
      <c r="RD73" s="70" t="e">
        <f t="shared" ca="1" si="806"/>
        <v>#NAME?</v>
      </c>
      <c r="RE73" s="72" t="e">
        <f t="shared" ca="1" si="807"/>
        <v>#N/A</v>
      </c>
      <c r="RF73" s="70" t="e">
        <f t="shared" ca="1" si="808"/>
        <v>#NAME?</v>
      </c>
      <c r="RG73" s="70" t="e">
        <f t="array" aca="1" ref="RG73" ca="1">INDEX(ND73:NH73,MATCH(_xlfn.IFS(KS73="Handysize",Main!MZ73,KS73="Supramax",MS73,KS73="Panamax",ML73,KS73="NeoPanamax",ME73,KS73="Suezmax",LX73,KS73="Capesize",LQ73,KS73="VLOC",LJ73),$ND$7:$NH$7,0))</f>
        <v>#NAME?</v>
      </c>
      <c r="RH73" s="70" t="e">
        <f t="array" aca="1" ref="RH73" ca="1">INDEX(ND73:NH73,MATCH(_xlfn.IFS(KS73="Handysize",Main!NA73,KS73="Supramax",MT73,KS73="Panamax",MM73,KS73="NeoPanamax",MF73,KS73="Suezmax",LY73,KS73="Capesize",LR73,KS73="VLOC",LK73),$ND$7:$NH$7,0))</f>
        <v>#NAME?</v>
      </c>
      <c r="RI73" s="71" t="e">
        <f t="shared" ca="1" si="809"/>
        <v>#NAME?</v>
      </c>
      <c r="RJ73" s="71" t="e">
        <f t="shared" ca="1" si="810"/>
        <v>#NAME?</v>
      </c>
      <c r="RK73" s="281">
        <f t="shared" si="811"/>
        <v>7.0834199999999994</v>
      </c>
      <c r="RL73" s="71">
        <f t="shared" si="812"/>
        <v>1742.3786814843679</v>
      </c>
      <c r="RM73" s="71" t="e">
        <f t="shared" ca="1" si="813"/>
        <v>#NAME?</v>
      </c>
      <c r="RN73" s="71" t="e">
        <f t="shared" ca="1" si="814"/>
        <v>#NAME?</v>
      </c>
      <c r="RO73" s="71">
        <f t="shared" si="815"/>
        <v>33762.355073745537</v>
      </c>
      <c r="RP73" s="71" t="e">
        <f t="shared" ca="1" si="816"/>
        <v>#NAME?</v>
      </c>
      <c r="RQ73" s="71" t="e">
        <f t="shared" ca="1" si="817"/>
        <v>#NAME?</v>
      </c>
      <c r="RR73" s="71">
        <f t="shared" si="818"/>
        <v>23969.461999406663</v>
      </c>
      <c r="RS73" s="71" t="e">
        <f t="shared" ca="1" si="819"/>
        <v>#NAME?</v>
      </c>
      <c r="RT73" s="71" t="e">
        <f t="shared" ca="1" si="820"/>
        <v>#NAME?</v>
      </c>
      <c r="RU73" s="71">
        <f t="shared" si="821"/>
        <v>0</v>
      </c>
      <c r="RV73" s="71" t="e">
        <f t="shared" ca="1" si="822"/>
        <v>#NAME?</v>
      </c>
      <c r="RW73" s="71" t="e">
        <f t="shared" ca="1" si="823"/>
        <v>#NAME?</v>
      </c>
      <c r="RX73" s="72">
        <f t="shared" si="824"/>
        <v>6313.2298390872393</v>
      </c>
      <c r="RY73" s="72" t="e">
        <f t="shared" ca="1" si="825"/>
        <v>#NAME?</v>
      </c>
      <c r="RZ73" s="71" t="e">
        <f t="shared" ca="1" si="826"/>
        <v>#NAME?</v>
      </c>
      <c r="SA73" s="71" t="e">
        <f t="array" aca="1" ref="SA73" ca="1">INDEX('Ship Time Charter Rates'!$H$22:$H$1021,MATCH(2,1/(('Ship Time Charter Rates'!$G$22:$G$1021=_xlfn.IFS(KS73="Handysize",Main!MX73,KS73="Supramax",MQ73,KS73="Panamax",MJ73,KS73="NeoPanamax",MC73,KS73="Suezmax",LV73,KS73="Capesize",LO73,KS73="VLOC",LH73))*('Ship Time Charter Rates'!$E$22:$E$1021&lt;=Main!$C73)*(NOT(ISBLANK('Ship Time Charter Rates'!$H$22:$H$1021))))))</f>
        <v>#N/A</v>
      </c>
      <c r="SB73" s="71" t="e">
        <f t="shared" ca="1" si="827"/>
        <v>#NAME?</v>
      </c>
      <c r="SC73" s="70" t="e">
        <f t="shared" ca="1" si="828"/>
        <v>#N/A</v>
      </c>
      <c r="SD73" s="71" t="e">
        <f t="shared" ca="1" si="829"/>
        <v>#NAME?</v>
      </c>
      <c r="SE73" s="71" t="e">
        <f t="shared" ca="1" si="830"/>
        <v>#NAME?</v>
      </c>
      <c r="SF73" s="72" t="e">
        <f t="shared" ca="1" si="831"/>
        <v>#NAME?</v>
      </c>
      <c r="SH73" s="25">
        <f t="shared" si="832"/>
        <v>0</v>
      </c>
      <c r="SI73" s="4" t="str">
        <f>VLOOKUP(SH73,'Ship Time Charter Rates'!$F$10:$G$17,2,TRUE)</f>
        <v>Handysize</v>
      </c>
      <c r="SJ73" s="4" t="str">
        <f>VLOOKUP(SH73,Canals!$E$5:$F$12,2,TRUE)</f>
        <v>Handysize</v>
      </c>
      <c r="SK73" s="25">
        <f t="shared" si="833"/>
        <v>145.88999999999999</v>
      </c>
      <c r="SL73" s="25">
        <f t="shared" si="834"/>
        <v>0</v>
      </c>
      <c r="SM73" s="25">
        <f t="shared" si="835"/>
        <v>4797</v>
      </c>
      <c r="SO73" s="75">
        <f t="array" ref="SO73">INDEX('Indices Mines Exporting Ports'!$R$20:$R$51,MATCH(2,1/(('Indices Mines Exporting Ports'!$D$20:$D$51&lt;=Main!$C73)*('Indices Mines Exporting Ports'!$Q$20:$Q$51=$AQ73))))</f>
        <v>0</v>
      </c>
      <c r="SP73" s="75">
        <f t="array" ref="SP73">INDEX('Indices Mines Exporting Ports'!$S$20:$S$51,MATCH(2,1/(('Indices Mines Exporting Ports'!$D$20:$D$51&lt;=Main!$C73)*('Indices Mines Exporting Ports'!$Q$20:$Q$51=$AQ73))))</f>
        <v>0</v>
      </c>
      <c r="SQ73" s="75">
        <f t="array" ref="SQ73">INDEX('Indices Mines Exporting Ports'!$T$20:$T$51,MATCH(2,1/(('Indices Mines Exporting Ports'!$D$20:$D$51&lt;=Main!$C73)*('Indices Mines Exporting Ports'!$Q$20:$Q$51=$AQ73))))</f>
        <v>0</v>
      </c>
      <c r="SR73" s="75">
        <f t="array" ref="SR73">INDEX('Indices Mines Exporting Ports'!$U$20:$U$51,MATCH(2,1/(('Indices Mines Exporting Ports'!$D$20:$D$51&lt;=Main!$C73)*('Indices Mines Exporting Ports'!$Q$20:$Q$51=$AQ73))))</f>
        <v>0</v>
      </c>
      <c r="SS73" s="75">
        <f t="array" ref="SS73">INDEX('Indices Mines Exporting Ports'!$V$20:$V$51,MATCH(2,1/(('Indices Mines Exporting Ports'!$D$20:$D$51&lt;=Main!$C73)*('Indices Mines Exporting Ports'!$Q$20:$Q$51=$AQ73))))</f>
        <v>0</v>
      </c>
      <c r="ST73" s="75">
        <f t="array" ref="ST73">INDEX('Indices Mines Exporting Ports'!$W$20:$W$51,MATCH(2,1/(('Indices Mines Exporting Ports'!$D$20:$D$51&lt;=Main!$C73)*('Indices Mines Exporting Ports'!$Q$20:$Q$51=$AQ73))))</f>
        <v>0</v>
      </c>
      <c r="SU73" s="75">
        <f t="array" ref="SU73">INDEX('Indices Mines Exporting Ports'!$X$20:$X$51,MATCH(2,1/(('Indices Mines Exporting Ports'!$D$20:$D$51&lt;=Main!$C73)*('Indices Mines Exporting Ports'!$Q$20:$Q$51=$AQ73))))</f>
        <v>0</v>
      </c>
      <c r="SW73" s="75">
        <f t="array" ref="SW73">INDEX('Port Linkages'!$E$18:$E$157,MATCH(2,1/(('Port Linkages'!$C$18:$C$157=$AQ73)*('Port Linkages'!$D$18:$D$157=IF($AO73="no",$AQ73,$AS73))*('Port Linkages'!$A$18:$A$157&lt;=$C73))))</f>
        <v>0</v>
      </c>
      <c r="SX73" s="75">
        <f t="array" ref="SX73">INDEX('Port Linkages'!$F$18:$F$157,MATCH(2,1/(('Port Linkages'!$C$18:$C$157=$AQ73)*('Port Linkages'!$D$18:$D$157=IF($AO73="no",$AQ73,$AS73))*('Port Linkages'!$A$18:$A$157&lt;=$C73))))</f>
        <v>0</v>
      </c>
      <c r="SY73" s="75">
        <f t="array" ref="SY73">INDEX('Port Linkages'!$G$18:$G$157,MATCH(2,1/(('Port Linkages'!$C$18:$C$157=$AQ73)*('Port Linkages'!$D$18:$D$157=IF($AO73="no",$AQ73,$AS73))*('Port Linkages'!$A$18:$A$157&lt;=$C73))))</f>
        <v>0</v>
      </c>
      <c r="SZ73" s="75">
        <f t="array" ref="SZ73">INDEX('Port Linkages'!$H$18:$H$157,MATCH(2,1/(('Port Linkages'!$C$18:$C$157=$AQ73)*('Port Linkages'!$D$18:$D$157=IF($AO73="no",$AQ73,$AS73))*('Port Linkages'!$A$18:$A$157&lt;=$C73))))</f>
        <v>0</v>
      </c>
      <c r="TA73" s="75">
        <f t="array" ref="TA73">INDEX('Port Linkages'!$I$18:$I$157,MATCH(2,1/(('Port Linkages'!$C$18:$C$157=$AQ73)*('Port Linkages'!$D$18:$D$157=IF($AO73="no",$AQ73,$AS73))*('Port Linkages'!$A$18:$A$157&lt;=$C73))))</f>
        <v>0</v>
      </c>
      <c r="TB73" s="75">
        <f t="array" ref="TB73">INDEX('Port Linkages'!$J$18:$J$157,MATCH(2,1/(('Port Linkages'!$C$18:$C$157=$AQ73)*('Port Linkages'!$D$18:$D$157=IF($AO73="no",$AQ73,$AS73))*('Port Linkages'!$A$18:$A$157&lt;=$C73))))</f>
        <v>0</v>
      </c>
      <c r="TC73" s="75">
        <f t="array" ref="TC73">INDEX('Port Linkages'!$K$18:$K$157,MATCH(2,1/(('Port Linkages'!$C$18:$C$157=$AQ73)*('Port Linkages'!$D$18:$D$157=IF($AO73="no",$AQ73,$AS73))*('Port Linkages'!$A$18:$A$157&lt;=$C73))))</f>
        <v>0</v>
      </c>
      <c r="TD73" s="75">
        <f t="array" ref="TD73">INDEX('Port Linkages'!$L$18:$L$157,MATCH(2,1/(('Port Linkages'!$C$18:$C$157=$AQ73)*('Port Linkages'!$D$18:$D$157=IF($AO73="no",$AQ73,$AS73))*('Port Linkages'!$A$18:$A$157&lt;=$C73))))</f>
        <v>0</v>
      </c>
      <c r="TE73" s="75">
        <f t="array" ref="TE73">INDEX('Port Linkages'!$M$18:$M$157,MATCH(2,1/(('Port Linkages'!$C$18:$C$157=$AQ73)*('Port Linkages'!$D$18:$D$157=IF($AO73="no",$AQ73,$AS73))*('Port Linkages'!$A$18:$A$157&lt;=$C73))))</f>
        <v>0</v>
      </c>
      <c r="TF73" s="75">
        <f t="array" ref="TF73">INDEX('Port Linkages'!$N$18:$N$157,MATCH(2,1/(('Port Linkages'!$C$18:$C$157=$AQ73)*('Port Linkages'!$D$18:$D$157=IF($AO73="no",$AQ73,$AS73))*('Port Linkages'!$A$18:$A$157&lt;=$C73))))</f>
        <v>0</v>
      </c>
      <c r="TG73" s="75">
        <f t="array" ref="TG73">INDEX('Port Linkages'!$O$18:$O$157,MATCH(2,1/(('Port Linkages'!$C$18:$C$157=$AQ73)*('Port Linkages'!$D$18:$D$157=IF($AO73="no",$AQ73,$AS73))*('Port Linkages'!$A$18:$A$157&lt;=$C73))))</f>
        <v>0</v>
      </c>
      <c r="TH73" s="75">
        <f t="array" ref="TH73">INDEX('Port Linkages'!$P$18:$P$157,MATCH(2,1/(('Port Linkages'!$C$18:$C$157=$AQ73)*('Port Linkages'!$D$18:$D$157=IF($AO73="no",$AQ73,$AS73))*('Port Linkages'!$A$18:$A$157&lt;=$C73))))</f>
        <v>0</v>
      </c>
      <c r="TI73" s="75">
        <f t="array" ref="TI73">INDEX('Port Linkages'!$Q$18:$Q$157,MATCH(2,1/(('Port Linkages'!$C$18:$C$157=$AQ73)*('Port Linkages'!$D$18:$D$157=IF($AO73="no",$AQ73,$AS73))*('Port Linkages'!$A$18:$A$157&lt;=$C73))))</f>
        <v>0</v>
      </c>
      <c r="TJ73" s="75">
        <f t="array" ref="TJ73">INDEX('Port Linkages'!$R$18:$R$157,MATCH(2,1/(('Port Linkages'!$C$18:$C$157=$AQ73)*('Port Linkages'!$D$18:$D$157=IF($AO73="no",$AQ73,$AS73))*('Port Linkages'!$A$18:$A$157&lt;=$C73))))</f>
        <v>0</v>
      </c>
      <c r="TK73" s="75">
        <f t="array" ref="TK73">INDEX('Port Linkages'!$S$18:$S$157,MATCH(2,1/(('Port Linkages'!$C$18:$C$157=$AQ73)*('Port Linkages'!$D$18:$D$157=IF($AO73="no",$AQ73,$AS73))*('Port Linkages'!$A$18:$A$157&lt;=$C73))))</f>
        <v>0</v>
      </c>
      <c r="TL73" s="75">
        <f t="array" ref="TL73">INDEX('Port Linkages'!$T$18:$T$157,MATCH(2,1/(('Port Linkages'!$C$18:$C$157=$AQ73)*('Port Linkages'!$D$18:$D$157=IF($AO73="no",$AQ73,$AS73))*('Port Linkages'!$A$18:$A$157&lt;=$C73))))</f>
        <v>0</v>
      </c>
      <c r="TM73" s="75">
        <f t="array" ref="TM73">INDEX('Port Linkages'!$U$18:$U$157,MATCH(2,1/(('Port Linkages'!$C$18:$C$157=$AQ73)*('Port Linkages'!$D$18:$D$157=IF($AO73="no",$AQ73,$AS73))*('Port Linkages'!$A$18:$A$157&lt;=$C73))))</f>
        <v>0</v>
      </c>
      <c r="TN73" s="75">
        <f t="array" ref="TN73">INDEX('Port Linkages'!$V$18:$V$157,MATCH(2,1/(('Port Linkages'!$C$18:$C$157=$AQ73)*('Port Linkages'!$D$18:$D$157=IF($AO73="no",$AQ73,$AS73))*('Port Linkages'!$A$18:$A$157&lt;=$C73))))</f>
        <v>0</v>
      </c>
      <c r="TO73" s="75">
        <f t="array" ref="TO73">INDEX('Port Linkages'!$W$18:$W$157,MATCH(2,1/(('Port Linkages'!$C$18:$C$157=$AQ73)*('Port Linkages'!$D$18:$D$157=IF($AO73="no",$AQ73,$AS73))*('Port Linkages'!$A$18:$A$157&lt;=$C73))))</f>
        <v>0</v>
      </c>
      <c r="TP73" s="75">
        <f t="array" ref="TP73">INDEX('Port Linkages'!$X$18:$X$157,MATCH(2,1/(('Port Linkages'!$C$18:$C$157=$AQ73)*('Port Linkages'!$D$18:$D$157=IF($AO73="no",$AQ73,$AS73))*('Port Linkages'!$A$18:$A$157&lt;=$C73))))</f>
        <v>0</v>
      </c>
      <c r="TQ73" s="75">
        <f t="array" ref="TQ73">INDEX('Port Linkages'!$Y$18:$Y$157,MATCH(2,1/(('Port Linkages'!$C$18:$C$157=$AQ73)*('Port Linkages'!$D$18:$D$157=IF($AO73="no",$AQ73,$AS73))*('Port Linkages'!$A$18:$A$157&lt;=$C73))))</f>
        <v>0</v>
      </c>
      <c r="TR73" s="75">
        <f t="array" ref="TR73">INDEX('Port Linkages'!$Z$18:$Z$157,MATCH(2,1/(('Port Linkages'!$C$18:$C$157=$AQ73)*('Port Linkages'!$D$18:$D$157=IF($AO73="no",$AQ73,$AS73))*('Port Linkages'!$A$18:$A$157&lt;=$C73))))</f>
        <v>0</v>
      </c>
      <c r="TS73" s="75">
        <f t="array" ref="TS73">INDEX('Port Linkages'!$AA$18:$AA$157,MATCH(2,1/(('Port Linkages'!$C$18:$C$157=$AQ73)*('Port Linkages'!$D$18:$D$157=IF($AO73="no",$AQ73,$AS73))*('Port Linkages'!$A$18:$A$157&lt;=$C73))))</f>
        <v>0</v>
      </c>
      <c r="TT73" s="75">
        <f t="array" ref="TT73">INDEX('Port Linkages'!$AB$18:$AB$157,MATCH(2,1/(('Port Linkages'!$C$18:$C$157=$AQ73)*('Port Linkages'!$D$18:$D$157=IF($AO73="no",$AQ73,$AS73))*('Port Linkages'!$A$18:$A$157&lt;=$C73))))</f>
        <v>0</v>
      </c>
      <c r="TU73" s="75">
        <f t="array" ref="TU73">INDEX('Port Linkages'!$AC$18:$AC$157,MATCH(2,1/(('Port Linkages'!$C$18:$C$157=$AQ73)*('Port Linkages'!$D$18:$D$157=IF($AO73="no",$AQ73,$AS73))*('Port Linkages'!$A$18:$A$157&lt;=$C73))))</f>
        <v>0</v>
      </c>
      <c r="TV73" s="75">
        <f t="array" ref="TV73">INDEX('Port Linkages'!$AD$18:$AD$157,MATCH(2,1/(('Port Linkages'!$C$18:$C$157=$AQ73)*('Port Linkages'!$D$18:$D$157=IF($AO73="no",$AQ73,$AS73))*('Port Linkages'!$A$18:$A$157&lt;=$C73))))</f>
        <v>0</v>
      </c>
      <c r="TW73" s="75">
        <f t="array" ref="TW73">INDEX('Port Linkages'!$AE$18:$AE$157,MATCH(2,1/(('Port Linkages'!$C$18:$C$157=$AQ73)*('Port Linkages'!$D$18:$D$157=IF($AO73="no",$AQ73,$AS73))*('Port Linkages'!$A$18:$A$157&lt;=$C73))))</f>
        <v>0</v>
      </c>
      <c r="TX73" s="75">
        <f t="array" ref="TX73">INDEX('Port Linkages'!$AF$18:$AF$157,MATCH(2,1/(('Port Linkages'!$C$18:$C$157=$AQ73)*('Port Linkages'!$D$18:$D$157=IF($AO73="no",$AQ73,$AS73))*('Port Linkages'!$A$18:$A$157&lt;=$C73))))</f>
        <v>0</v>
      </c>
      <c r="TY73" s="75">
        <f t="array" ref="TY73">INDEX('Port Linkages'!$AG$18:$AG$157,MATCH(2,1/(('Port Linkages'!$C$18:$C$157=$AQ73)*('Port Linkages'!$D$18:$D$157=IF($AO73="no",$AQ73,$AS73))*('Port Linkages'!$A$18:$A$157&lt;=$C73))))</f>
        <v>0</v>
      </c>
      <c r="TZ73" s="75">
        <f t="array" ref="TZ73">INDEX('Port Linkages'!$AH$18:$AH$157,MATCH(2,1/(('Port Linkages'!$C$18:$C$157=$AQ73)*('Port Linkages'!$D$18:$D$157=IF($AO73="no",$AQ73,$AS73))*('Port Linkages'!$A$18:$A$157&lt;=$C73))))</f>
        <v>0</v>
      </c>
      <c r="UA73" s="75">
        <f t="array" ref="UA73">INDEX('Port Linkages'!$AI$18:$AI$157,MATCH(2,1/(('Port Linkages'!$C$18:$C$157=$AQ73)*('Port Linkages'!$D$18:$D$157=IF($AO73="no",$AQ73,$AS73))*('Port Linkages'!$A$18:$A$157&lt;=$C73))))</f>
        <v>0</v>
      </c>
      <c r="UB73" s="75">
        <f t="array" ref="UB73">INDEX('Port Linkages'!$AJ$18:$AJ$157,MATCH(2,1/(('Port Linkages'!$C$18:$C$157=$AQ73)*('Port Linkages'!$D$18:$D$157=IF($AO73="no",$AQ73,$AS73))*('Port Linkages'!$A$18:$A$157&lt;=$C73))))</f>
        <v>0</v>
      </c>
      <c r="UC73" s="75">
        <f t="array" ref="UC73">INDEX('Port Linkages'!$AK$18:$AK$157,MATCH(2,1/(('Port Linkages'!$C$18:$C$157=$AQ73)*('Port Linkages'!$D$18:$D$157=IF($AO73="no",$AQ73,$AS73))*('Port Linkages'!$A$18:$A$157&lt;=$C73))))</f>
        <v>0</v>
      </c>
      <c r="UD73" s="75">
        <f t="array" ref="UD73">INDEX('Port Linkages'!$AL$18:$AL$157,MATCH(2,1/(('Port Linkages'!$C$18:$C$157=$AQ73)*('Port Linkages'!$D$18:$D$157=IF($AO73="no",$AQ73,$AS73))*('Port Linkages'!$A$18:$A$157&lt;=$C73))))</f>
        <v>0</v>
      </c>
      <c r="UE73" s="75">
        <f t="array" ref="UE73">INDEX('Port Linkages'!$AM$18:$AM$157,MATCH(2,1/(('Port Linkages'!$C$18:$C$157=$AQ73)*('Port Linkages'!$D$18:$D$157=IF($AO73="no",$AQ73,$AS73))*('Port Linkages'!$A$18:$A$157&lt;=$C73))))</f>
        <v>0</v>
      </c>
      <c r="UF73" s="75">
        <f t="array" ref="UF73">INDEX('Port Linkages'!$AN$18:$AN$157,MATCH(2,1/(('Port Linkages'!$C$18:$C$157=$AQ73)*('Port Linkages'!$D$18:$D$157=IF($AO73="no",$AQ73,$AS73))*('Port Linkages'!$A$18:$A$157&lt;=$C73))))</f>
        <v>0</v>
      </c>
      <c r="UG73" s="75">
        <f t="array" ref="UG73">INDEX('Port Linkages'!$AO$18:$AO$157,MATCH(2,1/(('Port Linkages'!$C$18:$C$157=$AQ73)*('Port Linkages'!$D$18:$D$157=IF($AO73="no",$AQ73,$AS73))*('Port Linkages'!$A$18:$A$157&lt;=$C73))))</f>
        <v>0</v>
      </c>
      <c r="UH73" s="75">
        <f t="array" ref="UH73">INDEX('Port Linkages'!$AP$18:$AP$157,MATCH(2,1/(('Port Linkages'!$C$18:$C$157=$AQ73)*('Port Linkages'!$D$18:$D$157=IF($AO73="no",$AQ73,$AS73))*('Port Linkages'!$A$18:$A$157&lt;=$C73))))</f>
        <v>0</v>
      </c>
      <c r="UI73" s="75">
        <f t="array" ref="UI73">INDEX('Port Linkages'!$AQ$18:$AQ$157,MATCH(2,1/(('Port Linkages'!$C$18:$C$157=$AQ73)*('Port Linkages'!$D$18:$D$157=IF($AO73="no",$AQ73,$AS73))*('Port Linkages'!$A$18:$A$157&lt;=$C73))))</f>
        <v>0</v>
      </c>
      <c r="UJ73" s="75">
        <f t="array" ref="UJ73">INDEX('Port Linkages'!$AR$18:$AR$157,MATCH(2,1/(('Port Linkages'!$C$18:$C$157=$AQ73)*('Port Linkages'!$D$18:$D$157=IF($AO73="no",$AQ73,$AS73))*('Port Linkages'!$A$18:$A$157&lt;=$C73))))</f>
        <v>0</v>
      </c>
      <c r="UK73" s="75">
        <f t="array" ref="UK73">INDEX('Port Linkages'!$AS$18:$AS$157,MATCH(2,1/(('Port Linkages'!$C$18:$C$157=$AQ73)*('Port Linkages'!$D$18:$D$157=IF($AO73="no",$AQ73,$AS73))*('Port Linkages'!$A$18:$A$157&lt;=$C73))))</f>
        <v>0</v>
      </c>
      <c r="UL73" s="75">
        <f t="array" ref="UL73">INDEX('Port Linkages'!$AT$18:$AT$157,MATCH(2,1/(('Port Linkages'!$C$18:$C$157=$AQ73)*('Port Linkages'!$D$18:$D$157=IF($AO73="no",$AQ73,$AS73))*('Port Linkages'!$A$18:$A$157&lt;=$C73))))</f>
        <v>0</v>
      </c>
      <c r="UM73" s="75">
        <f t="array" ref="UM73">INDEX('Port Linkages'!$AU$18:$AU$157,MATCH(2,1/(('Port Linkages'!$C$18:$C$157=$AQ73)*('Port Linkages'!$D$18:$D$157=IF($AO73="no",$AQ73,$AS73))*('Port Linkages'!$A$18:$A$157&lt;=$C73))))</f>
        <v>0</v>
      </c>
      <c r="UN73" s="75">
        <f t="array" ref="UN73">INDEX('Port Linkages'!$AV$18:$AV$157,MATCH(2,1/(('Port Linkages'!$C$18:$C$157=$AQ73)*('Port Linkages'!$D$18:$D$157=IF($AO73="no",$AQ73,$AS73))*('Port Linkages'!$A$18:$A$157&lt;=$C73))))</f>
        <v>0</v>
      </c>
      <c r="UO73" s="75">
        <f t="array" ref="UO73">INDEX('Port Linkages'!$AW$18:$AW$157,MATCH(2,1/(('Port Linkages'!$C$18:$C$157=$AQ73)*('Port Linkages'!$D$18:$D$157=IF($AO73="no",$AQ73,$AS73))*('Port Linkages'!$A$18:$A$157&lt;=$C73))))</f>
        <v>0</v>
      </c>
      <c r="UP73" s="75">
        <f t="array" ref="UP73">INDEX('Port Linkages'!$AX$18:$AX$157,MATCH(2,1/(('Port Linkages'!$C$18:$C$157=$AQ73)*('Port Linkages'!$D$18:$D$157=IF($AO73="no",$AQ73,$AS73))*('Port Linkages'!$A$18:$A$157&lt;=$C73))))</f>
        <v>0</v>
      </c>
      <c r="UQ73" s="75">
        <f t="array" ref="UQ73">INDEX('Port Linkages'!$AY$18:$AY$157,MATCH(2,1/(('Port Linkages'!$C$18:$C$157=$AQ73)*('Port Linkages'!$D$18:$D$157=IF($AO73="no",$AQ73,$AS73))*('Port Linkages'!$A$18:$A$157&lt;=$C73))))</f>
        <v>0</v>
      </c>
      <c r="UR73" s="75">
        <f t="array" ref="UR73">INDEX('Port Linkages'!$AZ$18:$AZ$157,MATCH(2,1/(('Port Linkages'!$C$18:$C$157=$AQ73)*('Port Linkages'!$D$18:$D$157=IF($AO73="no",$AQ73,$AS73))*('Port Linkages'!$A$18:$A$157&lt;=$C73))))</f>
        <v>0</v>
      </c>
      <c r="US73" s="75">
        <f t="array" ref="US73">INDEX('Port Linkages'!$BA$18:$BA$157,MATCH(2,1/(('Port Linkages'!$C$18:$C$157=$AQ73)*('Port Linkages'!$D$18:$D$157=IF($AO73="no",$AQ73,$AS73))*('Port Linkages'!$A$18:$A$157&lt;=$C73))))</f>
        <v>0</v>
      </c>
      <c r="UU73" s="25" t="e">
        <f t="array" aca="1" ref="UU73" ca="1">INDEX('Ship Fuel Prices'!$F$5:$F$1004,MATCH(2,1/(('Ship Fuel Prices'!$E$5:$E$1004=_xlfn.IFS(SJ73="Handysize",Main!UP73,SJ73="Supramax",UI73,SJ73="Panamax",UB73,SJ73="NeoPanamax",TU73,SJ73="Suezmax",TN73,SJ73="Capesize",TG73,SJ73="VLOC",SZ73))*('Ship Fuel Prices'!$D$5:$D$1004&lt;=Main!$C73))))</f>
        <v>#N/A</v>
      </c>
      <c r="UV73" s="25" t="e">
        <f t="array" aca="1" ref="UV73" ca="1">INDEX('Ship Fuel Prices'!$G$5:$G$1004,MATCH(2,1/(('Ship Fuel Prices'!$E$5:$E$1004=_xlfn.IFS(SJ73="Handysize",Main!UP73,SJ73="Supramax",UI73,SJ73="Panamax",UB73,SJ73="NeoPanamax",TU73,SJ73="Suezmax",TN73,SJ73="Capesize",TG73,SJ73="VLOC",SZ73))*('Ship Fuel Prices'!$D$5:$D$1004&lt;=Main!$C73))))</f>
        <v>#N/A</v>
      </c>
      <c r="UW73" s="25" t="e">
        <f t="array" aca="1" ref="UW73" ca="1">INDEX('Ship Fuel Prices'!$H$5:$H$1004,MATCH(2,1/(('Ship Fuel Prices'!$E$5:$E$1004=_xlfn.IFS(SJ73="Handysize",Main!UP73,SJ73="Supramax",UI73,SJ73="Panamax",UB73,SJ73="NeoPanamax",TU73,SJ73="Suezmax",TN73,SJ73="Capesize",TG73,SJ73="VLOC",SZ73))*('Ship Fuel Prices'!$D$5:$D$1004&lt;=Main!$C73))))</f>
        <v>#N/A</v>
      </c>
      <c r="UX73" s="25" t="e">
        <f t="array" aca="1" ref="UX73" ca="1">INDEX('Ship Fuel Prices'!$I$5:$I$1004,MATCH(2,1/(('Ship Fuel Prices'!$E$5:$E$1004=_xlfn.IFS(SJ73="Handysize",Main!UP73,SJ73="Supramax",UI73,SJ73="Panamax",UB73,SJ73="NeoPanamax",TU73,SJ73="Suezmax",TN73,SJ73="Capesize",TG73,SJ73="VLOC",SZ73))*('Ship Fuel Prices'!$D$5:$D$1004&lt;=Main!$C73))))</f>
        <v>#N/A</v>
      </c>
      <c r="UY73" s="25" t="e">
        <f t="array" aca="1" ref="UY73" ca="1">INDEX('Ship Fuel Prices'!$J$5:$J$1004,MATCH(2,1/(('Ship Fuel Prices'!$E$5:$E$1004=_xlfn.IFS(SJ73="Handysize",Main!UP73,SJ73="Supramax",UI73,SJ73="Panamax",UB73,SJ73="NeoPanamax",TU73,SJ73="Suezmax",TN73,SJ73="Capesize",TG73,SJ73="VLOC",SZ73))*('Ship Fuel Prices'!$D$5:$D$1004&lt;=Main!$C73))))</f>
        <v>#N/A</v>
      </c>
      <c r="VA73" s="75">
        <f t="array" ref="VA73">INDEX('China n Importing Ports'!$E$20:$E$41,MATCH(2,1/(('China n Importing Ports'!$D$20:$D$41&lt;=$C73)*('China n Importing Ports'!$C$20:$C$41=IF($AO73="No",$AQ73,$AS73)))))</f>
        <v>0</v>
      </c>
      <c r="VB73" s="75">
        <f t="array" ref="VB73">INDEX('China n Importing Ports'!$F$20:$F$41,MATCH(2,1/(('China n Importing Ports'!$D$20:$D$41&lt;=$C73)*('China n Importing Ports'!$C$20:$C$41=IF($AO73="No",$AQ73,$AS73)))))</f>
        <v>0</v>
      </c>
      <c r="VC73" s="75">
        <f t="array" ref="VC73">INDEX('China n Importing Ports'!$G$20:$G$41,MATCH(2,1/(('China n Importing Ports'!$D$20:$D$41&lt;=$C73)*('China n Importing Ports'!$C$20:$C$41=IF($AO73="No",$AQ73,$AS73)))))</f>
        <v>0</v>
      </c>
      <c r="VD73" s="75">
        <f t="array" ref="VD73">INDEX('China n Importing Ports'!$H$20:$H$41,MATCH(2,1/(('China n Importing Ports'!$D$20:$D$41&lt;=$C73)*('China n Importing Ports'!$C$20:$C$41=IF($AO73="No",$AQ73,$AS73)))))</f>
        <v>0</v>
      </c>
      <c r="VE73" s="75">
        <f t="array" ref="VE73">INDEX('China n Importing Ports'!$I$20:$I$41,MATCH(2,1/(('China n Importing Ports'!$D$20:$D$41&lt;=$C73)*('China n Importing Ports'!$C$20:$C$41=IF($AO73="No",$AQ73,$AS73)))))</f>
        <v>0</v>
      </c>
      <c r="VF73" s="75">
        <f t="array" ref="VF73">INDEX('China n Importing Ports'!$J$20:$J$41,MATCH(2,1/(('China n Importing Ports'!$D$20:$D$41&lt;=$C73)*('China n Importing Ports'!$C$20:$C$41=IF($AO73="No",$AQ73,$AS73)))))</f>
        <v>0</v>
      </c>
      <c r="VG73" s="75">
        <f t="array" ref="VG73">INDEX('China n Importing Ports'!$K$20:$K$41,MATCH(2,1/(('China n Importing Ports'!$D$20:$D$41&lt;=$C73)*('China n Importing Ports'!$C$20:$C$41=IF($AO73="No",$AQ73,$AS73)))))</f>
        <v>0</v>
      </c>
      <c r="VH73" s="75">
        <f t="array" ref="VH73">INDEX('China n Importing Ports'!$L$20:$L$41,MATCH(2,1/(('China n Importing Ports'!$D$20:$D$41&lt;=$C73)*('China n Importing Ports'!$C$20:$C$41=IF($AO73="No",$AQ73,$AS73)))))</f>
        <v>0</v>
      </c>
      <c r="VI73" s="75">
        <f t="array" ref="VI73">INDEX('China n Importing Ports'!$M$20:$M$41,MATCH(2,1/(('China n Importing Ports'!$D$20:$D$41&lt;=$C73)*('China n Importing Ports'!$C$20:$C$41=IF($AO73="No",$AQ73,$AS73)))))</f>
        <v>0</v>
      </c>
      <c r="VJ73" s="75">
        <f t="array" ref="VJ73">INDEX('China n Importing Ports'!$N$20:$N$41,MATCH(2,1/(('China n Importing Ports'!$D$20:$D$41&lt;=$C73)*('China n Importing Ports'!$C$20:$C$41=IF($AO73="No",$AQ73,$AS73)))))</f>
        <v>0</v>
      </c>
      <c r="VK73" s="75">
        <f t="array" ref="VK73">INDEX('China n Importing Ports'!$O$20:$O$41,MATCH(2,1/(('China n Importing Ports'!$D$20:$D$41&lt;=$C73)*('China n Importing Ports'!$C$20:$C$41=IF($AO73="No",$AQ73,$AS73)))))</f>
        <v>0</v>
      </c>
      <c r="VL73" s="136">
        <f t="array" ref="VL73">INDEX('China n Importing Ports'!$P$20:$P$41,MATCH(2,1/(('China n Importing Ports'!$D$20:$D$41&lt;=$C73)*('China n Importing Ports'!$C$20:$C$41=IF($AO73="No",$AQ73,$AS73)))))</f>
        <v>0</v>
      </c>
      <c r="VM73" s="136">
        <f t="array" ref="VM73">INDEX('China n Importing Ports'!$Q$20:$Q$41,MATCH(2,1/(('China n Importing Ports'!$D$20:$D$41&lt;=$C73)*('China n Importing Ports'!$C$20:$C$41=IF($AO73="No",$AQ73,$AS73)))))</f>
        <v>0</v>
      </c>
      <c r="VN73" s="136">
        <f t="array" ref="VN73">INDEX('China n Importing Ports'!$R$20:$R$41,MATCH(2,1/(('China n Importing Ports'!$D$20:$D$41&lt;=$C73)*('China n Importing Ports'!$C$20:$C$41=IF($AO73="No",$AQ73,$AS73)))))</f>
        <v>0</v>
      </c>
      <c r="VO73" s="136">
        <f t="array" ref="VO73">INDEX('China n Importing Ports'!$S$20:$S$41,MATCH(2,1/(('China n Importing Ports'!$D$20:$D$41&lt;=$C73)*('China n Importing Ports'!$C$20:$C$41=IF($AO73="No",$AQ73,$AS73)))))</f>
        <v>0</v>
      </c>
      <c r="VP73" s="136">
        <f t="array" ref="VP73">INDEX('China n Importing Ports'!$T$20:$T$41,MATCH(2,1/(('China n Importing Ports'!$D$20:$D$41&lt;=$C73)*('China n Importing Ports'!$C$20:$C$41=IF($AO73="No",$AQ73,$AS73)))))</f>
        <v>0</v>
      </c>
      <c r="VQ73" s="136">
        <f t="array" ref="VQ73">INDEX('China n Importing Ports'!$U$20:$U$41,MATCH(2,1/(('China n Importing Ports'!$D$20:$D$41&lt;=$C73)*('China n Importing Ports'!$C$20:$C$41=IF($AO73="No",$AQ73,$AS73)))))</f>
        <v>0</v>
      </c>
      <c r="VR73" s="136">
        <f t="array" ref="VR73">INDEX('China n Importing Ports'!$V$20:$V$41,MATCH(2,1/(('China n Importing Ports'!$D$20:$D$41&lt;=$C73)*('China n Importing Ports'!$C$20:$C$41=IF($AO73="No",$AQ73,$AS73)))))</f>
        <v>0</v>
      </c>
      <c r="VS73" s="136">
        <f t="array" ref="VS73">INDEX('China n Importing Ports'!$W$20:$W$41,MATCH(2,1/(('China n Importing Ports'!$D$20:$D$41&lt;=$C73)*('China n Importing Ports'!$C$20:$C$41=IF($AO73="No",$AQ73,$AS73)))))</f>
        <v>0</v>
      </c>
      <c r="VT73" s="136">
        <f t="array" ref="VT73">INDEX('China n Importing Ports'!$X$20:$X$41,MATCH(2,1/(('China n Importing Ports'!$D$20:$D$41&lt;=$C73)*('China n Importing Ports'!$C$20:$C$41=IF($AO73="No",$AQ73,$AS73)))))</f>
        <v>0</v>
      </c>
      <c r="VU73" s="136">
        <f t="array" ref="VU73">INDEX('China n Importing Ports'!$Y$20:$Y$41,MATCH(2,1/(('China n Importing Ports'!$D$20:$D$41&lt;=$C73)*('China n Importing Ports'!$C$20:$C$41=IF($AO73="No",$AQ73,$AS73)))))</f>
        <v>0</v>
      </c>
      <c r="VV73" s="136">
        <f t="array" ref="VV73">INDEX('China n Importing Ports'!$Z$20:$Z$41,MATCH(2,1/(('China n Importing Ports'!$D$20:$D$41&lt;=$C73)*('China n Importing Ports'!$C$20:$C$41=IF($AO73="No",$AQ73,$AS73)))))</f>
        <v>0</v>
      </c>
      <c r="VW73" s="136">
        <f t="array" ref="VW73">INDEX('China n Importing Ports'!$AA$20:$AA$41,MATCH(2,1/(('China n Importing Ports'!$D$20:$D$41&lt;=$C73)*('China n Importing Ports'!$C$20:$C$41=IF($AO73="No",$AQ73,$AS73)))))</f>
        <v>0</v>
      </c>
      <c r="VY73" s="75" t="e">
        <f t="array" aca="1" ref="VY73" ca="1">INDEX(Canals!$G$24:$G$29,MATCH(2,1/((Canals!$F$24:$F$29&lt;=$C73)*(Canals!$G$24:$G$29=_xlfn.IFS(SJ73="Handysize",US73,SJ73="Supramax",UL73,SJ73="Panamax",UE73,SJ73="NeoPanamax",TX73,SJ73="Suezmax",TQ73,SJ73="Capesize",TJ73,SJ73="VLOC",TC73)))))</f>
        <v>#N/A</v>
      </c>
      <c r="VZ73" s="75" t="e">
        <f t="array" aca="1" ref="VZ73" ca="1">INDEX(Canals!$H$24:$H$29,MATCH(2,1/((Canals!$F$24:$F$29&lt;=$C73)*(Canals!$G$24:$G$29=_xlfn.IFS(SJ73="Handysize",US73,SJ73="Supramax",UL73,SJ73="Panamax",UE73,SJ73="NeoPanamax",TX73,SJ73="Suezmax",TQ73,SJ73="Capesize",TJ73,SJ73="VLOC",TC73)))))</f>
        <v>#N/A</v>
      </c>
      <c r="WA73" s="75" t="e">
        <f t="array" aca="1" ref="WA73" ca="1">INDEX(Canals!$I$24:$I$29,MATCH(2,1/((Canals!$F$24:$F$29&lt;=$C73)*(Canals!$G$24:$G$29=_xlfn.IFS(SJ73="Handysize",US73,SJ73="Supramax",UL73,SJ73="Panamax",UE73,SJ73="NeoPanamax",TX73,SJ73="Suezmax",TQ73,SJ73="Capesize",TJ73,SJ73="VLOC",TC73)))))</f>
        <v>#N/A</v>
      </c>
      <c r="WB73" s="75" t="e">
        <f t="array" aca="1" ref="WB73" ca="1">INDEX(Canals!$J$24:$J$29,MATCH(2,1/((Canals!$F$24:$F$29&lt;=$C73)*(Canals!$G$24:$G$29=_xlfn.IFS(SJ73="Handysize",Main!US73,SJ73="Supramax",UL73,SJ73="Panamax",UE73,SJ73="NeoPanamax",TX73,SJ73="Suezmax",TQ73,SJ73="Capesize",TJ73,SJ73="VLOC",TC73)))))</f>
        <v>#N/A</v>
      </c>
      <c r="WC73" s="75" t="e">
        <f t="array" aca="1" ref="WC73" ca="1">INDEX(Canals!$K$24:$K$29,MATCH(2,1/((Canals!$F$24:$F$29&lt;=$C73)*(Canals!$G$24:$G$29=_xlfn.IFS(SJ73="Handysize",Main!US73,SJ73="Supramax",UL73,SJ73="Panamax",UE73,SJ73="NeoPanamax",TX73,SJ73="Suezmax",TQ73,SJ73="Capesize",TJ73,SJ73="VLOC",TC73)))))</f>
        <v>#N/A</v>
      </c>
      <c r="WD73" s="75" t="e">
        <f t="array" aca="1" ref="WD73" ca="1">INDEX(Canals!$L$24:$L$29,MATCH(2,1/((Canals!$F$24:$F$29&lt;=$C73)*(Canals!$G$24:$G$29=_xlfn.IFS(SJ73="Handysize",Main!US73,SJ73="Supramax",UL73,SJ73="Panamax",UE73,SJ73="NeoPanamax",TX73,SJ73="Suezmax",TQ73,SJ73="Capesize",TJ73,SJ73="VLOC",TC73)))))</f>
        <v>#N/A</v>
      </c>
      <c r="WE73" s="75" t="e">
        <f t="array" aca="1" ref="WE73" ca="1">INDEX(Canals!$M$24:$M$29,MATCH(2,1/((Canals!$F$24:$F$29&lt;=$C73)*(Canals!$G$24:$G$29=_xlfn.IFS(SJ73="Handysize",Main!US73,SJ73="Supramax",UL73,SJ73="Panamax",UE73,SJ73="NeoPanamax",TX73,SJ73="Suezmax",TQ73,SJ73="Capesize",TJ73,SJ73="VLOC",TC73)))))</f>
        <v>#N/A</v>
      </c>
      <c r="WF73" s="75" t="e">
        <f t="array" aca="1" ref="WF73" ca="1">INDEX(Canals!$N$24:$N$29,MATCH(2,1/((Canals!$F$24:$F$29&lt;=$C73)*(Canals!$G$24:$G$29=_xlfn.IFS(SJ73="Handysize",Main!US73,SJ73="Supramax",UL73,SJ73="Panamax",UE73,SJ73="NeoPanamax",TX73,SJ73="Suezmax",TQ73,SJ73="Capesize",TJ73,SJ73="VLOC",TC73)))))</f>
        <v>#N/A</v>
      </c>
      <c r="WG73" s="75" t="e">
        <f t="array" aca="1" ref="WG73" ca="1">INDEX(Canals!$O$24:$O$29,MATCH(2,1/((Canals!$F$24:$F$29&lt;=$C73)*(Canals!$G$24:$G$29=_xlfn.IFS(SJ73="Handysize",Main!US73,SJ73="Supramax",UL73,SJ73="Panamax",UE73,SJ73="NeoPanamax",TX73,SJ73="Suezmax",TQ73,SJ73="Capesize",TJ73,SJ73="VLOC",TC73)))))</f>
        <v>#N/A</v>
      </c>
      <c r="WH73" s="75" t="e">
        <f t="array" aca="1" ref="WH73" ca="1">INDEX(Canals!$P$24:$P$29,MATCH(2,1/((Canals!$F$24:$F$29&lt;=$C73)*(Canals!$G$24:$G$29=_xlfn.IFS(SJ73="Handysize",Main!US73,SJ73="Supramax",UL73,SJ73="Panamax",UE73,SJ73="NeoPanamax",TX73,SJ73="Suezmax",TQ73,SJ73="Capesize",TJ73,SJ73="VLOC",TC73)))))</f>
        <v>#N/A</v>
      </c>
      <c r="WI73" s="75" t="e">
        <f t="array" aca="1" ref="WI73" ca="1">INDEX(Canals!$Q$24:$Q$29,MATCH(2,1/((Canals!$F$24:$F$29&lt;=$C73)*(Canals!$G$24:$G$29=_xlfn.IFS(SJ73="Handysize",Main!US73,SJ73="Supramax",UL73,SJ73="Panamax",UE73,SJ73="NeoPanamax",TX73,SJ73="Suezmax",TQ73,SJ73="Capesize",TJ73,SJ73="VLOC",TC73)))))</f>
        <v>#N/A</v>
      </c>
      <c r="WJ73" s="75" t="e">
        <f t="array" aca="1" ref="WJ73" ca="1">INDEX(Canals!$R$24:$R$29,MATCH(2,1/((Canals!$F$24:$F$29&lt;=$C73)*(Canals!$G$24:$G$29=_xlfn.IFS(SJ73="Handysize",Main!US73,SJ73="Supramax",UL73,SJ73="Panamax",UE73,SJ73="NeoPanamax",TX73,SJ73="Suezmax",TQ73,SJ73="Capesize",TJ73,SJ73="VLOC",TC73)))))</f>
        <v>#N/A</v>
      </c>
      <c r="WK73" s="136" t="e">
        <f t="array" aca="1" ref="WK73" ca="1">INDEX(Canals!$S$24:$S$29,MATCH(2,1/((Canals!$F$24:$F$29&lt;=$C73)*(Canals!$G$24:$G$29=_xlfn.IFS(SJ73="Handysize",Main!US73,SJ73="Supramax",UL73,SJ73="Panamax",UE73,SJ73="NeoPanamax",TX73,SJ73="Suezmax",TQ73,SJ73="Capesize",TJ73,SJ73="VLOC",TC73)))))</f>
        <v>#N/A</v>
      </c>
      <c r="WL73" s="136" t="e">
        <f t="array" aca="1" ref="WL73" ca="1">INDEX(Canals!$T$24:$T$29,MATCH(2,1/((Canals!$F$24:$F$29&lt;=$C73)*(Canals!$G$24:$G$29=_xlfn.IFS(SJ73="Handysize",Main!US73,SJ73="Supramax",UL73,SJ73="Panamax",UE73,SJ73="NeoPanamax",TX73,SJ73="Suezmax",TQ73,SJ73="Capesize",TJ73,SJ73="VLOC",TC73)))))</f>
        <v>#N/A</v>
      </c>
      <c r="WM73" s="136" t="e">
        <f t="array" aca="1" ref="WM73" ca="1">INDEX(Canals!$U$24:$U$29,MATCH(2,1/((Canals!$F$24:$F$29&lt;=$C73)*(Canals!$G$24:$G$29=_xlfn.IFS(SJ73="Handysize",Main!US73,SJ73="Supramax",UL73,SJ73="Panamax",UE73,SJ73="NeoPanamax",TX73,SJ73="Suezmax",TQ73,SJ73="Capesize",TJ73,SJ73="VLOC",TC73)))))</f>
        <v>#N/A</v>
      </c>
      <c r="WN73" s="136" t="e">
        <f t="array" aca="1" ref="WN73" ca="1">INDEX(Canals!$V$24:$V$29,MATCH(2,1/((Canals!$F$24:$F$29&lt;=$C73)*(Canals!$G$24:$G$29=_xlfn.IFS(SJ73="Handysize",Main!US73,SJ73="Supramax",UL73,SJ73="Panamax",UE73,SJ73="NeoPanamax",TX73,SJ73="Suezmax",TQ73,SJ73="Capesize",TJ73,SJ73="VLOC",TC73)))))</f>
        <v>#N/A</v>
      </c>
      <c r="WO73" s="136" t="e">
        <f t="array" aca="1" ref="WO73" ca="1">INDEX(Canals!$W$24:$W$29,MATCH(2,1/((Canals!$F$24:$F$29&lt;=$C73)*(Canals!$G$24:$G$29=_xlfn.IFS(SJ73="Handysize",Main!US73,SJ73="Supramax",UL73,SJ73="Panamax",UE73,SJ73="NeoPanamax",TX73,SJ73="Suezmax",TQ73,SJ73="Capesize",TJ73,SJ73="VLOC",TC73)))))</f>
        <v>#N/A</v>
      </c>
      <c r="WP73" s="136" t="e">
        <f t="array" aca="1" ref="WP73" ca="1">INDEX(Canals!$X$24:$X$29,MATCH(2,1/((Canals!$F$24:$F$29&lt;=$C73)*(Canals!$G$24:$G$29=_xlfn.IFS(SJ73="Handysize",Main!US73,SJ73="Supramax",UL73,SJ73="Panamax",UE73,SJ73="NeoPanamax",TX73,SJ73="Suezmax",TQ73,SJ73="Capesize",TJ73,SJ73="VLOC",TC73)))))</f>
        <v>#N/A</v>
      </c>
      <c r="WQ73" s="136" t="e">
        <f t="array" aca="1" ref="WQ73" ca="1">INDEX(Canals!$Y$24:$Y$29,MATCH(2,1/((Canals!$F$24:$F$29&lt;=$C73)*(Canals!$G$24:$G$29=_xlfn.IFS(SJ73="Handysize",Main!US73,SJ73="Supramax",UL73,SJ73="Panamax",UE73,SJ73="NeoPanamax",TX73,SJ73="Suezmax",TQ73,SJ73="Capesize",TJ73,SJ73="VLOC",TC73)))))</f>
        <v>#N/A</v>
      </c>
      <c r="WR73" s="136" t="e">
        <f t="array" aca="1" ref="WR73" ca="1">INDEX(Canals!$Z$24:$Z$29,MATCH(2,1/((Canals!$F$24:$F$29&lt;=$C73)*(Canals!$G$24:$G$29=_xlfn.IFS(SJ73="Handysize",Main!US73,SJ73="Supramax",UL73,SJ73="Panamax",UE73,SJ73="NeoPanamax",TX73,SJ73="Suezmax",TQ73,SJ73="Capesize",TJ73,SJ73="VLOC",TC73)))))</f>
        <v>#N/A</v>
      </c>
      <c r="WS73" s="136" t="e">
        <f t="array" aca="1" ref="WS73" ca="1">INDEX(Canals!$AA$24:$AA$29,MATCH(2,1/((Canals!$F$24:$F$29&lt;=$C73)*(Canals!$G$24:$G$29=_xlfn.IFS(SJ73="Handysize",Main!US73,SJ73="Supramax",UL73,SJ73="Panamax",UE73,SJ73="NeoPanamax",TX73,SJ73="Suezmax",TQ73,SJ73="Capesize",TJ73,SJ73="VLOC",TC73)))))</f>
        <v>#N/A</v>
      </c>
      <c r="WT73" s="136" t="e">
        <f t="array" aca="1" ref="WT73" ca="1">INDEX(Canals!$AB$24:$AB$29,MATCH(2,1/((Canals!$F$24:$F$29&lt;=$C73)*(Canals!$G$24:$G$29=_xlfn.IFS(SJ73="Handysize",Main!US73,SJ73="Supramax",UL73,SJ73="Panamax",UE73,SJ73="NeoPanamax",TX73,SJ73="Suezmax",TQ73,SJ73="Capesize",TJ73,SJ73="VLOC",TC73)))))</f>
        <v>#N/A</v>
      </c>
      <c r="WU73" s="75" t="e">
        <f t="array" aca="1" ref="WU73" ca="1">INDEX(Canals!$AC$24:$AC$29,MATCH(2,1/((Canals!$F$24:$F$29&lt;=$C73)*(Canals!$G$24:$G$29=_xlfn.IFS(SJ73="Handysize",Main!US73,SJ73="Supramax",UL73,SJ73="Panamax",UE73,SJ73="NeoPanamax",TX73,SJ73="Suezmax",TQ73,SJ73="Capesize",TJ73,SJ73="VLOC",TC73)))))</f>
        <v>#N/A</v>
      </c>
      <c r="WV73" s="75" t="e">
        <f t="array" aca="1" ref="WV73" ca="1">INDEX(Canals!$AD$24:$AD$29,MATCH(2,1/((Canals!$F$24:$F$29&lt;=$C73)*(Canals!$G$24:$G$29=_xlfn.IFS(SJ73="Handysize",Main!US73,SJ73="Supramax",UL73,SJ73="Panamax",UE73,SJ73="NeoPanamax",TX73,SJ73="Suezmax",TQ73,SJ73="Capesize",TJ73,SJ73="VLOC",TC73)))))</f>
        <v>#N/A</v>
      </c>
      <c r="WW73" s="75" t="e">
        <f t="array" aca="1" ref="WW73" ca="1">INDEX(Canals!$AE$24:$AE$29,MATCH(2,1/((Canals!$F$24:$F$29&lt;=$C73)*(Canals!$G$24:$G$29=_xlfn.IFS(SJ73="Handysize",Main!US73,SJ73="Supramax",UL73,SJ73="Panamax",UE73,SJ73="NeoPanamax",TX73,SJ73="Suezmax",TQ73,SJ73="Capesize",TJ73,SJ73="VLOC",TC73)))))</f>
        <v>#N/A</v>
      </c>
      <c r="WX73" s="75" t="e">
        <f t="array" aca="1" ref="WX73" ca="1">INDEX(Canals!$AF$24:$AF$29,MATCH(2,1/((Canals!$F$24:$F$29&lt;=$C73)*(Canals!$G$24:$G$29=_xlfn.IFS(SJ73="Handysize",Main!US73,SJ73="Supramax",UL73,SJ73="Panamax",UE73,SJ73="NeoPanamax",TX73,SJ73="Suezmax",TQ73,SJ73="Capesize",TJ73,SJ73="VLOC",TC73)))))</f>
        <v>#N/A</v>
      </c>
      <c r="WY73" s="75" t="e">
        <f t="array" aca="1" ref="WY73" ca="1">INDEX(Canals!$AG$24:$AG$29,MATCH(2,1/((Canals!$F$24:$F$29&lt;=$C73)*(Canals!$G$24:$G$29=_xlfn.IFS(SJ73="Handysize",Main!US73,SJ73="Supramax",UL73,SJ73="Panamax",UE73,SJ73="NeoPanamax",TX73,SJ73="Suezmax",TQ73,SJ73="Capesize",TJ73,SJ73="VLOC",TC73)))))</f>
        <v>#N/A</v>
      </c>
      <c r="WZ73" s="75" t="e">
        <f t="array" aca="1" ref="WZ73" ca="1">INDEX(Canals!$AH$24:$AH$29,MATCH(2,1/((Canals!$F$24:$F$29&lt;=$C73)*(Canals!$G$24:$G$29=_xlfn.IFS(SJ73="Handysize",Main!US73,SJ73="Supramax",UL73,SJ73="Panamax",UE73,SJ73="NeoPanamax",TX73,SJ73="Suezmax",TQ73,SJ73="Capesize",TJ73,SJ73="VLOC",TC73)))))</f>
        <v>#N/A</v>
      </c>
      <c r="XA73" s="75" t="e">
        <f t="array" aca="1" ref="XA73" ca="1">INDEX(Canals!$AI$24:$AI$29,MATCH(2,1/((Canals!$F$24:$F$29&lt;=$C73)*(Canals!$G$24:$G$29=_xlfn.IFS(SJ73="Handysize",Main!US73,SJ73="Supramax",UL73,SJ73="Panamax",UE73,SJ73="NeoPanamax",TX73,SJ73="Suezmax",TQ73,SJ73="Capesize",TJ73,SJ73="VLOC",TC73)))))</f>
        <v>#N/A</v>
      </c>
      <c r="XB73" s="75" t="e">
        <f t="array" aca="1" ref="XB73" ca="1">INDEX(Canals!$AJ$24:$AJ$29,MATCH(2,1/((Canals!$F$24:$F$29&lt;=$C73)*(Canals!$G$24:$G$29=_xlfn.IFS(SJ73="Handysize",Main!US73,SJ73="Supramax",UL73,SJ73="Panamax",UE73,SJ73="NeoPanamax",TX73,SJ73="Suezmax",TQ73,SJ73="Capesize",TJ73,SJ73="VLOC",TC73)))))</f>
        <v>#N/A</v>
      </c>
      <c r="XC73" s="75" t="e">
        <f t="array" aca="1" ref="XC73" ca="1">INDEX(Canals!$AK$24:$AK$29,MATCH(2,1/((Canals!$F$24:$F$29&lt;=$C73)*(Canals!$G$24:$G$29=_xlfn.IFS(SJ73="Handysize",Main!US73,SJ73="Supramax",UL73,SJ73="Panamax",UE73,SJ73="NeoPanamax",TX73,SJ73="Suezmax",TQ73,SJ73="Capesize",TJ73,SJ73="VLOC",TC73)))))</f>
        <v>#N/A</v>
      </c>
      <c r="XD73" s="136" t="e">
        <f t="array" aca="1" ref="XD73" ca="1">INDEX(Canals!$AL$24:$AL$29,MATCH(2,1/((Canals!$F$24:$F$29&lt;=$C73)*(Canals!$G$24:$G$29=_xlfn.IFS(SJ73="Handysize",Main!US73,SJ73="Supramax",UL73,SJ73="Panamax",UE73,SJ73="NeoPanamax",TX73,SJ73="Suezmax",TQ73,SJ73="Capesize",TJ73,SJ73="VLOC",TC73)))))</f>
        <v>#N/A</v>
      </c>
      <c r="XE73" s="136" t="e">
        <f t="array" aca="1" ref="XE73" ca="1">INDEX(Canals!$AM$24:$AM$29,MATCH(2,1/((Canals!$F$24:$F$29&lt;=$C73)*(Canals!$G$24:$G$29=_xlfn.IFS(SJ73="Handysize",Main!US73,SJ73="Supramax",UL73,SJ73="Panamax",UE73,SJ73="NeoPanamax",TX73,SJ73="Suezmax",TQ73,SJ73="Capesize",TJ73,SJ73="VLOC",TC73)))))</f>
        <v>#N/A</v>
      </c>
      <c r="XF73" s="136" t="e">
        <f t="array" aca="1" ref="XF73" ca="1">INDEX(Canals!$AN$24:$AN$29,MATCH(2,1/((Canals!$F$24:$F$29&lt;=$C73)*(Canals!$G$24:$G$29=_xlfn.IFS(SJ73="Handysize",Main!US73,SJ73="Supramax",UL73,SJ73="Panamax",UE73,SJ73="NeoPanamax",TX73,SJ73="Suezmax",TQ73,SJ73="Capesize",TJ73,SJ73="VLOC",TC73)))))</f>
        <v>#N/A</v>
      </c>
      <c r="XG73" s="136" t="e">
        <f t="array" aca="1" ref="XG73" ca="1">INDEX(Canals!$AO$24:$AO$29,MATCH(2,1/((Canals!$F$24:$F$29&lt;=$C73)*(Canals!$G$24:$G$29=_xlfn.IFS(SJ73="Handysize",Main!US73,SJ73="Supramax",UL73,SJ73="Panamax",UE73,SJ73="NeoPanamax",TX73,SJ73="Suezmax",TQ73,SJ73="Capesize",TJ73,SJ73="VLOC",TC73)))))</f>
        <v>#N/A</v>
      </c>
      <c r="XH73" s="136" t="e">
        <f t="array" aca="1" ref="XH73" ca="1">INDEX(Canals!$AP$24:$AP$29,MATCH(2,1/((Canals!$F$24:$F$29&lt;=$C73)*(Canals!$G$24:$G$29=_xlfn.IFS(SJ73="Handysize",Main!US73,SJ73="Supramax",UL73,SJ73="Panamax",UE73,SJ73="NeoPanamax",TX73,SJ73="Suezmax",TQ73,SJ73="Capesize",TJ73,SJ73="VLOC",TC73)))))</f>
        <v>#N/A</v>
      </c>
      <c r="XI73" s="136" t="e">
        <f t="array" aca="1" ref="XI73" ca="1">INDEX(Canals!$AQ$24:$AQ$29,MATCH(2,1/((Canals!$F$24:$F$29&lt;=$C73)*(Canals!$G$24:$G$29=_xlfn.IFS(SJ73="Handysize",Main!US73,SJ73="Supramax",UL73,SJ73="Panamax",UE73,SJ73="NeoPanamax",TX73,SJ73="Suezmax",TQ73,SJ73="Capesize",TJ73,SJ73="VLOC",TC73)))))</f>
        <v>#N/A</v>
      </c>
      <c r="XJ73" s="136" t="e">
        <f t="array" aca="1" ref="XJ73" ca="1">INDEX(Canals!$AR$24:$AR$29,MATCH(2,1/((Canals!$F$24:$F$29&lt;=$C73)*(Canals!$G$24:$G$29=_xlfn.IFS(SJ73="Handysize",Main!US73,SJ73="Supramax",UL73,SJ73="Panamax",UE73,SJ73="NeoPanamax",TX73,SJ73="Suezmax",TQ73,SJ73="Capesize",TJ73,SJ73="VLOC",TC73)))))</f>
        <v>#N/A</v>
      </c>
      <c r="XK73" s="136" t="e">
        <f t="array" aca="1" ref="XK73" ca="1">INDEX(Canals!$AS$24:$AS$29,MATCH(2,1/((Canals!$F$24:$F$29&lt;=$C73)*(Canals!$G$24:$G$29=_xlfn.IFS(SJ73="Handysize",Main!US73,SJ73="Supramax",UL73,SJ73="Panamax",UE73,SJ73="NeoPanamax",TX73,SJ73="Suezmax",TQ73,SJ73="Capesize",TJ73,SJ73="VLOC",TC73)))))</f>
        <v>#N/A</v>
      </c>
      <c r="XL73" s="136" t="e">
        <f t="array" aca="1" ref="XL73" ca="1">INDEX(Canals!$AT$24:$AT$29,MATCH(2,1/((Canals!$F$24:$F$29&lt;=$C73)*(Canals!$G$24:$G$29=_xlfn.IFS(SJ73="Handysize",Main!US73,SJ73="Supramax",UL73,SJ73="Panamax",UE73,SJ73="NeoPanamax",TX73,SJ73="Suezmax",TQ73,SJ73="Capesize",TJ73,SJ73="VLOC",TC73)))))</f>
        <v>#N/A</v>
      </c>
      <c r="XM73" s="136" t="e">
        <f t="array" aca="1" ref="XM73" ca="1">INDEX(Canals!$AU$24:$AU$29,MATCH(2,1/((Canals!$F$24:$F$29&lt;=$C73)*(Canals!$G$24:$G$29=_xlfn.IFS(SJ73="Handysize",Main!US73,SJ73="Supramax",UL73,SJ73="Panamax",UE73,SJ73="NeoPanamax",TX73,SJ73="Suezmax",TQ73,SJ73="Capesize",TJ73,SJ73="VLOC",TC73)))))</f>
        <v>#N/A</v>
      </c>
      <c r="XN73" s="136" t="e">
        <f t="array" aca="1" ref="XN73" ca="1">INDEX(Canals!$AV$24:$AV$29,MATCH(2,1/((Canals!$F$24:$F$29&lt;=$C73)*(Canals!$G$24:$G$29=_xlfn.IFS(SJ73="Handysize",Main!US73,SJ73="Supramax",UL73,SJ73="Panamax",UE73,SJ73="NeoPanamax",TX73,SJ73="Suezmax",TQ73,SJ73="Capesize",TJ73,SJ73="VLOC",TC73)))))</f>
        <v>#N/A</v>
      </c>
      <c r="XP73" s="75" t="e">
        <f t="array" aca="1" ref="XP73" ca="1">_xlfn.IFS(WA73="DWT",SH73,WA73="NRT",SL73,WA73="GRT",SM73,WA73=0,0)</f>
        <v>#NAME?</v>
      </c>
      <c r="XQ73" s="279" t="e">
        <f t="shared" ca="1" si="836"/>
        <v>#NAME?</v>
      </c>
      <c r="XR73" s="280" t="e">
        <f t="shared" ca="1" si="837"/>
        <v>#NAME?</v>
      </c>
      <c r="XS73" s="280" t="e">
        <f t="shared" ca="1" si="838"/>
        <v>#NAME?</v>
      </c>
      <c r="XT73" s="280" t="e">
        <f t="shared" ca="1" si="839"/>
        <v>#NAME?</v>
      </c>
      <c r="XU73" s="280" t="e">
        <f t="shared" ca="1" si="840"/>
        <v>#NAME?</v>
      </c>
      <c r="XV73" s="280" t="e">
        <f t="shared" ca="1" si="841"/>
        <v>#NAME?</v>
      </c>
      <c r="XW73" s="280" t="e">
        <f t="shared" ca="1" si="842"/>
        <v>#NAME?</v>
      </c>
      <c r="XX73" s="280" t="e">
        <f t="shared" ca="1" si="843"/>
        <v>#NAME?</v>
      </c>
      <c r="XY73" s="280" t="e">
        <f t="shared" ca="1" si="844"/>
        <v>#NAME?</v>
      </c>
      <c r="XZ73" s="75">
        <f t="shared" si="845"/>
        <v>0</v>
      </c>
      <c r="YA73" s="279" t="e">
        <f t="shared" ca="1" si="846"/>
        <v>#N/A</v>
      </c>
      <c r="YB73" s="280" t="e">
        <f t="shared" ca="1" si="847"/>
        <v>#N/A</v>
      </c>
      <c r="YC73" s="280" t="e">
        <f t="shared" ca="1" si="848"/>
        <v>#N/A</v>
      </c>
      <c r="YD73" s="280" t="e">
        <f t="shared" ca="1" si="849"/>
        <v>#N/A</v>
      </c>
      <c r="YE73" s="280" t="e">
        <f t="shared" ca="1" si="850"/>
        <v>#N/A</v>
      </c>
      <c r="YF73" s="280" t="e">
        <f t="shared" ca="1" si="851"/>
        <v>#N/A</v>
      </c>
      <c r="YG73" s="280" t="e">
        <f t="shared" ca="1" si="852"/>
        <v>#N/A</v>
      </c>
      <c r="YH73" s="280" t="e">
        <f t="shared" ca="1" si="853"/>
        <v>#N/A</v>
      </c>
      <c r="YI73" s="280" t="e">
        <f t="shared" ca="1" si="854"/>
        <v>#N/A</v>
      </c>
      <c r="YK73" s="75" t="e">
        <f t="array" aca="1" ref="YK73" ca="1">_xlfn.IFS(SJ73="Handysize",Main!UM73,SJ73="Supramax",UF73,SJ73="Panamax",TY73,SJ73="NeoPanamax",TR73,SJ73="Suezmax",TK73,SJ73="Capesize",TD73,SJ73="VLOC",SW73)*$JI73</f>
        <v>#NAME?</v>
      </c>
      <c r="YL73" s="274" t="e">
        <f t="array" aca="1" ref="YL73" ca="1">_xlfn.IFS(SJ73="Handysize",Main!UN73,SJ73="Supramax",UG73,SJ73="Panamax",TZ73,SJ73="NeoPanamax",TS73,SJ73="Suezmax",TL73,SJ73="Capesize",TE73,SJ73="VLOC",SX73)*$JI73</f>
        <v>#NAME?</v>
      </c>
      <c r="YM73" s="71" t="e">
        <f t="array" aca="1" ref="YM73" ca="1">_xlfn.IFS(SJ73="Handysize",Main!SO73,SJ73="Supramax",SP73,SJ73="Panamax",SQ73,SJ73="NeoPanamax",SR73,SJ73="Suezmax",SS73,SJ73="Capesize",ST73,SJ73="VLOC",SU73)</f>
        <v>#NAME?</v>
      </c>
      <c r="YN73" s="71" t="e">
        <f t="array" aca="1" ref="YN73" ca="1">_xlfn.IFS(SJ73="Handysize",Main!VA73,SJ73="Supramax",VB73,SJ73="Panamax",VC73,SJ73="NeoPanamax",VD73,SJ73="Suezmax",VE73,SJ73="Capesize",VF73,SJ73="VLOC",VG73)</f>
        <v>#NAME?</v>
      </c>
      <c r="YO73" s="70">
        <f t="array" ref="YO73">INDEX('Ship Speeds'!$G$11:$G$1011,MATCH(2,1/(('Ship Speeds'!$E$11:$E$1011&lt;=Main!$C73)*('Ship Speeds'!$F$11:$F$1011=Main!SI73))))</f>
        <v>11</v>
      </c>
      <c r="YP73" s="403">
        <f t="shared" si="855"/>
        <v>0</v>
      </c>
      <c r="YQ73" s="401">
        <f t="shared" si="856"/>
        <v>1.2</v>
      </c>
      <c r="YR73" s="70" t="e">
        <f t="shared" ca="1" si="857"/>
        <v>#NAME?</v>
      </c>
      <c r="YS73" s="70" t="e">
        <f t="shared" ca="1" si="858"/>
        <v>#NAME?</v>
      </c>
      <c r="YT73" s="70" t="e">
        <f t="shared" ca="1" si="859"/>
        <v>#NAME?</v>
      </c>
      <c r="YU73" s="70" t="e">
        <f t="shared" ca="1" si="860"/>
        <v>#NAME?</v>
      </c>
      <c r="YV73" s="72" t="e">
        <f t="shared" ca="1" si="861"/>
        <v>#N/A</v>
      </c>
      <c r="YW73" s="70" t="e">
        <f t="shared" ca="1" si="862"/>
        <v>#NAME?</v>
      </c>
      <c r="YX73" s="70" t="e">
        <f t="array" aca="1" ref="YX73" ca="1">IF(YK73=0,0,INDEX(UU73:UY73,MATCH(_xlfn.IFS(SJ73="Handysize",Main!UQ73,SJ73="Supramax",UJ73,SJ73="Panamax",UC73,SJ73="NeoPanamax",TV73,SJ73="Suezmax",TO73,SJ73="Capesize",TH73,SJ73="VLOC",TA73),$UU$7:$UY$7,0)))</f>
        <v>#NAME?</v>
      </c>
      <c r="YY73" s="70" t="e">
        <f t="array" aca="1" ref="YY73" ca="1">IF(YK73=0,0,INDEX(UU73:UY73,MATCH(_xlfn.IFS(SJ73="Handysize",Main!UR73,SJ73="Supramax",UK73,SJ73="Panamax",UD73,SJ73="NeoPanamax",TW73,SJ73="Suezmax",TP73,SJ73="Capesize",TI73,SJ73="VLOC",TB73),$UU$7:$UY$7,0)))</f>
        <v>#NAME?</v>
      </c>
      <c r="YZ73" s="71" t="e">
        <f t="shared" ca="1" si="863"/>
        <v>#NAME?</v>
      </c>
      <c r="ZA73" s="71" t="e">
        <f t="shared" ca="1" si="864"/>
        <v>#NAME?</v>
      </c>
      <c r="ZB73" s="281" t="e">
        <f t="shared" ca="1" si="865"/>
        <v>#NAME?</v>
      </c>
      <c r="ZC73" s="71" t="e">
        <f t="shared" ca="1" si="866"/>
        <v>#NAME?</v>
      </c>
      <c r="ZD73" s="71" t="e">
        <f t="shared" ca="1" si="867"/>
        <v>#NAME?</v>
      </c>
      <c r="ZE73" s="71" t="e">
        <f t="shared" ca="1" si="868"/>
        <v>#NAME?</v>
      </c>
      <c r="ZF73" s="71" t="e">
        <f t="shared" ca="1" si="869"/>
        <v>#NAME?</v>
      </c>
      <c r="ZG73" s="71" t="e">
        <f t="shared" ca="1" si="870"/>
        <v>#NAME?</v>
      </c>
      <c r="ZH73" s="71" t="e">
        <f t="shared" ca="1" si="871"/>
        <v>#NAME?</v>
      </c>
      <c r="ZI73" s="71" t="e">
        <f t="shared" ca="1" si="872"/>
        <v>#NAME?</v>
      </c>
      <c r="ZJ73" s="71" t="e">
        <f t="shared" ca="1" si="873"/>
        <v>#NAME?</v>
      </c>
      <c r="ZK73" s="71" t="e">
        <f t="shared" ca="1" si="874"/>
        <v>#NAME?</v>
      </c>
      <c r="ZL73" s="71" t="e">
        <f t="shared" ca="1" si="875"/>
        <v>#NAME?</v>
      </c>
      <c r="ZM73" s="71" t="e">
        <f t="shared" ca="1" si="876"/>
        <v>#NAME?</v>
      </c>
      <c r="ZN73" s="71" t="e">
        <f t="shared" ca="1" si="877"/>
        <v>#NAME?</v>
      </c>
      <c r="ZO73" s="72" t="e">
        <f t="shared" ca="1" si="878"/>
        <v>#NAME?</v>
      </c>
      <c r="ZP73" s="72" t="e">
        <f t="shared" ca="1" si="879"/>
        <v>#NAME?</v>
      </c>
      <c r="ZQ73" s="71" t="e">
        <f t="shared" ca="1" si="880"/>
        <v>#NAME?</v>
      </c>
      <c r="ZR73" s="71" t="e">
        <f t="array" aca="1" ref="ZR73" ca="1">IF(YK73=0,0,INDEX('Ship Time Charter Rates'!$H$22:$H$1021,MATCH(2,1/(('Ship Time Charter Rates'!$G$22:$G$1021=_xlfn.IFS(SJ73="Handysize",Main!UO73,SJ73="Supramax",UH73,SJ73="Panamax",UA73,SJ73="NeoPanamax",TT73,SJ73="Suezmax",TM73,SJ73="Capesize",TF73,SJ73="VLOC",SY73))*('Ship Time Charter Rates'!$E$22:$E$1021&lt;=Main!$C73)*(NOT(ISBLANK('Ship Time Charter Rates'!$H$22:$H$1021)))))))</f>
        <v>#NAME?</v>
      </c>
      <c r="ZS73" s="71" t="e">
        <f t="shared" ca="1" si="881"/>
        <v>#NAME?</v>
      </c>
      <c r="ZT73" s="70" t="e">
        <f t="shared" ca="1" si="882"/>
        <v>#NAME?</v>
      </c>
      <c r="ZU73" s="71" t="e">
        <f t="shared" ca="1" si="883"/>
        <v>#NAME?</v>
      </c>
      <c r="ZV73" s="71" t="e">
        <f t="shared" ca="1" si="884"/>
        <v>#NAME?</v>
      </c>
      <c r="ZW73" s="72" t="e">
        <f t="shared" ca="1" si="885"/>
        <v>#NAME?</v>
      </c>
      <c r="ZY73" s="287" t="s">
        <v>39</v>
      </c>
      <c r="AAA73" s="25">
        <f t="shared" si="886"/>
        <v>92911.010558069393</v>
      </c>
      <c r="AAB73" s="4" t="str">
        <f>VLOOKUP(AAA73,'Ship Time Charter Rates'!$F$10:$G$17,2,TRUE)</f>
        <v>Panamax</v>
      </c>
      <c r="AAC73" s="4" t="str">
        <f>VLOOKUP(AAA73,Canals!$E$5:$F$12,2,TRUE)</f>
        <v>Panamax</v>
      </c>
      <c r="AAD73" s="25">
        <f t="shared" si="887"/>
        <v>227.00131221719457</v>
      </c>
      <c r="AAE73" s="25">
        <f t="shared" si="888"/>
        <v>37480.301659125194</v>
      </c>
      <c r="AAF73" s="25">
        <f t="shared" si="889"/>
        <v>53008.523378582213</v>
      </c>
      <c r="AAH73" s="75">
        <f t="array" ref="AAH73">INDEX('Indices Mines Exporting Ports'!$R$20:$R$51,MATCH(2,1/(('Indices Mines Exporting Ports'!$D$20:$D$51&lt;=Main!$C73)*('Indices Mines Exporting Ports'!$Q$20:$Q$51=$AP73))))</f>
        <v>15000</v>
      </c>
      <c r="AAI73" s="75">
        <f t="array" ref="AAI73">INDEX('Indices Mines Exporting Ports'!$S$20:$S$51,MATCH(2,1/(('Indices Mines Exporting Ports'!$D$20:$D$51&lt;=Main!$C73)*('Indices Mines Exporting Ports'!$Q$20:$Q$51=$AP73))))</f>
        <v>15000</v>
      </c>
      <c r="AAJ73" s="75">
        <f t="array" ref="AAJ73">INDEX('Indices Mines Exporting Ports'!$T$20:$T$51,MATCH(2,1/(('Indices Mines Exporting Ports'!$D$20:$D$51&lt;=Main!$C73)*('Indices Mines Exporting Ports'!$Q$20:$Q$51=$AP73))))</f>
        <v>15000</v>
      </c>
      <c r="AAK73" s="75">
        <f t="array" ref="AAK73">INDEX('Indices Mines Exporting Ports'!$U$20:$U$51,MATCH(2,1/(('Indices Mines Exporting Ports'!$D$20:$D$51&lt;=Main!$C73)*('Indices Mines Exporting Ports'!$Q$20:$Q$51=$AP73))))</f>
        <v>15000</v>
      </c>
      <c r="AAL73" s="75">
        <f t="array" ref="AAL73">INDEX('Indices Mines Exporting Ports'!$V$20:$V$51,MATCH(2,1/(('Indices Mines Exporting Ports'!$D$20:$D$51&lt;=Main!$C73)*('Indices Mines Exporting Ports'!$Q$20:$Q$51=$AP73))))</f>
        <v>15000</v>
      </c>
      <c r="AAM73" s="75">
        <f t="array" ref="AAM73">INDEX('Indices Mines Exporting Ports'!$W$20:$W$51,MATCH(2,1/(('Indices Mines Exporting Ports'!$D$20:$D$51&lt;=Main!$C73)*('Indices Mines Exporting Ports'!$Q$20:$Q$51=$AP73))))</f>
        <v>15000</v>
      </c>
      <c r="AAN73" s="75">
        <f t="array" ref="AAN73">INDEX('Indices Mines Exporting Ports'!$X$20:$X$51,MATCH(2,1/(('Indices Mines Exporting Ports'!$D$20:$D$51&lt;=Main!$C73)*('Indices Mines Exporting Ports'!$Q$20:$Q$51=$AP73))))</f>
        <v>15000</v>
      </c>
      <c r="AAP73" s="75">
        <f t="array" ref="AAP73">INDEX('Port Linkages'!$E$18:$E$157,MATCH(2,1/(('Port Linkages'!$C$18:$C$157=$AP73)*('Port Linkages'!$D$18:$D$157=IF($AO73="Yes",$AQ73,$KK73))*('Port Linkages'!$A$18:$A$157&lt;=$C73))))</f>
        <v>2326</v>
      </c>
      <c r="AAQ73" s="75">
        <f t="array" ref="AAQ73">INDEX('Port Linkages'!$F$18:$F$157,MATCH(2,1/(('Port Linkages'!$C$18:$C$157=$AP73)*('Port Linkages'!$D$18:$D$157=IF($AO73="Yes",$AQ73,$KK73))*('Port Linkages'!$A$18:$A$157&lt;=$C73))))</f>
        <v>0</v>
      </c>
      <c r="AAR73" s="75" t="str">
        <f t="array" ref="AAR73">INDEX('Port Linkages'!$G$18:$G$157,MATCH(2,1/(('Port Linkages'!$C$18:$C$157=$AP73)*('Port Linkages'!$D$18:$D$157=IF($AO73="Yes",$AQ73,$KK73))*('Port Linkages'!$A$18:$A$157&lt;=$C73))))</f>
        <v>VLOC_General</v>
      </c>
      <c r="AAS73" s="75" t="str">
        <f t="array" ref="AAS73">INDEX('Port Linkages'!$H$18:$H$157,MATCH(2,1/(('Port Linkages'!$C$18:$C$157=$AP73)*('Port Linkages'!$D$18:$D$157=IF($AO73="Yes",$AQ73,$KK73))*('Port Linkages'!$A$18:$A$157&lt;=$C73))))</f>
        <v>Singapore</v>
      </c>
      <c r="AAT73" s="75" t="str">
        <f t="array" ref="AAT73">INDEX('Port Linkages'!$I$18:$I$157,MATCH(2,1/(('Port Linkages'!$C$18:$C$157=$AP73)*('Port Linkages'!$D$18:$D$157=IF($AO73="Yes",$AQ73,$KK73))*('Port Linkages'!$A$18:$A$157&lt;=$C73))))</f>
        <v>VLSFO</v>
      </c>
      <c r="AAU73" s="75" t="str">
        <f t="array" ref="AAU73">INDEX('Port Linkages'!$J$18:$J$157,MATCH(2,1/(('Port Linkages'!$C$18:$C$157=$AP73)*('Port Linkages'!$D$18:$D$157=IF($AO73="Yes",$AQ73,$KK73))*('Port Linkages'!$A$18:$A$157&lt;=$C73))))</f>
        <v>MGO_Regular</v>
      </c>
      <c r="AAV73" s="75" t="str">
        <f t="array" ref="AAV73">INDEX('Port Linkages'!$K$18:$K$157,MATCH(2,1/(('Port Linkages'!$C$18:$C$157=$AP73)*('Port Linkages'!$D$18:$D$157=IF($AO73="Yes",$AQ73,$KK73))*('Port Linkages'!$A$18:$A$157&lt;=$C73))))</f>
        <v>none</v>
      </c>
      <c r="AAW73" s="75">
        <f t="array" ref="AAW73">INDEX('Port Linkages'!$L$18:$L$157,MATCH(2,1/(('Port Linkages'!$C$18:$C$157=$AP73)*('Port Linkages'!$D$18:$D$157=IF($AO73="Yes",$AQ73,$KK73))*('Port Linkages'!$A$18:$A$157&lt;=$C73))))</f>
        <v>2326</v>
      </c>
      <c r="AAX73" s="75">
        <f t="array" ref="AAX73">INDEX('Port Linkages'!$M$18:$M$157,MATCH(2,1/(('Port Linkages'!$C$18:$C$157=$AP73)*('Port Linkages'!$D$18:$D$157=IF($AO73="Yes",$AQ73,$KK73))*('Port Linkages'!$A$18:$A$157&lt;=$C73))))</f>
        <v>0</v>
      </c>
      <c r="AAY73" s="75" t="str">
        <f t="array" ref="AAY73">INDEX('Port Linkages'!$N$18:$N$157,MATCH(2,1/(('Port Linkages'!$C$18:$C$157=$AP73)*('Port Linkages'!$D$18:$D$157=IF($AO73="Yes",$AQ73,$KK73))*('Port Linkages'!$A$18:$A$157&lt;=$C73))))</f>
        <v>Capesize_General</v>
      </c>
      <c r="AAZ73" s="75" t="str">
        <f t="array" ref="AAZ73">INDEX('Port Linkages'!$O$18:$O$157,MATCH(2,1/(('Port Linkages'!$C$18:$C$157=$AP73)*('Port Linkages'!$D$18:$D$157=IF($AO73="Yes",$AQ73,$KK73))*('Port Linkages'!$A$18:$A$157&lt;=$C73))))</f>
        <v>Singapore</v>
      </c>
      <c r="ABA73" s="75" t="str">
        <f t="array" ref="ABA73">INDEX('Port Linkages'!$P$18:$P$157,MATCH(2,1/(('Port Linkages'!$C$18:$C$157=$AP73)*('Port Linkages'!$D$18:$D$157=IF($AO73="Yes",$AQ73,$KK73))*('Port Linkages'!$A$18:$A$157&lt;=$C73))))</f>
        <v>VLSFO</v>
      </c>
      <c r="ABB73" s="75" t="str">
        <f t="array" ref="ABB73">INDEX('Port Linkages'!$Q$18:$Q$157,MATCH(2,1/(('Port Linkages'!$C$18:$C$157=$AP73)*('Port Linkages'!$D$18:$D$157=IF($AO73="Yes",$AQ73,$KK73))*('Port Linkages'!$A$18:$A$157&lt;=$C73))))</f>
        <v>MGO_Regular</v>
      </c>
      <c r="ABC73" s="75" t="str">
        <f t="array" ref="ABC73">INDEX('Port Linkages'!$R$18:$R$157,MATCH(2,1/(('Port Linkages'!$C$18:$C$157=$AP73)*('Port Linkages'!$D$18:$D$157=IF($AO73="Yes",$AQ73,$KK73))*('Port Linkages'!$A$18:$A$157&lt;=$C73))))</f>
        <v>none</v>
      </c>
      <c r="ABD73" s="75">
        <f t="array" ref="ABD73">INDEX('Port Linkages'!$S$18:$S$157,MATCH(2,1/(('Port Linkages'!$C$18:$C$157=$AP73)*('Port Linkages'!$D$18:$D$157=IF($AO73="Yes",$AQ73,$KK73))*('Port Linkages'!$A$18:$A$157&lt;=$C73))))</f>
        <v>2326</v>
      </c>
      <c r="ABE73" s="75">
        <f t="array" ref="ABE73">INDEX('Port Linkages'!$T$18:$T$157,MATCH(2,1/(('Port Linkages'!$C$18:$C$157=$AP73)*('Port Linkages'!$D$18:$D$157=IF($AO73="Yes",$AQ73,$KK73))*('Port Linkages'!$A$18:$A$157&lt;=$C73))))</f>
        <v>0</v>
      </c>
      <c r="ABF73" s="75" t="str">
        <f t="array" ref="ABF73">INDEX('Port Linkages'!$U$18:$U$157,MATCH(2,1/(('Port Linkages'!$C$18:$C$157=$AP73)*('Port Linkages'!$D$18:$D$157=IF($AO73="Yes",$AQ73,$KK73))*('Port Linkages'!$A$18:$A$157&lt;=$C73))))</f>
        <v>Capesize_General</v>
      </c>
      <c r="ABG73" s="75" t="str">
        <f t="array" ref="ABG73">INDEX('Port Linkages'!$V$18:$V$157,MATCH(2,1/(('Port Linkages'!$C$18:$C$157=$AP73)*('Port Linkages'!$D$18:$D$157=IF($AO73="Yes",$AQ73,$KK73))*('Port Linkages'!$A$18:$A$157&lt;=$C73))))</f>
        <v>Singapore</v>
      </c>
      <c r="ABH73" s="75" t="str">
        <f t="array" ref="ABH73">INDEX('Port Linkages'!$W$18:$W$157,MATCH(2,1/(('Port Linkages'!$C$18:$C$157=$AP73)*('Port Linkages'!$D$18:$D$157=IF($AO73="Yes",$AQ73,$KK73))*('Port Linkages'!$A$18:$A$157&lt;=$C73))))</f>
        <v>VLSFO</v>
      </c>
      <c r="ABI73" s="75" t="str">
        <f t="array" ref="ABI73">INDEX('Port Linkages'!$X$18:$X$157,MATCH(2,1/(('Port Linkages'!$C$18:$C$157=$AP73)*('Port Linkages'!$D$18:$D$157=IF($AO73="Yes",$AQ73,$KK73))*('Port Linkages'!$A$18:$A$157&lt;=$C73))))</f>
        <v>MGO_Regular</v>
      </c>
      <c r="ABJ73" s="75" t="str">
        <f t="array" ref="ABJ73">INDEX('Port Linkages'!$Y$18:$Y$157,MATCH(2,1/(('Port Linkages'!$C$18:$C$157=$AP73)*('Port Linkages'!$D$18:$D$157=IF($AO73="Yes",$AQ73,$KK73))*('Port Linkages'!$A$18:$A$157&lt;=$C73))))</f>
        <v>none</v>
      </c>
      <c r="ABK73" s="75">
        <f t="array" ref="ABK73">INDEX('Port Linkages'!$Z$18:$Z$157,MATCH(2,1/(('Port Linkages'!$C$18:$C$157=$AP73)*('Port Linkages'!$D$18:$D$157=IF($AO73="Yes",$AQ73,$KK73))*('Port Linkages'!$A$18:$A$157&lt;=$C73))))</f>
        <v>2326</v>
      </c>
      <c r="ABL73" s="75">
        <f t="array" ref="ABL73">INDEX('Port Linkages'!$AA$18:$AA$157,MATCH(2,1/(('Port Linkages'!$C$18:$C$157=$AP73)*('Port Linkages'!$D$18:$D$157=IF($AO73="Yes",$AQ73,$KK73))*('Port Linkages'!$A$18:$A$157&lt;=$C73))))</f>
        <v>0</v>
      </c>
      <c r="ABM73" s="75" t="str">
        <f t="array" ref="ABM73">INDEX('Port Linkages'!$AB$18:$AB$157,MATCH(2,1/(('Port Linkages'!$C$18:$C$157=$AP73)*('Port Linkages'!$D$18:$D$157=IF($AO73="Yes",$AQ73,$KK73))*('Port Linkages'!$A$18:$A$157&lt;=$C73))))</f>
        <v>Capesize_General</v>
      </c>
      <c r="ABN73" s="75" t="str">
        <f t="array" ref="ABN73">INDEX('Port Linkages'!$AC$18:$AC$157,MATCH(2,1/(('Port Linkages'!$C$18:$C$157=$AP73)*('Port Linkages'!$D$18:$D$157=IF($AO73="Yes",$AQ73,$KK73))*('Port Linkages'!$A$18:$A$157&lt;=$C73))))</f>
        <v>Singapore</v>
      </c>
      <c r="ABO73" s="75" t="str">
        <f t="array" ref="ABO73">INDEX('Port Linkages'!$AD$18:$AD$157,MATCH(2,1/(('Port Linkages'!$C$18:$C$157=$AP73)*('Port Linkages'!$D$18:$D$157=IF($AO73="Yes",$AQ73,$KK73))*('Port Linkages'!$A$18:$A$157&lt;=$C73))))</f>
        <v>VLSFO</v>
      </c>
      <c r="ABP73" s="75" t="str">
        <f t="array" ref="ABP73">INDEX('Port Linkages'!$AE$18:$AE$157,MATCH(2,1/(('Port Linkages'!$C$18:$C$157=$AP73)*('Port Linkages'!$D$18:$D$157=IF($AO73="Yes",$AQ73,$KK73))*('Port Linkages'!$A$18:$A$157&lt;=$C73))))</f>
        <v>MGO_Regular</v>
      </c>
      <c r="ABQ73" s="75" t="str">
        <f t="array" ref="ABQ73">INDEX('Port Linkages'!$AF$18:$AF$157,MATCH(2,1/(('Port Linkages'!$C$18:$C$157=$AP73)*('Port Linkages'!$D$18:$D$157=IF($AO73="Yes",$AQ73,$KK73))*('Port Linkages'!$A$18:$A$157&lt;=$C73))))</f>
        <v>none</v>
      </c>
      <c r="ABR73" s="75">
        <f t="array" ref="ABR73">INDEX('Port Linkages'!$AG$18:$AG$157,MATCH(2,1/(('Port Linkages'!$C$18:$C$157=$AP73)*('Port Linkages'!$D$18:$D$157=IF($AO73="Yes",$AQ73,$KK73))*('Port Linkages'!$A$18:$A$157&lt;=$C73))))</f>
        <v>2326</v>
      </c>
      <c r="ABS73" s="75">
        <f t="array" ref="ABS73">INDEX('Port Linkages'!$AH$18:$AH$157,MATCH(2,1/(('Port Linkages'!$C$18:$C$157=$AP73)*('Port Linkages'!$D$18:$D$157=IF($AO73="Yes",$AQ73,$KK73))*('Port Linkages'!$A$18:$A$157&lt;=$C73))))</f>
        <v>0</v>
      </c>
      <c r="ABT73" s="75" t="str">
        <f t="array" ref="ABT73">INDEX('Port Linkages'!$AI$18:$AI$157,MATCH(2,1/(('Port Linkages'!$C$18:$C$157=$AP73)*('Port Linkages'!$D$18:$D$157=IF($AO73="Yes",$AQ73,$KK73))*('Port Linkages'!$A$18:$A$157&lt;=$C73))))</f>
        <v>Panamax_General</v>
      </c>
      <c r="ABU73" s="75" t="str">
        <f t="array" ref="ABU73">INDEX('Port Linkages'!$AJ$18:$AJ$157,MATCH(2,1/(('Port Linkages'!$C$18:$C$157=$AP73)*('Port Linkages'!$D$18:$D$157=IF($AO73="Yes",$AQ73,$KK73))*('Port Linkages'!$A$18:$A$157&lt;=$C73))))</f>
        <v>Singapore</v>
      </c>
      <c r="ABV73" s="75" t="str">
        <f t="array" ref="ABV73">INDEX('Port Linkages'!$AK$18:$AK$157,MATCH(2,1/(('Port Linkages'!$C$18:$C$157=$AP73)*('Port Linkages'!$D$18:$D$157=IF($AO73="Yes",$AQ73,$KK73))*('Port Linkages'!$A$18:$A$157&lt;=$C73))))</f>
        <v>VLSFO</v>
      </c>
      <c r="ABW73" s="75" t="str">
        <f t="array" ref="ABW73">INDEX('Port Linkages'!$AL$18:$AL$157,MATCH(2,1/(('Port Linkages'!$C$18:$C$157=$AP73)*('Port Linkages'!$D$18:$D$157=IF($AO73="Yes",$AQ73,$KK73))*('Port Linkages'!$A$18:$A$157&lt;=$C73))))</f>
        <v>MGO_Regular</v>
      </c>
      <c r="ABX73" s="75" t="str">
        <f t="array" ref="ABX73">INDEX('Port Linkages'!$AM$18:$AM$157,MATCH(2,1/(('Port Linkages'!$C$18:$C$157=$AP73)*('Port Linkages'!$D$18:$D$157=IF($AO73="Yes",$AQ73,$KK73))*('Port Linkages'!$A$18:$A$157&lt;=$C73))))</f>
        <v>none</v>
      </c>
      <c r="ABY73" s="75">
        <f t="array" ref="ABY73">INDEX('Port Linkages'!$AN$18:$AN$157,MATCH(2,1/(('Port Linkages'!$C$18:$C$157=$AP73)*('Port Linkages'!$D$18:$D$157=IF($AO73="Yes",$AQ73,$KK73))*('Port Linkages'!$A$18:$A$157&lt;=$C73))))</f>
        <v>2326</v>
      </c>
      <c r="ABZ73" s="75">
        <f t="array" ref="ABZ73">INDEX('Port Linkages'!$AO$18:$AO$157,MATCH(2,1/(('Port Linkages'!$C$18:$C$157=$AP73)*('Port Linkages'!$D$18:$D$157=IF($AO73="Yes",$AQ73,$KK73))*('Port Linkages'!$A$18:$A$157&lt;=$C73))))</f>
        <v>0</v>
      </c>
      <c r="ACA73" s="75" t="str">
        <f t="array" ref="ACA73">INDEX('Port Linkages'!$AP$18:$AP$157,MATCH(2,1/(('Port Linkages'!$C$18:$C$157=$AP73)*('Port Linkages'!$D$18:$D$157=IF($AO73="Yes",$AQ73,$KK73))*('Port Linkages'!$A$18:$A$157&lt;=$C73))))</f>
        <v>Supramax_General</v>
      </c>
      <c r="ACB73" s="75" t="str">
        <f t="array" ref="ACB73">INDEX('Port Linkages'!$AQ$18:$AQ$157,MATCH(2,1/(('Port Linkages'!$C$18:$C$157=$AP73)*('Port Linkages'!$D$18:$D$157=IF($AO73="Yes",$AQ73,$KK73))*('Port Linkages'!$A$18:$A$157&lt;=$C73))))</f>
        <v>Singapore</v>
      </c>
      <c r="ACC73" s="75" t="str">
        <f t="array" ref="ACC73">INDEX('Port Linkages'!$AR$18:$AR$157,MATCH(2,1/(('Port Linkages'!$C$18:$C$157=$AP73)*('Port Linkages'!$D$18:$D$157=IF($AO73="Yes",$AQ73,$KK73))*('Port Linkages'!$A$18:$A$157&lt;=$C73))))</f>
        <v>VLSFO</v>
      </c>
      <c r="ACD73" s="75" t="str">
        <f t="array" ref="ACD73">INDEX('Port Linkages'!$AS$18:$AS$157,MATCH(2,1/(('Port Linkages'!$C$18:$C$157=$AP73)*('Port Linkages'!$D$18:$D$157=IF($AO73="Yes",$AQ73,$KK73))*('Port Linkages'!$A$18:$A$157&lt;=$C73))))</f>
        <v>MGO_Regular</v>
      </c>
      <c r="ACE73" s="75" t="str">
        <f t="array" ref="ACE73">INDEX('Port Linkages'!$AT$18:$AT$157,MATCH(2,1/(('Port Linkages'!$C$18:$C$157=$AP73)*('Port Linkages'!$D$18:$D$157=IF($AO73="Yes",$AQ73,$KK73))*('Port Linkages'!$A$18:$A$157&lt;=$C73))))</f>
        <v>none</v>
      </c>
      <c r="ACF73" s="75">
        <f t="array" ref="ACF73">INDEX('Port Linkages'!$AU$18:$AU$157,MATCH(2,1/(('Port Linkages'!$C$18:$C$157=$AP73)*('Port Linkages'!$D$18:$D$157=IF($AO73="Yes",$AQ73,$KK73))*('Port Linkages'!$A$18:$A$157&lt;=$C73))))</f>
        <v>2326</v>
      </c>
      <c r="ACG73" s="75">
        <f t="array" ref="ACG73">INDEX('Port Linkages'!$AV$18:$AV$157,MATCH(2,1/(('Port Linkages'!$C$18:$C$157=$AP73)*('Port Linkages'!$D$18:$D$157=IF($AO73="Yes",$AQ73,$KK73))*('Port Linkages'!$A$18:$A$157&lt;=$C73))))</f>
        <v>0</v>
      </c>
      <c r="ACH73" s="75" t="str">
        <f t="array" ref="ACH73">INDEX('Port Linkages'!$AW$18:$AW$157,MATCH(2,1/(('Port Linkages'!$C$18:$C$157=$AP73)*('Port Linkages'!$D$18:$D$157=IF($AO73="Yes",$AQ73,$KK73))*('Port Linkages'!$A$18:$A$157&lt;=$C73))))</f>
        <v>Handysize_General</v>
      </c>
      <c r="ACI73" s="75" t="str">
        <f t="array" ref="ACI73">INDEX('Port Linkages'!$AX$18:$AX$157,MATCH(2,1/(('Port Linkages'!$C$18:$C$157=$AP73)*('Port Linkages'!$D$18:$D$157=IF($AO73="Yes",$AQ73,$KK73))*('Port Linkages'!$A$18:$A$157&lt;=$C73))))</f>
        <v>Singapore</v>
      </c>
      <c r="ACJ73" s="75" t="str">
        <f t="array" ref="ACJ73">INDEX('Port Linkages'!$AY$18:$AY$157,MATCH(2,1/(('Port Linkages'!$C$18:$C$157=$AP73)*('Port Linkages'!$D$18:$D$157=IF($AO73="Yes",$AQ73,$KK73))*('Port Linkages'!$A$18:$A$157&lt;=$C73))))</f>
        <v>VLSFO</v>
      </c>
      <c r="ACK73" s="75" t="str">
        <f t="array" ref="ACK73">INDEX('Port Linkages'!$AZ$18:$AZ$157,MATCH(2,1/(('Port Linkages'!$C$18:$C$157=$AP73)*('Port Linkages'!$D$18:$D$157=IF($AO73="Yes",$AQ73,$KK73))*('Port Linkages'!$A$18:$A$157&lt;=$C73))))</f>
        <v>MGO_Regular</v>
      </c>
      <c r="ACL73" s="75" t="str">
        <f t="array" ref="ACL73">INDEX('Port Linkages'!$BA$18:$BA$157,MATCH(2,1/(('Port Linkages'!$C$18:$C$157=$AP73)*('Port Linkages'!$D$18:$D$157=IF($AO73="Yes",$AQ73,$KK73))*('Port Linkages'!$A$18:$A$157&lt;=$C73))))</f>
        <v>none</v>
      </c>
      <c r="ACN73" s="25" t="e">
        <f t="array" aca="1" ref="ACN73" ca="1">INDEX('Ship Fuel Prices'!$F$5:$F$1004,MATCH(2,1/(('Ship Fuel Prices'!$E$5:$E$1004=_xlfn.IFS(AAC73="Handysize",Main!ACI73,AAC73="Supramax",ACB73,AAC73="Panamax",ABU73,AAC73="NeoPanamax",ABN73,AAC73="Suezmax",ABG73,AAC73="Capesize",AAZ73,AAC73="VLOC",AAS73))*('Ship Fuel Prices'!$D$5:$D$1004&lt;=Main!$C73))))</f>
        <v>#N/A</v>
      </c>
      <c r="ACO73" s="25" t="e">
        <f t="array" aca="1" ref="ACO73" ca="1">INDEX('Ship Fuel Prices'!$G$5:$G$1004,MATCH(2,1/(('Ship Fuel Prices'!$E$5:$E$1004=_xlfn.IFS(AAC73="Handysize",Main!ACI73,AAC73="Supramax",ACB73,AAC73="Panamax",ABU73,AAC73="NeoPanamax",ABN73,AAC73="Suezmax",ABG73,AAC73="Capesize",AAZ73,AAC73="VLOC",AAS73))*('Ship Fuel Prices'!$D$5:$D$1004&lt;=Main!$C73))))</f>
        <v>#N/A</v>
      </c>
      <c r="ACP73" s="25" t="e">
        <f t="array" aca="1" ref="ACP73" ca="1">INDEX('Ship Fuel Prices'!$H$5:$H$1004,MATCH(2,1/(('Ship Fuel Prices'!$E$5:$E$1004=_xlfn.IFS(AAC73="Handysize",Main!ACI73,AAC73="Supramax",ACB73,AAC73="Panamax",ABU73,AAC73="NeoPanamax",ABN73,AAC73="Suezmax",ABG73,AAC73="Capesize",AAZ73,AAC73="VLOC",AAS73))*('Ship Fuel Prices'!$D$5:$D$1004&lt;=Main!$C73))))</f>
        <v>#N/A</v>
      </c>
      <c r="ACQ73" s="25" t="e">
        <f t="array" aca="1" ref="ACQ73" ca="1">INDEX('Ship Fuel Prices'!$I$5:$I$1004,MATCH(2,1/(('Ship Fuel Prices'!$E$5:$E$1004=_xlfn.IFS(AAC73="Handysize",Main!ACI73,AAC73="Supramax",ACB73,AAC73="Panamax",ABU73,AAC73="NeoPanamax",ABN73,AAC73="Suezmax",ABG73,AAC73="Capesize",AAZ73,AAC73="VLOC",AAS73))*('Ship Fuel Prices'!$D$5:$D$1004&lt;=Main!$C73))))</f>
        <v>#N/A</v>
      </c>
      <c r="ACR73" s="25" t="e">
        <f t="array" aca="1" ref="ACR73" ca="1">INDEX('Ship Fuel Prices'!$J$5:$J$1004,MATCH(2,1/(('Ship Fuel Prices'!$E$5:$E$1004=_xlfn.IFS(AAC73="Handysize",Main!ACI73,AAC73="Supramax",ACB73,AAC73="Panamax",ABU73,AAC73="NeoPanamax",ABN73,AAC73="Suezmax",ABG73,AAC73="Capesize",AAZ73,AAC73="VLOC",AAS73))*('Ship Fuel Prices'!$D$5:$D$1004&lt;=Main!$C73))))</f>
        <v>#N/A</v>
      </c>
      <c r="ACT73" s="75">
        <f t="array" ref="ACT73">INDEX('China n Importing Ports'!$E$20:$E$41,MATCH(2,1/(('China n Importing Ports'!$D$20:$D$41&lt;=$C73)*('China n Importing Ports'!$C$20:$C$41=IF($AO73="Yes",$AQ73,$KK73)))))</f>
        <v>42500</v>
      </c>
      <c r="ACU73" s="75">
        <f t="array" ref="ACU73">INDEX('China n Importing Ports'!$F$20:$F$41,MATCH(2,1/(('China n Importing Ports'!$D$20:$D$41&lt;=$C73)*('China n Importing Ports'!$C$20:$C$41=IF($AO73="Yes",$AQ73,$KK73)))))</f>
        <v>42500</v>
      </c>
      <c r="ACV73" s="75">
        <f t="array" ref="ACV73">INDEX('China n Importing Ports'!$G$20:$G$41,MATCH(2,1/(('China n Importing Ports'!$D$20:$D$41&lt;=$C73)*('China n Importing Ports'!$C$20:$C$41=IF($AO73="Yes",$AQ73,$KK73)))))</f>
        <v>42500</v>
      </c>
      <c r="ACW73" s="75">
        <f t="array" ref="ACW73">INDEX('China n Importing Ports'!$H$20:$H$41,MATCH(2,1/(('China n Importing Ports'!$D$20:$D$41&lt;=$C73)*('China n Importing Ports'!$C$20:$C$41=IF($AO73="Yes",$AQ73,$KK73)))))</f>
        <v>42500</v>
      </c>
      <c r="ACX73" s="75">
        <f t="array" ref="ACX73">INDEX('China n Importing Ports'!$I$20:$I$41,MATCH(2,1/(('China n Importing Ports'!$D$20:$D$41&lt;=$C73)*('China n Importing Ports'!$C$20:$C$41=IF($AO73="Yes",$AQ73,$KK73)))))</f>
        <v>42500</v>
      </c>
      <c r="ACY73" s="75">
        <f t="array" ref="ACY73">INDEX('China n Importing Ports'!$J$20:$J$41,MATCH(2,1/(('China n Importing Ports'!$D$20:$D$41&lt;=$C73)*('China n Importing Ports'!$C$20:$C$41=IF($AO73="Yes",$AQ73,$KK73)))))</f>
        <v>42500</v>
      </c>
      <c r="ACZ73" s="75">
        <f t="array" ref="ACZ73">INDEX('China n Importing Ports'!$K$20:$K$41,MATCH(2,1/(('China n Importing Ports'!$D$20:$D$41&lt;=$C73)*('China n Importing Ports'!$C$20:$C$41=IF($AO73="Yes",$AQ73,$KK73)))))</f>
        <v>42500</v>
      </c>
      <c r="ADA73" s="75" t="str">
        <f t="array" ref="ADA73">INDEX('China n Importing Ports'!$L$20:$L$41,MATCH(2,1/(('China n Importing Ports'!$D$20:$D$41&lt;=$C73)*('China n Importing Ports'!$C$20:$C$41=IF($AO73="Yes",$AQ73,$KK73)))))</f>
        <v>RMB</v>
      </c>
      <c r="ADB73" s="75">
        <f t="array" ref="ADB73">INDEX('China n Importing Ports'!$M$20:$M$41,MATCH(2,1/(('China n Importing Ports'!$D$20:$D$41&lt;=$C73)*('China n Importing Ports'!$C$20:$C$41=IF($AO73="Yes",$AQ73,$KK73)))))</f>
        <v>12342</v>
      </c>
      <c r="ADC73" s="75">
        <f t="array" ref="ADC73">INDEX('China n Importing Ports'!$N$20:$N$41,MATCH(2,1/(('China n Importing Ports'!$D$20:$D$41&lt;=$C73)*('China n Importing Ports'!$C$20:$C$41=IF($AO73="Yes",$AQ73,$KK73)))))</f>
        <v>0</v>
      </c>
      <c r="ADD73" s="75">
        <f t="array" ref="ADD73">INDEX('China n Importing Ports'!$O$20:$O$41,MATCH(2,1/(('China n Importing Ports'!$D$20:$D$41&lt;=$C73)*('China n Importing Ports'!$C$20:$C$41=IF($AO73="Yes",$AQ73,$KK73)))))</f>
        <v>0</v>
      </c>
      <c r="ADE73" s="136">
        <f t="array" ref="ADE73">INDEX('China n Importing Ports'!$P$20:$P$41,MATCH(2,1/(('China n Importing Ports'!$D$20:$D$41&lt;=$C73)*('China n Importing Ports'!$C$20:$C$41=IF($AO73="Yes",$AQ73,$KK73)))))</f>
        <v>2.64</v>
      </c>
      <c r="ADF73" s="136">
        <f t="array" ref="ADF73">INDEX('China n Importing Ports'!$Q$20:$Q$41,MATCH(2,1/(('China n Importing Ports'!$D$20:$D$41&lt;=$C73)*('China n Importing Ports'!$C$20:$C$41=IF($AO73="Yes",$AQ73,$KK73)))))</f>
        <v>0</v>
      </c>
      <c r="ADG73" s="136">
        <f t="array" ref="ADG73">INDEX('China n Importing Ports'!$R$20:$R$41,MATCH(2,1/(('China n Importing Ports'!$D$20:$D$41&lt;=$C73)*('China n Importing Ports'!$C$20:$C$41=IF($AO73="Yes",$AQ73,$KK73)))))</f>
        <v>0</v>
      </c>
      <c r="ADH73" s="136">
        <f t="array" ref="ADH73">INDEX('China n Importing Ports'!$S$20:$S$41,MATCH(2,1/(('China n Importing Ports'!$D$20:$D$41&lt;=$C73)*('China n Importing Ports'!$C$20:$C$41=IF($AO73="Yes",$AQ73,$KK73)))))</f>
        <v>4.53</v>
      </c>
      <c r="ADI73" s="136">
        <f t="array" ref="ADI73">INDEX('China n Importing Ports'!$T$20:$T$41,MATCH(2,1/(('China n Importing Ports'!$D$20:$D$41&lt;=$C73)*('China n Importing Ports'!$C$20:$C$41=IF($AO73="Yes",$AQ73,$KK73)))))</f>
        <v>0.36699999999999999</v>
      </c>
      <c r="ADJ73" s="136">
        <f t="array" ref="ADJ73">INDEX('China n Importing Ports'!$U$20:$U$41,MATCH(2,1/(('China n Importing Ports'!$D$20:$D$41&lt;=$C73)*('China n Importing Ports'!$C$20:$C$41=IF($AO73="Yes",$AQ73,$KK73)))))</f>
        <v>0.05</v>
      </c>
      <c r="ADK73" s="136">
        <f t="array" ref="ADK73">INDEX('China n Importing Ports'!$V$20:$V$41,MATCH(2,1/(('China n Importing Ports'!$D$20:$D$41&lt;=$C73)*('China n Importing Ports'!$C$20:$C$41=IF($AO73="Yes",$AQ73,$KK73)))))</f>
        <v>0</v>
      </c>
      <c r="ADL73" s="136">
        <f t="array" ref="ADL73">INDEX('China n Importing Ports'!$W$20:$W$41,MATCH(2,1/(('China n Importing Ports'!$D$20:$D$41&lt;=$C73)*('China n Importing Ports'!$C$20:$C$41=IF($AO73="Yes",$AQ73,$KK73)))))</f>
        <v>0</v>
      </c>
      <c r="ADM73" s="136">
        <f t="array" ref="ADM73">INDEX('China n Importing Ports'!$X$20:$X$41,MATCH(2,1/(('China n Importing Ports'!$D$20:$D$41&lt;=$C73)*('China n Importing Ports'!$C$20:$C$41=IF($AO73="Yes",$AQ73,$KK73)))))</f>
        <v>0</v>
      </c>
      <c r="ADN73" s="136">
        <f t="array" ref="ADN73">INDEX('China n Importing Ports'!$Y$20:$Y$41,MATCH(2,1/(('China n Importing Ports'!$D$20:$D$41&lt;=$C73)*('China n Importing Ports'!$C$20:$C$41=IF($AO73="Yes",$AQ73,$KK73)))))</f>
        <v>197</v>
      </c>
      <c r="ADO73" s="136">
        <f t="array" ref="ADO73">INDEX('China n Importing Ports'!$Z$20:$Z$41,MATCH(2,1/(('China n Importing Ports'!$D$20:$D$41&lt;=$C73)*('China n Importing Ports'!$C$20:$C$41=IF($AO73="Yes",$AQ73,$KK73)))))</f>
        <v>0</v>
      </c>
      <c r="ADP73" s="136">
        <f t="array" ref="ADP73">INDEX('China n Importing Ports'!$AA$20:$AA$41,MATCH(2,1/(('China n Importing Ports'!$D$20:$D$41&lt;=$C73)*('China n Importing Ports'!$C$20:$C$41=IF($AO73="Yes",$AQ73,$KK73)))))</f>
        <v>0</v>
      </c>
      <c r="ADR73" s="75" t="e">
        <f t="array" aca="1" ref="ADR73" ca="1">INDEX(Canals!$G$24:$G$29,MATCH(2,1/((Canals!$F$24:$F$29&lt;=$C73)*(Canals!$G$24:$G$29=_xlfn.IFS(AAC73="Handysize",Main!ACL73,AAC73="Supramax",ACE73,AAC73="Panamax",ABX73,AAC73="NeoPanamax",ABQ73,AAC73="Suezmax",ABJ73,AAC73="Capesize",ABC73,AAC73="VLOC",AAV73)))))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S73" s="75" t="e">
        <f t="array" aca="1" ref="ADS73" ca="1">INDEX(Canals!$H$24:$H$29,MATCH(2,1/((Canals!$F$24:$F$29&lt;=$C73)*(Canals!$G$24:$G$29=_xlfn.IFS(AAC73="Handysize",Main!ACL73,AAC73="Supramax",ACE73,AAC73="Panamax",ABX73,AAC73="NeoPanamax",ABQ73,AAC73="Suezmax",ABJ73,AAC73="Capesize",ABC73,AAC73="VLOC",AAV73)))))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T73" s="75" t="e">
        <f t="array" aca="1" ref="ADT73" ca="1">INDEX(Canals!$I$24:$I$29,MATCH(2,1/((Canals!$F$24:$F$29&lt;=$C73)*(Canals!$G$24:$G$29=_xlfn.IFS(AAC73="Handysize",Main!ACL73,AAC73="Supramax",ACE73,AAC73="Panamax",ABX73,AAC73="NeoPanamax",ABQ73,AAC73="Suezmax",ABJ73,AAC73="Capesize",ABC73,AAC73="VLOC",AAV73)))))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U73" s="75" t="e">
        <f t="array" aca="1" ref="ADU73" ca="1">INDEX(Canals!$J$24:$J$29,MATCH(2,1/((Canals!$F$24:$F$29&lt;=$C73)*(Canals!$G$24:$G$29=_xlfn.IFS(AAC73="Handysize",Main!ACL73,AAC73="Supramax",ACE73,AAC73="Panamax",ABX73,AAC73="NeoPanamax",ABQ73,AAC73="Suezmax",ABJ73,AAC73="Capesize",ABC73,AAC73="VLOC",AAV73)))))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V73" s="75" t="e">
        <f t="array" aca="1" ref="ADV73" ca="1">INDEX(Canals!$K$24:$K$29,MATCH(2,1/((Canals!$F$24:$F$29&lt;=$C73)*(Canals!$G$24:$G$29=_xlfn.IFS(AAC73="Handysize",Main!ACL73,AAC73="Supramax",ACE73,AAC73="Panamax",ABX73,AAC73="NeoPanamax",ABQ73,AAC73="Suezmax",ABJ73,AAC73="Capesize",ABC73,AAC73="VLOC",AAV73)))))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W73" s="75" t="e">
        <f t="array" aca="1" ref="ADW73" ca="1">INDEX(Canals!$L$24:$L$29,MATCH(2,1/((Canals!$F$24:$F$29&lt;=$C73)*(Canals!$G$24:$G$29=_xlfn.IFS(AAC73="Handysize",Main!ACL73,AAC73="Supramax",ACE73,AAC73="Panamax",ABX73,AAC73="NeoPanamax",ABQ73,AAC73="Suezmax",ABJ73,AAC73="Capesize",ABC73,AAC73="VLOC",AAV73)))))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X73" s="75" t="e">
        <f t="array" aca="1" ref="ADX73" ca="1">INDEX(Canals!$M$24:$M$29,MATCH(2,1/((Canals!$F$24:$F$29&lt;=$C73)*(Canals!$G$24:$G$29=_xlfn.IFS(AAC73="Handysize",Main!ACL73,AAC73="Supramax",ACE73,AAC73="Panamax",ABX73,AAC73="NeoPanamax",ABQ73,AAC73="Suezmax",ABJ73,AAC73="Capesize",ABC73,AAC73="VLOC",AAV73)))))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Y73" s="75" t="e">
        <f t="array" aca="1" ref="ADY73" ca="1">INDEX(Canals!$N$24:$N$29,MATCH(2,1/((Canals!$F$24:$F$29&lt;=$C73)*(Canals!$G$24:$G$29=_xlfn.IFS(AAC73="Handysize",Main!ACL73,AAC73="Supramax",ACE73,AAC73="Panamax",ABX73,AAC73="NeoPanamax",ABQ73,AAC73="Suezmax",ABJ73,AAC73="Capesize",ABC73,AAC73="VLOC",AAV73)))))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DZ73" s="75" t="e">
        <f t="array" aca="1" ref="ADZ73" ca="1">INDEX(Canals!$O$24:$O$29,MATCH(2,1/((Canals!$F$24:$F$29&lt;=$C73)*(Canals!$G$24:$G$29=_xlfn.IFS(AAC73="Handysize",Main!ACL73,AAC73="Supramax",ACE73,AAC73="Panamax",ABX73,AAC73="NeoPanamax",ABQ73,AAC73="Suezmax",ABJ73,AAC73="Capesize",ABC73,AAC73="VLOC",AAV73)))))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A73" s="75" t="e">
        <f t="array" aca="1" ref="AEA73" ca="1">INDEX(Canals!$P$24:$P$29,MATCH(2,1/((Canals!$F$24:$F$29&lt;=$C73)*(Canals!$G$24:$G$29=_xlfn.IFS(AAC73="Handysize",Main!ACL73,AAC73="Supramax",ACE73,AAC73="Panamax",ABX73,AAC73="NeoPanamax",ABQ73,AAC73="Suezmax",ABJ73,AAC73="Capesize",ABC73,AAC73="VLOC",AAV73)))))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B73" s="75" t="e">
        <f t="array" aca="1" ref="AEB73" ca="1">INDEX(Canals!$Q$24:$Q$29,MATCH(2,1/((Canals!$F$24:$F$29&lt;=$C73)*(Canals!$G$24:$G$29=_xlfn.IFS(AAC73="Handysize",Main!ACL73,AAC73="Supramax",ACE73,AAC73="Panamax",ABX73,AAC73="NeoPanamax",ABQ73,AAC73="Suezmax",ABJ73,AAC73="Capesize",ABC73,AAC73="VLOC",AAV73)))))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C73" s="75" t="e">
        <f t="array" aca="1" ref="AEC73" ca="1">INDEX(Canals!$R$24:$R$29,MATCH(2,1/((Canals!$F$24:$F$29&lt;=$C73)*(Canals!$G$24:$G$29=_xlfn.IFS(AAC73="Handysize",Main!ACL73,AAC73="Supramax",ACE73,AAC73="Panamax",ABX73,AAC73="NeoPanamax",ABQ73,AAC73="Suezmax",ABJ73,AAC73="Capesize",ABC73,AAC73="VLOC",AAV73)))))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D73" s="136" t="e">
        <f t="array" aca="1" ref="AED73" ca="1">INDEX(Canals!$S$24:$S$29,MATCH(2,1/((Canals!$F$24:$F$29&lt;=$C73)*(Canals!$G$24:$G$29=_xlfn.IFS(AAC73="Handysize",Main!ACL73,AAC73="Supramax",ACE73,AAC73="Panamax",ABX73,AAC73="NeoPanamax",ABQ73,AAC73="Suezmax",ABJ73,AAC73="Capesize",ABC73,AAC73="VLOC",AAV73)))))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E73" s="136" t="e">
        <f t="array" aca="1" ref="AEE73" ca="1">INDEX(Canals!$T$24:$T$29,MATCH(2,1/((Canals!$F$24:$F$29&lt;=$C73)*(Canals!$G$24:$G$29=_xlfn.IFS(AAC73="Handysize",Main!ACL73,AAC73="Supramax",ACE73,AAC73="Panamax",ABX73,AAC73="NeoPanamax",ABQ73,AAC73="Suezmax",ABJ73,AAC73="Capesize",ABC73,AAC73="VLOC",AAV73)))))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F73" s="136" t="e">
        <f t="array" aca="1" ref="AEF73" ca="1">INDEX(Canals!$U$24:$U$29,MATCH(2,1/((Canals!$F$24:$F$29&lt;=$C73)*(Canals!$G$24:$G$29=_xlfn.IFS(AAC73="Handysize",Main!ACL73,AAC73="Supramax",ACE73,AAC73="Panamax",ABX73,AAC73="NeoPanamax",ABQ73,AAC73="Suezmax",ABJ73,AAC73="Capesize",ABC73,AAC73="VLOC",AAV73)))))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G73" s="136" t="e">
        <f t="array" aca="1" ref="AEG73" ca="1">INDEX(Canals!$V$24:$V$29,MATCH(2,1/((Canals!$F$24:$F$29&lt;=$C73)*(Canals!$G$24:$G$29=_xlfn.IFS(AAC73="Handysize",Main!ACL73,AAC73="Supramax",ACE73,AAC73="Panamax",ABX73,AAC73="NeoPanamax",ABQ73,AAC73="Suezmax",ABJ73,AAC73="Capesize",ABC73,AAC73="VLOC",AAV73)))))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H73" s="136" t="e">
        <f t="array" aca="1" ref="AEH73" ca="1">INDEX(Canals!$W$24:$W$29,MATCH(2,1/((Canals!$F$24:$F$29&lt;=$C73)*(Canals!$G$24:$G$29=_xlfn.IFS(AAC73="Handysize",Main!ACL73,AAC73="Supramax",ACE73,AAC73="Panamax",ABX73,AAC73="NeoPanamax",ABQ73,AAC73="Suezmax",ABJ73,AAC73="Capesize",ABC73,AAC73="VLOC",AAV73)))))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I73" s="136" t="e">
        <f t="array" aca="1" ref="AEI73" ca="1">INDEX(Canals!$X$24:$X$29,MATCH(2,1/((Canals!$F$24:$F$29&lt;=$C73)*(Canals!$G$24:$G$29=_xlfn.IFS(AAC73="Handysize",Main!ACL73,AAC73="Supramax",ACE73,AAC73="Panamax",ABX73,AAC73="NeoPanamax",ABQ73,AAC73="Suezmax",ABJ73,AAC73="Capesize",ABC73,AAC73="VLOC",AAV73)))))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J73" s="136" t="e">
        <f t="array" aca="1" ref="AEJ73" ca="1">INDEX(Canals!$Y$24:$Y$29,MATCH(2,1/((Canals!$F$24:$F$29&lt;=$C73)*(Canals!$G$24:$G$29=_xlfn.IFS(AAC73="Handysize",Main!ACL73,AAC73="Supramax",ACE73,AAC73="Panamax",ABX73,AAC73="NeoPanamax",ABQ73,AAC73="Suezmax",ABJ73,AAC73="Capesize",ABC73,AAC73="VLOC",AAV73)))))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K73" s="136" t="e">
        <f t="array" aca="1" ref="AEK73" ca="1">INDEX(Canals!$Z$24:$Z$29,MATCH(2,1/((Canals!$F$24:$F$29&lt;=$C73)*(Canals!$G$24:$G$29=_xlfn.IFS(AAC73="Handysize",Main!ACL73,AAC73="Supramax",ACE73,AAC73="Panamax",ABX73,AAC73="NeoPanamax",ABQ73,AAC73="Suezmax",ABJ73,AAC73="Capesize",ABC73,AAC73="VLOC",AAV73)))))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L73" s="136" t="e">
        <f t="array" aca="1" ref="AEL73" ca="1">INDEX(Canals!$AA$24:$AA$29,MATCH(2,1/((Canals!$F$24:$F$29&lt;=$C73)*(Canals!$G$24:$G$29=_xlfn.IFS(AAC73="Handysize",Main!ACL73,AAC73="Supramax",ACE73,AAC73="Panamax",ABX73,AAC73="NeoPanamax",ABQ73,AAC73="Suezmax",ABJ73,AAC73="Capesize",ABC73,AAC73="VLOC",AAV73)))))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M73" s="136" t="e">
        <f t="array" aca="1" ref="AEM73" ca="1">INDEX(Canals!$AB$24:$AB$29,MATCH(2,1/((Canals!$F$24:$F$29&lt;=$C73)*(Canals!$G$24:$G$29=_xlfn.IFS(AAC73="Handysize",Main!ACL73,AAC73="Supramax",ACE73,AAC73="Panamax",ABX73,AAC73="NeoPanamax",ABQ73,AAC73="Suezmax",ABJ73,AAC73="Capesize",ABC73,AAC73="VLOC",AAV73)))))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N73" s="75" t="e">
        <f t="array" aca="1" ref="AEN73" ca="1">INDEX(Canals!$AC$24:$AC$29,MATCH(2,1/((Canals!$F$24:$F$29&lt;=$C73)*(Canals!$G$24:$G$29=_xlfn.IFS(AAC73="Handysize",Main!ACL73,AAC73="Supramax",ACE73,AAC73="Panamax",ABX73,AAC73="NeoPanamax",ABQ73,AAC73="Suezmax",ABJ73,AAC73="Capesize",ABC73,AAC73="VLOC",AAV73)))))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O73" s="75" t="e">
        <f t="array" aca="1" ref="AEO73" ca="1">INDEX(Canals!$AD$24:$AD$29,MATCH(2,1/((Canals!$F$24:$F$29&lt;=$C73)*(Canals!$G$24:$G$29=_xlfn.IFS(AAC73="Handysize",Main!ACL73,AAC73="Supramax",ACE73,AAC73="Panamax",ABX73,AAC73="NeoPanamax",ABQ73,AAC73="Suezmax",ABJ73,AAC73="Capesize",ABC73,AAC73="VLOC",AAV73)))))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P73" s="75" t="e">
        <f t="array" aca="1" ref="AEP73" ca="1">INDEX(Canals!$AE$24:$AE$29,MATCH(2,1/((Canals!$F$24:$F$29&lt;=$C73)*(Canals!$G$24:$G$29=_xlfn.IFS(AAC73="Handysize",Main!ACL73,AAC73="Supramax",ACE73,AAC73="Panamax",ABX73,AAC73="NeoPanamax",ABQ73,AAC73="Suezmax",ABJ73,AAC73="Capesize",ABC73,AAC73="VLOC",AAV73)))))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Q73" s="75" t="e">
        <f t="array" aca="1" ref="AEQ73" ca="1">INDEX(Canals!$AF$24:$AF$29,MATCH(2,1/((Canals!$F$24:$F$29&lt;=$C73)*(Canals!$G$24:$G$29=_xlfn.IFS(AAC73="Handysize",Main!ACL73,AAC73="Supramax",ACE73,AAC73="Panamax",ABX73,AAC73="NeoPanamax",ABQ73,AAC73="Suezmax",ABJ73,AAC73="Capesize",ABC73,AAC73="VLOC",AAV73)))))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R73" s="75" t="e">
        <f t="array" aca="1" ref="AER73" ca="1">INDEX(Canals!$AG$24:$AG$29,MATCH(2,1/((Canals!$F$24:$F$29&lt;=$C73)*(Canals!$G$24:$G$29=_xlfn.IFS(AAC73="Handysize",Main!ACL73,AAC73="Supramax",ACE73,AAC73="Panamax",ABX73,AAC73="NeoPanamax",ABQ73,AAC73="Suezmax",ABJ73,AAC73="Capesize",ABC73,AAC73="VLOC",AAV73)))))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S73" s="75" t="e">
        <f t="array" aca="1" ref="AES73" ca="1">INDEX(Canals!$AH$24:$AH$29,MATCH(2,1/((Canals!$F$24:$F$29&lt;=$C73)*(Canals!$G$24:$G$29=_xlfn.IFS(AAC73="Handysize",Main!ACL73,AAC73="Supramax",ACE73,AAC73="Panamax",ABX73,AAC73="NeoPanamax",ABQ73,AAC73="Suezmax",ABJ73,AAC73="Capesize",ABC73,AAC73="VLOC",AAV73)))))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T73" s="75" t="e">
        <f t="array" aca="1" ref="AET73" ca="1">INDEX(Canals!$AI$24:$AI$29,MATCH(2,1/((Canals!$F$24:$F$29&lt;=$C73)*(Canals!$G$24:$G$29=_xlfn.IFS(AAC73="Handysize",Main!ACL73,AAC73="Supramax",ACE73,AAC73="Panamax",ABX73,AAC73="NeoPanamax",ABQ73,AAC73="Suezmax",ABJ73,AAC73="Capesize",ABC73,AAC73="VLOC",AAV73)))))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U73" s="75" t="e">
        <f t="array" aca="1" ref="AEU73" ca="1">INDEX(Canals!$AJ$24:$AJ$29,MATCH(2,1/((Canals!$F$24:$F$29&lt;=$C73)*(Canals!$G$24:$G$29=_xlfn.IFS(AAC73="Handysize",Main!ACL73,AAC73="Supramax",ACE73,AAC73="Panamax",ABX73,AAC73="NeoPanamax",ABQ73,AAC73="Suezmax",ABJ73,AAC73="Capesize",ABC73,AAC73="VLOC",AAV73)))))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V73" s="75" t="e">
        <f t="array" aca="1" ref="AEV73" ca="1">INDEX(Canals!$AK$24:$AK$29,MATCH(2,1/((Canals!$F$24:$F$29&lt;=$C73)*(Canals!$G$24:$G$29=_xlfn.IFS(AAC73="Handysize",Main!ACL73,AAC73="Supramax",ACE73,AAC73="Panamax",ABX73,AAC73="NeoPanamax",ABQ73,AAC73="Suezmax",ABJ73,AAC73="Capesize",ABC73,AAC73="VLOC",AAV73)))))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W73" s="136" t="e">
        <f t="array" aca="1" ref="AEW73" ca="1">INDEX(Canals!$AL$24:$AL$29,MATCH(2,1/((Canals!$F$24:$F$29&lt;=$C73)*(Canals!$G$24:$G$29=_xlfn.IFS(AAC73="Handysize",Main!ACL73,AAC73="Supramax",ACE73,AAC73="Panamax",ABX73,AAC73="NeoPanamax",ABQ73,AAC73="Suezmax",ABJ73,AAC73="Capesize",ABC73,AAC73="VLOC",AAV73)))))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X73" s="136" t="e">
        <f t="array" aca="1" ref="AEX73" ca="1">INDEX(Canals!$AM$24:$AM$29,MATCH(2,1/((Canals!$F$24:$F$29&lt;=$C73)*(Canals!$G$24:$G$29=_xlfn.IFS(AAC73="Handysize",Main!ACL73,AAC73="Supramax",ACE73,AAC73="Panamax",ABX73,AAC73="NeoPanamax",ABQ73,AAC73="Suezmax",ABJ73,AAC73="Capesize",ABC73,AAC73="VLOC",AAV73)))))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Y73" s="136" t="e">
        <f t="array" aca="1" ref="AEY73" ca="1">INDEX(Canals!$AN$24:$AN$29,MATCH(2,1/((Canals!$F$24:$F$29&lt;=$C73)*(Canals!$G$24:$G$29=_xlfn.IFS(AAC73="Handysize",Main!ACL73,AAC73="Supramax",ACE73,AAC73="Panamax",ABX73,AAC73="NeoPanamax",ABQ73,AAC73="Suezmax",ABJ73,AAC73="Capesize",ABC73,AAC73="VLOC",AAV73)))))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EZ73" s="136" t="e">
        <f t="array" aca="1" ref="AEZ73" ca="1">INDEX(Canals!$AO$24:$AO$29,MATCH(2,1/((Canals!$F$24:$F$29&lt;=$C73)*(Canals!$G$24:$G$29=_xlfn.IFS(AAC73="Handysize",Main!ACL73,AAC73="Supramax",ACE73,AAC73="Panamax",ABX73,AAC73="NeoPanamax",ABQ73,AAC73="Suezmax",ABJ73,AAC73="Capesize",ABC73,AAC73="VLOC",AAV73)))))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A73" s="136" t="e">
        <f t="array" aca="1" ref="AFA73" ca="1">INDEX(Canals!$AP$24:$AP$29,MATCH(2,1/((Canals!$F$24:$F$29&lt;=$C73)*(Canals!$G$24:$G$29=_xlfn.IFS(AAC73="Handysize",Main!ACL73,AAC73="Supramax",ACE73,AAC73="Panamax",ABX73,AAC73="NeoPanamax",ABQ73,AAC73="Suezmax",ABJ73,AAC73="Capesize",ABC73,AAC73="VLOC",AAV73)))))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B73" s="136" t="e">
        <f t="array" aca="1" ref="AFB73" ca="1">INDEX(Canals!$AQ$24:$AQ$29,MATCH(2,1/((Canals!$F$24:$F$29&lt;=$C73)*(Canals!$G$24:$G$29=_xlfn.IFS(AAC73="Handysize",Main!ACL73,AAC73="Supramax",ACE73,AAC73="Panamax",ABX73,AAC73="NeoPanamax",ABQ73,AAC73="Suezmax",ABJ73,AAC73="Capesize",ABC73,AAC73="VLOC",AAV73)))))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C73" s="136" t="e">
        <f t="array" aca="1" ref="AFC73" ca="1">INDEX(Canals!$AR$24:$AR$29,MATCH(2,1/((Canals!$F$24:$F$29&lt;=$C73)*(Canals!$G$24:$G$29=_xlfn.IFS(AAC73="Handysize",Main!ACL73,AAC73="Supramax",ACE73,AAC73="Panamax",ABX73,AAC73="NeoPanamax",ABQ73,AAC73="Suezmax",ABJ73,AAC73="Capesize",ABC73,AAC73="VLOC",AAV73)))))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D73" s="136" t="e">
        <f t="array" aca="1" ref="AFD73" ca="1">INDEX(Canals!$AS$24:$AS$29,MATCH(2,1/((Canals!$F$24:$F$29&lt;=$C73)*(Canals!$G$24:$G$29=_xlfn.IFS(AAC73="Handysize",Main!ACL73,AAC73="Supramax",ACE73,AAC73="Panamax",ABX73,AAC73="NeoPanamax",ABQ73,AAC73="Suezmax",ABJ73,AAC73="Capesize",ABC73,AAC73="VLOC",AAV73)))))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E73" s="136" t="e">
        <f t="array" aca="1" ref="AFE73" ca="1">INDEX(Canals!$AT$24:$AT$29,MATCH(2,1/((Canals!$F$24:$F$29&lt;=$C73)*(Canals!$G$24:$G$29=_xlfn.IFS(AAC73="Handysize",Main!ACL73,AAC73="Supramax",ACE73,AAC73="Panamax",ABX73,AAC73="NeoPanamax",ABQ73,AAC73="Suezmax",ABJ73,AAC73="Capesize",ABC73,AAC73="VLOC",AAV73)))))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F73" s="136" t="e">
        <f t="array" aca="1" ref="AFF73" ca="1">INDEX(Canals!$AU$24:$AU$29,MATCH(2,1/((Canals!$F$24:$F$29&lt;=$C73)*(Canals!$G$24:$G$29=_xlfn.IFS(AAC73="Handysize",Main!ACL73,AAC73="Supramax",ACE73,AAC73="Panamax",ABX73,AAC73="NeoPanamax",ABQ73,AAC73="Suezmax",ABJ73,AAC73="Capesize",ABC73,AAC73="VLOC",AAV73)))))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G73" s="136" t="e">
        <f t="array" aca="1" ref="AFG73" ca="1">INDEX(Canals!$AV$24:$AV$29,MATCH(2,1/((Canals!$F$24:$F$29&lt;=$C73)*(Canals!$G$24:$G$29=_xlfn.IFS(AAC73="Handysize",Main!ACL73,AAC73="Supramax",ACE73,AAC73="Panamax",ABX73,AAC73="NeoPanamax",ABQ73,AAC73="Suezmax",ABJ73,AAC73="Capesize",ABC73,AAC73="VLOC",AAV73)))))</f>
        <v>#N/A</v>
      </c>
      <c r="AFI73" s="75" t="e">
        <f t="array" aca="1" ref="AFI73" ca="1">_xlfn.IFS(ADT73="DWT",AAA73,ADT73="NRT",AAE73,ADT73="GRT",AAF73)</f>
        <v>#NAME?</v>
      </c>
      <c r="AFJ73" s="279" t="e">
        <f t="shared" ca="1" si="890"/>
        <v>#NAME?</v>
      </c>
      <c r="AFK73" s="280" t="e">
        <f t="shared" ca="1" si="891"/>
        <v>#NAME?</v>
      </c>
      <c r="AFL73" s="280" t="e">
        <f t="shared" ca="1" si="892"/>
        <v>#NAME?</v>
      </c>
      <c r="AFM73" s="280" t="e">
        <f t="shared" ca="1" si="893"/>
        <v>#NAME?</v>
      </c>
      <c r="AFN73" s="280" t="e">
        <f t="shared" ca="1" si="894"/>
        <v>#NAME?</v>
      </c>
      <c r="AFO73" s="280" t="e">
        <f t="shared" ca="1" si="895"/>
        <v>#NAME?</v>
      </c>
      <c r="AFP73" s="280" t="e">
        <f t="shared" ca="1" si="896"/>
        <v>#NAME?</v>
      </c>
      <c r="AFQ73" s="280" t="e">
        <f t="shared" ca="1" si="897"/>
        <v>#NAME?</v>
      </c>
      <c r="AFR73" s="280" t="e">
        <f t="shared" ca="1" si="898"/>
        <v>#NAME?</v>
      </c>
      <c r="AFS73" s="75">
        <f t="shared" si="899"/>
        <v>90588.23529411765</v>
      </c>
      <c r="AFT73" s="279" t="e">
        <f t="shared" ca="1" si="900"/>
        <v>#N/A</v>
      </c>
      <c r="AFU73" s="280" t="e">
        <f t="shared" ca="1" si="901"/>
        <v>#N/A</v>
      </c>
      <c r="AFV73" s="280" t="e">
        <f t="shared" ca="1" si="902"/>
        <v>#N/A</v>
      </c>
      <c r="AFW73" s="280" t="e">
        <f t="shared" ca="1" si="903"/>
        <v>#N/A</v>
      </c>
      <c r="AFX73" s="280" t="e">
        <f t="shared" ca="1" si="904"/>
        <v>#N/A</v>
      </c>
      <c r="AFY73" s="280" t="e">
        <f t="shared" ca="1" si="905"/>
        <v>#N/A</v>
      </c>
      <c r="AFZ73" s="280" t="e">
        <f t="shared" ca="1" si="906"/>
        <v>#N/A</v>
      </c>
      <c r="AGA73" s="280" t="e">
        <f t="shared" ca="1" si="907"/>
        <v>#N/A</v>
      </c>
      <c r="AGB73" s="280" t="e">
        <f t="shared" ca="1" si="908"/>
        <v>#N/A</v>
      </c>
      <c r="AGD73" s="75" t="e">
        <f t="array" aca="1" ref="AGD73" ca="1">_xlfn.IFS(AAC73="Handysize",Main!ACF73,AAC73="Supramax",ABY73,AAC73="Panamax",ABR73,AAC73="NeoPanamax",ABK73,AAC73="Suezmax",ABD73,AAC73="Capesize",AAW73,AAC73="VLOC",AAP73)*$JI73</f>
        <v>#NAME?</v>
      </c>
      <c r="AGE73" s="274" t="e">
        <f t="array" aca="1" ref="AGE73" ca="1">_xlfn.IFS(AAC73="Handysize",Main!ACG73,AAC73="Supramax",ABZ73,AAC73="Panamax",ABS73,AAC73="NeoPanamax",ABL73,AAC73="Suezmax",ABE73,AAC73="Capesize",AAX73,AAC73="VLOC",AAQ73)*$JI73</f>
        <v>#NAME?</v>
      </c>
      <c r="AGF73" s="71" t="e">
        <f t="array" aca="1" ref="AGF73" ca="1">_xlfn.IFS(AAC73="Handysize",Main!AAH73,AAC73="Supramax",AAI73,AAC73="Panamax",AAJ73,AAC73="NeoPanamax",AAK73,AAC73="Suezmax",AAL73,AAC73="Capesize",AAM73,AAC73="VLOC",AAN73)</f>
        <v>#NAME?</v>
      </c>
      <c r="AGG73" s="71" t="e">
        <f t="array" aca="1" ref="AGG73" ca="1">_xlfn.IFS(AAC73="Handysize",Main!ACT73,AAC73="Supramax",ACU73,AAC73="Panamax",ACV73,AAC73="NeoPanamax",ACW73,AAC73="Suezmax",ACX73,AAC73="Capesize",ACY73,AAC73="VLOC",ACZ73)</f>
        <v>#NAME?</v>
      </c>
      <c r="AGH73" s="70">
        <f t="array" ref="AGH73">INDEX('Ship Speeds'!$G$11:$G$1011,MATCH(2,1/(('Ship Speeds'!$E$11:$E$1011&lt;=Main!$C73)*('Ship Speeds'!$F$11:$F$1011=Main!AAB73))))</f>
        <v>11</v>
      </c>
      <c r="AGI73" s="403">
        <f t="shared" si="909"/>
        <v>23.70260984288554</v>
      </c>
      <c r="AGJ73" s="401">
        <f t="shared" si="910"/>
        <v>2.1922895927601811</v>
      </c>
      <c r="AGK73" s="70" t="e">
        <f t="shared" ca="1" si="911"/>
        <v>#NAME?</v>
      </c>
      <c r="AGL73" s="70" t="e">
        <f t="shared" ca="1" si="912"/>
        <v>#NAME?</v>
      </c>
      <c r="AGM73" s="70" t="e">
        <f t="shared" ca="1" si="913"/>
        <v>#NAME?</v>
      </c>
      <c r="AGN73" s="70" t="e">
        <f t="shared" ca="1" si="914"/>
        <v>#NAME?</v>
      </c>
      <c r="AGO73" s="72" t="e">
        <f t="shared" ca="1" si="915"/>
        <v>#N/A</v>
      </c>
      <c r="AGP73" s="70" t="e">
        <f t="shared" ca="1" si="916"/>
        <v>#NAME?</v>
      </c>
      <c r="AGQ73" s="70" t="e">
        <f t="array" aca="1" ref="AGQ73" ca="1">INDEX(ACN73:ACR73,MATCH(_xlfn.IFS(AAC73="Handysize",Main!ACJ73,AAC73="Supramax",ACC73,AAC73="Panamax",ABV73,AAC73="NeoPanamax",ABO73,AAC73="Suezmax",ABH73,AAC73="Capesize",ABA73,AAC73="VLOC",AAT73),$ACN$7:$ACR$7,0))</f>
        <v>#NAME?</v>
      </c>
      <c r="AGR73" s="70" t="e">
        <f t="array" aca="1" ref="AGR73" ca="1">INDEX(ACN73:ACR73,MATCH(_xlfn.IFS(AAC73="Handysize",Main!ACK73,AAC73="Supramax",ACD73,AAC73="Panamax",ABW73,AAC73="NeoPanamax",ABP73,AAC73="Suezmax",ABI73,AAC73="Capesize",ABB73,AAC73="VLOC",AAU73),$ACN$7:$ACR$7,0))</f>
        <v>#NAME?</v>
      </c>
      <c r="AGS73" s="71" t="e">
        <f t="shared" ca="1" si="917"/>
        <v>#NAME?</v>
      </c>
      <c r="AGT73" s="71" t="e">
        <f t="shared" ca="1" si="918"/>
        <v>#NAME?</v>
      </c>
      <c r="AGU73" s="281">
        <f t="shared" si="919"/>
        <v>7.0834199999999994</v>
      </c>
      <c r="AGV73" s="71">
        <f t="shared" si="920"/>
        <v>1742.3786814843679</v>
      </c>
      <c r="AGW73" s="71" t="e">
        <f t="shared" ca="1" si="921"/>
        <v>#NAME?</v>
      </c>
      <c r="AGX73" s="71" t="e">
        <f t="shared" ca="1" si="922"/>
        <v>#NAME?</v>
      </c>
      <c r="AGY73" s="71">
        <f t="shared" si="923"/>
        <v>33762.355073745537</v>
      </c>
      <c r="AGZ73" s="71" t="e">
        <f t="shared" ca="1" si="924"/>
        <v>#NAME?</v>
      </c>
      <c r="AHA73" s="71" t="e">
        <f t="shared" ca="1" si="925"/>
        <v>#NAME?</v>
      </c>
      <c r="AHB73" s="71">
        <f t="shared" si="926"/>
        <v>23969.461999406663</v>
      </c>
      <c r="AHC73" s="71" t="e">
        <f t="shared" ca="1" si="927"/>
        <v>#NAME?</v>
      </c>
      <c r="AHD73" s="71" t="e">
        <f t="shared" ca="1" si="928"/>
        <v>#NAME?</v>
      </c>
      <c r="AHE73" s="71">
        <f t="shared" si="929"/>
        <v>0</v>
      </c>
      <c r="AHF73" s="71" t="e">
        <f t="shared" ca="1" si="930"/>
        <v>#NAME?</v>
      </c>
      <c r="AHG73" s="71" t="e">
        <f t="shared" ca="1" si="931"/>
        <v>#NAME?</v>
      </c>
      <c r="AHH73" s="72">
        <f t="shared" si="932"/>
        <v>6313.2298390872393</v>
      </c>
      <c r="AHI73" s="72" t="e">
        <f t="shared" ca="1" si="933"/>
        <v>#NAME?</v>
      </c>
      <c r="AHJ73" s="71" t="e">
        <f t="shared" ca="1" si="934"/>
        <v>#NAME?</v>
      </c>
      <c r="AHK73" s="71" t="e">
        <f t="array" aca="1" ref="AHK73" ca="1">INDEX('Ship Time Charter Rates'!$H$22:$H$1021,MATCH(2,1/(('Ship Time Charter Rates'!$G$22:$G$1021=_xlfn.IFS(AAC73="Handysize",Main!ACH73,AAC73="Supramax",ACA73,AAC73="Panamax",ABT73,AAC73="NeoPanamax",ABM73,AAC73="Suezmax",ABF73,AAC73="Capesize",AAY73,AAC73="VLOC",AAR73))*('Ship Time Charter Rates'!$E$22:$E$1021&lt;=Main!$C73)*(NOT(ISBLANK('Ship Time Charter Rates'!$H$22:$H$1021))))))</f>
        <v>#N/A</v>
      </c>
      <c r="AHL73" s="71" t="e">
        <f t="shared" ca="1" si="935"/>
        <v>#NAME?</v>
      </c>
      <c r="AHM73" s="70" t="e">
        <f t="shared" ca="1" si="936"/>
        <v>#N/A</v>
      </c>
      <c r="AHN73" s="71" t="e">
        <f t="shared" ca="1" si="937"/>
        <v>#NAME?</v>
      </c>
      <c r="AHO73" s="71" t="e">
        <f t="shared" ca="1" si="938"/>
        <v>#NAME?</v>
      </c>
      <c r="AHP73" s="72" t="e">
        <f t="shared" ca="1" si="939"/>
        <v>#NAME?</v>
      </c>
      <c r="AHR73" s="25">
        <f t="shared" si="940"/>
        <v>0</v>
      </c>
      <c r="AHS73" s="4" t="str">
        <f>VLOOKUP(AHR73,'Ship Time Charter Rates'!$F$10:$G$17,2,TRUE)</f>
        <v>Handysize</v>
      </c>
      <c r="AHT73" s="4" t="str">
        <f>VLOOKUP(AHR73,Canals!$E$5:$F$12,2,TRUE)</f>
        <v>Handysize</v>
      </c>
      <c r="AHU73" s="25">
        <f t="shared" si="941"/>
        <v>145.88999999999999</v>
      </c>
      <c r="AHV73" s="25">
        <f t="shared" si="942"/>
        <v>0</v>
      </c>
      <c r="AHW73" s="25">
        <f t="shared" si="943"/>
        <v>4797</v>
      </c>
      <c r="AHY73" s="75">
        <f t="array" ref="AHY73">INDEX('Indices Mines Exporting Ports'!$R$20:$R$51,MATCH(2,1/(('Indices Mines Exporting Ports'!$D$20:$D$51&lt;=Main!$C73)*('Indices Mines Exporting Ports'!$Q$20:$Q$51=$AQ73))))</f>
        <v>0</v>
      </c>
      <c r="AHZ73" s="75">
        <f t="array" ref="AHZ73">INDEX('Indices Mines Exporting Ports'!$S$20:$S$51,MATCH(2,1/(('Indices Mines Exporting Ports'!$D$20:$D$51&lt;=Main!$C73)*('Indices Mines Exporting Ports'!$Q$20:$Q$51=$AQ73))))</f>
        <v>0</v>
      </c>
      <c r="AIA73" s="75">
        <f t="array" ref="AIA73">INDEX('Indices Mines Exporting Ports'!$T$20:$T$51,MATCH(2,1/(('Indices Mines Exporting Ports'!$D$20:$D$51&lt;=Main!$C73)*('Indices Mines Exporting Ports'!$Q$20:$Q$51=$AQ73))))</f>
        <v>0</v>
      </c>
      <c r="AIB73" s="75">
        <f t="array" ref="AIB73">INDEX('Indices Mines Exporting Ports'!$U$20:$U$51,MATCH(2,1/(('Indices Mines Exporting Ports'!$D$20:$D$51&lt;=Main!$C73)*('Indices Mines Exporting Ports'!$Q$20:$Q$51=$AQ73))))</f>
        <v>0</v>
      </c>
      <c r="AIC73" s="75">
        <f t="array" ref="AIC73">INDEX('Indices Mines Exporting Ports'!$V$20:$V$51,MATCH(2,1/(('Indices Mines Exporting Ports'!$D$20:$D$51&lt;=Main!$C73)*('Indices Mines Exporting Ports'!$Q$20:$Q$51=$AQ73))))</f>
        <v>0</v>
      </c>
      <c r="AID73" s="75">
        <f t="array" ref="AID73">INDEX('Indices Mines Exporting Ports'!$W$20:$W$51,MATCH(2,1/(('Indices Mines Exporting Ports'!$D$20:$D$51&lt;=Main!$C73)*('Indices Mines Exporting Ports'!$Q$20:$Q$51=$AQ73))))</f>
        <v>0</v>
      </c>
      <c r="AIE73" s="75">
        <f t="array" ref="AIE73">INDEX('Indices Mines Exporting Ports'!$X$20:$X$51,MATCH(2,1/(('Indices Mines Exporting Ports'!$D$20:$D$51&lt;=Main!$C73)*('Indices Mines Exporting Ports'!$Q$20:$Q$51=$AQ73))))</f>
        <v>0</v>
      </c>
      <c r="AIG73" s="75">
        <f t="array" ref="AIG73">INDEX('Port Linkages'!$E$18:$E$157,MATCH(2,1/(('Port Linkages'!$C$18:$C$157=$AQ73)*('Port Linkages'!$D$18:$D$157=IF($AO73="no",$AQ73,$KK73))*('Port Linkages'!$A$18:$A$157&lt;=$C73))))</f>
        <v>0</v>
      </c>
      <c r="AIH73" s="75">
        <f t="array" ref="AIH73">INDEX('Port Linkages'!$F$18:$F$157,MATCH(2,1/(('Port Linkages'!$C$18:$C$157=$AQ73)*('Port Linkages'!$D$18:$D$157=IF($AO73="no",$AQ73,$KK73))*('Port Linkages'!$A$18:$A$157&lt;=$C73))))</f>
        <v>0</v>
      </c>
      <c r="AII73" s="75">
        <f t="array" ref="AII73">INDEX('Port Linkages'!$G$18:$G$157,MATCH(2,1/(('Port Linkages'!$C$18:$C$157=$AQ73)*('Port Linkages'!$D$18:$D$157=IF($AO73="no",$AQ73,$KK73))*('Port Linkages'!$A$18:$A$157&lt;=$C73))))</f>
        <v>0</v>
      </c>
      <c r="AIJ73" s="75">
        <f t="array" ref="AIJ73">INDEX('Port Linkages'!$H$18:$H$157,MATCH(2,1/(('Port Linkages'!$C$18:$C$157=$AQ73)*('Port Linkages'!$D$18:$D$157=IF($AO73="no",$AQ73,$KK73))*('Port Linkages'!$A$18:$A$157&lt;=$C73))))</f>
        <v>0</v>
      </c>
      <c r="AIK73" s="75">
        <f t="array" ref="AIK73">INDEX('Port Linkages'!$I$18:$I$157,MATCH(2,1/(('Port Linkages'!$C$18:$C$157=$AQ73)*('Port Linkages'!$D$18:$D$157=IF($AO73="no",$AQ73,$KK73))*('Port Linkages'!$A$18:$A$157&lt;=$C73))))</f>
        <v>0</v>
      </c>
      <c r="AIL73" s="75">
        <f t="array" ref="AIL73">INDEX('Port Linkages'!$J$18:$J$157,MATCH(2,1/(('Port Linkages'!$C$18:$C$157=$AQ73)*('Port Linkages'!$D$18:$D$157=IF($AO73="no",$AQ73,$KK73))*('Port Linkages'!$A$18:$A$157&lt;=$C73))))</f>
        <v>0</v>
      </c>
      <c r="AIM73" s="75">
        <f t="array" ref="AIM73">INDEX('Port Linkages'!$K$18:$K$157,MATCH(2,1/(('Port Linkages'!$C$18:$C$157=$AQ73)*('Port Linkages'!$D$18:$D$157=IF($AO73="no",$AQ73,$KK73))*('Port Linkages'!$A$18:$A$157&lt;=$C73))))</f>
        <v>0</v>
      </c>
      <c r="AIN73" s="75">
        <f t="array" ref="AIN73">INDEX('Port Linkages'!$L$18:$L$157,MATCH(2,1/(('Port Linkages'!$C$18:$C$157=$AQ73)*('Port Linkages'!$D$18:$D$157=IF($AO73="no",$AQ73,$KK73))*('Port Linkages'!$A$18:$A$157&lt;=$C73))))</f>
        <v>0</v>
      </c>
      <c r="AIO73" s="75">
        <f t="array" ref="AIO73">INDEX('Port Linkages'!$M$18:$M$157,MATCH(2,1/(('Port Linkages'!$C$18:$C$157=$AQ73)*('Port Linkages'!$D$18:$D$157=IF($AO73="no",$AQ73,$KK73))*('Port Linkages'!$A$18:$A$157&lt;=$C73))))</f>
        <v>0</v>
      </c>
      <c r="AIP73" s="75">
        <f t="array" ref="AIP73">INDEX('Port Linkages'!$N$18:$N$157,MATCH(2,1/(('Port Linkages'!$C$18:$C$157=$AQ73)*('Port Linkages'!$D$18:$D$157=IF($AO73="no",$AQ73,$KK73))*('Port Linkages'!$A$18:$A$157&lt;=$C73))))</f>
        <v>0</v>
      </c>
      <c r="AIQ73" s="75">
        <f t="array" ref="AIQ73">INDEX('Port Linkages'!$O$18:$O$157,MATCH(2,1/(('Port Linkages'!$C$18:$C$157=$AQ73)*('Port Linkages'!$D$18:$D$157=IF($AO73="no",$AQ73,$KK73))*('Port Linkages'!$A$18:$A$157&lt;=$C73))))</f>
        <v>0</v>
      </c>
      <c r="AIR73" s="75">
        <f t="array" ref="AIR73">INDEX('Port Linkages'!$P$18:$P$157,MATCH(2,1/(('Port Linkages'!$C$18:$C$157=$AQ73)*('Port Linkages'!$D$18:$D$157=IF($AO73="no",$AQ73,$KK73))*('Port Linkages'!$A$18:$A$157&lt;=$C73))))</f>
        <v>0</v>
      </c>
      <c r="AIS73" s="75">
        <f t="array" ref="AIS73">INDEX('Port Linkages'!$Q$18:$Q$157,MATCH(2,1/(('Port Linkages'!$C$18:$C$157=$AQ73)*('Port Linkages'!$D$18:$D$157=IF($AO73="no",$AQ73,$KK73))*('Port Linkages'!$A$18:$A$157&lt;=$C73))))</f>
        <v>0</v>
      </c>
      <c r="AIT73" s="75">
        <f t="array" ref="AIT73">INDEX('Port Linkages'!$R$18:$R$157,MATCH(2,1/(('Port Linkages'!$C$18:$C$157=$AQ73)*('Port Linkages'!$D$18:$D$157=IF($AO73="no",$AQ73,$KK73))*('Port Linkages'!$A$18:$A$157&lt;=$C73))))</f>
        <v>0</v>
      </c>
      <c r="AIU73" s="75">
        <f t="array" ref="AIU73">INDEX('Port Linkages'!$S$18:$S$157,MATCH(2,1/(('Port Linkages'!$C$18:$C$157=$AQ73)*('Port Linkages'!$D$18:$D$157=IF($AO73="no",$AQ73,$KK73))*('Port Linkages'!$A$18:$A$157&lt;=$C73))))</f>
        <v>0</v>
      </c>
      <c r="AIV73" s="75">
        <f t="array" ref="AIV73">INDEX('Port Linkages'!$T$18:$T$157,MATCH(2,1/(('Port Linkages'!$C$18:$C$157=$AQ73)*('Port Linkages'!$D$18:$D$157=IF($AO73="no",$AQ73,$KK73))*('Port Linkages'!$A$18:$A$157&lt;=$C73))))</f>
        <v>0</v>
      </c>
      <c r="AIW73" s="75">
        <f t="array" ref="AIW73">INDEX('Port Linkages'!$U$18:$U$157,MATCH(2,1/(('Port Linkages'!$C$18:$C$157=$AQ73)*('Port Linkages'!$D$18:$D$157=IF($AO73="no",$AQ73,$KK73))*('Port Linkages'!$A$18:$A$157&lt;=$C73))))</f>
        <v>0</v>
      </c>
      <c r="AIX73" s="75">
        <f t="array" ref="AIX73">INDEX('Port Linkages'!$V$18:$V$157,MATCH(2,1/(('Port Linkages'!$C$18:$C$157=$AQ73)*('Port Linkages'!$D$18:$D$157=IF($AO73="no",$AQ73,$KK73))*('Port Linkages'!$A$18:$A$157&lt;=$C73))))</f>
        <v>0</v>
      </c>
      <c r="AIY73" s="75">
        <f t="array" ref="AIY73">INDEX('Port Linkages'!$W$18:$W$157,MATCH(2,1/(('Port Linkages'!$C$18:$C$157=$AQ73)*('Port Linkages'!$D$18:$D$157=IF($AO73="no",$AQ73,$KK73))*('Port Linkages'!$A$18:$A$157&lt;=$C73))))</f>
        <v>0</v>
      </c>
      <c r="AIZ73" s="75">
        <f t="array" ref="AIZ73">INDEX('Port Linkages'!$X$18:$X$157,MATCH(2,1/(('Port Linkages'!$C$18:$C$157=$AQ73)*('Port Linkages'!$D$18:$D$157=IF($AO73="no",$AQ73,$KK73))*('Port Linkages'!$A$18:$A$157&lt;=$C73))))</f>
        <v>0</v>
      </c>
      <c r="AJA73" s="75">
        <f t="array" ref="AJA73">INDEX('Port Linkages'!$Y$18:$Y$157,MATCH(2,1/(('Port Linkages'!$C$18:$C$157=$AQ73)*('Port Linkages'!$D$18:$D$157=IF($AO73="no",$AQ73,$KK73))*('Port Linkages'!$A$18:$A$157&lt;=$C73))))</f>
        <v>0</v>
      </c>
      <c r="AJB73" s="75">
        <f t="array" ref="AJB73">INDEX('Port Linkages'!$Z$18:$Z$157,MATCH(2,1/(('Port Linkages'!$C$18:$C$157=$AQ73)*('Port Linkages'!$D$18:$D$157=IF($AO73="no",$AQ73,$KK73))*('Port Linkages'!$A$18:$A$157&lt;=$C73))))</f>
        <v>0</v>
      </c>
      <c r="AJC73" s="75">
        <f t="array" ref="AJC73">INDEX('Port Linkages'!$AA$18:$AA$157,MATCH(2,1/(('Port Linkages'!$C$18:$C$157=$AQ73)*('Port Linkages'!$D$18:$D$157=IF($AO73="no",$AQ73,$KK73))*('Port Linkages'!$A$18:$A$157&lt;=$C73))))</f>
        <v>0</v>
      </c>
      <c r="AJD73" s="75">
        <f t="array" ref="AJD73">INDEX('Port Linkages'!$AB$18:$AB$157,MATCH(2,1/(('Port Linkages'!$C$18:$C$157=$AQ73)*('Port Linkages'!$D$18:$D$157=IF($AO73="no",$AQ73,$KK73))*('Port Linkages'!$A$18:$A$157&lt;=$C73))))</f>
        <v>0</v>
      </c>
      <c r="AJE73" s="75">
        <f t="array" ref="AJE73">INDEX('Port Linkages'!$AC$18:$AC$157,MATCH(2,1/(('Port Linkages'!$C$18:$C$157=$AQ73)*('Port Linkages'!$D$18:$D$157=IF($AO73="no",$AQ73,$KK73))*('Port Linkages'!$A$18:$A$157&lt;=$C73))))</f>
        <v>0</v>
      </c>
      <c r="AJF73" s="75">
        <f t="array" ref="AJF73">INDEX('Port Linkages'!$AD$18:$AD$157,MATCH(2,1/(('Port Linkages'!$C$18:$C$157=$AQ73)*('Port Linkages'!$D$18:$D$157=IF($AO73="no",$AQ73,$KK73))*('Port Linkages'!$A$18:$A$157&lt;=$C73))))</f>
        <v>0</v>
      </c>
      <c r="AJG73" s="75">
        <f t="array" ref="AJG73">INDEX('Port Linkages'!$AE$18:$AE$157,MATCH(2,1/(('Port Linkages'!$C$18:$C$157=$AQ73)*('Port Linkages'!$D$18:$D$157=IF($AO73="no",$AQ73,$KK73))*('Port Linkages'!$A$18:$A$157&lt;=$C73))))</f>
        <v>0</v>
      </c>
      <c r="AJH73" s="75">
        <f t="array" ref="AJH73">INDEX('Port Linkages'!$AF$18:$AF$157,MATCH(2,1/(('Port Linkages'!$C$18:$C$157=$AQ73)*('Port Linkages'!$D$18:$D$157=IF($AO73="no",$AQ73,$KK73))*('Port Linkages'!$A$18:$A$157&lt;=$C73))))</f>
        <v>0</v>
      </c>
      <c r="AJI73" s="75">
        <f t="array" ref="AJI73">INDEX('Port Linkages'!$AG$18:$AG$157,MATCH(2,1/(('Port Linkages'!$C$18:$C$157=$AQ73)*('Port Linkages'!$D$18:$D$157=IF($AO73="no",$AQ73,$KK73))*('Port Linkages'!$A$18:$A$157&lt;=$C73))))</f>
        <v>0</v>
      </c>
      <c r="AJJ73" s="75">
        <f t="array" ref="AJJ73">INDEX('Port Linkages'!$AH$18:$AH$157,MATCH(2,1/(('Port Linkages'!$C$18:$C$157=$AQ73)*('Port Linkages'!$D$18:$D$157=IF($AO73="no",$AQ73,$KK73))*('Port Linkages'!$A$18:$A$157&lt;=$C73))))</f>
        <v>0</v>
      </c>
      <c r="AJK73" s="75">
        <f t="array" ref="AJK73">INDEX('Port Linkages'!$AI$18:$AI$157,MATCH(2,1/(('Port Linkages'!$C$18:$C$157=$AQ73)*('Port Linkages'!$D$18:$D$157=IF($AO73="no",$AQ73,$KK73))*('Port Linkages'!$A$18:$A$157&lt;=$C73))))</f>
        <v>0</v>
      </c>
      <c r="AJL73" s="75">
        <f t="array" ref="AJL73">INDEX('Port Linkages'!$AJ$18:$AJ$157,MATCH(2,1/(('Port Linkages'!$C$18:$C$157=$AQ73)*('Port Linkages'!$D$18:$D$157=IF($AO73="no",$AQ73,$KK73))*('Port Linkages'!$A$18:$A$157&lt;=$C73))))</f>
        <v>0</v>
      </c>
      <c r="AJM73" s="75">
        <f t="array" ref="AJM73">INDEX('Port Linkages'!$AK$18:$AK$157,MATCH(2,1/(('Port Linkages'!$C$18:$C$157=$AQ73)*('Port Linkages'!$D$18:$D$157=IF($AO73="no",$AQ73,$KK73))*('Port Linkages'!$A$18:$A$157&lt;=$C73))))</f>
        <v>0</v>
      </c>
      <c r="AJN73" s="75">
        <f t="array" ref="AJN73">INDEX('Port Linkages'!$AL$18:$AL$157,MATCH(2,1/(('Port Linkages'!$C$18:$C$157=$AQ73)*('Port Linkages'!$D$18:$D$157=IF($AO73="no",$AQ73,$KK73))*('Port Linkages'!$A$18:$A$157&lt;=$C73))))</f>
        <v>0</v>
      </c>
      <c r="AJO73" s="75">
        <f t="array" ref="AJO73">INDEX('Port Linkages'!$AM$18:$AM$157,MATCH(2,1/(('Port Linkages'!$C$18:$C$157=$AQ73)*('Port Linkages'!$D$18:$D$157=IF($AO73="no",$AQ73,$KK73))*('Port Linkages'!$A$18:$A$157&lt;=$C73))))</f>
        <v>0</v>
      </c>
      <c r="AJP73" s="75">
        <f t="array" ref="AJP73">INDEX('Port Linkages'!$AN$18:$AN$157,MATCH(2,1/(('Port Linkages'!$C$18:$C$157=$AQ73)*('Port Linkages'!$D$18:$D$157=IF($AO73="no",$AQ73,$KK73))*('Port Linkages'!$A$18:$A$157&lt;=$C73))))</f>
        <v>0</v>
      </c>
      <c r="AJQ73" s="75">
        <f t="array" ref="AJQ73">INDEX('Port Linkages'!$AO$18:$AO$157,MATCH(2,1/(('Port Linkages'!$C$18:$C$157=$AQ73)*('Port Linkages'!$D$18:$D$157=IF($AO73="no",$AQ73,$KK73))*('Port Linkages'!$A$18:$A$157&lt;=$C73))))</f>
        <v>0</v>
      </c>
      <c r="AJR73" s="75">
        <f t="array" ref="AJR73">INDEX('Port Linkages'!$AP$18:$AP$157,MATCH(2,1/(('Port Linkages'!$C$18:$C$157=$AQ73)*('Port Linkages'!$D$18:$D$157=IF($AO73="no",$AQ73,$KK73))*('Port Linkages'!$A$18:$A$157&lt;=$C73))))</f>
        <v>0</v>
      </c>
      <c r="AJS73" s="75">
        <f t="array" ref="AJS73">INDEX('Port Linkages'!$AQ$18:$AQ$157,MATCH(2,1/(('Port Linkages'!$C$18:$C$157=$AQ73)*('Port Linkages'!$D$18:$D$157=IF($AO73="no",$AQ73,$KK73))*('Port Linkages'!$A$18:$A$157&lt;=$C73))))</f>
        <v>0</v>
      </c>
      <c r="AJT73" s="75">
        <f t="array" ref="AJT73">INDEX('Port Linkages'!$AR$18:$AR$157,MATCH(2,1/(('Port Linkages'!$C$18:$C$157=$AQ73)*('Port Linkages'!$D$18:$D$157=IF($AO73="no",$AQ73,$KK73))*('Port Linkages'!$A$18:$A$157&lt;=$C73))))</f>
        <v>0</v>
      </c>
      <c r="AJU73" s="75">
        <f t="array" ref="AJU73">INDEX('Port Linkages'!$AS$18:$AS$157,MATCH(2,1/(('Port Linkages'!$C$18:$C$157=$AQ73)*('Port Linkages'!$D$18:$D$157=IF($AO73="no",$AQ73,$KK73))*('Port Linkages'!$A$18:$A$157&lt;=$C73))))</f>
        <v>0</v>
      </c>
      <c r="AJV73" s="75">
        <f t="array" ref="AJV73">INDEX('Port Linkages'!$AT$18:$AT$157,MATCH(2,1/(('Port Linkages'!$C$18:$C$157=$AQ73)*('Port Linkages'!$D$18:$D$157=IF($AO73="no",$AQ73,$KK73))*('Port Linkages'!$A$18:$A$157&lt;=$C73))))</f>
        <v>0</v>
      </c>
      <c r="AJW73" s="75">
        <f t="array" ref="AJW73">INDEX('Port Linkages'!$AU$18:$AU$157,MATCH(2,1/(('Port Linkages'!$C$18:$C$157=$AQ73)*('Port Linkages'!$D$18:$D$157=IF($AO73="no",$AQ73,$KK73))*('Port Linkages'!$A$18:$A$157&lt;=$C73))))</f>
        <v>0</v>
      </c>
      <c r="AJX73" s="75">
        <f t="array" ref="AJX73">INDEX('Port Linkages'!$AV$18:$AV$157,MATCH(2,1/(('Port Linkages'!$C$18:$C$157=$AQ73)*('Port Linkages'!$D$18:$D$157=IF($AO73="no",$AQ73,$KK73))*('Port Linkages'!$A$18:$A$157&lt;=$C73))))</f>
        <v>0</v>
      </c>
      <c r="AJY73" s="75">
        <f t="array" ref="AJY73">INDEX('Port Linkages'!$AW$18:$AW$157,MATCH(2,1/(('Port Linkages'!$C$18:$C$157=$AQ73)*('Port Linkages'!$D$18:$D$157=IF($AO73="no",$AQ73,$KK73))*('Port Linkages'!$A$18:$A$157&lt;=$C73))))</f>
        <v>0</v>
      </c>
      <c r="AJZ73" s="75">
        <f t="array" ref="AJZ73">INDEX('Port Linkages'!$AX$18:$AX$157,MATCH(2,1/(('Port Linkages'!$C$18:$C$157=$AQ73)*('Port Linkages'!$D$18:$D$157=IF($AO73="no",$AQ73,$KK73))*('Port Linkages'!$A$18:$A$157&lt;=$C73))))</f>
        <v>0</v>
      </c>
      <c r="AKA73" s="75">
        <f t="array" ref="AKA73">INDEX('Port Linkages'!$AY$18:$AY$157,MATCH(2,1/(('Port Linkages'!$C$18:$C$157=$AQ73)*('Port Linkages'!$D$18:$D$157=IF($AO73="no",$AQ73,$KK73))*('Port Linkages'!$A$18:$A$157&lt;=$C73))))</f>
        <v>0</v>
      </c>
      <c r="AKB73" s="75">
        <f t="array" ref="AKB73">INDEX('Port Linkages'!$AZ$18:$AZ$157,MATCH(2,1/(('Port Linkages'!$C$18:$C$157=$AQ73)*('Port Linkages'!$D$18:$D$157=IF($AO73="no",$AQ73,$KK73))*('Port Linkages'!$A$18:$A$157&lt;=$C73))))</f>
        <v>0</v>
      </c>
      <c r="AKC73" s="75">
        <f t="array" ref="AKC73">INDEX('Port Linkages'!$BA$18:$BA$157,MATCH(2,1/(('Port Linkages'!$C$18:$C$157=$AQ73)*('Port Linkages'!$D$18:$D$157=IF($AO73="no",$AQ73,$KK73))*('Port Linkages'!$A$18:$A$157&lt;=$C73))))</f>
        <v>0</v>
      </c>
      <c r="AKE73" s="25" t="e">
        <f t="array" aca="1" ref="AKE73" ca="1">INDEX('Ship Fuel Prices'!$F$5:$F$1004,MATCH(2,1/(('Ship Fuel Prices'!$E$5:$E$1004=_xlfn.IFS(AHT73="Handysize",Main!AJZ73,AHT73="Supramax",AJS73,AHT73="Panamax",AJL73,AHT73="NeoPanamax",AJE73,AHT73="Suezmax",AIX73,AHT73="Capesize",AIQ73,AHT73="VLOC",AIJ73))*('Ship Fuel Prices'!$D$5:$D$1004&lt;=Main!$C73))))</f>
        <v>#N/A</v>
      </c>
      <c r="AKF73" s="25" t="e">
        <f t="array" aca="1" ref="AKF73" ca="1">INDEX('Ship Fuel Prices'!$G$5:$G$1004,MATCH(2,1/(('Ship Fuel Prices'!$E$5:$E$1004=_xlfn.IFS(AHT73="Handysize",Main!AJZ73,AHT73="Supramax",AJS73,AHT73="Panamax",AJL73,AHT73="NeoPanamax",AJE73,AHT73="Suezmax",AIX73,AHT73="Capesize",AIQ73,AHT73="VLOC",AIJ73))*('Ship Fuel Prices'!$D$5:$D$1004&lt;=Main!$C73))))</f>
        <v>#N/A</v>
      </c>
      <c r="AKG73" s="25" t="e">
        <f t="array" aca="1" ref="AKG73" ca="1">INDEX('Ship Fuel Prices'!$H$5:$H$1004,MATCH(2,1/(('Ship Fuel Prices'!$E$5:$E$1004=_xlfn.IFS(AHT73="Handysize",Main!AJZ73,AHT73="Supramax",AJS73,AHT73="Panamax",AJL73,AHT73="NeoPanamax",AJE73,AHT73="Suezmax",AIX73,AHT73="Capesize",AIQ73,AHT73="VLOC",AIJ73))*('Ship Fuel Prices'!$D$5:$D$1004&lt;=Main!$C73))))</f>
        <v>#N/A</v>
      </c>
      <c r="AKH73" s="25" t="e">
        <f t="array" aca="1" ref="AKH73" ca="1">INDEX('Ship Fuel Prices'!$I$5:$I$1004,MATCH(2,1/(('Ship Fuel Prices'!$E$5:$E$1004=_xlfn.IFS(AHT73="Handysize",Main!AJZ73,AHT73="Supramax",AJS73,AHT73="Panamax",AJL73,AHT73="NeoPanamax",AJE73,AHT73="Suezmax",AIX73,AHT73="Capesize",AIQ73,AHT73="VLOC",AIJ73))*('Ship Fuel Prices'!$D$5:$D$1004&lt;=Main!$C73))))</f>
        <v>#N/A</v>
      </c>
      <c r="AKI73" s="25" t="e">
        <f t="array" aca="1" ref="AKI73" ca="1">INDEX('Ship Fuel Prices'!$J$5:$J$1004,MATCH(2,1/(('Ship Fuel Prices'!$E$5:$E$1004=_xlfn.IFS(AHT73="Handysize",Main!AJZ73,AHT73="Supramax",AJS73,AHT73="Panamax",AJL73,AHT73="NeoPanamax",AJE73,AHT73="Suezmax",AIX73,AHT73="Capesize",AIQ73,AHT73="VLOC",AIJ73))*('Ship Fuel Prices'!$D$5:$D$1004&lt;=Main!$C73))))</f>
        <v>#N/A</v>
      </c>
      <c r="AKK73" s="75">
        <f t="array" ref="AKK73">INDEX('China n Importing Ports'!$E$20:$E$41,MATCH(2,1/(('China n Importing Ports'!$D$20:$D$41&lt;=$C73)*('China n Importing Ports'!$C$20:$C$41=IF($AO73="No",$AQ73,$KK73)))))</f>
        <v>0</v>
      </c>
      <c r="AKL73" s="75">
        <f t="array" ref="AKL73">INDEX('China n Importing Ports'!$F$20:$F$41,MATCH(2,1/(('China n Importing Ports'!$D$20:$D$41&lt;=$C73)*('China n Importing Ports'!$C$20:$C$41=IF($AO73="No",$AQ73,$KK73)))))</f>
        <v>0</v>
      </c>
      <c r="AKM73" s="75">
        <f t="array" ref="AKM73">INDEX('China n Importing Ports'!$G$20:$G$41,MATCH(2,1/(('China n Importing Ports'!$D$20:$D$41&lt;=$C73)*('China n Importing Ports'!$C$20:$C$41=IF($AO73="No",$AQ73,$KK73)))))</f>
        <v>0</v>
      </c>
      <c r="AKN73" s="75">
        <f t="array" ref="AKN73">INDEX('China n Importing Ports'!$H$20:$H$41,MATCH(2,1/(('China n Importing Ports'!$D$20:$D$41&lt;=$C73)*('China n Importing Ports'!$C$20:$C$41=IF($AO73="No",$AQ73,$KK73)))))</f>
        <v>0</v>
      </c>
      <c r="AKO73" s="75">
        <f t="array" ref="AKO73">INDEX('China n Importing Ports'!$I$20:$I$41,MATCH(2,1/(('China n Importing Ports'!$D$20:$D$41&lt;=$C73)*('China n Importing Ports'!$C$20:$C$41=IF($AO73="No",$AQ73,$KK73)))))</f>
        <v>0</v>
      </c>
      <c r="AKP73" s="75">
        <f t="array" ref="AKP73">INDEX('China n Importing Ports'!$J$20:$J$41,MATCH(2,1/(('China n Importing Ports'!$D$20:$D$41&lt;=$C73)*('China n Importing Ports'!$C$20:$C$41=IF($AO73="No",$AQ73,$KK73)))))</f>
        <v>0</v>
      </c>
      <c r="AKQ73" s="75">
        <f t="array" ref="AKQ73">INDEX('China n Importing Ports'!$K$20:$K$41,MATCH(2,1/(('China n Importing Ports'!$D$20:$D$41&lt;=$C73)*('China n Importing Ports'!$C$20:$C$41=IF($AO73="No",$AQ73,$KK73)))))</f>
        <v>0</v>
      </c>
      <c r="AKR73" s="75">
        <f t="array" ref="AKR73">INDEX('China n Importing Ports'!$L$20:$L$41,MATCH(2,1/(('China n Importing Ports'!$D$20:$D$41&lt;=$C73)*('China n Importing Ports'!$C$20:$C$41=IF($AO73="No",$AQ73,$KK73)))))</f>
        <v>0</v>
      </c>
      <c r="AKS73" s="75">
        <f t="array" ref="AKS73">INDEX('China n Importing Ports'!$M$20:$M$41,MATCH(2,1/(('China n Importing Ports'!$D$20:$D$41&lt;=$C73)*('China n Importing Ports'!$C$20:$C$41=IF($AO73="No",$AQ73,$KK73)))))</f>
        <v>0</v>
      </c>
      <c r="AKT73" s="75">
        <f t="array" ref="AKT73">INDEX('China n Importing Ports'!$N$20:$N$41,MATCH(2,1/(('China n Importing Ports'!$D$20:$D$41&lt;=$C73)*('China n Importing Ports'!$C$20:$C$41=IF($AO73="No",$AQ73,$KK73)))))</f>
        <v>0</v>
      </c>
      <c r="AKU73" s="75">
        <f t="array" ref="AKU73">INDEX('China n Importing Ports'!$O$20:$O$41,MATCH(2,1/(('China n Importing Ports'!$D$20:$D$41&lt;=$C73)*('China n Importing Ports'!$C$20:$C$41=IF($AO73="No",$AQ73,$KK73)))))</f>
        <v>0</v>
      </c>
      <c r="AKV73" s="136">
        <f t="array" ref="AKV73">INDEX('China n Importing Ports'!$P$20:$P$41,MATCH(2,1/(('China n Importing Ports'!$D$20:$D$41&lt;=$C73)*('China n Importing Ports'!$C$20:$C$41=IF($AO73="No",$AQ73,$KK73)))))</f>
        <v>0</v>
      </c>
      <c r="AKW73" s="136">
        <f t="array" ref="AKW73">INDEX('China n Importing Ports'!$Q$20:$Q$41,MATCH(2,1/(('China n Importing Ports'!$D$20:$D$41&lt;=$C73)*('China n Importing Ports'!$C$20:$C$41=IF($AO73="No",$AQ73,$KK73)))))</f>
        <v>0</v>
      </c>
      <c r="AKX73" s="136">
        <f t="array" ref="AKX73">INDEX('China n Importing Ports'!$R$20:$R$41,MATCH(2,1/(('China n Importing Ports'!$D$20:$D$41&lt;=$C73)*('China n Importing Ports'!$C$20:$C$41=IF($AO73="No",$AQ73,$KK73)))))</f>
        <v>0</v>
      </c>
      <c r="AKY73" s="136">
        <f t="array" ref="AKY73">INDEX('China n Importing Ports'!$S$20:$S$41,MATCH(2,1/(('China n Importing Ports'!$D$20:$D$41&lt;=$C73)*('China n Importing Ports'!$C$20:$C$41=IF($AO73="No",$AQ73,$KK73)))))</f>
        <v>0</v>
      </c>
      <c r="AKZ73" s="136">
        <f t="array" ref="AKZ73">INDEX('China n Importing Ports'!$T$20:$T$41,MATCH(2,1/(('China n Importing Ports'!$D$20:$D$41&lt;=$C73)*('China n Importing Ports'!$C$20:$C$41=IF($AO73="No",$AQ73,$KK73)))))</f>
        <v>0</v>
      </c>
      <c r="ALA73" s="136">
        <f t="array" ref="ALA73">INDEX('China n Importing Ports'!$U$20:$U$41,MATCH(2,1/(('China n Importing Ports'!$D$20:$D$41&lt;=$C73)*('China n Importing Ports'!$C$20:$C$41=IF($AO73="No",$AQ73,$KK73)))))</f>
        <v>0</v>
      </c>
      <c r="ALB73" s="136">
        <f t="array" ref="ALB73">INDEX('China n Importing Ports'!$V$20:$V$41,MATCH(2,1/(('China n Importing Ports'!$D$20:$D$41&lt;=$C73)*('China n Importing Ports'!$C$20:$C$41=IF($AO73="No",$AQ73,$KK73)))))</f>
        <v>0</v>
      </c>
      <c r="ALC73" s="136">
        <f t="array" ref="ALC73">INDEX('China n Importing Ports'!$W$20:$W$41,MATCH(2,1/(('China n Importing Ports'!$D$20:$D$41&lt;=$C73)*('China n Importing Ports'!$C$20:$C$41=IF($AO73="No",$AQ73,$KK73)))))</f>
        <v>0</v>
      </c>
      <c r="ALD73" s="136">
        <f t="array" ref="ALD73">INDEX('China n Importing Ports'!$X$20:$X$41,MATCH(2,1/(('China n Importing Ports'!$D$20:$D$41&lt;=$C73)*('China n Importing Ports'!$C$20:$C$41=IF($AO73="No",$AQ73,$KK73)))))</f>
        <v>0</v>
      </c>
      <c r="ALE73" s="136">
        <f t="array" ref="ALE73">INDEX('China n Importing Ports'!$Y$20:$Y$41,MATCH(2,1/(('China n Importing Ports'!$D$20:$D$41&lt;=$C73)*('China n Importing Ports'!$C$20:$C$41=IF($AO73="No",$AQ73,$KK73)))))</f>
        <v>0</v>
      </c>
      <c r="ALF73" s="136">
        <f t="array" ref="ALF73">INDEX('China n Importing Ports'!$Z$20:$Z$41,MATCH(2,1/(('China n Importing Ports'!$D$20:$D$41&lt;=$C73)*('China n Importing Ports'!$C$20:$C$41=IF($AO73="No",$AQ73,$KK73)))))</f>
        <v>0</v>
      </c>
      <c r="ALG73" s="136">
        <f t="array" ref="ALG73">INDEX('China n Importing Ports'!$AA$20:$AA$41,MATCH(2,1/(('China n Importing Ports'!$D$20:$D$41&lt;=$C73)*('China n Importing Ports'!$C$20:$C$41=IF($AO73="No",$AQ73,$KK73)))))</f>
        <v>0</v>
      </c>
      <c r="ALI73" s="75" t="e">
        <f t="array" aca="1" ref="ALI73" ca="1">INDEX(Canals!$G$24:$G$29,MATCH(2,1/((Canals!$F$24:$F$29&lt;=$C73)*(Canals!$G$24:$G$29=_xlfn.IFS(AHT73="Handysize",AKC73,AHT73="Supramax",AJV73,AHT73="Panamax",AJO73,AHT73="NeoPanamax",AJH73,AHT73="Suezmax",AJA73,AHT73="Capesize",AIT73,AHT73="VLOC",AIM73)))))</f>
        <v>#N/A</v>
      </c>
      <c r="ALJ73" s="75" t="e">
        <f t="array" aca="1" ref="ALJ73" ca="1">INDEX(Canals!$H$24:$H$29,MATCH(2,1/((Canals!$F$24:$F$29&lt;=$C73)*(Canals!$G$24:$G$29=_xlfn.IFS(AHT73="Handysize",AKC73,AHT73="Supramax",AJV73,AHT73="Panamax",AJO73,AHT73="NeoPanamax",AJH73,AHT73="Suezmax",AJA73,AHT73="Capesize",AIT73,AHT73="VLOC",AIM73)))))</f>
        <v>#N/A</v>
      </c>
      <c r="ALK73" s="75" t="e">
        <f t="array" aca="1" ref="ALK73" ca="1">INDEX(Canals!$I$24:$I$29,MATCH(2,1/((Canals!$F$24:$F$29&lt;=$C73)*(Canals!$G$24:$G$29=_xlfn.IFS(AHT73="Handysize",AKC73,AHT73="Supramax",AJV73,AHT73="Panamax",AJO73,AHT73="NeoPanamax",AJH73,AHT73="Suezmax",AJA73,AHT73="Capesize",AIT73,AHT73="VLOC",AIM73)))))</f>
        <v>#N/A</v>
      </c>
      <c r="ALL73" s="75" t="e">
        <f t="array" aca="1" ref="ALL73" ca="1">INDEX(Canals!$J$24:$J$29,MATCH(2,1/((Canals!$F$24:$F$29&lt;=$C73)*(Canals!$G$24:$G$29=_xlfn.IFS(AHT73="Handysize",Main!AKC73,AHT73="Supramax",AJV73,AHT73="Panamax",AJO73,AHT73="NeoPanamax",AJH73,AHT73="Suezmax",AJA73,AHT73="Capesize",AIT73,AHT73="VLOC",AIM73)))))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M73" s="75" t="e">
        <f t="array" aca="1" ref="ALM73" ca="1">INDEX(Canals!$K$24:$K$29,MATCH(2,1/((Canals!$F$24:$F$29&lt;=$C73)*(Canals!$G$24:$G$29=_xlfn.IFS(AHT73="Handysize",Main!AKC73,AHT73="Supramax",AJV73,AHT73="Panamax",AJO73,AHT73="NeoPanamax",AJH73,AHT73="Suezmax",AJA73,AHT73="Capesize",AIT73,AHT73="VLOC",AIM73)))))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N73" s="75" t="e">
        <f t="array" aca="1" ref="ALN73" ca="1">INDEX(Canals!$L$24:$L$29,MATCH(2,1/((Canals!$F$24:$F$29&lt;=$C73)*(Canals!$G$24:$G$29=_xlfn.IFS(AHT73="Handysize",Main!AKC73,AHT73="Supramax",AJV73,AHT73="Panamax",AJO73,AHT73="NeoPanamax",AJH73,AHT73="Suezmax",AJA73,AHT73="Capesize",AIT73,AHT73="VLOC",AIM73)))))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O73" s="75" t="e">
        <f t="array" aca="1" ref="ALO73" ca="1">INDEX(Canals!$M$24:$M$29,MATCH(2,1/((Canals!$F$24:$F$29&lt;=$C73)*(Canals!$G$24:$G$29=_xlfn.IFS(AHT73="Handysize",Main!AKC73,AHT73="Supramax",AJV73,AHT73="Panamax",AJO73,AHT73="NeoPanamax",AJH73,AHT73="Suezmax",AJA73,AHT73="Capesize",AIT73,AHT73="VLOC",AIM73)))))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P73" s="75" t="e">
        <f t="array" aca="1" ref="ALP73" ca="1">INDEX(Canals!$N$24:$N$29,MATCH(2,1/((Canals!$F$24:$F$29&lt;=$C73)*(Canals!$G$24:$G$29=_xlfn.IFS(AHT73="Handysize",Main!AKC73,AHT73="Supramax",AJV73,AHT73="Panamax",AJO73,AHT73="NeoPanamax",AJH73,AHT73="Suezmax",AJA73,AHT73="Capesize",AIT73,AHT73="VLOC",AIM73)))))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Q73" s="75" t="e">
        <f t="array" aca="1" ref="ALQ73" ca="1">INDEX(Canals!$O$24:$O$29,MATCH(2,1/((Canals!$F$24:$F$29&lt;=$C73)*(Canals!$G$24:$G$29=_xlfn.IFS(AHT73="Handysize",Main!AKC73,AHT73="Supramax",AJV73,AHT73="Panamax",AJO73,AHT73="NeoPanamax",AJH73,AHT73="Suezmax",AJA73,AHT73="Capesize",AIT73,AHT73="VLOC",AIM73)))))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R73" s="75" t="e">
        <f t="array" aca="1" ref="ALR73" ca="1">INDEX(Canals!$P$24:$P$29,MATCH(2,1/((Canals!$F$24:$F$29&lt;=$C73)*(Canals!$G$24:$G$29=_xlfn.IFS(AHT73="Handysize",Main!AKC73,AHT73="Supramax",AJV73,AHT73="Panamax",AJO73,AHT73="NeoPanamax",AJH73,AHT73="Suezmax",AJA73,AHT73="Capesize",AIT73,AHT73="VLOC",AIM73)))))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S73" s="75" t="e">
        <f t="array" aca="1" ref="ALS73" ca="1">INDEX(Canals!$Q$24:$Q$29,MATCH(2,1/((Canals!$F$24:$F$29&lt;=$C73)*(Canals!$G$24:$G$29=_xlfn.IFS(AHT73="Handysize",Main!AKC73,AHT73="Supramax",AJV73,AHT73="Panamax",AJO73,AHT73="NeoPanamax",AJH73,AHT73="Suezmax",AJA73,AHT73="Capesize",AIT73,AHT73="VLOC",AIM73)))))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T73" s="75" t="e">
        <f t="array" aca="1" ref="ALT73" ca="1">INDEX(Canals!$R$24:$R$29,MATCH(2,1/((Canals!$F$24:$F$29&lt;=$C73)*(Canals!$G$24:$G$29=_xlfn.IFS(AHT73="Handysize",Main!AKC73,AHT73="Supramax",AJV73,AHT73="Panamax",AJO73,AHT73="NeoPanamax",AJH73,AHT73="Suezmax",AJA73,AHT73="Capesize",AIT73,AHT73="VLOC",AIM73)))))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U73" s="136" t="e">
        <f t="array" aca="1" ref="ALU73" ca="1">INDEX(Canals!$S$24:$S$29,MATCH(2,1/((Canals!$F$24:$F$29&lt;=$C73)*(Canals!$G$24:$G$29=_xlfn.IFS(AHT73="Handysize",Main!AKC73,AHT73="Supramax",AJV73,AHT73="Panamax",AJO73,AHT73="NeoPanamax",AJH73,AHT73="Suezmax",AJA73,AHT73="Capesize",AIT73,AHT73="VLOC",AIM73)))))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V73" s="136" t="e">
        <f t="array" aca="1" ref="ALV73" ca="1">INDEX(Canals!$T$24:$T$29,MATCH(2,1/((Canals!$F$24:$F$29&lt;=$C73)*(Canals!$G$24:$G$29=_xlfn.IFS(AHT73="Handysize",Main!AKC73,AHT73="Supramax",AJV73,AHT73="Panamax",AJO73,AHT73="NeoPanamax",AJH73,AHT73="Suezmax",AJA73,AHT73="Capesize",AIT73,AHT73="VLOC",AIM73)))))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W73" s="136" t="e">
        <f t="array" aca="1" ref="ALW73" ca="1">INDEX(Canals!$U$24:$U$29,MATCH(2,1/((Canals!$F$24:$F$29&lt;=$C73)*(Canals!$G$24:$G$29=_xlfn.IFS(AHT73="Handysize",Main!AKC73,AHT73="Supramax",AJV73,AHT73="Panamax",AJO73,AHT73="NeoPanamax",AJH73,AHT73="Suezmax",AJA73,AHT73="Capesize",AIT73,AHT73="VLOC",AIM73)))))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X73" s="136" t="e">
        <f t="array" aca="1" ref="ALX73" ca="1">INDEX(Canals!$V$24:$V$29,MATCH(2,1/((Canals!$F$24:$F$29&lt;=$C73)*(Canals!$G$24:$G$29=_xlfn.IFS(AHT73="Handysize",Main!AKC73,AHT73="Supramax",AJV73,AHT73="Panamax",AJO73,AHT73="NeoPanamax",AJH73,AHT73="Suezmax",AJA73,AHT73="Capesize",AIT73,AHT73="VLOC",AIM73)))))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Y73" s="136" t="e">
        <f t="array" aca="1" ref="ALY73" ca="1">INDEX(Canals!$W$24:$W$29,MATCH(2,1/((Canals!$F$24:$F$29&lt;=$C73)*(Canals!$G$24:$G$29=_xlfn.IFS(AHT73="Handysize",Main!AKC73,AHT73="Supramax",AJV73,AHT73="Panamax",AJO73,AHT73="NeoPanamax",AJH73,AHT73="Suezmax",AJA73,AHT73="Capesize",AIT73,AHT73="VLOC",AIM73)))))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LZ73" s="136" t="e">
        <f t="array" aca="1" ref="ALZ73" ca="1">INDEX(Canals!$X$24:$X$29,MATCH(2,1/((Canals!$F$24:$F$29&lt;=$C73)*(Canals!$G$24:$G$29=_xlfn.IFS(AHT73="Handysize",Main!AKC73,AHT73="Supramax",AJV73,AHT73="Panamax",AJO73,AHT73="NeoPanamax",AJH73,AHT73="Suezmax",AJA73,AHT73="Capesize",AIT73,AHT73="VLOC",AIM73)))))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A73" s="136" t="e">
        <f t="array" aca="1" ref="AMA73" ca="1">INDEX(Canals!$Y$24:$Y$29,MATCH(2,1/((Canals!$F$24:$F$29&lt;=$C73)*(Canals!$G$24:$G$29=_xlfn.IFS(AHT73="Handysize",Main!AKC73,AHT73="Supramax",AJV73,AHT73="Panamax",AJO73,AHT73="NeoPanamax",AJH73,AHT73="Suezmax",AJA73,AHT73="Capesize",AIT73,AHT73="VLOC",AIM73)))))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B73" s="136" t="e">
        <f t="array" aca="1" ref="AMB73" ca="1">INDEX(Canals!$Z$24:$Z$29,MATCH(2,1/((Canals!$F$24:$F$29&lt;=$C73)*(Canals!$G$24:$G$29=_xlfn.IFS(AHT73="Handysize",Main!AKC73,AHT73="Supramax",AJV73,AHT73="Panamax",AJO73,AHT73="NeoPanamax",AJH73,AHT73="Suezmax",AJA73,AHT73="Capesize",AIT73,AHT73="VLOC",AIM73)))))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C73" s="136" t="e">
        <f t="array" aca="1" ref="AMC73" ca="1">INDEX(Canals!$AA$24:$AA$29,MATCH(2,1/((Canals!$F$24:$F$29&lt;=$C73)*(Canals!$G$24:$G$29=_xlfn.IFS(AHT73="Handysize",Main!AKC73,AHT73="Supramax",AJV73,AHT73="Panamax",AJO73,AHT73="NeoPanamax",AJH73,AHT73="Suezmax",AJA73,AHT73="Capesize",AIT73,AHT73="VLOC",AIM73)))))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D73" s="136" t="e">
        <f t="array" aca="1" ref="AMD73" ca="1">INDEX(Canals!$AB$24:$AB$29,MATCH(2,1/((Canals!$F$24:$F$29&lt;=$C73)*(Canals!$G$24:$G$29=_xlfn.IFS(AHT73="Handysize",Main!AKC73,AHT73="Supramax",AJV73,AHT73="Panamax",AJO73,AHT73="NeoPanamax",AJH73,AHT73="Suezmax",AJA73,AHT73="Capesize",AIT73,AHT73="VLOC",AIM73)))))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E73" s="75" t="e">
        <f t="array" aca="1" ref="AME73" ca="1">INDEX(Canals!$AC$24:$AC$29,MATCH(2,1/((Canals!$F$24:$F$29&lt;=$C73)*(Canals!$G$24:$G$29=_xlfn.IFS(AHT73="Handysize",Main!AKC73,AHT73="Supramax",AJV73,AHT73="Panamax",AJO73,AHT73="NeoPanamax",AJH73,AHT73="Suezmax",AJA73,AHT73="Capesize",AIT73,AHT73="VLOC",AIM73)))))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F73" s="75" t="e">
        <f t="array" aca="1" ref="AMF73" ca="1">INDEX(Canals!$AD$24:$AD$29,MATCH(2,1/((Canals!$F$24:$F$29&lt;=$C73)*(Canals!$G$24:$G$29=_xlfn.IFS(AHT73="Handysize",Main!AKC73,AHT73="Supramax",AJV73,AHT73="Panamax",AJO73,AHT73="NeoPanamax",AJH73,AHT73="Suezmax",AJA73,AHT73="Capesize",AIT73,AHT73="VLOC",AIM73)))))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G73" s="75" t="e">
        <f t="array" aca="1" ref="AMG73" ca="1">INDEX(Canals!$AE$24:$AE$29,MATCH(2,1/((Canals!$F$24:$F$29&lt;=$C73)*(Canals!$G$24:$G$29=_xlfn.IFS(AHT73="Handysize",Main!AKC73,AHT73="Supramax",AJV73,AHT73="Panamax",AJO73,AHT73="NeoPanamax",AJH73,AHT73="Suezmax",AJA73,AHT73="Capesize",AIT73,AHT73="VLOC",AIM73)))))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H73" s="75" t="e">
        <f t="array" aca="1" ref="AMH73" ca="1">INDEX(Canals!$AF$24:$AF$29,MATCH(2,1/((Canals!$F$24:$F$29&lt;=$C73)*(Canals!$G$24:$G$29=_xlfn.IFS(AHT73="Handysize",Main!AKC73,AHT73="Supramax",AJV73,AHT73="Panamax",AJO73,AHT73="NeoPanamax",AJH73,AHT73="Suezmax",AJA73,AHT73="Capesize",AIT73,AHT73="VLOC",AIM73)))))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I73" s="75" t="e">
        <f t="array" aca="1" ref="AMI73" ca="1">INDEX(Canals!$AG$24:$AG$29,MATCH(2,1/((Canals!$F$24:$F$29&lt;=$C73)*(Canals!$G$24:$G$29=_xlfn.IFS(AHT73="Handysize",Main!AKC73,AHT73="Supramax",AJV73,AHT73="Panamax",AJO73,AHT73="NeoPanamax",AJH73,AHT73="Suezmax",AJA73,AHT73="Capesize",AIT73,AHT73="VLOC",AIM73)))))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J73" s="75" t="e">
        <f t="array" aca="1" ref="AMJ73" ca="1">INDEX(Canals!$AH$24:$AH$29,MATCH(2,1/((Canals!$F$24:$F$29&lt;=$C73)*(Canals!$G$24:$G$29=_xlfn.IFS(AHT73="Handysize",Main!AKC73,AHT73="Supramax",AJV73,AHT73="Panamax",AJO73,AHT73="NeoPanamax",AJH73,AHT73="Suezmax",AJA73,AHT73="Capesize",AIT73,AHT73="VLOC",AIM73)))))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K73" s="75" t="e">
        <f t="array" aca="1" ref="AMK73" ca="1">INDEX(Canals!$AI$24:$AI$29,MATCH(2,1/((Canals!$F$24:$F$29&lt;=$C73)*(Canals!$G$24:$G$29=_xlfn.IFS(AHT73="Handysize",Main!AKC73,AHT73="Supramax",AJV73,AHT73="Panamax",AJO73,AHT73="NeoPanamax",AJH73,AHT73="Suezmax",AJA73,AHT73="Capesize",AIT73,AHT73="VLOC",AIM73)))))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L73" s="75" t="e">
        <f t="array" aca="1" ref="AML73" ca="1">INDEX(Canals!$AJ$24:$AJ$29,MATCH(2,1/((Canals!$F$24:$F$29&lt;=$C73)*(Canals!$G$24:$G$29=_xlfn.IFS(AHT73="Handysize",Main!AKC73,AHT73="Supramax",AJV73,AHT73="Panamax",AJO73,AHT73="NeoPanamax",AJH73,AHT73="Suezmax",AJA73,AHT73="Capesize",AIT73,AHT73="VLOC",AIM73)))))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M73" s="75" t="e">
        <f t="array" aca="1" ref="AMM73" ca="1">INDEX(Canals!$AK$24:$AK$29,MATCH(2,1/((Canals!$F$24:$F$29&lt;=$C73)*(Canals!$G$24:$G$29=_xlfn.IFS(AHT73="Handysize",Main!AKC73,AHT73="Supramax",AJV73,AHT73="Panamax",AJO73,AHT73="NeoPanamax",AJH73,AHT73="Suezmax",AJA73,AHT73="Capesize",AIT73,AHT73="VLOC",AIM73)))))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N73" s="136" t="e">
        <f t="array" aca="1" ref="AMN73" ca="1">INDEX(Canals!$AL$24:$AL$29,MATCH(2,1/((Canals!$F$24:$F$29&lt;=$C73)*(Canals!$G$24:$G$29=_xlfn.IFS(AHT73="Handysize",Main!AKC73,AHT73="Supramax",AJV73,AHT73="Panamax",AJO73,AHT73="NeoPanamax",AJH73,AHT73="Suezmax",AJA73,AHT73="Capesize",AIT73,AHT73="VLOC",AIM73)))))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O73" s="136" t="e">
        <f t="array" aca="1" ref="AMO73" ca="1">INDEX(Canals!$AM$24:$AM$29,MATCH(2,1/((Canals!$F$24:$F$29&lt;=$C73)*(Canals!$G$24:$G$29=_xlfn.IFS(AHT73="Handysize",Main!AKC73,AHT73="Supramax",AJV73,AHT73="Panamax",AJO73,AHT73="NeoPanamax",AJH73,AHT73="Suezmax",AJA73,AHT73="Capesize",AIT73,AHT73="VLOC",AIM73)))))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P73" s="136" t="e">
        <f t="array" aca="1" ref="AMP73" ca="1">INDEX(Canals!$AN$24:$AN$29,MATCH(2,1/((Canals!$F$24:$F$29&lt;=$C73)*(Canals!$G$24:$G$29=_xlfn.IFS(AHT73="Handysize",Main!AKC73,AHT73="Supramax",AJV73,AHT73="Panamax",AJO73,AHT73="NeoPanamax",AJH73,AHT73="Suezmax",AJA73,AHT73="Capesize",AIT73,AHT73="VLOC",AIM73)))))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Q73" s="136" t="e">
        <f t="array" aca="1" ref="AMQ73" ca="1">INDEX(Canals!$AO$24:$AO$29,MATCH(2,1/((Canals!$F$24:$F$29&lt;=$C73)*(Canals!$G$24:$G$29=_xlfn.IFS(AHT73="Handysize",Main!AKC73,AHT73="Supramax",AJV73,AHT73="Panamax",AJO73,AHT73="NeoPanamax",AJH73,AHT73="Suezmax",AJA73,AHT73="Capesize",AIT73,AHT73="VLOC",AIM73)))))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R73" s="136" t="e">
        <f t="array" aca="1" ref="AMR73" ca="1">INDEX(Canals!$AP$24:$AP$29,MATCH(2,1/((Canals!$F$24:$F$29&lt;=$C73)*(Canals!$G$24:$G$29=_xlfn.IFS(AHT73="Handysize",Main!AKC73,AHT73="Supramax",AJV73,AHT73="Panamax",AJO73,AHT73="NeoPanamax",AJH73,AHT73="Suezmax",AJA73,AHT73="Capesize",AIT73,AHT73="VLOC",AIM73)))))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S73" s="136" t="e">
        <f t="array" aca="1" ref="AMS73" ca="1">INDEX(Canals!$AQ$24:$AQ$29,MATCH(2,1/((Canals!$F$24:$F$29&lt;=$C73)*(Canals!$G$24:$G$29=_xlfn.IFS(AHT73="Handysize",Main!AKC73,AHT73="Supramax",AJV73,AHT73="Panamax",AJO73,AHT73="NeoPanamax",AJH73,AHT73="Suezmax",AJA73,AHT73="Capesize",AIT73,AHT73="VLOC",AIM73)))))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T73" s="136" t="e">
        <f t="array" aca="1" ref="AMT73" ca="1">INDEX(Canals!$AR$24:$AR$29,MATCH(2,1/((Canals!$F$24:$F$29&lt;=$C73)*(Canals!$G$24:$G$29=_xlfn.IFS(AHT73="Handysize",Main!AKC73,AHT73="Supramax",AJV73,AHT73="Panamax",AJO73,AHT73="NeoPanamax",AJH73,AHT73="Suezmax",AJA73,AHT73="Capesize",AIT73,AHT73="VLOC",AIM73)))))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U73" s="136" t="e">
        <f t="array" aca="1" ref="AMU73" ca="1">INDEX(Canals!$AS$24:$AS$29,MATCH(2,1/((Canals!$F$24:$F$29&lt;=$C73)*(Canals!$G$24:$G$29=_xlfn.IFS(AHT73="Handysize",Main!AKC73,AHT73="Supramax",AJV73,AHT73="Panamax",AJO73,AHT73="NeoPanamax",AJH73,AHT73="Suezmax",AJA73,AHT73="Capesize",AIT73,AHT73="VLOC",AIM73)))))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V73" s="136" t="e">
        <f t="array" aca="1" ref="AMV73" ca="1">INDEX(Canals!$AT$24:$AT$29,MATCH(2,1/((Canals!$F$24:$F$29&lt;=$C73)*(Canals!$G$24:$G$29=_xlfn.IFS(AHT73="Handysize",Main!AKC73,AHT73="Supramax",AJV73,AHT73="Panamax",AJO73,AHT73="NeoPanamax",AJH73,AHT73="Suezmax",AJA73,AHT73="Capesize",AIT73,AHT73="VLOC",AIM73)))))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W73" s="136" t="e">
        <f t="array" aca="1" ref="AMW73" ca="1">INDEX(Canals!$AU$24:$AU$29,MATCH(2,1/((Canals!$F$24:$F$29&lt;=$C73)*(Canals!$G$24:$G$29=_xlfn.IFS(AHT73="Handysize",Main!AKC73,AHT73="Supramax",AJV73,AHT73="Panamax",AJO73,AHT73="NeoPanamax",AJH73,AHT73="Suezmax",AJA73,AHT73="Capesize",AIT73,AHT73="VLOC",AIM73)))))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X73" s="136" t="e">
        <f t="array" aca="1" ref="AMX73" ca="1">INDEX(Canals!$AV$24:$AV$29,MATCH(2,1/((Canals!$F$24:$F$29&lt;=$C73)*(Canals!$G$24:$G$29=_xlfn.IFS(AHT73="Handysize",Main!AKC73,AHT73="Supramax",AJV73,AHT73="Panamax",AJO73,AHT73="NeoPanamax",AJH73,AHT73="Suezmax",AJA73,AHT73="Capesize",AIT73,AHT73="VLOC",AIM73)))))</f>
        <v>#N/A</v>
      </c>
      <c r="AMZ73" s="75" t="e">
        <f t="array" aca="1" ref="AMZ73" ca="1">_xlfn.IFS(ALK73="DWT",AHR73,ALK73="NRT",AHV73,ALK73="GRT",AHW73,ALK73=0,0)</f>
        <v>#NAME?</v>
      </c>
      <c r="ANA73" s="279" t="e">
        <f t="shared" ca="1" si="944"/>
        <v>#NAME?</v>
      </c>
      <c r="ANB73" s="280" t="e">
        <f t="shared" ca="1" si="945"/>
        <v>#NAME?</v>
      </c>
      <c r="ANC73" s="280" t="e">
        <f t="shared" ca="1" si="946"/>
        <v>#NAME?</v>
      </c>
      <c r="AND73" s="280" t="e">
        <f t="shared" ca="1" si="947"/>
        <v>#NAME?</v>
      </c>
      <c r="ANE73" s="280" t="e">
        <f t="shared" ca="1" si="948"/>
        <v>#NAME?</v>
      </c>
      <c r="ANF73" s="280" t="e">
        <f t="shared" ca="1" si="949"/>
        <v>#NAME?</v>
      </c>
      <c r="ANG73" s="280" t="e">
        <f t="shared" ca="1" si="950"/>
        <v>#NAME?</v>
      </c>
      <c r="ANH73" s="280" t="e">
        <f t="shared" ca="1" si="951"/>
        <v>#NAME?</v>
      </c>
      <c r="ANI73" s="280" t="e">
        <f t="shared" ca="1" si="952"/>
        <v>#NAME?</v>
      </c>
      <c r="ANJ73" s="75">
        <f t="shared" si="953"/>
        <v>0</v>
      </c>
      <c r="ANK73" s="279" t="e">
        <f t="shared" ca="1" si="954"/>
        <v>#N/A</v>
      </c>
      <c r="ANL73" s="280" t="e">
        <f t="shared" ca="1" si="955"/>
        <v>#N/A</v>
      </c>
      <c r="ANM73" s="280" t="e">
        <f t="shared" ca="1" si="956"/>
        <v>#N/A</v>
      </c>
      <c r="ANN73" s="280" t="e">
        <f t="shared" ca="1" si="957"/>
        <v>#N/A</v>
      </c>
      <c r="ANO73" s="280" t="e">
        <f t="shared" ca="1" si="958"/>
        <v>#N/A</v>
      </c>
      <c r="ANP73" s="280" t="e">
        <f t="shared" ca="1" si="959"/>
        <v>#N/A</v>
      </c>
      <c r="ANQ73" s="280" t="e">
        <f t="shared" ca="1" si="960"/>
        <v>#N/A</v>
      </c>
      <c r="ANR73" s="280" t="e">
        <f t="shared" ca="1" si="961"/>
        <v>#N/A</v>
      </c>
      <c r="ANS73" s="280" t="e">
        <f t="shared" ca="1" si="962"/>
        <v>#N/A</v>
      </c>
      <c r="ANU73" s="75" t="e">
        <f t="array" aca="1" ref="ANU73" ca="1">_xlfn.IFS(AHT73="Handysize",Main!AJW73,AHT73="Supramax",AJP73,AHT73="Panamax",AJI73,AHT73="NeoPanamax",AJB73,AHT73="Suezmax",AIU73,AHT73="Capesize",AIN73,AHT73="VLOC",AIG73)*$JI73</f>
        <v>#NAME?</v>
      </c>
      <c r="ANV73" s="274" t="e">
        <f t="array" aca="1" ref="ANV73" ca="1">_xlfn.IFS(AHT73="Handysize",Main!AJX73,AHT73="Supramax",AJQ73,AHT73="Panamax",AJJ73,AHT73="NeoPanamax",AJC73,AHT73="Suezmax",AIV73,AHT73="Capesize",AIO73,AHT73="VLOC",AIH73)*$JI73</f>
        <v>#NAME?</v>
      </c>
      <c r="ANW73" s="71" t="e">
        <f t="array" aca="1" ref="ANW73" ca="1">_xlfn.IFS(AHT73="Handysize",Main!AHY73,AHT73="Supramax",AHZ73,AHT73="Panamax",AIA73,AHT73="NeoPanamax",AIB73,AHT73="Suezmax",AIC73,AHT73="Capesize",AID73,AHT73="VLOC",AIE73)</f>
        <v>#NAME?</v>
      </c>
      <c r="ANX73" s="71" t="e">
        <f t="array" aca="1" ref="ANX73" ca="1">_xlfn.IFS(AHT73="Handysize",Main!AKK73,AHT73="Supramax",AKL73,AHT73="Panamax",AKM73,AHT73="NeoPanamax",AKN73,AHT73="Suezmax",AKO73,AHT73="Capesize",AKP73,AHT73="VLOC",AKQ73)</f>
        <v>#NAME?</v>
      </c>
      <c r="ANY73" s="70">
        <f t="array" ref="ANY73">INDEX('Ship Speeds'!$G$11:$G$1011,MATCH(2,1/(('Ship Speeds'!$E$11:$E$1011&lt;=Main!$C73)*('Ship Speeds'!$F$11:$F$1011=Main!AHS73))))</f>
        <v>11</v>
      </c>
      <c r="ANZ73" s="403">
        <f t="shared" si="963"/>
        <v>0</v>
      </c>
      <c r="AOA73" s="401">
        <f t="shared" si="964"/>
        <v>1.2</v>
      </c>
      <c r="AOB73" s="70" t="e">
        <f t="shared" ca="1" si="965"/>
        <v>#NAME?</v>
      </c>
      <c r="AOC73" s="70" t="e">
        <f t="shared" ca="1" si="966"/>
        <v>#NAME?</v>
      </c>
      <c r="AOD73" s="70" t="e">
        <f t="shared" ca="1" si="967"/>
        <v>#NAME?</v>
      </c>
      <c r="AOE73" s="70" t="e">
        <f t="shared" ca="1" si="968"/>
        <v>#NAME?</v>
      </c>
      <c r="AOF73" s="72" t="e">
        <f t="shared" ca="1" si="969"/>
        <v>#N/A</v>
      </c>
      <c r="AOG73" s="70" t="e">
        <f t="shared" ca="1" si="970"/>
        <v>#NAME?</v>
      </c>
      <c r="AOH73" s="70" t="e">
        <f t="array" aca="1" ref="AOH73" ca="1">IF(ANU73=0,0,INDEX(AKE73:AKI73,MATCH(_xlfn.IFS(AHT73="Handysize",Main!AKA73,AHT73="Supramax",AJT73,AHT73="Panamax",AJM73,AHT73="NeoPanamax",AJF73,AHT73="Suezmax",AIY73,AHT73="Capesize",AIR73,AHT73="VLOC",AIK73),$AKE$7:$AKI$7,0)))</f>
        <v>#NAME?</v>
      </c>
      <c r="AOI73" s="70" t="e">
        <f t="array" aca="1" ref="AOI73" ca="1">IF(ANU73=0,0,INDEX(AKE73:AKI73,MATCH(_xlfn.IFS(AHT73="Handysize",Main!AKB73,AHT73="Supramax",AJU73,AHT73="Panamax",AJN73,AHT73="NeoPanamax",AJG73,AHT73="Suezmax",AIZ73,AHT73="Capesize",AIS73,AHT73="VLOC",AIL73),$AKE$7:$AKI$7,0)))</f>
        <v>#NAME?</v>
      </c>
      <c r="AOJ73" s="71" t="e">
        <f t="shared" ca="1" si="971"/>
        <v>#NAME?</v>
      </c>
      <c r="AOK73" s="71" t="e">
        <f t="shared" ca="1" si="972"/>
        <v>#NAME?</v>
      </c>
      <c r="AOL73" s="281" t="e">
        <f t="shared" ca="1" si="973"/>
        <v>#NAME?</v>
      </c>
      <c r="AOM73" s="71" t="e">
        <f t="shared" ca="1" si="974"/>
        <v>#NAME?</v>
      </c>
      <c r="AON73" s="71" t="e">
        <f t="shared" ca="1" si="975"/>
        <v>#NAME?</v>
      </c>
      <c r="AOO73" s="71" t="e">
        <f t="shared" ca="1" si="976"/>
        <v>#NAME?</v>
      </c>
      <c r="AOP73" s="71" t="e">
        <f t="shared" ca="1" si="977"/>
        <v>#NAME?</v>
      </c>
      <c r="AOQ73" s="71" t="e">
        <f t="shared" ca="1" si="978"/>
        <v>#NAME?</v>
      </c>
      <c r="AOR73" s="71" t="e">
        <f t="shared" ca="1" si="979"/>
        <v>#NAME?</v>
      </c>
      <c r="AOS73" s="71" t="e">
        <f t="shared" ca="1" si="980"/>
        <v>#NAME?</v>
      </c>
      <c r="AOT73" s="71" t="e">
        <f t="shared" ca="1" si="981"/>
        <v>#NAME?</v>
      </c>
      <c r="AOU73" s="71" t="e">
        <f t="shared" ca="1" si="982"/>
        <v>#NAME?</v>
      </c>
      <c r="AOV73" s="71" t="e">
        <f t="shared" ca="1" si="983"/>
        <v>#NAME?</v>
      </c>
      <c r="AOW73" s="71" t="e">
        <f t="shared" ca="1" si="984"/>
        <v>#NAME?</v>
      </c>
      <c r="AOX73" s="71" t="e">
        <f t="shared" ca="1" si="985"/>
        <v>#NAME?</v>
      </c>
      <c r="AOY73" s="72" t="e">
        <f t="shared" ca="1" si="986"/>
        <v>#NAME?</v>
      </c>
      <c r="AOZ73" s="72" t="e">
        <f t="shared" ca="1" si="987"/>
        <v>#NAME?</v>
      </c>
      <c r="APA73" s="71" t="e">
        <f t="shared" ca="1" si="988"/>
        <v>#NAME?</v>
      </c>
      <c r="APB73" s="71" t="e">
        <f t="array" aca="1" ref="APB73" ca="1">IF(ANU73=0,0,INDEX('Ship Time Charter Rates'!$H$22:$H$1021,MATCH(2,1/(('Ship Time Charter Rates'!$G$22:$G$1021=_xlfn.IFS(AHT73="Handysize",Main!AJY73,AHT73="Supramax",AJR73,AHT73="Panamax",AJK73,AHT73="NeoPanamax",AJD73,AHT73="Suezmax",AIW73,AHT73="Capesize",AIP73,AHT73="VLOC",AII73))*('Ship Time Charter Rates'!$E$22:$E$1021&lt;=Main!$C73)*(NOT(ISBLANK('Ship Time Charter Rates'!$H$22:$H$1021)))))))</f>
        <v>#NAME?</v>
      </c>
      <c r="APC73" s="71" t="e">
        <f t="shared" ca="1" si="989"/>
        <v>#NAME?</v>
      </c>
      <c r="APD73" s="70" t="e">
        <f t="shared" ca="1" si="990"/>
        <v>#NAME?</v>
      </c>
      <c r="APE73" s="71" t="e">
        <f t="shared" ca="1" si="991"/>
        <v>#NAME?</v>
      </c>
      <c r="APF73" s="71" t="e">
        <f t="shared" ca="1" si="992"/>
        <v>#NAME?</v>
      </c>
      <c r="APG73" s="72" t="e">
        <f t="shared" ca="1" si="993"/>
        <v>#NAME?</v>
      </c>
      <c r="API73" s="287" t="s">
        <v>39</v>
      </c>
      <c r="APK73" s="289" t="e">
        <f t="shared" ca="1" si="994"/>
        <v>#NAME?</v>
      </c>
      <c r="APL73" s="289" t="e">
        <f t="shared" ca="1" si="995"/>
        <v>#NAME?</v>
      </c>
      <c r="APM73" s="289" t="e">
        <f t="shared" ca="1" si="996"/>
        <v>#NAME?</v>
      </c>
      <c r="APO73" s="287" t="s">
        <v>39</v>
      </c>
    </row>
    <row r="74" spans="1:1107">
      <c r="B74" s="445" t="e">
        <f t="shared" ca="1" si="997"/>
        <v>#NAME?</v>
      </c>
      <c r="C74" s="18">
        <f t="shared" si="674"/>
        <v>43934</v>
      </c>
      <c r="D74" s="7" t="s">
        <v>20</v>
      </c>
      <c r="E74" s="86" t="s">
        <v>156</v>
      </c>
      <c r="F74" s="6">
        <v>56.965101330524895</v>
      </c>
      <c r="G74" s="1" t="s">
        <v>4</v>
      </c>
      <c r="H74" s="1" t="s">
        <v>5</v>
      </c>
      <c r="I74" s="15"/>
      <c r="J74" s="16">
        <f>J$80+J$81</f>
        <v>0.47</v>
      </c>
      <c r="K74" s="15"/>
      <c r="L74" s="16">
        <f>L$80-L$81</f>
        <v>0.03</v>
      </c>
      <c r="M74" s="15"/>
      <c r="N74" s="15"/>
      <c r="O74" s="16">
        <f>O$80-O$81</f>
        <v>0.05</v>
      </c>
      <c r="P74" s="433">
        <v>77000</v>
      </c>
      <c r="Q74" s="98"/>
      <c r="R74" s="7" t="s">
        <v>95</v>
      </c>
      <c r="T74" s="287" t="s">
        <v>39</v>
      </c>
      <c r="V74" s="4"/>
      <c r="W74" s="16" t="str">
        <f t="shared" si="675"/>
        <v>not used yet</v>
      </c>
      <c r="X74" s="16" t="str">
        <f t="shared" si="675"/>
        <v>not used yet</v>
      </c>
      <c r="Y74" s="16" t="str">
        <f t="shared" si="675"/>
        <v>not used yet</v>
      </c>
      <c r="Z74" s="16" t="str">
        <f t="shared" si="675"/>
        <v>not used yet</v>
      </c>
      <c r="AA74" s="16" t="str">
        <f t="shared" si="675"/>
        <v>not used yet</v>
      </c>
      <c r="AB74" s="16" t="str">
        <f t="shared" si="675"/>
        <v>not used yet</v>
      </c>
      <c r="AC74" s="16" t="str">
        <f t="shared" si="675"/>
        <v>not used yet</v>
      </c>
      <c r="AE74" s="88" t="str">
        <f t="shared" si="676"/>
        <v>West Kalimantan Generic</v>
      </c>
      <c r="AF74" s="16">
        <f t="shared" si="677"/>
        <v>0.48</v>
      </c>
      <c r="AG74" s="16">
        <f t="shared" si="678"/>
        <v>0.47</v>
      </c>
      <c r="AH74" s="61">
        <f t="shared" si="679"/>
        <v>0.08</v>
      </c>
      <c r="AI74" s="61">
        <f t="shared" si="680"/>
        <v>0.03</v>
      </c>
      <c r="AJ74" s="61">
        <f t="shared" si="681"/>
        <v>4.4999999999999998E-2</v>
      </c>
      <c r="AK74" s="16">
        <f t="shared" si="682"/>
        <v>5.0000000000000001E-3</v>
      </c>
      <c r="AL74" s="16">
        <f t="shared" si="683"/>
        <v>0.05</v>
      </c>
      <c r="AM74" s="24" t="str">
        <f t="shared" si="684"/>
        <v>LT</v>
      </c>
      <c r="AN74" s="427">
        <f t="shared" si="685"/>
        <v>77000</v>
      </c>
      <c r="AO74" s="127" t="str">
        <f t="array" ref="AO74">IFERROR(IF(AND(AN74&gt;'Indices Mines Exporting Ports'!$D$11,MATCH(2,1/(('Indices Mines Exporting Ports'!$B$3:$B$10&lt;=C74)*('Indices Mines Exporting Ports'!$C$3:$C$10=E74)))),"Yes","No"),"No")</f>
        <v>No</v>
      </c>
      <c r="AP74" s="126" t="str">
        <f t="array" ref="AP74">IF(AO74="Yes",INDEX('Indices Mines Exporting Ports'!$D$3:$D$10,MATCH(2,1/(('Indices Mines Exporting Ports'!$B$3:$B$10&lt;=Main!C74)*('Indices Mines Exporting Ports'!$C$3:$C$10=Main!AE74)))),IF(NOT(ISBLANK(Q74)),Q74,IP74))</f>
        <v>West_Kal_Generic_Offshore</v>
      </c>
      <c r="AQ74" s="262">
        <f t="array" ref="AQ74">IF(AO74="no",0,INDEX('Indices Mines Exporting Ports'!$E$3:$E$10,MATCH(2,1/(('Indices Mines Exporting Ports'!$B$3:$B$10&lt;=Main!$C74)*('Indices Mines Exporting Ports'!$D$3:$D$10=Main!$AP74)))))</f>
        <v>0</v>
      </c>
      <c r="AR74" s="267">
        <f t="array" ref="AR74">IF(AO74="No",0,AN74/ROUND(AN74/INDEX('Indices Mines Exporting Ports'!$F$3:$F$10,MATCH(2,1/(('Indices Mines Exporting Ports'!$B$3:$B$10&lt;=Main!C74)*('Indices Mines Exporting Ports'!$C$3:$C$10=Main!AE74)))),0))</f>
        <v>0</v>
      </c>
      <c r="AS74" s="127" t="str">
        <f t="shared" si="686"/>
        <v>Qingdao</v>
      </c>
      <c r="AT74" s="100" t="str">
        <f t="shared" si="687"/>
        <v>Indonesian LT</v>
      </c>
      <c r="AU74" s="100" t="str">
        <f t="shared" si="688"/>
        <v>CBIX LT</v>
      </c>
      <c r="AV74" s="242" t="s">
        <v>4</v>
      </c>
      <c r="AW74" s="242" t="s">
        <v>5</v>
      </c>
      <c r="AX74" s="292" t="e">
        <f t="shared" ca="1" si="689"/>
        <v>#NAME?</v>
      </c>
      <c r="AY74" s="291" t="e">
        <f t="shared" ca="1" si="690"/>
        <v>#NAME?</v>
      </c>
      <c r="AZ74" s="292" t="e">
        <f t="shared" ca="1" si="691"/>
        <v>#NAME?</v>
      </c>
      <c r="BA74" s="102">
        <f t="shared" si="692"/>
        <v>0.33</v>
      </c>
      <c r="BB74" s="12"/>
      <c r="BC74" s="306" t="s">
        <v>403</v>
      </c>
      <c r="BD74" s="407">
        <f t="shared" si="693"/>
        <v>0</v>
      </c>
      <c r="BE74" s="407" t="e">
        <f t="shared" ca="1" si="693"/>
        <v>#NAME?</v>
      </c>
      <c r="BF74" s="407">
        <f t="shared" si="693"/>
        <v>0</v>
      </c>
      <c r="BG74" s="407" t="e">
        <f t="shared" ca="1" si="694"/>
        <v>#NAME?</v>
      </c>
      <c r="BH74" s="407">
        <f t="shared" si="695"/>
        <v>0</v>
      </c>
      <c r="BI74" s="263" t="e">
        <f t="shared" ca="1" si="696"/>
        <v>#NAME?</v>
      </c>
      <c r="BK74" s="287" t="s">
        <v>39</v>
      </c>
      <c r="BM74" s="291" t="e">
        <f t="shared" ca="1" si="697"/>
        <v>#NAME?</v>
      </c>
      <c r="BN74" s="298">
        <f t="shared" si="698"/>
        <v>0.48</v>
      </c>
      <c r="BO74" s="298">
        <f t="shared" si="699"/>
        <v>0.47</v>
      </c>
      <c r="BP74" s="298">
        <f t="shared" si="700"/>
        <v>0.08</v>
      </c>
      <c r="BQ74" s="298">
        <f t="shared" si="701"/>
        <v>0.03</v>
      </c>
      <c r="BR74" s="298">
        <f t="shared" si="702"/>
        <v>4.4999999999999998E-2</v>
      </c>
      <c r="BS74" s="298">
        <f t="shared" si="703"/>
        <v>5.0000000000000001E-3</v>
      </c>
      <c r="BT74" s="298">
        <f t="shared" si="704"/>
        <v>0.05</v>
      </c>
      <c r="BU74" s="307" t="str">
        <f t="shared" si="705"/>
        <v>LT</v>
      </c>
      <c r="BV74" s="291">
        <f t="shared" si="706"/>
        <v>0.33</v>
      </c>
      <c r="BX74" s="300">
        <f t="array" ref="BX74">INDEX('Processing Factors'!$D$8:$D$29,MATCH(2,1/(('Processing Factors'!$B$8:$B$29&lt;=Main!$C74)*('Processing Factors'!$C$8:$C$29=Main!BU74))))</f>
        <v>0</v>
      </c>
      <c r="BY74" s="299">
        <f t="array" ref="BY74">INDEX('Processing Factors'!$E$8:$E$29,MATCH(2,1/(('Processing Factors'!$B$8:$B$29&lt;=Main!$C74)*('Processing Factors'!$C$8:$C$29=Main!BU74))))</f>
        <v>1</v>
      </c>
      <c r="BZ74" s="299">
        <f t="array" ref="BZ74">INDEX('Processing Factors'!$F$8:$F$29,MATCH(2,1/(('Processing Factors'!$B$8:$B$29&lt;=Main!$C74)*('Processing Factors'!$C$8:$C$29=Main!BU74))))</f>
        <v>0.9</v>
      </c>
      <c r="CA74" s="299">
        <f t="array" ref="CA74">INDEX('Processing Factors'!$G$8:$G$29,MATCH(2,1/(('Processing Factors'!$B$8:$B$29&lt;=Main!$C74)*('Processing Factors'!$C$8:$C$29=Main!BU74))))</f>
        <v>3.5999999999999997E-2</v>
      </c>
      <c r="CB74" s="299">
        <f t="array" ref="CB74">INDEX('Processing Factors'!$H$8:$H$29,MATCH(2,1/(('Processing Factors'!$B$8:$B$29&lt;=Main!$C74)*('Processing Factors'!$C$8:$C$29=Main!BU74))))</f>
        <v>12.15</v>
      </c>
      <c r="CC74" s="300">
        <f t="array" ref="CC74">INDEX('Processing Factors'!$I$8:$I$29,MATCH(2,1/(('Processing Factors'!$B$8:$B$29&lt;=Main!$C74)*('Processing Factors'!$C$8:$C$29=Main!BU74))))</f>
        <v>0</v>
      </c>
      <c r="CD74" s="300">
        <f t="array" ref="CD74">INDEX('Processing Factors'!$J$8:$J$29,MATCH(2,1/(('Processing Factors'!$B$8:$B$29&lt;=Main!$C74)*('Processing Factors'!$C$8:$C$29=Main!BU74))))</f>
        <v>0.9</v>
      </c>
      <c r="CE74" s="299">
        <f t="array" ref="CE74">INDEX('Processing Factors'!$K$8:$K$29,MATCH(2,1/(('Processing Factors'!$B$8:$B$29&lt;=Main!$C74)*('Processing Factors'!$C$8:$C$29=Main!BU74))))</f>
        <v>3.5000000000000003E-2</v>
      </c>
      <c r="CG74" s="302">
        <f t="shared" si="707"/>
        <v>0.5</v>
      </c>
      <c r="CH74" s="302">
        <f t="shared" si="708"/>
        <v>0.03</v>
      </c>
      <c r="CI74" s="302">
        <f t="shared" si="709"/>
        <v>0.47</v>
      </c>
      <c r="CJ74" s="299">
        <f t="shared" si="710"/>
        <v>2.3640661938534278</v>
      </c>
      <c r="CK74" s="281" t="e">
        <f t="shared" ca="1" si="711"/>
        <v>#NAME?</v>
      </c>
      <c r="CL74" s="299">
        <f t="shared" si="712"/>
        <v>9.8829787234042552E-2</v>
      </c>
      <c r="CM74" s="281">
        <f t="shared" si="713"/>
        <v>23.718858728957528</v>
      </c>
      <c r="CN74" s="281">
        <f t="shared" si="714"/>
        <v>50.321396655852695</v>
      </c>
      <c r="CO74" s="281">
        <f t="shared" si="715"/>
        <v>1.2197497818850218</v>
      </c>
      <c r="CP74" s="299">
        <f t="shared" si="716"/>
        <v>1.4988959810874702</v>
      </c>
      <c r="CQ74" s="281">
        <f t="shared" si="717"/>
        <v>6.3481876597214502</v>
      </c>
      <c r="CR74" s="281" t="e">
        <f t="shared" ca="1" si="718"/>
        <v>#NAME?</v>
      </c>
      <c r="CT74" s="287" t="s">
        <v>39</v>
      </c>
      <c r="CV74" s="305" t="e">
        <f t="shared" ca="1" si="719"/>
        <v>#NAME?</v>
      </c>
      <c r="CW74" s="61">
        <f t="array" ref="CW74">INDEX('Indices Mines Exporting Ports'!E$20:E$51, MATCH(2,1/(('Indices Mines Exporting Ports'!$C$20:$C$51=$AT74)*('Indices Mines Exporting Ports'!$D$20:$D$51&lt;=$C74))))</f>
        <v>0.48</v>
      </c>
      <c r="CX74" s="61">
        <f t="array" ref="CX74">INDEX('Indices Mines Exporting Ports'!F$20:F$51, MATCH(2,1/(('Indices Mines Exporting Ports'!$C$20:$C$51=$AT74)*('Indices Mines Exporting Ports'!$D$20:$D$51&lt;=$C74))))</f>
        <v>0.44</v>
      </c>
      <c r="CY74" s="61">
        <f t="array" ref="CY74">INDEX('Indices Mines Exporting Ports'!G$20:G$51, MATCH(2,1/(('Indices Mines Exporting Ports'!$C$20:$C$51=$AT74)*('Indices Mines Exporting Ports'!$D$20:$D$51&lt;=$C74))))</f>
        <v>0.08</v>
      </c>
      <c r="CZ74" s="61">
        <f t="array" ref="CZ74">INDEX('Indices Mines Exporting Ports'!H$20:H$51, MATCH(2,1/(('Indices Mines Exporting Ports'!$C$20:$C$51=$AT74)*('Indices Mines Exporting Ports'!$D$20:$D$51&lt;=$C74))))</f>
        <v>3.5000000000000003E-2</v>
      </c>
      <c r="DA74" s="61">
        <f t="array" ref="DA74">INDEX('Indices Mines Exporting Ports'!I$20:I$51, MATCH(2,1/(('Indices Mines Exporting Ports'!$C$20:$C$51=$AT74)*('Indices Mines Exporting Ports'!$D$20:$D$51&lt;=$C74))))</f>
        <v>4.4999999999999998E-2</v>
      </c>
      <c r="DB74" s="61">
        <f t="array" ref="DB74">INDEX('Indices Mines Exporting Ports'!J$20:J$51, MATCH(2,1/(('Indices Mines Exporting Ports'!$C$20:$C$51=$AT74)*('Indices Mines Exporting Ports'!$D$20:$D$51&lt;=$C74))))</f>
        <v>5.0000000000000001E-3</v>
      </c>
      <c r="DC74" s="61">
        <f t="array" ref="DC74">INDEX('Indices Mines Exporting Ports'!K$20:K$51, MATCH(2,1/(('Indices Mines Exporting Ports'!$C$20:$C$51=$AT74)*('Indices Mines Exporting Ports'!$D$20:$D$51&lt;=$C74))))</f>
        <v>0.15</v>
      </c>
      <c r="DD74" s="103" t="str">
        <f t="array" ref="DD74">INDEX('Indices Mines Exporting Ports'!L$20:L$51, MATCH(2,1/(('Indices Mines Exporting Ports'!$C$20:$C$51=$AT74)*('Indices Mines Exporting Ports'!$D$20:$D$51&lt;=$C74))))</f>
        <v>LT</v>
      </c>
      <c r="DE74" s="243">
        <f t="array" ref="DE74">INDEX('Indices Mines Exporting Ports'!M$20:M$51, MATCH(2,1/(('Indices Mines Exporting Ports'!$C$20:$C$51=$AT74)*('Indices Mines Exporting Ports'!$D$20:$D$51&lt;=$C74))))</f>
        <v>0.33</v>
      </c>
      <c r="DG74" s="300">
        <f t="array" ref="DG74">INDEX('Processing Factors'!$D$8:$D$29,MATCH(2,1/(('Processing Factors'!$B$8:$B$29&lt;=Main!$C74)*('Processing Factors'!$C$8:$C$29=Main!DD74))))</f>
        <v>0</v>
      </c>
      <c r="DH74" s="299">
        <f t="array" ref="DH74">INDEX('Processing Factors'!$E$8:$E$29,MATCH(2,1/(('Processing Factors'!$B$8:$B$29&lt;=Main!$C74)*('Processing Factors'!$C$8:$C$29=Main!DD74))))</f>
        <v>1</v>
      </c>
      <c r="DI74" s="299">
        <f t="array" ref="DI74">INDEX('Processing Factors'!$F$8:$F$29,MATCH(2,1/(('Processing Factors'!$B$8:$B$29&lt;=Main!$C74)*('Processing Factors'!$C$8:$C$29=Main!DD74))))</f>
        <v>0.9</v>
      </c>
      <c r="DJ74" s="299">
        <f t="array" ref="DJ74">INDEX('Processing Factors'!$G$8:$G$29,MATCH(2,1/(('Processing Factors'!$B$8:$B$29&lt;=Main!$C74)*('Processing Factors'!$C$8:$C$29=Main!DD74))))</f>
        <v>3.5999999999999997E-2</v>
      </c>
      <c r="DK74" s="299">
        <f t="array" ref="DK74">INDEX('Processing Factors'!$H$8:$H$29,MATCH(2,1/(('Processing Factors'!$B$8:$B$29&lt;=Main!$C74)*('Processing Factors'!$C$8:$C$29=Main!DD74))))</f>
        <v>12.15</v>
      </c>
      <c r="DL74" s="300">
        <f t="array" ref="DL74">INDEX('Processing Factors'!$I$8:$I$29,MATCH(2,1/(('Processing Factors'!$B$8:$B$29&lt;=Main!$C74)*('Processing Factors'!$C$8:$C$29=Main!DD74))))</f>
        <v>0</v>
      </c>
      <c r="DM74" s="300">
        <f t="array" ref="DM74">INDEX('Processing Factors'!$J$8:$J$29,MATCH(2,1/(('Processing Factors'!$B$8:$B$29&lt;=Main!$C74)*('Processing Factors'!$C$8:$C$29=Main!DD74))))</f>
        <v>0.9</v>
      </c>
      <c r="DN74" s="299">
        <f t="array" ref="DN74">INDEX('Processing Factors'!$K$8:$K$29,MATCH(2,1/(('Processing Factors'!$B$8:$B$29&lt;=Main!$C74)*('Processing Factors'!$C$8:$C$29=Main!DD74))))</f>
        <v>3.5000000000000003E-2</v>
      </c>
      <c r="DP74" s="302">
        <f t="shared" si="720"/>
        <v>0.47499999999999998</v>
      </c>
      <c r="DQ74" s="302">
        <f t="shared" si="721"/>
        <v>3.5000000000000003E-2</v>
      </c>
      <c r="DR74" s="302">
        <f t="shared" si="722"/>
        <v>0.43999999999999995</v>
      </c>
      <c r="DS74" s="299">
        <f t="shared" si="723"/>
        <v>2.5252525252525255</v>
      </c>
      <c r="DT74" s="304">
        <v>0</v>
      </c>
      <c r="DU74" s="299">
        <f t="shared" si="724"/>
        <v>0.11454545454545458</v>
      </c>
      <c r="DV74" s="281">
        <f t="shared" si="725"/>
        <v>27.490572735666216</v>
      </c>
      <c r="DW74" s="281">
        <f t="shared" si="726"/>
        <v>50.321396655852695</v>
      </c>
      <c r="DX74" s="281">
        <f t="shared" si="727"/>
        <v>1.2197497818850218</v>
      </c>
      <c r="DY74" s="299">
        <f t="shared" si="728"/>
        <v>1.6757979797979801</v>
      </c>
      <c r="DZ74" s="281">
        <f t="shared" si="729"/>
        <v>7.0974104872984247</v>
      </c>
      <c r="EA74" s="281">
        <f t="shared" si="730"/>
        <v>86.129129660702361</v>
      </c>
      <c r="EC74" s="287" t="s">
        <v>39</v>
      </c>
      <c r="EE74" s="305" t="e">
        <f t="shared" ca="1" si="731"/>
        <v>#NAME?</v>
      </c>
      <c r="EF74" s="16">
        <f t="array" ref="EF74">INDEX('Indices Mines Exporting Ports'!E$20:E$51, MATCH(2,1/(('Indices Mines Exporting Ports'!$C$20:$C$51=$AU74)*('Indices Mines Exporting Ports'!$D$20:$D$51&lt;=$C74))))</f>
        <v>0.5</v>
      </c>
      <c r="EG74" s="16">
        <f t="array" ref="EG74">INDEX('Indices Mines Exporting Ports'!F$20:F$51, MATCH(2,1/(('Indices Mines Exporting Ports'!$C$20:$C$51=$AU74)*('Indices Mines Exporting Ports'!$D$20:$D$51&lt;=$C74))))</f>
        <v>0.45</v>
      </c>
      <c r="EH74" s="16">
        <f t="array" ref="EH74">INDEX('Indices Mines Exporting Ports'!G$20:G$51, MATCH(2,1/(('Indices Mines Exporting Ports'!$C$20:$C$51=$AU74)*('Indices Mines Exporting Ports'!$D$20:$D$51&lt;=$C74))))</f>
        <v>0.05</v>
      </c>
      <c r="EI74" s="16">
        <f t="array" ref="EI74">INDEX('Indices Mines Exporting Ports'!H$20:H$51, MATCH(2,1/(('Indices Mines Exporting Ports'!$C$20:$C$51=$AU74)*('Indices Mines Exporting Ports'!$D$20:$D$51&lt;=$C74))))</f>
        <v>0.05</v>
      </c>
      <c r="EJ74" s="16">
        <f t="array" ref="EJ74">INDEX('Indices Mines Exporting Ports'!I$20:I$51, MATCH(2,1/(('Indices Mines Exporting Ports'!$C$20:$C$51=$AU74)*('Indices Mines Exporting Ports'!$D$20:$D$51&lt;=$C74))))</f>
        <v>0</v>
      </c>
      <c r="EK74" s="16">
        <f t="array" ref="EK74">INDEX('Indices Mines Exporting Ports'!J$20:J$51, MATCH(2,1/(('Indices Mines Exporting Ports'!$C$20:$C$51=$AU74)*('Indices Mines Exporting Ports'!$D$20:$D$51&lt;=$C74))))</f>
        <v>0</v>
      </c>
      <c r="EL74" s="16">
        <f t="array" ref="EL74">INDEX('Indices Mines Exporting Ports'!K$20:K$51, MATCH(2,1/(('Indices Mines Exporting Ports'!$C$20:$C$51=$AU74)*('Indices Mines Exporting Ports'!$D$20:$D$51&lt;=$C74))))</f>
        <v>0.1</v>
      </c>
      <c r="EM74" s="103" t="str">
        <f t="array" ref="EM74">INDEX('Indices Mines Exporting Ports'!L$20:L$51, MATCH(2,1/(('Indices Mines Exporting Ports'!$C$20:$C$51=$AU74)*('Indices Mines Exporting Ports'!$D$20:$D$51&lt;=$C74))))</f>
        <v>LT</v>
      </c>
      <c r="EN74" s="243">
        <f t="array" ref="EN74">INDEX('Indices Mines Exporting Ports'!M$20:M$51, MATCH(2,1/(('Indices Mines Exporting Ports'!$C$20:$C$51=$AU74)*('Indices Mines Exporting Ports'!$D$20:$D$51&lt;=$C74))))</f>
        <v>0</v>
      </c>
      <c r="EP74" s="300">
        <f t="array" ref="EP74">INDEX('Processing Factors'!$D$8:$D$29,MATCH(2,1/(('Processing Factors'!$B$8:$B$29&lt;=Main!$C74)*('Processing Factors'!$C$8:$C$29=Main!EM74))))</f>
        <v>0</v>
      </c>
      <c r="EQ74" s="299">
        <f t="array" ref="EQ74">INDEX('Processing Factors'!$E$8:$E$29,MATCH(2,1/(('Processing Factors'!$B$8:$B$29&lt;=Main!$C74)*('Processing Factors'!$C$8:$C$29=Main!EM74))))</f>
        <v>1</v>
      </c>
      <c r="ER74" s="299">
        <f t="array" ref="ER74">INDEX('Processing Factors'!$F$8:$F$29,MATCH(2,1/(('Processing Factors'!$B$8:$B$29&lt;=Main!$C74)*('Processing Factors'!$C$8:$C$29=Main!EM74))))</f>
        <v>0.9</v>
      </c>
      <c r="ES74" s="299">
        <f t="array" ref="ES74">INDEX('Processing Factors'!$G$8:$G$29,MATCH(2,1/(('Processing Factors'!$B$8:$B$29&lt;=Main!$C74)*('Processing Factors'!$C$8:$C$29=Main!EM74))))</f>
        <v>3.5999999999999997E-2</v>
      </c>
      <c r="ET74" s="299">
        <f t="array" ref="ET74">INDEX('Processing Factors'!$H$8:$H$29,MATCH(2,1/(('Processing Factors'!$B$8:$B$29&lt;=Main!$C74)*('Processing Factors'!$C$8:$C$29=Main!EM74))))</f>
        <v>12.15</v>
      </c>
      <c r="EU74" s="300">
        <f t="array" ref="EU74">INDEX('Processing Factors'!$I$8:$I$29,MATCH(2,1/(('Processing Factors'!$B$8:$B$29&lt;=Main!$C74)*('Processing Factors'!$C$8:$C$29=Main!EM74))))</f>
        <v>0</v>
      </c>
      <c r="EV74" s="300">
        <f t="array" ref="EV74">INDEX('Processing Factors'!$J$8:$J$29,MATCH(2,1/(('Processing Factors'!$B$8:$B$29&lt;=Main!$C74)*('Processing Factors'!$C$8:$C$29=Main!EM74))))</f>
        <v>0.9</v>
      </c>
      <c r="EW74" s="299">
        <f t="array" ref="EW74">INDEX('Processing Factors'!$K$8:$K$29,MATCH(2,1/(('Processing Factors'!$B$8:$B$29&lt;=Main!$C74)*('Processing Factors'!$C$8:$C$29=Main!EM74))))</f>
        <v>3.5000000000000003E-2</v>
      </c>
      <c r="EY74" s="302">
        <f t="shared" si="732"/>
        <v>0.5</v>
      </c>
      <c r="EZ74" s="302">
        <f t="shared" si="733"/>
        <v>0.05</v>
      </c>
      <c r="FA74" s="302">
        <f t="shared" si="734"/>
        <v>0.45</v>
      </c>
      <c r="FB74" s="299">
        <f t="shared" si="735"/>
        <v>2.4691358024691357</v>
      </c>
      <c r="FC74" s="304">
        <v>0</v>
      </c>
      <c r="FD74" s="299">
        <f t="shared" si="736"/>
        <v>0.14611111111111114</v>
      </c>
      <c r="FE74" s="281">
        <f t="shared" si="737"/>
        <v>35.06623762093578</v>
      </c>
      <c r="FF74" s="281">
        <f t="shared" si="738"/>
        <v>50.321396655852695</v>
      </c>
      <c r="FG74" s="281">
        <f t="shared" si="739"/>
        <v>1.2197497818850218</v>
      </c>
      <c r="FH74" s="299">
        <f t="shared" si="740"/>
        <v>1.6512469135802468</v>
      </c>
      <c r="FI74" s="281">
        <f t="shared" si="741"/>
        <v>6.9934307731868799</v>
      </c>
      <c r="FJ74" s="281">
        <f t="shared" si="742"/>
        <v>93.60081483186039</v>
      </c>
      <c r="FL74" s="287" t="s">
        <v>39</v>
      </c>
      <c r="FN74" s="315" t="e">
        <f t="shared" ca="1" si="743"/>
        <v>#NAME?</v>
      </c>
      <c r="FO74" s="316">
        <f t="shared" si="744"/>
        <v>0.48</v>
      </c>
      <c r="FP74" s="316">
        <f t="shared" si="745"/>
        <v>0.47</v>
      </c>
      <c r="FQ74" s="316">
        <f t="shared" si="746"/>
        <v>0.08</v>
      </c>
      <c r="FR74" s="316">
        <f t="shared" si="747"/>
        <v>0.03</v>
      </c>
      <c r="FS74" s="316">
        <f t="shared" si="748"/>
        <v>4.4999999999999998E-2</v>
      </c>
      <c r="FT74" s="316">
        <f t="shared" si="749"/>
        <v>5.0000000000000001E-3</v>
      </c>
      <c r="FU74" s="316">
        <f t="shared" si="750"/>
        <v>0.05</v>
      </c>
      <c r="FV74" s="317" t="str">
        <f t="shared" si="751"/>
        <v>LT</v>
      </c>
      <c r="FW74" s="318">
        <v>0</v>
      </c>
      <c r="FX74" s="237"/>
      <c r="FY74" s="319">
        <f t="array" ref="FY74">INDEX('Processing Factors'!$D$8:$D$29,MATCH(2,1/(('Processing Factors'!$B$8:$B$29&lt;=Main!$C74)*('Processing Factors'!$C$8:$C$29=Main!FV74))))</f>
        <v>0</v>
      </c>
      <c r="FZ74" s="320">
        <f t="array" ref="FZ74">INDEX('Processing Factors'!$E$8:$E$29,MATCH(2,1/(('Processing Factors'!$B$8:$B$29&lt;=Main!$C74)*('Processing Factors'!$C$8:$C$29=Main!FV74))))</f>
        <v>1</v>
      </c>
      <c r="GA74" s="320">
        <f t="array" ref="GA74">INDEX('Processing Factors'!$F$8:$F$29,MATCH(2,1/(('Processing Factors'!$B$8:$B$29&lt;=Main!$C74)*('Processing Factors'!$C$8:$C$29=Main!FV74))))</f>
        <v>0.9</v>
      </c>
      <c r="GB74" s="320">
        <f t="array" ref="GB74">INDEX('Processing Factors'!$G$8:$G$29,MATCH(2,1/(('Processing Factors'!$B$8:$B$29&lt;=Main!$C74)*('Processing Factors'!$C$8:$C$29=Main!FV74))))</f>
        <v>3.5999999999999997E-2</v>
      </c>
      <c r="GC74" s="320">
        <f t="array" ref="GC74">INDEX('Processing Factors'!$H$8:$H$29,MATCH(2,1/(('Processing Factors'!$B$8:$B$29&lt;=Main!$C74)*('Processing Factors'!$C$8:$C$29=Main!FV74))))</f>
        <v>12.15</v>
      </c>
      <c r="GD74" s="319">
        <f t="array" ref="GD74">INDEX('Processing Factors'!$I$8:$I$29,MATCH(2,1/(('Processing Factors'!$B$8:$B$29&lt;=Main!$C74)*('Processing Factors'!$C$8:$C$29=Main!FV74))))</f>
        <v>0</v>
      </c>
      <c r="GE74" s="321">
        <v>0.92</v>
      </c>
      <c r="GF74" s="320">
        <f t="array" ref="GF74">INDEX('Processing Factors'!$K$8:$K$29,MATCH(2,1/(('Processing Factors'!$B$8:$B$29&lt;=Main!$C74)*('Processing Factors'!$C$8:$C$29=Main!FV74))))</f>
        <v>3.5000000000000003E-2</v>
      </c>
      <c r="GG74" s="237"/>
      <c r="GH74" s="322">
        <f t="shared" si="752"/>
        <v>0.5</v>
      </c>
      <c r="GI74" s="322">
        <f t="shared" si="753"/>
        <v>0.03</v>
      </c>
      <c r="GJ74" s="322">
        <f t="shared" si="754"/>
        <v>0.47</v>
      </c>
      <c r="GK74" s="320">
        <f t="shared" si="755"/>
        <v>2.3126734505087878</v>
      </c>
      <c r="GL74" s="323" t="e">
        <f t="shared" ca="1" si="756"/>
        <v>#NAME?</v>
      </c>
      <c r="GM74" s="320">
        <f t="shared" si="757"/>
        <v>9.7442183163737275E-2</v>
      </c>
      <c r="GN74" s="323">
        <f t="shared" si="758"/>
        <v>23.385837826692949</v>
      </c>
      <c r="GO74" s="323">
        <f t="shared" si="759"/>
        <v>50.321396655852695</v>
      </c>
      <c r="GP74" s="323">
        <f t="shared" si="760"/>
        <v>1.2197497818850218</v>
      </c>
      <c r="GQ74" s="320">
        <f t="shared" si="761"/>
        <v>1.4461156336725252</v>
      </c>
      <c r="GR74" s="323">
        <f t="shared" si="762"/>
        <v>6.1246500998353568</v>
      </c>
      <c r="GS74" s="323" t="e">
        <f t="shared" ca="1" si="763"/>
        <v>#NAME?</v>
      </c>
      <c r="GT74" s="237"/>
      <c r="GU74" s="324" t="e">
        <f t="shared" ca="1" si="764"/>
        <v>#NAME?</v>
      </c>
      <c r="GV74" s="325">
        <f t="array" ref="GV74">INDEX('Indices Mines Exporting Ports'!E$20:E$51, MATCH(2,1/(('Indices Mines Exporting Ports'!$C$20:$C$51=$BC74)*('Indices Mines Exporting Ports'!$D$20:$D$51&lt;=$C74))))</f>
        <v>0.5</v>
      </c>
      <c r="GW74" s="325">
        <f t="array" ref="GW74">INDEX('Indices Mines Exporting Ports'!F$20:F$51, MATCH(2,1/(('Indices Mines Exporting Ports'!$C$20:$C$51=$BC74)*('Indices Mines Exporting Ports'!$D$20:$D$51&lt;=$C74))))</f>
        <v>0.45</v>
      </c>
      <c r="GX74" s="325">
        <f t="array" ref="GX74">INDEX('Indices Mines Exporting Ports'!G$20:G$51, MATCH(2,1/(('Indices Mines Exporting Ports'!$C$20:$C$51=$BC74)*('Indices Mines Exporting Ports'!$D$20:$D$51&lt;=$C74))))</f>
        <v>0.05</v>
      </c>
      <c r="GY74" s="325">
        <f t="array" ref="GY74">INDEX('Indices Mines Exporting Ports'!H$20:H$51, MATCH(2,1/(('Indices Mines Exporting Ports'!$C$20:$C$51=$BC74)*('Indices Mines Exporting Ports'!$D$20:$D$51&lt;=$C74))))</f>
        <v>0.05</v>
      </c>
      <c r="GZ74" s="325">
        <f t="array" ref="GZ74">INDEX('Indices Mines Exporting Ports'!I$20:I$51, MATCH(2,1/(('Indices Mines Exporting Ports'!$C$20:$C$51=$BC74)*('Indices Mines Exporting Ports'!$D$20:$D$51&lt;=$C74))))</f>
        <v>0</v>
      </c>
      <c r="HA74" s="325">
        <f t="array" ref="HA74">INDEX('Indices Mines Exporting Ports'!J$20:J$51, MATCH(2,1/(('Indices Mines Exporting Ports'!$C$20:$C$51=$BC74)*('Indices Mines Exporting Ports'!$D$20:$D$51&lt;=$C74))))</f>
        <v>0</v>
      </c>
      <c r="HB74" s="325">
        <f t="array" ref="HB74">INDEX('Indices Mines Exporting Ports'!K$20:K$51, MATCH(2,1/(('Indices Mines Exporting Ports'!$C$20:$C$51=$BC74)*('Indices Mines Exporting Ports'!$D$20:$D$51&lt;=$C74))))</f>
        <v>0.1</v>
      </c>
      <c r="HC74" s="326" t="str">
        <f t="array" ref="HC74">INDEX('Indices Mines Exporting Ports'!L$20:L$51, MATCH(2,1/(('Indices Mines Exporting Ports'!$C$20:$C$51=$BC74)*('Indices Mines Exporting Ports'!$D$20:$D$51&lt;=$C74))))</f>
        <v>LT</v>
      </c>
      <c r="HD74" s="262">
        <f t="array" ref="HD74">INDEX('Indices Mines Exporting Ports'!M$20:M$51, MATCH(2,1/(('Indices Mines Exporting Ports'!$C$20:$C$51=$BC74)*('Indices Mines Exporting Ports'!$D$20:$D$51&lt;=$C74))))</f>
        <v>0</v>
      </c>
      <c r="HE74" s="237"/>
      <c r="HF74" s="319">
        <f t="array" ref="HF74">INDEX('Processing Factors'!$D$8:$D$29,MATCH(2,1/(('Processing Factors'!$B$8:$B$29&lt;=Main!$C74)*('Processing Factors'!$C$8:$C$29=Main!HC74))))</f>
        <v>0</v>
      </c>
      <c r="HG74" s="320">
        <f t="array" ref="HG74">INDEX('Processing Factors'!$E$8:$E$29,MATCH(2,1/(('Processing Factors'!$B$8:$B$29&lt;=Main!$C74)*('Processing Factors'!$C$8:$C$29=Main!HC74))))</f>
        <v>1</v>
      </c>
      <c r="HH74" s="320">
        <f t="array" ref="HH74">INDEX('Processing Factors'!$F$8:$F$29,MATCH(2,1/(('Processing Factors'!$B$8:$B$29&lt;=Main!$C74)*('Processing Factors'!$C$8:$C$29=Main!HC74))))</f>
        <v>0.9</v>
      </c>
      <c r="HI74" s="320">
        <f t="array" ref="HI74">INDEX('Processing Factors'!$G$8:$G$29,MATCH(2,1/(('Processing Factors'!$B$8:$B$29&lt;=Main!$C74)*('Processing Factors'!$C$8:$C$29=Main!HC74))))</f>
        <v>3.5999999999999997E-2</v>
      </c>
      <c r="HJ74" s="320">
        <f t="array" ref="HJ74">INDEX('Processing Factors'!$H$8:$H$29,MATCH(2,1/(('Processing Factors'!$B$8:$B$29&lt;=Main!$C74)*('Processing Factors'!$C$8:$C$29=Main!HC74))))</f>
        <v>12.15</v>
      </c>
      <c r="HK74" s="319">
        <f t="array" ref="HK74">INDEX('Processing Factors'!$I$8:$I$29,MATCH(2,1/(('Processing Factors'!$B$8:$B$29&lt;=Main!$C74)*('Processing Factors'!$C$8:$C$29=Main!HC74))))</f>
        <v>0</v>
      </c>
      <c r="HL74" s="321">
        <v>0.92</v>
      </c>
      <c r="HM74" s="320">
        <f t="array" ref="HM74">INDEX('Processing Factors'!$K$8:$K$29,MATCH(2,1/(('Processing Factors'!$B$8:$B$29&lt;=Main!$C74)*('Processing Factors'!$C$8:$C$29=Main!HC74))))</f>
        <v>3.5000000000000003E-2</v>
      </c>
      <c r="HN74" s="237"/>
      <c r="HO74" s="322">
        <f t="shared" si="765"/>
        <v>0.5</v>
      </c>
      <c r="HP74" s="322">
        <f t="shared" si="766"/>
        <v>0.05</v>
      </c>
      <c r="HQ74" s="322">
        <f t="shared" si="767"/>
        <v>0.45</v>
      </c>
      <c r="HR74" s="320">
        <f t="shared" si="768"/>
        <v>2.4154589371980677</v>
      </c>
      <c r="HS74" s="263">
        <v>0</v>
      </c>
      <c r="HT74" s="320">
        <f t="shared" si="769"/>
        <v>0.14369565217391306</v>
      </c>
      <c r="HU74" s="323">
        <f t="shared" si="770"/>
        <v>34.486534568845585</v>
      </c>
      <c r="HV74" s="323">
        <f t="shared" si="771"/>
        <v>50.321396655852695</v>
      </c>
      <c r="HW74" s="323">
        <f t="shared" si="772"/>
        <v>1.2197497818850218</v>
      </c>
      <c r="HX74" s="320">
        <f t="shared" si="773"/>
        <v>1.5951545893719807</v>
      </c>
      <c r="HY74" s="323">
        <f t="shared" si="774"/>
        <v>6.755866189095018</v>
      </c>
      <c r="HZ74" s="323">
        <f t="shared" si="775"/>
        <v>92.783547195678324</v>
      </c>
      <c r="IB74" s="287" t="s">
        <v>39</v>
      </c>
      <c r="ID74" s="89" t="str">
        <f t="shared" si="776"/>
        <v>West Kalimantan Generic</v>
      </c>
      <c r="IE74" s="18">
        <f t="shared" si="777"/>
        <v>43934</v>
      </c>
      <c r="IF74" s="94">
        <f t="array" ref="IF74">INDEX('Indices Mines Exporting Ports'!E$20:E$51, MATCH(2,1/(('Indices Mines Exporting Ports'!$C$20:$C$51=$ID74)*('Indices Mines Exporting Ports'!$D$20:$D$51&lt;=$IE74))))</f>
        <v>0.48</v>
      </c>
      <c r="IG74" s="94">
        <f t="array" ref="IG74">INDEX('Indices Mines Exporting Ports'!F$20:F$51, MATCH(2,1/(('Indices Mines Exporting Ports'!$C$20:$C$51=$ID74)*('Indices Mines Exporting Ports'!$D$20:$D$51&lt;=$IE74))))</f>
        <v>0.44</v>
      </c>
      <c r="IH74" s="95">
        <f t="array" ref="IH74">INDEX('Indices Mines Exporting Ports'!G$20:G$51, MATCH(2,1/(('Indices Mines Exporting Ports'!$C$20:$C$51=$ID74)*('Indices Mines Exporting Ports'!$D$20:$D$51&lt;=$IE74))))</f>
        <v>0.08</v>
      </c>
      <c r="II74" s="95">
        <f t="array" ref="II74">INDEX('Indices Mines Exporting Ports'!H$20:H$51, MATCH(2,1/(('Indices Mines Exporting Ports'!$C$20:$C$51=$ID74)*('Indices Mines Exporting Ports'!$D$20:$D$51&lt;=$IE74))))</f>
        <v>3.5000000000000003E-2</v>
      </c>
      <c r="IJ74" s="95">
        <f t="array" ref="IJ74">INDEX('Indices Mines Exporting Ports'!I$20:I$51, MATCH(2,1/(('Indices Mines Exporting Ports'!$C$20:$C$51=$ID74)*('Indices Mines Exporting Ports'!$D$20:$D$51&lt;=$IE74))))</f>
        <v>4.4999999999999998E-2</v>
      </c>
      <c r="IK74" s="94">
        <f t="array" ref="IK74">INDEX('Indices Mines Exporting Ports'!J$20:J$51, MATCH(2,1/(('Indices Mines Exporting Ports'!$C$20:$C$51=$ID74)*('Indices Mines Exporting Ports'!$D$20:$D$51&lt;=$IE74))))</f>
        <v>5.0000000000000001E-3</v>
      </c>
      <c r="IL74" s="94">
        <f t="array" ref="IL74">INDEX('Indices Mines Exporting Ports'!K$20:K$51, MATCH(2,1/(('Indices Mines Exporting Ports'!$C$20:$C$51=$ID74)*('Indices Mines Exporting Ports'!$D$20:$D$51&lt;=$IE74))))</f>
        <v>0.15</v>
      </c>
      <c r="IM74" s="93" t="str">
        <f t="array" ref="IM74">INDEX('Indices Mines Exporting Ports'!L$20:L$51, MATCH(2,1/(('Indices Mines Exporting Ports'!$C$20:$C$51=$ID74)*('Indices Mines Exporting Ports'!$D$20:$D$51&lt;=$IE74))))</f>
        <v>LT</v>
      </c>
      <c r="IN74" s="101">
        <f t="array" ref="IN74">INDEX('Indices Mines Exporting Ports'!M$20:M$51, MATCH(2,1/(('Indices Mines Exporting Ports'!$C$20:$C$51=$ID74)*('Indices Mines Exporting Ports'!$D$20:$D$51&lt;=$IE74))))</f>
        <v>0.33</v>
      </c>
      <c r="IO74" s="96">
        <f t="array" ref="IO74">INDEX('Indices Mines Exporting Ports'!N$20:N$51, MATCH(2,1/(('Indices Mines Exporting Ports'!$C$20:$C$51=$ID74)*('Indices Mines Exporting Ports'!$D$20:$D$51&lt;=$IE74))))</f>
        <v>57000</v>
      </c>
      <c r="IP74" s="95" t="str">
        <f t="array" ref="IP74">INDEX('Indices Mines Exporting Ports'!Q$20:Q$51, MATCH(2,1/(('Indices Mines Exporting Ports'!$C$20:$C$51=$ID74)*('Indices Mines Exporting Ports'!$D$20:$D$51&lt;=$IE74))))</f>
        <v>West_Kal_Generic_Offshore</v>
      </c>
      <c r="IQ74" s="95" t="str">
        <f t="array" ref="IQ74">INDEX('Indices Mines Exporting Ports'!O$20:O$51, MATCH(2,1/(('Indices Mines Exporting Ports'!$C$20:$C$51=$ID74)*('Indices Mines Exporting Ports'!$D$20:$D$51&lt;=$IE74))))</f>
        <v>Indonesian LT</v>
      </c>
      <c r="IR74" s="95" t="str">
        <f t="array" ref="IR74">INDEX('Indices Mines Exporting Ports'!P$20:P$51, MATCH(2,1/(('Indices Mines Exporting Ports'!$C$20:$C$51=$ID74)*('Indices Mines Exporting Ports'!$D$20:$D$51&lt;=$IE74))))</f>
        <v>CBIX LT</v>
      </c>
      <c r="IT74" s="287" t="s">
        <v>39</v>
      </c>
      <c r="IV74" s="292">
        <f>VLOOKUP($C74,'China Price Series'!$C$10:$D$1009,2,TRUE)/$JA74/(VLOOKUP($C74,'China Price Series'!$C$10:$E$1009,3,TRUE)*$JG74/$JF74)</f>
        <v>4.1416787371072177</v>
      </c>
      <c r="IW74" s="292">
        <f>VLOOKUP($C74,'China Price Series'!$G$10:$H$1009,2,TRUE)/$JA74/(VLOOKUP($C74,'China Price Series'!$G$10:$I$1009,3,TRUE))</f>
        <v>239.99706356533991</v>
      </c>
      <c r="IX74" s="292">
        <f>VLOOKUP($C74,'China Price Series'!$K$10:$L$1009,2,TRUE)/$JA74</f>
        <v>33.881938385695051</v>
      </c>
      <c r="IY74" s="292">
        <f>VLOOKUP($C74,'China Price Series'!$N$10:$O$1009,2,TRUE)/$JA74</f>
        <v>4.2352422982118814</v>
      </c>
      <c r="JA74" s="277">
        <f t="array" ref="JA74">INDEX('FX rates'!E$10:E$1009,MATCH(2,1/(('FX rates'!$D$10:$D$1009&lt;=Main!$C74)*(NOT(ISBLANK('FX rates'!E$10:E$1009))))))</f>
        <v>7.0834199999999994</v>
      </c>
      <c r="JB74" s="277">
        <f t="array" ref="JB74">INDEX('FX rates'!F$10:F$1009,MATCH(2,1/(('FX rates'!$D$10:$D$1009&lt;=Main!$C74)*(NOT(ISBLANK('FX rates'!F$10:F$1009))))))</f>
        <v>0.61160022139928016</v>
      </c>
      <c r="JC74" s="277">
        <f t="array" ref="JC74">INDEX('FX rates'!G$10:G$1009,MATCH(2,1/(('FX rates'!$D$10:$D$1009&lt;=Main!$C74)*(NOT(ISBLANK('FX rates'!G$10:G$1009))))))</f>
        <v>1</v>
      </c>
      <c r="JD74" s="277">
        <f t="array" ref="JD74">INDEX('FX rates'!H$10:H$1009,MATCH(2,1/(('FX rates'!$D$10:$D$1009&lt;=Main!$C74)*(NOT(ISBLANK('FX rates'!H$10:H$1009))))))</f>
        <v>1.35</v>
      </c>
      <c r="JF74" s="111">
        <f t="array" ref="JF74">INDEX('Global factors'!C$5:C$23,MATCH(2,1/(('Global factors'!$B$5:$B$23&lt;=Main!$C74)*(NOT(ISBLANK('Global factors'!C$5:C$23))))))</f>
        <v>239000</v>
      </c>
      <c r="JG74" s="112">
        <f t="array" ref="JG74">INDEX('Global factors'!D$5:D$23,MATCH(2,1/(('Global factors'!$B$5:$B$23&lt;=Main!$C74)*(NOT(ISBLANK('Global factors'!D$5:D$23))))))</f>
        <v>1000</v>
      </c>
      <c r="JH74" s="112">
        <f t="array" ref="JH74">INDEX('Global factors'!E$5:E$23,MATCH(2,1/(('Global factors'!$B$5:$B$23&lt;=Main!$C74)*(NOT(ISBLANK('Global factors'!E$5:E$23))))))</f>
        <v>24</v>
      </c>
      <c r="JI74" s="112">
        <f t="array" ref="JI74">INDEX('Global factors'!F$5:F$23,MATCH(2,1/(('Global factors'!$B$5:$B$23&lt;=Main!$C74)*(NOT(ISBLANK('Global factors'!F$5:F$23))))))</f>
        <v>2</v>
      </c>
      <c r="JJ74" s="117">
        <f t="array" ref="JJ74">INDEX('Global factors'!G$5:G$23,MATCH(2,1/(('Global factors'!$B$5:$B$23&lt;=Main!$C74)*(NOT(ISBLANK('Global factors'!G$5:G$23))))))</f>
        <v>0.08</v>
      </c>
      <c r="JK74" s="113">
        <f t="array" ref="JK74">INDEX('Global factors'!H$5:H$23,MATCH(2,1/(('Global factors'!$B$5:$B$23&lt;=Main!$C74)*(NOT(ISBLANK('Global factors'!H$5:H$23))))))</f>
        <v>101.96</v>
      </c>
      <c r="JL74" s="113">
        <f t="array" ref="JL74">INDEX('Global factors'!I$5:I$23,MATCH(2,1/(('Global factors'!$B$5:$B$23&lt;=Main!$C74)*(NOT(ISBLANK('Global factors'!I$5:I$23))))))</f>
        <v>60.08</v>
      </c>
      <c r="JM74" s="114">
        <f t="array" ref="JM74">INDEX('Global factors'!J$5:J$23,MATCH(2,1/(('Global factors'!$B$5:$B$23&lt;=Main!$C74)*(NOT(ISBLANK('Global factors'!J$5:J$23))))))</f>
        <v>0.84853528628495334</v>
      </c>
      <c r="JN74" s="115">
        <f t="array" ref="JN74">INDEX('Global factors'!K$5:K$23,MATCH(2,1/(('Global factors'!$B$5:$B$23&lt;=Main!$C74)*(NOT(ISBLANK('Global factors'!K$5:K$23))))))</f>
        <v>0.97499999999999998</v>
      </c>
      <c r="JO74" s="116">
        <f t="array" ref="JO74">INDEX('Global factors'!L$5:L$23,MATCH(2,1/(('Global factors'!$B$5:$B$23&lt;=Main!$C74)*(NOT(ISBLANK('Global factors'!L$5:L$23))))))</f>
        <v>8.7299999999999997E-4</v>
      </c>
      <c r="JP74" s="116">
        <f t="array" ref="JP74">INDEX('Global factors'!M$5:M$23,MATCH(2,1/(('Global factors'!$B$5:$B$23&lt;=Main!$C74)*(NOT(ISBLANK('Global factors'!M$5:M$23))))))</f>
        <v>145.88999999999999</v>
      </c>
      <c r="JQ74" s="116">
        <f t="array" ref="JQ74">INDEX('Global factors'!N$5:N$23,MATCH(2,1/(('Global factors'!$B$5:$B$23&lt;=Main!$C74)*(NOT(ISBLANK('Global factors'!N$5:N$23))))))</f>
        <v>0.40339999999999998</v>
      </c>
      <c r="JR74" s="116">
        <f t="array" ref="JR74">INDEX('Global factors'!O$5:O$23,MATCH(2,1/(('Global factors'!$B$5:$B$23&lt;=Main!$C74)*(NOT(ISBLANK('Global factors'!O$5:O$23))))))</f>
        <v>0</v>
      </c>
      <c r="JS74" s="116">
        <f t="array" ref="JS74">INDEX('Global factors'!P$5:P$23,MATCH(2,1/(('Global factors'!$B$5:$B$23&lt;=Main!$C74)*(NOT(ISBLANK('Global factors'!P$5:P$23))))))</f>
        <v>0.51890000000000003</v>
      </c>
      <c r="JT74" s="116">
        <f t="array" ref="JT74">INDEX('Global factors'!Q$5:Q$23,MATCH(2,1/(('Global factors'!$B$5:$B$23&lt;=Main!$C74)*(NOT(ISBLANK('Global factors'!Q$5:Q$23))))))</f>
        <v>4797</v>
      </c>
      <c r="JU74" s="116">
        <f t="array" ref="JU74">INDEX('Global factors'!R$5:R$23,MATCH(2,1/(('Global factors'!$B$5:$B$23&lt;=Main!$C74)*(NOT(ISBLANK('Global factors'!R$5:R$23))))))</f>
        <v>7</v>
      </c>
      <c r="JV74" s="115">
        <f t="array" ref="JV74">INDEX('Global factors'!S$5:S$23,MATCH(2,1/(('Global factors'!$B$5:$B$23&lt;=Main!$C74)*(NOT(ISBLANK('Global factors'!S$5:S$23))))))</f>
        <v>0.12</v>
      </c>
      <c r="JW74" s="115">
        <f t="array" ref="JW74">INDEX('Global factors'!T$5:T$23,MATCH(2,1/(('Global factors'!$B$5:$B$23&lt;=Main!$C74)*(NOT(ISBLANK('Global factors'!T$5:T$23))))))</f>
        <v>0.5</v>
      </c>
      <c r="JX74" s="116">
        <f t="array" ref="JX74">INDEX('Global factors'!U$5:U$23,MATCH(2,1/(('Global factors'!$B$5:$B$23&lt;=Main!$C74)*(NOT(ISBLANK('Global factors'!U$5:U$23))))))</f>
        <v>0.5</v>
      </c>
      <c r="JY74" s="116">
        <f t="array" ref="JY74">INDEX('Global factors'!V$5:V$23,MATCH(2,1/(('Global factors'!$B$5:$B$23&lt;=Main!$C74)*(NOT(ISBLANK('Global factors'!V$5:V$23))))))</f>
        <v>10000</v>
      </c>
      <c r="JZ74" s="116">
        <f t="array" ref="JZ74">INDEX('Global factors'!W$5:W$23,MATCH(2,1/(('Global factors'!$B$5:$B$23&lt;=Main!$C74)*(NOT(ISBLANK('Global factors'!W$5:W$23))))))</f>
        <v>0.10680000000000001</v>
      </c>
      <c r="KA74" s="116">
        <f t="array" ref="KA74">INDEX('Global factors'!X$5:X$23,MATCH(2,1/(('Global factors'!$B$5:$B$23&lt;=Main!$C74)*(NOT(ISBLANK('Global factors'!X$5:X$23))))))</f>
        <v>1.2</v>
      </c>
      <c r="KB74" s="116">
        <v>0</v>
      </c>
      <c r="KC74" s="272">
        <f t="array" ref="KC74">INDEX('Global factors'!Y$5:Y$23,MATCH(2,1/(('Global factors'!$B$5:$B$23&lt;=Main!$C74)*(NOT(ISBLANK('Global factors'!Y$5:Y$23))))))</f>
        <v>23643.7088248818</v>
      </c>
      <c r="KD74" s="273">
        <f t="array" ref="KD74">INDEX('Global factors'!Z$5:Z$23,MATCH(2,1/(('Global factors'!$B$5:$B$23&lt;=Main!$C74)*(NOT(ISBLANK('Global factors'!Z$5:Z$23))))))</f>
        <v>0.62802869915581405</v>
      </c>
      <c r="KE74" s="273">
        <v>0</v>
      </c>
      <c r="KF74" s="273">
        <v>0</v>
      </c>
      <c r="KG74" s="116">
        <v>0</v>
      </c>
      <c r="KH74" s="116">
        <f t="array" ref="KH74">INDEX('Global factors'!AB$5:AB$23,MATCH(2,1/(('Global factors'!$B$5:$B$23&lt;=Main!$C74)*(NOT(ISBLANK('Global factors'!AB$5:AB$23))))))</f>
        <v>6.2556361557795204E-2</v>
      </c>
      <c r="KI74" s="116">
        <f t="array" ref="KI74">INDEX('Global factors'!AC$5:AC$23,MATCH(2,1/(('Global factors'!$B$5:$B$23&lt;=Main!$C74)*(NOT(ISBLANK('Global factors'!AC$5:AC$23))))))</f>
        <v>8.6923129044225601E-4</v>
      </c>
      <c r="KJ74" s="116">
        <f t="array" ref="KJ74">INDEX('Global factors'!AD$5:AD$23,MATCH(2,1/(('Global factors'!$B$5:$B$23&lt;=Main!$C74)*(NOT(ISBLANK('Global factors'!AD$5:AD$23))))))</f>
        <v>1.1499999999999999</v>
      </c>
      <c r="KK74" s="116" t="str">
        <f t="array" ref="KK74">INDEX('Global factors'!AE$5:AE$23,MATCH(2,1/(('Global factors'!$B$5:$B$23&lt;=Main!$C74)*(NOT(ISBLANK('Global factors'!AE$5:AE$23))))))</f>
        <v>Qingdao</v>
      </c>
      <c r="KL74" s="290">
        <f t="array" ref="KL74">INDEX('Global factors'!AF$5:AF$23,MATCH(2,1/(('Global factors'!$B$5:$B$23&lt;=Main!$C74)*(NOT(ISBLANK('Global factors'!AF$5:AF$23))))))</f>
        <v>3.0000000000000001E-3</v>
      </c>
      <c r="KM74" s="290"/>
      <c r="KO74" s="287" t="s">
        <v>39</v>
      </c>
      <c r="KQ74" s="25">
        <f t="shared" si="778"/>
        <v>83130.904183535764</v>
      </c>
      <c r="KR74" s="4" t="str">
        <f>VLOOKUP(KQ74,'Ship Time Charter Rates'!$F$10:$G$17,2,TRUE)</f>
        <v>Panamax</v>
      </c>
      <c r="KS74" s="4" t="str">
        <f>VLOOKUP(KQ74,Canals!$E$5:$F$12,2,TRUE)</f>
        <v>Panamax</v>
      </c>
      <c r="KT74" s="25">
        <f t="shared" si="779"/>
        <v>218.46327935222672</v>
      </c>
      <c r="KU74" s="25">
        <f t="shared" si="780"/>
        <v>33535.006747638326</v>
      </c>
      <c r="KV74" s="25">
        <f t="shared" si="781"/>
        <v>47933.626180836713</v>
      </c>
      <c r="KX74" s="75">
        <f t="array" ref="KX74">INDEX('Indices Mines Exporting Ports'!$R$20:$R$51,MATCH(2,1/(('Indices Mines Exporting Ports'!$D$20:$D$51&lt;=Main!$C74)*('Indices Mines Exporting Ports'!$Q$20:$Q$51=$AP74))))</f>
        <v>15000</v>
      </c>
      <c r="KY74" s="75">
        <f t="array" ref="KY74">INDEX('Indices Mines Exporting Ports'!$S$20:$S$51,MATCH(2,1/(('Indices Mines Exporting Ports'!$D$20:$D$51&lt;=Main!$C74)*('Indices Mines Exporting Ports'!$Q$20:$Q$51=$AP74))))</f>
        <v>15000</v>
      </c>
      <c r="KZ74" s="75">
        <f t="array" ref="KZ74">INDEX('Indices Mines Exporting Ports'!$T$20:$T$51,MATCH(2,1/(('Indices Mines Exporting Ports'!$D$20:$D$51&lt;=Main!$C74)*('Indices Mines Exporting Ports'!$Q$20:$Q$51=$AP74))))</f>
        <v>15000</v>
      </c>
      <c r="LA74" s="75">
        <f t="array" ref="LA74">INDEX('Indices Mines Exporting Ports'!$U$20:$U$51,MATCH(2,1/(('Indices Mines Exporting Ports'!$D$20:$D$51&lt;=Main!$C74)*('Indices Mines Exporting Ports'!$Q$20:$Q$51=$AP74))))</f>
        <v>15000</v>
      </c>
      <c r="LB74" s="75">
        <f t="array" ref="LB74">INDEX('Indices Mines Exporting Ports'!$V$20:$V$51,MATCH(2,1/(('Indices Mines Exporting Ports'!$D$20:$D$51&lt;=Main!$C74)*('Indices Mines Exporting Ports'!$Q$20:$Q$51=$AP74))))</f>
        <v>15000</v>
      </c>
      <c r="LC74" s="75">
        <f t="array" ref="LC74">INDEX('Indices Mines Exporting Ports'!$W$20:$W$51,MATCH(2,1/(('Indices Mines Exporting Ports'!$D$20:$D$51&lt;=Main!$C74)*('Indices Mines Exporting Ports'!$Q$20:$Q$51=$AP74))))</f>
        <v>15000</v>
      </c>
      <c r="LD74" s="75">
        <f t="array" ref="LD74">INDEX('Indices Mines Exporting Ports'!$X$20:$X$51,MATCH(2,1/(('Indices Mines Exporting Ports'!$D$20:$D$51&lt;=Main!$C74)*('Indices Mines Exporting Ports'!$Q$20:$Q$51=$AP74))))</f>
        <v>15000</v>
      </c>
      <c r="LF74" s="75">
        <f t="array" ref="LF74">INDEX('Port Linkages'!$E$18:$E$157,MATCH(2,1/(('Port Linkages'!$C$18:$C$157=$AP74)*('Port Linkages'!$D$18:$D$157=IF($AO74="Yes",$AQ74,$AS74))*('Port Linkages'!$A$18:$A$157&lt;=$C74))))</f>
        <v>2326</v>
      </c>
      <c r="LG74" s="75">
        <f t="array" ref="LG74">INDEX('Port Linkages'!$F$18:$F$157,MATCH(2,1/(('Port Linkages'!$C$18:$C$157=$AP74)*('Port Linkages'!$D$18:$D$157=IF($AO74="Yes",$AQ74,$AS74))*('Port Linkages'!$A$18:$A$157&lt;=$C74))))</f>
        <v>0</v>
      </c>
      <c r="LH74" s="75" t="str">
        <f t="array" ref="LH74">INDEX('Port Linkages'!$G$18:$G$157,MATCH(2,1/(('Port Linkages'!$C$18:$C$157=$AP74)*('Port Linkages'!$D$18:$D$157=IF($AO74="Yes",$AQ74,$AS74))*('Port Linkages'!$A$18:$A$157&lt;=$C74))))</f>
        <v>VLOC_General</v>
      </c>
      <c r="LI74" s="75" t="str">
        <f t="array" ref="LI74">INDEX('Port Linkages'!$H$18:$H$157,MATCH(2,1/(('Port Linkages'!$C$18:$C$157=$AP74)*('Port Linkages'!$D$18:$D$157=IF($AO74="Yes",$AQ74,$AS74))*('Port Linkages'!$A$18:$A$157&lt;=$C74))))</f>
        <v>Singapore</v>
      </c>
      <c r="LJ74" s="75" t="str">
        <f t="array" ref="LJ74">INDEX('Port Linkages'!$I$18:$I$157,MATCH(2,1/(('Port Linkages'!$C$18:$C$157=$AP74)*('Port Linkages'!$D$18:$D$157=IF($AO74="Yes",$AQ74,$AS74))*('Port Linkages'!$A$18:$A$157&lt;=$C74))))</f>
        <v>VLSFO</v>
      </c>
      <c r="LK74" s="75" t="str">
        <f t="array" ref="LK74">INDEX('Port Linkages'!$J$18:$J$157,MATCH(2,1/(('Port Linkages'!$C$18:$C$157=$AP74)*('Port Linkages'!$D$18:$D$157=IF($AO74="Yes",$AQ74,$AS74))*('Port Linkages'!$A$18:$A$157&lt;=$C74))))</f>
        <v>MGO_Regular</v>
      </c>
      <c r="LL74" s="75" t="str">
        <f t="array" ref="LL74">INDEX('Port Linkages'!$K$18:$K$157,MATCH(2,1/(('Port Linkages'!$C$18:$C$157=$AP74)*('Port Linkages'!$D$18:$D$157=IF($AO74="Yes",$AQ74,$AS74))*('Port Linkages'!$A$18:$A$157&lt;=$C74))))</f>
        <v>none</v>
      </c>
      <c r="LM74" s="75">
        <f t="array" ref="LM74">INDEX('Port Linkages'!$L$18:$L$157,MATCH(2,1/(('Port Linkages'!$C$18:$C$157=$AP74)*('Port Linkages'!$D$18:$D$157=IF($AO74="Yes",$AQ74,$AS74))*('Port Linkages'!$A$18:$A$157&lt;=$C74))))</f>
        <v>2326</v>
      </c>
      <c r="LN74" s="75">
        <f t="array" ref="LN74">INDEX('Port Linkages'!$M$18:$M$157,MATCH(2,1/(('Port Linkages'!$C$18:$C$157=$AP74)*('Port Linkages'!$D$18:$D$157=IF($AO74="Yes",$AQ74,$AS74))*('Port Linkages'!$A$18:$A$157&lt;=$C74))))</f>
        <v>0</v>
      </c>
      <c r="LO74" s="75" t="str">
        <f t="array" ref="LO74">INDEX('Port Linkages'!$N$18:$N$157,MATCH(2,1/(('Port Linkages'!$C$18:$C$157=$AP74)*('Port Linkages'!$D$18:$D$157=IF($AO74="Yes",$AQ74,$AS74))*('Port Linkages'!$A$18:$A$157&lt;=$C74))))</f>
        <v>Capesize_General</v>
      </c>
      <c r="LP74" s="75" t="str">
        <f t="array" ref="LP74">INDEX('Port Linkages'!$O$18:$O$157,MATCH(2,1/(('Port Linkages'!$C$18:$C$157=$AP74)*('Port Linkages'!$D$18:$D$157=IF($AO74="Yes",$AQ74,$AS74))*('Port Linkages'!$A$18:$A$157&lt;=$C74))))</f>
        <v>Singapore</v>
      </c>
      <c r="LQ74" s="75" t="str">
        <f t="array" ref="LQ74">INDEX('Port Linkages'!$P$18:$P$157,MATCH(2,1/(('Port Linkages'!$C$18:$C$157=$AP74)*('Port Linkages'!$D$18:$D$157=IF($AO74="Yes",$AQ74,$AS74))*('Port Linkages'!$A$18:$A$157&lt;=$C74))))</f>
        <v>VLSFO</v>
      </c>
      <c r="LR74" s="75" t="str">
        <f t="array" ref="LR74">INDEX('Port Linkages'!$Q$18:$Q$157,MATCH(2,1/(('Port Linkages'!$C$18:$C$157=$AP74)*('Port Linkages'!$D$18:$D$157=IF($AO74="Yes",$AQ74,$AS74))*('Port Linkages'!$A$18:$A$157&lt;=$C74))))</f>
        <v>MGO_Regular</v>
      </c>
      <c r="LS74" s="75" t="str">
        <f t="array" ref="LS74">INDEX('Port Linkages'!$R$18:$R$157,MATCH(2,1/(('Port Linkages'!$C$18:$C$157=$AP74)*('Port Linkages'!$D$18:$D$157=IF($AO74="Yes",$AQ74,$AS74))*('Port Linkages'!$A$18:$A$157&lt;=$C74))))</f>
        <v>none</v>
      </c>
      <c r="LT74" s="75">
        <f t="array" ref="LT74">INDEX('Port Linkages'!$S$18:$S$157,MATCH(2,1/(('Port Linkages'!$C$18:$C$157=$AP74)*('Port Linkages'!$D$18:$D$157=IF($AO74="Yes",$AQ74,$AS74))*('Port Linkages'!$A$18:$A$157&lt;=$C74))))</f>
        <v>2326</v>
      </c>
      <c r="LU74" s="75">
        <f t="array" ref="LU74">INDEX('Port Linkages'!$T$18:$T$157,MATCH(2,1/(('Port Linkages'!$C$18:$C$157=$AP74)*('Port Linkages'!$D$18:$D$157=IF($AO74="Yes",$AQ74,$AS74))*('Port Linkages'!$A$18:$A$157&lt;=$C74))))</f>
        <v>0</v>
      </c>
      <c r="LV74" s="75" t="str">
        <f t="array" ref="LV74">INDEX('Port Linkages'!$U$18:$U$157,MATCH(2,1/(('Port Linkages'!$C$18:$C$157=$AP74)*('Port Linkages'!$D$18:$D$157=IF($AO74="Yes",$AQ74,$AS74))*('Port Linkages'!$A$18:$A$157&lt;=$C74))))</f>
        <v>Capesize_General</v>
      </c>
      <c r="LW74" s="75" t="str">
        <f t="array" ref="LW74">INDEX('Port Linkages'!$V$18:$V$157,MATCH(2,1/(('Port Linkages'!$C$18:$C$157=$AP74)*('Port Linkages'!$D$18:$D$157=IF($AO74="Yes",$AQ74,$AS74))*('Port Linkages'!$A$18:$A$157&lt;=$C74))))</f>
        <v>Singapore</v>
      </c>
      <c r="LX74" s="75" t="str">
        <f t="array" ref="LX74">INDEX('Port Linkages'!$W$18:$W$157,MATCH(2,1/(('Port Linkages'!$C$18:$C$157=$AP74)*('Port Linkages'!$D$18:$D$157=IF($AO74="Yes",$AQ74,$AS74))*('Port Linkages'!$A$18:$A$157&lt;=$C74))))</f>
        <v>VLSFO</v>
      </c>
      <c r="LY74" s="75" t="str">
        <f t="array" ref="LY74">INDEX('Port Linkages'!$X$18:$X$157,MATCH(2,1/(('Port Linkages'!$C$18:$C$157=$AP74)*('Port Linkages'!$D$18:$D$157=IF($AO74="Yes",$AQ74,$AS74))*('Port Linkages'!$A$18:$A$157&lt;=$C74))))</f>
        <v>MGO_Regular</v>
      </c>
      <c r="LZ74" s="75" t="str">
        <f t="array" ref="LZ74">INDEX('Port Linkages'!$Y$18:$Y$157,MATCH(2,1/(('Port Linkages'!$C$18:$C$157=$AP74)*('Port Linkages'!$D$18:$D$157=IF($AO74="Yes",$AQ74,$AS74))*('Port Linkages'!$A$18:$A$157&lt;=$C74))))</f>
        <v>none</v>
      </c>
      <c r="MA74" s="75">
        <f t="array" ref="MA74">INDEX('Port Linkages'!$Z$18:$Z$157,MATCH(2,1/(('Port Linkages'!$C$18:$C$157=$AP74)*('Port Linkages'!$D$18:$D$157=IF($AO74="Yes",$AQ74,$AS74))*('Port Linkages'!$A$18:$A$157&lt;=$C74))))</f>
        <v>2326</v>
      </c>
      <c r="MB74" s="75">
        <f t="array" ref="MB74">INDEX('Port Linkages'!$AA$18:$AA$157,MATCH(2,1/(('Port Linkages'!$C$18:$C$157=$AP74)*('Port Linkages'!$D$18:$D$157=IF($AO74="Yes",$AQ74,$AS74))*('Port Linkages'!$A$18:$A$157&lt;=$C74))))</f>
        <v>0</v>
      </c>
      <c r="MC74" s="75" t="str">
        <f t="array" ref="MC74">INDEX('Port Linkages'!$AB$18:$AB$157,MATCH(2,1/(('Port Linkages'!$C$18:$C$157=$AP74)*('Port Linkages'!$D$18:$D$157=IF($AO74="Yes",$AQ74,$AS74))*('Port Linkages'!$A$18:$A$157&lt;=$C74))))</f>
        <v>Capesize_General</v>
      </c>
      <c r="MD74" s="75" t="str">
        <f t="array" ref="MD74">INDEX('Port Linkages'!$AC$18:$AC$157,MATCH(2,1/(('Port Linkages'!$C$18:$C$157=$AP74)*('Port Linkages'!$D$18:$D$157=IF($AO74="Yes",$AQ74,$AS74))*('Port Linkages'!$A$18:$A$157&lt;=$C74))))</f>
        <v>Singapore</v>
      </c>
      <c r="ME74" s="75" t="str">
        <f t="array" ref="ME74">INDEX('Port Linkages'!$AD$18:$AD$157,MATCH(2,1/(('Port Linkages'!$C$18:$C$157=$AP74)*('Port Linkages'!$D$18:$D$157=IF($AO74="Yes",$AQ74,$AS74))*('Port Linkages'!$A$18:$A$157&lt;=$C74))))</f>
        <v>VLSFO</v>
      </c>
      <c r="MF74" s="75" t="str">
        <f t="array" ref="MF74">INDEX('Port Linkages'!$AE$18:$AE$157,MATCH(2,1/(('Port Linkages'!$C$18:$C$157=$AP74)*('Port Linkages'!$D$18:$D$157=IF($AO74="Yes",$AQ74,$AS74))*('Port Linkages'!$A$18:$A$157&lt;=$C74))))</f>
        <v>MGO_Regular</v>
      </c>
      <c r="MG74" s="75" t="str">
        <f t="array" ref="MG74">INDEX('Port Linkages'!$AF$18:$AF$157,MATCH(2,1/(('Port Linkages'!$C$18:$C$157=$AP74)*('Port Linkages'!$D$18:$D$157=IF($AO74="Yes",$AQ74,$AS74))*('Port Linkages'!$A$18:$A$157&lt;=$C74))))</f>
        <v>none</v>
      </c>
      <c r="MH74" s="75">
        <f t="array" ref="MH74">INDEX('Port Linkages'!$AG$18:$AG$157,MATCH(2,1/(('Port Linkages'!$C$18:$C$157=$AP74)*('Port Linkages'!$D$18:$D$157=IF($AO74="Yes",$AQ74,$AS74))*('Port Linkages'!$A$18:$A$157&lt;=$C74))))</f>
        <v>2326</v>
      </c>
      <c r="MI74" s="75">
        <f t="array" ref="MI74">INDEX('Port Linkages'!$AH$18:$AH$157,MATCH(2,1/(('Port Linkages'!$C$18:$C$157=$AP74)*('Port Linkages'!$D$18:$D$157=IF($AO74="Yes",$AQ74,$AS74))*('Port Linkages'!$A$18:$A$157&lt;=$C74))))</f>
        <v>0</v>
      </c>
      <c r="MJ74" s="75" t="str">
        <f t="array" ref="MJ74">INDEX('Port Linkages'!$AI$18:$AI$157,MATCH(2,1/(('Port Linkages'!$C$18:$C$157=$AP74)*('Port Linkages'!$D$18:$D$157=IF($AO74="Yes",$AQ74,$AS74))*('Port Linkages'!$A$18:$A$157&lt;=$C74))))</f>
        <v>Panamax_General</v>
      </c>
      <c r="MK74" s="75" t="str">
        <f t="array" ref="MK74">INDEX('Port Linkages'!$AJ$18:$AJ$157,MATCH(2,1/(('Port Linkages'!$C$18:$C$157=$AP74)*('Port Linkages'!$D$18:$D$157=IF($AO74="Yes",$AQ74,$AS74))*('Port Linkages'!$A$18:$A$157&lt;=$C74))))</f>
        <v>Singapore</v>
      </c>
      <c r="ML74" s="75" t="str">
        <f t="array" ref="ML74">INDEX('Port Linkages'!$AK$18:$AK$157,MATCH(2,1/(('Port Linkages'!$C$18:$C$157=$AP74)*('Port Linkages'!$D$18:$D$157=IF($AO74="Yes",$AQ74,$AS74))*('Port Linkages'!$A$18:$A$157&lt;=$C74))))</f>
        <v>VLSFO</v>
      </c>
      <c r="MM74" s="75" t="str">
        <f t="array" ref="MM74">INDEX('Port Linkages'!$AL$18:$AL$157,MATCH(2,1/(('Port Linkages'!$C$18:$C$157=$AP74)*('Port Linkages'!$D$18:$D$157=IF($AO74="Yes",$AQ74,$AS74))*('Port Linkages'!$A$18:$A$157&lt;=$C74))))</f>
        <v>MGO_Regular</v>
      </c>
      <c r="MN74" s="75" t="str">
        <f t="array" ref="MN74">INDEX('Port Linkages'!$AM$18:$AM$157,MATCH(2,1/(('Port Linkages'!$C$18:$C$157=$AP74)*('Port Linkages'!$D$18:$D$157=IF($AO74="Yes",$AQ74,$AS74))*('Port Linkages'!$A$18:$A$157&lt;=$C74))))</f>
        <v>none</v>
      </c>
      <c r="MO74" s="75">
        <f t="array" ref="MO74">INDEX('Port Linkages'!$AN$18:$AN$157,MATCH(2,1/(('Port Linkages'!$C$18:$C$157=$AP74)*('Port Linkages'!$D$18:$D$157=IF($AO74="Yes",$AQ74,$AS74))*('Port Linkages'!$A$18:$A$157&lt;=$C74))))</f>
        <v>2326</v>
      </c>
      <c r="MP74" s="75">
        <f t="array" ref="MP74">INDEX('Port Linkages'!$AO$18:$AO$157,MATCH(2,1/(('Port Linkages'!$C$18:$C$157=$AP74)*('Port Linkages'!$D$18:$D$157=IF($AO74="Yes",$AQ74,$AS74))*('Port Linkages'!$A$18:$A$157&lt;=$C74))))</f>
        <v>0</v>
      </c>
      <c r="MQ74" s="75" t="str">
        <f t="array" ref="MQ74">INDEX('Port Linkages'!$AP$18:$AP$157,MATCH(2,1/(('Port Linkages'!$C$18:$C$157=$AP74)*('Port Linkages'!$D$18:$D$157=IF($AO74="Yes",$AQ74,$AS74))*('Port Linkages'!$A$18:$A$157&lt;=$C74))))</f>
        <v>Supramax_General</v>
      </c>
      <c r="MR74" s="75" t="str">
        <f t="array" ref="MR74">INDEX('Port Linkages'!$AQ$18:$AQ$157,MATCH(2,1/(('Port Linkages'!$C$18:$C$157=$AP74)*('Port Linkages'!$D$18:$D$157=IF($AO74="Yes",$AQ74,$AS74))*('Port Linkages'!$A$18:$A$157&lt;=$C74))))</f>
        <v>Singapore</v>
      </c>
      <c r="MS74" s="75" t="str">
        <f t="array" ref="MS74">INDEX('Port Linkages'!$AR$18:$AR$157,MATCH(2,1/(('Port Linkages'!$C$18:$C$157=$AP74)*('Port Linkages'!$D$18:$D$157=IF($AO74="Yes",$AQ74,$AS74))*('Port Linkages'!$A$18:$A$157&lt;=$C74))))</f>
        <v>VLSFO</v>
      </c>
      <c r="MT74" s="75" t="str">
        <f t="array" ref="MT74">INDEX('Port Linkages'!$AS$18:$AS$157,MATCH(2,1/(('Port Linkages'!$C$18:$C$157=$AP74)*('Port Linkages'!$D$18:$D$157=IF($AO74="Yes",$AQ74,$AS74))*('Port Linkages'!$A$18:$A$157&lt;=$C74))))</f>
        <v>MGO_Regular</v>
      </c>
      <c r="MU74" s="75" t="str">
        <f t="array" ref="MU74">INDEX('Port Linkages'!$AT$18:$AT$157,MATCH(2,1/(('Port Linkages'!$C$18:$C$157=$AP74)*('Port Linkages'!$D$18:$D$157=IF($AO74="Yes",$AQ74,$AS74))*('Port Linkages'!$A$18:$A$157&lt;=$C74))))</f>
        <v>none</v>
      </c>
      <c r="MV74" s="75">
        <f t="array" ref="MV74">INDEX('Port Linkages'!$AU$18:$AU$157,MATCH(2,1/(('Port Linkages'!$C$18:$C$157=$AP74)*('Port Linkages'!$D$18:$D$157=IF($AO74="Yes",$AQ74,$AS74))*('Port Linkages'!$A$18:$A$157&lt;=$C74))))</f>
        <v>2326</v>
      </c>
      <c r="MW74" s="75">
        <f t="array" ref="MW74">INDEX('Port Linkages'!$AV$18:$AV$157,MATCH(2,1/(('Port Linkages'!$C$18:$C$157=$AP74)*('Port Linkages'!$D$18:$D$157=IF($AO74="Yes",$AQ74,$AS74))*('Port Linkages'!$A$18:$A$157&lt;=$C74))))</f>
        <v>0</v>
      </c>
      <c r="MX74" s="75" t="str">
        <f t="array" ref="MX74">INDEX('Port Linkages'!$AW$18:$AW$157,MATCH(2,1/(('Port Linkages'!$C$18:$C$157=$AP74)*('Port Linkages'!$D$18:$D$157=IF($AO74="Yes",$AQ74,$AS74))*('Port Linkages'!$A$18:$A$157&lt;=$C74))))</f>
        <v>Handysize_General</v>
      </c>
      <c r="MY74" s="75" t="str">
        <f t="array" ref="MY74">INDEX('Port Linkages'!$AX$18:$AX$157,MATCH(2,1/(('Port Linkages'!$C$18:$C$157=$AP74)*('Port Linkages'!$D$18:$D$157=IF($AO74="Yes",$AQ74,$AS74))*('Port Linkages'!$A$18:$A$157&lt;=$C74))))</f>
        <v>Singapore</v>
      </c>
      <c r="MZ74" s="75" t="str">
        <f t="array" ref="MZ74">INDEX('Port Linkages'!$AY$18:$AY$157,MATCH(2,1/(('Port Linkages'!$C$18:$C$157=$AP74)*('Port Linkages'!$D$18:$D$157=IF($AO74="Yes",$AQ74,$AS74))*('Port Linkages'!$A$18:$A$157&lt;=$C74))))</f>
        <v>VLSFO</v>
      </c>
      <c r="NA74" s="75" t="str">
        <f t="array" ref="NA74">INDEX('Port Linkages'!$AZ$18:$AZ$157,MATCH(2,1/(('Port Linkages'!$C$18:$C$157=$AP74)*('Port Linkages'!$D$18:$D$157=IF($AO74="Yes",$AQ74,$AS74))*('Port Linkages'!$A$18:$A$157&lt;=$C74))))</f>
        <v>MGO_Regular</v>
      </c>
      <c r="NB74" s="75" t="str">
        <f t="array" ref="NB74">INDEX('Port Linkages'!$BA$18:$BA$157,MATCH(2,1/(('Port Linkages'!$C$18:$C$157=$AP74)*('Port Linkages'!$D$18:$D$157=IF($AO74="Yes",$AQ74,$AS74))*('Port Linkages'!$A$18:$A$157&lt;=$C74))))</f>
        <v>none</v>
      </c>
      <c r="ND74" s="25" t="e">
        <f t="array" aca="1" ref="ND74" ca="1">INDEX('Ship Fuel Prices'!$F$5:$F$1004,MATCH(2,1/(('Ship Fuel Prices'!$E$5:$E$1004=_xlfn.IFS(KS74="Handysize",Main!MY74,KS74="Supramax",MR74,KS74="Panamax",MK74,KS74="NeoPanamax",MD74,KS74="Suezmax",LW74,KS74="Capesize",LP74,KS74="VLOC",LI74))*('Ship Fuel Prices'!$D$5:$D$1004&lt;=Main!$C74))))</f>
        <v>#N/A</v>
      </c>
      <c r="NE74" s="25" t="e">
        <f t="array" aca="1" ref="NE74" ca="1">INDEX('Ship Fuel Prices'!$G$5:$G$1004,MATCH(2,1/(('Ship Fuel Prices'!$E$5:$E$1004=_xlfn.IFS(KS74="Handysize",Main!MY74,KS74="Supramax",MR74,KS74="Panamax",MK74,KS74="NeoPanamax",MD74,KS74="Suezmax",LW74,KS74="Capesize",LP74,KS74="VLOC",LI74))*('Ship Fuel Prices'!$D$5:$D$1004&lt;=Main!$C74))))</f>
        <v>#N/A</v>
      </c>
      <c r="NF74" s="25" t="e">
        <f t="array" aca="1" ref="NF74" ca="1">INDEX('Ship Fuel Prices'!$H$5:$H$1004,MATCH(2,1/(('Ship Fuel Prices'!$E$5:$E$1004=_xlfn.IFS(KS74="Handysize",Main!MY74,KS74="Supramax",MR74,KS74="Panamax",MK74,KS74="NeoPanamax",MD74,KS74="Suezmax",LW74,KS74="Capesize",LP74,KS74="VLOC",LI74))*('Ship Fuel Prices'!$D$5:$D$1004&lt;=Main!$C74))))</f>
        <v>#N/A</v>
      </c>
      <c r="NG74" s="25" t="e">
        <f t="array" aca="1" ref="NG74" ca="1">INDEX('Ship Fuel Prices'!$I$5:$I$1004,MATCH(2,1/(('Ship Fuel Prices'!$E$5:$E$1004=_xlfn.IFS(KS74="Handysize",Main!MY74,KS74="Supramax",MR74,KS74="Panamax",MK74,KS74="NeoPanamax",MD74,KS74="Suezmax",LW74,KS74="Capesize",LP74,KS74="VLOC",LI74))*('Ship Fuel Prices'!$D$5:$D$1004&lt;=Main!$C74))))</f>
        <v>#N/A</v>
      </c>
      <c r="NH74" s="25" t="e">
        <f t="array" aca="1" ref="NH74" ca="1">INDEX('Ship Fuel Prices'!$J$5:$J$1004,MATCH(2,1/(('Ship Fuel Prices'!$E$5:$E$1004=_xlfn.IFS(KS74="Handysize",Main!MY74,KS74="Supramax",MR74,KS74="Panamax",MK74,KS74="NeoPanamax",MD74,KS74="Suezmax",LW74,KS74="Capesize",LP74,KS74="VLOC",LI74))*('Ship Fuel Prices'!$D$5:$D$1004&lt;=Main!$C74))))</f>
        <v>#N/A</v>
      </c>
      <c r="NJ74" s="75">
        <f t="array" ref="NJ74">INDEX('China n Importing Ports'!$E$20:$E$41,MATCH(2,1/(('China n Importing Ports'!$D$20:$D$41&lt;=$C74)*('China n Importing Ports'!$C$20:$C$41=IF($AO74="Yes",$AQ74,$AS74)))))</f>
        <v>42500</v>
      </c>
      <c r="NK74" s="75">
        <f t="array" ref="NK74">INDEX('China n Importing Ports'!$F$20:$F$41,MATCH(2,1/(('China n Importing Ports'!$D$20:$D$41&lt;=$C74)*('China n Importing Ports'!$C$20:$C$41=IF($AO74="Yes",$AQ74,$AS74)))))</f>
        <v>42500</v>
      </c>
      <c r="NL74" s="75">
        <f t="array" ref="NL74">INDEX('China n Importing Ports'!$G$20:$G$41,MATCH(2,1/(('China n Importing Ports'!$D$20:$D$41&lt;=$C74)*('China n Importing Ports'!$C$20:$C$41=IF($AO74="Yes",$AQ74,$AS74)))))</f>
        <v>42500</v>
      </c>
      <c r="NM74" s="75">
        <f t="array" ref="NM74">INDEX('China n Importing Ports'!$H$20:$H$41,MATCH(2,1/(('China n Importing Ports'!$D$20:$D$41&lt;=$C74)*('China n Importing Ports'!$C$20:$C$41=IF($AO74="Yes",$AQ74,$AS74)))))</f>
        <v>42500</v>
      </c>
      <c r="NN74" s="75">
        <f t="array" ref="NN74">INDEX('China n Importing Ports'!$I$20:$I$41,MATCH(2,1/(('China n Importing Ports'!$D$20:$D$41&lt;=$C74)*('China n Importing Ports'!$C$20:$C$41=IF($AO74="Yes",$AQ74,$AS74)))))</f>
        <v>42500</v>
      </c>
      <c r="NO74" s="75">
        <f t="array" ref="NO74">INDEX('China n Importing Ports'!$J$20:$J$41,MATCH(2,1/(('China n Importing Ports'!$D$20:$D$41&lt;=$C74)*('China n Importing Ports'!$C$20:$C$41=IF($AO74="Yes",$AQ74,$AS74)))))</f>
        <v>42500</v>
      </c>
      <c r="NP74" s="75">
        <f t="array" ref="NP74">INDEX('China n Importing Ports'!$K$20:$K$41,MATCH(2,1/(('China n Importing Ports'!$D$20:$D$41&lt;=$C74)*('China n Importing Ports'!$C$20:$C$41=IF($AO74="Yes",$AQ74,$AS74)))))</f>
        <v>42500</v>
      </c>
      <c r="NQ74" s="75" t="str">
        <f t="array" ref="NQ74">INDEX('China n Importing Ports'!$L$20:$L$41,MATCH(2,1/(('China n Importing Ports'!$D$20:$D$41&lt;=$C74)*('China n Importing Ports'!$C$20:$C$41=IF($AO74="Yes",$AQ74,$AS74)))))</f>
        <v>RMB</v>
      </c>
      <c r="NR74" s="75">
        <f t="array" ref="NR74">INDEX('China n Importing Ports'!$M$20:$M$41,MATCH(2,1/(('China n Importing Ports'!$D$20:$D$41&lt;=$C74)*('China n Importing Ports'!$C$20:$C$41=IF($AO74="Yes",$AQ74,$AS74)))))</f>
        <v>12342</v>
      </c>
      <c r="NS74" s="75">
        <f t="array" ref="NS74">INDEX('China n Importing Ports'!$N$20:$N$41,MATCH(2,1/(('China n Importing Ports'!$D$20:$D$41&lt;=$C74)*('China n Importing Ports'!$C$20:$C$41=IF($AO74="Yes",$AQ74,$AS74)))))</f>
        <v>0</v>
      </c>
      <c r="NT74" s="75">
        <f t="array" ref="NT74">INDEX('China n Importing Ports'!$O$20:$O$41,MATCH(2,1/(('China n Importing Ports'!$D$20:$D$41&lt;=$C74)*('China n Importing Ports'!$C$20:$C$41=IF($AO74="Yes",$AQ74,$AS74)))))</f>
        <v>0</v>
      </c>
      <c r="NU74" s="136">
        <f t="array" ref="NU74">INDEX('China n Importing Ports'!$P$20:$P$41,MATCH(2,1/(('China n Importing Ports'!$D$20:$D$41&lt;=$C74)*('China n Importing Ports'!$C$20:$C$41=IF($AO74="Yes",$AQ74,$AS74)))))</f>
        <v>2.64</v>
      </c>
      <c r="NV74" s="136">
        <f t="array" ref="NV74">INDEX('China n Importing Ports'!$Q$20:$Q$41,MATCH(2,1/(('China n Importing Ports'!$D$20:$D$41&lt;=$C74)*('China n Importing Ports'!$C$20:$C$41=IF($AO74="Yes",$AQ74,$AS74)))))</f>
        <v>0</v>
      </c>
      <c r="NW74" s="136">
        <f t="array" ref="NW74">INDEX('China n Importing Ports'!$R$20:$R$41,MATCH(2,1/(('China n Importing Ports'!$D$20:$D$41&lt;=$C74)*('China n Importing Ports'!$C$20:$C$41=IF($AO74="Yes",$AQ74,$AS74)))))</f>
        <v>0</v>
      </c>
      <c r="NX74" s="136">
        <f t="array" ref="NX74">INDEX('China n Importing Ports'!$S$20:$S$41,MATCH(2,1/(('China n Importing Ports'!$D$20:$D$41&lt;=$C74)*('China n Importing Ports'!$C$20:$C$41=IF($AO74="Yes",$AQ74,$AS74)))))</f>
        <v>4.53</v>
      </c>
      <c r="NY74" s="136">
        <f t="array" ref="NY74">INDEX('China n Importing Ports'!$T$20:$T$41,MATCH(2,1/(('China n Importing Ports'!$D$20:$D$41&lt;=$C74)*('China n Importing Ports'!$C$20:$C$41=IF($AO74="Yes",$AQ74,$AS74)))))</f>
        <v>0.36699999999999999</v>
      </c>
      <c r="NZ74" s="136">
        <f t="array" ref="NZ74">INDEX('China n Importing Ports'!$U$20:$U$41,MATCH(2,1/(('China n Importing Ports'!$D$20:$D$41&lt;=$C74)*('China n Importing Ports'!$C$20:$C$41=IF($AO74="Yes",$AQ74,$AS74)))))</f>
        <v>0.05</v>
      </c>
      <c r="OA74" s="136">
        <f t="array" ref="OA74">INDEX('China n Importing Ports'!$V$20:$V$41,MATCH(2,1/(('China n Importing Ports'!$D$20:$D$41&lt;=$C74)*('China n Importing Ports'!$C$20:$C$41=IF($AO74="Yes",$AQ74,$AS74)))))</f>
        <v>0</v>
      </c>
      <c r="OB74" s="136">
        <f t="array" ref="OB74">INDEX('China n Importing Ports'!$W$20:$W$41,MATCH(2,1/(('China n Importing Ports'!$D$20:$D$41&lt;=$C74)*('China n Importing Ports'!$C$20:$C$41=IF($AO74="Yes",$AQ74,$AS74)))))</f>
        <v>0</v>
      </c>
      <c r="OC74" s="136">
        <f t="array" ref="OC74">INDEX('China n Importing Ports'!$X$20:$X$41,MATCH(2,1/(('China n Importing Ports'!$D$20:$D$41&lt;=$C74)*('China n Importing Ports'!$C$20:$C$41=IF($AO74="Yes",$AQ74,$AS74)))))</f>
        <v>0</v>
      </c>
      <c r="OD74" s="136">
        <f t="array" ref="OD74">INDEX('China n Importing Ports'!$Y$20:$Y$41,MATCH(2,1/(('China n Importing Ports'!$D$20:$D$41&lt;=$C74)*('China n Importing Ports'!$C$20:$C$41=IF($AO74="Yes",$AQ74,$AS74)))))</f>
        <v>197</v>
      </c>
      <c r="OE74" s="136">
        <f t="array" ref="OE74">INDEX('China n Importing Ports'!$Z$20:$Z$41,MATCH(2,1/(('China n Importing Ports'!$D$20:$D$41&lt;=$C74)*('China n Importing Ports'!$C$20:$C$41=IF($AO74="Yes",$AQ74,$AS74)))))</f>
        <v>0</v>
      </c>
      <c r="OF74" s="136">
        <f t="array" ref="OF74">INDEX('China n Importing Ports'!$AA$20:$AA$41,MATCH(2,1/(('China n Importing Ports'!$D$20:$D$41&lt;=$C74)*('China n Importing Ports'!$C$20:$C$41=IF($AO74="Yes",$AQ74,$AS74)))))</f>
        <v>0</v>
      </c>
      <c r="OH74" s="75" t="e">
        <f t="array" aca="1" ref="OH74" ca="1">INDEX(Canals!$G$24:$G$29,MATCH(2,1/((Canals!$F$24:$F$29&lt;=$C74)*(Canals!$G$24:$G$29=_xlfn.IFS(KS74="Handysize",Main!NB74,KS74="Supramax",MU74,KS74="Panamax",MN74,KS74="NeoPanamax",MG74,KS74="Suezmax",LZ74,KS74="Capesize",LS74,KS74="VLOC",LL74)))))</f>
        <v>#N/A</v>
      </c>
      <c r="OI74" s="75" t="e">
        <f t="array" aca="1" ref="OI74" ca="1">INDEX(Canals!$H$24:$H$29,MATCH(2,1/((Canals!$F$24:$F$29&lt;=$C74)*(Canals!$G$24:$G$29=_xlfn.IFS(KS74="Handysize",Main!NB74,KS74="Supramax",MU74,KS74="Panamax",MN74,KS74="NeoPanamax",MG74,KS74="Suezmax",LZ74,KS74="Capesize",LS74,KS74="VLOC",LL74)))))</f>
        <v>#N/A</v>
      </c>
      <c r="OJ74" s="75" t="e">
        <f t="array" aca="1" ref="OJ74" ca="1">INDEX(Canals!$I$24:$I$29,MATCH(2,1/((Canals!$F$24:$F$29&lt;=$C74)*(Canals!$G$24:$G$29=_xlfn.IFS(KS74="Handysize",Main!NB74,KS74="Supramax",MU74,KS74="Panamax",MN74,KS74="NeoPanamax",MG74,KS74="Suezmax",LZ74,KS74="Capesize",LS74,KS74="VLOC",LL74)))))</f>
        <v>#N/A</v>
      </c>
      <c r="OK74" s="75" t="e">
        <f t="array" aca="1" ref="OK74" ca="1">INDEX(Canals!$J$24:$J$29,MATCH(2,1/((Canals!$F$24:$F$29&lt;=$C74)*(Canals!$G$24:$G$29=_xlfn.IFS(KS74="Handysize",Main!NB74,KS74="Supramax",MU74,KS74="Panamax",MN74,KS74="NeoPanamax",MG74,KS74="Suezmax",LZ74,KS74="Capesize",LS74,KS74="VLOC",LL74)))))</f>
        <v>#N/A</v>
      </c>
      <c r="OL74" s="75" t="e">
        <f t="array" aca="1" ref="OL74" ca="1">INDEX(Canals!$K$24:$K$29,MATCH(2,1/((Canals!$F$24:$F$29&lt;=$C74)*(Canals!$G$24:$G$29=_xlfn.IFS(KS74="Handysize",Main!NB74,KS74="Supramax",MU74,KS74="Panamax",MN74,KS74="NeoPanamax",MG74,KS74="Suezmax",LZ74,KS74="Capesize",LS74,KS74="VLOC",LL74)))))</f>
        <v>#N/A</v>
      </c>
      <c r="OM74" s="75" t="e">
        <f t="array" aca="1" ref="OM74" ca="1">INDEX(Canals!$L$24:$L$29,MATCH(2,1/((Canals!$F$24:$F$29&lt;=$C74)*(Canals!$G$24:$G$29=_xlfn.IFS(KS74="Handysize",Main!NB74,KS74="Supramax",MU74,KS74="Panamax",MN74,KS74="NeoPanamax",MG74,KS74="Suezmax",LZ74,KS74="Capesize",LS74,KS74="VLOC",LL74)))))</f>
        <v>#N/A</v>
      </c>
      <c r="ON74" s="75" t="e">
        <f t="array" aca="1" ref="ON74" ca="1">INDEX(Canals!$M$24:$M$29,MATCH(2,1/((Canals!$F$24:$F$29&lt;=$C74)*(Canals!$G$24:$G$29=_xlfn.IFS(KS74="Handysize",Main!NB74,KS74="Supramax",MU74,KS74="Panamax",MN74,KS74="NeoPanamax",MG74,KS74="Suezmax",LZ74,KS74="Capesize",LS74,KS74="VLOC",LL74)))))</f>
        <v>#N/A</v>
      </c>
      <c r="OO74" s="75" t="e">
        <f t="array" aca="1" ref="OO74" ca="1">INDEX(Canals!$N$24:$N$29,MATCH(2,1/((Canals!$F$24:$F$29&lt;=$C74)*(Canals!$G$24:$G$29=_xlfn.IFS(KS74="Handysize",Main!NB74,KS74="Supramax",MU74,KS74="Panamax",MN74,KS74="NeoPanamax",MG74,KS74="Suezmax",LZ74,KS74="Capesize",LS74,KS74="VLOC",LL74)))))</f>
        <v>#N/A</v>
      </c>
      <c r="OP74" s="75" t="e">
        <f t="array" aca="1" ref="OP74" ca="1">INDEX(Canals!$O$24:$O$29,MATCH(2,1/((Canals!$F$24:$F$29&lt;=$C74)*(Canals!$G$24:$G$29=_xlfn.IFS(KS74="Handysize",Main!NB74,KS74="Supramax",MU74,KS74="Panamax",MN74,KS74="NeoPanamax",MG74,KS74="Suezmax",LZ74,KS74="Capesize",LS74,KS74="VLOC",LL74)))))</f>
        <v>#N/A</v>
      </c>
      <c r="OQ74" s="75" t="e">
        <f t="array" aca="1" ref="OQ74" ca="1">INDEX(Canals!$P$24:$P$29,MATCH(2,1/((Canals!$F$24:$F$29&lt;=$C74)*(Canals!$G$24:$G$29=_xlfn.IFS(KS74="Handysize",Main!NB74,KS74="Supramax",MU74,KS74="Panamax",MN74,KS74="NeoPanamax",MG74,KS74="Suezmax",LZ74,KS74="Capesize",LS74,KS74="VLOC",LL74)))))</f>
        <v>#N/A</v>
      </c>
      <c r="OR74" s="75" t="e">
        <f t="array" aca="1" ref="OR74" ca="1">INDEX(Canals!$Q$24:$Q$29,MATCH(2,1/((Canals!$F$24:$F$29&lt;=$C74)*(Canals!$G$24:$G$29=_xlfn.IFS(KS74="Handysize",Main!NB74,KS74="Supramax",MU74,KS74="Panamax",MN74,KS74="NeoPanamax",MG74,KS74="Suezmax",LZ74,KS74="Capesize",LS74,KS74="VLOC",LL74)))))</f>
        <v>#N/A</v>
      </c>
      <c r="OS74" s="75" t="e">
        <f t="array" aca="1" ref="OS74" ca="1">INDEX(Canals!$R$24:$R$29,MATCH(2,1/((Canals!$F$24:$F$29&lt;=$C74)*(Canals!$G$24:$G$29=_xlfn.IFS(KS74="Handysize",Main!NB74,KS74="Supramax",MU74,KS74="Panamax",MN74,KS74="NeoPanamax",MG74,KS74="Suezmax",LZ74,KS74="Capesize",LS74,KS74="VLOC",LL74)))))</f>
        <v>#N/A</v>
      </c>
      <c r="OT74" s="136" t="e">
        <f t="array" aca="1" ref="OT74" ca="1">INDEX(Canals!$S$24:$S$29,MATCH(2,1/((Canals!$F$24:$F$29&lt;=$C74)*(Canals!$G$24:$G$29=_xlfn.IFS(KS74="Handysize",Main!NB74,KS74="Supramax",MU74,KS74="Panamax",MN74,KS74="NeoPanamax",MG74,KS74="Suezmax",LZ74,KS74="Capesize",LS74,KS74="VLOC",LL74)))))</f>
        <v>#N/A</v>
      </c>
      <c r="OU74" s="136" t="e">
        <f t="array" aca="1" ref="OU74" ca="1">INDEX(Canals!$T$24:$T$29,MATCH(2,1/((Canals!$F$24:$F$29&lt;=$C74)*(Canals!$G$24:$G$29=_xlfn.IFS(KS74="Handysize",Main!NB74,KS74="Supramax",MU74,KS74="Panamax",MN74,KS74="NeoPanamax",MG74,KS74="Suezmax",LZ74,KS74="Capesize",LS74,KS74="VLOC",LL74)))))</f>
        <v>#N/A</v>
      </c>
      <c r="OV74" s="136" t="e">
        <f t="array" aca="1" ref="OV74" ca="1">INDEX(Canals!$U$24:$U$29,MATCH(2,1/((Canals!$F$24:$F$29&lt;=$C74)*(Canals!$G$24:$G$29=_xlfn.IFS(KS74="Handysize",Main!NB74,KS74="Supramax",MU74,KS74="Panamax",MN74,KS74="NeoPanamax",MG74,KS74="Suezmax",LZ74,KS74="Capesize",LS74,KS74="VLOC",LL74)))))</f>
        <v>#N/A</v>
      </c>
      <c r="OW74" s="136" t="e">
        <f t="array" aca="1" ref="OW74" ca="1">INDEX(Canals!$V$24:$V$29,MATCH(2,1/((Canals!$F$24:$F$29&lt;=$C74)*(Canals!$G$24:$G$29=_xlfn.IFS(KS74="Handysize",Main!NB74,KS74="Supramax",MU74,KS74="Panamax",MN74,KS74="NeoPanamax",MG74,KS74="Suezmax",LZ74,KS74="Capesize",LS74,KS74="VLOC",LL74)))))</f>
        <v>#N/A</v>
      </c>
      <c r="OX74" s="136" t="e">
        <f t="array" aca="1" ref="OX74" ca="1">INDEX(Canals!$W$24:$W$29,MATCH(2,1/((Canals!$F$24:$F$29&lt;=$C74)*(Canals!$G$24:$G$29=_xlfn.IFS(KS74="Handysize",Main!NB74,KS74="Supramax",MU74,KS74="Panamax",MN74,KS74="NeoPanamax",MG74,KS74="Suezmax",LZ74,KS74="Capesize",LS74,KS74="VLOC",LL74)))))</f>
        <v>#N/A</v>
      </c>
      <c r="OY74" s="136" t="e">
        <f t="array" aca="1" ref="OY74" ca="1">INDEX(Canals!$X$24:$X$29,MATCH(2,1/((Canals!$F$24:$F$29&lt;=$C74)*(Canals!$G$24:$G$29=_xlfn.IFS(KS74="Handysize",Main!NB74,KS74="Supramax",MU74,KS74="Panamax",MN74,KS74="NeoPanamax",MG74,KS74="Suezmax",LZ74,KS74="Capesize",LS74,KS74="VLOC",LL74)))))</f>
        <v>#N/A</v>
      </c>
      <c r="OZ74" s="136" t="e">
        <f t="array" aca="1" ref="OZ74" ca="1">INDEX(Canals!$Y$24:$Y$29,MATCH(2,1/((Canals!$F$24:$F$29&lt;=$C74)*(Canals!$G$24:$G$29=_xlfn.IFS(KS74="Handysize",Main!NB74,KS74="Supramax",MU74,KS74="Panamax",MN74,KS74="NeoPanamax",MG74,KS74="Suezmax",LZ74,KS74="Capesize",LS74,KS74="VLOC",LL74)))))</f>
        <v>#N/A</v>
      </c>
      <c r="PA74" s="136" t="e">
        <f t="array" aca="1" ref="PA74" ca="1">INDEX(Canals!$Z$24:$Z$29,MATCH(2,1/((Canals!$F$24:$F$29&lt;=$C74)*(Canals!$G$24:$G$29=_xlfn.IFS(KS74="Handysize",Main!NB74,KS74="Supramax",MU74,KS74="Panamax",MN74,KS74="NeoPanamax",MG74,KS74="Suezmax",LZ74,KS74="Capesize",LS74,KS74="VLOC",LL74)))))</f>
        <v>#N/A</v>
      </c>
      <c r="PB74" s="136" t="e">
        <f t="array" aca="1" ref="PB74" ca="1">INDEX(Canals!$AA$24:$AA$29,MATCH(2,1/((Canals!$F$24:$F$29&lt;=$C74)*(Canals!$G$24:$G$29=_xlfn.IFS(KS74="Handysize",Main!NB74,KS74="Supramax",MU74,KS74="Panamax",MN74,KS74="NeoPanamax",MG74,KS74="Suezmax",LZ74,KS74="Capesize",LS74,KS74="VLOC",LL74)))))</f>
        <v>#N/A</v>
      </c>
      <c r="PC74" s="136" t="e">
        <f t="array" aca="1" ref="PC74" ca="1">INDEX(Canals!$AB$24:$AB$29,MATCH(2,1/((Canals!$F$24:$F$29&lt;=$C74)*(Canals!$G$24:$G$29=_xlfn.IFS(KS74="Handysize",Main!NB74,KS74="Supramax",MU74,KS74="Panamax",MN74,KS74="NeoPanamax",MG74,KS74="Suezmax",LZ74,KS74="Capesize",LS74,KS74="VLOC",LL74)))))</f>
        <v>#N/A</v>
      </c>
      <c r="PD74" s="75" t="e">
        <f t="array" aca="1" ref="PD74" ca="1">INDEX(Canals!$AC$24:$AC$29,MATCH(2,1/((Canals!$F$24:$F$29&lt;=$C74)*(Canals!$G$24:$G$29=_xlfn.IFS(KS74="Handysize",Main!NB74,KS74="Supramax",MU74,KS74="Panamax",MN74,KS74="NeoPanamax",MG74,KS74="Suezmax",LZ74,KS74="Capesize",LS74,KS74="VLOC",LL74)))))</f>
        <v>#N/A</v>
      </c>
      <c r="PE74" s="75" t="e">
        <f t="array" aca="1" ref="PE74" ca="1">INDEX(Canals!$AD$24:$AD$29,MATCH(2,1/((Canals!$F$24:$F$29&lt;=$C74)*(Canals!$G$24:$G$29=_xlfn.IFS(KS74="Handysize",Main!NB74,KS74="Supramax",MU74,KS74="Panamax",MN74,KS74="NeoPanamax",MG74,KS74="Suezmax",LZ74,KS74="Capesize",LS74,KS74="VLOC",LL74)))))</f>
        <v>#N/A</v>
      </c>
      <c r="PF74" s="75" t="e">
        <f t="array" aca="1" ref="PF74" ca="1">INDEX(Canals!$AE$24:$AE$29,MATCH(2,1/((Canals!$F$24:$F$29&lt;=$C74)*(Canals!$G$24:$G$29=_xlfn.IFS(KS74="Handysize",Main!NB74,KS74="Supramax",MU74,KS74="Panamax",MN74,KS74="NeoPanamax",MG74,KS74="Suezmax",LZ74,KS74="Capesize",LS74,KS74="VLOC",LL74)))))</f>
        <v>#N/A</v>
      </c>
      <c r="PG74" s="75" t="e">
        <f t="array" aca="1" ref="PG74" ca="1">INDEX(Canals!$AF$24:$AF$29,MATCH(2,1/((Canals!$F$24:$F$29&lt;=$C74)*(Canals!$G$24:$G$29=_xlfn.IFS(KS74="Handysize",Main!NB74,KS74="Supramax",MU74,KS74="Panamax",MN74,KS74="NeoPanamax",MG74,KS74="Suezmax",LZ74,KS74="Capesize",LS74,KS74="VLOC",LL74)))))</f>
        <v>#N/A</v>
      </c>
      <c r="PH74" s="75" t="e">
        <f t="array" aca="1" ref="PH74" ca="1">INDEX(Canals!$AG$24:$AG$29,MATCH(2,1/((Canals!$F$24:$F$29&lt;=$C74)*(Canals!$G$24:$G$29=_xlfn.IFS(KS74="Handysize",Main!NB74,KS74="Supramax",MU74,KS74="Panamax",MN74,KS74="NeoPanamax",MG74,KS74="Suezmax",LZ74,KS74="Capesize",LS74,KS74="VLOC",LL74)))))</f>
        <v>#N/A</v>
      </c>
      <c r="PI74" s="75" t="e">
        <f t="array" aca="1" ref="PI74" ca="1">INDEX(Canals!$AH$24:$AH$29,MATCH(2,1/((Canals!$F$24:$F$29&lt;=$C74)*(Canals!$G$24:$G$29=_xlfn.IFS(KS74="Handysize",Main!NB74,KS74="Supramax",MU74,KS74="Panamax",MN74,KS74="NeoPanamax",MG74,KS74="Suezmax",LZ74,KS74="Capesize",LS74,KS74="VLOC",LL74)))))</f>
        <v>#N/A</v>
      </c>
      <c r="PJ74" s="75" t="e">
        <f t="array" aca="1" ref="PJ74" ca="1">INDEX(Canals!$AI$24:$AI$29,MATCH(2,1/((Canals!$F$24:$F$29&lt;=$C74)*(Canals!$G$24:$G$29=_xlfn.IFS(KS74="Handysize",Main!NB74,KS74="Supramax",MU74,KS74="Panamax",MN74,KS74="NeoPanamax",MG74,KS74="Suezmax",LZ74,KS74="Capesize",LS74,KS74="VLOC",LL74)))))</f>
        <v>#N/A</v>
      </c>
      <c r="PK74" s="75" t="e">
        <f t="array" aca="1" ref="PK74" ca="1">INDEX(Canals!$AJ$24:$AJ$29,MATCH(2,1/((Canals!$F$24:$F$29&lt;=$C74)*(Canals!$G$24:$G$29=_xlfn.IFS(KS74="Handysize",Main!NB74,KS74="Supramax",MU74,KS74="Panamax",MN74,KS74="NeoPanamax",MG74,KS74="Suezmax",LZ74,KS74="Capesize",LS74,KS74="VLOC",LL74)))))</f>
        <v>#N/A</v>
      </c>
      <c r="PL74" s="75" t="e">
        <f t="array" aca="1" ref="PL74" ca="1">INDEX(Canals!$AK$24:$AK$29,MATCH(2,1/((Canals!$F$24:$F$29&lt;=$C74)*(Canals!$G$24:$G$29=_xlfn.IFS(KS74="Handysize",Main!NB74,KS74="Supramax",MU74,KS74="Panamax",MN74,KS74="NeoPanamax",MG74,KS74="Suezmax",LZ74,KS74="Capesize",LS74,KS74="VLOC",LL74)))))</f>
        <v>#N/A</v>
      </c>
      <c r="PM74" s="136" t="e">
        <f t="array" aca="1" ref="PM74" ca="1">INDEX(Canals!$AL$24:$AL$29,MATCH(2,1/((Canals!$F$24:$F$29&lt;=$C74)*(Canals!$G$24:$G$29=_xlfn.IFS(KS74="Handysize",Main!NB74,KS74="Supramax",MU74,KS74="Panamax",MN74,KS74="NeoPanamax",MG74,KS74="Suezmax",LZ74,KS74="Capesize",LS74,KS74="VLOC",LL74)))))</f>
        <v>#N/A</v>
      </c>
      <c r="PN74" s="136" t="e">
        <f t="array" aca="1" ref="PN74" ca="1">INDEX(Canals!$AM$24:$AM$29,MATCH(2,1/((Canals!$F$24:$F$29&lt;=$C74)*(Canals!$G$24:$G$29=_xlfn.IFS(KS74="Handysize",Main!NB74,KS74="Supramax",MU74,KS74="Panamax",MN74,KS74="NeoPanamax",MG74,KS74="Suezmax",LZ74,KS74="Capesize",LS74,KS74="VLOC",LL74)))))</f>
        <v>#N/A</v>
      </c>
      <c r="PO74" s="136" t="e">
        <f t="array" aca="1" ref="PO74" ca="1">INDEX(Canals!$AN$24:$AN$29,MATCH(2,1/((Canals!$F$24:$F$29&lt;=$C74)*(Canals!$G$24:$G$29=_xlfn.IFS(KS74="Handysize",Main!NB74,KS74="Supramax",MU74,KS74="Panamax",MN74,KS74="NeoPanamax",MG74,KS74="Suezmax",LZ74,KS74="Capesize",LS74,KS74="VLOC",LL74)))))</f>
        <v>#N/A</v>
      </c>
      <c r="PP74" s="136" t="e">
        <f t="array" aca="1" ref="PP74" ca="1">INDEX(Canals!$AO$24:$AO$29,MATCH(2,1/((Canals!$F$24:$F$29&lt;=$C74)*(Canals!$G$24:$G$29=_xlfn.IFS(KS74="Handysize",Main!NB74,KS74="Supramax",MU74,KS74="Panamax",MN74,KS74="NeoPanamax",MG74,KS74="Suezmax",LZ74,KS74="Capesize",LS74,KS74="VLOC",LL74)))))</f>
        <v>#N/A</v>
      </c>
      <c r="PQ74" s="136" t="e">
        <f t="array" aca="1" ref="PQ74" ca="1">INDEX(Canals!$AP$24:$AP$29,MATCH(2,1/((Canals!$F$24:$F$29&lt;=$C74)*(Canals!$G$24:$G$29=_xlfn.IFS(KS74="Handysize",Main!NB74,KS74="Supramax",MU74,KS74="Panamax",MN74,KS74="NeoPanamax",MG74,KS74="Suezmax",LZ74,KS74="Capesize",LS74,KS74="VLOC",LL74)))))</f>
        <v>#N/A</v>
      </c>
      <c r="PR74" s="136" t="e">
        <f t="array" aca="1" ref="PR74" ca="1">INDEX(Canals!$AQ$24:$AQ$29,MATCH(2,1/((Canals!$F$24:$F$29&lt;=$C74)*(Canals!$G$24:$G$29=_xlfn.IFS(KS74="Handysize",Main!NB74,KS74="Supramax",MU74,KS74="Panamax",MN74,KS74="NeoPanamax",MG74,KS74="Suezmax",LZ74,KS74="Capesize",LS74,KS74="VLOC",LL74)))))</f>
        <v>#N/A</v>
      </c>
      <c r="PS74" s="136" t="e">
        <f t="array" aca="1" ref="PS74" ca="1">INDEX(Canals!$AR$24:$AR$29,MATCH(2,1/((Canals!$F$24:$F$29&lt;=$C74)*(Canals!$G$24:$G$29=_xlfn.IFS(KS74="Handysize",Main!NB74,KS74="Supramax",MU74,KS74="Panamax",MN74,KS74="NeoPanamax",MG74,KS74="Suezmax",LZ74,KS74="Capesize",LS74,KS74="VLOC",LL74)))))</f>
        <v>#N/A</v>
      </c>
      <c r="PT74" s="136" t="e">
        <f t="array" aca="1" ref="PT74" ca="1">INDEX(Canals!$AS$24:$AS$29,MATCH(2,1/((Canals!$F$24:$F$29&lt;=$C74)*(Canals!$G$24:$G$29=_xlfn.IFS(KS74="Handysize",Main!NB74,KS74="Supramax",MU74,KS74="Panamax",MN74,KS74="NeoPanamax",MG74,KS74="Suezmax",LZ74,KS74="Capesize",LS74,KS74="VLOC",LL74)))))</f>
        <v>#N/A</v>
      </c>
      <c r="PU74" s="136" t="e">
        <f t="array" aca="1" ref="PU74" ca="1">INDEX(Canals!$AT$24:$AT$29,MATCH(2,1/((Canals!$F$24:$F$29&lt;=$C74)*(Canals!$G$24:$G$29=_xlfn.IFS(KS74="Handysize",Main!NB74,KS74="Supramax",MU74,KS74="Panamax",MN74,KS74="NeoPanamax",MG74,KS74="Suezmax",LZ74,KS74="Capesize",LS74,KS74="VLOC",LL74)))))</f>
        <v>#N/A</v>
      </c>
      <c r="PV74" s="136" t="e">
        <f t="array" aca="1" ref="PV74" ca="1">INDEX(Canals!$AU$24:$AU$29,MATCH(2,1/((Canals!$F$24:$F$29&lt;=$C74)*(Canals!$G$24:$G$29=_xlfn.IFS(KS74="Handysize",Main!NB74,KS74="Supramax",MU74,KS74="Panamax",MN74,KS74="NeoPanamax",MG74,KS74="Suezmax",LZ74,KS74="Capesize",LS74,KS74="VLOC",LL74)))))</f>
        <v>#N/A</v>
      </c>
      <c r="PW74" s="136" t="e">
        <f t="array" aca="1" ref="PW74" ca="1">INDEX(Canals!$AV$24:$AV$29,MATCH(2,1/((Canals!$F$24:$F$29&lt;=$C74)*(Canals!$G$24:$G$29=_xlfn.IFS(KS74="Handysize",Main!NB74,KS74="Supramax",MU74,KS74="Panamax",MN74,KS74="NeoPanamax",MG74,KS74="Suezmax",LZ74,KS74="Capesize",LS74,KS74="VLOC",LL74)))))</f>
        <v>#N/A</v>
      </c>
      <c r="PY74" s="75" t="e">
        <f t="array" aca="1" ref="PY74" ca="1">_xlfn.IFS(OJ74="DWT",KQ74,OJ74="NRT",KU74,OJ74="GRT",KV74)</f>
        <v>#NAME?</v>
      </c>
      <c r="PZ74" s="279" t="e">
        <f t="shared" ca="1" si="782"/>
        <v>#NAME?</v>
      </c>
      <c r="QA74" s="280" t="e">
        <f t="shared" ca="1" si="783"/>
        <v>#NAME?</v>
      </c>
      <c r="QB74" s="280" t="e">
        <f t="shared" ca="1" si="784"/>
        <v>#NAME?</v>
      </c>
      <c r="QC74" s="280" t="e">
        <f t="shared" ca="1" si="785"/>
        <v>#NAME?</v>
      </c>
      <c r="QD74" s="280" t="e">
        <f t="shared" ca="1" si="786"/>
        <v>#NAME?</v>
      </c>
      <c r="QE74" s="280" t="e">
        <f t="shared" ca="1" si="787"/>
        <v>#NAME?</v>
      </c>
      <c r="QF74" s="280" t="e">
        <f t="shared" ca="1" si="788"/>
        <v>#NAME?</v>
      </c>
      <c r="QG74" s="280" t="e">
        <f t="shared" ca="1" si="789"/>
        <v>#NAME?</v>
      </c>
      <c r="QH74" s="280" t="e">
        <f t="shared" ca="1" si="790"/>
        <v>#NAME?</v>
      </c>
      <c r="QI74" s="75">
        <f t="shared" si="791"/>
        <v>81052.631578947374</v>
      </c>
      <c r="QJ74" s="279" t="e">
        <f t="shared" ca="1" si="792"/>
        <v>#N/A</v>
      </c>
      <c r="QK74" s="280" t="e">
        <f t="shared" ca="1" si="793"/>
        <v>#N/A</v>
      </c>
      <c r="QL74" s="280" t="e">
        <f t="shared" ca="1" si="794"/>
        <v>#N/A</v>
      </c>
      <c r="QM74" s="280" t="e">
        <f t="shared" ca="1" si="795"/>
        <v>#N/A</v>
      </c>
      <c r="QN74" s="280" t="e">
        <f t="shared" ca="1" si="796"/>
        <v>#N/A</v>
      </c>
      <c r="QO74" s="280" t="e">
        <f t="shared" ca="1" si="797"/>
        <v>#N/A</v>
      </c>
      <c r="QP74" s="280" t="e">
        <f t="shared" ca="1" si="798"/>
        <v>#N/A</v>
      </c>
      <c r="QQ74" s="280" t="e">
        <f t="shared" ca="1" si="799"/>
        <v>#N/A</v>
      </c>
      <c r="QR74" s="280" t="e">
        <f t="shared" ca="1" si="800"/>
        <v>#N/A</v>
      </c>
      <c r="QT74" s="75" t="e">
        <f t="array" aca="1" ref="QT74" ca="1">_xlfn.IFS(KS74="Handysize",Main!MV74,KS74="Supramax",MO74,KS74="Panamax",MH74,KS74="NeoPanamax",MA74,KS74="Suezmax",LT74,KS74="Capesize",LM74,KS74="VLOC",LF74)*$JI74</f>
        <v>#NAME?</v>
      </c>
      <c r="QU74" s="274" t="e">
        <f t="array" aca="1" ref="QU74" ca="1">_xlfn.IFS(KS74="Handysize",Main!MW74,KS74="Supramax",MP74,KS74="Panamax",MI74,KS74="NeoPanamax",MB74,KS74="Suezmax",LU74,KS74="Capesize",LN74,KS74="VLOC",LG74)*$JI74</f>
        <v>#NAME?</v>
      </c>
      <c r="QV74" s="71" t="e">
        <f t="array" aca="1" ref="QV74" ca="1">_xlfn.IFS(KS74="Handysize",Main!KX74,KS74="Supramax",KY74,KS74="Panamax",KZ74,KS74="NeoPanamax",LA74,KS74="Suezmax",LB74,KS74="Capesize",LC74,KS74="VLOC",LD74)</f>
        <v>#NAME?</v>
      </c>
      <c r="QW74" s="71" t="e">
        <f t="array" aca="1" ref="QW74" ca="1">_xlfn.IFS(KS74="Handysize",Main!NJ74,KS74="Supramax",NK74,KS74="Panamax",NL74,KS74="NeoPanamax",NM74,KS74="Suezmax",NN74,KS74="Capesize",NO74,KS74="VLOC",NP74)</f>
        <v>#NAME?</v>
      </c>
      <c r="QX74" s="70">
        <f t="array" ref="QX74">INDEX('Ship Speeds'!$G$11:$G$1011,MATCH(2,1/(('Ship Speeds'!$E$11:$E$1011&lt;=Main!$C74)*('Ship Speeds'!$F$11:$F$1011=Main!KR74))))</f>
        <v>11</v>
      </c>
      <c r="QY74" s="403">
        <f t="shared" si="801"/>
        <v>22.103418307276918</v>
      </c>
      <c r="QZ74" s="401">
        <f t="shared" si="802"/>
        <v>2.087838056680162</v>
      </c>
      <c r="RA74" s="70" t="e">
        <f t="shared" ca="1" si="803"/>
        <v>#NAME?</v>
      </c>
      <c r="RB74" s="70" t="e">
        <f t="shared" ca="1" si="804"/>
        <v>#NAME?</v>
      </c>
      <c r="RC74" s="70" t="e">
        <f t="shared" ca="1" si="805"/>
        <v>#NAME?</v>
      </c>
      <c r="RD74" s="70" t="e">
        <f t="shared" ca="1" si="806"/>
        <v>#NAME?</v>
      </c>
      <c r="RE74" s="72" t="e">
        <f t="shared" ca="1" si="807"/>
        <v>#N/A</v>
      </c>
      <c r="RF74" s="70" t="e">
        <f t="shared" ca="1" si="808"/>
        <v>#NAME?</v>
      </c>
      <c r="RG74" s="70" t="e">
        <f t="array" aca="1" ref="RG74" ca="1">INDEX(ND74:NH74,MATCH(_xlfn.IFS(KS74="Handysize",Main!MZ74,KS74="Supramax",MS74,KS74="Panamax",ML74,KS74="NeoPanamax",ME74,KS74="Suezmax",LX74,KS74="Capesize",LQ74,KS74="VLOC",LJ74),$ND$7:$NH$7,0))</f>
        <v>#NAME?</v>
      </c>
      <c r="RH74" s="70" t="e">
        <f t="array" aca="1" ref="RH74" ca="1">INDEX(ND74:NH74,MATCH(_xlfn.IFS(KS74="Handysize",Main!NA74,KS74="Supramax",MT74,KS74="Panamax",MM74,KS74="NeoPanamax",MF74,KS74="Suezmax",LY74,KS74="Capesize",LR74,KS74="VLOC",LK74),$ND$7:$NH$7,0))</f>
        <v>#NAME?</v>
      </c>
      <c r="RI74" s="71" t="e">
        <f t="shared" ca="1" si="809"/>
        <v>#NAME?</v>
      </c>
      <c r="RJ74" s="71" t="e">
        <f t="shared" ca="1" si="810"/>
        <v>#NAME?</v>
      </c>
      <c r="RK74" s="281">
        <f t="shared" si="811"/>
        <v>7.0834199999999994</v>
      </c>
      <c r="RL74" s="71">
        <f t="shared" si="812"/>
        <v>1742.3786814843679</v>
      </c>
      <c r="RM74" s="71" t="e">
        <f t="shared" ca="1" si="813"/>
        <v>#NAME?</v>
      </c>
      <c r="RN74" s="71" t="e">
        <f t="shared" ca="1" si="814"/>
        <v>#NAME?</v>
      </c>
      <c r="RO74" s="71">
        <f t="shared" si="815"/>
        <v>30208.422960719694</v>
      </c>
      <c r="RP74" s="71" t="e">
        <f t="shared" ca="1" si="816"/>
        <v>#NAME?</v>
      </c>
      <c r="RQ74" s="71" t="e">
        <f t="shared" ca="1" si="817"/>
        <v>#NAME?</v>
      </c>
      <c r="RR74" s="71">
        <f t="shared" si="818"/>
        <v>21446.360736311224</v>
      </c>
      <c r="RS74" s="71" t="e">
        <f t="shared" ca="1" si="819"/>
        <v>#NAME?</v>
      </c>
      <c r="RT74" s="71" t="e">
        <f t="shared" ca="1" si="820"/>
        <v>#NAME?</v>
      </c>
      <c r="RU74" s="71">
        <f t="shared" si="821"/>
        <v>0</v>
      </c>
      <c r="RV74" s="71" t="e">
        <f t="shared" ca="1" si="822"/>
        <v>#NAME?</v>
      </c>
      <c r="RW74" s="71" t="e">
        <f t="shared" ca="1" si="823"/>
        <v>#NAME?</v>
      </c>
      <c r="RX74" s="72">
        <f t="shared" si="824"/>
        <v>6075.774983325663</v>
      </c>
      <c r="RY74" s="72" t="e">
        <f t="shared" ca="1" si="825"/>
        <v>#NAME?</v>
      </c>
      <c r="RZ74" s="71" t="e">
        <f t="shared" ca="1" si="826"/>
        <v>#NAME?</v>
      </c>
      <c r="SA74" s="71" t="e">
        <f t="array" aca="1" ref="SA74" ca="1">INDEX('Ship Time Charter Rates'!$H$22:$H$1021,MATCH(2,1/(('Ship Time Charter Rates'!$G$22:$G$1021=_xlfn.IFS(KS74="Handysize",Main!MX74,KS74="Supramax",MQ74,KS74="Panamax",MJ74,KS74="NeoPanamax",MC74,KS74="Suezmax",LV74,KS74="Capesize",LO74,KS74="VLOC",LH74))*('Ship Time Charter Rates'!$E$22:$E$1021&lt;=Main!$C74)*(NOT(ISBLANK('Ship Time Charter Rates'!$H$22:$H$1021))))))</f>
        <v>#N/A</v>
      </c>
      <c r="SB74" s="71" t="e">
        <f t="shared" ca="1" si="827"/>
        <v>#NAME?</v>
      </c>
      <c r="SC74" s="70" t="e">
        <f t="shared" ca="1" si="828"/>
        <v>#N/A</v>
      </c>
      <c r="SD74" s="71" t="e">
        <f t="shared" ca="1" si="829"/>
        <v>#NAME?</v>
      </c>
      <c r="SE74" s="71" t="e">
        <f t="shared" ca="1" si="830"/>
        <v>#NAME?</v>
      </c>
      <c r="SF74" s="72" t="e">
        <f t="shared" ca="1" si="831"/>
        <v>#NAME?</v>
      </c>
      <c r="SH74" s="25">
        <f t="shared" si="832"/>
        <v>0</v>
      </c>
      <c r="SI74" s="4" t="str">
        <f>VLOOKUP(SH74,'Ship Time Charter Rates'!$F$10:$G$17,2,TRUE)</f>
        <v>Handysize</v>
      </c>
      <c r="SJ74" s="4" t="str">
        <f>VLOOKUP(SH74,Canals!$E$5:$F$12,2,TRUE)</f>
        <v>Handysize</v>
      </c>
      <c r="SK74" s="25">
        <f t="shared" si="833"/>
        <v>145.88999999999999</v>
      </c>
      <c r="SL74" s="25">
        <f t="shared" si="834"/>
        <v>0</v>
      </c>
      <c r="SM74" s="25">
        <f t="shared" si="835"/>
        <v>4797</v>
      </c>
      <c r="SO74" s="75">
        <f t="array" ref="SO74">INDEX('Indices Mines Exporting Ports'!$R$20:$R$51,MATCH(2,1/(('Indices Mines Exporting Ports'!$D$20:$D$51&lt;=Main!$C74)*('Indices Mines Exporting Ports'!$Q$20:$Q$51=$AQ74))))</f>
        <v>0</v>
      </c>
      <c r="SP74" s="75">
        <f t="array" ref="SP74">INDEX('Indices Mines Exporting Ports'!$S$20:$S$51,MATCH(2,1/(('Indices Mines Exporting Ports'!$D$20:$D$51&lt;=Main!$C74)*('Indices Mines Exporting Ports'!$Q$20:$Q$51=$AQ74))))</f>
        <v>0</v>
      </c>
      <c r="SQ74" s="75">
        <f t="array" ref="SQ74">INDEX('Indices Mines Exporting Ports'!$T$20:$T$51,MATCH(2,1/(('Indices Mines Exporting Ports'!$D$20:$D$51&lt;=Main!$C74)*('Indices Mines Exporting Ports'!$Q$20:$Q$51=$AQ74))))</f>
        <v>0</v>
      </c>
      <c r="SR74" s="75">
        <f t="array" ref="SR74">INDEX('Indices Mines Exporting Ports'!$U$20:$U$51,MATCH(2,1/(('Indices Mines Exporting Ports'!$D$20:$D$51&lt;=Main!$C74)*('Indices Mines Exporting Ports'!$Q$20:$Q$51=$AQ74))))</f>
        <v>0</v>
      </c>
      <c r="SS74" s="75">
        <f t="array" ref="SS74">INDEX('Indices Mines Exporting Ports'!$V$20:$V$51,MATCH(2,1/(('Indices Mines Exporting Ports'!$D$20:$D$51&lt;=Main!$C74)*('Indices Mines Exporting Ports'!$Q$20:$Q$51=$AQ74))))</f>
        <v>0</v>
      </c>
      <c r="ST74" s="75">
        <f t="array" ref="ST74">INDEX('Indices Mines Exporting Ports'!$W$20:$W$51,MATCH(2,1/(('Indices Mines Exporting Ports'!$D$20:$D$51&lt;=Main!$C74)*('Indices Mines Exporting Ports'!$Q$20:$Q$51=$AQ74))))</f>
        <v>0</v>
      </c>
      <c r="SU74" s="75">
        <f t="array" ref="SU74">INDEX('Indices Mines Exporting Ports'!$X$20:$X$51,MATCH(2,1/(('Indices Mines Exporting Ports'!$D$20:$D$51&lt;=Main!$C74)*('Indices Mines Exporting Ports'!$Q$20:$Q$51=$AQ74))))</f>
        <v>0</v>
      </c>
      <c r="SW74" s="75">
        <f t="array" ref="SW74">INDEX('Port Linkages'!$E$18:$E$157,MATCH(2,1/(('Port Linkages'!$C$18:$C$157=$AQ74)*('Port Linkages'!$D$18:$D$157=IF($AO74="no",$AQ74,$AS74))*('Port Linkages'!$A$18:$A$157&lt;=$C74))))</f>
        <v>0</v>
      </c>
      <c r="SX74" s="75">
        <f t="array" ref="SX74">INDEX('Port Linkages'!$F$18:$F$157,MATCH(2,1/(('Port Linkages'!$C$18:$C$157=$AQ74)*('Port Linkages'!$D$18:$D$157=IF($AO74="no",$AQ74,$AS74))*('Port Linkages'!$A$18:$A$157&lt;=$C74))))</f>
        <v>0</v>
      </c>
      <c r="SY74" s="75">
        <f t="array" ref="SY74">INDEX('Port Linkages'!$G$18:$G$157,MATCH(2,1/(('Port Linkages'!$C$18:$C$157=$AQ74)*('Port Linkages'!$D$18:$D$157=IF($AO74="no",$AQ74,$AS74))*('Port Linkages'!$A$18:$A$157&lt;=$C74))))</f>
        <v>0</v>
      </c>
      <c r="SZ74" s="75">
        <f t="array" ref="SZ74">INDEX('Port Linkages'!$H$18:$H$157,MATCH(2,1/(('Port Linkages'!$C$18:$C$157=$AQ74)*('Port Linkages'!$D$18:$D$157=IF($AO74="no",$AQ74,$AS74))*('Port Linkages'!$A$18:$A$157&lt;=$C74))))</f>
        <v>0</v>
      </c>
      <c r="TA74" s="75">
        <f t="array" ref="TA74">INDEX('Port Linkages'!$I$18:$I$157,MATCH(2,1/(('Port Linkages'!$C$18:$C$157=$AQ74)*('Port Linkages'!$D$18:$D$157=IF($AO74="no",$AQ74,$AS74))*('Port Linkages'!$A$18:$A$157&lt;=$C74))))</f>
        <v>0</v>
      </c>
      <c r="TB74" s="75">
        <f t="array" ref="TB74">INDEX('Port Linkages'!$J$18:$J$157,MATCH(2,1/(('Port Linkages'!$C$18:$C$157=$AQ74)*('Port Linkages'!$D$18:$D$157=IF($AO74="no",$AQ74,$AS74))*('Port Linkages'!$A$18:$A$157&lt;=$C74))))</f>
        <v>0</v>
      </c>
      <c r="TC74" s="75">
        <f t="array" ref="TC74">INDEX('Port Linkages'!$K$18:$K$157,MATCH(2,1/(('Port Linkages'!$C$18:$C$157=$AQ74)*('Port Linkages'!$D$18:$D$157=IF($AO74="no",$AQ74,$AS74))*('Port Linkages'!$A$18:$A$157&lt;=$C74))))</f>
        <v>0</v>
      </c>
      <c r="TD74" s="75">
        <f t="array" ref="TD74">INDEX('Port Linkages'!$L$18:$L$157,MATCH(2,1/(('Port Linkages'!$C$18:$C$157=$AQ74)*('Port Linkages'!$D$18:$D$157=IF($AO74="no",$AQ74,$AS74))*('Port Linkages'!$A$18:$A$157&lt;=$C74))))</f>
        <v>0</v>
      </c>
      <c r="TE74" s="75">
        <f t="array" ref="TE74">INDEX('Port Linkages'!$M$18:$M$157,MATCH(2,1/(('Port Linkages'!$C$18:$C$157=$AQ74)*('Port Linkages'!$D$18:$D$157=IF($AO74="no",$AQ74,$AS74))*('Port Linkages'!$A$18:$A$157&lt;=$C74))))</f>
        <v>0</v>
      </c>
      <c r="TF74" s="75">
        <f t="array" ref="TF74">INDEX('Port Linkages'!$N$18:$N$157,MATCH(2,1/(('Port Linkages'!$C$18:$C$157=$AQ74)*('Port Linkages'!$D$18:$D$157=IF($AO74="no",$AQ74,$AS74))*('Port Linkages'!$A$18:$A$157&lt;=$C74))))</f>
        <v>0</v>
      </c>
      <c r="TG74" s="75">
        <f t="array" ref="TG74">INDEX('Port Linkages'!$O$18:$O$157,MATCH(2,1/(('Port Linkages'!$C$18:$C$157=$AQ74)*('Port Linkages'!$D$18:$D$157=IF($AO74="no",$AQ74,$AS74))*('Port Linkages'!$A$18:$A$157&lt;=$C74))))</f>
        <v>0</v>
      </c>
      <c r="TH74" s="75">
        <f t="array" ref="TH74">INDEX('Port Linkages'!$P$18:$P$157,MATCH(2,1/(('Port Linkages'!$C$18:$C$157=$AQ74)*('Port Linkages'!$D$18:$D$157=IF($AO74="no",$AQ74,$AS74))*('Port Linkages'!$A$18:$A$157&lt;=$C74))))</f>
        <v>0</v>
      </c>
      <c r="TI74" s="75">
        <f t="array" ref="TI74">INDEX('Port Linkages'!$Q$18:$Q$157,MATCH(2,1/(('Port Linkages'!$C$18:$C$157=$AQ74)*('Port Linkages'!$D$18:$D$157=IF($AO74="no",$AQ74,$AS74))*('Port Linkages'!$A$18:$A$157&lt;=$C74))))</f>
        <v>0</v>
      </c>
      <c r="TJ74" s="75">
        <f t="array" ref="TJ74">INDEX('Port Linkages'!$R$18:$R$157,MATCH(2,1/(('Port Linkages'!$C$18:$C$157=$AQ74)*('Port Linkages'!$D$18:$D$157=IF($AO74="no",$AQ74,$AS74))*('Port Linkages'!$A$18:$A$157&lt;=$C74))))</f>
        <v>0</v>
      </c>
      <c r="TK74" s="75">
        <f t="array" ref="TK74">INDEX('Port Linkages'!$S$18:$S$157,MATCH(2,1/(('Port Linkages'!$C$18:$C$157=$AQ74)*('Port Linkages'!$D$18:$D$157=IF($AO74="no",$AQ74,$AS74))*('Port Linkages'!$A$18:$A$157&lt;=$C74))))</f>
        <v>0</v>
      </c>
      <c r="TL74" s="75">
        <f t="array" ref="TL74">INDEX('Port Linkages'!$T$18:$T$157,MATCH(2,1/(('Port Linkages'!$C$18:$C$157=$AQ74)*('Port Linkages'!$D$18:$D$157=IF($AO74="no",$AQ74,$AS74))*('Port Linkages'!$A$18:$A$157&lt;=$C74))))</f>
        <v>0</v>
      </c>
      <c r="TM74" s="75">
        <f t="array" ref="TM74">INDEX('Port Linkages'!$U$18:$U$157,MATCH(2,1/(('Port Linkages'!$C$18:$C$157=$AQ74)*('Port Linkages'!$D$18:$D$157=IF($AO74="no",$AQ74,$AS74))*('Port Linkages'!$A$18:$A$157&lt;=$C74))))</f>
        <v>0</v>
      </c>
      <c r="TN74" s="75">
        <f t="array" ref="TN74">INDEX('Port Linkages'!$V$18:$V$157,MATCH(2,1/(('Port Linkages'!$C$18:$C$157=$AQ74)*('Port Linkages'!$D$18:$D$157=IF($AO74="no",$AQ74,$AS74))*('Port Linkages'!$A$18:$A$157&lt;=$C74))))</f>
        <v>0</v>
      </c>
      <c r="TO74" s="75">
        <f t="array" ref="TO74">INDEX('Port Linkages'!$W$18:$W$157,MATCH(2,1/(('Port Linkages'!$C$18:$C$157=$AQ74)*('Port Linkages'!$D$18:$D$157=IF($AO74="no",$AQ74,$AS74))*('Port Linkages'!$A$18:$A$157&lt;=$C74))))</f>
        <v>0</v>
      </c>
      <c r="TP74" s="75">
        <f t="array" ref="TP74">INDEX('Port Linkages'!$X$18:$X$157,MATCH(2,1/(('Port Linkages'!$C$18:$C$157=$AQ74)*('Port Linkages'!$D$18:$D$157=IF($AO74="no",$AQ74,$AS74))*('Port Linkages'!$A$18:$A$157&lt;=$C74))))</f>
        <v>0</v>
      </c>
      <c r="TQ74" s="75">
        <f t="array" ref="TQ74">INDEX('Port Linkages'!$Y$18:$Y$157,MATCH(2,1/(('Port Linkages'!$C$18:$C$157=$AQ74)*('Port Linkages'!$D$18:$D$157=IF($AO74="no",$AQ74,$AS74))*('Port Linkages'!$A$18:$A$157&lt;=$C74))))</f>
        <v>0</v>
      </c>
      <c r="TR74" s="75">
        <f t="array" ref="TR74">INDEX('Port Linkages'!$Z$18:$Z$157,MATCH(2,1/(('Port Linkages'!$C$18:$C$157=$AQ74)*('Port Linkages'!$D$18:$D$157=IF($AO74="no",$AQ74,$AS74))*('Port Linkages'!$A$18:$A$157&lt;=$C74))))</f>
        <v>0</v>
      </c>
      <c r="TS74" s="75">
        <f t="array" ref="TS74">INDEX('Port Linkages'!$AA$18:$AA$157,MATCH(2,1/(('Port Linkages'!$C$18:$C$157=$AQ74)*('Port Linkages'!$D$18:$D$157=IF($AO74="no",$AQ74,$AS74))*('Port Linkages'!$A$18:$A$157&lt;=$C74))))</f>
        <v>0</v>
      </c>
      <c r="TT74" s="75">
        <f t="array" ref="TT74">INDEX('Port Linkages'!$AB$18:$AB$157,MATCH(2,1/(('Port Linkages'!$C$18:$C$157=$AQ74)*('Port Linkages'!$D$18:$D$157=IF($AO74="no",$AQ74,$AS74))*('Port Linkages'!$A$18:$A$157&lt;=$C74))))</f>
        <v>0</v>
      </c>
      <c r="TU74" s="75">
        <f t="array" ref="TU74">INDEX('Port Linkages'!$AC$18:$AC$157,MATCH(2,1/(('Port Linkages'!$C$18:$C$157=$AQ74)*('Port Linkages'!$D$18:$D$157=IF($AO74="no",$AQ74,$AS74))*('Port Linkages'!$A$18:$A$157&lt;=$C74))))</f>
        <v>0</v>
      </c>
      <c r="TV74" s="75">
        <f t="array" ref="TV74">INDEX('Port Linkages'!$AD$18:$AD$157,MATCH(2,1/(('Port Linkages'!$C$18:$C$157=$AQ74)*('Port Linkages'!$D$18:$D$157=IF($AO74="no",$AQ74,$AS74))*('Port Linkages'!$A$18:$A$157&lt;=$C74))))</f>
        <v>0</v>
      </c>
      <c r="TW74" s="75">
        <f t="array" ref="TW74">INDEX('Port Linkages'!$AE$18:$AE$157,MATCH(2,1/(('Port Linkages'!$C$18:$C$157=$AQ74)*('Port Linkages'!$D$18:$D$157=IF($AO74="no",$AQ74,$AS74))*('Port Linkages'!$A$18:$A$157&lt;=$C74))))</f>
        <v>0</v>
      </c>
      <c r="TX74" s="75">
        <f t="array" ref="TX74">INDEX('Port Linkages'!$AF$18:$AF$157,MATCH(2,1/(('Port Linkages'!$C$18:$C$157=$AQ74)*('Port Linkages'!$D$18:$D$157=IF($AO74="no",$AQ74,$AS74))*('Port Linkages'!$A$18:$A$157&lt;=$C74))))</f>
        <v>0</v>
      </c>
      <c r="TY74" s="75">
        <f t="array" ref="TY74">INDEX('Port Linkages'!$AG$18:$AG$157,MATCH(2,1/(('Port Linkages'!$C$18:$C$157=$AQ74)*('Port Linkages'!$D$18:$D$157=IF($AO74="no",$AQ74,$AS74))*('Port Linkages'!$A$18:$A$157&lt;=$C74))))</f>
        <v>0</v>
      </c>
      <c r="TZ74" s="75">
        <f t="array" ref="TZ74">INDEX('Port Linkages'!$AH$18:$AH$157,MATCH(2,1/(('Port Linkages'!$C$18:$C$157=$AQ74)*('Port Linkages'!$D$18:$D$157=IF($AO74="no",$AQ74,$AS74))*('Port Linkages'!$A$18:$A$157&lt;=$C74))))</f>
        <v>0</v>
      </c>
      <c r="UA74" s="75">
        <f t="array" ref="UA74">INDEX('Port Linkages'!$AI$18:$AI$157,MATCH(2,1/(('Port Linkages'!$C$18:$C$157=$AQ74)*('Port Linkages'!$D$18:$D$157=IF($AO74="no",$AQ74,$AS74))*('Port Linkages'!$A$18:$A$157&lt;=$C74))))</f>
        <v>0</v>
      </c>
      <c r="UB74" s="75">
        <f t="array" ref="UB74">INDEX('Port Linkages'!$AJ$18:$AJ$157,MATCH(2,1/(('Port Linkages'!$C$18:$C$157=$AQ74)*('Port Linkages'!$D$18:$D$157=IF($AO74="no",$AQ74,$AS74))*('Port Linkages'!$A$18:$A$157&lt;=$C74))))</f>
        <v>0</v>
      </c>
      <c r="UC74" s="75">
        <f t="array" ref="UC74">INDEX('Port Linkages'!$AK$18:$AK$157,MATCH(2,1/(('Port Linkages'!$C$18:$C$157=$AQ74)*('Port Linkages'!$D$18:$D$157=IF($AO74="no",$AQ74,$AS74))*('Port Linkages'!$A$18:$A$157&lt;=$C74))))</f>
        <v>0</v>
      </c>
      <c r="UD74" s="75">
        <f t="array" ref="UD74">INDEX('Port Linkages'!$AL$18:$AL$157,MATCH(2,1/(('Port Linkages'!$C$18:$C$157=$AQ74)*('Port Linkages'!$D$18:$D$157=IF($AO74="no",$AQ74,$AS74))*('Port Linkages'!$A$18:$A$157&lt;=$C74))))</f>
        <v>0</v>
      </c>
      <c r="UE74" s="75">
        <f t="array" ref="UE74">INDEX('Port Linkages'!$AM$18:$AM$157,MATCH(2,1/(('Port Linkages'!$C$18:$C$157=$AQ74)*('Port Linkages'!$D$18:$D$157=IF($AO74="no",$AQ74,$AS74))*('Port Linkages'!$A$18:$A$157&lt;=$C74))))</f>
        <v>0</v>
      </c>
      <c r="UF74" s="75">
        <f t="array" ref="UF74">INDEX('Port Linkages'!$AN$18:$AN$157,MATCH(2,1/(('Port Linkages'!$C$18:$C$157=$AQ74)*('Port Linkages'!$D$18:$D$157=IF($AO74="no",$AQ74,$AS74))*('Port Linkages'!$A$18:$A$157&lt;=$C74))))</f>
        <v>0</v>
      </c>
      <c r="UG74" s="75">
        <f t="array" ref="UG74">INDEX('Port Linkages'!$AO$18:$AO$157,MATCH(2,1/(('Port Linkages'!$C$18:$C$157=$AQ74)*('Port Linkages'!$D$18:$D$157=IF($AO74="no",$AQ74,$AS74))*('Port Linkages'!$A$18:$A$157&lt;=$C74))))</f>
        <v>0</v>
      </c>
      <c r="UH74" s="75">
        <f t="array" ref="UH74">INDEX('Port Linkages'!$AP$18:$AP$157,MATCH(2,1/(('Port Linkages'!$C$18:$C$157=$AQ74)*('Port Linkages'!$D$18:$D$157=IF($AO74="no",$AQ74,$AS74))*('Port Linkages'!$A$18:$A$157&lt;=$C74))))</f>
        <v>0</v>
      </c>
      <c r="UI74" s="75">
        <f t="array" ref="UI74">INDEX('Port Linkages'!$AQ$18:$AQ$157,MATCH(2,1/(('Port Linkages'!$C$18:$C$157=$AQ74)*('Port Linkages'!$D$18:$D$157=IF($AO74="no",$AQ74,$AS74))*('Port Linkages'!$A$18:$A$157&lt;=$C74))))</f>
        <v>0</v>
      </c>
      <c r="UJ74" s="75">
        <f t="array" ref="UJ74">INDEX('Port Linkages'!$AR$18:$AR$157,MATCH(2,1/(('Port Linkages'!$C$18:$C$157=$AQ74)*('Port Linkages'!$D$18:$D$157=IF($AO74="no",$AQ74,$AS74))*('Port Linkages'!$A$18:$A$157&lt;=$C74))))</f>
        <v>0</v>
      </c>
      <c r="UK74" s="75">
        <f t="array" ref="UK74">INDEX('Port Linkages'!$AS$18:$AS$157,MATCH(2,1/(('Port Linkages'!$C$18:$C$157=$AQ74)*('Port Linkages'!$D$18:$D$157=IF($AO74="no",$AQ74,$AS74))*('Port Linkages'!$A$18:$A$157&lt;=$C74))))</f>
        <v>0</v>
      </c>
      <c r="UL74" s="75">
        <f t="array" ref="UL74">INDEX('Port Linkages'!$AT$18:$AT$157,MATCH(2,1/(('Port Linkages'!$C$18:$C$157=$AQ74)*('Port Linkages'!$D$18:$D$157=IF($AO74="no",$AQ74,$AS74))*('Port Linkages'!$A$18:$A$157&lt;=$C74))))</f>
        <v>0</v>
      </c>
      <c r="UM74" s="75">
        <f t="array" ref="UM74">INDEX('Port Linkages'!$AU$18:$AU$157,MATCH(2,1/(('Port Linkages'!$C$18:$C$157=$AQ74)*('Port Linkages'!$D$18:$D$157=IF($AO74="no",$AQ74,$AS74))*('Port Linkages'!$A$18:$A$157&lt;=$C74))))</f>
        <v>0</v>
      </c>
      <c r="UN74" s="75">
        <f t="array" ref="UN74">INDEX('Port Linkages'!$AV$18:$AV$157,MATCH(2,1/(('Port Linkages'!$C$18:$C$157=$AQ74)*('Port Linkages'!$D$18:$D$157=IF($AO74="no",$AQ74,$AS74))*('Port Linkages'!$A$18:$A$157&lt;=$C74))))</f>
        <v>0</v>
      </c>
      <c r="UO74" s="75">
        <f t="array" ref="UO74">INDEX('Port Linkages'!$AW$18:$AW$157,MATCH(2,1/(('Port Linkages'!$C$18:$C$157=$AQ74)*('Port Linkages'!$D$18:$D$157=IF($AO74="no",$AQ74,$AS74))*('Port Linkages'!$A$18:$A$157&lt;=$C74))))</f>
        <v>0</v>
      </c>
      <c r="UP74" s="75">
        <f t="array" ref="UP74">INDEX('Port Linkages'!$AX$18:$AX$157,MATCH(2,1/(('Port Linkages'!$C$18:$C$157=$AQ74)*('Port Linkages'!$D$18:$D$157=IF($AO74="no",$AQ74,$AS74))*('Port Linkages'!$A$18:$A$157&lt;=$C74))))</f>
        <v>0</v>
      </c>
      <c r="UQ74" s="75">
        <f t="array" ref="UQ74">INDEX('Port Linkages'!$AY$18:$AY$157,MATCH(2,1/(('Port Linkages'!$C$18:$C$157=$AQ74)*('Port Linkages'!$D$18:$D$157=IF($AO74="no",$AQ74,$AS74))*('Port Linkages'!$A$18:$A$157&lt;=$C74))))</f>
        <v>0</v>
      </c>
      <c r="UR74" s="75">
        <f t="array" ref="UR74">INDEX('Port Linkages'!$AZ$18:$AZ$157,MATCH(2,1/(('Port Linkages'!$C$18:$C$157=$AQ74)*('Port Linkages'!$D$18:$D$157=IF($AO74="no",$AQ74,$AS74))*('Port Linkages'!$A$18:$A$157&lt;=$C74))))</f>
        <v>0</v>
      </c>
      <c r="US74" s="75">
        <f t="array" ref="US74">INDEX('Port Linkages'!$BA$18:$BA$157,MATCH(2,1/(('Port Linkages'!$C$18:$C$157=$AQ74)*('Port Linkages'!$D$18:$D$157=IF($AO74="no",$AQ74,$AS74))*('Port Linkages'!$A$18:$A$157&lt;=$C74))))</f>
        <v>0</v>
      </c>
      <c r="UU74" s="25" t="e">
        <f t="array" aca="1" ref="UU74" ca="1">INDEX('Ship Fuel Prices'!$F$5:$F$1004,MATCH(2,1/(('Ship Fuel Prices'!$E$5:$E$1004=_xlfn.IFS(SJ74="Handysize",Main!UP74,SJ74="Supramax",UI74,SJ74="Panamax",UB74,SJ74="NeoPanamax",TU74,SJ74="Suezmax",TN74,SJ74="Capesize",TG74,SJ74="VLOC",SZ74))*('Ship Fuel Prices'!$D$5:$D$1004&lt;=Main!$C74))))</f>
        <v>#N/A</v>
      </c>
      <c r="UV74" s="25" t="e">
        <f t="array" aca="1" ref="UV74" ca="1">INDEX('Ship Fuel Prices'!$G$5:$G$1004,MATCH(2,1/(('Ship Fuel Prices'!$E$5:$E$1004=_xlfn.IFS(SJ74="Handysize",Main!UP74,SJ74="Supramax",UI74,SJ74="Panamax",UB74,SJ74="NeoPanamax",TU74,SJ74="Suezmax",TN74,SJ74="Capesize",TG74,SJ74="VLOC",SZ74))*('Ship Fuel Prices'!$D$5:$D$1004&lt;=Main!$C74))))</f>
        <v>#N/A</v>
      </c>
      <c r="UW74" s="25" t="e">
        <f t="array" aca="1" ref="UW74" ca="1">INDEX('Ship Fuel Prices'!$H$5:$H$1004,MATCH(2,1/(('Ship Fuel Prices'!$E$5:$E$1004=_xlfn.IFS(SJ74="Handysize",Main!UP74,SJ74="Supramax",UI74,SJ74="Panamax",UB74,SJ74="NeoPanamax",TU74,SJ74="Suezmax",TN74,SJ74="Capesize",TG74,SJ74="VLOC",SZ74))*('Ship Fuel Prices'!$D$5:$D$1004&lt;=Main!$C74))))</f>
        <v>#N/A</v>
      </c>
      <c r="UX74" s="25" t="e">
        <f t="array" aca="1" ref="UX74" ca="1">INDEX('Ship Fuel Prices'!$I$5:$I$1004,MATCH(2,1/(('Ship Fuel Prices'!$E$5:$E$1004=_xlfn.IFS(SJ74="Handysize",Main!UP74,SJ74="Supramax",UI74,SJ74="Panamax",UB74,SJ74="NeoPanamax",TU74,SJ74="Suezmax",TN74,SJ74="Capesize",TG74,SJ74="VLOC",SZ74))*('Ship Fuel Prices'!$D$5:$D$1004&lt;=Main!$C74))))</f>
        <v>#N/A</v>
      </c>
      <c r="UY74" s="25" t="e">
        <f t="array" aca="1" ref="UY74" ca="1">INDEX('Ship Fuel Prices'!$J$5:$J$1004,MATCH(2,1/(('Ship Fuel Prices'!$E$5:$E$1004=_xlfn.IFS(SJ74="Handysize",Main!UP74,SJ74="Supramax",UI74,SJ74="Panamax",UB74,SJ74="NeoPanamax",TU74,SJ74="Suezmax",TN74,SJ74="Capesize",TG74,SJ74="VLOC",SZ74))*('Ship Fuel Prices'!$D$5:$D$1004&lt;=Main!$C74))))</f>
        <v>#N/A</v>
      </c>
      <c r="VA74" s="75">
        <f t="array" ref="VA74">INDEX('China n Importing Ports'!$E$20:$E$41,MATCH(2,1/(('China n Importing Ports'!$D$20:$D$41&lt;=$C74)*('China n Importing Ports'!$C$20:$C$41=IF($AO74="No",$AQ74,$AS74)))))</f>
        <v>0</v>
      </c>
      <c r="VB74" s="75">
        <f t="array" ref="VB74">INDEX('China n Importing Ports'!$F$20:$F$41,MATCH(2,1/(('China n Importing Ports'!$D$20:$D$41&lt;=$C74)*('China n Importing Ports'!$C$20:$C$41=IF($AO74="No",$AQ74,$AS74)))))</f>
        <v>0</v>
      </c>
      <c r="VC74" s="75">
        <f t="array" ref="VC74">INDEX('China n Importing Ports'!$G$20:$G$41,MATCH(2,1/(('China n Importing Ports'!$D$20:$D$41&lt;=$C74)*('China n Importing Ports'!$C$20:$C$41=IF($AO74="No",$AQ74,$AS74)))))</f>
        <v>0</v>
      </c>
      <c r="VD74" s="75">
        <f t="array" ref="VD74">INDEX('China n Importing Ports'!$H$20:$H$41,MATCH(2,1/(('China n Importing Ports'!$D$20:$D$41&lt;=$C74)*('China n Importing Ports'!$C$20:$C$41=IF($AO74="No",$AQ74,$AS74)))))</f>
        <v>0</v>
      </c>
      <c r="VE74" s="75">
        <f t="array" ref="VE74">INDEX('China n Importing Ports'!$I$20:$I$41,MATCH(2,1/(('China n Importing Ports'!$D$20:$D$41&lt;=$C74)*('China n Importing Ports'!$C$20:$C$41=IF($AO74="No",$AQ74,$AS74)))))</f>
        <v>0</v>
      </c>
      <c r="VF74" s="75">
        <f t="array" ref="VF74">INDEX('China n Importing Ports'!$J$20:$J$41,MATCH(2,1/(('China n Importing Ports'!$D$20:$D$41&lt;=$C74)*('China n Importing Ports'!$C$20:$C$41=IF($AO74="No",$AQ74,$AS74)))))</f>
        <v>0</v>
      </c>
      <c r="VG74" s="75">
        <f t="array" ref="VG74">INDEX('China n Importing Ports'!$K$20:$K$41,MATCH(2,1/(('China n Importing Ports'!$D$20:$D$41&lt;=$C74)*('China n Importing Ports'!$C$20:$C$41=IF($AO74="No",$AQ74,$AS74)))))</f>
        <v>0</v>
      </c>
      <c r="VH74" s="75">
        <f t="array" ref="VH74">INDEX('China n Importing Ports'!$L$20:$L$41,MATCH(2,1/(('China n Importing Ports'!$D$20:$D$41&lt;=$C74)*('China n Importing Ports'!$C$20:$C$41=IF($AO74="No",$AQ74,$AS74)))))</f>
        <v>0</v>
      </c>
      <c r="VI74" s="75">
        <f t="array" ref="VI74">INDEX('China n Importing Ports'!$M$20:$M$41,MATCH(2,1/(('China n Importing Ports'!$D$20:$D$41&lt;=$C74)*('China n Importing Ports'!$C$20:$C$41=IF($AO74="No",$AQ74,$AS74)))))</f>
        <v>0</v>
      </c>
      <c r="VJ74" s="75">
        <f t="array" ref="VJ74">INDEX('China n Importing Ports'!$N$20:$N$41,MATCH(2,1/(('China n Importing Ports'!$D$20:$D$41&lt;=$C74)*('China n Importing Ports'!$C$20:$C$41=IF($AO74="No",$AQ74,$AS74)))))</f>
        <v>0</v>
      </c>
      <c r="VK74" s="75">
        <f t="array" ref="VK74">INDEX('China n Importing Ports'!$O$20:$O$41,MATCH(2,1/(('China n Importing Ports'!$D$20:$D$41&lt;=$C74)*('China n Importing Ports'!$C$20:$C$41=IF($AO74="No",$AQ74,$AS74)))))</f>
        <v>0</v>
      </c>
      <c r="VL74" s="136">
        <f t="array" ref="VL74">INDEX('China n Importing Ports'!$P$20:$P$41,MATCH(2,1/(('China n Importing Ports'!$D$20:$D$41&lt;=$C74)*('China n Importing Ports'!$C$20:$C$41=IF($AO74="No",$AQ74,$AS74)))))</f>
        <v>0</v>
      </c>
      <c r="VM74" s="136">
        <f t="array" ref="VM74">INDEX('China n Importing Ports'!$Q$20:$Q$41,MATCH(2,1/(('China n Importing Ports'!$D$20:$D$41&lt;=$C74)*('China n Importing Ports'!$C$20:$C$41=IF($AO74="No",$AQ74,$AS74)))))</f>
        <v>0</v>
      </c>
      <c r="VN74" s="136">
        <f t="array" ref="VN74">INDEX('China n Importing Ports'!$R$20:$R$41,MATCH(2,1/(('China n Importing Ports'!$D$20:$D$41&lt;=$C74)*('China n Importing Ports'!$C$20:$C$41=IF($AO74="No",$AQ74,$AS74)))))</f>
        <v>0</v>
      </c>
      <c r="VO74" s="136">
        <f t="array" ref="VO74">INDEX('China n Importing Ports'!$S$20:$S$41,MATCH(2,1/(('China n Importing Ports'!$D$20:$D$41&lt;=$C74)*('China n Importing Ports'!$C$20:$C$41=IF($AO74="No",$AQ74,$AS74)))))</f>
        <v>0</v>
      </c>
      <c r="VP74" s="136">
        <f t="array" ref="VP74">INDEX('China n Importing Ports'!$T$20:$T$41,MATCH(2,1/(('China n Importing Ports'!$D$20:$D$41&lt;=$C74)*('China n Importing Ports'!$C$20:$C$41=IF($AO74="No",$AQ74,$AS74)))))</f>
        <v>0</v>
      </c>
      <c r="VQ74" s="136">
        <f t="array" ref="VQ74">INDEX('China n Importing Ports'!$U$20:$U$41,MATCH(2,1/(('China n Importing Ports'!$D$20:$D$41&lt;=$C74)*('China n Importing Ports'!$C$20:$C$41=IF($AO74="No",$AQ74,$AS74)))))</f>
        <v>0</v>
      </c>
      <c r="VR74" s="136">
        <f t="array" ref="VR74">INDEX('China n Importing Ports'!$V$20:$V$41,MATCH(2,1/(('China n Importing Ports'!$D$20:$D$41&lt;=$C74)*('China n Importing Ports'!$C$20:$C$41=IF($AO74="No",$AQ74,$AS74)))))</f>
        <v>0</v>
      </c>
      <c r="VS74" s="136">
        <f t="array" ref="VS74">INDEX('China n Importing Ports'!$W$20:$W$41,MATCH(2,1/(('China n Importing Ports'!$D$20:$D$41&lt;=$C74)*('China n Importing Ports'!$C$20:$C$41=IF($AO74="No",$AQ74,$AS74)))))</f>
        <v>0</v>
      </c>
      <c r="VT74" s="136">
        <f t="array" ref="VT74">INDEX('China n Importing Ports'!$X$20:$X$41,MATCH(2,1/(('China n Importing Ports'!$D$20:$D$41&lt;=$C74)*('China n Importing Ports'!$C$20:$C$41=IF($AO74="No",$AQ74,$AS74)))))</f>
        <v>0</v>
      </c>
      <c r="VU74" s="136">
        <f t="array" ref="VU74">INDEX('China n Importing Ports'!$Y$20:$Y$41,MATCH(2,1/(('China n Importing Ports'!$D$20:$D$41&lt;=$C74)*('China n Importing Ports'!$C$20:$C$41=IF($AO74="No",$AQ74,$AS74)))))</f>
        <v>0</v>
      </c>
      <c r="VV74" s="136">
        <f t="array" ref="VV74">INDEX('China n Importing Ports'!$Z$20:$Z$41,MATCH(2,1/(('China n Importing Ports'!$D$20:$D$41&lt;=$C74)*('China n Importing Ports'!$C$20:$C$41=IF($AO74="No",$AQ74,$AS74)))))</f>
        <v>0</v>
      </c>
      <c r="VW74" s="136">
        <f t="array" ref="VW74">INDEX('China n Importing Ports'!$AA$20:$AA$41,MATCH(2,1/(('China n Importing Ports'!$D$20:$D$41&lt;=$C74)*('China n Importing Ports'!$C$20:$C$41=IF($AO74="No",$AQ74,$AS74)))))</f>
        <v>0</v>
      </c>
      <c r="VY74" s="75" t="e">
        <f t="array" aca="1" ref="VY74" ca="1">INDEX(Canals!$G$24:$G$29,MATCH(2,1/((Canals!$F$24:$F$29&lt;=$C74)*(Canals!$G$24:$G$29=_xlfn.IFS(SJ74="Handysize",US74,SJ74="Supramax",UL74,SJ74="Panamax",UE74,SJ74="NeoPanamax",TX74,SJ74="Suezmax",TQ74,SJ74="Capesize",TJ74,SJ74="VLOC",TC74)))))</f>
        <v>#N/A</v>
      </c>
      <c r="VZ74" s="75" t="e">
        <f t="array" aca="1" ref="VZ74" ca="1">INDEX(Canals!$H$24:$H$29,MATCH(2,1/((Canals!$F$24:$F$29&lt;=$C74)*(Canals!$G$24:$G$29=_xlfn.IFS(SJ74="Handysize",US74,SJ74="Supramax",UL74,SJ74="Panamax",UE74,SJ74="NeoPanamax",TX74,SJ74="Suezmax",TQ74,SJ74="Capesize",TJ74,SJ74="VLOC",TC74)))))</f>
        <v>#N/A</v>
      </c>
      <c r="WA74" s="75" t="e">
        <f t="array" aca="1" ref="WA74" ca="1">INDEX(Canals!$I$24:$I$29,MATCH(2,1/((Canals!$F$24:$F$29&lt;=$C74)*(Canals!$G$24:$G$29=_xlfn.IFS(SJ74="Handysize",US74,SJ74="Supramax",UL74,SJ74="Panamax",UE74,SJ74="NeoPanamax",TX74,SJ74="Suezmax",TQ74,SJ74="Capesize",TJ74,SJ74="VLOC",TC74)))))</f>
        <v>#N/A</v>
      </c>
      <c r="WB74" s="75" t="e">
        <f t="array" aca="1" ref="WB74" ca="1">INDEX(Canals!$J$24:$J$29,MATCH(2,1/((Canals!$F$24:$F$29&lt;=$C74)*(Canals!$G$24:$G$29=_xlfn.IFS(SJ74="Handysize",Main!US74,SJ74="Supramax",UL74,SJ74="Panamax",UE74,SJ74="NeoPanamax",TX74,SJ74="Suezmax",TQ74,SJ74="Capesize",TJ74,SJ74="VLOC",TC74)))))</f>
        <v>#N/A</v>
      </c>
      <c r="WC74" s="75" t="e">
        <f t="array" aca="1" ref="WC74" ca="1">INDEX(Canals!$K$24:$K$29,MATCH(2,1/((Canals!$F$24:$F$29&lt;=$C74)*(Canals!$G$24:$G$29=_xlfn.IFS(SJ74="Handysize",Main!US74,SJ74="Supramax",UL74,SJ74="Panamax",UE74,SJ74="NeoPanamax",TX74,SJ74="Suezmax",TQ74,SJ74="Capesize",TJ74,SJ74="VLOC",TC74)))))</f>
        <v>#N/A</v>
      </c>
      <c r="WD74" s="75" t="e">
        <f t="array" aca="1" ref="WD74" ca="1">INDEX(Canals!$L$24:$L$29,MATCH(2,1/((Canals!$F$24:$F$29&lt;=$C74)*(Canals!$G$24:$G$29=_xlfn.IFS(SJ74="Handysize",Main!US74,SJ74="Supramax",UL74,SJ74="Panamax",UE74,SJ74="NeoPanamax",TX74,SJ74="Suezmax",TQ74,SJ74="Capesize",TJ74,SJ74="VLOC",TC74)))))</f>
        <v>#N/A</v>
      </c>
      <c r="WE74" s="75" t="e">
        <f t="array" aca="1" ref="WE74" ca="1">INDEX(Canals!$M$24:$M$29,MATCH(2,1/((Canals!$F$24:$F$29&lt;=$C74)*(Canals!$G$24:$G$29=_xlfn.IFS(SJ74="Handysize",Main!US74,SJ74="Supramax",UL74,SJ74="Panamax",UE74,SJ74="NeoPanamax",TX74,SJ74="Suezmax",TQ74,SJ74="Capesize",TJ74,SJ74="VLOC",TC74)))))</f>
        <v>#N/A</v>
      </c>
      <c r="WF74" s="75" t="e">
        <f t="array" aca="1" ref="WF74" ca="1">INDEX(Canals!$N$24:$N$29,MATCH(2,1/((Canals!$F$24:$F$29&lt;=$C74)*(Canals!$G$24:$G$29=_xlfn.IFS(SJ74="Handysize",Main!US74,SJ74="Supramax",UL74,SJ74="Panamax",UE74,SJ74="NeoPanamax",TX74,SJ74="Suezmax",TQ74,SJ74="Capesize",TJ74,SJ74="VLOC",TC74)))))</f>
        <v>#N/A</v>
      </c>
      <c r="WG74" s="75" t="e">
        <f t="array" aca="1" ref="WG74" ca="1">INDEX(Canals!$O$24:$O$29,MATCH(2,1/((Canals!$F$24:$F$29&lt;=$C74)*(Canals!$G$24:$G$29=_xlfn.IFS(SJ74="Handysize",Main!US74,SJ74="Supramax",UL74,SJ74="Panamax",UE74,SJ74="NeoPanamax",TX74,SJ74="Suezmax",TQ74,SJ74="Capesize",TJ74,SJ74="VLOC",TC74)))))</f>
        <v>#N/A</v>
      </c>
      <c r="WH74" s="75" t="e">
        <f t="array" aca="1" ref="WH74" ca="1">INDEX(Canals!$P$24:$P$29,MATCH(2,1/((Canals!$F$24:$F$29&lt;=$C74)*(Canals!$G$24:$G$29=_xlfn.IFS(SJ74="Handysize",Main!US74,SJ74="Supramax",UL74,SJ74="Panamax",UE74,SJ74="NeoPanamax",TX74,SJ74="Suezmax",TQ74,SJ74="Capesize",TJ74,SJ74="VLOC",TC74)))))</f>
        <v>#N/A</v>
      </c>
      <c r="WI74" s="75" t="e">
        <f t="array" aca="1" ref="WI74" ca="1">INDEX(Canals!$Q$24:$Q$29,MATCH(2,1/((Canals!$F$24:$F$29&lt;=$C74)*(Canals!$G$24:$G$29=_xlfn.IFS(SJ74="Handysize",Main!US74,SJ74="Supramax",UL74,SJ74="Panamax",UE74,SJ74="NeoPanamax",TX74,SJ74="Suezmax",TQ74,SJ74="Capesize",TJ74,SJ74="VLOC",TC74)))))</f>
        <v>#N/A</v>
      </c>
      <c r="WJ74" s="75" t="e">
        <f t="array" aca="1" ref="WJ74" ca="1">INDEX(Canals!$R$24:$R$29,MATCH(2,1/((Canals!$F$24:$F$29&lt;=$C74)*(Canals!$G$24:$G$29=_xlfn.IFS(SJ74="Handysize",Main!US74,SJ74="Supramax",UL74,SJ74="Panamax",UE74,SJ74="NeoPanamax",TX74,SJ74="Suezmax",TQ74,SJ74="Capesize",TJ74,SJ74="VLOC",TC74)))))</f>
        <v>#N/A</v>
      </c>
      <c r="WK74" s="136" t="e">
        <f t="array" aca="1" ref="WK74" ca="1">INDEX(Canals!$S$24:$S$29,MATCH(2,1/((Canals!$F$24:$F$29&lt;=$C74)*(Canals!$G$24:$G$29=_xlfn.IFS(SJ74="Handysize",Main!US74,SJ74="Supramax",UL74,SJ74="Panamax",UE74,SJ74="NeoPanamax",TX74,SJ74="Suezmax",TQ74,SJ74="Capesize",TJ74,SJ74="VLOC",TC74)))))</f>
        <v>#N/A</v>
      </c>
      <c r="WL74" s="136" t="e">
        <f t="array" aca="1" ref="WL74" ca="1">INDEX(Canals!$T$24:$T$29,MATCH(2,1/((Canals!$F$24:$F$29&lt;=$C74)*(Canals!$G$24:$G$29=_xlfn.IFS(SJ74="Handysize",Main!US74,SJ74="Supramax",UL74,SJ74="Panamax",UE74,SJ74="NeoPanamax",TX74,SJ74="Suezmax",TQ74,SJ74="Capesize",TJ74,SJ74="VLOC",TC74)))))</f>
        <v>#N/A</v>
      </c>
      <c r="WM74" s="136" t="e">
        <f t="array" aca="1" ref="WM74" ca="1">INDEX(Canals!$U$24:$U$29,MATCH(2,1/((Canals!$F$24:$F$29&lt;=$C74)*(Canals!$G$24:$G$29=_xlfn.IFS(SJ74="Handysize",Main!US74,SJ74="Supramax",UL74,SJ74="Panamax",UE74,SJ74="NeoPanamax",TX74,SJ74="Suezmax",TQ74,SJ74="Capesize",TJ74,SJ74="VLOC",TC74)))))</f>
        <v>#N/A</v>
      </c>
      <c r="WN74" s="136" t="e">
        <f t="array" aca="1" ref="WN74" ca="1">INDEX(Canals!$V$24:$V$29,MATCH(2,1/((Canals!$F$24:$F$29&lt;=$C74)*(Canals!$G$24:$G$29=_xlfn.IFS(SJ74="Handysize",Main!US74,SJ74="Supramax",UL74,SJ74="Panamax",UE74,SJ74="NeoPanamax",TX74,SJ74="Suezmax",TQ74,SJ74="Capesize",TJ74,SJ74="VLOC",TC74)))))</f>
        <v>#N/A</v>
      </c>
      <c r="WO74" s="136" t="e">
        <f t="array" aca="1" ref="WO74" ca="1">INDEX(Canals!$W$24:$W$29,MATCH(2,1/((Canals!$F$24:$F$29&lt;=$C74)*(Canals!$G$24:$G$29=_xlfn.IFS(SJ74="Handysize",Main!US74,SJ74="Supramax",UL74,SJ74="Panamax",UE74,SJ74="NeoPanamax",TX74,SJ74="Suezmax",TQ74,SJ74="Capesize",TJ74,SJ74="VLOC",TC74)))))</f>
        <v>#N/A</v>
      </c>
      <c r="WP74" s="136" t="e">
        <f t="array" aca="1" ref="WP74" ca="1">INDEX(Canals!$X$24:$X$29,MATCH(2,1/((Canals!$F$24:$F$29&lt;=$C74)*(Canals!$G$24:$G$29=_xlfn.IFS(SJ74="Handysize",Main!US74,SJ74="Supramax",UL74,SJ74="Panamax",UE74,SJ74="NeoPanamax",TX74,SJ74="Suezmax",TQ74,SJ74="Capesize",TJ74,SJ74="VLOC",TC74)))))</f>
        <v>#N/A</v>
      </c>
      <c r="WQ74" s="136" t="e">
        <f t="array" aca="1" ref="WQ74" ca="1">INDEX(Canals!$Y$24:$Y$29,MATCH(2,1/((Canals!$F$24:$F$29&lt;=$C74)*(Canals!$G$24:$G$29=_xlfn.IFS(SJ74="Handysize",Main!US74,SJ74="Supramax",UL74,SJ74="Panamax",UE74,SJ74="NeoPanamax",TX74,SJ74="Suezmax",TQ74,SJ74="Capesize",TJ74,SJ74="VLOC",TC74)))))</f>
        <v>#N/A</v>
      </c>
      <c r="WR74" s="136" t="e">
        <f t="array" aca="1" ref="WR74" ca="1">INDEX(Canals!$Z$24:$Z$29,MATCH(2,1/((Canals!$F$24:$F$29&lt;=$C74)*(Canals!$G$24:$G$29=_xlfn.IFS(SJ74="Handysize",Main!US74,SJ74="Supramax",UL74,SJ74="Panamax",UE74,SJ74="NeoPanamax",TX74,SJ74="Suezmax",TQ74,SJ74="Capesize",TJ74,SJ74="VLOC",TC74)))))</f>
        <v>#N/A</v>
      </c>
      <c r="WS74" s="136" t="e">
        <f t="array" aca="1" ref="WS74" ca="1">INDEX(Canals!$AA$24:$AA$29,MATCH(2,1/((Canals!$F$24:$F$29&lt;=$C74)*(Canals!$G$24:$G$29=_xlfn.IFS(SJ74="Handysize",Main!US74,SJ74="Supramax",UL74,SJ74="Panamax",UE74,SJ74="NeoPanamax",TX74,SJ74="Suezmax",TQ74,SJ74="Capesize",TJ74,SJ74="VLOC",TC74)))))</f>
        <v>#N/A</v>
      </c>
      <c r="WT74" s="136" t="e">
        <f t="array" aca="1" ref="WT74" ca="1">INDEX(Canals!$AB$24:$AB$29,MATCH(2,1/((Canals!$F$24:$F$29&lt;=$C74)*(Canals!$G$24:$G$29=_xlfn.IFS(SJ74="Handysize",Main!US74,SJ74="Supramax",UL74,SJ74="Panamax",UE74,SJ74="NeoPanamax",TX74,SJ74="Suezmax",TQ74,SJ74="Capesize",TJ74,SJ74="VLOC",TC74)))))</f>
        <v>#N/A</v>
      </c>
      <c r="WU74" s="75" t="e">
        <f t="array" aca="1" ref="WU74" ca="1">INDEX(Canals!$AC$24:$AC$29,MATCH(2,1/((Canals!$F$24:$F$29&lt;=$C74)*(Canals!$G$24:$G$29=_xlfn.IFS(SJ74="Handysize",Main!US74,SJ74="Supramax",UL74,SJ74="Panamax",UE74,SJ74="NeoPanamax",TX74,SJ74="Suezmax",TQ74,SJ74="Capesize",TJ74,SJ74="VLOC",TC74)))))</f>
        <v>#N/A</v>
      </c>
      <c r="WV74" s="75" t="e">
        <f t="array" aca="1" ref="WV74" ca="1">INDEX(Canals!$AD$24:$AD$29,MATCH(2,1/((Canals!$F$24:$F$29&lt;=$C74)*(Canals!$G$24:$G$29=_xlfn.IFS(SJ74="Handysize",Main!US74,SJ74="Supramax",UL74,SJ74="Panamax",UE74,SJ74="NeoPanamax",TX74,SJ74="Suezmax",TQ74,SJ74="Capesize",TJ74,SJ74="VLOC",TC74)))))</f>
        <v>#N/A</v>
      </c>
      <c r="WW74" s="75" t="e">
        <f t="array" aca="1" ref="WW74" ca="1">INDEX(Canals!$AE$24:$AE$29,MATCH(2,1/((Canals!$F$24:$F$29&lt;=$C74)*(Canals!$G$24:$G$29=_xlfn.IFS(SJ74="Handysize",Main!US74,SJ74="Supramax",UL74,SJ74="Panamax",UE74,SJ74="NeoPanamax",TX74,SJ74="Suezmax",TQ74,SJ74="Capesize",TJ74,SJ74="VLOC",TC74)))))</f>
        <v>#N/A</v>
      </c>
      <c r="WX74" s="75" t="e">
        <f t="array" aca="1" ref="WX74" ca="1">INDEX(Canals!$AF$24:$AF$29,MATCH(2,1/((Canals!$F$24:$F$29&lt;=$C74)*(Canals!$G$24:$G$29=_xlfn.IFS(SJ74="Handysize",Main!US74,SJ74="Supramax",UL74,SJ74="Panamax",UE74,SJ74="NeoPanamax",TX74,SJ74="Suezmax",TQ74,SJ74="Capesize",TJ74,SJ74="VLOC",TC74)))))</f>
        <v>#N/A</v>
      </c>
      <c r="WY74" s="75" t="e">
        <f t="array" aca="1" ref="WY74" ca="1">INDEX(Canals!$AG$24:$AG$29,MATCH(2,1/((Canals!$F$24:$F$29&lt;=$C74)*(Canals!$G$24:$G$29=_xlfn.IFS(SJ74="Handysize",Main!US74,SJ74="Supramax",UL74,SJ74="Panamax",UE74,SJ74="NeoPanamax",TX74,SJ74="Suezmax",TQ74,SJ74="Capesize",TJ74,SJ74="VLOC",TC74)))))</f>
        <v>#N/A</v>
      </c>
      <c r="WZ74" s="75" t="e">
        <f t="array" aca="1" ref="WZ74" ca="1">INDEX(Canals!$AH$24:$AH$29,MATCH(2,1/((Canals!$F$24:$F$29&lt;=$C74)*(Canals!$G$24:$G$29=_xlfn.IFS(SJ74="Handysize",Main!US74,SJ74="Supramax",UL74,SJ74="Panamax",UE74,SJ74="NeoPanamax",TX74,SJ74="Suezmax",TQ74,SJ74="Capesize",TJ74,SJ74="VLOC",TC74)))))</f>
        <v>#N/A</v>
      </c>
      <c r="XA74" s="75" t="e">
        <f t="array" aca="1" ref="XA74" ca="1">INDEX(Canals!$AI$24:$AI$29,MATCH(2,1/((Canals!$F$24:$F$29&lt;=$C74)*(Canals!$G$24:$G$29=_xlfn.IFS(SJ74="Handysize",Main!US74,SJ74="Supramax",UL74,SJ74="Panamax",UE74,SJ74="NeoPanamax",TX74,SJ74="Suezmax",TQ74,SJ74="Capesize",TJ74,SJ74="VLOC",TC74)))))</f>
        <v>#N/A</v>
      </c>
      <c r="XB74" s="75" t="e">
        <f t="array" aca="1" ref="XB74" ca="1">INDEX(Canals!$AJ$24:$AJ$29,MATCH(2,1/((Canals!$F$24:$F$29&lt;=$C74)*(Canals!$G$24:$G$29=_xlfn.IFS(SJ74="Handysize",Main!US74,SJ74="Supramax",UL74,SJ74="Panamax",UE74,SJ74="NeoPanamax",TX74,SJ74="Suezmax",TQ74,SJ74="Capesize",TJ74,SJ74="VLOC",TC74)))))</f>
        <v>#N/A</v>
      </c>
      <c r="XC74" s="75" t="e">
        <f t="array" aca="1" ref="XC74" ca="1">INDEX(Canals!$AK$24:$AK$29,MATCH(2,1/((Canals!$F$24:$F$29&lt;=$C74)*(Canals!$G$24:$G$29=_xlfn.IFS(SJ74="Handysize",Main!US74,SJ74="Supramax",UL74,SJ74="Panamax",UE74,SJ74="NeoPanamax",TX74,SJ74="Suezmax",TQ74,SJ74="Capesize",TJ74,SJ74="VLOC",TC74)))))</f>
        <v>#N/A</v>
      </c>
      <c r="XD74" s="136" t="e">
        <f t="array" aca="1" ref="XD74" ca="1">INDEX(Canals!$AL$24:$AL$29,MATCH(2,1/((Canals!$F$24:$F$29&lt;=$C74)*(Canals!$G$24:$G$29=_xlfn.IFS(SJ74="Handysize",Main!US74,SJ74="Supramax",UL74,SJ74="Panamax",UE74,SJ74="NeoPanamax",TX74,SJ74="Suezmax",TQ74,SJ74="Capesize",TJ74,SJ74="VLOC",TC74)))))</f>
        <v>#N/A</v>
      </c>
      <c r="XE74" s="136" t="e">
        <f t="array" aca="1" ref="XE74" ca="1">INDEX(Canals!$AM$24:$AM$29,MATCH(2,1/((Canals!$F$24:$F$29&lt;=$C74)*(Canals!$G$24:$G$29=_xlfn.IFS(SJ74="Handysize",Main!US74,SJ74="Supramax",UL74,SJ74="Panamax",UE74,SJ74="NeoPanamax",TX74,SJ74="Suezmax",TQ74,SJ74="Capesize",TJ74,SJ74="VLOC",TC74)))))</f>
        <v>#N/A</v>
      </c>
      <c r="XF74" s="136" t="e">
        <f t="array" aca="1" ref="XF74" ca="1">INDEX(Canals!$AN$24:$AN$29,MATCH(2,1/((Canals!$F$24:$F$29&lt;=$C74)*(Canals!$G$24:$G$29=_xlfn.IFS(SJ74="Handysize",Main!US74,SJ74="Supramax",UL74,SJ74="Panamax",UE74,SJ74="NeoPanamax",TX74,SJ74="Suezmax",TQ74,SJ74="Capesize",TJ74,SJ74="VLOC",TC74)))))</f>
        <v>#N/A</v>
      </c>
      <c r="XG74" s="136" t="e">
        <f t="array" aca="1" ref="XG74" ca="1">INDEX(Canals!$AO$24:$AO$29,MATCH(2,1/((Canals!$F$24:$F$29&lt;=$C74)*(Canals!$G$24:$G$29=_xlfn.IFS(SJ74="Handysize",Main!US74,SJ74="Supramax",UL74,SJ74="Panamax",UE74,SJ74="NeoPanamax",TX74,SJ74="Suezmax",TQ74,SJ74="Capesize",TJ74,SJ74="VLOC",TC74)))))</f>
        <v>#N/A</v>
      </c>
      <c r="XH74" s="136" t="e">
        <f t="array" aca="1" ref="XH74" ca="1">INDEX(Canals!$AP$24:$AP$29,MATCH(2,1/((Canals!$F$24:$F$29&lt;=$C74)*(Canals!$G$24:$G$29=_xlfn.IFS(SJ74="Handysize",Main!US74,SJ74="Supramax",UL74,SJ74="Panamax",UE74,SJ74="NeoPanamax",TX74,SJ74="Suezmax",TQ74,SJ74="Capesize",TJ74,SJ74="VLOC",TC74)))))</f>
        <v>#N/A</v>
      </c>
      <c r="XI74" s="136" t="e">
        <f t="array" aca="1" ref="XI74" ca="1">INDEX(Canals!$AQ$24:$AQ$29,MATCH(2,1/((Canals!$F$24:$F$29&lt;=$C74)*(Canals!$G$24:$G$29=_xlfn.IFS(SJ74="Handysize",Main!US74,SJ74="Supramax",UL74,SJ74="Panamax",UE74,SJ74="NeoPanamax",TX74,SJ74="Suezmax",TQ74,SJ74="Capesize",TJ74,SJ74="VLOC",TC74)))))</f>
        <v>#N/A</v>
      </c>
      <c r="XJ74" s="136" t="e">
        <f t="array" aca="1" ref="XJ74" ca="1">INDEX(Canals!$AR$24:$AR$29,MATCH(2,1/((Canals!$F$24:$F$29&lt;=$C74)*(Canals!$G$24:$G$29=_xlfn.IFS(SJ74="Handysize",Main!US74,SJ74="Supramax",UL74,SJ74="Panamax",UE74,SJ74="NeoPanamax",TX74,SJ74="Suezmax",TQ74,SJ74="Capesize",TJ74,SJ74="VLOC",TC74)))))</f>
        <v>#N/A</v>
      </c>
      <c r="XK74" s="136" t="e">
        <f t="array" aca="1" ref="XK74" ca="1">INDEX(Canals!$AS$24:$AS$29,MATCH(2,1/((Canals!$F$24:$F$29&lt;=$C74)*(Canals!$G$24:$G$29=_xlfn.IFS(SJ74="Handysize",Main!US74,SJ74="Supramax",UL74,SJ74="Panamax",UE74,SJ74="NeoPanamax",TX74,SJ74="Suezmax",TQ74,SJ74="Capesize",TJ74,SJ74="VLOC",TC74)))))</f>
        <v>#N/A</v>
      </c>
      <c r="XL74" s="136" t="e">
        <f t="array" aca="1" ref="XL74" ca="1">INDEX(Canals!$AT$24:$AT$29,MATCH(2,1/((Canals!$F$24:$F$29&lt;=$C74)*(Canals!$G$24:$G$29=_xlfn.IFS(SJ74="Handysize",Main!US74,SJ74="Supramax",UL74,SJ74="Panamax",UE74,SJ74="NeoPanamax",TX74,SJ74="Suezmax",TQ74,SJ74="Capesize",TJ74,SJ74="VLOC",TC74)))))</f>
        <v>#N/A</v>
      </c>
      <c r="XM74" s="136" t="e">
        <f t="array" aca="1" ref="XM74" ca="1">INDEX(Canals!$AU$24:$AU$29,MATCH(2,1/((Canals!$F$24:$F$29&lt;=$C74)*(Canals!$G$24:$G$29=_xlfn.IFS(SJ74="Handysize",Main!US74,SJ74="Supramax",UL74,SJ74="Panamax",UE74,SJ74="NeoPanamax",TX74,SJ74="Suezmax",TQ74,SJ74="Capesize",TJ74,SJ74="VLOC",TC74)))))</f>
        <v>#N/A</v>
      </c>
      <c r="XN74" s="136" t="e">
        <f t="array" aca="1" ref="XN74" ca="1">INDEX(Canals!$AV$24:$AV$29,MATCH(2,1/((Canals!$F$24:$F$29&lt;=$C74)*(Canals!$G$24:$G$29=_xlfn.IFS(SJ74="Handysize",Main!US74,SJ74="Supramax",UL74,SJ74="Panamax",UE74,SJ74="NeoPanamax",TX74,SJ74="Suezmax",TQ74,SJ74="Capesize",TJ74,SJ74="VLOC",TC74)))))</f>
        <v>#N/A</v>
      </c>
      <c r="XP74" s="75" t="e">
        <f t="array" aca="1" ref="XP74" ca="1">_xlfn.IFS(WA74="DWT",SH74,WA74="NRT",SL74,WA74="GRT",SM74,WA74=0,0)</f>
        <v>#NAME?</v>
      </c>
      <c r="XQ74" s="279" t="e">
        <f t="shared" ca="1" si="836"/>
        <v>#NAME?</v>
      </c>
      <c r="XR74" s="280" t="e">
        <f t="shared" ca="1" si="837"/>
        <v>#NAME?</v>
      </c>
      <c r="XS74" s="280" t="e">
        <f t="shared" ca="1" si="838"/>
        <v>#NAME?</v>
      </c>
      <c r="XT74" s="280" t="e">
        <f t="shared" ca="1" si="839"/>
        <v>#NAME?</v>
      </c>
      <c r="XU74" s="280" t="e">
        <f t="shared" ca="1" si="840"/>
        <v>#NAME?</v>
      </c>
      <c r="XV74" s="280" t="e">
        <f t="shared" ca="1" si="841"/>
        <v>#NAME?</v>
      </c>
      <c r="XW74" s="280" t="e">
        <f t="shared" ca="1" si="842"/>
        <v>#NAME?</v>
      </c>
      <c r="XX74" s="280" t="e">
        <f t="shared" ca="1" si="843"/>
        <v>#NAME?</v>
      </c>
      <c r="XY74" s="280" t="e">
        <f t="shared" ca="1" si="844"/>
        <v>#NAME?</v>
      </c>
      <c r="XZ74" s="75">
        <f t="shared" si="845"/>
        <v>0</v>
      </c>
      <c r="YA74" s="279" t="e">
        <f t="shared" ca="1" si="846"/>
        <v>#N/A</v>
      </c>
      <c r="YB74" s="280" t="e">
        <f t="shared" ca="1" si="847"/>
        <v>#N/A</v>
      </c>
      <c r="YC74" s="280" t="e">
        <f t="shared" ca="1" si="848"/>
        <v>#N/A</v>
      </c>
      <c r="YD74" s="280" t="e">
        <f t="shared" ca="1" si="849"/>
        <v>#N/A</v>
      </c>
      <c r="YE74" s="280" t="e">
        <f t="shared" ca="1" si="850"/>
        <v>#N/A</v>
      </c>
      <c r="YF74" s="280" t="e">
        <f t="shared" ca="1" si="851"/>
        <v>#N/A</v>
      </c>
      <c r="YG74" s="280" t="e">
        <f t="shared" ca="1" si="852"/>
        <v>#N/A</v>
      </c>
      <c r="YH74" s="280" t="e">
        <f t="shared" ca="1" si="853"/>
        <v>#N/A</v>
      </c>
      <c r="YI74" s="280" t="e">
        <f t="shared" ca="1" si="854"/>
        <v>#N/A</v>
      </c>
      <c r="YK74" s="75" t="e">
        <f t="array" aca="1" ref="YK74" ca="1">_xlfn.IFS(SJ74="Handysize",Main!UM74,SJ74="Supramax",UF74,SJ74="Panamax",TY74,SJ74="NeoPanamax",TR74,SJ74="Suezmax",TK74,SJ74="Capesize",TD74,SJ74="VLOC",SW74)*$JI74</f>
        <v>#NAME?</v>
      </c>
      <c r="YL74" s="274" t="e">
        <f t="array" aca="1" ref="YL74" ca="1">_xlfn.IFS(SJ74="Handysize",Main!UN74,SJ74="Supramax",UG74,SJ74="Panamax",TZ74,SJ74="NeoPanamax",TS74,SJ74="Suezmax",TL74,SJ74="Capesize",TE74,SJ74="VLOC",SX74)*$JI74</f>
        <v>#NAME?</v>
      </c>
      <c r="YM74" s="71" t="e">
        <f t="array" aca="1" ref="YM74" ca="1">_xlfn.IFS(SJ74="Handysize",Main!SO74,SJ74="Supramax",SP74,SJ74="Panamax",SQ74,SJ74="NeoPanamax",SR74,SJ74="Suezmax",SS74,SJ74="Capesize",ST74,SJ74="VLOC",SU74)</f>
        <v>#NAME?</v>
      </c>
      <c r="YN74" s="71" t="e">
        <f t="array" aca="1" ref="YN74" ca="1">_xlfn.IFS(SJ74="Handysize",Main!VA74,SJ74="Supramax",VB74,SJ74="Panamax",VC74,SJ74="NeoPanamax",VD74,SJ74="Suezmax",VE74,SJ74="Capesize",VF74,SJ74="VLOC",VG74)</f>
        <v>#NAME?</v>
      </c>
      <c r="YO74" s="70">
        <f t="array" ref="YO74">INDEX('Ship Speeds'!$G$11:$G$1011,MATCH(2,1/(('Ship Speeds'!$E$11:$E$1011&lt;=Main!$C74)*('Ship Speeds'!$F$11:$F$1011=Main!SI74))))</f>
        <v>11</v>
      </c>
      <c r="YP74" s="403">
        <f t="shared" si="855"/>
        <v>0</v>
      </c>
      <c r="YQ74" s="401">
        <f t="shared" si="856"/>
        <v>1.2</v>
      </c>
      <c r="YR74" s="70" t="e">
        <f t="shared" ca="1" si="857"/>
        <v>#NAME?</v>
      </c>
      <c r="YS74" s="70" t="e">
        <f t="shared" ca="1" si="858"/>
        <v>#NAME?</v>
      </c>
      <c r="YT74" s="70" t="e">
        <f t="shared" ca="1" si="859"/>
        <v>#NAME?</v>
      </c>
      <c r="YU74" s="70" t="e">
        <f t="shared" ca="1" si="860"/>
        <v>#NAME?</v>
      </c>
      <c r="YV74" s="72" t="e">
        <f t="shared" ca="1" si="861"/>
        <v>#N/A</v>
      </c>
      <c r="YW74" s="70" t="e">
        <f t="shared" ca="1" si="862"/>
        <v>#NAME?</v>
      </c>
      <c r="YX74" s="70" t="e">
        <f t="array" aca="1" ref="YX74" ca="1">IF(YK74=0,0,INDEX(UU74:UY74,MATCH(_xlfn.IFS(SJ74="Handysize",Main!UQ74,SJ74="Supramax",UJ74,SJ74="Panamax",UC74,SJ74="NeoPanamax",TV74,SJ74="Suezmax",TO74,SJ74="Capesize",TH74,SJ74="VLOC",TA74),$UU$7:$UY$7,0)))</f>
        <v>#NAME?</v>
      </c>
      <c r="YY74" s="70" t="e">
        <f t="array" aca="1" ref="YY74" ca="1">IF(YK74=0,0,INDEX(UU74:UY74,MATCH(_xlfn.IFS(SJ74="Handysize",Main!UR74,SJ74="Supramax",UK74,SJ74="Panamax",UD74,SJ74="NeoPanamax",TW74,SJ74="Suezmax",TP74,SJ74="Capesize",TI74,SJ74="VLOC",TB74),$UU$7:$UY$7,0)))</f>
        <v>#NAME?</v>
      </c>
      <c r="YZ74" s="71" t="e">
        <f t="shared" ca="1" si="863"/>
        <v>#NAME?</v>
      </c>
      <c r="ZA74" s="71" t="e">
        <f t="shared" ca="1" si="864"/>
        <v>#NAME?</v>
      </c>
      <c r="ZB74" s="281" t="e">
        <f t="shared" ca="1" si="865"/>
        <v>#NAME?</v>
      </c>
      <c r="ZC74" s="71" t="e">
        <f t="shared" ca="1" si="866"/>
        <v>#NAME?</v>
      </c>
      <c r="ZD74" s="71" t="e">
        <f t="shared" ca="1" si="867"/>
        <v>#NAME?</v>
      </c>
      <c r="ZE74" s="71" t="e">
        <f t="shared" ca="1" si="868"/>
        <v>#NAME?</v>
      </c>
      <c r="ZF74" s="71" t="e">
        <f t="shared" ca="1" si="869"/>
        <v>#NAME?</v>
      </c>
      <c r="ZG74" s="71" t="e">
        <f t="shared" ca="1" si="870"/>
        <v>#NAME?</v>
      </c>
      <c r="ZH74" s="71" t="e">
        <f t="shared" ca="1" si="871"/>
        <v>#NAME?</v>
      </c>
      <c r="ZI74" s="71" t="e">
        <f t="shared" ca="1" si="872"/>
        <v>#NAME?</v>
      </c>
      <c r="ZJ74" s="71" t="e">
        <f t="shared" ca="1" si="873"/>
        <v>#NAME?</v>
      </c>
      <c r="ZK74" s="71" t="e">
        <f t="shared" ca="1" si="874"/>
        <v>#NAME?</v>
      </c>
      <c r="ZL74" s="71" t="e">
        <f t="shared" ca="1" si="875"/>
        <v>#NAME?</v>
      </c>
      <c r="ZM74" s="71" t="e">
        <f t="shared" ca="1" si="876"/>
        <v>#NAME?</v>
      </c>
      <c r="ZN74" s="71" t="e">
        <f t="shared" ca="1" si="877"/>
        <v>#NAME?</v>
      </c>
      <c r="ZO74" s="72" t="e">
        <f t="shared" ca="1" si="878"/>
        <v>#NAME?</v>
      </c>
      <c r="ZP74" s="72" t="e">
        <f t="shared" ca="1" si="879"/>
        <v>#NAME?</v>
      </c>
      <c r="ZQ74" s="71" t="e">
        <f t="shared" ca="1" si="880"/>
        <v>#NAME?</v>
      </c>
      <c r="ZR74" s="71" t="e">
        <f t="array" aca="1" ref="ZR74" ca="1">IF(YK74=0,0,INDEX('Ship Time Charter Rates'!$H$22:$H$1021,MATCH(2,1/(('Ship Time Charter Rates'!$G$22:$G$1021=_xlfn.IFS(SJ74="Handysize",Main!UO74,SJ74="Supramax",UH74,SJ74="Panamax",UA74,SJ74="NeoPanamax",TT74,SJ74="Suezmax",TM74,SJ74="Capesize",TF74,SJ74="VLOC",SY74))*('Ship Time Charter Rates'!$E$22:$E$1021&lt;=Main!$C74)*(NOT(ISBLANK('Ship Time Charter Rates'!$H$22:$H$1021)))))))</f>
        <v>#NAME?</v>
      </c>
      <c r="ZS74" s="71" t="e">
        <f t="shared" ca="1" si="881"/>
        <v>#NAME?</v>
      </c>
      <c r="ZT74" s="70" t="e">
        <f t="shared" ca="1" si="882"/>
        <v>#NAME?</v>
      </c>
      <c r="ZU74" s="71" t="e">
        <f t="shared" ca="1" si="883"/>
        <v>#NAME?</v>
      </c>
      <c r="ZV74" s="71" t="e">
        <f t="shared" ca="1" si="884"/>
        <v>#NAME?</v>
      </c>
      <c r="ZW74" s="72" t="e">
        <f t="shared" ca="1" si="885"/>
        <v>#NAME?</v>
      </c>
      <c r="ZY74" s="287" t="s">
        <v>39</v>
      </c>
      <c r="AAA74" s="25">
        <f t="shared" si="886"/>
        <v>83130.904183535764</v>
      </c>
      <c r="AAB74" s="4" t="str">
        <f>VLOOKUP(AAA74,'Ship Time Charter Rates'!$F$10:$G$17,2,TRUE)</f>
        <v>Panamax</v>
      </c>
      <c r="AAC74" s="4" t="str">
        <f>VLOOKUP(AAA74,Canals!$E$5:$F$12,2,TRUE)</f>
        <v>Panamax</v>
      </c>
      <c r="AAD74" s="25">
        <f t="shared" si="887"/>
        <v>218.46327935222672</v>
      </c>
      <c r="AAE74" s="25">
        <f t="shared" si="888"/>
        <v>33535.006747638326</v>
      </c>
      <c r="AAF74" s="25">
        <f t="shared" si="889"/>
        <v>47933.626180836713</v>
      </c>
      <c r="AAH74" s="75">
        <f t="array" ref="AAH74">INDEX('Indices Mines Exporting Ports'!$R$20:$R$51,MATCH(2,1/(('Indices Mines Exporting Ports'!$D$20:$D$51&lt;=Main!$C74)*('Indices Mines Exporting Ports'!$Q$20:$Q$51=$AP74))))</f>
        <v>15000</v>
      </c>
      <c r="AAI74" s="75">
        <f t="array" ref="AAI74">INDEX('Indices Mines Exporting Ports'!$S$20:$S$51,MATCH(2,1/(('Indices Mines Exporting Ports'!$D$20:$D$51&lt;=Main!$C74)*('Indices Mines Exporting Ports'!$Q$20:$Q$51=$AP74))))</f>
        <v>15000</v>
      </c>
      <c r="AAJ74" s="75">
        <f t="array" ref="AAJ74">INDEX('Indices Mines Exporting Ports'!$T$20:$T$51,MATCH(2,1/(('Indices Mines Exporting Ports'!$D$20:$D$51&lt;=Main!$C74)*('Indices Mines Exporting Ports'!$Q$20:$Q$51=$AP74))))</f>
        <v>15000</v>
      </c>
      <c r="AAK74" s="75">
        <f t="array" ref="AAK74">INDEX('Indices Mines Exporting Ports'!$U$20:$U$51,MATCH(2,1/(('Indices Mines Exporting Ports'!$D$20:$D$51&lt;=Main!$C74)*('Indices Mines Exporting Ports'!$Q$20:$Q$51=$AP74))))</f>
        <v>15000</v>
      </c>
      <c r="AAL74" s="75">
        <f t="array" ref="AAL74">INDEX('Indices Mines Exporting Ports'!$V$20:$V$51,MATCH(2,1/(('Indices Mines Exporting Ports'!$D$20:$D$51&lt;=Main!$C74)*('Indices Mines Exporting Ports'!$Q$20:$Q$51=$AP74))))</f>
        <v>15000</v>
      </c>
      <c r="AAM74" s="75">
        <f t="array" ref="AAM74">INDEX('Indices Mines Exporting Ports'!$W$20:$W$51,MATCH(2,1/(('Indices Mines Exporting Ports'!$D$20:$D$51&lt;=Main!$C74)*('Indices Mines Exporting Ports'!$Q$20:$Q$51=$AP74))))</f>
        <v>15000</v>
      </c>
      <c r="AAN74" s="75">
        <f t="array" ref="AAN74">INDEX('Indices Mines Exporting Ports'!$X$20:$X$51,MATCH(2,1/(('Indices Mines Exporting Ports'!$D$20:$D$51&lt;=Main!$C74)*('Indices Mines Exporting Ports'!$Q$20:$Q$51=$AP74))))</f>
        <v>15000</v>
      </c>
      <c r="AAP74" s="75">
        <f t="array" ref="AAP74">INDEX('Port Linkages'!$E$18:$E$157,MATCH(2,1/(('Port Linkages'!$C$18:$C$157=$AP74)*('Port Linkages'!$D$18:$D$157=IF($AO74="Yes",$AQ74,$KK74))*('Port Linkages'!$A$18:$A$157&lt;=$C74))))</f>
        <v>2326</v>
      </c>
      <c r="AAQ74" s="75">
        <f t="array" ref="AAQ74">INDEX('Port Linkages'!$F$18:$F$157,MATCH(2,1/(('Port Linkages'!$C$18:$C$157=$AP74)*('Port Linkages'!$D$18:$D$157=IF($AO74="Yes",$AQ74,$KK74))*('Port Linkages'!$A$18:$A$157&lt;=$C74))))</f>
        <v>0</v>
      </c>
      <c r="AAR74" s="75" t="str">
        <f t="array" ref="AAR74">INDEX('Port Linkages'!$G$18:$G$157,MATCH(2,1/(('Port Linkages'!$C$18:$C$157=$AP74)*('Port Linkages'!$D$18:$D$157=IF($AO74="Yes",$AQ74,$KK74))*('Port Linkages'!$A$18:$A$157&lt;=$C74))))</f>
        <v>VLOC_General</v>
      </c>
      <c r="AAS74" s="75" t="str">
        <f t="array" ref="AAS74">INDEX('Port Linkages'!$H$18:$H$157,MATCH(2,1/(('Port Linkages'!$C$18:$C$157=$AP74)*('Port Linkages'!$D$18:$D$157=IF($AO74="Yes",$AQ74,$KK74))*('Port Linkages'!$A$18:$A$157&lt;=$C74))))</f>
        <v>Singapore</v>
      </c>
      <c r="AAT74" s="75" t="str">
        <f t="array" ref="AAT74">INDEX('Port Linkages'!$I$18:$I$157,MATCH(2,1/(('Port Linkages'!$C$18:$C$157=$AP74)*('Port Linkages'!$D$18:$D$157=IF($AO74="Yes",$AQ74,$KK74))*('Port Linkages'!$A$18:$A$157&lt;=$C74))))</f>
        <v>VLSFO</v>
      </c>
      <c r="AAU74" s="75" t="str">
        <f t="array" ref="AAU74">INDEX('Port Linkages'!$J$18:$J$157,MATCH(2,1/(('Port Linkages'!$C$18:$C$157=$AP74)*('Port Linkages'!$D$18:$D$157=IF($AO74="Yes",$AQ74,$KK74))*('Port Linkages'!$A$18:$A$157&lt;=$C74))))</f>
        <v>MGO_Regular</v>
      </c>
      <c r="AAV74" s="75" t="str">
        <f t="array" ref="AAV74">INDEX('Port Linkages'!$K$18:$K$157,MATCH(2,1/(('Port Linkages'!$C$18:$C$157=$AP74)*('Port Linkages'!$D$18:$D$157=IF($AO74="Yes",$AQ74,$KK74))*('Port Linkages'!$A$18:$A$157&lt;=$C74))))</f>
        <v>none</v>
      </c>
      <c r="AAW74" s="75">
        <f t="array" ref="AAW74">INDEX('Port Linkages'!$L$18:$L$157,MATCH(2,1/(('Port Linkages'!$C$18:$C$157=$AP74)*('Port Linkages'!$D$18:$D$157=IF($AO74="Yes",$AQ74,$KK74))*('Port Linkages'!$A$18:$A$157&lt;=$C74))))</f>
        <v>2326</v>
      </c>
      <c r="AAX74" s="75">
        <f t="array" ref="AAX74">INDEX('Port Linkages'!$M$18:$M$157,MATCH(2,1/(('Port Linkages'!$C$18:$C$157=$AP74)*('Port Linkages'!$D$18:$D$157=IF($AO74="Yes",$AQ74,$KK74))*('Port Linkages'!$A$18:$A$157&lt;=$C74))))</f>
        <v>0</v>
      </c>
      <c r="AAY74" s="75" t="str">
        <f t="array" ref="AAY74">INDEX('Port Linkages'!$N$18:$N$157,MATCH(2,1/(('Port Linkages'!$C$18:$C$157=$AP74)*('Port Linkages'!$D$18:$D$157=IF($AO74="Yes",$AQ74,$KK74))*('Port Linkages'!$A$18:$A$157&lt;=$C74))))</f>
        <v>Capesize_General</v>
      </c>
      <c r="AAZ74" s="75" t="str">
        <f t="array" ref="AAZ74">INDEX('Port Linkages'!$O$18:$O$157,MATCH(2,1/(('Port Linkages'!$C$18:$C$157=$AP74)*('Port Linkages'!$D$18:$D$157=IF($AO74="Yes",$AQ74,$KK74))*('Port Linkages'!$A$18:$A$157&lt;=$C74))))</f>
        <v>Singapore</v>
      </c>
      <c r="ABA74" s="75" t="str">
        <f t="array" ref="ABA74">INDEX('Port Linkages'!$P$18:$P$157,MATCH(2,1/(('Port Linkages'!$C$18:$C$157=$AP74)*('Port Linkages'!$D$18:$D$157=IF($AO74="Yes",$AQ74,$KK74))*('Port Linkages'!$A$18:$A$157&lt;=$C74))))</f>
        <v>VLSFO</v>
      </c>
      <c r="ABB74" s="75" t="str">
        <f t="array" ref="ABB74">INDEX('Port Linkages'!$Q$18:$Q$157,MATCH(2,1/(('Port Linkages'!$C$18:$C$157=$AP74)*('Port Linkages'!$D$18:$D$157=IF($AO74="Yes",$AQ74,$KK74))*('Port Linkages'!$A$18:$A$157&lt;=$C74))))</f>
        <v>MGO_Regular</v>
      </c>
      <c r="ABC74" s="75" t="str">
        <f t="array" ref="ABC74">INDEX('Port Linkages'!$R$18:$R$157,MATCH(2,1/(('Port Linkages'!$C$18:$C$157=$AP74)*('Port Linkages'!$D$18:$D$157=IF($AO74="Yes",$AQ74,$KK74))*('Port Linkages'!$A$18:$A$157&lt;=$C74))))</f>
        <v>none</v>
      </c>
      <c r="ABD74" s="75">
        <f t="array" ref="ABD74">INDEX('Port Linkages'!$S$18:$S$157,MATCH(2,1/(('Port Linkages'!$C$18:$C$157=$AP74)*('Port Linkages'!$D$18:$D$157=IF($AO74="Yes",$AQ74,$KK74))*('Port Linkages'!$A$18:$A$157&lt;=$C74))))</f>
        <v>2326</v>
      </c>
      <c r="ABE74" s="75">
        <f t="array" ref="ABE74">INDEX('Port Linkages'!$T$18:$T$157,MATCH(2,1/(('Port Linkages'!$C$18:$C$157=$AP74)*('Port Linkages'!$D$18:$D$157=IF($AO74="Yes",$AQ74,$KK74))*('Port Linkages'!$A$18:$A$157&lt;=$C74))))</f>
        <v>0</v>
      </c>
      <c r="ABF74" s="75" t="str">
        <f t="array" ref="ABF74">INDEX('Port Linkages'!$U$18:$U$157,MATCH(2,1/(('Port Linkages'!$C$18:$C$157=$AP74)*('Port Linkages'!$D$18:$D$157=IF($AO74="Yes",$AQ74,$KK74))*('Port Linkages'!$A$18:$A$157&lt;=$C74))))</f>
        <v>Capesize_General</v>
      </c>
      <c r="ABG74" s="75" t="str">
        <f t="array" ref="ABG74">INDEX('Port Linkages'!$V$18:$V$157,MATCH(2,1/(('Port Linkages'!$C$18:$C$157=$AP74)*('Port Linkages'!$D$18:$D$157=IF($AO74="Yes",$AQ74,$KK74))*('Port Linkages'!$A$18:$A$157&lt;=$C74))))</f>
        <v>Singapore</v>
      </c>
      <c r="ABH74" s="75" t="str">
        <f t="array" ref="ABH74">INDEX('Port Linkages'!$W$18:$W$157,MATCH(2,1/(('Port Linkages'!$C$18:$C$157=$AP74)*('Port Linkages'!$D$18:$D$157=IF($AO74="Yes",$AQ74,$KK74))*('Port Linkages'!$A$18:$A$157&lt;=$C74))))</f>
        <v>VLSFO</v>
      </c>
      <c r="ABI74" s="75" t="str">
        <f t="array" ref="ABI74">INDEX('Port Linkages'!$X$18:$X$157,MATCH(2,1/(('Port Linkages'!$C$18:$C$157=$AP74)*('Port Linkages'!$D$18:$D$157=IF($AO74="Yes",$AQ74,$KK74))*('Port Linkages'!$A$18:$A$157&lt;=$C74))))</f>
        <v>MGO_Regular</v>
      </c>
      <c r="ABJ74" s="75" t="str">
        <f t="array" ref="ABJ74">INDEX('Port Linkages'!$Y$18:$Y$157,MATCH(2,1/(('Port Linkages'!$C$18:$C$157=$AP74)*('Port Linkages'!$D$18:$D$157=IF($AO74="Yes",$AQ74,$KK74))*('Port Linkages'!$A$18:$A$157&lt;=$C74))))</f>
        <v>none</v>
      </c>
      <c r="ABK74" s="75">
        <f t="array" ref="ABK74">INDEX('Port Linkages'!$Z$18:$Z$157,MATCH(2,1/(('Port Linkages'!$C$18:$C$157=$AP74)*('Port Linkages'!$D$18:$D$157=IF($AO74="Yes",$AQ74,$KK74))*('Port Linkages'!$A$18:$A$157&lt;=$C74))))</f>
        <v>2326</v>
      </c>
      <c r="ABL74" s="75">
        <f t="array" ref="ABL74">INDEX('Port Linkages'!$AA$18:$AA$157,MATCH(2,1/(('Port Linkages'!$C$18:$C$157=$AP74)*('Port Linkages'!$D$18:$D$157=IF($AO74="Yes",$AQ74,$KK74))*('Port Linkages'!$A$18:$A$157&lt;=$C74))))</f>
        <v>0</v>
      </c>
      <c r="ABM74" s="75" t="str">
        <f t="array" ref="ABM74">INDEX('Port Linkages'!$AB$18:$AB$157,MATCH(2,1/(('Port Linkages'!$C$18:$C$157=$AP74)*('Port Linkages'!$D$18:$D$157=IF($AO74="Yes",$AQ74,$KK74))*('Port Linkages'!$A$18:$A$157&lt;=$C74))))</f>
        <v>Capesize_General</v>
      </c>
      <c r="ABN74" s="75" t="str">
        <f t="array" ref="ABN74">INDEX('Port Linkages'!$AC$18:$AC$157,MATCH(2,1/(('Port Linkages'!$C$18:$C$157=$AP74)*('Port Linkages'!$D$18:$D$157=IF($AO74="Yes",$AQ74,$KK74))*('Port Linkages'!$A$18:$A$157&lt;=$C74))))</f>
        <v>Singapore</v>
      </c>
      <c r="ABO74" s="75" t="str">
        <f t="array" ref="ABO74">INDEX('Port Linkages'!$AD$18:$AD$157,MATCH(2,1/(('Port Linkages'!$C$18:$C$157=$AP74)*('Port Linkages'!$D$18:$D$157=IF($AO74="Yes",$AQ74,$KK74))*('Port Linkages'!$A$18:$A$157&lt;=$C74))))</f>
        <v>VLSFO</v>
      </c>
      <c r="ABP74" s="75" t="str">
        <f t="array" ref="ABP74">INDEX('Port Linkages'!$AE$18:$AE$157,MATCH(2,1/(('Port Linkages'!$C$18:$C$157=$AP74)*('Port Linkages'!$D$18:$D$157=IF($AO74="Yes",$AQ74,$KK74))*('Port Linkages'!$A$18:$A$157&lt;=$C74))))</f>
        <v>MGO_Regular</v>
      </c>
      <c r="ABQ74" s="75" t="str">
        <f t="array" ref="ABQ74">INDEX('Port Linkages'!$AF$18:$AF$157,MATCH(2,1/(('Port Linkages'!$C$18:$C$157=$AP74)*('Port Linkages'!$D$18:$D$157=IF($AO74="Yes",$AQ74,$KK74))*('Port Linkages'!$A$18:$A$157&lt;=$C74))))</f>
        <v>none</v>
      </c>
      <c r="ABR74" s="75">
        <f t="array" ref="ABR74">INDEX('Port Linkages'!$AG$18:$AG$157,MATCH(2,1/(('Port Linkages'!$C$18:$C$157=$AP74)*('Port Linkages'!$D$18:$D$157=IF($AO74="Yes",$AQ74,$KK74))*('Port Linkages'!$A$18:$A$157&lt;=$C74))))</f>
        <v>2326</v>
      </c>
      <c r="ABS74" s="75">
        <f t="array" ref="ABS74">INDEX('Port Linkages'!$AH$18:$AH$157,MATCH(2,1/(('Port Linkages'!$C$18:$C$157=$AP74)*('Port Linkages'!$D$18:$D$157=IF($AO74="Yes",$AQ74,$KK74))*('Port Linkages'!$A$18:$A$157&lt;=$C74))))</f>
        <v>0</v>
      </c>
      <c r="ABT74" s="75" t="str">
        <f t="array" ref="ABT74">INDEX('Port Linkages'!$AI$18:$AI$157,MATCH(2,1/(('Port Linkages'!$C$18:$C$157=$AP74)*('Port Linkages'!$D$18:$D$157=IF($AO74="Yes",$AQ74,$KK74))*('Port Linkages'!$A$18:$A$157&lt;=$C74))))</f>
        <v>Panamax_General</v>
      </c>
      <c r="ABU74" s="75" t="str">
        <f t="array" ref="ABU74">INDEX('Port Linkages'!$AJ$18:$AJ$157,MATCH(2,1/(('Port Linkages'!$C$18:$C$157=$AP74)*('Port Linkages'!$D$18:$D$157=IF($AO74="Yes",$AQ74,$KK74))*('Port Linkages'!$A$18:$A$157&lt;=$C74))))</f>
        <v>Singapore</v>
      </c>
      <c r="ABV74" s="75" t="str">
        <f t="array" ref="ABV74">INDEX('Port Linkages'!$AK$18:$AK$157,MATCH(2,1/(('Port Linkages'!$C$18:$C$157=$AP74)*('Port Linkages'!$D$18:$D$157=IF($AO74="Yes",$AQ74,$KK74))*('Port Linkages'!$A$18:$A$157&lt;=$C74))))</f>
        <v>VLSFO</v>
      </c>
      <c r="ABW74" s="75" t="str">
        <f t="array" ref="ABW74">INDEX('Port Linkages'!$AL$18:$AL$157,MATCH(2,1/(('Port Linkages'!$C$18:$C$157=$AP74)*('Port Linkages'!$D$18:$D$157=IF($AO74="Yes",$AQ74,$KK74))*('Port Linkages'!$A$18:$A$157&lt;=$C74))))</f>
        <v>MGO_Regular</v>
      </c>
      <c r="ABX74" s="75" t="str">
        <f t="array" ref="ABX74">INDEX('Port Linkages'!$AM$18:$AM$157,MATCH(2,1/(('Port Linkages'!$C$18:$C$157=$AP74)*('Port Linkages'!$D$18:$D$157=IF($AO74="Yes",$AQ74,$KK74))*('Port Linkages'!$A$18:$A$157&lt;=$C74))))</f>
        <v>none</v>
      </c>
      <c r="ABY74" s="75">
        <f t="array" ref="ABY74">INDEX('Port Linkages'!$AN$18:$AN$157,MATCH(2,1/(('Port Linkages'!$C$18:$C$157=$AP74)*('Port Linkages'!$D$18:$D$157=IF($AO74="Yes",$AQ74,$KK74))*('Port Linkages'!$A$18:$A$157&lt;=$C74))))</f>
        <v>2326</v>
      </c>
      <c r="ABZ74" s="75">
        <f t="array" ref="ABZ74">INDEX('Port Linkages'!$AO$18:$AO$157,MATCH(2,1/(('Port Linkages'!$C$18:$C$157=$AP74)*('Port Linkages'!$D$18:$D$157=IF($AO74="Yes",$AQ74,$KK74))*('Port Linkages'!$A$18:$A$157&lt;=$C74))))</f>
        <v>0</v>
      </c>
      <c r="ACA74" s="75" t="str">
        <f t="array" ref="ACA74">INDEX('Port Linkages'!$AP$18:$AP$157,MATCH(2,1/(('Port Linkages'!$C$18:$C$157=$AP74)*('Port Linkages'!$D$18:$D$157=IF($AO74="Yes",$AQ74,$KK74))*('Port Linkages'!$A$18:$A$157&lt;=$C74))))</f>
        <v>Supramax_General</v>
      </c>
      <c r="ACB74" s="75" t="str">
        <f t="array" ref="ACB74">INDEX('Port Linkages'!$AQ$18:$AQ$157,MATCH(2,1/(('Port Linkages'!$C$18:$C$157=$AP74)*('Port Linkages'!$D$18:$D$157=IF($AO74="Yes",$AQ74,$KK74))*('Port Linkages'!$A$18:$A$157&lt;=$C74))))</f>
        <v>Singapore</v>
      </c>
      <c r="ACC74" s="75" t="str">
        <f t="array" ref="ACC74">INDEX('Port Linkages'!$AR$18:$AR$157,MATCH(2,1/(('Port Linkages'!$C$18:$C$157=$AP74)*('Port Linkages'!$D$18:$D$157=IF($AO74="Yes",$AQ74,$KK74))*('Port Linkages'!$A$18:$A$157&lt;=$C74))))</f>
        <v>VLSFO</v>
      </c>
      <c r="ACD74" s="75" t="str">
        <f t="array" ref="ACD74">INDEX('Port Linkages'!$AS$18:$AS$157,MATCH(2,1/(('Port Linkages'!$C$18:$C$157=$AP74)*('Port Linkages'!$D$18:$D$157=IF($AO74="Yes",$AQ74,$KK74))*('Port Linkages'!$A$18:$A$157&lt;=$C74))))</f>
        <v>MGO_Regular</v>
      </c>
      <c r="ACE74" s="75" t="str">
        <f t="array" ref="ACE74">INDEX('Port Linkages'!$AT$18:$AT$157,MATCH(2,1/(('Port Linkages'!$C$18:$C$157=$AP74)*('Port Linkages'!$D$18:$D$157=IF($AO74="Yes",$AQ74,$KK74))*('Port Linkages'!$A$18:$A$157&lt;=$C74))))</f>
        <v>none</v>
      </c>
      <c r="ACF74" s="75">
        <f t="array" ref="ACF74">INDEX('Port Linkages'!$AU$18:$AU$157,MATCH(2,1/(('Port Linkages'!$C$18:$C$157=$AP74)*('Port Linkages'!$D$18:$D$157=IF($AO74="Yes",$AQ74,$KK74))*('Port Linkages'!$A$18:$A$157&lt;=$C74))))</f>
        <v>2326</v>
      </c>
      <c r="ACG74" s="75">
        <f t="array" ref="ACG74">INDEX('Port Linkages'!$AV$18:$AV$157,MATCH(2,1/(('Port Linkages'!$C$18:$C$157=$AP74)*('Port Linkages'!$D$18:$D$157=IF($AO74="Yes",$AQ74,$KK74))*('Port Linkages'!$A$18:$A$157&lt;=$C74))))</f>
        <v>0</v>
      </c>
      <c r="ACH74" s="75" t="str">
        <f t="array" ref="ACH74">INDEX('Port Linkages'!$AW$18:$AW$157,MATCH(2,1/(('Port Linkages'!$C$18:$C$157=$AP74)*('Port Linkages'!$D$18:$D$157=IF($AO74="Yes",$AQ74,$KK74))*('Port Linkages'!$A$18:$A$157&lt;=$C74))))</f>
        <v>Handysize_General</v>
      </c>
      <c r="ACI74" s="75" t="str">
        <f t="array" ref="ACI74">INDEX('Port Linkages'!$AX$18:$AX$157,MATCH(2,1/(('Port Linkages'!$C$18:$C$157=$AP74)*('Port Linkages'!$D$18:$D$157=IF($AO74="Yes",$AQ74,$KK74))*('Port Linkages'!$A$18:$A$157&lt;=$C74))))</f>
        <v>Singapore</v>
      </c>
      <c r="ACJ74" s="75" t="str">
        <f t="array" ref="ACJ74">INDEX('Port Linkages'!$AY$18:$AY$157,MATCH(2,1/(('Port Linkages'!$C$18:$C$157=$AP74)*('Port Linkages'!$D$18:$D$157=IF($AO74="Yes",$AQ74,$KK74))*('Port Linkages'!$A$18:$A$157&lt;=$C74))))</f>
        <v>VLSFO</v>
      </c>
      <c r="ACK74" s="75" t="str">
        <f t="array" ref="ACK74">INDEX('Port Linkages'!$AZ$18:$AZ$157,MATCH(2,1/(('Port Linkages'!$C$18:$C$157=$AP74)*('Port Linkages'!$D$18:$D$157=IF($AO74="Yes",$AQ74,$KK74))*('Port Linkages'!$A$18:$A$157&lt;=$C74))))</f>
        <v>MGO_Regular</v>
      </c>
      <c r="ACL74" s="75" t="str">
        <f t="array" ref="ACL74">INDEX('Port Linkages'!$BA$18:$BA$157,MATCH(2,1/(('Port Linkages'!$C$18:$C$157=$AP74)*('Port Linkages'!$D$18:$D$157=IF($AO74="Yes",$AQ74,$KK74))*('Port Linkages'!$A$18:$A$157&lt;=$C74))))</f>
        <v>none</v>
      </c>
      <c r="ACN74" s="25" t="e">
        <f t="array" aca="1" ref="ACN74" ca="1">INDEX('Ship Fuel Prices'!$F$5:$F$1004,MATCH(2,1/(('Ship Fuel Prices'!$E$5:$E$1004=_xlfn.IFS(AAC74="Handysize",Main!ACI74,AAC74="Supramax",ACB74,AAC74="Panamax",ABU74,AAC74="NeoPanamax",ABN74,AAC74="Suezmax",ABG74,AAC74="Capesize",AAZ74,AAC74="VLOC",AAS74))*('Ship Fuel Prices'!$D$5:$D$1004&lt;=Main!$C74))))</f>
        <v>#N/A</v>
      </c>
      <c r="ACO74" s="25" t="e">
        <f t="array" aca="1" ref="ACO74" ca="1">INDEX('Ship Fuel Prices'!$G$5:$G$1004,MATCH(2,1/(('Ship Fuel Prices'!$E$5:$E$1004=_xlfn.IFS(AAC74="Handysize",Main!ACI74,AAC74="Supramax",ACB74,AAC74="Panamax",ABU74,AAC74="NeoPanamax",ABN74,AAC74="Suezmax",ABG74,AAC74="Capesize",AAZ74,AAC74="VLOC",AAS74))*('Ship Fuel Prices'!$D$5:$D$1004&lt;=Main!$C74))))</f>
        <v>#N/A</v>
      </c>
      <c r="ACP74" s="25" t="e">
        <f t="array" aca="1" ref="ACP74" ca="1">INDEX('Ship Fuel Prices'!$H$5:$H$1004,MATCH(2,1/(('Ship Fuel Prices'!$E$5:$E$1004=_xlfn.IFS(AAC74="Handysize",Main!ACI74,AAC74="Supramax",ACB74,AAC74="Panamax",ABU74,AAC74="NeoPanamax",ABN74,AAC74="Suezmax",ABG74,AAC74="Capesize",AAZ74,AAC74="VLOC",AAS74))*('Ship Fuel Prices'!$D$5:$D$1004&lt;=Main!$C74))))</f>
        <v>#N/A</v>
      </c>
      <c r="ACQ74" s="25" t="e">
        <f t="array" aca="1" ref="ACQ74" ca="1">INDEX('Ship Fuel Prices'!$I$5:$I$1004,MATCH(2,1/(('Ship Fuel Prices'!$E$5:$E$1004=_xlfn.IFS(AAC74="Handysize",Main!ACI74,AAC74="Supramax",ACB74,AAC74="Panamax",ABU74,AAC74="NeoPanamax",ABN74,AAC74="Suezmax",ABG74,AAC74="Capesize",AAZ74,AAC74="VLOC",AAS74))*('Ship Fuel Prices'!$D$5:$D$1004&lt;=Main!$C74))))</f>
        <v>#N/A</v>
      </c>
      <c r="ACR74" s="25" t="e">
        <f t="array" aca="1" ref="ACR74" ca="1">INDEX('Ship Fuel Prices'!$J$5:$J$1004,MATCH(2,1/(('Ship Fuel Prices'!$E$5:$E$1004=_xlfn.IFS(AAC74="Handysize",Main!ACI74,AAC74="Supramax",ACB74,AAC74="Panamax",ABU74,AAC74="NeoPanamax",ABN74,AAC74="Suezmax",ABG74,AAC74="Capesize",AAZ74,AAC74="VLOC",AAS74))*('Ship Fuel Prices'!$D$5:$D$1004&lt;=Main!$C74))))</f>
        <v>#N/A</v>
      </c>
      <c r="ACT74" s="75">
        <f t="array" ref="ACT74">INDEX('China n Importing Ports'!$E$20:$E$41,MATCH(2,1/(('China n Importing Ports'!$D$20:$D$41&lt;=$C74)*('China n Importing Ports'!$C$20:$C$41=IF($AO74="Yes",$AQ74,$KK74)))))</f>
        <v>42500</v>
      </c>
      <c r="ACU74" s="75">
        <f t="array" ref="ACU74">INDEX('China n Importing Ports'!$F$20:$F$41,MATCH(2,1/(('China n Importing Ports'!$D$20:$D$41&lt;=$C74)*('China n Importing Ports'!$C$20:$C$41=IF($AO74="Yes",$AQ74,$KK74)))))</f>
        <v>42500</v>
      </c>
      <c r="ACV74" s="75">
        <f t="array" ref="ACV74">INDEX('China n Importing Ports'!$G$20:$G$41,MATCH(2,1/(('China n Importing Ports'!$D$20:$D$41&lt;=$C74)*('China n Importing Ports'!$C$20:$C$41=IF($AO74="Yes",$AQ74,$KK74)))))</f>
        <v>42500</v>
      </c>
      <c r="ACW74" s="75">
        <f t="array" ref="ACW74">INDEX('China n Importing Ports'!$H$20:$H$41,MATCH(2,1/(('China n Importing Ports'!$D$20:$D$41&lt;=$C74)*('China n Importing Ports'!$C$20:$C$41=IF($AO74="Yes",$AQ74,$KK74)))))</f>
        <v>42500</v>
      </c>
      <c r="ACX74" s="75">
        <f t="array" ref="ACX74">INDEX('China n Importing Ports'!$I$20:$I$41,MATCH(2,1/(('China n Importing Ports'!$D$20:$D$41&lt;=$C74)*('China n Importing Ports'!$C$20:$C$41=IF($AO74="Yes",$AQ74,$KK74)))))</f>
        <v>42500</v>
      </c>
      <c r="ACY74" s="75">
        <f t="array" ref="ACY74">INDEX('China n Importing Ports'!$J$20:$J$41,MATCH(2,1/(('China n Importing Ports'!$D$20:$D$41&lt;=$C74)*('China n Importing Ports'!$C$20:$C$41=IF($AO74="Yes",$AQ74,$KK74)))))</f>
        <v>42500</v>
      </c>
      <c r="ACZ74" s="75">
        <f t="array" ref="ACZ74">INDEX('China n Importing Ports'!$K$20:$K$41,MATCH(2,1/(('China n Importing Ports'!$D$20:$D$41&lt;=$C74)*('China n Importing Ports'!$C$20:$C$41=IF($AO74="Yes",$AQ74,$KK74)))))</f>
        <v>42500</v>
      </c>
      <c r="ADA74" s="75" t="str">
        <f t="array" ref="ADA74">INDEX('China n Importing Ports'!$L$20:$L$41,MATCH(2,1/(('China n Importing Ports'!$D$20:$D$41&lt;=$C74)*('China n Importing Ports'!$C$20:$C$41=IF($AO74="Yes",$AQ74,$KK74)))))</f>
        <v>RMB</v>
      </c>
      <c r="ADB74" s="75">
        <f t="array" ref="ADB74">INDEX('China n Importing Ports'!$M$20:$M$41,MATCH(2,1/(('China n Importing Ports'!$D$20:$D$41&lt;=$C74)*('China n Importing Ports'!$C$20:$C$41=IF($AO74="Yes",$AQ74,$KK74)))))</f>
        <v>12342</v>
      </c>
      <c r="ADC74" s="75">
        <f t="array" ref="ADC74">INDEX('China n Importing Ports'!$N$20:$N$41,MATCH(2,1/(('China n Importing Ports'!$D$20:$D$41&lt;=$C74)*('China n Importing Ports'!$C$20:$C$41=IF($AO74="Yes",$AQ74,$KK74)))))</f>
        <v>0</v>
      </c>
      <c r="ADD74" s="75">
        <f t="array" ref="ADD74">INDEX('China n Importing Ports'!$O$20:$O$41,MATCH(2,1/(('China n Importing Ports'!$D$20:$D$41&lt;=$C74)*('China n Importing Ports'!$C$20:$C$41=IF($AO74="Yes",$AQ74,$KK74)))))</f>
        <v>0</v>
      </c>
      <c r="ADE74" s="136">
        <f t="array" ref="ADE74">INDEX('China n Importing Ports'!$P$20:$P$41,MATCH(2,1/(('China n Importing Ports'!$D$20:$D$41&lt;=$C74)*('China n Importing Ports'!$C$20:$C$41=IF($AO74="Yes",$AQ74,$KK74)))))</f>
        <v>2.64</v>
      </c>
      <c r="ADF74" s="136">
        <f t="array" ref="ADF74">INDEX('China n Importing Ports'!$Q$20:$Q$41,MATCH(2,1/(('China n Importing Ports'!$D$20:$D$41&lt;=$C74)*('China n Importing Ports'!$C$20:$C$41=IF($AO74="Yes",$AQ74,$KK74)))))</f>
        <v>0</v>
      </c>
      <c r="ADG74" s="136">
        <f t="array" ref="ADG74">INDEX('China n Importing Ports'!$R$20:$R$41,MATCH(2,1/(('China n Importing Ports'!$D$20:$D$41&lt;=$C74)*('China n Importing Ports'!$C$20:$C$41=IF($AO74="Yes",$AQ74,$KK74)))))</f>
        <v>0</v>
      </c>
      <c r="ADH74" s="136">
        <f t="array" ref="ADH74">INDEX('China n Importing Ports'!$S$20:$S$41,MATCH(2,1/(('China n Importing Ports'!$D$20:$D$41&lt;=$C74)*('China n Importing Ports'!$C$20:$C$41=IF($AO74="Yes",$AQ74,$KK74)))))</f>
        <v>4.53</v>
      </c>
      <c r="ADI74" s="136">
        <f t="array" ref="ADI74">INDEX('China n Importing Ports'!$T$20:$T$41,MATCH(2,1/(('China n Importing Ports'!$D$20:$D$41&lt;=$C74)*('China n Importing Ports'!$C$20:$C$41=IF($AO74="Yes",$AQ74,$KK74)))))</f>
        <v>0.36699999999999999</v>
      </c>
      <c r="ADJ74" s="136">
        <f t="array" ref="ADJ74">INDEX('China n Importing Ports'!$U$20:$U$41,MATCH(2,1/(('China n Importing Ports'!$D$20:$D$41&lt;=$C74)*('China n Importing Ports'!$C$20:$C$41=IF($AO74="Yes",$AQ74,$KK74)))))</f>
        <v>0.05</v>
      </c>
      <c r="ADK74" s="136">
        <f t="array" ref="ADK74">INDEX('China n Importing Ports'!$V$20:$V$41,MATCH(2,1/(('China n Importing Ports'!$D$20:$D$41&lt;=$C74)*('China n Importing Ports'!$C$20:$C$41=IF($AO74="Yes",$AQ74,$KK74)))))</f>
        <v>0</v>
      </c>
      <c r="ADL74" s="136">
        <f t="array" ref="ADL74">INDEX('China n Importing Ports'!$W$20:$W$41,MATCH(2,1/(('China n Importing Ports'!$D$20:$D$41&lt;=$C74)*('China n Importing Ports'!$C$20:$C$41=IF($AO74="Yes",$AQ74,$KK74)))))</f>
        <v>0</v>
      </c>
      <c r="ADM74" s="136">
        <f t="array" ref="ADM74">INDEX('China n Importing Ports'!$X$20:$X$41,MATCH(2,1/(('China n Importing Ports'!$D$20:$D$41&lt;=$C74)*('China n Importing Ports'!$C$20:$C$41=IF($AO74="Yes",$AQ74,$KK74)))))</f>
        <v>0</v>
      </c>
      <c r="ADN74" s="136">
        <f t="array" ref="ADN74">INDEX('China n Importing Ports'!$Y$20:$Y$41,MATCH(2,1/(('China n Importing Ports'!$D$20:$D$41&lt;=$C74)*('China n Importing Ports'!$C$20:$C$41=IF($AO74="Yes",$AQ74,$KK74)))))</f>
        <v>197</v>
      </c>
      <c r="ADO74" s="136">
        <f t="array" ref="ADO74">INDEX('China n Importing Ports'!$Z$20:$Z$41,MATCH(2,1/(('China n Importing Ports'!$D$20:$D$41&lt;=$C74)*('China n Importing Ports'!$C$20:$C$41=IF($AO74="Yes",$AQ74,$KK74)))))</f>
        <v>0</v>
      </c>
      <c r="ADP74" s="136">
        <f t="array" ref="ADP74">INDEX('China n Importing Ports'!$AA$20:$AA$41,MATCH(2,1/(('China n Importing Ports'!$D$20:$D$41&lt;=$C74)*('China n Importing Ports'!$C$20:$C$41=IF($AO74="Yes",$AQ74,$KK74)))))</f>
        <v>0</v>
      </c>
      <c r="ADR74" s="75" t="e">
        <f t="array" aca="1" ref="ADR74" ca="1">INDEX(Canals!$G$24:$G$29,MATCH(2,1/((Canals!$F$24:$F$29&lt;=$C74)*(Canals!$G$24:$G$29=_xlfn.IFS(AAC74="Handysize",Main!ACL74,AAC74="Supramax",ACE74,AAC74="Panamax",ABX74,AAC74="NeoPanamax",ABQ74,AAC74="Suezmax",ABJ74,AAC74="Capesize",ABC74,AAC74="VLOC",AAV74)))))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S74" s="75" t="e">
        <f t="array" aca="1" ref="ADS74" ca="1">INDEX(Canals!$H$24:$H$29,MATCH(2,1/((Canals!$F$24:$F$29&lt;=$C74)*(Canals!$G$24:$G$29=_xlfn.IFS(AAC74="Handysize",Main!ACL74,AAC74="Supramax",ACE74,AAC74="Panamax",ABX74,AAC74="NeoPanamax",ABQ74,AAC74="Suezmax",ABJ74,AAC74="Capesize",ABC74,AAC74="VLOC",AAV74)))))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T74" s="75" t="e">
        <f t="array" aca="1" ref="ADT74" ca="1">INDEX(Canals!$I$24:$I$29,MATCH(2,1/((Canals!$F$24:$F$29&lt;=$C74)*(Canals!$G$24:$G$29=_xlfn.IFS(AAC74="Handysize",Main!ACL74,AAC74="Supramax",ACE74,AAC74="Panamax",ABX74,AAC74="NeoPanamax",ABQ74,AAC74="Suezmax",ABJ74,AAC74="Capesize",ABC74,AAC74="VLOC",AAV74)))))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U74" s="75" t="e">
        <f t="array" aca="1" ref="ADU74" ca="1">INDEX(Canals!$J$24:$J$29,MATCH(2,1/((Canals!$F$24:$F$29&lt;=$C74)*(Canals!$G$24:$G$29=_xlfn.IFS(AAC74="Handysize",Main!ACL74,AAC74="Supramax",ACE74,AAC74="Panamax",ABX74,AAC74="NeoPanamax",ABQ74,AAC74="Suezmax",ABJ74,AAC74="Capesize",ABC74,AAC74="VLOC",AAV74)))))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V74" s="75" t="e">
        <f t="array" aca="1" ref="ADV74" ca="1">INDEX(Canals!$K$24:$K$29,MATCH(2,1/((Canals!$F$24:$F$29&lt;=$C74)*(Canals!$G$24:$G$29=_xlfn.IFS(AAC74="Handysize",Main!ACL74,AAC74="Supramax",ACE74,AAC74="Panamax",ABX74,AAC74="NeoPanamax",ABQ74,AAC74="Suezmax",ABJ74,AAC74="Capesize",ABC74,AAC74="VLOC",AAV74)))))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W74" s="75" t="e">
        <f t="array" aca="1" ref="ADW74" ca="1">INDEX(Canals!$L$24:$L$29,MATCH(2,1/((Canals!$F$24:$F$29&lt;=$C74)*(Canals!$G$24:$G$29=_xlfn.IFS(AAC74="Handysize",Main!ACL74,AAC74="Supramax",ACE74,AAC74="Panamax",ABX74,AAC74="NeoPanamax",ABQ74,AAC74="Suezmax",ABJ74,AAC74="Capesize",ABC74,AAC74="VLOC",AAV74)))))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X74" s="75" t="e">
        <f t="array" aca="1" ref="ADX74" ca="1">INDEX(Canals!$M$24:$M$29,MATCH(2,1/((Canals!$F$24:$F$29&lt;=$C74)*(Canals!$G$24:$G$29=_xlfn.IFS(AAC74="Handysize",Main!ACL74,AAC74="Supramax",ACE74,AAC74="Panamax",ABX74,AAC74="NeoPanamax",ABQ74,AAC74="Suezmax",ABJ74,AAC74="Capesize",ABC74,AAC74="VLOC",AAV74)))))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Y74" s="75" t="e">
        <f t="array" aca="1" ref="ADY74" ca="1">INDEX(Canals!$N$24:$N$29,MATCH(2,1/((Canals!$F$24:$F$29&lt;=$C74)*(Canals!$G$24:$G$29=_xlfn.IFS(AAC74="Handysize",Main!ACL74,AAC74="Supramax",ACE74,AAC74="Panamax",ABX74,AAC74="NeoPanamax",ABQ74,AAC74="Suezmax",ABJ74,AAC74="Capesize",ABC74,AAC74="VLOC",AAV74)))))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DZ74" s="75" t="e">
        <f t="array" aca="1" ref="ADZ74" ca="1">INDEX(Canals!$O$24:$O$29,MATCH(2,1/((Canals!$F$24:$F$29&lt;=$C74)*(Canals!$G$24:$G$29=_xlfn.IFS(AAC74="Handysize",Main!ACL74,AAC74="Supramax",ACE74,AAC74="Panamax",ABX74,AAC74="NeoPanamax",ABQ74,AAC74="Suezmax",ABJ74,AAC74="Capesize",ABC74,AAC74="VLOC",AAV74)))))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A74" s="75" t="e">
        <f t="array" aca="1" ref="AEA74" ca="1">INDEX(Canals!$P$24:$P$29,MATCH(2,1/((Canals!$F$24:$F$29&lt;=$C74)*(Canals!$G$24:$G$29=_xlfn.IFS(AAC74="Handysize",Main!ACL74,AAC74="Supramax",ACE74,AAC74="Panamax",ABX74,AAC74="NeoPanamax",ABQ74,AAC74="Suezmax",ABJ74,AAC74="Capesize",ABC74,AAC74="VLOC",AAV74)))))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B74" s="75" t="e">
        <f t="array" aca="1" ref="AEB74" ca="1">INDEX(Canals!$Q$24:$Q$29,MATCH(2,1/((Canals!$F$24:$F$29&lt;=$C74)*(Canals!$G$24:$G$29=_xlfn.IFS(AAC74="Handysize",Main!ACL74,AAC74="Supramax",ACE74,AAC74="Panamax",ABX74,AAC74="NeoPanamax",ABQ74,AAC74="Suezmax",ABJ74,AAC74="Capesize",ABC74,AAC74="VLOC",AAV74)))))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C74" s="75" t="e">
        <f t="array" aca="1" ref="AEC74" ca="1">INDEX(Canals!$R$24:$R$29,MATCH(2,1/((Canals!$F$24:$F$29&lt;=$C74)*(Canals!$G$24:$G$29=_xlfn.IFS(AAC74="Handysize",Main!ACL74,AAC74="Supramax",ACE74,AAC74="Panamax",ABX74,AAC74="NeoPanamax",ABQ74,AAC74="Suezmax",ABJ74,AAC74="Capesize",ABC74,AAC74="VLOC",AAV74)))))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D74" s="136" t="e">
        <f t="array" aca="1" ref="AED74" ca="1">INDEX(Canals!$S$24:$S$29,MATCH(2,1/((Canals!$F$24:$F$29&lt;=$C74)*(Canals!$G$24:$G$29=_xlfn.IFS(AAC74="Handysize",Main!ACL74,AAC74="Supramax",ACE74,AAC74="Panamax",ABX74,AAC74="NeoPanamax",ABQ74,AAC74="Suezmax",ABJ74,AAC74="Capesize",ABC74,AAC74="VLOC",AAV74)))))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E74" s="136" t="e">
        <f t="array" aca="1" ref="AEE74" ca="1">INDEX(Canals!$T$24:$T$29,MATCH(2,1/((Canals!$F$24:$F$29&lt;=$C74)*(Canals!$G$24:$G$29=_xlfn.IFS(AAC74="Handysize",Main!ACL74,AAC74="Supramax",ACE74,AAC74="Panamax",ABX74,AAC74="NeoPanamax",ABQ74,AAC74="Suezmax",ABJ74,AAC74="Capesize",ABC74,AAC74="VLOC",AAV74)))))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F74" s="136" t="e">
        <f t="array" aca="1" ref="AEF74" ca="1">INDEX(Canals!$U$24:$U$29,MATCH(2,1/((Canals!$F$24:$F$29&lt;=$C74)*(Canals!$G$24:$G$29=_xlfn.IFS(AAC74="Handysize",Main!ACL74,AAC74="Supramax",ACE74,AAC74="Panamax",ABX74,AAC74="NeoPanamax",ABQ74,AAC74="Suezmax",ABJ74,AAC74="Capesize",ABC74,AAC74="VLOC",AAV74)))))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G74" s="136" t="e">
        <f t="array" aca="1" ref="AEG74" ca="1">INDEX(Canals!$V$24:$V$29,MATCH(2,1/((Canals!$F$24:$F$29&lt;=$C74)*(Canals!$G$24:$G$29=_xlfn.IFS(AAC74="Handysize",Main!ACL74,AAC74="Supramax",ACE74,AAC74="Panamax",ABX74,AAC74="NeoPanamax",ABQ74,AAC74="Suezmax",ABJ74,AAC74="Capesize",ABC74,AAC74="VLOC",AAV74)))))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H74" s="136" t="e">
        <f t="array" aca="1" ref="AEH74" ca="1">INDEX(Canals!$W$24:$W$29,MATCH(2,1/((Canals!$F$24:$F$29&lt;=$C74)*(Canals!$G$24:$G$29=_xlfn.IFS(AAC74="Handysize",Main!ACL74,AAC74="Supramax",ACE74,AAC74="Panamax",ABX74,AAC74="NeoPanamax",ABQ74,AAC74="Suezmax",ABJ74,AAC74="Capesize",ABC74,AAC74="VLOC",AAV74)))))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I74" s="136" t="e">
        <f t="array" aca="1" ref="AEI74" ca="1">INDEX(Canals!$X$24:$X$29,MATCH(2,1/((Canals!$F$24:$F$29&lt;=$C74)*(Canals!$G$24:$G$29=_xlfn.IFS(AAC74="Handysize",Main!ACL74,AAC74="Supramax",ACE74,AAC74="Panamax",ABX74,AAC74="NeoPanamax",ABQ74,AAC74="Suezmax",ABJ74,AAC74="Capesize",ABC74,AAC74="VLOC",AAV74)))))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J74" s="136" t="e">
        <f t="array" aca="1" ref="AEJ74" ca="1">INDEX(Canals!$Y$24:$Y$29,MATCH(2,1/((Canals!$F$24:$F$29&lt;=$C74)*(Canals!$G$24:$G$29=_xlfn.IFS(AAC74="Handysize",Main!ACL74,AAC74="Supramax",ACE74,AAC74="Panamax",ABX74,AAC74="NeoPanamax",ABQ74,AAC74="Suezmax",ABJ74,AAC74="Capesize",ABC74,AAC74="VLOC",AAV74)))))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K74" s="136" t="e">
        <f t="array" aca="1" ref="AEK74" ca="1">INDEX(Canals!$Z$24:$Z$29,MATCH(2,1/((Canals!$F$24:$F$29&lt;=$C74)*(Canals!$G$24:$G$29=_xlfn.IFS(AAC74="Handysize",Main!ACL74,AAC74="Supramax",ACE74,AAC74="Panamax",ABX74,AAC74="NeoPanamax",ABQ74,AAC74="Suezmax",ABJ74,AAC74="Capesize",ABC74,AAC74="VLOC",AAV74)))))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L74" s="136" t="e">
        <f t="array" aca="1" ref="AEL74" ca="1">INDEX(Canals!$AA$24:$AA$29,MATCH(2,1/((Canals!$F$24:$F$29&lt;=$C74)*(Canals!$G$24:$G$29=_xlfn.IFS(AAC74="Handysize",Main!ACL74,AAC74="Supramax",ACE74,AAC74="Panamax",ABX74,AAC74="NeoPanamax",ABQ74,AAC74="Suezmax",ABJ74,AAC74="Capesize",ABC74,AAC74="VLOC",AAV74)))))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M74" s="136" t="e">
        <f t="array" aca="1" ref="AEM74" ca="1">INDEX(Canals!$AB$24:$AB$29,MATCH(2,1/((Canals!$F$24:$F$29&lt;=$C74)*(Canals!$G$24:$G$29=_xlfn.IFS(AAC74="Handysize",Main!ACL74,AAC74="Supramax",ACE74,AAC74="Panamax",ABX74,AAC74="NeoPanamax",ABQ74,AAC74="Suezmax",ABJ74,AAC74="Capesize",ABC74,AAC74="VLOC",AAV74)))))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N74" s="75" t="e">
        <f t="array" aca="1" ref="AEN74" ca="1">INDEX(Canals!$AC$24:$AC$29,MATCH(2,1/((Canals!$F$24:$F$29&lt;=$C74)*(Canals!$G$24:$G$29=_xlfn.IFS(AAC74="Handysize",Main!ACL74,AAC74="Supramax",ACE74,AAC74="Panamax",ABX74,AAC74="NeoPanamax",ABQ74,AAC74="Suezmax",ABJ74,AAC74="Capesize",ABC74,AAC74="VLOC",AAV74)))))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O74" s="75" t="e">
        <f t="array" aca="1" ref="AEO74" ca="1">INDEX(Canals!$AD$24:$AD$29,MATCH(2,1/((Canals!$F$24:$F$29&lt;=$C74)*(Canals!$G$24:$G$29=_xlfn.IFS(AAC74="Handysize",Main!ACL74,AAC74="Supramax",ACE74,AAC74="Panamax",ABX74,AAC74="NeoPanamax",ABQ74,AAC74="Suezmax",ABJ74,AAC74="Capesize",ABC74,AAC74="VLOC",AAV74)))))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P74" s="75" t="e">
        <f t="array" aca="1" ref="AEP74" ca="1">INDEX(Canals!$AE$24:$AE$29,MATCH(2,1/((Canals!$F$24:$F$29&lt;=$C74)*(Canals!$G$24:$G$29=_xlfn.IFS(AAC74="Handysize",Main!ACL74,AAC74="Supramax",ACE74,AAC74="Panamax",ABX74,AAC74="NeoPanamax",ABQ74,AAC74="Suezmax",ABJ74,AAC74="Capesize",ABC74,AAC74="VLOC",AAV74)))))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Q74" s="75" t="e">
        <f t="array" aca="1" ref="AEQ74" ca="1">INDEX(Canals!$AF$24:$AF$29,MATCH(2,1/((Canals!$F$24:$F$29&lt;=$C74)*(Canals!$G$24:$G$29=_xlfn.IFS(AAC74="Handysize",Main!ACL74,AAC74="Supramax",ACE74,AAC74="Panamax",ABX74,AAC74="NeoPanamax",ABQ74,AAC74="Suezmax",ABJ74,AAC74="Capesize",ABC74,AAC74="VLOC",AAV74)))))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R74" s="75" t="e">
        <f t="array" aca="1" ref="AER74" ca="1">INDEX(Canals!$AG$24:$AG$29,MATCH(2,1/((Canals!$F$24:$F$29&lt;=$C74)*(Canals!$G$24:$G$29=_xlfn.IFS(AAC74="Handysize",Main!ACL74,AAC74="Supramax",ACE74,AAC74="Panamax",ABX74,AAC74="NeoPanamax",ABQ74,AAC74="Suezmax",ABJ74,AAC74="Capesize",ABC74,AAC74="VLOC",AAV74)))))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S74" s="75" t="e">
        <f t="array" aca="1" ref="AES74" ca="1">INDEX(Canals!$AH$24:$AH$29,MATCH(2,1/((Canals!$F$24:$F$29&lt;=$C74)*(Canals!$G$24:$G$29=_xlfn.IFS(AAC74="Handysize",Main!ACL74,AAC74="Supramax",ACE74,AAC74="Panamax",ABX74,AAC74="NeoPanamax",ABQ74,AAC74="Suezmax",ABJ74,AAC74="Capesize",ABC74,AAC74="VLOC",AAV74)))))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T74" s="75" t="e">
        <f t="array" aca="1" ref="AET74" ca="1">INDEX(Canals!$AI$24:$AI$29,MATCH(2,1/((Canals!$F$24:$F$29&lt;=$C74)*(Canals!$G$24:$G$29=_xlfn.IFS(AAC74="Handysize",Main!ACL74,AAC74="Supramax",ACE74,AAC74="Panamax",ABX74,AAC74="NeoPanamax",ABQ74,AAC74="Suezmax",ABJ74,AAC74="Capesize",ABC74,AAC74="VLOC",AAV74)))))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U74" s="75" t="e">
        <f t="array" aca="1" ref="AEU74" ca="1">INDEX(Canals!$AJ$24:$AJ$29,MATCH(2,1/((Canals!$F$24:$F$29&lt;=$C74)*(Canals!$G$24:$G$29=_xlfn.IFS(AAC74="Handysize",Main!ACL74,AAC74="Supramax",ACE74,AAC74="Panamax",ABX74,AAC74="NeoPanamax",ABQ74,AAC74="Suezmax",ABJ74,AAC74="Capesize",ABC74,AAC74="VLOC",AAV74)))))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V74" s="75" t="e">
        <f t="array" aca="1" ref="AEV74" ca="1">INDEX(Canals!$AK$24:$AK$29,MATCH(2,1/((Canals!$F$24:$F$29&lt;=$C74)*(Canals!$G$24:$G$29=_xlfn.IFS(AAC74="Handysize",Main!ACL74,AAC74="Supramax",ACE74,AAC74="Panamax",ABX74,AAC74="NeoPanamax",ABQ74,AAC74="Suezmax",ABJ74,AAC74="Capesize",ABC74,AAC74="VLOC",AAV74)))))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W74" s="136" t="e">
        <f t="array" aca="1" ref="AEW74" ca="1">INDEX(Canals!$AL$24:$AL$29,MATCH(2,1/((Canals!$F$24:$F$29&lt;=$C74)*(Canals!$G$24:$G$29=_xlfn.IFS(AAC74="Handysize",Main!ACL74,AAC74="Supramax",ACE74,AAC74="Panamax",ABX74,AAC74="NeoPanamax",ABQ74,AAC74="Suezmax",ABJ74,AAC74="Capesize",ABC74,AAC74="VLOC",AAV74)))))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X74" s="136" t="e">
        <f t="array" aca="1" ref="AEX74" ca="1">INDEX(Canals!$AM$24:$AM$29,MATCH(2,1/((Canals!$F$24:$F$29&lt;=$C74)*(Canals!$G$24:$G$29=_xlfn.IFS(AAC74="Handysize",Main!ACL74,AAC74="Supramax",ACE74,AAC74="Panamax",ABX74,AAC74="NeoPanamax",ABQ74,AAC74="Suezmax",ABJ74,AAC74="Capesize",ABC74,AAC74="VLOC",AAV74)))))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Y74" s="136" t="e">
        <f t="array" aca="1" ref="AEY74" ca="1">INDEX(Canals!$AN$24:$AN$29,MATCH(2,1/((Canals!$F$24:$F$29&lt;=$C74)*(Canals!$G$24:$G$29=_xlfn.IFS(AAC74="Handysize",Main!ACL74,AAC74="Supramax",ACE74,AAC74="Panamax",ABX74,AAC74="NeoPanamax",ABQ74,AAC74="Suezmax",ABJ74,AAC74="Capesize",ABC74,AAC74="VLOC",AAV74)))))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EZ74" s="136" t="e">
        <f t="array" aca="1" ref="AEZ74" ca="1">INDEX(Canals!$AO$24:$AO$29,MATCH(2,1/((Canals!$F$24:$F$29&lt;=$C74)*(Canals!$G$24:$G$29=_xlfn.IFS(AAC74="Handysize",Main!ACL74,AAC74="Supramax",ACE74,AAC74="Panamax",ABX74,AAC74="NeoPanamax",ABQ74,AAC74="Suezmax",ABJ74,AAC74="Capesize",ABC74,AAC74="VLOC",AAV74)))))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A74" s="136" t="e">
        <f t="array" aca="1" ref="AFA74" ca="1">INDEX(Canals!$AP$24:$AP$29,MATCH(2,1/((Canals!$F$24:$F$29&lt;=$C74)*(Canals!$G$24:$G$29=_xlfn.IFS(AAC74="Handysize",Main!ACL74,AAC74="Supramax",ACE74,AAC74="Panamax",ABX74,AAC74="NeoPanamax",ABQ74,AAC74="Suezmax",ABJ74,AAC74="Capesize",ABC74,AAC74="VLOC",AAV74)))))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B74" s="136" t="e">
        <f t="array" aca="1" ref="AFB74" ca="1">INDEX(Canals!$AQ$24:$AQ$29,MATCH(2,1/((Canals!$F$24:$F$29&lt;=$C74)*(Canals!$G$24:$G$29=_xlfn.IFS(AAC74="Handysize",Main!ACL74,AAC74="Supramax",ACE74,AAC74="Panamax",ABX74,AAC74="NeoPanamax",ABQ74,AAC74="Suezmax",ABJ74,AAC74="Capesize",ABC74,AAC74="VLOC",AAV74)))))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C74" s="136" t="e">
        <f t="array" aca="1" ref="AFC74" ca="1">INDEX(Canals!$AR$24:$AR$29,MATCH(2,1/((Canals!$F$24:$F$29&lt;=$C74)*(Canals!$G$24:$G$29=_xlfn.IFS(AAC74="Handysize",Main!ACL74,AAC74="Supramax",ACE74,AAC74="Panamax",ABX74,AAC74="NeoPanamax",ABQ74,AAC74="Suezmax",ABJ74,AAC74="Capesize",ABC74,AAC74="VLOC",AAV74)))))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D74" s="136" t="e">
        <f t="array" aca="1" ref="AFD74" ca="1">INDEX(Canals!$AS$24:$AS$29,MATCH(2,1/((Canals!$F$24:$F$29&lt;=$C74)*(Canals!$G$24:$G$29=_xlfn.IFS(AAC74="Handysize",Main!ACL74,AAC74="Supramax",ACE74,AAC74="Panamax",ABX74,AAC74="NeoPanamax",ABQ74,AAC74="Suezmax",ABJ74,AAC74="Capesize",ABC74,AAC74="VLOC",AAV74)))))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E74" s="136" t="e">
        <f t="array" aca="1" ref="AFE74" ca="1">INDEX(Canals!$AT$24:$AT$29,MATCH(2,1/((Canals!$F$24:$F$29&lt;=$C74)*(Canals!$G$24:$G$29=_xlfn.IFS(AAC74="Handysize",Main!ACL74,AAC74="Supramax",ACE74,AAC74="Panamax",ABX74,AAC74="NeoPanamax",ABQ74,AAC74="Suezmax",ABJ74,AAC74="Capesize",ABC74,AAC74="VLOC",AAV74)))))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F74" s="136" t="e">
        <f t="array" aca="1" ref="AFF74" ca="1">INDEX(Canals!$AU$24:$AU$29,MATCH(2,1/((Canals!$F$24:$F$29&lt;=$C74)*(Canals!$G$24:$G$29=_xlfn.IFS(AAC74="Handysize",Main!ACL74,AAC74="Supramax",ACE74,AAC74="Panamax",ABX74,AAC74="NeoPanamax",ABQ74,AAC74="Suezmax",ABJ74,AAC74="Capesize",ABC74,AAC74="VLOC",AAV74)))))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G74" s="136" t="e">
        <f t="array" aca="1" ref="AFG74" ca="1">INDEX(Canals!$AV$24:$AV$29,MATCH(2,1/((Canals!$F$24:$F$29&lt;=$C74)*(Canals!$G$24:$G$29=_xlfn.IFS(AAC74="Handysize",Main!ACL74,AAC74="Supramax",ACE74,AAC74="Panamax",ABX74,AAC74="NeoPanamax",ABQ74,AAC74="Suezmax",ABJ74,AAC74="Capesize",ABC74,AAC74="VLOC",AAV74)))))</f>
        <v>#N/A</v>
      </c>
      <c r="AFI74" s="75" t="e">
        <f t="array" aca="1" ref="AFI74" ca="1">_xlfn.IFS(ADT74="DWT",AAA74,ADT74="NRT",AAE74,ADT74="GRT",AAF74)</f>
        <v>#NAME?</v>
      </c>
      <c r="AFJ74" s="279" t="e">
        <f t="shared" ca="1" si="890"/>
        <v>#NAME?</v>
      </c>
      <c r="AFK74" s="280" t="e">
        <f t="shared" ca="1" si="891"/>
        <v>#NAME?</v>
      </c>
      <c r="AFL74" s="280" t="e">
        <f t="shared" ca="1" si="892"/>
        <v>#NAME?</v>
      </c>
      <c r="AFM74" s="280" t="e">
        <f t="shared" ca="1" si="893"/>
        <v>#NAME?</v>
      </c>
      <c r="AFN74" s="280" t="e">
        <f t="shared" ca="1" si="894"/>
        <v>#NAME?</v>
      </c>
      <c r="AFO74" s="280" t="e">
        <f t="shared" ca="1" si="895"/>
        <v>#NAME?</v>
      </c>
      <c r="AFP74" s="280" t="e">
        <f t="shared" ca="1" si="896"/>
        <v>#NAME?</v>
      </c>
      <c r="AFQ74" s="280" t="e">
        <f t="shared" ca="1" si="897"/>
        <v>#NAME?</v>
      </c>
      <c r="AFR74" s="280" t="e">
        <f t="shared" ca="1" si="898"/>
        <v>#NAME?</v>
      </c>
      <c r="AFS74" s="75">
        <f t="shared" si="899"/>
        <v>81052.631578947374</v>
      </c>
      <c r="AFT74" s="279" t="e">
        <f t="shared" ca="1" si="900"/>
        <v>#N/A</v>
      </c>
      <c r="AFU74" s="280" t="e">
        <f t="shared" ca="1" si="901"/>
        <v>#N/A</v>
      </c>
      <c r="AFV74" s="280" t="e">
        <f t="shared" ca="1" si="902"/>
        <v>#N/A</v>
      </c>
      <c r="AFW74" s="280" t="e">
        <f t="shared" ca="1" si="903"/>
        <v>#N/A</v>
      </c>
      <c r="AFX74" s="280" t="e">
        <f t="shared" ca="1" si="904"/>
        <v>#N/A</v>
      </c>
      <c r="AFY74" s="280" t="e">
        <f t="shared" ca="1" si="905"/>
        <v>#N/A</v>
      </c>
      <c r="AFZ74" s="280" t="e">
        <f t="shared" ca="1" si="906"/>
        <v>#N/A</v>
      </c>
      <c r="AGA74" s="280" t="e">
        <f t="shared" ca="1" si="907"/>
        <v>#N/A</v>
      </c>
      <c r="AGB74" s="280" t="e">
        <f t="shared" ca="1" si="908"/>
        <v>#N/A</v>
      </c>
      <c r="AGD74" s="75" t="e">
        <f t="array" aca="1" ref="AGD74" ca="1">_xlfn.IFS(AAC74="Handysize",Main!ACF74,AAC74="Supramax",ABY74,AAC74="Panamax",ABR74,AAC74="NeoPanamax",ABK74,AAC74="Suezmax",ABD74,AAC74="Capesize",AAW74,AAC74="VLOC",AAP74)*$JI74</f>
        <v>#NAME?</v>
      </c>
      <c r="AGE74" s="274" t="e">
        <f t="array" aca="1" ref="AGE74" ca="1">_xlfn.IFS(AAC74="Handysize",Main!ACG74,AAC74="Supramax",ABZ74,AAC74="Panamax",ABS74,AAC74="NeoPanamax",ABL74,AAC74="Suezmax",ABE74,AAC74="Capesize",AAX74,AAC74="VLOC",AAQ74)*$JI74</f>
        <v>#NAME?</v>
      </c>
      <c r="AGF74" s="71" t="e">
        <f t="array" aca="1" ref="AGF74" ca="1">_xlfn.IFS(AAC74="Handysize",Main!AAH74,AAC74="Supramax",AAI74,AAC74="Panamax",AAJ74,AAC74="NeoPanamax",AAK74,AAC74="Suezmax",AAL74,AAC74="Capesize",AAM74,AAC74="VLOC",AAN74)</f>
        <v>#NAME?</v>
      </c>
      <c r="AGG74" s="71" t="e">
        <f t="array" aca="1" ref="AGG74" ca="1">_xlfn.IFS(AAC74="Handysize",Main!ACT74,AAC74="Supramax",ACU74,AAC74="Panamax",ACV74,AAC74="NeoPanamax",ACW74,AAC74="Suezmax",ACX74,AAC74="Capesize",ACY74,AAC74="VLOC",ACZ74)</f>
        <v>#NAME?</v>
      </c>
      <c r="AGH74" s="70">
        <f t="array" ref="AGH74">INDEX('Ship Speeds'!$G$11:$G$1011,MATCH(2,1/(('Ship Speeds'!$E$11:$E$1011&lt;=Main!$C74)*('Ship Speeds'!$F$11:$F$1011=Main!AAB74))))</f>
        <v>11</v>
      </c>
      <c r="AGI74" s="403">
        <f t="shared" si="909"/>
        <v>22.103418307276918</v>
      </c>
      <c r="AGJ74" s="401">
        <f t="shared" si="910"/>
        <v>2.087838056680162</v>
      </c>
      <c r="AGK74" s="70" t="e">
        <f t="shared" ca="1" si="911"/>
        <v>#NAME?</v>
      </c>
      <c r="AGL74" s="70" t="e">
        <f t="shared" ca="1" si="912"/>
        <v>#NAME?</v>
      </c>
      <c r="AGM74" s="70" t="e">
        <f t="shared" ca="1" si="913"/>
        <v>#NAME?</v>
      </c>
      <c r="AGN74" s="70" t="e">
        <f t="shared" ca="1" si="914"/>
        <v>#NAME?</v>
      </c>
      <c r="AGO74" s="72" t="e">
        <f t="shared" ca="1" si="915"/>
        <v>#N/A</v>
      </c>
      <c r="AGP74" s="70" t="e">
        <f t="shared" ca="1" si="916"/>
        <v>#NAME?</v>
      </c>
      <c r="AGQ74" s="70" t="e">
        <f t="array" aca="1" ref="AGQ74" ca="1">INDEX(ACN74:ACR74,MATCH(_xlfn.IFS(AAC74="Handysize",Main!ACJ74,AAC74="Supramax",ACC74,AAC74="Panamax",ABV74,AAC74="NeoPanamax",ABO74,AAC74="Suezmax",ABH74,AAC74="Capesize",ABA74,AAC74="VLOC",AAT74),$ACN$7:$ACR$7,0))</f>
        <v>#NAME?</v>
      </c>
      <c r="AGR74" s="70" t="e">
        <f t="array" aca="1" ref="AGR74" ca="1">INDEX(ACN74:ACR74,MATCH(_xlfn.IFS(AAC74="Handysize",Main!ACK74,AAC74="Supramax",ACD74,AAC74="Panamax",ABW74,AAC74="NeoPanamax",ABP74,AAC74="Suezmax",ABI74,AAC74="Capesize",ABB74,AAC74="VLOC",AAU74),$ACN$7:$ACR$7,0))</f>
        <v>#NAME?</v>
      </c>
      <c r="AGS74" s="71" t="e">
        <f t="shared" ca="1" si="917"/>
        <v>#NAME?</v>
      </c>
      <c r="AGT74" s="71" t="e">
        <f t="shared" ca="1" si="918"/>
        <v>#NAME?</v>
      </c>
      <c r="AGU74" s="281">
        <f t="shared" si="919"/>
        <v>7.0834199999999994</v>
      </c>
      <c r="AGV74" s="71">
        <f t="shared" si="920"/>
        <v>1742.3786814843679</v>
      </c>
      <c r="AGW74" s="71" t="e">
        <f t="shared" ca="1" si="921"/>
        <v>#NAME?</v>
      </c>
      <c r="AGX74" s="71" t="e">
        <f t="shared" ca="1" si="922"/>
        <v>#NAME?</v>
      </c>
      <c r="AGY74" s="71">
        <f t="shared" si="923"/>
        <v>30208.422960719694</v>
      </c>
      <c r="AGZ74" s="71" t="e">
        <f t="shared" ca="1" si="924"/>
        <v>#NAME?</v>
      </c>
      <c r="AHA74" s="71" t="e">
        <f t="shared" ca="1" si="925"/>
        <v>#NAME?</v>
      </c>
      <c r="AHB74" s="71">
        <f t="shared" si="926"/>
        <v>21446.360736311224</v>
      </c>
      <c r="AHC74" s="71" t="e">
        <f t="shared" ca="1" si="927"/>
        <v>#NAME?</v>
      </c>
      <c r="AHD74" s="71" t="e">
        <f t="shared" ca="1" si="928"/>
        <v>#NAME?</v>
      </c>
      <c r="AHE74" s="71">
        <f t="shared" si="929"/>
        <v>0</v>
      </c>
      <c r="AHF74" s="71" t="e">
        <f t="shared" ca="1" si="930"/>
        <v>#NAME?</v>
      </c>
      <c r="AHG74" s="71" t="e">
        <f t="shared" ca="1" si="931"/>
        <v>#NAME?</v>
      </c>
      <c r="AHH74" s="72">
        <f t="shared" si="932"/>
        <v>6075.774983325663</v>
      </c>
      <c r="AHI74" s="72" t="e">
        <f t="shared" ca="1" si="933"/>
        <v>#NAME?</v>
      </c>
      <c r="AHJ74" s="71" t="e">
        <f t="shared" ca="1" si="934"/>
        <v>#NAME?</v>
      </c>
      <c r="AHK74" s="71" t="e">
        <f t="array" aca="1" ref="AHK74" ca="1">INDEX('Ship Time Charter Rates'!$H$22:$H$1021,MATCH(2,1/(('Ship Time Charter Rates'!$G$22:$G$1021=_xlfn.IFS(AAC74="Handysize",Main!ACH74,AAC74="Supramax",ACA74,AAC74="Panamax",ABT74,AAC74="NeoPanamax",ABM74,AAC74="Suezmax",ABF74,AAC74="Capesize",AAY74,AAC74="VLOC",AAR74))*('Ship Time Charter Rates'!$E$22:$E$1021&lt;=Main!$C74)*(NOT(ISBLANK('Ship Time Charter Rates'!$H$22:$H$1021))))))</f>
        <v>#N/A</v>
      </c>
      <c r="AHL74" s="71" t="e">
        <f t="shared" ca="1" si="935"/>
        <v>#NAME?</v>
      </c>
      <c r="AHM74" s="70" t="e">
        <f t="shared" ca="1" si="936"/>
        <v>#N/A</v>
      </c>
      <c r="AHN74" s="71" t="e">
        <f t="shared" ca="1" si="937"/>
        <v>#NAME?</v>
      </c>
      <c r="AHO74" s="71" t="e">
        <f t="shared" ca="1" si="938"/>
        <v>#NAME?</v>
      </c>
      <c r="AHP74" s="72" t="e">
        <f t="shared" ca="1" si="939"/>
        <v>#NAME?</v>
      </c>
      <c r="AHR74" s="25">
        <f t="shared" si="940"/>
        <v>0</v>
      </c>
      <c r="AHS74" s="4" t="str">
        <f>VLOOKUP(AHR74,'Ship Time Charter Rates'!$F$10:$G$17,2,TRUE)</f>
        <v>Handysize</v>
      </c>
      <c r="AHT74" s="4" t="str">
        <f>VLOOKUP(AHR74,Canals!$E$5:$F$12,2,TRUE)</f>
        <v>Handysize</v>
      </c>
      <c r="AHU74" s="25">
        <f t="shared" si="941"/>
        <v>145.88999999999999</v>
      </c>
      <c r="AHV74" s="25">
        <f t="shared" si="942"/>
        <v>0</v>
      </c>
      <c r="AHW74" s="25">
        <f t="shared" si="943"/>
        <v>4797</v>
      </c>
      <c r="AHY74" s="75">
        <f t="array" ref="AHY74">INDEX('Indices Mines Exporting Ports'!$R$20:$R$51,MATCH(2,1/(('Indices Mines Exporting Ports'!$D$20:$D$51&lt;=Main!$C74)*('Indices Mines Exporting Ports'!$Q$20:$Q$51=$AQ74))))</f>
        <v>0</v>
      </c>
      <c r="AHZ74" s="75">
        <f t="array" ref="AHZ74">INDEX('Indices Mines Exporting Ports'!$S$20:$S$51,MATCH(2,1/(('Indices Mines Exporting Ports'!$D$20:$D$51&lt;=Main!$C74)*('Indices Mines Exporting Ports'!$Q$20:$Q$51=$AQ74))))</f>
        <v>0</v>
      </c>
      <c r="AIA74" s="75">
        <f t="array" ref="AIA74">INDEX('Indices Mines Exporting Ports'!$T$20:$T$51,MATCH(2,1/(('Indices Mines Exporting Ports'!$D$20:$D$51&lt;=Main!$C74)*('Indices Mines Exporting Ports'!$Q$20:$Q$51=$AQ74))))</f>
        <v>0</v>
      </c>
      <c r="AIB74" s="75">
        <f t="array" ref="AIB74">INDEX('Indices Mines Exporting Ports'!$U$20:$U$51,MATCH(2,1/(('Indices Mines Exporting Ports'!$D$20:$D$51&lt;=Main!$C74)*('Indices Mines Exporting Ports'!$Q$20:$Q$51=$AQ74))))</f>
        <v>0</v>
      </c>
      <c r="AIC74" s="75">
        <f t="array" ref="AIC74">INDEX('Indices Mines Exporting Ports'!$V$20:$V$51,MATCH(2,1/(('Indices Mines Exporting Ports'!$D$20:$D$51&lt;=Main!$C74)*('Indices Mines Exporting Ports'!$Q$20:$Q$51=$AQ74))))</f>
        <v>0</v>
      </c>
      <c r="AID74" s="75">
        <f t="array" ref="AID74">INDEX('Indices Mines Exporting Ports'!$W$20:$W$51,MATCH(2,1/(('Indices Mines Exporting Ports'!$D$20:$D$51&lt;=Main!$C74)*('Indices Mines Exporting Ports'!$Q$20:$Q$51=$AQ74))))</f>
        <v>0</v>
      </c>
      <c r="AIE74" s="75">
        <f t="array" ref="AIE74">INDEX('Indices Mines Exporting Ports'!$X$20:$X$51,MATCH(2,1/(('Indices Mines Exporting Ports'!$D$20:$D$51&lt;=Main!$C74)*('Indices Mines Exporting Ports'!$Q$20:$Q$51=$AQ74))))</f>
        <v>0</v>
      </c>
      <c r="AIG74" s="75">
        <f t="array" ref="AIG74">INDEX('Port Linkages'!$E$18:$E$157,MATCH(2,1/(('Port Linkages'!$C$18:$C$157=$AQ74)*('Port Linkages'!$D$18:$D$157=IF($AO74="no",$AQ74,$KK74))*('Port Linkages'!$A$18:$A$157&lt;=$C74))))</f>
        <v>0</v>
      </c>
      <c r="AIH74" s="75">
        <f t="array" ref="AIH74">INDEX('Port Linkages'!$F$18:$F$157,MATCH(2,1/(('Port Linkages'!$C$18:$C$157=$AQ74)*('Port Linkages'!$D$18:$D$157=IF($AO74="no",$AQ74,$KK74))*('Port Linkages'!$A$18:$A$157&lt;=$C74))))</f>
        <v>0</v>
      </c>
      <c r="AII74" s="75">
        <f t="array" ref="AII74">INDEX('Port Linkages'!$G$18:$G$157,MATCH(2,1/(('Port Linkages'!$C$18:$C$157=$AQ74)*('Port Linkages'!$D$18:$D$157=IF($AO74="no",$AQ74,$KK74))*('Port Linkages'!$A$18:$A$157&lt;=$C74))))</f>
        <v>0</v>
      </c>
      <c r="AIJ74" s="75">
        <f t="array" ref="AIJ74">INDEX('Port Linkages'!$H$18:$H$157,MATCH(2,1/(('Port Linkages'!$C$18:$C$157=$AQ74)*('Port Linkages'!$D$18:$D$157=IF($AO74="no",$AQ74,$KK74))*('Port Linkages'!$A$18:$A$157&lt;=$C74))))</f>
        <v>0</v>
      </c>
      <c r="AIK74" s="75">
        <f t="array" ref="AIK74">INDEX('Port Linkages'!$I$18:$I$157,MATCH(2,1/(('Port Linkages'!$C$18:$C$157=$AQ74)*('Port Linkages'!$D$18:$D$157=IF($AO74="no",$AQ74,$KK74))*('Port Linkages'!$A$18:$A$157&lt;=$C74))))</f>
        <v>0</v>
      </c>
      <c r="AIL74" s="75">
        <f t="array" ref="AIL74">INDEX('Port Linkages'!$J$18:$J$157,MATCH(2,1/(('Port Linkages'!$C$18:$C$157=$AQ74)*('Port Linkages'!$D$18:$D$157=IF($AO74="no",$AQ74,$KK74))*('Port Linkages'!$A$18:$A$157&lt;=$C74))))</f>
        <v>0</v>
      </c>
      <c r="AIM74" s="75">
        <f t="array" ref="AIM74">INDEX('Port Linkages'!$K$18:$K$157,MATCH(2,1/(('Port Linkages'!$C$18:$C$157=$AQ74)*('Port Linkages'!$D$18:$D$157=IF($AO74="no",$AQ74,$KK74))*('Port Linkages'!$A$18:$A$157&lt;=$C74))))</f>
        <v>0</v>
      </c>
      <c r="AIN74" s="75">
        <f t="array" ref="AIN74">INDEX('Port Linkages'!$L$18:$L$157,MATCH(2,1/(('Port Linkages'!$C$18:$C$157=$AQ74)*('Port Linkages'!$D$18:$D$157=IF($AO74="no",$AQ74,$KK74))*('Port Linkages'!$A$18:$A$157&lt;=$C74))))</f>
        <v>0</v>
      </c>
      <c r="AIO74" s="75">
        <f t="array" ref="AIO74">INDEX('Port Linkages'!$M$18:$M$157,MATCH(2,1/(('Port Linkages'!$C$18:$C$157=$AQ74)*('Port Linkages'!$D$18:$D$157=IF($AO74="no",$AQ74,$KK74))*('Port Linkages'!$A$18:$A$157&lt;=$C74))))</f>
        <v>0</v>
      </c>
      <c r="AIP74" s="75">
        <f t="array" ref="AIP74">INDEX('Port Linkages'!$N$18:$N$157,MATCH(2,1/(('Port Linkages'!$C$18:$C$157=$AQ74)*('Port Linkages'!$D$18:$D$157=IF($AO74="no",$AQ74,$KK74))*('Port Linkages'!$A$18:$A$157&lt;=$C74))))</f>
        <v>0</v>
      </c>
      <c r="AIQ74" s="75">
        <f t="array" ref="AIQ74">INDEX('Port Linkages'!$O$18:$O$157,MATCH(2,1/(('Port Linkages'!$C$18:$C$157=$AQ74)*('Port Linkages'!$D$18:$D$157=IF($AO74="no",$AQ74,$KK74))*('Port Linkages'!$A$18:$A$157&lt;=$C74))))</f>
        <v>0</v>
      </c>
      <c r="AIR74" s="75">
        <f t="array" ref="AIR74">INDEX('Port Linkages'!$P$18:$P$157,MATCH(2,1/(('Port Linkages'!$C$18:$C$157=$AQ74)*('Port Linkages'!$D$18:$D$157=IF($AO74="no",$AQ74,$KK74))*('Port Linkages'!$A$18:$A$157&lt;=$C74))))</f>
        <v>0</v>
      </c>
      <c r="AIS74" s="75">
        <f t="array" ref="AIS74">INDEX('Port Linkages'!$Q$18:$Q$157,MATCH(2,1/(('Port Linkages'!$C$18:$C$157=$AQ74)*('Port Linkages'!$D$18:$D$157=IF($AO74="no",$AQ74,$KK74))*('Port Linkages'!$A$18:$A$157&lt;=$C74))))</f>
        <v>0</v>
      </c>
      <c r="AIT74" s="75">
        <f t="array" ref="AIT74">INDEX('Port Linkages'!$R$18:$R$157,MATCH(2,1/(('Port Linkages'!$C$18:$C$157=$AQ74)*('Port Linkages'!$D$18:$D$157=IF($AO74="no",$AQ74,$KK74))*('Port Linkages'!$A$18:$A$157&lt;=$C74))))</f>
        <v>0</v>
      </c>
      <c r="AIU74" s="75">
        <f t="array" ref="AIU74">INDEX('Port Linkages'!$S$18:$S$157,MATCH(2,1/(('Port Linkages'!$C$18:$C$157=$AQ74)*('Port Linkages'!$D$18:$D$157=IF($AO74="no",$AQ74,$KK74))*('Port Linkages'!$A$18:$A$157&lt;=$C74))))</f>
        <v>0</v>
      </c>
      <c r="AIV74" s="75">
        <f t="array" ref="AIV74">INDEX('Port Linkages'!$T$18:$T$157,MATCH(2,1/(('Port Linkages'!$C$18:$C$157=$AQ74)*('Port Linkages'!$D$18:$D$157=IF($AO74="no",$AQ74,$KK74))*('Port Linkages'!$A$18:$A$157&lt;=$C74))))</f>
        <v>0</v>
      </c>
      <c r="AIW74" s="75">
        <f t="array" ref="AIW74">INDEX('Port Linkages'!$U$18:$U$157,MATCH(2,1/(('Port Linkages'!$C$18:$C$157=$AQ74)*('Port Linkages'!$D$18:$D$157=IF($AO74="no",$AQ74,$KK74))*('Port Linkages'!$A$18:$A$157&lt;=$C74))))</f>
        <v>0</v>
      </c>
      <c r="AIX74" s="75">
        <f t="array" ref="AIX74">INDEX('Port Linkages'!$V$18:$V$157,MATCH(2,1/(('Port Linkages'!$C$18:$C$157=$AQ74)*('Port Linkages'!$D$18:$D$157=IF($AO74="no",$AQ74,$KK74))*('Port Linkages'!$A$18:$A$157&lt;=$C74))))</f>
        <v>0</v>
      </c>
      <c r="AIY74" s="75">
        <f t="array" ref="AIY74">INDEX('Port Linkages'!$W$18:$W$157,MATCH(2,1/(('Port Linkages'!$C$18:$C$157=$AQ74)*('Port Linkages'!$D$18:$D$157=IF($AO74="no",$AQ74,$KK74))*('Port Linkages'!$A$18:$A$157&lt;=$C74))))</f>
        <v>0</v>
      </c>
      <c r="AIZ74" s="75">
        <f t="array" ref="AIZ74">INDEX('Port Linkages'!$X$18:$X$157,MATCH(2,1/(('Port Linkages'!$C$18:$C$157=$AQ74)*('Port Linkages'!$D$18:$D$157=IF($AO74="no",$AQ74,$KK74))*('Port Linkages'!$A$18:$A$157&lt;=$C74))))</f>
        <v>0</v>
      </c>
      <c r="AJA74" s="75">
        <f t="array" ref="AJA74">INDEX('Port Linkages'!$Y$18:$Y$157,MATCH(2,1/(('Port Linkages'!$C$18:$C$157=$AQ74)*('Port Linkages'!$D$18:$D$157=IF($AO74="no",$AQ74,$KK74))*('Port Linkages'!$A$18:$A$157&lt;=$C74))))</f>
        <v>0</v>
      </c>
      <c r="AJB74" s="75">
        <f t="array" ref="AJB74">INDEX('Port Linkages'!$Z$18:$Z$157,MATCH(2,1/(('Port Linkages'!$C$18:$C$157=$AQ74)*('Port Linkages'!$D$18:$D$157=IF($AO74="no",$AQ74,$KK74))*('Port Linkages'!$A$18:$A$157&lt;=$C74))))</f>
        <v>0</v>
      </c>
      <c r="AJC74" s="75">
        <f t="array" ref="AJC74">INDEX('Port Linkages'!$AA$18:$AA$157,MATCH(2,1/(('Port Linkages'!$C$18:$C$157=$AQ74)*('Port Linkages'!$D$18:$D$157=IF($AO74="no",$AQ74,$KK74))*('Port Linkages'!$A$18:$A$157&lt;=$C74))))</f>
        <v>0</v>
      </c>
      <c r="AJD74" s="75">
        <f t="array" ref="AJD74">INDEX('Port Linkages'!$AB$18:$AB$157,MATCH(2,1/(('Port Linkages'!$C$18:$C$157=$AQ74)*('Port Linkages'!$D$18:$D$157=IF($AO74="no",$AQ74,$KK74))*('Port Linkages'!$A$18:$A$157&lt;=$C74))))</f>
        <v>0</v>
      </c>
      <c r="AJE74" s="75">
        <f t="array" ref="AJE74">INDEX('Port Linkages'!$AC$18:$AC$157,MATCH(2,1/(('Port Linkages'!$C$18:$C$157=$AQ74)*('Port Linkages'!$D$18:$D$157=IF($AO74="no",$AQ74,$KK74))*('Port Linkages'!$A$18:$A$157&lt;=$C74))))</f>
        <v>0</v>
      </c>
      <c r="AJF74" s="75">
        <f t="array" ref="AJF74">INDEX('Port Linkages'!$AD$18:$AD$157,MATCH(2,1/(('Port Linkages'!$C$18:$C$157=$AQ74)*('Port Linkages'!$D$18:$D$157=IF($AO74="no",$AQ74,$KK74))*('Port Linkages'!$A$18:$A$157&lt;=$C74))))</f>
        <v>0</v>
      </c>
      <c r="AJG74" s="75">
        <f t="array" ref="AJG74">INDEX('Port Linkages'!$AE$18:$AE$157,MATCH(2,1/(('Port Linkages'!$C$18:$C$157=$AQ74)*('Port Linkages'!$D$18:$D$157=IF($AO74="no",$AQ74,$KK74))*('Port Linkages'!$A$18:$A$157&lt;=$C74))))</f>
        <v>0</v>
      </c>
      <c r="AJH74" s="75">
        <f t="array" ref="AJH74">INDEX('Port Linkages'!$AF$18:$AF$157,MATCH(2,1/(('Port Linkages'!$C$18:$C$157=$AQ74)*('Port Linkages'!$D$18:$D$157=IF($AO74="no",$AQ74,$KK74))*('Port Linkages'!$A$18:$A$157&lt;=$C74))))</f>
        <v>0</v>
      </c>
      <c r="AJI74" s="75">
        <f t="array" ref="AJI74">INDEX('Port Linkages'!$AG$18:$AG$157,MATCH(2,1/(('Port Linkages'!$C$18:$C$157=$AQ74)*('Port Linkages'!$D$18:$D$157=IF($AO74="no",$AQ74,$KK74))*('Port Linkages'!$A$18:$A$157&lt;=$C74))))</f>
        <v>0</v>
      </c>
      <c r="AJJ74" s="75">
        <f t="array" ref="AJJ74">INDEX('Port Linkages'!$AH$18:$AH$157,MATCH(2,1/(('Port Linkages'!$C$18:$C$157=$AQ74)*('Port Linkages'!$D$18:$D$157=IF($AO74="no",$AQ74,$KK74))*('Port Linkages'!$A$18:$A$157&lt;=$C74))))</f>
        <v>0</v>
      </c>
      <c r="AJK74" s="75">
        <f t="array" ref="AJK74">INDEX('Port Linkages'!$AI$18:$AI$157,MATCH(2,1/(('Port Linkages'!$C$18:$C$157=$AQ74)*('Port Linkages'!$D$18:$D$157=IF($AO74="no",$AQ74,$KK74))*('Port Linkages'!$A$18:$A$157&lt;=$C74))))</f>
        <v>0</v>
      </c>
      <c r="AJL74" s="75">
        <f t="array" ref="AJL74">INDEX('Port Linkages'!$AJ$18:$AJ$157,MATCH(2,1/(('Port Linkages'!$C$18:$C$157=$AQ74)*('Port Linkages'!$D$18:$D$157=IF($AO74="no",$AQ74,$KK74))*('Port Linkages'!$A$18:$A$157&lt;=$C74))))</f>
        <v>0</v>
      </c>
      <c r="AJM74" s="75">
        <f t="array" ref="AJM74">INDEX('Port Linkages'!$AK$18:$AK$157,MATCH(2,1/(('Port Linkages'!$C$18:$C$157=$AQ74)*('Port Linkages'!$D$18:$D$157=IF($AO74="no",$AQ74,$KK74))*('Port Linkages'!$A$18:$A$157&lt;=$C74))))</f>
        <v>0</v>
      </c>
      <c r="AJN74" s="75">
        <f t="array" ref="AJN74">INDEX('Port Linkages'!$AL$18:$AL$157,MATCH(2,1/(('Port Linkages'!$C$18:$C$157=$AQ74)*('Port Linkages'!$D$18:$D$157=IF($AO74="no",$AQ74,$KK74))*('Port Linkages'!$A$18:$A$157&lt;=$C74))))</f>
        <v>0</v>
      </c>
      <c r="AJO74" s="75">
        <f t="array" ref="AJO74">INDEX('Port Linkages'!$AM$18:$AM$157,MATCH(2,1/(('Port Linkages'!$C$18:$C$157=$AQ74)*('Port Linkages'!$D$18:$D$157=IF($AO74="no",$AQ74,$KK74))*('Port Linkages'!$A$18:$A$157&lt;=$C74))))</f>
        <v>0</v>
      </c>
      <c r="AJP74" s="75">
        <f t="array" ref="AJP74">INDEX('Port Linkages'!$AN$18:$AN$157,MATCH(2,1/(('Port Linkages'!$C$18:$C$157=$AQ74)*('Port Linkages'!$D$18:$D$157=IF($AO74="no",$AQ74,$KK74))*('Port Linkages'!$A$18:$A$157&lt;=$C74))))</f>
        <v>0</v>
      </c>
      <c r="AJQ74" s="75">
        <f t="array" ref="AJQ74">INDEX('Port Linkages'!$AO$18:$AO$157,MATCH(2,1/(('Port Linkages'!$C$18:$C$157=$AQ74)*('Port Linkages'!$D$18:$D$157=IF($AO74="no",$AQ74,$KK74))*('Port Linkages'!$A$18:$A$157&lt;=$C74))))</f>
        <v>0</v>
      </c>
      <c r="AJR74" s="75">
        <f t="array" ref="AJR74">INDEX('Port Linkages'!$AP$18:$AP$157,MATCH(2,1/(('Port Linkages'!$C$18:$C$157=$AQ74)*('Port Linkages'!$D$18:$D$157=IF($AO74="no",$AQ74,$KK74))*('Port Linkages'!$A$18:$A$157&lt;=$C74))))</f>
        <v>0</v>
      </c>
      <c r="AJS74" s="75">
        <f t="array" ref="AJS74">INDEX('Port Linkages'!$AQ$18:$AQ$157,MATCH(2,1/(('Port Linkages'!$C$18:$C$157=$AQ74)*('Port Linkages'!$D$18:$D$157=IF($AO74="no",$AQ74,$KK74))*('Port Linkages'!$A$18:$A$157&lt;=$C74))))</f>
        <v>0</v>
      </c>
      <c r="AJT74" s="75">
        <f t="array" ref="AJT74">INDEX('Port Linkages'!$AR$18:$AR$157,MATCH(2,1/(('Port Linkages'!$C$18:$C$157=$AQ74)*('Port Linkages'!$D$18:$D$157=IF($AO74="no",$AQ74,$KK74))*('Port Linkages'!$A$18:$A$157&lt;=$C74))))</f>
        <v>0</v>
      </c>
      <c r="AJU74" s="75">
        <f t="array" ref="AJU74">INDEX('Port Linkages'!$AS$18:$AS$157,MATCH(2,1/(('Port Linkages'!$C$18:$C$157=$AQ74)*('Port Linkages'!$D$18:$D$157=IF($AO74="no",$AQ74,$KK74))*('Port Linkages'!$A$18:$A$157&lt;=$C74))))</f>
        <v>0</v>
      </c>
      <c r="AJV74" s="75">
        <f t="array" ref="AJV74">INDEX('Port Linkages'!$AT$18:$AT$157,MATCH(2,1/(('Port Linkages'!$C$18:$C$157=$AQ74)*('Port Linkages'!$D$18:$D$157=IF($AO74="no",$AQ74,$KK74))*('Port Linkages'!$A$18:$A$157&lt;=$C74))))</f>
        <v>0</v>
      </c>
      <c r="AJW74" s="75">
        <f t="array" ref="AJW74">INDEX('Port Linkages'!$AU$18:$AU$157,MATCH(2,1/(('Port Linkages'!$C$18:$C$157=$AQ74)*('Port Linkages'!$D$18:$D$157=IF($AO74="no",$AQ74,$KK74))*('Port Linkages'!$A$18:$A$157&lt;=$C74))))</f>
        <v>0</v>
      </c>
      <c r="AJX74" s="75">
        <f t="array" ref="AJX74">INDEX('Port Linkages'!$AV$18:$AV$157,MATCH(2,1/(('Port Linkages'!$C$18:$C$157=$AQ74)*('Port Linkages'!$D$18:$D$157=IF($AO74="no",$AQ74,$KK74))*('Port Linkages'!$A$18:$A$157&lt;=$C74))))</f>
        <v>0</v>
      </c>
      <c r="AJY74" s="75">
        <f t="array" ref="AJY74">INDEX('Port Linkages'!$AW$18:$AW$157,MATCH(2,1/(('Port Linkages'!$C$18:$C$157=$AQ74)*('Port Linkages'!$D$18:$D$157=IF($AO74="no",$AQ74,$KK74))*('Port Linkages'!$A$18:$A$157&lt;=$C74))))</f>
        <v>0</v>
      </c>
      <c r="AJZ74" s="75">
        <f t="array" ref="AJZ74">INDEX('Port Linkages'!$AX$18:$AX$157,MATCH(2,1/(('Port Linkages'!$C$18:$C$157=$AQ74)*('Port Linkages'!$D$18:$D$157=IF($AO74="no",$AQ74,$KK74))*('Port Linkages'!$A$18:$A$157&lt;=$C74))))</f>
        <v>0</v>
      </c>
      <c r="AKA74" s="75">
        <f t="array" ref="AKA74">INDEX('Port Linkages'!$AY$18:$AY$157,MATCH(2,1/(('Port Linkages'!$C$18:$C$157=$AQ74)*('Port Linkages'!$D$18:$D$157=IF($AO74="no",$AQ74,$KK74))*('Port Linkages'!$A$18:$A$157&lt;=$C74))))</f>
        <v>0</v>
      </c>
      <c r="AKB74" s="75">
        <f t="array" ref="AKB74">INDEX('Port Linkages'!$AZ$18:$AZ$157,MATCH(2,1/(('Port Linkages'!$C$18:$C$157=$AQ74)*('Port Linkages'!$D$18:$D$157=IF($AO74="no",$AQ74,$KK74))*('Port Linkages'!$A$18:$A$157&lt;=$C74))))</f>
        <v>0</v>
      </c>
      <c r="AKC74" s="75">
        <f t="array" ref="AKC74">INDEX('Port Linkages'!$BA$18:$BA$157,MATCH(2,1/(('Port Linkages'!$C$18:$C$157=$AQ74)*('Port Linkages'!$D$18:$D$157=IF($AO74="no",$AQ74,$KK74))*('Port Linkages'!$A$18:$A$157&lt;=$C74))))</f>
        <v>0</v>
      </c>
      <c r="AKE74" s="25" t="e">
        <f t="array" aca="1" ref="AKE74" ca="1">INDEX('Ship Fuel Prices'!$F$5:$F$1004,MATCH(2,1/(('Ship Fuel Prices'!$E$5:$E$1004=_xlfn.IFS(AHT74="Handysize",Main!AJZ74,AHT74="Supramax",AJS74,AHT74="Panamax",AJL74,AHT74="NeoPanamax",AJE74,AHT74="Suezmax",AIX74,AHT74="Capesize",AIQ74,AHT74="VLOC",AIJ74))*('Ship Fuel Prices'!$D$5:$D$1004&lt;=Main!$C74))))</f>
        <v>#N/A</v>
      </c>
      <c r="AKF74" s="25" t="e">
        <f t="array" aca="1" ref="AKF74" ca="1">INDEX('Ship Fuel Prices'!$G$5:$G$1004,MATCH(2,1/(('Ship Fuel Prices'!$E$5:$E$1004=_xlfn.IFS(AHT74="Handysize",Main!AJZ74,AHT74="Supramax",AJS74,AHT74="Panamax",AJL74,AHT74="NeoPanamax",AJE74,AHT74="Suezmax",AIX74,AHT74="Capesize",AIQ74,AHT74="VLOC",AIJ74))*('Ship Fuel Prices'!$D$5:$D$1004&lt;=Main!$C74))))</f>
        <v>#N/A</v>
      </c>
      <c r="AKG74" s="25" t="e">
        <f t="array" aca="1" ref="AKG74" ca="1">INDEX('Ship Fuel Prices'!$H$5:$H$1004,MATCH(2,1/(('Ship Fuel Prices'!$E$5:$E$1004=_xlfn.IFS(AHT74="Handysize",Main!AJZ74,AHT74="Supramax",AJS74,AHT74="Panamax",AJL74,AHT74="NeoPanamax",AJE74,AHT74="Suezmax",AIX74,AHT74="Capesize",AIQ74,AHT74="VLOC",AIJ74))*('Ship Fuel Prices'!$D$5:$D$1004&lt;=Main!$C74))))</f>
        <v>#N/A</v>
      </c>
      <c r="AKH74" s="25" t="e">
        <f t="array" aca="1" ref="AKH74" ca="1">INDEX('Ship Fuel Prices'!$I$5:$I$1004,MATCH(2,1/(('Ship Fuel Prices'!$E$5:$E$1004=_xlfn.IFS(AHT74="Handysize",Main!AJZ74,AHT74="Supramax",AJS74,AHT74="Panamax",AJL74,AHT74="NeoPanamax",AJE74,AHT74="Suezmax",AIX74,AHT74="Capesize",AIQ74,AHT74="VLOC",AIJ74))*('Ship Fuel Prices'!$D$5:$D$1004&lt;=Main!$C74))))</f>
        <v>#N/A</v>
      </c>
      <c r="AKI74" s="25" t="e">
        <f t="array" aca="1" ref="AKI74" ca="1">INDEX('Ship Fuel Prices'!$J$5:$J$1004,MATCH(2,1/(('Ship Fuel Prices'!$E$5:$E$1004=_xlfn.IFS(AHT74="Handysize",Main!AJZ74,AHT74="Supramax",AJS74,AHT74="Panamax",AJL74,AHT74="NeoPanamax",AJE74,AHT74="Suezmax",AIX74,AHT74="Capesize",AIQ74,AHT74="VLOC",AIJ74))*('Ship Fuel Prices'!$D$5:$D$1004&lt;=Main!$C74))))</f>
        <v>#N/A</v>
      </c>
      <c r="AKK74" s="75">
        <f t="array" ref="AKK74">INDEX('China n Importing Ports'!$E$20:$E$41,MATCH(2,1/(('China n Importing Ports'!$D$20:$D$41&lt;=$C74)*('China n Importing Ports'!$C$20:$C$41=IF($AO74="No",$AQ74,$KK74)))))</f>
        <v>0</v>
      </c>
      <c r="AKL74" s="75">
        <f t="array" ref="AKL74">INDEX('China n Importing Ports'!$F$20:$F$41,MATCH(2,1/(('China n Importing Ports'!$D$20:$D$41&lt;=$C74)*('China n Importing Ports'!$C$20:$C$41=IF($AO74="No",$AQ74,$KK74)))))</f>
        <v>0</v>
      </c>
      <c r="AKM74" s="75">
        <f t="array" ref="AKM74">INDEX('China n Importing Ports'!$G$20:$G$41,MATCH(2,1/(('China n Importing Ports'!$D$20:$D$41&lt;=$C74)*('China n Importing Ports'!$C$20:$C$41=IF($AO74="No",$AQ74,$KK74)))))</f>
        <v>0</v>
      </c>
      <c r="AKN74" s="75">
        <f t="array" ref="AKN74">INDEX('China n Importing Ports'!$H$20:$H$41,MATCH(2,1/(('China n Importing Ports'!$D$20:$D$41&lt;=$C74)*('China n Importing Ports'!$C$20:$C$41=IF($AO74="No",$AQ74,$KK74)))))</f>
        <v>0</v>
      </c>
      <c r="AKO74" s="75">
        <f t="array" ref="AKO74">INDEX('China n Importing Ports'!$I$20:$I$41,MATCH(2,1/(('China n Importing Ports'!$D$20:$D$41&lt;=$C74)*('China n Importing Ports'!$C$20:$C$41=IF($AO74="No",$AQ74,$KK74)))))</f>
        <v>0</v>
      </c>
      <c r="AKP74" s="75">
        <f t="array" ref="AKP74">INDEX('China n Importing Ports'!$J$20:$J$41,MATCH(2,1/(('China n Importing Ports'!$D$20:$D$41&lt;=$C74)*('China n Importing Ports'!$C$20:$C$41=IF($AO74="No",$AQ74,$KK74)))))</f>
        <v>0</v>
      </c>
      <c r="AKQ74" s="75">
        <f t="array" ref="AKQ74">INDEX('China n Importing Ports'!$K$20:$K$41,MATCH(2,1/(('China n Importing Ports'!$D$20:$D$41&lt;=$C74)*('China n Importing Ports'!$C$20:$C$41=IF($AO74="No",$AQ74,$KK74)))))</f>
        <v>0</v>
      </c>
      <c r="AKR74" s="75">
        <f t="array" ref="AKR74">INDEX('China n Importing Ports'!$L$20:$L$41,MATCH(2,1/(('China n Importing Ports'!$D$20:$D$41&lt;=$C74)*('China n Importing Ports'!$C$20:$C$41=IF($AO74="No",$AQ74,$KK74)))))</f>
        <v>0</v>
      </c>
      <c r="AKS74" s="75">
        <f t="array" ref="AKS74">INDEX('China n Importing Ports'!$M$20:$M$41,MATCH(2,1/(('China n Importing Ports'!$D$20:$D$41&lt;=$C74)*('China n Importing Ports'!$C$20:$C$41=IF($AO74="No",$AQ74,$KK74)))))</f>
        <v>0</v>
      </c>
      <c r="AKT74" s="75">
        <f t="array" ref="AKT74">INDEX('China n Importing Ports'!$N$20:$N$41,MATCH(2,1/(('China n Importing Ports'!$D$20:$D$41&lt;=$C74)*('China n Importing Ports'!$C$20:$C$41=IF($AO74="No",$AQ74,$KK74)))))</f>
        <v>0</v>
      </c>
      <c r="AKU74" s="75">
        <f t="array" ref="AKU74">INDEX('China n Importing Ports'!$O$20:$O$41,MATCH(2,1/(('China n Importing Ports'!$D$20:$D$41&lt;=$C74)*('China n Importing Ports'!$C$20:$C$41=IF($AO74="No",$AQ74,$KK74)))))</f>
        <v>0</v>
      </c>
      <c r="AKV74" s="136">
        <f t="array" ref="AKV74">INDEX('China n Importing Ports'!$P$20:$P$41,MATCH(2,1/(('China n Importing Ports'!$D$20:$D$41&lt;=$C74)*('China n Importing Ports'!$C$20:$C$41=IF($AO74="No",$AQ74,$KK74)))))</f>
        <v>0</v>
      </c>
      <c r="AKW74" s="136">
        <f t="array" ref="AKW74">INDEX('China n Importing Ports'!$Q$20:$Q$41,MATCH(2,1/(('China n Importing Ports'!$D$20:$D$41&lt;=$C74)*('China n Importing Ports'!$C$20:$C$41=IF($AO74="No",$AQ74,$KK74)))))</f>
        <v>0</v>
      </c>
      <c r="AKX74" s="136">
        <f t="array" ref="AKX74">INDEX('China n Importing Ports'!$R$20:$R$41,MATCH(2,1/(('China n Importing Ports'!$D$20:$D$41&lt;=$C74)*('China n Importing Ports'!$C$20:$C$41=IF($AO74="No",$AQ74,$KK74)))))</f>
        <v>0</v>
      </c>
      <c r="AKY74" s="136">
        <f t="array" ref="AKY74">INDEX('China n Importing Ports'!$S$20:$S$41,MATCH(2,1/(('China n Importing Ports'!$D$20:$D$41&lt;=$C74)*('China n Importing Ports'!$C$20:$C$41=IF($AO74="No",$AQ74,$KK74)))))</f>
        <v>0</v>
      </c>
      <c r="AKZ74" s="136">
        <f t="array" ref="AKZ74">INDEX('China n Importing Ports'!$T$20:$T$41,MATCH(2,1/(('China n Importing Ports'!$D$20:$D$41&lt;=$C74)*('China n Importing Ports'!$C$20:$C$41=IF($AO74="No",$AQ74,$KK74)))))</f>
        <v>0</v>
      </c>
      <c r="ALA74" s="136">
        <f t="array" ref="ALA74">INDEX('China n Importing Ports'!$U$20:$U$41,MATCH(2,1/(('China n Importing Ports'!$D$20:$D$41&lt;=$C74)*('China n Importing Ports'!$C$20:$C$41=IF($AO74="No",$AQ74,$KK74)))))</f>
        <v>0</v>
      </c>
      <c r="ALB74" s="136">
        <f t="array" ref="ALB74">INDEX('China n Importing Ports'!$V$20:$V$41,MATCH(2,1/(('China n Importing Ports'!$D$20:$D$41&lt;=$C74)*('China n Importing Ports'!$C$20:$C$41=IF($AO74="No",$AQ74,$KK74)))))</f>
        <v>0</v>
      </c>
      <c r="ALC74" s="136">
        <f t="array" ref="ALC74">INDEX('China n Importing Ports'!$W$20:$W$41,MATCH(2,1/(('China n Importing Ports'!$D$20:$D$41&lt;=$C74)*('China n Importing Ports'!$C$20:$C$41=IF($AO74="No",$AQ74,$KK74)))))</f>
        <v>0</v>
      </c>
      <c r="ALD74" s="136">
        <f t="array" ref="ALD74">INDEX('China n Importing Ports'!$X$20:$X$41,MATCH(2,1/(('China n Importing Ports'!$D$20:$D$41&lt;=$C74)*('China n Importing Ports'!$C$20:$C$41=IF($AO74="No",$AQ74,$KK74)))))</f>
        <v>0</v>
      </c>
      <c r="ALE74" s="136">
        <f t="array" ref="ALE74">INDEX('China n Importing Ports'!$Y$20:$Y$41,MATCH(2,1/(('China n Importing Ports'!$D$20:$D$41&lt;=$C74)*('China n Importing Ports'!$C$20:$C$41=IF($AO74="No",$AQ74,$KK74)))))</f>
        <v>0</v>
      </c>
      <c r="ALF74" s="136">
        <f t="array" ref="ALF74">INDEX('China n Importing Ports'!$Z$20:$Z$41,MATCH(2,1/(('China n Importing Ports'!$D$20:$D$41&lt;=$C74)*('China n Importing Ports'!$C$20:$C$41=IF($AO74="No",$AQ74,$KK74)))))</f>
        <v>0</v>
      </c>
      <c r="ALG74" s="136">
        <f t="array" ref="ALG74">INDEX('China n Importing Ports'!$AA$20:$AA$41,MATCH(2,1/(('China n Importing Ports'!$D$20:$D$41&lt;=$C74)*('China n Importing Ports'!$C$20:$C$41=IF($AO74="No",$AQ74,$KK74)))))</f>
        <v>0</v>
      </c>
      <c r="ALI74" s="75" t="e">
        <f t="array" aca="1" ref="ALI74" ca="1">INDEX(Canals!$G$24:$G$29,MATCH(2,1/((Canals!$F$24:$F$29&lt;=$C74)*(Canals!$G$24:$G$29=_xlfn.IFS(AHT74="Handysize",AKC74,AHT74="Supramax",AJV74,AHT74="Panamax",AJO74,AHT74="NeoPanamax",AJH74,AHT74="Suezmax",AJA74,AHT74="Capesize",AIT74,AHT74="VLOC",AIM74)))))</f>
        <v>#N/A</v>
      </c>
      <c r="ALJ74" s="75" t="e">
        <f t="array" aca="1" ref="ALJ74" ca="1">INDEX(Canals!$H$24:$H$29,MATCH(2,1/((Canals!$F$24:$F$29&lt;=$C74)*(Canals!$G$24:$G$29=_xlfn.IFS(AHT74="Handysize",AKC74,AHT74="Supramax",AJV74,AHT74="Panamax",AJO74,AHT74="NeoPanamax",AJH74,AHT74="Suezmax",AJA74,AHT74="Capesize",AIT74,AHT74="VLOC",AIM74)))))</f>
        <v>#N/A</v>
      </c>
      <c r="ALK74" s="75" t="e">
        <f t="array" aca="1" ref="ALK74" ca="1">INDEX(Canals!$I$24:$I$29,MATCH(2,1/((Canals!$F$24:$F$29&lt;=$C74)*(Canals!$G$24:$G$29=_xlfn.IFS(AHT74="Handysize",AKC74,AHT74="Supramax",AJV74,AHT74="Panamax",AJO74,AHT74="NeoPanamax",AJH74,AHT74="Suezmax",AJA74,AHT74="Capesize",AIT74,AHT74="VLOC",AIM74)))))</f>
        <v>#N/A</v>
      </c>
      <c r="ALL74" s="75" t="e">
        <f t="array" aca="1" ref="ALL74" ca="1">INDEX(Canals!$J$24:$J$29,MATCH(2,1/((Canals!$F$24:$F$29&lt;=$C74)*(Canals!$G$24:$G$29=_xlfn.IFS(AHT74="Handysize",Main!AKC74,AHT74="Supramax",AJV74,AHT74="Panamax",AJO74,AHT74="NeoPanamax",AJH74,AHT74="Suezmax",AJA74,AHT74="Capesize",AIT74,AHT74="VLOC",AIM74)))))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M74" s="75" t="e">
        <f t="array" aca="1" ref="ALM74" ca="1">INDEX(Canals!$K$24:$K$29,MATCH(2,1/((Canals!$F$24:$F$29&lt;=$C74)*(Canals!$G$24:$G$29=_xlfn.IFS(AHT74="Handysize",Main!AKC74,AHT74="Supramax",AJV74,AHT74="Panamax",AJO74,AHT74="NeoPanamax",AJH74,AHT74="Suezmax",AJA74,AHT74="Capesize",AIT74,AHT74="VLOC",AIM74)))))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N74" s="75" t="e">
        <f t="array" aca="1" ref="ALN74" ca="1">INDEX(Canals!$L$24:$L$29,MATCH(2,1/((Canals!$F$24:$F$29&lt;=$C74)*(Canals!$G$24:$G$29=_xlfn.IFS(AHT74="Handysize",Main!AKC74,AHT74="Supramax",AJV74,AHT74="Panamax",AJO74,AHT74="NeoPanamax",AJH74,AHT74="Suezmax",AJA74,AHT74="Capesize",AIT74,AHT74="VLOC",AIM74)))))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O74" s="75" t="e">
        <f t="array" aca="1" ref="ALO74" ca="1">INDEX(Canals!$M$24:$M$29,MATCH(2,1/((Canals!$F$24:$F$29&lt;=$C74)*(Canals!$G$24:$G$29=_xlfn.IFS(AHT74="Handysize",Main!AKC74,AHT74="Supramax",AJV74,AHT74="Panamax",AJO74,AHT74="NeoPanamax",AJH74,AHT74="Suezmax",AJA74,AHT74="Capesize",AIT74,AHT74="VLOC",AIM74)))))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P74" s="75" t="e">
        <f t="array" aca="1" ref="ALP74" ca="1">INDEX(Canals!$N$24:$N$29,MATCH(2,1/((Canals!$F$24:$F$29&lt;=$C74)*(Canals!$G$24:$G$29=_xlfn.IFS(AHT74="Handysize",Main!AKC74,AHT74="Supramax",AJV74,AHT74="Panamax",AJO74,AHT74="NeoPanamax",AJH74,AHT74="Suezmax",AJA74,AHT74="Capesize",AIT74,AHT74="VLOC",AIM74)))))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Q74" s="75" t="e">
        <f t="array" aca="1" ref="ALQ74" ca="1">INDEX(Canals!$O$24:$O$29,MATCH(2,1/((Canals!$F$24:$F$29&lt;=$C74)*(Canals!$G$24:$G$29=_xlfn.IFS(AHT74="Handysize",Main!AKC74,AHT74="Supramax",AJV74,AHT74="Panamax",AJO74,AHT74="NeoPanamax",AJH74,AHT74="Suezmax",AJA74,AHT74="Capesize",AIT74,AHT74="VLOC",AIM74)))))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R74" s="75" t="e">
        <f t="array" aca="1" ref="ALR74" ca="1">INDEX(Canals!$P$24:$P$29,MATCH(2,1/((Canals!$F$24:$F$29&lt;=$C74)*(Canals!$G$24:$G$29=_xlfn.IFS(AHT74="Handysize",Main!AKC74,AHT74="Supramax",AJV74,AHT74="Panamax",AJO74,AHT74="NeoPanamax",AJH74,AHT74="Suezmax",AJA74,AHT74="Capesize",AIT74,AHT74="VLOC",AIM74)))))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S74" s="75" t="e">
        <f t="array" aca="1" ref="ALS74" ca="1">INDEX(Canals!$Q$24:$Q$29,MATCH(2,1/((Canals!$F$24:$F$29&lt;=$C74)*(Canals!$G$24:$G$29=_xlfn.IFS(AHT74="Handysize",Main!AKC74,AHT74="Supramax",AJV74,AHT74="Panamax",AJO74,AHT74="NeoPanamax",AJH74,AHT74="Suezmax",AJA74,AHT74="Capesize",AIT74,AHT74="VLOC",AIM74)))))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T74" s="75" t="e">
        <f t="array" aca="1" ref="ALT74" ca="1">INDEX(Canals!$R$24:$R$29,MATCH(2,1/((Canals!$F$24:$F$29&lt;=$C74)*(Canals!$G$24:$G$29=_xlfn.IFS(AHT74="Handysize",Main!AKC74,AHT74="Supramax",AJV74,AHT74="Panamax",AJO74,AHT74="NeoPanamax",AJH74,AHT74="Suezmax",AJA74,AHT74="Capesize",AIT74,AHT74="VLOC",AIM74)))))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U74" s="136" t="e">
        <f t="array" aca="1" ref="ALU74" ca="1">INDEX(Canals!$S$24:$S$29,MATCH(2,1/((Canals!$F$24:$F$29&lt;=$C74)*(Canals!$G$24:$G$29=_xlfn.IFS(AHT74="Handysize",Main!AKC74,AHT74="Supramax",AJV74,AHT74="Panamax",AJO74,AHT74="NeoPanamax",AJH74,AHT74="Suezmax",AJA74,AHT74="Capesize",AIT74,AHT74="VLOC",AIM74)))))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V74" s="136" t="e">
        <f t="array" aca="1" ref="ALV74" ca="1">INDEX(Canals!$T$24:$T$29,MATCH(2,1/((Canals!$F$24:$F$29&lt;=$C74)*(Canals!$G$24:$G$29=_xlfn.IFS(AHT74="Handysize",Main!AKC74,AHT74="Supramax",AJV74,AHT74="Panamax",AJO74,AHT74="NeoPanamax",AJH74,AHT74="Suezmax",AJA74,AHT74="Capesize",AIT74,AHT74="VLOC",AIM74)))))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W74" s="136" t="e">
        <f t="array" aca="1" ref="ALW74" ca="1">INDEX(Canals!$U$24:$U$29,MATCH(2,1/((Canals!$F$24:$F$29&lt;=$C74)*(Canals!$G$24:$G$29=_xlfn.IFS(AHT74="Handysize",Main!AKC74,AHT74="Supramax",AJV74,AHT74="Panamax",AJO74,AHT74="NeoPanamax",AJH74,AHT74="Suezmax",AJA74,AHT74="Capesize",AIT74,AHT74="VLOC",AIM74)))))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X74" s="136" t="e">
        <f t="array" aca="1" ref="ALX74" ca="1">INDEX(Canals!$V$24:$V$29,MATCH(2,1/((Canals!$F$24:$F$29&lt;=$C74)*(Canals!$G$24:$G$29=_xlfn.IFS(AHT74="Handysize",Main!AKC74,AHT74="Supramax",AJV74,AHT74="Panamax",AJO74,AHT74="NeoPanamax",AJH74,AHT74="Suezmax",AJA74,AHT74="Capesize",AIT74,AHT74="VLOC",AIM74)))))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Y74" s="136" t="e">
        <f t="array" aca="1" ref="ALY74" ca="1">INDEX(Canals!$W$24:$W$29,MATCH(2,1/((Canals!$F$24:$F$29&lt;=$C74)*(Canals!$G$24:$G$29=_xlfn.IFS(AHT74="Handysize",Main!AKC74,AHT74="Supramax",AJV74,AHT74="Panamax",AJO74,AHT74="NeoPanamax",AJH74,AHT74="Suezmax",AJA74,AHT74="Capesize",AIT74,AHT74="VLOC",AIM74)))))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LZ74" s="136" t="e">
        <f t="array" aca="1" ref="ALZ74" ca="1">INDEX(Canals!$X$24:$X$29,MATCH(2,1/((Canals!$F$24:$F$29&lt;=$C74)*(Canals!$G$24:$G$29=_xlfn.IFS(AHT74="Handysize",Main!AKC74,AHT74="Supramax",AJV74,AHT74="Panamax",AJO74,AHT74="NeoPanamax",AJH74,AHT74="Suezmax",AJA74,AHT74="Capesize",AIT74,AHT74="VLOC",AIM74)))))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A74" s="136" t="e">
        <f t="array" aca="1" ref="AMA74" ca="1">INDEX(Canals!$Y$24:$Y$29,MATCH(2,1/((Canals!$F$24:$F$29&lt;=$C74)*(Canals!$G$24:$G$29=_xlfn.IFS(AHT74="Handysize",Main!AKC74,AHT74="Supramax",AJV74,AHT74="Panamax",AJO74,AHT74="NeoPanamax",AJH74,AHT74="Suezmax",AJA74,AHT74="Capesize",AIT74,AHT74="VLOC",AIM74)))))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B74" s="136" t="e">
        <f t="array" aca="1" ref="AMB74" ca="1">INDEX(Canals!$Z$24:$Z$29,MATCH(2,1/((Canals!$F$24:$F$29&lt;=$C74)*(Canals!$G$24:$G$29=_xlfn.IFS(AHT74="Handysize",Main!AKC74,AHT74="Supramax",AJV74,AHT74="Panamax",AJO74,AHT74="NeoPanamax",AJH74,AHT74="Suezmax",AJA74,AHT74="Capesize",AIT74,AHT74="VLOC",AIM74)))))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C74" s="136" t="e">
        <f t="array" aca="1" ref="AMC74" ca="1">INDEX(Canals!$AA$24:$AA$29,MATCH(2,1/((Canals!$F$24:$F$29&lt;=$C74)*(Canals!$G$24:$G$29=_xlfn.IFS(AHT74="Handysize",Main!AKC74,AHT74="Supramax",AJV74,AHT74="Panamax",AJO74,AHT74="NeoPanamax",AJH74,AHT74="Suezmax",AJA74,AHT74="Capesize",AIT74,AHT74="VLOC",AIM74)))))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D74" s="136" t="e">
        <f t="array" aca="1" ref="AMD74" ca="1">INDEX(Canals!$AB$24:$AB$29,MATCH(2,1/((Canals!$F$24:$F$29&lt;=$C74)*(Canals!$G$24:$G$29=_xlfn.IFS(AHT74="Handysize",Main!AKC74,AHT74="Supramax",AJV74,AHT74="Panamax",AJO74,AHT74="NeoPanamax",AJH74,AHT74="Suezmax",AJA74,AHT74="Capesize",AIT74,AHT74="VLOC",AIM74)))))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E74" s="75" t="e">
        <f t="array" aca="1" ref="AME74" ca="1">INDEX(Canals!$AC$24:$AC$29,MATCH(2,1/((Canals!$F$24:$F$29&lt;=$C74)*(Canals!$G$24:$G$29=_xlfn.IFS(AHT74="Handysize",Main!AKC74,AHT74="Supramax",AJV74,AHT74="Panamax",AJO74,AHT74="NeoPanamax",AJH74,AHT74="Suezmax",AJA74,AHT74="Capesize",AIT74,AHT74="VLOC",AIM74)))))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F74" s="75" t="e">
        <f t="array" aca="1" ref="AMF74" ca="1">INDEX(Canals!$AD$24:$AD$29,MATCH(2,1/((Canals!$F$24:$F$29&lt;=$C74)*(Canals!$G$24:$G$29=_xlfn.IFS(AHT74="Handysize",Main!AKC74,AHT74="Supramax",AJV74,AHT74="Panamax",AJO74,AHT74="NeoPanamax",AJH74,AHT74="Suezmax",AJA74,AHT74="Capesize",AIT74,AHT74="VLOC",AIM74)))))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G74" s="75" t="e">
        <f t="array" aca="1" ref="AMG74" ca="1">INDEX(Canals!$AE$24:$AE$29,MATCH(2,1/((Canals!$F$24:$F$29&lt;=$C74)*(Canals!$G$24:$G$29=_xlfn.IFS(AHT74="Handysize",Main!AKC74,AHT74="Supramax",AJV74,AHT74="Panamax",AJO74,AHT74="NeoPanamax",AJH74,AHT74="Suezmax",AJA74,AHT74="Capesize",AIT74,AHT74="VLOC",AIM74)))))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H74" s="75" t="e">
        <f t="array" aca="1" ref="AMH74" ca="1">INDEX(Canals!$AF$24:$AF$29,MATCH(2,1/((Canals!$F$24:$F$29&lt;=$C74)*(Canals!$G$24:$G$29=_xlfn.IFS(AHT74="Handysize",Main!AKC74,AHT74="Supramax",AJV74,AHT74="Panamax",AJO74,AHT74="NeoPanamax",AJH74,AHT74="Suezmax",AJA74,AHT74="Capesize",AIT74,AHT74="VLOC",AIM74)))))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I74" s="75" t="e">
        <f t="array" aca="1" ref="AMI74" ca="1">INDEX(Canals!$AG$24:$AG$29,MATCH(2,1/((Canals!$F$24:$F$29&lt;=$C74)*(Canals!$G$24:$G$29=_xlfn.IFS(AHT74="Handysize",Main!AKC74,AHT74="Supramax",AJV74,AHT74="Panamax",AJO74,AHT74="NeoPanamax",AJH74,AHT74="Suezmax",AJA74,AHT74="Capesize",AIT74,AHT74="VLOC",AIM74)))))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J74" s="75" t="e">
        <f t="array" aca="1" ref="AMJ74" ca="1">INDEX(Canals!$AH$24:$AH$29,MATCH(2,1/((Canals!$F$24:$F$29&lt;=$C74)*(Canals!$G$24:$G$29=_xlfn.IFS(AHT74="Handysize",Main!AKC74,AHT74="Supramax",AJV74,AHT74="Panamax",AJO74,AHT74="NeoPanamax",AJH74,AHT74="Suezmax",AJA74,AHT74="Capesize",AIT74,AHT74="VLOC",AIM74)))))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K74" s="75" t="e">
        <f t="array" aca="1" ref="AMK74" ca="1">INDEX(Canals!$AI$24:$AI$29,MATCH(2,1/((Canals!$F$24:$F$29&lt;=$C74)*(Canals!$G$24:$G$29=_xlfn.IFS(AHT74="Handysize",Main!AKC74,AHT74="Supramax",AJV74,AHT74="Panamax",AJO74,AHT74="NeoPanamax",AJH74,AHT74="Suezmax",AJA74,AHT74="Capesize",AIT74,AHT74="VLOC",AIM74)))))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L74" s="75" t="e">
        <f t="array" aca="1" ref="AML74" ca="1">INDEX(Canals!$AJ$24:$AJ$29,MATCH(2,1/((Canals!$F$24:$F$29&lt;=$C74)*(Canals!$G$24:$G$29=_xlfn.IFS(AHT74="Handysize",Main!AKC74,AHT74="Supramax",AJV74,AHT74="Panamax",AJO74,AHT74="NeoPanamax",AJH74,AHT74="Suezmax",AJA74,AHT74="Capesize",AIT74,AHT74="VLOC",AIM74)))))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M74" s="75" t="e">
        <f t="array" aca="1" ref="AMM74" ca="1">INDEX(Canals!$AK$24:$AK$29,MATCH(2,1/((Canals!$F$24:$F$29&lt;=$C74)*(Canals!$G$24:$G$29=_xlfn.IFS(AHT74="Handysize",Main!AKC74,AHT74="Supramax",AJV74,AHT74="Panamax",AJO74,AHT74="NeoPanamax",AJH74,AHT74="Suezmax",AJA74,AHT74="Capesize",AIT74,AHT74="VLOC",AIM74)))))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N74" s="136" t="e">
        <f t="array" aca="1" ref="AMN74" ca="1">INDEX(Canals!$AL$24:$AL$29,MATCH(2,1/((Canals!$F$24:$F$29&lt;=$C74)*(Canals!$G$24:$G$29=_xlfn.IFS(AHT74="Handysize",Main!AKC74,AHT74="Supramax",AJV74,AHT74="Panamax",AJO74,AHT74="NeoPanamax",AJH74,AHT74="Suezmax",AJA74,AHT74="Capesize",AIT74,AHT74="VLOC",AIM74)))))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O74" s="136" t="e">
        <f t="array" aca="1" ref="AMO74" ca="1">INDEX(Canals!$AM$24:$AM$29,MATCH(2,1/((Canals!$F$24:$F$29&lt;=$C74)*(Canals!$G$24:$G$29=_xlfn.IFS(AHT74="Handysize",Main!AKC74,AHT74="Supramax",AJV74,AHT74="Panamax",AJO74,AHT74="NeoPanamax",AJH74,AHT74="Suezmax",AJA74,AHT74="Capesize",AIT74,AHT74="VLOC",AIM74)))))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P74" s="136" t="e">
        <f t="array" aca="1" ref="AMP74" ca="1">INDEX(Canals!$AN$24:$AN$29,MATCH(2,1/((Canals!$F$24:$F$29&lt;=$C74)*(Canals!$G$24:$G$29=_xlfn.IFS(AHT74="Handysize",Main!AKC74,AHT74="Supramax",AJV74,AHT74="Panamax",AJO74,AHT74="NeoPanamax",AJH74,AHT74="Suezmax",AJA74,AHT74="Capesize",AIT74,AHT74="VLOC",AIM74)))))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Q74" s="136" t="e">
        <f t="array" aca="1" ref="AMQ74" ca="1">INDEX(Canals!$AO$24:$AO$29,MATCH(2,1/((Canals!$F$24:$F$29&lt;=$C74)*(Canals!$G$24:$G$29=_xlfn.IFS(AHT74="Handysize",Main!AKC74,AHT74="Supramax",AJV74,AHT74="Panamax",AJO74,AHT74="NeoPanamax",AJH74,AHT74="Suezmax",AJA74,AHT74="Capesize",AIT74,AHT74="VLOC",AIM74)))))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R74" s="136" t="e">
        <f t="array" aca="1" ref="AMR74" ca="1">INDEX(Canals!$AP$24:$AP$29,MATCH(2,1/((Canals!$F$24:$F$29&lt;=$C74)*(Canals!$G$24:$G$29=_xlfn.IFS(AHT74="Handysize",Main!AKC74,AHT74="Supramax",AJV74,AHT74="Panamax",AJO74,AHT74="NeoPanamax",AJH74,AHT74="Suezmax",AJA74,AHT74="Capesize",AIT74,AHT74="VLOC",AIM74)))))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S74" s="136" t="e">
        <f t="array" aca="1" ref="AMS74" ca="1">INDEX(Canals!$AQ$24:$AQ$29,MATCH(2,1/((Canals!$F$24:$F$29&lt;=$C74)*(Canals!$G$24:$G$29=_xlfn.IFS(AHT74="Handysize",Main!AKC74,AHT74="Supramax",AJV74,AHT74="Panamax",AJO74,AHT74="NeoPanamax",AJH74,AHT74="Suezmax",AJA74,AHT74="Capesize",AIT74,AHT74="VLOC",AIM74)))))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T74" s="136" t="e">
        <f t="array" aca="1" ref="AMT74" ca="1">INDEX(Canals!$AR$24:$AR$29,MATCH(2,1/((Canals!$F$24:$F$29&lt;=$C74)*(Canals!$G$24:$G$29=_xlfn.IFS(AHT74="Handysize",Main!AKC74,AHT74="Supramax",AJV74,AHT74="Panamax",AJO74,AHT74="NeoPanamax",AJH74,AHT74="Suezmax",AJA74,AHT74="Capesize",AIT74,AHT74="VLOC",AIM74)))))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U74" s="136" t="e">
        <f t="array" aca="1" ref="AMU74" ca="1">INDEX(Canals!$AS$24:$AS$29,MATCH(2,1/((Canals!$F$24:$F$29&lt;=$C74)*(Canals!$G$24:$G$29=_xlfn.IFS(AHT74="Handysize",Main!AKC74,AHT74="Supramax",AJV74,AHT74="Panamax",AJO74,AHT74="NeoPanamax",AJH74,AHT74="Suezmax",AJA74,AHT74="Capesize",AIT74,AHT74="VLOC",AIM74)))))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V74" s="136" t="e">
        <f t="array" aca="1" ref="AMV74" ca="1">INDEX(Canals!$AT$24:$AT$29,MATCH(2,1/((Canals!$F$24:$F$29&lt;=$C74)*(Canals!$G$24:$G$29=_xlfn.IFS(AHT74="Handysize",Main!AKC74,AHT74="Supramax",AJV74,AHT74="Panamax",AJO74,AHT74="NeoPanamax",AJH74,AHT74="Suezmax",AJA74,AHT74="Capesize",AIT74,AHT74="VLOC",AIM74)))))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W74" s="136" t="e">
        <f t="array" aca="1" ref="AMW74" ca="1">INDEX(Canals!$AU$24:$AU$29,MATCH(2,1/((Canals!$F$24:$F$29&lt;=$C74)*(Canals!$G$24:$G$29=_xlfn.IFS(AHT74="Handysize",Main!AKC74,AHT74="Supramax",AJV74,AHT74="Panamax",AJO74,AHT74="NeoPanamax",AJH74,AHT74="Suezmax",AJA74,AHT74="Capesize",AIT74,AHT74="VLOC",AIM74)))))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X74" s="136" t="e">
        <f t="array" aca="1" ref="AMX74" ca="1">INDEX(Canals!$AV$24:$AV$29,MATCH(2,1/((Canals!$F$24:$F$29&lt;=$C74)*(Canals!$G$24:$G$29=_xlfn.IFS(AHT74="Handysize",Main!AKC74,AHT74="Supramax",AJV74,AHT74="Panamax",AJO74,AHT74="NeoPanamax",AJH74,AHT74="Suezmax",AJA74,AHT74="Capesize",AIT74,AHT74="VLOC",AIM74)))))</f>
        <v>#N/A</v>
      </c>
      <c r="AMZ74" s="75" t="e">
        <f t="array" aca="1" ref="AMZ74" ca="1">_xlfn.IFS(ALK74="DWT",AHR74,ALK74="NRT",AHV74,ALK74="GRT",AHW74,ALK74=0,0)</f>
        <v>#NAME?</v>
      </c>
      <c r="ANA74" s="279" t="e">
        <f t="shared" ca="1" si="944"/>
        <v>#NAME?</v>
      </c>
      <c r="ANB74" s="280" t="e">
        <f t="shared" ca="1" si="945"/>
        <v>#NAME?</v>
      </c>
      <c r="ANC74" s="280" t="e">
        <f t="shared" ca="1" si="946"/>
        <v>#NAME?</v>
      </c>
      <c r="AND74" s="280" t="e">
        <f t="shared" ca="1" si="947"/>
        <v>#NAME?</v>
      </c>
      <c r="ANE74" s="280" t="e">
        <f t="shared" ca="1" si="948"/>
        <v>#NAME?</v>
      </c>
      <c r="ANF74" s="280" t="e">
        <f t="shared" ca="1" si="949"/>
        <v>#NAME?</v>
      </c>
      <c r="ANG74" s="280" t="e">
        <f t="shared" ca="1" si="950"/>
        <v>#NAME?</v>
      </c>
      <c r="ANH74" s="280" t="e">
        <f t="shared" ca="1" si="951"/>
        <v>#NAME?</v>
      </c>
      <c r="ANI74" s="280" t="e">
        <f t="shared" ca="1" si="952"/>
        <v>#NAME?</v>
      </c>
      <c r="ANJ74" s="75">
        <f t="shared" si="953"/>
        <v>0</v>
      </c>
      <c r="ANK74" s="279" t="e">
        <f t="shared" ca="1" si="954"/>
        <v>#N/A</v>
      </c>
      <c r="ANL74" s="280" t="e">
        <f t="shared" ca="1" si="955"/>
        <v>#N/A</v>
      </c>
      <c r="ANM74" s="280" t="e">
        <f t="shared" ca="1" si="956"/>
        <v>#N/A</v>
      </c>
      <c r="ANN74" s="280" t="e">
        <f t="shared" ca="1" si="957"/>
        <v>#N/A</v>
      </c>
      <c r="ANO74" s="280" t="e">
        <f t="shared" ca="1" si="958"/>
        <v>#N/A</v>
      </c>
      <c r="ANP74" s="280" t="e">
        <f t="shared" ca="1" si="959"/>
        <v>#N/A</v>
      </c>
      <c r="ANQ74" s="280" t="e">
        <f t="shared" ca="1" si="960"/>
        <v>#N/A</v>
      </c>
      <c r="ANR74" s="280" t="e">
        <f t="shared" ca="1" si="961"/>
        <v>#N/A</v>
      </c>
      <c r="ANS74" s="280" t="e">
        <f t="shared" ca="1" si="962"/>
        <v>#N/A</v>
      </c>
      <c r="ANU74" s="75" t="e">
        <f t="array" aca="1" ref="ANU74" ca="1">_xlfn.IFS(AHT74="Handysize",Main!AJW74,AHT74="Supramax",AJP74,AHT74="Panamax",AJI74,AHT74="NeoPanamax",AJB74,AHT74="Suezmax",AIU74,AHT74="Capesize",AIN74,AHT74="VLOC",AIG74)*$JI74</f>
        <v>#NAME?</v>
      </c>
      <c r="ANV74" s="274" t="e">
        <f t="array" aca="1" ref="ANV74" ca="1">_xlfn.IFS(AHT74="Handysize",Main!AJX74,AHT74="Supramax",AJQ74,AHT74="Panamax",AJJ74,AHT74="NeoPanamax",AJC74,AHT74="Suezmax",AIV74,AHT74="Capesize",AIO74,AHT74="VLOC",AIH74)*$JI74</f>
        <v>#NAME?</v>
      </c>
      <c r="ANW74" s="71" t="e">
        <f t="array" aca="1" ref="ANW74" ca="1">_xlfn.IFS(AHT74="Handysize",Main!AHY74,AHT74="Supramax",AHZ74,AHT74="Panamax",AIA74,AHT74="NeoPanamax",AIB74,AHT74="Suezmax",AIC74,AHT74="Capesize",AID74,AHT74="VLOC",AIE74)</f>
        <v>#NAME?</v>
      </c>
      <c r="ANX74" s="71" t="e">
        <f t="array" aca="1" ref="ANX74" ca="1">_xlfn.IFS(AHT74="Handysize",Main!AKK74,AHT74="Supramax",AKL74,AHT74="Panamax",AKM74,AHT74="NeoPanamax",AKN74,AHT74="Suezmax",AKO74,AHT74="Capesize",AKP74,AHT74="VLOC",AKQ74)</f>
        <v>#NAME?</v>
      </c>
      <c r="ANY74" s="70">
        <f t="array" ref="ANY74">INDEX('Ship Speeds'!$G$11:$G$1011,MATCH(2,1/(('Ship Speeds'!$E$11:$E$1011&lt;=Main!$C74)*('Ship Speeds'!$F$11:$F$1011=Main!AHS74))))</f>
        <v>11</v>
      </c>
      <c r="ANZ74" s="403">
        <f t="shared" si="963"/>
        <v>0</v>
      </c>
      <c r="AOA74" s="401">
        <f t="shared" si="964"/>
        <v>1.2</v>
      </c>
      <c r="AOB74" s="70" t="e">
        <f t="shared" ca="1" si="965"/>
        <v>#NAME?</v>
      </c>
      <c r="AOC74" s="70" t="e">
        <f t="shared" ca="1" si="966"/>
        <v>#NAME?</v>
      </c>
      <c r="AOD74" s="70" t="e">
        <f t="shared" ca="1" si="967"/>
        <v>#NAME?</v>
      </c>
      <c r="AOE74" s="70" t="e">
        <f t="shared" ca="1" si="968"/>
        <v>#NAME?</v>
      </c>
      <c r="AOF74" s="72" t="e">
        <f t="shared" ca="1" si="969"/>
        <v>#N/A</v>
      </c>
      <c r="AOG74" s="70" t="e">
        <f t="shared" ca="1" si="970"/>
        <v>#NAME?</v>
      </c>
      <c r="AOH74" s="70" t="e">
        <f t="array" aca="1" ref="AOH74" ca="1">IF(ANU74=0,0,INDEX(AKE74:AKI74,MATCH(_xlfn.IFS(AHT74="Handysize",Main!AKA74,AHT74="Supramax",AJT74,AHT74="Panamax",AJM74,AHT74="NeoPanamax",AJF74,AHT74="Suezmax",AIY74,AHT74="Capesize",AIR74,AHT74="VLOC",AIK74),$AKE$7:$AKI$7,0)))</f>
        <v>#NAME?</v>
      </c>
      <c r="AOI74" s="70" t="e">
        <f t="array" aca="1" ref="AOI74" ca="1">IF(ANU74=0,0,INDEX(AKE74:AKI74,MATCH(_xlfn.IFS(AHT74="Handysize",Main!AKB74,AHT74="Supramax",AJU74,AHT74="Panamax",AJN74,AHT74="NeoPanamax",AJG74,AHT74="Suezmax",AIZ74,AHT74="Capesize",AIS74,AHT74="VLOC",AIL74),$AKE$7:$AKI$7,0)))</f>
        <v>#NAME?</v>
      </c>
      <c r="AOJ74" s="71" t="e">
        <f t="shared" ca="1" si="971"/>
        <v>#NAME?</v>
      </c>
      <c r="AOK74" s="71" t="e">
        <f t="shared" ca="1" si="972"/>
        <v>#NAME?</v>
      </c>
      <c r="AOL74" s="281" t="e">
        <f t="shared" ca="1" si="973"/>
        <v>#NAME?</v>
      </c>
      <c r="AOM74" s="71" t="e">
        <f t="shared" ca="1" si="974"/>
        <v>#NAME?</v>
      </c>
      <c r="AON74" s="71" t="e">
        <f t="shared" ca="1" si="975"/>
        <v>#NAME?</v>
      </c>
      <c r="AOO74" s="71" t="e">
        <f t="shared" ca="1" si="976"/>
        <v>#NAME?</v>
      </c>
      <c r="AOP74" s="71" t="e">
        <f t="shared" ca="1" si="977"/>
        <v>#NAME?</v>
      </c>
      <c r="AOQ74" s="71" t="e">
        <f t="shared" ca="1" si="978"/>
        <v>#NAME?</v>
      </c>
      <c r="AOR74" s="71" t="e">
        <f t="shared" ca="1" si="979"/>
        <v>#NAME?</v>
      </c>
      <c r="AOS74" s="71" t="e">
        <f t="shared" ca="1" si="980"/>
        <v>#NAME?</v>
      </c>
      <c r="AOT74" s="71" t="e">
        <f t="shared" ca="1" si="981"/>
        <v>#NAME?</v>
      </c>
      <c r="AOU74" s="71" t="e">
        <f t="shared" ca="1" si="982"/>
        <v>#NAME?</v>
      </c>
      <c r="AOV74" s="71" t="e">
        <f t="shared" ca="1" si="983"/>
        <v>#NAME?</v>
      </c>
      <c r="AOW74" s="71" t="e">
        <f t="shared" ca="1" si="984"/>
        <v>#NAME?</v>
      </c>
      <c r="AOX74" s="71" t="e">
        <f t="shared" ca="1" si="985"/>
        <v>#NAME?</v>
      </c>
      <c r="AOY74" s="72" t="e">
        <f t="shared" ca="1" si="986"/>
        <v>#NAME?</v>
      </c>
      <c r="AOZ74" s="72" t="e">
        <f t="shared" ca="1" si="987"/>
        <v>#NAME?</v>
      </c>
      <c r="APA74" s="71" t="e">
        <f t="shared" ca="1" si="988"/>
        <v>#NAME?</v>
      </c>
      <c r="APB74" s="71" t="e">
        <f t="array" aca="1" ref="APB74" ca="1">IF(ANU74=0,0,INDEX('Ship Time Charter Rates'!$H$22:$H$1021,MATCH(2,1/(('Ship Time Charter Rates'!$G$22:$G$1021=_xlfn.IFS(AHT74="Handysize",Main!AJY74,AHT74="Supramax",AJR74,AHT74="Panamax",AJK74,AHT74="NeoPanamax",AJD74,AHT74="Suezmax",AIW74,AHT74="Capesize",AIP74,AHT74="VLOC",AII74))*('Ship Time Charter Rates'!$E$22:$E$1021&lt;=Main!$C74)*(NOT(ISBLANK('Ship Time Charter Rates'!$H$22:$H$1021)))))))</f>
        <v>#NAME?</v>
      </c>
      <c r="APC74" s="71" t="e">
        <f t="shared" ca="1" si="989"/>
        <v>#NAME?</v>
      </c>
      <c r="APD74" s="70" t="e">
        <f t="shared" ca="1" si="990"/>
        <v>#NAME?</v>
      </c>
      <c r="APE74" s="71" t="e">
        <f t="shared" ca="1" si="991"/>
        <v>#NAME?</v>
      </c>
      <c r="APF74" s="71" t="e">
        <f t="shared" ca="1" si="992"/>
        <v>#NAME?</v>
      </c>
      <c r="APG74" s="72" t="e">
        <f t="shared" ca="1" si="993"/>
        <v>#NAME?</v>
      </c>
      <c r="API74" s="287" t="s">
        <v>39</v>
      </c>
      <c r="APK74" s="289" t="e">
        <f t="shared" ca="1" si="994"/>
        <v>#NAME?</v>
      </c>
      <c r="APL74" s="289" t="e">
        <f t="shared" ca="1" si="995"/>
        <v>#NAME?</v>
      </c>
      <c r="APM74" s="289" t="e">
        <f t="shared" ca="1" si="996"/>
        <v>#NAME?</v>
      </c>
      <c r="APO74" s="287" t="s">
        <v>39</v>
      </c>
    </row>
    <row r="75" spans="1:1107">
      <c r="B75" s="445" t="e">
        <f t="shared" ca="1" si="997"/>
        <v>#NAME?</v>
      </c>
      <c r="C75" s="18">
        <f t="shared" si="674"/>
        <v>43934</v>
      </c>
      <c r="D75" s="7" t="s">
        <v>20</v>
      </c>
      <c r="E75" s="86" t="s">
        <v>156</v>
      </c>
      <c r="F75" s="6">
        <v>29.281957688988282</v>
      </c>
      <c r="G75" s="1" t="s">
        <v>4</v>
      </c>
      <c r="H75" s="1" t="s">
        <v>5</v>
      </c>
      <c r="I75" s="15"/>
      <c r="J75" s="16">
        <f>J$80-J$81</f>
        <v>0.37</v>
      </c>
      <c r="K75" s="15"/>
      <c r="L75" s="16">
        <f>L$80+L$81</f>
        <v>0.09</v>
      </c>
      <c r="M75" s="15"/>
      <c r="N75" s="15"/>
      <c r="O75" s="16">
        <f>O$80+O$81</f>
        <v>0.15000000000000002</v>
      </c>
      <c r="P75" s="433">
        <v>77000</v>
      </c>
      <c r="Q75" s="98"/>
      <c r="R75" s="7" t="s">
        <v>95</v>
      </c>
      <c r="T75" s="287" t="s">
        <v>39</v>
      </c>
      <c r="V75" s="4"/>
      <c r="W75" s="16" t="str">
        <f t="shared" si="675"/>
        <v>not used yet</v>
      </c>
      <c r="X75" s="16" t="str">
        <f t="shared" si="675"/>
        <v>not used yet</v>
      </c>
      <c r="Y75" s="16" t="str">
        <f t="shared" si="675"/>
        <v>not used yet</v>
      </c>
      <c r="Z75" s="16" t="str">
        <f t="shared" si="675"/>
        <v>not used yet</v>
      </c>
      <c r="AA75" s="16" t="str">
        <f t="shared" si="675"/>
        <v>not used yet</v>
      </c>
      <c r="AB75" s="16" t="str">
        <f t="shared" si="675"/>
        <v>not used yet</v>
      </c>
      <c r="AC75" s="16" t="str">
        <f t="shared" si="675"/>
        <v>not used yet</v>
      </c>
      <c r="AE75" s="88" t="str">
        <f t="shared" si="676"/>
        <v>West Kalimantan Generic</v>
      </c>
      <c r="AF75" s="16">
        <f t="shared" si="677"/>
        <v>0.48</v>
      </c>
      <c r="AG75" s="16">
        <f t="shared" si="678"/>
        <v>0.37</v>
      </c>
      <c r="AH75" s="61">
        <f t="shared" si="679"/>
        <v>0.08</v>
      </c>
      <c r="AI75" s="61">
        <f t="shared" si="680"/>
        <v>0.09</v>
      </c>
      <c r="AJ75" s="61">
        <f t="shared" si="681"/>
        <v>4.4999999999999998E-2</v>
      </c>
      <c r="AK75" s="16">
        <f t="shared" si="682"/>
        <v>5.0000000000000001E-3</v>
      </c>
      <c r="AL75" s="16">
        <f t="shared" si="683"/>
        <v>0.15000000000000002</v>
      </c>
      <c r="AM75" s="24" t="str">
        <f t="shared" si="684"/>
        <v>LT</v>
      </c>
      <c r="AN75" s="427">
        <f t="shared" si="685"/>
        <v>77000</v>
      </c>
      <c r="AO75" s="127" t="str">
        <f t="array" ref="AO75">IFERROR(IF(AND(AN75&gt;'Indices Mines Exporting Ports'!$D$11,MATCH(2,1/(('Indices Mines Exporting Ports'!$B$3:$B$10&lt;=C75)*('Indices Mines Exporting Ports'!$C$3:$C$10=E75)))),"Yes","No"),"No")</f>
        <v>No</v>
      </c>
      <c r="AP75" s="126" t="str">
        <f t="array" ref="AP75">IF(AO75="Yes",INDEX('Indices Mines Exporting Ports'!$D$3:$D$10,MATCH(2,1/(('Indices Mines Exporting Ports'!$B$3:$B$10&lt;=Main!C75)*('Indices Mines Exporting Ports'!$C$3:$C$10=Main!AE75)))),IF(NOT(ISBLANK(Q75)),Q75,IP75))</f>
        <v>West_Kal_Generic_Offshore</v>
      </c>
      <c r="AQ75" s="262">
        <f t="array" ref="AQ75">IF(AO75="no",0,INDEX('Indices Mines Exporting Ports'!$E$3:$E$10,MATCH(2,1/(('Indices Mines Exporting Ports'!$B$3:$B$10&lt;=Main!$C75)*('Indices Mines Exporting Ports'!$D$3:$D$10=Main!$AP75)))))</f>
        <v>0</v>
      </c>
      <c r="AR75" s="267">
        <f t="array" ref="AR75">IF(AO75="No",0,AN75/ROUND(AN75/INDEX('Indices Mines Exporting Ports'!$F$3:$F$10,MATCH(2,1/(('Indices Mines Exporting Ports'!$B$3:$B$10&lt;=Main!C75)*('Indices Mines Exporting Ports'!$C$3:$C$10=Main!AE75)))),0))</f>
        <v>0</v>
      </c>
      <c r="AS75" s="127" t="str">
        <f t="shared" si="686"/>
        <v>Qingdao</v>
      </c>
      <c r="AT75" s="100" t="str">
        <f t="shared" si="687"/>
        <v>Indonesian LT</v>
      </c>
      <c r="AU75" s="100" t="str">
        <f t="shared" si="688"/>
        <v>CBIX LT</v>
      </c>
      <c r="AV75" s="242" t="s">
        <v>4</v>
      </c>
      <c r="AW75" s="242" t="s">
        <v>5</v>
      </c>
      <c r="AX75" s="292" t="e">
        <f t="shared" ca="1" si="689"/>
        <v>#NAME?</v>
      </c>
      <c r="AY75" s="291" t="e">
        <f t="shared" ca="1" si="690"/>
        <v>#NAME?</v>
      </c>
      <c r="AZ75" s="292" t="e">
        <f t="shared" ca="1" si="691"/>
        <v>#NAME?</v>
      </c>
      <c r="BA75" s="102">
        <f t="shared" si="692"/>
        <v>0.33</v>
      </c>
      <c r="BB75" s="12"/>
      <c r="BC75" s="306" t="s">
        <v>403</v>
      </c>
      <c r="BD75" s="407">
        <f t="shared" si="693"/>
        <v>0</v>
      </c>
      <c r="BE75" s="407" t="e">
        <f t="shared" ca="1" si="693"/>
        <v>#NAME?</v>
      </c>
      <c r="BF75" s="407">
        <f t="shared" si="693"/>
        <v>0</v>
      </c>
      <c r="BG75" s="407" t="e">
        <f t="shared" ca="1" si="694"/>
        <v>#NAME?</v>
      </c>
      <c r="BH75" s="407">
        <f t="shared" si="695"/>
        <v>0</v>
      </c>
      <c r="BI75" s="263" t="e">
        <f t="shared" ca="1" si="696"/>
        <v>#NAME?</v>
      </c>
      <c r="BK75" s="287" t="s">
        <v>39</v>
      </c>
      <c r="BM75" s="291" t="e">
        <f t="shared" ca="1" si="697"/>
        <v>#NAME?</v>
      </c>
      <c r="BN75" s="298">
        <f t="shared" si="698"/>
        <v>0.48</v>
      </c>
      <c r="BO75" s="298">
        <f t="shared" si="699"/>
        <v>0.37</v>
      </c>
      <c r="BP75" s="298">
        <f t="shared" si="700"/>
        <v>0.08</v>
      </c>
      <c r="BQ75" s="298">
        <f t="shared" si="701"/>
        <v>0.09</v>
      </c>
      <c r="BR75" s="298">
        <f t="shared" si="702"/>
        <v>4.4999999999999998E-2</v>
      </c>
      <c r="BS75" s="298">
        <f t="shared" si="703"/>
        <v>5.0000000000000001E-3</v>
      </c>
      <c r="BT75" s="298">
        <f t="shared" si="704"/>
        <v>0.15000000000000002</v>
      </c>
      <c r="BU75" s="307" t="str">
        <f t="shared" si="705"/>
        <v>LT</v>
      </c>
      <c r="BV75" s="291">
        <f t="shared" si="706"/>
        <v>0.33</v>
      </c>
      <c r="BX75" s="300">
        <f t="array" ref="BX75">INDEX('Processing Factors'!$D$8:$D$29,MATCH(2,1/(('Processing Factors'!$B$8:$B$29&lt;=Main!$C75)*('Processing Factors'!$C$8:$C$29=Main!BU75))))</f>
        <v>0</v>
      </c>
      <c r="BY75" s="299">
        <f t="array" ref="BY75">INDEX('Processing Factors'!$E$8:$E$29,MATCH(2,1/(('Processing Factors'!$B$8:$B$29&lt;=Main!$C75)*('Processing Factors'!$C$8:$C$29=Main!BU75))))</f>
        <v>1</v>
      </c>
      <c r="BZ75" s="299">
        <f t="array" ref="BZ75">INDEX('Processing Factors'!$F$8:$F$29,MATCH(2,1/(('Processing Factors'!$B$8:$B$29&lt;=Main!$C75)*('Processing Factors'!$C$8:$C$29=Main!BU75))))</f>
        <v>0.9</v>
      </c>
      <c r="CA75" s="299">
        <f t="array" ref="CA75">INDEX('Processing Factors'!$G$8:$G$29,MATCH(2,1/(('Processing Factors'!$B$8:$B$29&lt;=Main!$C75)*('Processing Factors'!$C$8:$C$29=Main!BU75))))</f>
        <v>3.5999999999999997E-2</v>
      </c>
      <c r="CB75" s="299">
        <f t="array" ref="CB75">INDEX('Processing Factors'!$H$8:$H$29,MATCH(2,1/(('Processing Factors'!$B$8:$B$29&lt;=Main!$C75)*('Processing Factors'!$C$8:$C$29=Main!BU75))))</f>
        <v>12.15</v>
      </c>
      <c r="CC75" s="300">
        <f t="array" ref="CC75">INDEX('Processing Factors'!$I$8:$I$29,MATCH(2,1/(('Processing Factors'!$B$8:$B$29&lt;=Main!$C75)*('Processing Factors'!$C$8:$C$29=Main!BU75))))</f>
        <v>0</v>
      </c>
      <c r="CD75" s="300">
        <f t="array" ref="CD75">INDEX('Processing Factors'!$J$8:$J$29,MATCH(2,1/(('Processing Factors'!$B$8:$B$29&lt;=Main!$C75)*('Processing Factors'!$C$8:$C$29=Main!BU75))))</f>
        <v>0.9</v>
      </c>
      <c r="CE75" s="299">
        <f t="array" ref="CE75">INDEX('Processing Factors'!$K$8:$K$29,MATCH(2,1/(('Processing Factors'!$B$8:$B$29&lt;=Main!$C75)*('Processing Factors'!$C$8:$C$29=Main!BU75))))</f>
        <v>3.5000000000000003E-2</v>
      </c>
      <c r="CG75" s="302">
        <f t="shared" si="707"/>
        <v>0.45999999999999996</v>
      </c>
      <c r="CH75" s="302">
        <f t="shared" si="708"/>
        <v>0.09</v>
      </c>
      <c r="CI75" s="302">
        <f t="shared" si="709"/>
        <v>0.37</v>
      </c>
      <c r="CJ75" s="299">
        <f t="shared" si="710"/>
        <v>3.0030030030030028</v>
      </c>
      <c r="CK75" s="281" t="e">
        <f t="shared" ca="1" si="711"/>
        <v>#NAME?</v>
      </c>
      <c r="CL75" s="299">
        <f t="shared" si="712"/>
        <v>0.27824324324324323</v>
      </c>
      <c r="CM75" s="281">
        <f t="shared" si="713"/>
        <v>66.777561335274982</v>
      </c>
      <c r="CN75" s="281">
        <f t="shared" si="714"/>
        <v>50.321396655852695</v>
      </c>
      <c r="CO75" s="281">
        <f t="shared" si="715"/>
        <v>1.2197497818850218</v>
      </c>
      <c r="CP75" s="299">
        <f t="shared" si="716"/>
        <v>2.317246246246246</v>
      </c>
      <c r="CQ75" s="281">
        <f t="shared" si="717"/>
        <v>9.8140993174748061</v>
      </c>
      <c r="CR75" s="281" t="e">
        <f t="shared" ca="1" si="718"/>
        <v>#NAME?</v>
      </c>
      <c r="CT75" s="287" t="s">
        <v>39</v>
      </c>
      <c r="CV75" s="305" t="e">
        <f t="shared" ca="1" si="719"/>
        <v>#NAME?</v>
      </c>
      <c r="CW75" s="61">
        <f t="array" ref="CW75">INDEX('Indices Mines Exporting Ports'!E$20:E$51, MATCH(2,1/(('Indices Mines Exporting Ports'!$C$20:$C$51=$AT75)*('Indices Mines Exporting Ports'!$D$20:$D$51&lt;=$C75))))</f>
        <v>0.48</v>
      </c>
      <c r="CX75" s="61">
        <f t="array" ref="CX75">INDEX('Indices Mines Exporting Ports'!F$20:F$51, MATCH(2,1/(('Indices Mines Exporting Ports'!$C$20:$C$51=$AT75)*('Indices Mines Exporting Ports'!$D$20:$D$51&lt;=$C75))))</f>
        <v>0.44</v>
      </c>
      <c r="CY75" s="61">
        <f t="array" ref="CY75">INDEX('Indices Mines Exporting Ports'!G$20:G$51, MATCH(2,1/(('Indices Mines Exporting Ports'!$C$20:$C$51=$AT75)*('Indices Mines Exporting Ports'!$D$20:$D$51&lt;=$C75))))</f>
        <v>0.08</v>
      </c>
      <c r="CZ75" s="61">
        <f t="array" ref="CZ75">INDEX('Indices Mines Exporting Ports'!H$20:H$51, MATCH(2,1/(('Indices Mines Exporting Ports'!$C$20:$C$51=$AT75)*('Indices Mines Exporting Ports'!$D$20:$D$51&lt;=$C75))))</f>
        <v>3.5000000000000003E-2</v>
      </c>
      <c r="DA75" s="61">
        <f t="array" ref="DA75">INDEX('Indices Mines Exporting Ports'!I$20:I$51, MATCH(2,1/(('Indices Mines Exporting Ports'!$C$20:$C$51=$AT75)*('Indices Mines Exporting Ports'!$D$20:$D$51&lt;=$C75))))</f>
        <v>4.4999999999999998E-2</v>
      </c>
      <c r="DB75" s="61">
        <f t="array" ref="DB75">INDEX('Indices Mines Exporting Ports'!J$20:J$51, MATCH(2,1/(('Indices Mines Exporting Ports'!$C$20:$C$51=$AT75)*('Indices Mines Exporting Ports'!$D$20:$D$51&lt;=$C75))))</f>
        <v>5.0000000000000001E-3</v>
      </c>
      <c r="DC75" s="61">
        <f t="array" ref="DC75">INDEX('Indices Mines Exporting Ports'!K$20:K$51, MATCH(2,1/(('Indices Mines Exporting Ports'!$C$20:$C$51=$AT75)*('Indices Mines Exporting Ports'!$D$20:$D$51&lt;=$C75))))</f>
        <v>0.15</v>
      </c>
      <c r="DD75" s="103" t="str">
        <f t="array" ref="DD75">INDEX('Indices Mines Exporting Ports'!L$20:L$51, MATCH(2,1/(('Indices Mines Exporting Ports'!$C$20:$C$51=$AT75)*('Indices Mines Exporting Ports'!$D$20:$D$51&lt;=$C75))))</f>
        <v>LT</v>
      </c>
      <c r="DE75" s="243">
        <f t="array" ref="DE75">INDEX('Indices Mines Exporting Ports'!M$20:M$51, MATCH(2,1/(('Indices Mines Exporting Ports'!$C$20:$C$51=$AT75)*('Indices Mines Exporting Ports'!$D$20:$D$51&lt;=$C75))))</f>
        <v>0.33</v>
      </c>
      <c r="DG75" s="300">
        <f t="array" ref="DG75">INDEX('Processing Factors'!$D$8:$D$29,MATCH(2,1/(('Processing Factors'!$B$8:$B$29&lt;=Main!$C75)*('Processing Factors'!$C$8:$C$29=Main!DD75))))</f>
        <v>0</v>
      </c>
      <c r="DH75" s="299">
        <f t="array" ref="DH75">INDEX('Processing Factors'!$E$8:$E$29,MATCH(2,1/(('Processing Factors'!$B$8:$B$29&lt;=Main!$C75)*('Processing Factors'!$C$8:$C$29=Main!DD75))))</f>
        <v>1</v>
      </c>
      <c r="DI75" s="299">
        <f t="array" ref="DI75">INDEX('Processing Factors'!$F$8:$F$29,MATCH(2,1/(('Processing Factors'!$B$8:$B$29&lt;=Main!$C75)*('Processing Factors'!$C$8:$C$29=Main!DD75))))</f>
        <v>0.9</v>
      </c>
      <c r="DJ75" s="299">
        <f t="array" ref="DJ75">INDEX('Processing Factors'!$G$8:$G$29,MATCH(2,1/(('Processing Factors'!$B$8:$B$29&lt;=Main!$C75)*('Processing Factors'!$C$8:$C$29=Main!DD75))))</f>
        <v>3.5999999999999997E-2</v>
      </c>
      <c r="DK75" s="299">
        <f t="array" ref="DK75">INDEX('Processing Factors'!$H$8:$H$29,MATCH(2,1/(('Processing Factors'!$B$8:$B$29&lt;=Main!$C75)*('Processing Factors'!$C$8:$C$29=Main!DD75))))</f>
        <v>12.15</v>
      </c>
      <c r="DL75" s="300">
        <f t="array" ref="DL75">INDEX('Processing Factors'!$I$8:$I$29,MATCH(2,1/(('Processing Factors'!$B$8:$B$29&lt;=Main!$C75)*('Processing Factors'!$C$8:$C$29=Main!DD75))))</f>
        <v>0</v>
      </c>
      <c r="DM75" s="300">
        <f t="array" ref="DM75">INDEX('Processing Factors'!$J$8:$J$29,MATCH(2,1/(('Processing Factors'!$B$8:$B$29&lt;=Main!$C75)*('Processing Factors'!$C$8:$C$29=Main!DD75))))</f>
        <v>0.9</v>
      </c>
      <c r="DN75" s="299">
        <f t="array" ref="DN75">INDEX('Processing Factors'!$K$8:$K$29,MATCH(2,1/(('Processing Factors'!$B$8:$B$29&lt;=Main!$C75)*('Processing Factors'!$C$8:$C$29=Main!DD75))))</f>
        <v>3.5000000000000003E-2</v>
      </c>
      <c r="DP75" s="302">
        <f t="shared" si="720"/>
        <v>0.47499999999999998</v>
      </c>
      <c r="DQ75" s="302">
        <f t="shared" si="721"/>
        <v>3.5000000000000003E-2</v>
      </c>
      <c r="DR75" s="302">
        <f t="shared" si="722"/>
        <v>0.43999999999999995</v>
      </c>
      <c r="DS75" s="299">
        <f t="shared" si="723"/>
        <v>2.5252525252525255</v>
      </c>
      <c r="DT75" s="304">
        <v>0</v>
      </c>
      <c r="DU75" s="299">
        <f t="shared" si="724"/>
        <v>0.11454545454545458</v>
      </c>
      <c r="DV75" s="281">
        <f t="shared" si="725"/>
        <v>27.490572735666216</v>
      </c>
      <c r="DW75" s="281">
        <f t="shared" si="726"/>
        <v>50.321396655852695</v>
      </c>
      <c r="DX75" s="281">
        <f t="shared" si="727"/>
        <v>1.2197497818850218</v>
      </c>
      <c r="DY75" s="299">
        <f t="shared" si="728"/>
        <v>1.6757979797979801</v>
      </c>
      <c r="DZ75" s="281">
        <f t="shared" si="729"/>
        <v>7.0974104872984247</v>
      </c>
      <c r="EA75" s="281">
        <f t="shared" si="730"/>
        <v>86.129129660702361</v>
      </c>
      <c r="EC75" s="287" t="s">
        <v>39</v>
      </c>
      <c r="EE75" s="305" t="e">
        <f t="shared" ca="1" si="731"/>
        <v>#NAME?</v>
      </c>
      <c r="EF75" s="16">
        <f t="array" ref="EF75">INDEX('Indices Mines Exporting Ports'!E$20:E$51, MATCH(2,1/(('Indices Mines Exporting Ports'!$C$20:$C$51=$AU75)*('Indices Mines Exporting Ports'!$D$20:$D$51&lt;=$C75))))</f>
        <v>0.5</v>
      </c>
      <c r="EG75" s="16">
        <f t="array" ref="EG75">INDEX('Indices Mines Exporting Ports'!F$20:F$51, MATCH(2,1/(('Indices Mines Exporting Ports'!$C$20:$C$51=$AU75)*('Indices Mines Exporting Ports'!$D$20:$D$51&lt;=$C75))))</f>
        <v>0.45</v>
      </c>
      <c r="EH75" s="16">
        <f t="array" ref="EH75">INDEX('Indices Mines Exporting Ports'!G$20:G$51, MATCH(2,1/(('Indices Mines Exporting Ports'!$C$20:$C$51=$AU75)*('Indices Mines Exporting Ports'!$D$20:$D$51&lt;=$C75))))</f>
        <v>0.05</v>
      </c>
      <c r="EI75" s="16">
        <f t="array" ref="EI75">INDEX('Indices Mines Exporting Ports'!H$20:H$51, MATCH(2,1/(('Indices Mines Exporting Ports'!$C$20:$C$51=$AU75)*('Indices Mines Exporting Ports'!$D$20:$D$51&lt;=$C75))))</f>
        <v>0.05</v>
      </c>
      <c r="EJ75" s="16">
        <f t="array" ref="EJ75">INDEX('Indices Mines Exporting Ports'!I$20:I$51, MATCH(2,1/(('Indices Mines Exporting Ports'!$C$20:$C$51=$AU75)*('Indices Mines Exporting Ports'!$D$20:$D$51&lt;=$C75))))</f>
        <v>0</v>
      </c>
      <c r="EK75" s="16">
        <f t="array" ref="EK75">INDEX('Indices Mines Exporting Ports'!J$20:J$51, MATCH(2,1/(('Indices Mines Exporting Ports'!$C$20:$C$51=$AU75)*('Indices Mines Exporting Ports'!$D$20:$D$51&lt;=$C75))))</f>
        <v>0</v>
      </c>
      <c r="EL75" s="16">
        <f t="array" ref="EL75">INDEX('Indices Mines Exporting Ports'!K$20:K$51, MATCH(2,1/(('Indices Mines Exporting Ports'!$C$20:$C$51=$AU75)*('Indices Mines Exporting Ports'!$D$20:$D$51&lt;=$C75))))</f>
        <v>0.1</v>
      </c>
      <c r="EM75" s="103" t="str">
        <f t="array" ref="EM75">INDEX('Indices Mines Exporting Ports'!L$20:L$51, MATCH(2,1/(('Indices Mines Exporting Ports'!$C$20:$C$51=$AU75)*('Indices Mines Exporting Ports'!$D$20:$D$51&lt;=$C75))))</f>
        <v>LT</v>
      </c>
      <c r="EN75" s="243">
        <f t="array" ref="EN75">INDEX('Indices Mines Exporting Ports'!M$20:M$51, MATCH(2,1/(('Indices Mines Exporting Ports'!$C$20:$C$51=$AU75)*('Indices Mines Exporting Ports'!$D$20:$D$51&lt;=$C75))))</f>
        <v>0</v>
      </c>
      <c r="EP75" s="300">
        <f t="array" ref="EP75">INDEX('Processing Factors'!$D$8:$D$29,MATCH(2,1/(('Processing Factors'!$B$8:$B$29&lt;=Main!$C75)*('Processing Factors'!$C$8:$C$29=Main!EM75))))</f>
        <v>0</v>
      </c>
      <c r="EQ75" s="299">
        <f t="array" ref="EQ75">INDEX('Processing Factors'!$E$8:$E$29,MATCH(2,1/(('Processing Factors'!$B$8:$B$29&lt;=Main!$C75)*('Processing Factors'!$C$8:$C$29=Main!EM75))))</f>
        <v>1</v>
      </c>
      <c r="ER75" s="299">
        <f t="array" ref="ER75">INDEX('Processing Factors'!$F$8:$F$29,MATCH(2,1/(('Processing Factors'!$B$8:$B$29&lt;=Main!$C75)*('Processing Factors'!$C$8:$C$29=Main!EM75))))</f>
        <v>0.9</v>
      </c>
      <c r="ES75" s="299">
        <f t="array" ref="ES75">INDEX('Processing Factors'!$G$8:$G$29,MATCH(2,1/(('Processing Factors'!$B$8:$B$29&lt;=Main!$C75)*('Processing Factors'!$C$8:$C$29=Main!EM75))))</f>
        <v>3.5999999999999997E-2</v>
      </c>
      <c r="ET75" s="299">
        <f t="array" ref="ET75">INDEX('Processing Factors'!$H$8:$H$29,MATCH(2,1/(('Processing Factors'!$B$8:$B$29&lt;=Main!$C75)*('Processing Factors'!$C$8:$C$29=Main!EM75))))</f>
        <v>12.15</v>
      </c>
      <c r="EU75" s="300">
        <f t="array" ref="EU75">INDEX('Processing Factors'!$I$8:$I$29,MATCH(2,1/(('Processing Factors'!$B$8:$B$29&lt;=Main!$C75)*('Processing Factors'!$C$8:$C$29=Main!EM75))))</f>
        <v>0</v>
      </c>
      <c r="EV75" s="300">
        <f t="array" ref="EV75">INDEX('Processing Factors'!$J$8:$J$29,MATCH(2,1/(('Processing Factors'!$B$8:$B$29&lt;=Main!$C75)*('Processing Factors'!$C$8:$C$29=Main!EM75))))</f>
        <v>0.9</v>
      </c>
      <c r="EW75" s="299">
        <f t="array" ref="EW75">INDEX('Processing Factors'!$K$8:$K$29,MATCH(2,1/(('Processing Factors'!$B$8:$B$29&lt;=Main!$C75)*('Processing Factors'!$C$8:$C$29=Main!EM75))))</f>
        <v>3.5000000000000003E-2</v>
      </c>
      <c r="EY75" s="302">
        <f t="shared" si="732"/>
        <v>0.5</v>
      </c>
      <c r="EZ75" s="302">
        <f t="shared" si="733"/>
        <v>0.05</v>
      </c>
      <c r="FA75" s="302">
        <f t="shared" si="734"/>
        <v>0.45</v>
      </c>
      <c r="FB75" s="299">
        <f t="shared" si="735"/>
        <v>2.4691358024691357</v>
      </c>
      <c r="FC75" s="304">
        <v>0</v>
      </c>
      <c r="FD75" s="299">
        <f t="shared" si="736"/>
        <v>0.14611111111111114</v>
      </c>
      <c r="FE75" s="281">
        <f t="shared" si="737"/>
        <v>35.06623762093578</v>
      </c>
      <c r="FF75" s="281">
        <f t="shared" si="738"/>
        <v>50.321396655852695</v>
      </c>
      <c r="FG75" s="281">
        <f t="shared" si="739"/>
        <v>1.2197497818850218</v>
      </c>
      <c r="FH75" s="299">
        <f t="shared" si="740"/>
        <v>1.6512469135802468</v>
      </c>
      <c r="FI75" s="281">
        <f t="shared" si="741"/>
        <v>6.9934307731868799</v>
      </c>
      <c r="FJ75" s="281">
        <f t="shared" si="742"/>
        <v>93.60081483186039</v>
      </c>
      <c r="FL75" s="287" t="s">
        <v>39</v>
      </c>
      <c r="FN75" s="315" t="e">
        <f t="shared" ca="1" si="743"/>
        <v>#NAME?</v>
      </c>
      <c r="FO75" s="316">
        <f t="shared" si="744"/>
        <v>0.48</v>
      </c>
      <c r="FP75" s="316">
        <f t="shared" si="745"/>
        <v>0.37</v>
      </c>
      <c r="FQ75" s="316">
        <f t="shared" si="746"/>
        <v>0.08</v>
      </c>
      <c r="FR75" s="316">
        <f t="shared" si="747"/>
        <v>0.09</v>
      </c>
      <c r="FS75" s="316">
        <f t="shared" si="748"/>
        <v>4.4999999999999998E-2</v>
      </c>
      <c r="FT75" s="316">
        <f t="shared" si="749"/>
        <v>5.0000000000000001E-3</v>
      </c>
      <c r="FU75" s="316">
        <f t="shared" si="750"/>
        <v>0.15000000000000002</v>
      </c>
      <c r="FV75" s="317" t="str">
        <f t="shared" si="751"/>
        <v>LT</v>
      </c>
      <c r="FW75" s="318">
        <v>0</v>
      </c>
      <c r="FX75" s="237"/>
      <c r="FY75" s="319">
        <f t="array" ref="FY75">INDEX('Processing Factors'!$D$8:$D$29,MATCH(2,1/(('Processing Factors'!$B$8:$B$29&lt;=Main!$C75)*('Processing Factors'!$C$8:$C$29=Main!FV75))))</f>
        <v>0</v>
      </c>
      <c r="FZ75" s="320">
        <f t="array" ref="FZ75">INDEX('Processing Factors'!$E$8:$E$29,MATCH(2,1/(('Processing Factors'!$B$8:$B$29&lt;=Main!$C75)*('Processing Factors'!$C$8:$C$29=Main!FV75))))</f>
        <v>1</v>
      </c>
      <c r="GA75" s="320">
        <f t="array" ref="GA75">INDEX('Processing Factors'!$F$8:$F$29,MATCH(2,1/(('Processing Factors'!$B$8:$B$29&lt;=Main!$C75)*('Processing Factors'!$C$8:$C$29=Main!FV75))))</f>
        <v>0.9</v>
      </c>
      <c r="GB75" s="320">
        <f t="array" ref="GB75">INDEX('Processing Factors'!$G$8:$G$29,MATCH(2,1/(('Processing Factors'!$B$8:$B$29&lt;=Main!$C75)*('Processing Factors'!$C$8:$C$29=Main!FV75))))</f>
        <v>3.5999999999999997E-2</v>
      </c>
      <c r="GC75" s="320">
        <f t="array" ref="GC75">INDEX('Processing Factors'!$H$8:$H$29,MATCH(2,1/(('Processing Factors'!$B$8:$B$29&lt;=Main!$C75)*('Processing Factors'!$C$8:$C$29=Main!FV75))))</f>
        <v>12.15</v>
      </c>
      <c r="GD75" s="319">
        <f t="array" ref="GD75">INDEX('Processing Factors'!$I$8:$I$29,MATCH(2,1/(('Processing Factors'!$B$8:$B$29&lt;=Main!$C75)*('Processing Factors'!$C$8:$C$29=Main!FV75))))</f>
        <v>0</v>
      </c>
      <c r="GE75" s="321">
        <v>0.92</v>
      </c>
      <c r="GF75" s="320">
        <f t="array" ref="GF75">INDEX('Processing Factors'!$K$8:$K$29,MATCH(2,1/(('Processing Factors'!$B$8:$B$29&lt;=Main!$C75)*('Processing Factors'!$C$8:$C$29=Main!FV75))))</f>
        <v>3.5000000000000003E-2</v>
      </c>
      <c r="GG75" s="237"/>
      <c r="GH75" s="322">
        <f t="shared" si="752"/>
        <v>0.45999999999999996</v>
      </c>
      <c r="GI75" s="322">
        <f t="shared" si="753"/>
        <v>0.09</v>
      </c>
      <c r="GJ75" s="322">
        <f t="shared" si="754"/>
        <v>0.37</v>
      </c>
      <c r="GK75" s="320">
        <f t="shared" si="755"/>
        <v>2.9377203290246765</v>
      </c>
      <c r="GL75" s="323" t="e">
        <f t="shared" ca="1" si="756"/>
        <v>#NAME?</v>
      </c>
      <c r="GM75" s="320">
        <f t="shared" si="757"/>
        <v>0.2729553466509988</v>
      </c>
      <c r="GN75" s="323">
        <f t="shared" si="758"/>
        <v>65.508481680699148</v>
      </c>
      <c r="GO75" s="323">
        <f t="shared" si="759"/>
        <v>50.321396655852695</v>
      </c>
      <c r="GP75" s="323">
        <f t="shared" si="760"/>
        <v>1.2197497818850218</v>
      </c>
      <c r="GQ75" s="320">
        <f t="shared" si="761"/>
        <v>2.2466756756756752</v>
      </c>
      <c r="GR75" s="323">
        <f t="shared" si="762"/>
        <v>9.5152158519853778</v>
      </c>
      <c r="GS75" s="323" t="e">
        <f t="shared" ca="1" si="763"/>
        <v>#NAME?</v>
      </c>
      <c r="GT75" s="237"/>
      <c r="GU75" s="324" t="e">
        <f t="shared" ca="1" si="764"/>
        <v>#NAME?</v>
      </c>
      <c r="GV75" s="325">
        <f t="array" ref="GV75">INDEX('Indices Mines Exporting Ports'!E$20:E$51, MATCH(2,1/(('Indices Mines Exporting Ports'!$C$20:$C$51=$BC75)*('Indices Mines Exporting Ports'!$D$20:$D$51&lt;=$C75))))</f>
        <v>0.5</v>
      </c>
      <c r="GW75" s="325">
        <f t="array" ref="GW75">INDEX('Indices Mines Exporting Ports'!F$20:F$51, MATCH(2,1/(('Indices Mines Exporting Ports'!$C$20:$C$51=$BC75)*('Indices Mines Exporting Ports'!$D$20:$D$51&lt;=$C75))))</f>
        <v>0.45</v>
      </c>
      <c r="GX75" s="325">
        <f t="array" ref="GX75">INDEX('Indices Mines Exporting Ports'!G$20:G$51, MATCH(2,1/(('Indices Mines Exporting Ports'!$C$20:$C$51=$BC75)*('Indices Mines Exporting Ports'!$D$20:$D$51&lt;=$C75))))</f>
        <v>0.05</v>
      </c>
      <c r="GY75" s="325">
        <f t="array" ref="GY75">INDEX('Indices Mines Exporting Ports'!H$20:H$51, MATCH(2,1/(('Indices Mines Exporting Ports'!$C$20:$C$51=$BC75)*('Indices Mines Exporting Ports'!$D$20:$D$51&lt;=$C75))))</f>
        <v>0.05</v>
      </c>
      <c r="GZ75" s="325">
        <f t="array" ref="GZ75">INDEX('Indices Mines Exporting Ports'!I$20:I$51, MATCH(2,1/(('Indices Mines Exporting Ports'!$C$20:$C$51=$BC75)*('Indices Mines Exporting Ports'!$D$20:$D$51&lt;=$C75))))</f>
        <v>0</v>
      </c>
      <c r="HA75" s="325">
        <f t="array" ref="HA75">INDEX('Indices Mines Exporting Ports'!J$20:J$51, MATCH(2,1/(('Indices Mines Exporting Ports'!$C$20:$C$51=$BC75)*('Indices Mines Exporting Ports'!$D$20:$D$51&lt;=$C75))))</f>
        <v>0</v>
      </c>
      <c r="HB75" s="325">
        <f t="array" ref="HB75">INDEX('Indices Mines Exporting Ports'!K$20:K$51, MATCH(2,1/(('Indices Mines Exporting Ports'!$C$20:$C$51=$BC75)*('Indices Mines Exporting Ports'!$D$20:$D$51&lt;=$C75))))</f>
        <v>0.1</v>
      </c>
      <c r="HC75" s="326" t="str">
        <f t="array" ref="HC75">INDEX('Indices Mines Exporting Ports'!L$20:L$51, MATCH(2,1/(('Indices Mines Exporting Ports'!$C$20:$C$51=$BC75)*('Indices Mines Exporting Ports'!$D$20:$D$51&lt;=$C75))))</f>
        <v>LT</v>
      </c>
      <c r="HD75" s="262">
        <f t="array" ref="HD75">INDEX('Indices Mines Exporting Ports'!M$20:M$51, MATCH(2,1/(('Indices Mines Exporting Ports'!$C$20:$C$51=$BC75)*('Indices Mines Exporting Ports'!$D$20:$D$51&lt;=$C75))))</f>
        <v>0</v>
      </c>
      <c r="HE75" s="237"/>
      <c r="HF75" s="319">
        <f t="array" ref="HF75">INDEX('Processing Factors'!$D$8:$D$29,MATCH(2,1/(('Processing Factors'!$B$8:$B$29&lt;=Main!$C75)*('Processing Factors'!$C$8:$C$29=Main!HC75))))</f>
        <v>0</v>
      </c>
      <c r="HG75" s="320">
        <f t="array" ref="HG75">INDEX('Processing Factors'!$E$8:$E$29,MATCH(2,1/(('Processing Factors'!$B$8:$B$29&lt;=Main!$C75)*('Processing Factors'!$C$8:$C$29=Main!HC75))))</f>
        <v>1</v>
      </c>
      <c r="HH75" s="320">
        <f t="array" ref="HH75">INDEX('Processing Factors'!$F$8:$F$29,MATCH(2,1/(('Processing Factors'!$B$8:$B$29&lt;=Main!$C75)*('Processing Factors'!$C$8:$C$29=Main!HC75))))</f>
        <v>0.9</v>
      </c>
      <c r="HI75" s="320">
        <f t="array" ref="HI75">INDEX('Processing Factors'!$G$8:$G$29,MATCH(2,1/(('Processing Factors'!$B$8:$B$29&lt;=Main!$C75)*('Processing Factors'!$C$8:$C$29=Main!HC75))))</f>
        <v>3.5999999999999997E-2</v>
      </c>
      <c r="HJ75" s="320">
        <f t="array" ref="HJ75">INDEX('Processing Factors'!$H$8:$H$29,MATCH(2,1/(('Processing Factors'!$B$8:$B$29&lt;=Main!$C75)*('Processing Factors'!$C$8:$C$29=Main!HC75))))</f>
        <v>12.15</v>
      </c>
      <c r="HK75" s="319">
        <f t="array" ref="HK75">INDEX('Processing Factors'!$I$8:$I$29,MATCH(2,1/(('Processing Factors'!$B$8:$B$29&lt;=Main!$C75)*('Processing Factors'!$C$8:$C$29=Main!HC75))))</f>
        <v>0</v>
      </c>
      <c r="HL75" s="321">
        <v>0.92</v>
      </c>
      <c r="HM75" s="320">
        <f t="array" ref="HM75">INDEX('Processing Factors'!$K$8:$K$29,MATCH(2,1/(('Processing Factors'!$B$8:$B$29&lt;=Main!$C75)*('Processing Factors'!$C$8:$C$29=Main!HC75))))</f>
        <v>3.5000000000000003E-2</v>
      </c>
      <c r="HN75" s="237"/>
      <c r="HO75" s="322">
        <f t="shared" si="765"/>
        <v>0.5</v>
      </c>
      <c r="HP75" s="322">
        <f t="shared" si="766"/>
        <v>0.05</v>
      </c>
      <c r="HQ75" s="322">
        <f t="shared" si="767"/>
        <v>0.45</v>
      </c>
      <c r="HR75" s="320">
        <f t="shared" si="768"/>
        <v>2.4154589371980677</v>
      </c>
      <c r="HS75" s="263">
        <v>0</v>
      </c>
      <c r="HT75" s="320">
        <f t="shared" si="769"/>
        <v>0.14369565217391306</v>
      </c>
      <c r="HU75" s="323">
        <f t="shared" si="770"/>
        <v>34.486534568845585</v>
      </c>
      <c r="HV75" s="323">
        <f t="shared" si="771"/>
        <v>50.321396655852695</v>
      </c>
      <c r="HW75" s="323">
        <f t="shared" si="772"/>
        <v>1.2197497818850218</v>
      </c>
      <c r="HX75" s="320">
        <f t="shared" si="773"/>
        <v>1.5951545893719807</v>
      </c>
      <c r="HY75" s="323">
        <f t="shared" si="774"/>
        <v>6.755866189095018</v>
      </c>
      <c r="HZ75" s="323">
        <f t="shared" si="775"/>
        <v>92.783547195678324</v>
      </c>
      <c r="IB75" s="287" t="s">
        <v>39</v>
      </c>
      <c r="ID75" s="89" t="str">
        <f t="shared" si="776"/>
        <v>West Kalimantan Generic</v>
      </c>
      <c r="IE75" s="18">
        <f t="shared" si="777"/>
        <v>43934</v>
      </c>
      <c r="IF75" s="94">
        <f t="array" ref="IF75">INDEX('Indices Mines Exporting Ports'!E$20:E$51, MATCH(2,1/(('Indices Mines Exporting Ports'!$C$20:$C$51=$ID75)*('Indices Mines Exporting Ports'!$D$20:$D$51&lt;=$IE75))))</f>
        <v>0.48</v>
      </c>
      <c r="IG75" s="94">
        <f t="array" ref="IG75">INDEX('Indices Mines Exporting Ports'!F$20:F$51, MATCH(2,1/(('Indices Mines Exporting Ports'!$C$20:$C$51=$ID75)*('Indices Mines Exporting Ports'!$D$20:$D$51&lt;=$IE75))))</f>
        <v>0.44</v>
      </c>
      <c r="IH75" s="95">
        <f t="array" ref="IH75">INDEX('Indices Mines Exporting Ports'!G$20:G$51, MATCH(2,1/(('Indices Mines Exporting Ports'!$C$20:$C$51=$ID75)*('Indices Mines Exporting Ports'!$D$20:$D$51&lt;=$IE75))))</f>
        <v>0.08</v>
      </c>
      <c r="II75" s="95">
        <f t="array" ref="II75">INDEX('Indices Mines Exporting Ports'!H$20:H$51, MATCH(2,1/(('Indices Mines Exporting Ports'!$C$20:$C$51=$ID75)*('Indices Mines Exporting Ports'!$D$20:$D$51&lt;=$IE75))))</f>
        <v>3.5000000000000003E-2</v>
      </c>
      <c r="IJ75" s="95">
        <f t="array" ref="IJ75">INDEX('Indices Mines Exporting Ports'!I$20:I$51, MATCH(2,1/(('Indices Mines Exporting Ports'!$C$20:$C$51=$ID75)*('Indices Mines Exporting Ports'!$D$20:$D$51&lt;=$IE75))))</f>
        <v>4.4999999999999998E-2</v>
      </c>
      <c r="IK75" s="94">
        <f t="array" ref="IK75">INDEX('Indices Mines Exporting Ports'!J$20:J$51, MATCH(2,1/(('Indices Mines Exporting Ports'!$C$20:$C$51=$ID75)*('Indices Mines Exporting Ports'!$D$20:$D$51&lt;=$IE75))))</f>
        <v>5.0000000000000001E-3</v>
      </c>
      <c r="IL75" s="94">
        <f t="array" ref="IL75">INDEX('Indices Mines Exporting Ports'!K$20:K$51, MATCH(2,1/(('Indices Mines Exporting Ports'!$C$20:$C$51=$ID75)*('Indices Mines Exporting Ports'!$D$20:$D$51&lt;=$IE75))))</f>
        <v>0.15</v>
      </c>
      <c r="IM75" s="93" t="str">
        <f t="array" ref="IM75">INDEX('Indices Mines Exporting Ports'!L$20:L$51, MATCH(2,1/(('Indices Mines Exporting Ports'!$C$20:$C$51=$ID75)*('Indices Mines Exporting Ports'!$D$20:$D$51&lt;=$IE75))))</f>
        <v>LT</v>
      </c>
      <c r="IN75" s="101">
        <f t="array" ref="IN75">INDEX('Indices Mines Exporting Ports'!M$20:M$51, MATCH(2,1/(('Indices Mines Exporting Ports'!$C$20:$C$51=$ID75)*('Indices Mines Exporting Ports'!$D$20:$D$51&lt;=$IE75))))</f>
        <v>0.33</v>
      </c>
      <c r="IO75" s="96">
        <f t="array" ref="IO75">INDEX('Indices Mines Exporting Ports'!N$20:N$51, MATCH(2,1/(('Indices Mines Exporting Ports'!$C$20:$C$51=$ID75)*('Indices Mines Exporting Ports'!$D$20:$D$51&lt;=$IE75))))</f>
        <v>57000</v>
      </c>
      <c r="IP75" s="95" t="str">
        <f t="array" ref="IP75">INDEX('Indices Mines Exporting Ports'!Q$20:Q$51, MATCH(2,1/(('Indices Mines Exporting Ports'!$C$20:$C$51=$ID75)*('Indices Mines Exporting Ports'!$D$20:$D$51&lt;=$IE75))))</f>
        <v>West_Kal_Generic_Offshore</v>
      </c>
      <c r="IQ75" s="95" t="str">
        <f t="array" ref="IQ75">INDEX('Indices Mines Exporting Ports'!O$20:O$51, MATCH(2,1/(('Indices Mines Exporting Ports'!$C$20:$C$51=$ID75)*('Indices Mines Exporting Ports'!$D$20:$D$51&lt;=$IE75))))</f>
        <v>Indonesian LT</v>
      </c>
      <c r="IR75" s="95" t="str">
        <f t="array" ref="IR75">INDEX('Indices Mines Exporting Ports'!P$20:P$51, MATCH(2,1/(('Indices Mines Exporting Ports'!$C$20:$C$51=$ID75)*('Indices Mines Exporting Ports'!$D$20:$D$51&lt;=$IE75))))</f>
        <v>CBIX LT</v>
      </c>
      <c r="IT75" s="287" t="s">
        <v>39</v>
      </c>
      <c r="IV75" s="292">
        <f>VLOOKUP($C75,'China Price Series'!$C$10:$D$1009,2,TRUE)/$JA75/(VLOOKUP($C75,'China Price Series'!$C$10:$E$1009,3,TRUE)*$JG75/$JF75)</f>
        <v>4.1416787371072177</v>
      </c>
      <c r="IW75" s="292">
        <f>VLOOKUP($C75,'China Price Series'!$G$10:$H$1009,2,TRUE)/$JA75/(VLOOKUP($C75,'China Price Series'!$G$10:$I$1009,3,TRUE))</f>
        <v>239.99706356533991</v>
      </c>
      <c r="IX75" s="292">
        <f>VLOOKUP($C75,'China Price Series'!$K$10:$L$1009,2,TRUE)/$JA75</f>
        <v>33.881938385695051</v>
      </c>
      <c r="IY75" s="292">
        <f>VLOOKUP($C75,'China Price Series'!$N$10:$O$1009,2,TRUE)/$JA75</f>
        <v>4.2352422982118814</v>
      </c>
      <c r="JA75" s="277">
        <f t="array" ref="JA75">INDEX('FX rates'!E$10:E$1009,MATCH(2,1/(('FX rates'!$D$10:$D$1009&lt;=Main!$C75)*(NOT(ISBLANK('FX rates'!E$10:E$1009))))))</f>
        <v>7.0834199999999994</v>
      </c>
      <c r="JB75" s="277">
        <f t="array" ref="JB75">INDEX('FX rates'!F$10:F$1009,MATCH(2,1/(('FX rates'!$D$10:$D$1009&lt;=Main!$C75)*(NOT(ISBLANK('FX rates'!F$10:F$1009))))))</f>
        <v>0.61160022139928016</v>
      </c>
      <c r="JC75" s="277">
        <f t="array" ref="JC75">INDEX('FX rates'!G$10:G$1009,MATCH(2,1/(('FX rates'!$D$10:$D$1009&lt;=Main!$C75)*(NOT(ISBLANK('FX rates'!G$10:G$1009))))))</f>
        <v>1</v>
      </c>
      <c r="JD75" s="277">
        <f t="array" ref="JD75">INDEX('FX rates'!H$10:H$1009,MATCH(2,1/(('FX rates'!$D$10:$D$1009&lt;=Main!$C75)*(NOT(ISBLANK('FX rates'!H$10:H$1009))))))</f>
        <v>1.35</v>
      </c>
      <c r="JF75" s="111">
        <f t="array" ref="JF75">INDEX('Global factors'!C$5:C$23,MATCH(2,1/(('Global factors'!$B$5:$B$23&lt;=Main!$C75)*(NOT(ISBLANK('Global factors'!C$5:C$23))))))</f>
        <v>239000</v>
      </c>
      <c r="JG75" s="112">
        <f t="array" ref="JG75">INDEX('Global factors'!D$5:D$23,MATCH(2,1/(('Global factors'!$B$5:$B$23&lt;=Main!$C75)*(NOT(ISBLANK('Global factors'!D$5:D$23))))))</f>
        <v>1000</v>
      </c>
      <c r="JH75" s="112">
        <f t="array" ref="JH75">INDEX('Global factors'!E$5:E$23,MATCH(2,1/(('Global factors'!$B$5:$B$23&lt;=Main!$C75)*(NOT(ISBLANK('Global factors'!E$5:E$23))))))</f>
        <v>24</v>
      </c>
      <c r="JI75" s="112">
        <f t="array" ref="JI75">INDEX('Global factors'!F$5:F$23,MATCH(2,1/(('Global factors'!$B$5:$B$23&lt;=Main!$C75)*(NOT(ISBLANK('Global factors'!F$5:F$23))))))</f>
        <v>2</v>
      </c>
      <c r="JJ75" s="117">
        <f t="array" ref="JJ75">INDEX('Global factors'!G$5:G$23,MATCH(2,1/(('Global factors'!$B$5:$B$23&lt;=Main!$C75)*(NOT(ISBLANK('Global factors'!G$5:G$23))))))</f>
        <v>0.08</v>
      </c>
      <c r="JK75" s="113">
        <f t="array" ref="JK75">INDEX('Global factors'!H$5:H$23,MATCH(2,1/(('Global factors'!$B$5:$B$23&lt;=Main!$C75)*(NOT(ISBLANK('Global factors'!H$5:H$23))))))</f>
        <v>101.96</v>
      </c>
      <c r="JL75" s="113">
        <f t="array" ref="JL75">INDEX('Global factors'!I$5:I$23,MATCH(2,1/(('Global factors'!$B$5:$B$23&lt;=Main!$C75)*(NOT(ISBLANK('Global factors'!I$5:I$23))))))</f>
        <v>60.08</v>
      </c>
      <c r="JM75" s="114">
        <f t="array" ref="JM75">INDEX('Global factors'!J$5:J$23,MATCH(2,1/(('Global factors'!$B$5:$B$23&lt;=Main!$C75)*(NOT(ISBLANK('Global factors'!J$5:J$23))))))</f>
        <v>0.84853528628495334</v>
      </c>
      <c r="JN75" s="115">
        <f t="array" ref="JN75">INDEX('Global factors'!K$5:K$23,MATCH(2,1/(('Global factors'!$B$5:$B$23&lt;=Main!$C75)*(NOT(ISBLANK('Global factors'!K$5:K$23))))))</f>
        <v>0.97499999999999998</v>
      </c>
      <c r="JO75" s="116">
        <f t="array" ref="JO75">INDEX('Global factors'!L$5:L$23,MATCH(2,1/(('Global factors'!$B$5:$B$23&lt;=Main!$C75)*(NOT(ISBLANK('Global factors'!L$5:L$23))))))</f>
        <v>8.7299999999999997E-4</v>
      </c>
      <c r="JP75" s="116">
        <f t="array" ref="JP75">INDEX('Global factors'!M$5:M$23,MATCH(2,1/(('Global factors'!$B$5:$B$23&lt;=Main!$C75)*(NOT(ISBLANK('Global factors'!M$5:M$23))))))</f>
        <v>145.88999999999999</v>
      </c>
      <c r="JQ75" s="116">
        <f t="array" ref="JQ75">INDEX('Global factors'!N$5:N$23,MATCH(2,1/(('Global factors'!$B$5:$B$23&lt;=Main!$C75)*(NOT(ISBLANK('Global factors'!N$5:N$23))))))</f>
        <v>0.40339999999999998</v>
      </c>
      <c r="JR75" s="116">
        <f t="array" ref="JR75">INDEX('Global factors'!O$5:O$23,MATCH(2,1/(('Global factors'!$B$5:$B$23&lt;=Main!$C75)*(NOT(ISBLANK('Global factors'!O$5:O$23))))))</f>
        <v>0</v>
      </c>
      <c r="JS75" s="116">
        <f t="array" ref="JS75">INDEX('Global factors'!P$5:P$23,MATCH(2,1/(('Global factors'!$B$5:$B$23&lt;=Main!$C75)*(NOT(ISBLANK('Global factors'!P$5:P$23))))))</f>
        <v>0.51890000000000003</v>
      </c>
      <c r="JT75" s="116">
        <f t="array" ref="JT75">INDEX('Global factors'!Q$5:Q$23,MATCH(2,1/(('Global factors'!$B$5:$B$23&lt;=Main!$C75)*(NOT(ISBLANK('Global factors'!Q$5:Q$23))))))</f>
        <v>4797</v>
      </c>
      <c r="JU75" s="116">
        <f t="array" ref="JU75">INDEX('Global factors'!R$5:R$23,MATCH(2,1/(('Global factors'!$B$5:$B$23&lt;=Main!$C75)*(NOT(ISBLANK('Global factors'!R$5:R$23))))))</f>
        <v>7</v>
      </c>
      <c r="JV75" s="115">
        <f t="array" ref="JV75">INDEX('Global factors'!S$5:S$23,MATCH(2,1/(('Global factors'!$B$5:$B$23&lt;=Main!$C75)*(NOT(ISBLANK('Global factors'!S$5:S$23))))))</f>
        <v>0.12</v>
      </c>
      <c r="JW75" s="115">
        <f t="array" ref="JW75">INDEX('Global factors'!T$5:T$23,MATCH(2,1/(('Global factors'!$B$5:$B$23&lt;=Main!$C75)*(NOT(ISBLANK('Global factors'!T$5:T$23))))))</f>
        <v>0.5</v>
      </c>
      <c r="JX75" s="116">
        <f t="array" ref="JX75">INDEX('Global factors'!U$5:U$23,MATCH(2,1/(('Global factors'!$B$5:$B$23&lt;=Main!$C75)*(NOT(ISBLANK('Global factors'!U$5:U$23))))))</f>
        <v>0.5</v>
      </c>
      <c r="JY75" s="116">
        <f t="array" ref="JY75">INDEX('Global factors'!V$5:V$23,MATCH(2,1/(('Global factors'!$B$5:$B$23&lt;=Main!$C75)*(NOT(ISBLANK('Global factors'!V$5:V$23))))))</f>
        <v>10000</v>
      </c>
      <c r="JZ75" s="116">
        <f t="array" ref="JZ75">INDEX('Global factors'!W$5:W$23,MATCH(2,1/(('Global factors'!$B$5:$B$23&lt;=Main!$C75)*(NOT(ISBLANK('Global factors'!W$5:W$23))))))</f>
        <v>0.10680000000000001</v>
      </c>
      <c r="KA75" s="116">
        <f t="array" ref="KA75">INDEX('Global factors'!X$5:X$23,MATCH(2,1/(('Global factors'!$B$5:$B$23&lt;=Main!$C75)*(NOT(ISBLANK('Global factors'!X$5:X$23))))))</f>
        <v>1.2</v>
      </c>
      <c r="KB75" s="116">
        <v>0</v>
      </c>
      <c r="KC75" s="272">
        <f t="array" ref="KC75">INDEX('Global factors'!Y$5:Y$23,MATCH(2,1/(('Global factors'!$B$5:$B$23&lt;=Main!$C75)*(NOT(ISBLANK('Global factors'!Y$5:Y$23))))))</f>
        <v>23643.7088248818</v>
      </c>
      <c r="KD75" s="273">
        <f t="array" ref="KD75">INDEX('Global factors'!Z$5:Z$23,MATCH(2,1/(('Global factors'!$B$5:$B$23&lt;=Main!$C75)*(NOT(ISBLANK('Global factors'!Z$5:Z$23))))))</f>
        <v>0.62802869915581405</v>
      </c>
      <c r="KE75" s="273">
        <v>0</v>
      </c>
      <c r="KF75" s="273">
        <v>0</v>
      </c>
      <c r="KG75" s="116">
        <v>0</v>
      </c>
      <c r="KH75" s="116">
        <f t="array" ref="KH75">INDEX('Global factors'!AB$5:AB$23,MATCH(2,1/(('Global factors'!$B$5:$B$23&lt;=Main!$C75)*(NOT(ISBLANK('Global factors'!AB$5:AB$23))))))</f>
        <v>6.2556361557795204E-2</v>
      </c>
      <c r="KI75" s="116">
        <f t="array" ref="KI75">INDEX('Global factors'!AC$5:AC$23,MATCH(2,1/(('Global factors'!$B$5:$B$23&lt;=Main!$C75)*(NOT(ISBLANK('Global factors'!AC$5:AC$23))))))</f>
        <v>8.6923129044225601E-4</v>
      </c>
      <c r="KJ75" s="116">
        <f t="array" ref="KJ75">INDEX('Global factors'!AD$5:AD$23,MATCH(2,1/(('Global factors'!$B$5:$B$23&lt;=Main!$C75)*(NOT(ISBLANK('Global factors'!AD$5:AD$23))))))</f>
        <v>1.1499999999999999</v>
      </c>
      <c r="KK75" s="116" t="str">
        <f t="array" ref="KK75">INDEX('Global factors'!AE$5:AE$23,MATCH(2,1/(('Global factors'!$B$5:$B$23&lt;=Main!$C75)*(NOT(ISBLANK('Global factors'!AE$5:AE$23))))))</f>
        <v>Qingdao</v>
      </c>
      <c r="KL75" s="290">
        <f t="array" ref="KL75">INDEX('Global factors'!AF$5:AF$23,MATCH(2,1/(('Global factors'!$B$5:$B$23&lt;=Main!$C75)*(NOT(ISBLANK('Global factors'!AF$5:AF$23))))))</f>
        <v>3.0000000000000001E-3</v>
      </c>
      <c r="KM75" s="290"/>
      <c r="KO75" s="287" t="s">
        <v>39</v>
      </c>
      <c r="KQ75" s="25">
        <f t="shared" si="778"/>
        <v>92911.010558069393</v>
      </c>
      <c r="KR75" s="4" t="str">
        <f>VLOOKUP(KQ75,'Ship Time Charter Rates'!$F$10:$G$17,2,TRUE)</f>
        <v>Panamax</v>
      </c>
      <c r="KS75" s="4" t="str">
        <f>VLOOKUP(KQ75,Canals!$E$5:$F$12,2,TRUE)</f>
        <v>Panamax</v>
      </c>
      <c r="KT75" s="25">
        <f t="shared" si="779"/>
        <v>227.00131221719457</v>
      </c>
      <c r="KU75" s="25">
        <f t="shared" si="780"/>
        <v>37480.301659125194</v>
      </c>
      <c r="KV75" s="25">
        <f t="shared" si="781"/>
        <v>53008.523378582213</v>
      </c>
      <c r="KX75" s="75">
        <f t="array" ref="KX75">INDEX('Indices Mines Exporting Ports'!$R$20:$R$51,MATCH(2,1/(('Indices Mines Exporting Ports'!$D$20:$D$51&lt;=Main!$C75)*('Indices Mines Exporting Ports'!$Q$20:$Q$51=$AP75))))</f>
        <v>15000</v>
      </c>
      <c r="KY75" s="75">
        <f t="array" ref="KY75">INDEX('Indices Mines Exporting Ports'!$S$20:$S$51,MATCH(2,1/(('Indices Mines Exporting Ports'!$D$20:$D$51&lt;=Main!$C75)*('Indices Mines Exporting Ports'!$Q$20:$Q$51=$AP75))))</f>
        <v>15000</v>
      </c>
      <c r="KZ75" s="75">
        <f t="array" ref="KZ75">INDEX('Indices Mines Exporting Ports'!$T$20:$T$51,MATCH(2,1/(('Indices Mines Exporting Ports'!$D$20:$D$51&lt;=Main!$C75)*('Indices Mines Exporting Ports'!$Q$20:$Q$51=$AP75))))</f>
        <v>15000</v>
      </c>
      <c r="LA75" s="75">
        <f t="array" ref="LA75">INDEX('Indices Mines Exporting Ports'!$U$20:$U$51,MATCH(2,1/(('Indices Mines Exporting Ports'!$D$20:$D$51&lt;=Main!$C75)*('Indices Mines Exporting Ports'!$Q$20:$Q$51=$AP75))))</f>
        <v>15000</v>
      </c>
      <c r="LB75" s="75">
        <f t="array" ref="LB75">INDEX('Indices Mines Exporting Ports'!$V$20:$V$51,MATCH(2,1/(('Indices Mines Exporting Ports'!$D$20:$D$51&lt;=Main!$C75)*('Indices Mines Exporting Ports'!$Q$20:$Q$51=$AP75))))</f>
        <v>15000</v>
      </c>
      <c r="LC75" s="75">
        <f t="array" ref="LC75">INDEX('Indices Mines Exporting Ports'!$W$20:$W$51,MATCH(2,1/(('Indices Mines Exporting Ports'!$D$20:$D$51&lt;=Main!$C75)*('Indices Mines Exporting Ports'!$Q$20:$Q$51=$AP75))))</f>
        <v>15000</v>
      </c>
      <c r="LD75" s="75">
        <f t="array" ref="LD75">INDEX('Indices Mines Exporting Ports'!$X$20:$X$51,MATCH(2,1/(('Indices Mines Exporting Ports'!$D$20:$D$51&lt;=Main!$C75)*('Indices Mines Exporting Ports'!$Q$20:$Q$51=$AP75))))</f>
        <v>15000</v>
      </c>
      <c r="LF75" s="75">
        <f t="array" ref="LF75">INDEX('Port Linkages'!$E$18:$E$157,MATCH(2,1/(('Port Linkages'!$C$18:$C$157=$AP75)*('Port Linkages'!$D$18:$D$157=IF($AO75="Yes",$AQ75,$AS75))*('Port Linkages'!$A$18:$A$157&lt;=$C75))))</f>
        <v>2326</v>
      </c>
      <c r="LG75" s="75">
        <f t="array" ref="LG75">INDEX('Port Linkages'!$F$18:$F$157,MATCH(2,1/(('Port Linkages'!$C$18:$C$157=$AP75)*('Port Linkages'!$D$18:$D$157=IF($AO75="Yes",$AQ75,$AS75))*('Port Linkages'!$A$18:$A$157&lt;=$C75))))</f>
        <v>0</v>
      </c>
      <c r="LH75" s="75" t="str">
        <f t="array" ref="LH75">INDEX('Port Linkages'!$G$18:$G$157,MATCH(2,1/(('Port Linkages'!$C$18:$C$157=$AP75)*('Port Linkages'!$D$18:$D$157=IF($AO75="Yes",$AQ75,$AS75))*('Port Linkages'!$A$18:$A$157&lt;=$C75))))</f>
        <v>VLOC_General</v>
      </c>
      <c r="LI75" s="75" t="str">
        <f t="array" ref="LI75">INDEX('Port Linkages'!$H$18:$H$157,MATCH(2,1/(('Port Linkages'!$C$18:$C$157=$AP75)*('Port Linkages'!$D$18:$D$157=IF($AO75="Yes",$AQ75,$AS75))*('Port Linkages'!$A$18:$A$157&lt;=$C75))))</f>
        <v>Singapore</v>
      </c>
      <c r="LJ75" s="75" t="str">
        <f t="array" ref="LJ75">INDEX('Port Linkages'!$I$18:$I$157,MATCH(2,1/(('Port Linkages'!$C$18:$C$157=$AP75)*('Port Linkages'!$D$18:$D$157=IF($AO75="Yes",$AQ75,$AS75))*('Port Linkages'!$A$18:$A$157&lt;=$C75))))</f>
        <v>VLSFO</v>
      </c>
      <c r="LK75" s="75" t="str">
        <f t="array" ref="LK75">INDEX('Port Linkages'!$J$18:$J$157,MATCH(2,1/(('Port Linkages'!$C$18:$C$157=$AP75)*('Port Linkages'!$D$18:$D$157=IF($AO75="Yes",$AQ75,$AS75))*('Port Linkages'!$A$18:$A$157&lt;=$C75))))</f>
        <v>MGO_Regular</v>
      </c>
      <c r="LL75" s="75" t="str">
        <f t="array" ref="LL75">INDEX('Port Linkages'!$K$18:$K$157,MATCH(2,1/(('Port Linkages'!$C$18:$C$157=$AP75)*('Port Linkages'!$D$18:$D$157=IF($AO75="Yes",$AQ75,$AS75))*('Port Linkages'!$A$18:$A$157&lt;=$C75))))</f>
        <v>none</v>
      </c>
      <c r="LM75" s="75">
        <f t="array" ref="LM75">INDEX('Port Linkages'!$L$18:$L$157,MATCH(2,1/(('Port Linkages'!$C$18:$C$157=$AP75)*('Port Linkages'!$D$18:$D$157=IF($AO75="Yes",$AQ75,$AS75))*('Port Linkages'!$A$18:$A$157&lt;=$C75))))</f>
        <v>2326</v>
      </c>
      <c r="LN75" s="75">
        <f t="array" ref="LN75">INDEX('Port Linkages'!$M$18:$M$157,MATCH(2,1/(('Port Linkages'!$C$18:$C$157=$AP75)*('Port Linkages'!$D$18:$D$157=IF($AO75="Yes",$AQ75,$AS75))*('Port Linkages'!$A$18:$A$157&lt;=$C75))))</f>
        <v>0</v>
      </c>
      <c r="LO75" s="75" t="str">
        <f t="array" ref="LO75">INDEX('Port Linkages'!$N$18:$N$157,MATCH(2,1/(('Port Linkages'!$C$18:$C$157=$AP75)*('Port Linkages'!$D$18:$D$157=IF($AO75="Yes",$AQ75,$AS75))*('Port Linkages'!$A$18:$A$157&lt;=$C75))))</f>
        <v>Capesize_General</v>
      </c>
      <c r="LP75" s="75" t="str">
        <f t="array" ref="LP75">INDEX('Port Linkages'!$O$18:$O$157,MATCH(2,1/(('Port Linkages'!$C$18:$C$157=$AP75)*('Port Linkages'!$D$18:$D$157=IF($AO75="Yes",$AQ75,$AS75))*('Port Linkages'!$A$18:$A$157&lt;=$C75))))</f>
        <v>Singapore</v>
      </c>
      <c r="LQ75" s="75" t="str">
        <f t="array" ref="LQ75">INDEX('Port Linkages'!$P$18:$P$157,MATCH(2,1/(('Port Linkages'!$C$18:$C$157=$AP75)*('Port Linkages'!$D$18:$D$157=IF($AO75="Yes",$AQ75,$AS75))*('Port Linkages'!$A$18:$A$157&lt;=$C75))))</f>
        <v>VLSFO</v>
      </c>
      <c r="LR75" s="75" t="str">
        <f t="array" ref="LR75">INDEX('Port Linkages'!$Q$18:$Q$157,MATCH(2,1/(('Port Linkages'!$C$18:$C$157=$AP75)*('Port Linkages'!$D$18:$D$157=IF($AO75="Yes",$AQ75,$AS75))*('Port Linkages'!$A$18:$A$157&lt;=$C75))))</f>
        <v>MGO_Regular</v>
      </c>
      <c r="LS75" s="75" t="str">
        <f t="array" ref="LS75">INDEX('Port Linkages'!$R$18:$R$157,MATCH(2,1/(('Port Linkages'!$C$18:$C$157=$AP75)*('Port Linkages'!$D$18:$D$157=IF($AO75="Yes",$AQ75,$AS75))*('Port Linkages'!$A$18:$A$157&lt;=$C75))))</f>
        <v>none</v>
      </c>
      <c r="LT75" s="75">
        <f t="array" ref="LT75">INDEX('Port Linkages'!$S$18:$S$157,MATCH(2,1/(('Port Linkages'!$C$18:$C$157=$AP75)*('Port Linkages'!$D$18:$D$157=IF($AO75="Yes",$AQ75,$AS75))*('Port Linkages'!$A$18:$A$157&lt;=$C75))))</f>
        <v>2326</v>
      </c>
      <c r="LU75" s="75">
        <f t="array" ref="LU75">INDEX('Port Linkages'!$T$18:$T$157,MATCH(2,1/(('Port Linkages'!$C$18:$C$157=$AP75)*('Port Linkages'!$D$18:$D$157=IF($AO75="Yes",$AQ75,$AS75))*('Port Linkages'!$A$18:$A$157&lt;=$C75))))</f>
        <v>0</v>
      </c>
      <c r="LV75" s="75" t="str">
        <f t="array" ref="LV75">INDEX('Port Linkages'!$U$18:$U$157,MATCH(2,1/(('Port Linkages'!$C$18:$C$157=$AP75)*('Port Linkages'!$D$18:$D$157=IF($AO75="Yes",$AQ75,$AS75))*('Port Linkages'!$A$18:$A$157&lt;=$C75))))</f>
        <v>Capesize_General</v>
      </c>
      <c r="LW75" s="75" t="str">
        <f t="array" ref="LW75">INDEX('Port Linkages'!$V$18:$V$157,MATCH(2,1/(('Port Linkages'!$C$18:$C$157=$AP75)*('Port Linkages'!$D$18:$D$157=IF($AO75="Yes",$AQ75,$AS75))*('Port Linkages'!$A$18:$A$157&lt;=$C75))))</f>
        <v>Singapore</v>
      </c>
      <c r="LX75" s="75" t="str">
        <f t="array" ref="LX75">INDEX('Port Linkages'!$W$18:$W$157,MATCH(2,1/(('Port Linkages'!$C$18:$C$157=$AP75)*('Port Linkages'!$D$18:$D$157=IF($AO75="Yes",$AQ75,$AS75))*('Port Linkages'!$A$18:$A$157&lt;=$C75))))</f>
        <v>VLSFO</v>
      </c>
      <c r="LY75" s="75" t="str">
        <f t="array" ref="LY75">INDEX('Port Linkages'!$X$18:$X$157,MATCH(2,1/(('Port Linkages'!$C$18:$C$157=$AP75)*('Port Linkages'!$D$18:$D$157=IF($AO75="Yes",$AQ75,$AS75))*('Port Linkages'!$A$18:$A$157&lt;=$C75))))</f>
        <v>MGO_Regular</v>
      </c>
      <c r="LZ75" s="75" t="str">
        <f t="array" ref="LZ75">INDEX('Port Linkages'!$Y$18:$Y$157,MATCH(2,1/(('Port Linkages'!$C$18:$C$157=$AP75)*('Port Linkages'!$D$18:$D$157=IF($AO75="Yes",$AQ75,$AS75))*('Port Linkages'!$A$18:$A$157&lt;=$C75))))</f>
        <v>none</v>
      </c>
      <c r="MA75" s="75">
        <f t="array" ref="MA75">INDEX('Port Linkages'!$Z$18:$Z$157,MATCH(2,1/(('Port Linkages'!$C$18:$C$157=$AP75)*('Port Linkages'!$D$18:$D$157=IF($AO75="Yes",$AQ75,$AS75))*('Port Linkages'!$A$18:$A$157&lt;=$C75))))</f>
        <v>2326</v>
      </c>
      <c r="MB75" s="75">
        <f t="array" ref="MB75">INDEX('Port Linkages'!$AA$18:$AA$157,MATCH(2,1/(('Port Linkages'!$C$18:$C$157=$AP75)*('Port Linkages'!$D$18:$D$157=IF($AO75="Yes",$AQ75,$AS75))*('Port Linkages'!$A$18:$A$157&lt;=$C75))))</f>
        <v>0</v>
      </c>
      <c r="MC75" s="75" t="str">
        <f t="array" ref="MC75">INDEX('Port Linkages'!$AB$18:$AB$157,MATCH(2,1/(('Port Linkages'!$C$18:$C$157=$AP75)*('Port Linkages'!$D$18:$D$157=IF($AO75="Yes",$AQ75,$AS75))*('Port Linkages'!$A$18:$A$157&lt;=$C75))))</f>
        <v>Capesize_General</v>
      </c>
      <c r="MD75" s="75" t="str">
        <f t="array" ref="MD75">INDEX('Port Linkages'!$AC$18:$AC$157,MATCH(2,1/(('Port Linkages'!$C$18:$C$157=$AP75)*('Port Linkages'!$D$18:$D$157=IF($AO75="Yes",$AQ75,$AS75))*('Port Linkages'!$A$18:$A$157&lt;=$C75))))</f>
        <v>Singapore</v>
      </c>
      <c r="ME75" s="75" t="str">
        <f t="array" ref="ME75">INDEX('Port Linkages'!$AD$18:$AD$157,MATCH(2,1/(('Port Linkages'!$C$18:$C$157=$AP75)*('Port Linkages'!$D$18:$D$157=IF($AO75="Yes",$AQ75,$AS75))*('Port Linkages'!$A$18:$A$157&lt;=$C75))))</f>
        <v>VLSFO</v>
      </c>
      <c r="MF75" s="75" t="str">
        <f t="array" ref="MF75">INDEX('Port Linkages'!$AE$18:$AE$157,MATCH(2,1/(('Port Linkages'!$C$18:$C$157=$AP75)*('Port Linkages'!$D$18:$D$157=IF($AO75="Yes",$AQ75,$AS75))*('Port Linkages'!$A$18:$A$157&lt;=$C75))))</f>
        <v>MGO_Regular</v>
      </c>
      <c r="MG75" s="75" t="str">
        <f t="array" ref="MG75">INDEX('Port Linkages'!$AF$18:$AF$157,MATCH(2,1/(('Port Linkages'!$C$18:$C$157=$AP75)*('Port Linkages'!$D$18:$D$157=IF($AO75="Yes",$AQ75,$AS75))*('Port Linkages'!$A$18:$A$157&lt;=$C75))))</f>
        <v>none</v>
      </c>
      <c r="MH75" s="75">
        <f t="array" ref="MH75">INDEX('Port Linkages'!$AG$18:$AG$157,MATCH(2,1/(('Port Linkages'!$C$18:$C$157=$AP75)*('Port Linkages'!$D$18:$D$157=IF($AO75="Yes",$AQ75,$AS75))*('Port Linkages'!$A$18:$A$157&lt;=$C75))))</f>
        <v>2326</v>
      </c>
      <c r="MI75" s="75">
        <f t="array" ref="MI75">INDEX('Port Linkages'!$AH$18:$AH$157,MATCH(2,1/(('Port Linkages'!$C$18:$C$157=$AP75)*('Port Linkages'!$D$18:$D$157=IF($AO75="Yes",$AQ75,$AS75))*('Port Linkages'!$A$18:$A$157&lt;=$C75))))</f>
        <v>0</v>
      </c>
      <c r="MJ75" s="75" t="str">
        <f t="array" ref="MJ75">INDEX('Port Linkages'!$AI$18:$AI$157,MATCH(2,1/(('Port Linkages'!$C$18:$C$157=$AP75)*('Port Linkages'!$D$18:$D$157=IF($AO75="Yes",$AQ75,$AS75))*('Port Linkages'!$A$18:$A$157&lt;=$C75))))</f>
        <v>Panamax_General</v>
      </c>
      <c r="MK75" s="75" t="str">
        <f t="array" ref="MK75">INDEX('Port Linkages'!$AJ$18:$AJ$157,MATCH(2,1/(('Port Linkages'!$C$18:$C$157=$AP75)*('Port Linkages'!$D$18:$D$157=IF($AO75="Yes",$AQ75,$AS75))*('Port Linkages'!$A$18:$A$157&lt;=$C75))))</f>
        <v>Singapore</v>
      </c>
      <c r="ML75" s="75" t="str">
        <f t="array" ref="ML75">INDEX('Port Linkages'!$AK$18:$AK$157,MATCH(2,1/(('Port Linkages'!$C$18:$C$157=$AP75)*('Port Linkages'!$D$18:$D$157=IF($AO75="Yes",$AQ75,$AS75))*('Port Linkages'!$A$18:$A$157&lt;=$C75))))</f>
        <v>VLSFO</v>
      </c>
      <c r="MM75" s="75" t="str">
        <f t="array" ref="MM75">INDEX('Port Linkages'!$AL$18:$AL$157,MATCH(2,1/(('Port Linkages'!$C$18:$C$157=$AP75)*('Port Linkages'!$D$18:$D$157=IF($AO75="Yes",$AQ75,$AS75))*('Port Linkages'!$A$18:$A$157&lt;=$C75))))</f>
        <v>MGO_Regular</v>
      </c>
      <c r="MN75" s="75" t="str">
        <f t="array" ref="MN75">INDEX('Port Linkages'!$AM$18:$AM$157,MATCH(2,1/(('Port Linkages'!$C$18:$C$157=$AP75)*('Port Linkages'!$D$18:$D$157=IF($AO75="Yes",$AQ75,$AS75))*('Port Linkages'!$A$18:$A$157&lt;=$C75))))</f>
        <v>none</v>
      </c>
      <c r="MO75" s="75">
        <f t="array" ref="MO75">INDEX('Port Linkages'!$AN$18:$AN$157,MATCH(2,1/(('Port Linkages'!$C$18:$C$157=$AP75)*('Port Linkages'!$D$18:$D$157=IF($AO75="Yes",$AQ75,$AS75))*('Port Linkages'!$A$18:$A$157&lt;=$C75))))</f>
        <v>2326</v>
      </c>
      <c r="MP75" s="75">
        <f t="array" ref="MP75">INDEX('Port Linkages'!$AO$18:$AO$157,MATCH(2,1/(('Port Linkages'!$C$18:$C$157=$AP75)*('Port Linkages'!$D$18:$D$157=IF($AO75="Yes",$AQ75,$AS75))*('Port Linkages'!$A$18:$A$157&lt;=$C75))))</f>
        <v>0</v>
      </c>
      <c r="MQ75" s="75" t="str">
        <f t="array" ref="MQ75">INDEX('Port Linkages'!$AP$18:$AP$157,MATCH(2,1/(('Port Linkages'!$C$18:$C$157=$AP75)*('Port Linkages'!$D$18:$D$157=IF($AO75="Yes",$AQ75,$AS75))*('Port Linkages'!$A$18:$A$157&lt;=$C75))))</f>
        <v>Supramax_General</v>
      </c>
      <c r="MR75" s="75" t="str">
        <f t="array" ref="MR75">INDEX('Port Linkages'!$AQ$18:$AQ$157,MATCH(2,1/(('Port Linkages'!$C$18:$C$157=$AP75)*('Port Linkages'!$D$18:$D$157=IF($AO75="Yes",$AQ75,$AS75))*('Port Linkages'!$A$18:$A$157&lt;=$C75))))</f>
        <v>Singapore</v>
      </c>
      <c r="MS75" s="75" t="str">
        <f t="array" ref="MS75">INDEX('Port Linkages'!$AR$18:$AR$157,MATCH(2,1/(('Port Linkages'!$C$18:$C$157=$AP75)*('Port Linkages'!$D$18:$D$157=IF($AO75="Yes",$AQ75,$AS75))*('Port Linkages'!$A$18:$A$157&lt;=$C75))))</f>
        <v>VLSFO</v>
      </c>
      <c r="MT75" s="75" t="str">
        <f t="array" ref="MT75">INDEX('Port Linkages'!$AS$18:$AS$157,MATCH(2,1/(('Port Linkages'!$C$18:$C$157=$AP75)*('Port Linkages'!$D$18:$D$157=IF($AO75="Yes",$AQ75,$AS75))*('Port Linkages'!$A$18:$A$157&lt;=$C75))))</f>
        <v>MGO_Regular</v>
      </c>
      <c r="MU75" s="75" t="str">
        <f t="array" ref="MU75">INDEX('Port Linkages'!$AT$18:$AT$157,MATCH(2,1/(('Port Linkages'!$C$18:$C$157=$AP75)*('Port Linkages'!$D$18:$D$157=IF($AO75="Yes",$AQ75,$AS75))*('Port Linkages'!$A$18:$A$157&lt;=$C75))))</f>
        <v>none</v>
      </c>
      <c r="MV75" s="75">
        <f t="array" ref="MV75">INDEX('Port Linkages'!$AU$18:$AU$157,MATCH(2,1/(('Port Linkages'!$C$18:$C$157=$AP75)*('Port Linkages'!$D$18:$D$157=IF($AO75="Yes",$AQ75,$AS75))*('Port Linkages'!$A$18:$A$157&lt;=$C75))))</f>
        <v>2326</v>
      </c>
      <c r="MW75" s="75">
        <f t="array" ref="MW75">INDEX('Port Linkages'!$AV$18:$AV$157,MATCH(2,1/(('Port Linkages'!$C$18:$C$157=$AP75)*('Port Linkages'!$D$18:$D$157=IF($AO75="Yes",$AQ75,$AS75))*('Port Linkages'!$A$18:$A$157&lt;=$C75))))</f>
        <v>0</v>
      </c>
      <c r="MX75" s="75" t="str">
        <f t="array" ref="MX75">INDEX('Port Linkages'!$AW$18:$AW$157,MATCH(2,1/(('Port Linkages'!$C$18:$C$157=$AP75)*('Port Linkages'!$D$18:$D$157=IF($AO75="Yes",$AQ75,$AS75))*('Port Linkages'!$A$18:$A$157&lt;=$C75))))</f>
        <v>Handysize_General</v>
      </c>
      <c r="MY75" s="75" t="str">
        <f t="array" ref="MY75">INDEX('Port Linkages'!$AX$18:$AX$157,MATCH(2,1/(('Port Linkages'!$C$18:$C$157=$AP75)*('Port Linkages'!$D$18:$D$157=IF($AO75="Yes",$AQ75,$AS75))*('Port Linkages'!$A$18:$A$157&lt;=$C75))))</f>
        <v>Singapore</v>
      </c>
      <c r="MZ75" s="75" t="str">
        <f t="array" ref="MZ75">INDEX('Port Linkages'!$AY$18:$AY$157,MATCH(2,1/(('Port Linkages'!$C$18:$C$157=$AP75)*('Port Linkages'!$D$18:$D$157=IF($AO75="Yes",$AQ75,$AS75))*('Port Linkages'!$A$18:$A$157&lt;=$C75))))</f>
        <v>VLSFO</v>
      </c>
      <c r="NA75" s="75" t="str">
        <f t="array" ref="NA75">INDEX('Port Linkages'!$AZ$18:$AZ$157,MATCH(2,1/(('Port Linkages'!$C$18:$C$157=$AP75)*('Port Linkages'!$D$18:$D$157=IF($AO75="Yes",$AQ75,$AS75))*('Port Linkages'!$A$18:$A$157&lt;=$C75))))</f>
        <v>MGO_Regular</v>
      </c>
      <c r="NB75" s="75" t="str">
        <f t="array" ref="NB75">INDEX('Port Linkages'!$BA$18:$BA$157,MATCH(2,1/(('Port Linkages'!$C$18:$C$157=$AP75)*('Port Linkages'!$D$18:$D$157=IF($AO75="Yes",$AQ75,$AS75))*('Port Linkages'!$A$18:$A$157&lt;=$C75))))</f>
        <v>none</v>
      </c>
      <c r="ND75" s="25" t="e">
        <f t="array" aca="1" ref="ND75" ca="1">INDEX('Ship Fuel Prices'!$F$5:$F$1004,MATCH(2,1/(('Ship Fuel Prices'!$E$5:$E$1004=_xlfn.IFS(KS75="Handysize",Main!MY75,KS75="Supramax",MR75,KS75="Panamax",MK75,KS75="NeoPanamax",MD75,KS75="Suezmax",LW75,KS75="Capesize",LP75,KS75="VLOC",LI75))*('Ship Fuel Prices'!$D$5:$D$1004&lt;=Main!$C75))))</f>
        <v>#N/A</v>
      </c>
      <c r="NE75" s="25" t="e">
        <f t="array" aca="1" ref="NE75" ca="1">INDEX('Ship Fuel Prices'!$G$5:$G$1004,MATCH(2,1/(('Ship Fuel Prices'!$E$5:$E$1004=_xlfn.IFS(KS75="Handysize",Main!MY75,KS75="Supramax",MR75,KS75="Panamax",MK75,KS75="NeoPanamax",MD75,KS75="Suezmax",LW75,KS75="Capesize",LP75,KS75="VLOC",LI75))*('Ship Fuel Prices'!$D$5:$D$1004&lt;=Main!$C75))))</f>
        <v>#N/A</v>
      </c>
      <c r="NF75" s="25" t="e">
        <f t="array" aca="1" ref="NF75" ca="1">INDEX('Ship Fuel Prices'!$H$5:$H$1004,MATCH(2,1/(('Ship Fuel Prices'!$E$5:$E$1004=_xlfn.IFS(KS75="Handysize",Main!MY75,KS75="Supramax",MR75,KS75="Panamax",MK75,KS75="NeoPanamax",MD75,KS75="Suezmax",LW75,KS75="Capesize",LP75,KS75="VLOC",LI75))*('Ship Fuel Prices'!$D$5:$D$1004&lt;=Main!$C75))))</f>
        <v>#N/A</v>
      </c>
      <c r="NG75" s="25" t="e">
        <f t="array" aca="1" ref="NG75" ca="1">INDEX('Ship Fuel Prices'!$I$5:$I$1004,MATCH(2,1/(('Ship Fuel Prices'!$E$5:$E$1004=_xlfn.IFS(KS75="Handysize",Main!MY75,KS75="Supramax",MR75,KS75="Panamax",MK75,KS75="NeoPanamax",MD75,KS75="Suezmax",LW75,KS75="Capesize",LP75,KS75="VLOC",LI75))*('Ship Fuel Prices'!$D$5:$D$1004&lt;=Main!$C75))))</f>
        <v>#N/A</v>
      </c>
      <c r="NH75" s="25" t="e">
        <f t="array" aca="1" ref="NH75" ca="1">INDEX('Ship Fuel Prices'!$J$5:$J$1004,MATCH(2,1/(('Ship Fuel Prices'!$E$5:$E$1004=_xlfn.IFS(KS75="Handysize",Main!MY75,KS75="Supramax",MR75,KS75="Panamax",MK75,KS75="NeoPanamax",MD75,KS75="Suezmax",LW75,KS75="Capesize",LP75,KS75="VLOC",LI75))*('Ship Fuel Prices'!$D$5:$D$1004&lt;=Main!$C75))))</f>
        <v>#N/A</v>
      </c>
      <c r="NJ75" s="75">
        <f t="array" ref="NJ75">INDEX('China n Importing Ports'!$E$20:$E$41,MATCH(2,1/(('China n Importing Ports'!$D$20:$D$41&lt;=$C75)*('China n Importing Ports'!$C$20:$C$41=IF($AO75="Yes",$AQ75,$AS75)))))</f>
        <v>42500</v>
      </c>
      <c r="NK75" s="75">
        <f t="array" ref="NK75">INDEX('China n Importing Ports'!$F$20:$F$41,MATCH(2,1/(('China n Importing Ports'!$D$20:$D$41&lt;=$C75)*('China n Importing Ports'!$C$20:$C$41=IF($AO75="Yes",$AQ75,$AS75)))))</f>
        <v>42500</v>
      </c>
      <c r="NL75" s="75">
        <f t="array" ref="NL75">INDEX('China n Importing Ports'!$G$20:$G$41,MATCH(2,1/(('China n Importing Ports'!$D$20:$D$41&lt;=$C75)*('China n Importing Ports'!$C$20:$C$41=IF($AO75="Yes",$AQ75,$AS75)))))</f>
        <v>42500</v>
      </c>
      <c r="NM75" s="75">
        <f t="array" ref="NM75">INDEX('China n Importing Ports'!$H$20:$H$41,MATCH(2,1/(('China n Importing Ports'!$D$20:$D$41&lt;=$C75)*('China n Importing Ports'!$C$20:$C$41=IF($AO75="Yes",$AQ75,$AS75)))))</f>
        <v>42500</v>
      </c>
      <c r="NN75" s="75">
        <f t="array" ref="NN75">INDEX('China n Importing Ports'!$I$20:$I$41,MATCH(2,1/(('China n Importing Ports'!$D$20:$D$41&lt;=$C75)*('China n Importing Ports'!$C$20:$C$41=IF($AO75="Yes",$AQ75,$AS75)))))</f>
        <v>42500</v>
      </c>
      <c r="NO75" s="75">
        <f t="array" ref="NO75">INDEX('China n Importing Ports'!$J$20:$J$41,MATCH(2,1/(('China n Importing Ports'!$D$20:$D$41&lt;=$C75)*('China n Importing Ports'!$C$20:$C$41=IF($AO75="Yes",$AQ75,$AS75)))))</f>
        <v>42500</v>
      </c>
      <c r="NP75" s="75">
        <f t="array" ref="NP75">INDEX('China n Importing Ports'!$K$20:$K$41,MATCH(2,1/(('China n Importing Ports'!$D$20:$D$41&lt;=$C75)*('China n Importing Ports'!$C$20:$C$41=IF($AO75="Yes",$AQ75,$AS75)))))</f>
        <v>42500</v>
      </c>
      <c r="NQ75" s="75" t="str">
        <f t="array" ref="NQ75">INDEX('China n Importing Ports'!$L$20:$L$41,MATCH(2,1/(('China n Importing Ports'!$D$20:$D$41&lt;=$C75)*('China n Importing Ports'!$C$20:$C$41=IF($AO75="Yes",$AQ75,$AS75)))))</f>
        <v>RMB</v>
      </c>
      <c r="NR75" s="75">
        <f t="array" ref="NR75">INDEX('China n Importing Ports'!$M$20:$M$41,MATCH(2,1/(('China n Importing Ports'!$D$20:$D$41&lt;=$C75)*('China n Importing Ports'!$C$20:$C$41=IF($AO75="Yes",$AQ75,$AS75)))))</f>
        <v>12342</v>
      </c>
      <c r="NS75" s="75">
        <f t="array" ref="NS75">INDEX('China n Importing Ports'!$N$20:$N$41,MATCH(2,1/(('China n Importing Ports'!$D$20:$D$41&lt;=$C75)*('China n Importing Ports'!$C$20:$C$41=IF($AO75="Yes",$AQ75,$AS75)))))</f>
        <v>0</v>
      </c>
      <c r="NT75" s="75">
        <f t="array" ref="NT75">INDEX('China n Importing Ports'!$O$20:$O$41,MATCH(2,1/(('China n Importing Ports'!$D$20:$D$41&lt;=$C75)*('China n Importing Ports'!$C$20:$C$41=IF($AO75="Yes",$AQ75,$AS75)))))</f>
        <v>0</v>
      </c>
      <c r="NU75" s="136">
        <f t="array" ref="NU75">INDEX('China n Importing Ports'!$P$20:$P$41,MATCH(2,1/(('China n Importing Ports'!$D$20:$D$41&lt;=$C75)*('China n Importing Ports'!$C$20:$C$41=IF($AO75="Yes",$AQ75,$AS75)))))</f>
        <v>2.64</v>
      </c>
      <c r="NV75" s="136">
        <f t="array" ref="NV75">INDEX('China n Importing Ports'!$Q$20:$Q$41,MATCH(2,1/(('China n Importing Ports'!$D$20:$D$41&lt;=$C75)*('China n Importing Ports'!$C$20:$C$41=IF($AO75="Yes",$AQ75,$AS75)))))</f>
        <v>0</v>
      </c>
      <c r="NW75" s="136">
        <f t="array" ref="NW75">INDEX('China n Importing Ports'!$R$20:$R$41,MATCH(2,1/(('China n Importing Ports'!$D$20:$D$41&lt;=$C75)*('China n Importing Ports'!$C$20:$C$41=IF($AO75="Yes",$AQ75,$AS75)))))</f>
        <v>0</v>
      </c>
      <c r="NX75" s="136">
        <f t="array" ref="NX75">INDEX('China n Importing Ports'!$S$20:$S$41,MATCH(2,1/(('China n Importing Ports'!$D$20:$D$41&lt;=$C75)*('China n Importing Ports'!$C$20:$C$41=IF($AO75="Yes",$AQ75,$AS75)))))</f>
        <v>4.53</v>
      </c>
      <c r="NY75" s="136">
        <f t="array" ref="NY75">INDEX('China n Importing Ports'!$T$20:$T$41,MATCH(2,1/(('China n Importing Ports'!$D$20:$D$41&lt;=$C75)*('China n Importing Ports'!$C$20:$C$41=IF($AO75="Yes",$AQ75,$AS75)))))</f>
        <v>0.36699999999999999</v>
      </c>
      <c r="NZ75" s="136">
        <f t="array" ref="NZ75">INDEX('China n Importing Ports'!$U$20:$U$41,MATCH(2,1/(('China n Importing Ports'!$D$20:$D$41&lt;=$C75)*('China n Importing Ports'!$C$20:$C$41=IF($AO75="Yes",$AQ75,$AS75)))))</f>
        <v>0.05</v>
      </c>
      <c r="OA75" s="136">
        <f t="array" ref="OA75">INDEX('China n Importing Ports'!$V$20:$V$41,MATCH(2,1/(('China n Importing Ports'!$D$20:$D$41&lt;=$C75)*('China n Importing Ports'!$C$20:$C$41=IF($AO75="Yes",$AQ75,$AS75)))))</f>
        <v>0</v>
      </c>
      <c r="OB75" s="136">
        <f t="array" ref="OB75">INDEX('China n Importing Ports'!$W$20:$W$41,MATCH(2,1/(('China n Importing Ports'!$D$20:$D$41&lt;=$C75)*('China n Importing Ports'!$C$20:$C$41=IF($AO75="Yes",$AQ75,$AS75)))))</f>
        <v>0</v>
      </c>
      <c r="OC75" s="136">
        <f t="array" ref="OC75">INDEX('China n Importing Ports'!$X$20:$X$41,MATCH(2,1/(('China n Importing Ports'!$D$20:$D$41&lt;=$C75)*('China n Importing Ports'!$C$20:$C$41=IF($AO75="Yes",$AQ75,$AS75)))))</f>
        <v>0</v>
      </c>
      <c r="OD75" s="136">
        <f t="array" ref="OD75">INDEX('China n Importing Ports'!$Y$20:$Y$41,MATCH(2,1/(('China n Importing Ports'!$D$20:$D$41&lt;=$C75)*('China n Importing Ports'!$C$20:$C$41=IF($AO75="Yes",$AQ75,$AS75)))))</f>
        <v>197</v>
      </c>
      <c r="OE75" s="136">
        <f t="array" ref="OE75">INDEX('China n Importing Ports'!$Z$20:$Z$41,MATCH(2,1/(('China n Importing Ports'!$D$20:$D$41&lt;=$C75)*('China n Importing Ports'!$C$20:$C$41=IF($AO75="Yes",$AQ75,$AS75)))))</f>
        <v>0</v>
      </c>
      <c r="OF75" s="136">
        <f t="array" ref="OF75">INDEX('China n Importing Ports'!$AA$20:$AA$41,MATCH(2,1/(('China n Importing Ports'!$D$20:$D$41&lt;=$C75)*('China n Importing Ports'!$C$20:$C$41=IF($AO75="Yes",$AQ75,$AS75)))))</f>
        <v>0</v>
      </c>
      <c r="OH75" s="75" t="e">
        <f t="array" aca="1" ref="OH75" ca="1">INDEX(Canals!$G$24:$G$29,MATCH(2,1/((Canals!$F$24:$F$29&lt;=$C75)*(Canals!$G$24:$G$29=_xlfn.IFS(KS75="Handysize",Main!NB75,KS75="Supramax",MU75,KS75="Panamax",MN75,KS75="NeoPanamax",MG75,KS75="Suezmax",LZ75,KS75="Capesize",LS75,KS75="VLOC",LL75)))))</f>
        <v>#N/A</v>
      </c>
      <c r="OI75" s="75" t="e">
        <f t="array" aca="1" ref="OI75" ca="1">INDEX(Canals!$H$24:$H$29,MATCH(2,1/((Canals!$F$24:$F$29&lt;=$C75)*(Canals!$G$24:$G$29=_xlfn.IFS(KS75="Handysize",Main!NB75,KS75="Supramax",MU75,KS75="Panamax",MN75,KS75="NeoPanamax",MG75,KS75="Suezmax",LZ75,KS75="Capesize",LS75,KS75="VLOC",LL75)))))</f>
        <v>#N/A</v>
      </c>
      <c r="OJ75" s="75" t="e">
        <f t="array" aca="1" ref="OJ75" ca="1">INDEX(Canals!$I$24:$I$29,MATCH(2,1/((Canals!$F$24:$F$29&lt;=$C75)*(Canals!$G$24:$G$29=_xlfn.IFS(KS75="Handysize",Main!NB75,KS75="Supramax",MU75,KS75="Panamax",MN75,KS75="NeoPanamax",MG75,KS75="Suezmax",LZ75,KS75="Capesize",LS75,KS75="VLOC",LL75)))))</f>
        <v>#N/A</v>
      </c>
      <c r="OK75" s="75" t="e">
        <f t="array" aca="1" ref="OK75" ca="1">INDEX(Canals!$J$24:$J$29,MATCH(2,1/((Canals!$F$24:$F$29&lt;=$C75)*(Canals!$G$24:$G$29=_xlfn.IFS(KS75="Handysize",Main!NB75,KS75="Supramax",MU75,KS75="Panamax",MN75,KS75="NeoPanamax",MG75,KS75="Suezmax",LZ75,KS75="Capesize",LS75,KS75="VLOC",LL75)))))</f>
        <v>#N/A</v>
      </c>
      <c r="OL75" s="75" t="e">
        <f t="array" aca="1" ref="OL75" ca="1">INDEX(Canals!$K$24:$K$29,MATCH(2,1/((Canals!$F$24:$F$29&lt;=$C75)*(Canals!$G$24:$G$29=_xlfn.IFS(KS75="Handysize",Main!NB75,KS75="Supramax",MU75,KS75="Panamax",MN75,KS75="NeoPanamax",MG75,KS75="Suezmax",LZ75,KS75="Capesize",LS75,KS75="VLOC",LL75)))))</f>
        <v>#N/A</v>
      </c>
      <c r="OM75" s="75" t="e">
        <f t="array" aca="1" ref="OM75" ca="1">INDEX(Canals!$L$24:$L$29,MATCH(2,1/((Canals!$F$24:$F$29&lt;=$C75)*(Canals!$G$24:$G$29=_xlfn.IFS(KS75="Handysize",Main!NB75,KS75="Supramax",MU75,KS75="Panamax",MN75,KS75="NeoPanamax",MG75,KS75="Suezmax",LZ75,KS75="Capesize",LS75,KS75="VLOC",LL75)))))</f>
        <v>#N/A</v>
      </c>
      <c r="ON75" s="75" t="e">
        <f t="array" aca="1" ref="ON75" ca="1">INDEX(Canals!$M$24:$M$29,MATCH(2,1/((Canals!$F$24:$F$29&lt;=$C75)*(Canals!$G$24:$G$29=_xlfn.IFS(KS75="Handysize",Main!NB75,KS75="Supramax",MU75,KS75="Panamax",MN75,KS75="NeoPanamax",MG75,KS75="Suezmax",LZ75,KS75="Capesize",LS75,KS75="VLOC",LL75)))))</f>
        <v>#N/A</v>
      </c>
      <c r="OO75" s="75" t="e">
        <f t="array" aca="1" ref="OO75" ca="1">INDEX(Canals!$N$24:$N$29,MATCH(2,1/((Canals!$F$24:$F$29&lt;=$C75)*(Canals!$G$24:$G$29=_xlfn.IFS(KS75="Handysize",Main!NB75,KS75="Supramax",MU75,KS75="Panamax",MN75,KS75="NeoPanamax",MG75,KS75="Suezmax",LZ75,KS75="Capesize",LS75,KS75="VLOC",LL75)))))</f>
        <v>#N/A</v>
      </c>
      <c r="OP75" s="75" t="e">
        <f t="array" aca="1" ref="OP75" ca="1">INDEX(Canals!$O$24:$O$29,MATCH(2,1/((Canals!$F$24:$F$29&lt;=$C75)*(Canals!$G$24:$G$29=_xlfn.IFS(KS75="Handysize",Main!NB75,KS75="Supramax",MU75,KS75="Panamax",MN75,KS75="NeoPanamax",MG75,KS75="Suezmax",LZ75,KS75="Capesize",LS75,KS75="VLOC",LL75)))))</f>
        <v>#N/A</v>
      </c>
      <c r="OQ75" s="75" t="e">
        <f t="array" aca="1" ref="OQ75" ca="1">INDEX(Canals!$P$24:$P$29,MATCH(2,1/((Canals!$F$24:$F$29&lt;=$C75)*(Canals!$G$24:$G$29=_xlfn.IFS(KS75="Handysize",Main!NB75,KS75="Supramax",MU75,KS75="Panamax",MN75,KS75="NeoPanamax",MG75,KS75="Suezmax",LZ75,KS75="Capesize",LS75,KS75="VLOC",LL75)))))</f>
        <v>#N/A</v>
      </c>
      <c r="OR75" s="75" t="e">
        <f t="array" aca="1" ref="OR75" ca="1">INDEX(Canals!$Q$24:$Q$29,MATCH(2,1/((Canals!$F$24:$F$29&lt;=$C75)*(Canals!$G$24:$G$29=_xlfn.IFS(KS75="Handysize",Main!NB75,KS75="Supramax",MU75,KS75="Panamax",MN75,KS75="NeoPanamax",MG75,KS75="Suezmax",LZ75,KS75="Capesize",LS75,KS75="VLOC",LL75)))))</f>
        <v>#N/A</v>
      </c>
      <c r="OS75" s="75" t="e">
        <f t="array" aca="1" ref="OS75" ca="1">INDEX(Canals!$R$24:$R$29,MATCH(2,1/((Canals!$F$24:$F$29&lt;=$C75)*(Canals!$G$24:$G$29=_xlfn.IFS(KS75="Handysize",Main!NB75,KS75="Supramax",MU75,KS75="Panamax",MN75,KS75="NeoPanamax",MG75,KS75="Suezmax",LZ75,KS75="Capesize",LS75,KS75="VLOC",LL75)))))</f>
        <v>#N/A</v>
      </c>
      <c r="OT75" s="136" t="e">
        <f t="array" aca="1" ref="OT75" ca="1">INDEX(Canals!$S$24:$S$29,MATCH(2,1/((Canals!$F$24:$F$29&lt;=$C75)*(Canals!$G$24:$G$29=_xlfn.IFS(KS75="Handysize",Main!NB75,KS75="Supramax",MU75,KS75="Panamax",MN75,KS75="NeoPanamax",MG75,KS75="Suezmax",LZ75,KS75="Capesize",LS75,KS75="VLOC",LL75)))))</f>
        <v>#N/A</v>
      </c>
      <c r="OU75" s="136" t="e">
        <f t="array" aca="1" ref="OU75" ca="1">INDEX(Canals!$T$24:$T$29,MATCH(2,1/((Canals!$F$24:$F$29&lt;=$C75)*(Canals!$G$24:$G$29=_xlfn.IFS(KS75="Handysize",Main!NB75,KS75="Supramax",MU75,KS75="Panamax",MN75,KS75="NeoPanamax",MG75,KS75="Suezmax",LZ75,KS75="Capesize",LS75,KS75="VLOC",LL75)))))</f>
        <v>#N/A</v>
      </c>
      <c r="OV75" s="136" t="e">
        <f t="array" aca="1" ref="OV75" ca="1">INDEX(Canals!$U$24:$U$29,MATCH(2,1/((Canals!$F$24:$F$29&lt;=$C75)*(Canals!$G$24:$G$29=_xlfn.IFS(KS75="Handysize",Main!NB75,KS75="Supramax",MU75,KS75="Panamax",MN75,KS75="NeoPanamax",MG75,KS75="Suezmax",LZ75,KS75="Capesize",LS75,KS75="VLOC",LL75)))))</f>
        <v>#N/A</v>
      </c>
      <c r="OW75" s="136" t="e">
        <f t="array" aca="1" ref="OW75" ca="1">INDEX(Canals!$V$24:$V$29,MATCH(2,1/((Canals!$F$24:$F$29&lt;=$C75)*(Canals!$G$24:$G$29=_xlfn.IFS(KS75="Handysize",Main!NB75,KS75="Supramax",MU75,KS75="Panamax",MN75,KS75="NeoPanamax",MG75,KS75="Suezmax",LZ75,KS75="Capesize",LS75,KS75="VLOC",LL75)))))</f>
        <v>#N/A</v>
      </c>
      <c r="OX75" s="136" t="e">
        <f t="array" aca="1" ref="OX75" ca="1">INDEX(Canals!$W$24:$W$29,MATCH(2,1/((Canals!$F$24:$F$29&lt;=$C75)*(Canals!$G$24:$G$29=_xlfn.IFS(KS75="Handysize",Main!NB75,KS75="Supramax",MU75,KS75="Panamax",MN75,KS75="NeoPanamax",MG75,KS75="Suezmax",LZ75,KS75="Capesize",LS75,KS75="VLOC",LL75)))))</f>
        <v>#N/A</v>
      </c>
      <c r="OY75" s="136" t="e">
        <f t="array" aca="1" ref="OY75" ca="1">INDEX(Canals!$X$24:$X$29,MATCH(2,1/((Canals!$F$24:$F$29&lt;=$C75)*(Canals!$G$24:$G$29=_xlfn.IFS(KS75="Handysize",Main!NB75,KS75="Supramax",MU75,KS75="Panamax",MN75,KS75="NeoPanamax",MG75,KS75="Suezmax",LZ75,KS75="Capesize",LS75,KS75="VLOC",LL75)))))</f>
        <v>#N/A</v>
      </c>
      <c r="OZ75" s="136" t="e">
        <f t="array" aca="1" ref="OZ75" ca="1">INDEX(Canals!$Y$24:$Y$29,MATCH(2,1/((Canals!$F$24:$F$29&lt;=$C75)*(Canals!$G$24:$G$29=_xlfn.IFS(KS75="Handysize",Main!NB75,KS75="Supramax",MU75,KS75="Panamax",MN75,KS75="NeoPanamax",MG75,KS75="Suezmax",LZ75,KS75="Capesize",LS75,KS75="VLOC",LL75)))))</f>
        <v>#N/A</v>
      </c>
      <c r="PA75" s="136" t="e">
        <f t="array" aca="1" ref="PA75" ca="1">INDEX(Canals!$Z$24:$Z$29,MATCH(2,1/((Canals!$F$24:$F$29&lt;=$C75)*(Canals!$G$24:$G$29=_xlfn.IFS(KS75="Handysize",Main!NB75,KS75="Supramax",MU75,KS75="Panamax",MN75,KS75="NeoPanamax",MG75,KS75="Suezmax",LZ75,KS75="Capesize",LS75,KS75="VLOC",LL75)))))</f>
        <v>#N/A</v>
      </c>
      <c r="PB75" s="136" t="e">
        <f t="array" aca="1" ref="PB75" ca="1">INDEX(Canals!$AA$24:$AA$29,MATCH(2,1/((Canals!$F$24:$F$29&lt;=$C75)*(Canals!$G$24:$G$29=_xlfn.IFS(KS75="Handysize",Main!NB75,KS75="Supramax",MU75,KS75="Panamax",MN75,KS75="NeoPanamax",MG75,KS75="Suezmax",LZ75,KS75="Capesize",LS75,KS75="VLOC",LL75)))))</f>
        <v>#N/A</v>
      </c>
      <c r="PC75" s="136" t="e">
        <f t="array" aca="1" ref="PC75" ca="1">INDEX(Canals!$AB$24:$AB$29,MATCH(2,1/((Canals!$F$24:$F$29&lt;=$C75)*(Canals!$G$24:$G$29=_xlfn.IFS(KS75="Handysize",Main!NB75,KS75="Supramax",MU75,KS75="Panamax",MN75,KS75="NeoPanamax",MG75,KS75="Suezmax",LZ75,KS75="Capesize",LS75,KS75="VLOC",LL75)))))</f>
        <v>#N/A</v>
      </c>
      <c r="PD75" s="75" t="e">
        <f t="array" aca="1" ref="PD75" ca="1">INDEX(Canals!$AC$24:$AC$29,MATCH(2,1/((Canals!$F$24:$F$29&lt;=$C75)*(Canals!$G$24:$G$29=_xlfn.IFS(KS75="Handysize",Main!NB75,KS75="Supramax",MU75,KS75="Panamax",MN75,KS75="NeoPanamax",MG75,KS75="Suezmax",LZ75,KS75="Capesize",LS75,KS75="VLOC",LL75)))))</f>
        <v>#N/A</v>
      </c>
      <c r="PE75" s="75" t="e">
        <f t="array" aca="1" ref="PE75" ca="1">INDEX(Canals!$AD$24:$AD$29,MATCH(2,1/((Canals!$F$24:$F$29&lt;=$C75)*(Canals!$G$24:$G$29=_xlfn.IFS(KS75="Handysize",Main!NB75,KS75="Supramax",MU75,KS75="Panamax",MN75,KS75="NeoPanamax",MG75,KS75="Suezmax",LZ75,KS75="Capesize",LS75,KS75="VLOC",LL75)))))</f>
        <v>#N/A</v>
      </c>
      <c r="PF75" s="75" t="e">
        <f t="array" aca="1" ref="PF75" ca="1">INDEX(Canals!$AE$24:$AE$29,MATCH(2,1/((Canals!$F$24:$F$29&lt;=$C75)*(Canals!$G$24:$G$29=_xlfn.IFS(KS75="Handysize",Main!NB75,KS75="Supramax",MU75,KS75="Panamax",MN75,KS75="NeoPanamax",MG75,KS75="Suezmax",LZ75,KS75="Capesize",LS75,KS75="VLOC",LL75)))))</f>
        <v>#N/A</v>
      </c>
      <c r="PG75" s="75" t="e">
        <f t="array" aca="1" ref="PG75" ca="1">INDEX(Canals!$AF$24:$AF$29,MATCH(2,1/((Canals!$F$24:$F$29&lt;=$C75)*(Canals!$G$24:$G$29=_xlfn.IFS(KS75="Handysize",Main!NB75,KS75="Supramax",MU75,KS75="Panamax",MN75,KS75="NeoPanamax",MG75,KS75="Suezmax",LZ75,KS75="Capesize",LS75,KS75="VLOC",LL75)))))</f>
        <v>#N/A</v>
      </c>
      <c r="PH75" s="75" t="e">
        <f t="array" aca="1" ref="PH75" ca="1">INDEX(Canals!$AG$24:$AG$29,MATCH(2,1/((Canals!$F$24:$F$29&lt;=$C75)*(Canals!$G$24:$G$29=_xlfn.IFS(KS75="Handysize",Main!NB75,KS75="Supramax",MU75,KS75="Panamax",MN75,KS75="NeoPanamax",MG75,KS75="Suezmax",LZ75,KS75="Capesize",LS75,KS75="VLOC",LL75)))))</f>
        <v>#N/A</v>
      </c>
      <c r="PI75" s="75" t="e">
        <f t="array" aca="1" ref="PI75" ca="1">INDEX(Canals!$AH$24:$AH$29,MATCH(2,1/((Canals!$F$24:$F$29&lt;=$C75)*(Canals!$G$24:$G$29=_xlfn.IFS(KS75="Handysize",Main!NB75,KS75="Supramax",MU75,KS75="Panamax",MN75,KS75="NeoPanamax",MG75,KS75="Suezmax",LZ75,KS75="Capesize",LS75,KS75="VLOC",LL75)))))</f>
        <v>#N/A</v>
      </c>
      <c r="PJ75" s="75" t="e">
        <f t="array" aca="1" ref="PJ75" ca="1">INDEX(Canals!$AI$24:$AI$29,MATCH(2,1/((Canals!$F$24:$F$29&lt;=$C75)*(Canals!$G$24:$G$29=_xlfn.IFS(KS75="Handysize",Main!NB75,KS75="Supramax",MU75,KS75="Panamax",MN75,KS75="NeoPanamax",MG75,KS75="Suezmax",LZ75,KS75="Capesize",LS75,KS75="VLOC",LL75)))))</f>
        <v>#N/A</v>
      </c>
      <c r="PK75" s="75" t="e">
        <f t="array" aca="1" ref="PK75" ca="1">INDEX(Canals!$AJ$24:$AJ$29,MATCH(2,1/((Canals!$F$24:$F$29&lt;=$C75)*(Canals!$G$24:$G$29=_xlfn.IFS(KS75="Handysize",Main!NB75,KS75="Supramax",MU75,KS75="Panamax",MN75,KS75="NeoPanamax",MG75,KS75="Suezmax",LZ75,KS75="Capesize",LS75,KS75="VLOC",LL75)))))</f>
        <v>#N/A</v>
      </c>
      <c r="PL75" s="75" t="e">
        <f t="array" aca="1" ref="PL75" ca="1">INDEX(Canals!$AK$24:$AK$29,MATCH(2,1/((Canals!$F$24:$F$29&lt;=$C75)*(Canals!$G$24:$G$29=_xlfn.IFS(KS75="Handysize",Main!NB75,KS75="Supramax",MU75,KS75="Panamax",MN75,KS75="NeoPanamax",MG75,KS75="Suezmax",LZ75,KS75="Capesize",LS75,KS75="VLOC",LL75)))))</f>
        <v>#N/A</v>
      </c>
      <c r="PM75" s="136" t="e">
        <f t="array" aca="1" ref="PM75" ca="1">INDEX(Canals!$AL$24:$AL$29,MATCH(2,1/((Canals!$F$24:$F$29&lt;=$C75)*(Canals!$G$24:$G$29=_xlfn.IFS(KS75="Handysize",Main!NB75,KS75="Supramax",MU75,KS75="Panamax",MN75,KS75="NeoPanamax",MG75,KS75="Suezmax",LZ75,KS75="Capesize",LS75,KS75="VLOC",LL75)))))</f>
        <v>#N/A</v>
      </c>
      <c r="PN75" s="136" t="e">
        <f t="array" aca="1" ref="PN75" ca="1">INDEX(Canals!$AM$24:$AM$29,MATCH(2,1/((Canals!$F$24:$F$29&lt;=$C75)*(Canals!$G$24:$G$29=_xlfn.IFS(KS75="Handysize",Main!NB75,KS75="Supramax",MU75,KS75="Panamax",MN75,KS75="NeoPanamax",MG75,KS75="Suezmax",LZ75,KS75="Capesize",LS75,KS75="VLOC",LL75)))))</f>
        <v>#N/A</v>
      </c>
      <c r="PO75" s="136" t="e">
        <f t="array" aca="1" ref="PO75" ca="1">INDEX(Canals!$AN$24:$AN$29,MATCH(2,1/((Canals!$F$24:$F$29&lt;=$C75)*(Canals!$G$24:$G$29=_xlfn.IFS(KS75="Handysize",Main!NB75,KS75="Supramax",MU75,KS75="Panamax",MN75,KS75="NeoPanamax",MG75,KS75="Suezmax",LZ75,KS75="Capesize",LS75,KS75="VLOC",LL75)))))</f>
        <v>#N/A</v>
      </c>
      <c r="PP75" s="136" t="e">
        <f t="array" aca="1" ref="PP75" ca="1">INDEX(Canals!$AO$24:$AO$29,MATCH(2,1/((Canals!$F$24:$F$29&lt;=$C75)*(Canals!$G$24:$G$29=_xlfn.IFS(KS75="Handysize",Main!NB75,KS75="Supramax",MU75,KS75="Panamax",MN75,KS75="NeoPanamax",MG75,KS75="Suezmax",LZ75,KS75="Capesize",LS75,KS75="VLOC",LL75)))))</f>
        <v>#N/A</v>
      </c>
      <c r="PQ75" s="136" t="e">
        <f t="array" aca="1" ref="PQ75" ca="1">INDEX(Canals!$AP$24:$AP$29,MATCH(2,1/((Canals!$F$24:$F$29&lt;=$C75)*(Canals!$G$24:$G$29=_xlfn.IFS(KS75="Handysize",Main!NB75,KS75="Supramax",MU75,KS75="Panamax",MN75,KS75="NeoPanamax",MG75,KS75="Suezmax",LZ75,KS75="Capesize",LS75,KS75="VLOC",LL75)))))</f>
        <v>#N/A</v>
      </c>
      <c r="PR75" s="136" t="e">
        <f t="array" aca="1" ref="PR75" ca="1">INDEX(Canals!$AQ$24:$AQ$29,MATCH(2,1/((Canals!$F$24:$F$29&lt;=$C75)*(Canals!$G$24:$G$29=_xlfn.IFS(KS75="Handysize",Main!NB75,KS75="Supramax",MU75,KS75="Panamax",MN75,KS75="NeoPanamax",MG75,KS75="Suezmax",LZ75,KS75="Capesize",LS75,KS75="VLOC",LL75)))))</f>
        <v>#N/A</v>
      </c>
      <c r="PS75" s="136" t="e">
        <f t="array" aca="1" ref="PS75" ca="1">INDEX(Canals!$AR$24:$AR$29,MATCH(2,1/((Canals!$F$24:$F$29&lt;=$C75)*(Canals!$G$24:$G$29=_xlfn.IFS(KS75="Handysize",Main!NB75,KS75="Supramax",MU75,KS75="Panamax",MN75,KS75="NeoPanamax",MG75,KS75="Suezmax",LZ75,KS75="Capesize",LS75,KS75="VLOC",LL75)))))</f>
        <v>#N/A</v>
      </c>
      <c r="PT75" s="136" t="e">
        <f t="array" aca="1" ref="PT75" ca="1">INDEX(Canals!$AS$24:$AS$29,MATCH(2,1/((Canals!$F$24:$F$29&lt;=$C75)*(Canals!$G$24:$G$29=_xlfn.IFS(KS75="Handysize",Main!NB75,KS75="Supramax",MU75,KS75="Panamax",MN75,KS75="NeoPanamax",MG75,KS75="Suezmax",LZ75,KS75="Capesize",LS75,KS75="VLOC",LL75)))))</f>
        <v>#N/A</v>
      </c>
      <c r="PU75" s="136" t="e">
        <f t="array" aca="1" ref="PU75" ca="1">INDEX(Canals!$AT$24:$AT$29,MATCH(2,1/((Canals!$F$24:$F$29&lt;=$C75)*(Canals!$G$24:$G$29=_xlfn.IFS(KS75="Handysize",Main!NB75,KS75="Supramax",MU75,KS75="Panamax",MN75,KS75="NeoPanamax",MG75,KS75="Suezmax",LZ75,KS75="Capesize",LS75,KS75="VLOC",LL75)))))</f>
        <v>#N/A</v>
      </c>
      <c r="PV75" s="136" t="e">
        <f t="array" aca="1" ref="PV75" ca="1">INDEX(Canals!$AU$24:$AU$29,MATCH(2,1/((Canals!$F$24:$F$29&lt;=$C75)*(Canals!$G$24:$G$29=_xlfn.IFS(KS75="Handysize",Main!NB75,KS75="Supramax",MU75,KS75="Panamax",MN75,KS75="NeoPanamax",MG75,KS75="Suezmax",LZ75,KS75="Capesize",LS75,KS75="VLOC",LL75)))))</f>
        <v>#N/A</v>
      </c>
      <c r="PW75" s="136" t="e">
        <f t="array" aca="1" ref="PW75" ca="1">INDEX(Canals!$AV$24:$AV$29,MATCH(2,1/((Canals!$F$24:$F$29&lt;=$C75)*(Canals!$G$24:$G$29=_xlfn.IFS(KS75="Handysize",Main!NB75,KS75="Supramax",MU75,KS75="Panamax",MN75,KS75="NeoPanamax",MG75,KS75="Suezmax",LZ75,KS75="Capesize",LS75,KS75="VLOC",LL75)))))</f>
        <v>#N/A</v>
      </c>
      <c r="PY75" s="75" t="e">
        <f t="array" aca="1" ref="PY75" ca="1">_xlfn.IFS(OJ75="DWT",KQ75,OJ75="NRT",KU75,OJ75="GRT",KV75)</f>
        <v>#NAME?</v>
      </c>
      <c r="PZ75" s="279" t="e">
        <f t="shared" ca="1" si="782"/>
        <v>#NAME?</v>
      </c>
      <c r="QA75" s="280" t="e">
        <f t="shared" ca="1" si="783"/>
        <v>#NAME?</v>
      </c>
      <c r="QB75" s="280" t="e">
        <f t="shared" ca="1" si="784"/>
        <v>#NAME?</v>
      </c>
      <c r="QC75" s="280" t="e">
        <f t="shared" ca="1" si="785"/>
        <v>#NAME?</v>
      </c>
      <c r="QD75" s="280" t="e">
        <f t="shared" ca="1" si="786"/>
        <v>#NAME?</v>
      </c>
      <c r="QE75" s="280" t="e">
        <f t="shared" ca="1" si="787"/>
        <v>#NAME?</v>
      </c>
      <c r="QF75" s="280" t="e">
        <f t="shared" ca="1" si="788"/>
        <v>#NAME?</v>
      </c>
      <c r="QG75" s="280" t="e">
        <f t="shared" ca="1" si="789"/>
        <v>#NAME?</v>
      </c>
      <c r="QH75" s="280" t="e">
        <f t="shared" ca="1" si="790"/>
        <v>#NAME?</v>
      </c>
      <c r="QI75" s="75">
        <f t="shared" si="791"/>
        <v>90588.23529411765</v>
      </c>
      <c r="QJ75" s="279" t="e">
        <f t="shared" ca="1" si="792"/>
        <v>#N/A</v>
      </c>
      <c r="QK75" s="280" t="e">
        <f t="shared" ca="1" si="793"/>
        <v>#N/A</v>
      </c>
      <c r="QL75" s="280" t="e">
        <f t="shared" ca="1" si="794"/>
        <v>#N/A</v>
      </c>
      <c r="QM75" s="280" t="e">
        <f t="shared" ca="1" si="795"/>
        <v>#N/A</v>
      </c>
      <c r="QN75" s="280" t="e">
        <f t="shared" ca="1" si="796"/>
        <v>#N/A</v>
      </c>
      <c r="QO75" s="280" t="e">
        <f t="shared" ca="1" si="797"/>
        <v>#N/A</v>
      </c>
      <c r="QP75" s="280" t="e">
        <f t="shared" ca="1" si="798"/>
        <v>#N/A</v>
      </c>
      <c r="QQ75" s="280" t="e">
        <f t="shared" ca="1" si="799"/>
        <v>#N/A</v>
      </c>
      <c r="QR75" s="280" t="e">
        <f t="shared" ca="1" si="800"/>
        <v>#N/A</v>
      </c>
      <c r="QT75" s="75" t="e">
        <f t="array" aca="1" ref="QT75" ca="1">_xlfn.IFS(KS75="Handysize",Main!MV75,KS75="Supramax",MO75,KS75="Panamax",MH75,KS75="NeoPanamax",MA75,KS75="Suezmax",LT75,KS75="Capesize",LM75,KS75="VLOC",LF75)*$JI75</f>
        <v>#NAME?</v>
      </c>
      <c r="QU75" s="274" t="e">
        <f t="array" aca="1" ref="QU75" ca="1">_xlfn.IFS(KS75="Handysize",Main!MW75,KS75="Supramax",MP75,KS75="Panamax",MI75,KS75="NeoPanamax",MB75,KS75="Suezmax",LU75,KS75="Capesize",LN75,KS75="VLOC",LG75)*$JI75</f>
        <v>#NAME?</v>
      </c>
      <c r="QV75" s="71" t="e">
        <f t="array" aca="1" ref="QV75" ca="1">_xlfn.IFS(KS75="Handysize",Main!KX75,KS75="Supramax",KY75,KS75="Panamax",KZ75,KS75="NeoPanamax",LA75,KS75="Suezmax",LB75,KS75="Capesize",LC75,KS75="VLOC",LD75)</f>
        <v>#NAME?</v>
      </c>
      <c r="QW75" s="71" t="e">
        <f t="array" aca="1" ref="QW75" ca="1">_xlfn.IFS(KS75="Handysize",Main!NJ75,KS75="Supramax",NK75,KS75="Panamax",NL75,KS75="NeoPanamax",NM75,KS75="Suezmax",NN75,KS75="Capesize",NO75,KS75="VLOC",NP75)</f>
        <v>#NAME?</v>
      </c>
      <c r="QX75" s="70">
        <f t="array" ref="QX75">INDEX('Ship Speeds'!$G$11:$G$1011,MATCH(2,1/(('Ship Speeds'!$E$11:$E$1011&lt;=Main!$C75)*('Ship Speeds'!$F$11:$F$1011=Main!KR75))))</f>
        <v>11</v>
      </c>
      <c r="QY75" s="403">
        <f t="shared" si="801"/>
        <v>23.70260984288554</v>
      </c>
      <c r="QZ75" s="401">
        <f t="shared" si="802"/>
        <v>2.1922895927601811</v>
      </c>
      <c r="RA75" s="70" t="e">
        <f t="shared" ca="1" si="803"/>
        <v>#NAME?</v>
      </c>
      <c r="RB75" s="70" t="e">
        <f t="shared" ca="1" si="804"/>
        <v>#NAME?</v>
      </c>
      <c r="RC75" s="70" t="e">
        <f t="shared" ca="1" si="805"/>
        <v>#NAME?</v>
      </c>
      <c r="RD75" s="70" t="e">
        <f t="shared" ca="1" si="806"/>
        <v>#NAME?</v>
      </c>
      <c r="RE75" s="72" t="e">
        <f t="shared" ca="1" si="807"/>
        <v>#N/A</v>
      </c>
      <c r="RF75" s="70" t="e">
        <f t="shared" ca="1" si="808"/>
        <v>#NAME?</v>
      </c>
      <c r="RG75" s="70" t="e">
        <f t="array" aca="1" ref="RG75" ca="1">INDEX(ND75:NH75,MATCH(_xlfn.IFS(KS75="Handysize",Main!MZ75,KS75="Supramax",MS75,KS75="Panamax",ML75,KS75="NeoPanamax",ME75,KS75="Suezmax",LX75,KS75="Capesize",LQ75,KS75="VLOC",LJ75),$ND$7:$NH$7,0))</f>
        <v>#NAME?</v>
      </c>
      <c r="RH75" s="70" t="e">
        <f t="array" aca="1" ref="RH75" ca="1">INDEX(ND75:NH75,MATCH(_xlfn.IFS(KS75="Handysize",Main!NA75,KS75="Supramax",MT75,KS75="Panamax",MM75,KS75="NeoPanamax",MF75,KS75="Suezmax",LY75,KS75="Capesize",LR75,KS75="VLOC",LK75),$ND$7:$NH$7,0))</f>
        <v>#NAME?</v>
      </c>
      <c r="RI75" s="71" t="e">
        <f t="shared" ca="1" si="809"/>
        <v>#NAME?</v>
      </c>
      <c r="RJ75" s="71" t="e">
        <f t="shared" ca="1" si="810"/>
        <v>#NAME?</v>
      </c>
      <c r="RK75" s="281">
        <f t="shared" si="811"/>
        <v>7.0834199999999994</v>
      </c>
      <c r="RL75" s="71">
        <f t="shared" si="812"/>
        <v>1742.3786814843679</v>
      </c>
      <c r="RM75" s="71" t="e">
        <f t="shared" ca="1" si="813"/>
        <v>#NAME?</v>
      </c>
      <c r="RN75" s="71" t="e">
        <f t="shared" ca="1" si="814"/>
        <v>#NAME?</v>
      </c>
      <c r="RO75" s="71">
        <f t="shared" si="815"/>
        <v>33762.355073745537</v>
      </c>
      <c r="RP75" s="71" t="e">
        <f t="shared" ca="1" si="816"/>
        <v>#NAME?</v>
      </c>
      <c r="RQ75" s="71" t="e">
        <f t="shared" ca="1" si="817"/>
        <v>#NAME?</v>
      </c>
      <c r="RR75" s="71">
        <f t="shared" si="818"/>
        <v>23969.461999406663</v>
      </c>
      <c r="RS75" s="71" t="e">
        <f t="shared" ca="1" si="819"/>
        <v>#NAME?</v>
      </c>
      <c r="RT75" s="71" t="e">
        <f t="shared" ca="1" si="820"/>
        <v>#NAME?</v>
      </c>
      <c r="RU75" s="71">
        <f t="shared" si="821"/>
        <v>0</v>
      </c>
      <c r="RV75" s="71" t="e">
        <f t="shared" ca="1" si="822"/>
        <v>#NAME?</v>
      </c>
      <c r="RW75" s="71" t="e">
        <f t="shared" ca="1" si="823"/>
        <v>#NAME?</v>
      </c>
      <c r="RX75" s="72">
        <f t="shared" si="824"/>
        <v>6313.2298390872393</v>
      </c>
      <c r="RY75" s="72" t="e">
        <f t="shared" ca="1" si="825"/>
        <v>#NAME?</v>
      </c>
      <c r="RZ75" s="71" t="e">
        <f t="shared" ca="1" si="826"/>
        <v>#NAME?</v>
      </c>
      <c r="SA75" s="71" t="e">
        <f t="array" aca="1" ref="SA75" ca="1">INDEX('Ship Time Charter Rates'!$H$22:$H$1021,MATCH(2,1/(('Ship Time Charter Rates'!$G$22:$G$1021=_xlfn.IFS(KS75="Handysize",Main!MX75,KS75="Supramax",MQ75,KS75="Panamax",MJ75,KS75="NeoPanamax",MC75,KS75="Suezmax",LV75,KS75="Capesize",LO75,KS75="VLOC",LH75))*('Ship Time Charter Rates'!$E$22:$E$1021&lt;=Main!$C75)*(NOT(ISBLANK('Ship Time Charter Rates'!$H$22:$H$1021))))))</f>
        <v>#N/A</v>
      </c>
      <c r="SB75" s="71" t="e">
        <f t="shared" ca="1" si="827"/>
        <v>#NAME?</v>
      </c>
      <c r="SC75" s="70" t="e">
        <f t="shared" ca="1" si="828"/>
        <v>#N/A</v>
      </c>
      <c r="SD75" s="71" t="e">
        <f t="shared" ca="1" si="829"/>
        <v>#NAME?</v>
      </c>
      <c r="SE75" s="71" t="e">
        <f t="shared" ca="1" si="830"/>
        <v>#NAME?</v>
      </c>
      <c r="SF75" s="72" t="e">
        <f t="shared" ca="1" si="831"/>
        <v>#NAME?</v>
      </c>
      <c r="SH75" s="25">
        <f t="shared" si="832"/>
        <v>0</v>
      </c>
      <c r="SI75" s="4" t="str">
        <f>VLOOKUP(SH75,'Ship Time Charter Rates'!$F$10:$G$17,2,TRUE)</f>
        <v>Handysize</v>
      </c>
      <c r="SJ75" s="4" t="str">
        <f>VLOOKUP(SH75,Canals!$E$5:$F$12,2,TRUE)</f>
        <v>Handysize</v>
      </c>
      <c r="SK75" s="25">
        <f t="shared" si="833"/>
        <v>145.88999999999999</v>
      </c>
      <c r="SL75" s="25">
        <f t="shared" si="834"/>
        <v>0</v>
      </c>
      <c r="SM75" s="25">
        <f t="shared" si="835"/>
        <v>4797</v>
      </c>
      <c r="SO75" s="75">
        <f t="array" ref="SO75">INDEX('Indices Mines Exporting Ports'!$R$20:$R$51,MATCH(2,1/(('Indices Mines Exporting Ports'!$D$20:$D$51&lt;=Main!$C75)*('Indices Mines Exporting Ports'!$Q$20:$Q$51=$AQ75))))</f>
        <v>0</v>
      </c>
      <c r="SP75" s="75">
        <f t="array" ref="SP75">INDEX('Indices Mines Exporting Ports'!$S$20:$S$51,MATCH(2,1/(('Indices Mines Exporting Ports'!$D$20:$D$51&lt;=Main!$C75)*('Indices Mines Exporting Ports'!$Q$20:$Q$51=$AQ75))))</f>
        <v>0</v>
      </c>
      <c r="SQ75" s="75">
        <f t="array" ref="SQ75">INDEX('Indices Mines Exporting Ports'!$T$20:$T$51,MATCH(2,1/(('Indices Mines Exporting Ports'!$D$20:$D$51&lt;=Main!$C75)*('Indices Mines Exporting Ports'!$Q$20:$Q$51=$AQ75))))</f>
        <v>0</v>
      </c>
      <c r="SR75" s="75">
        <f t="array" ref="SR75">INDEX('Indices Mines Exporting Ports'!$U$20:$U$51,MATCH(2,1/(('Indices Mines Exporting Ports'!$D$20:$D$51&lt;=Main!$C75)*('Indices Mines Exporting Ports'!$Q$20:$Q$51=$AQ75))))</f>
        <v>0</v>
      </c>
      <c r="SS75" s="75">
        <f t="array" ref="SS75">INDEX('Indices Mines Exporting Ports'!$V$20:$V$51,MATCH(2,1/(('Indices Mines Exporting Ports'!$D$20:$D$51&lt;=Main!$C75)*('Indices Mines Exporting Ports'!$Q$20:$Q$51=$AQ75))))</f>
        <v>0</v>
      </c>
      <c r="ST75" s="75">
        <f t="array" ref="ST75">INDEX('Indices Mines Exporting Ports'!$W$20:$W$51,MATCH(2,1/(('Indices Mines Exporting Ports'!$D$20:$D$51&lt;=Main!$C75)*('Indices Mines Exporting Ports'!$Q$20:$Q$51=$AQ75))))</f>
        <v>0</v>
      </c>
      <c r="SU75" s="75">
        <f t="array" ref="SU75">INDEX('Indices Mines Exporting Ports'!$X$20:$X$51,MATCH(2,1/(('Indices Mines Exporting Ports'!$D$20:$D$51&lt;=Main!$C75)*('Indices Mines Exporting Ports'!$Q$20:$Q$51=$AQ75))))</f>
        <v>0</v>
      </c>
      <c r="SW75" s="75">
        <f t="array" ref="SW75">INDEX('Port Linkages'!$E$18:$E$157,MATCH(2,1/(('Port Linkages'!$C$18:$C$157=$AQ75)*('Port Linkages'!$D$18:$D$157=IF($AO75="no",$AQ75,$AS75))*('Port Linkages'!$A$18:$A$157&lt;=$C75))))</f>
        <v>0</v>
      </c>
      <c r="SX75" s="75">
        <f t="array" ref="SX75">INDEX('Port Linkages'!$F$18:$F$157,MATCH(2,1/(('Port Linkages'!$C$18:$C$157=$AQ75)*('Port Linkages'!$D$18:$D$157=IF($AO75="no",$AQ75,$AS75))*('Port Linkages'!$A$18:$A$157&lt;=$C75))))</f>
        <v>0</v>
      </c>
      <c r="SY75" s="75">
        <f t="array" ref="SY75">INDEX('Port Linkages'!$G$18:$G$157,MATCH(2,1/(('Port Linkages'!$C$18:$C$157=$AQ75)*('Port Linkages'!$D$18:$D$157=IF($AO75="no",$AQ75,$AS75))*('Port Linkages'!$A$18:$A$157&lt;=$C75))))</f>
        <v>0</v>
      </c>
      <c r="SZ75" s="75">
        <f t="array" ref="SZ75">INDEX('Port Linkages'!$H$18:$H$157,MATCH(2,1/(('Port Linkages'!$C$18:$C$157=$AQ75)*('Port Linkages'!$D$18:$D$157=IF($AO75="no",$AQ75,$AS75))*('Port Linkages'!$A$18:$A$157&lt;=$C75))))</f>
        <v>0</v>
      </c>
      <c r="TA75" s="75">
        <f t="array" ref="TA75">INDEX('Port Linkages'!$I$18:$I$157,MATCH(2,1/(('Port Linkages'!$C$18:$C$157=$AQ75)*('Port Linkages'!$D$18:$D$157=IF($AO75="no",$AQ75,$AS75))*('Port Linkages'!$A$18:$A$157&lt;=$C75))))</f>
        <v>0</v>
      </c>
      <c r="TB75" s="75">
        <f t="array" ref="TB75">INDEX('Port Linkages'!$J$18:$J$157,MATCH(2,1/(('Port Linkages'!$C$18:$C$157=$AQ75)*('Port Linkages'!$D$18:$D$157=IF($AO75="no",$AQ75,$AS75))*('Port Linkages'!$A$18:$A$157&lt;=$C75))))</f>
        <v>0</v>
      </c>
      <c r="TC75" s="75">
        <f t="array" ref="TC75">INDEX('Port Linkages'!$K$18:$K$157,MATCH(2,1/(('Port Linkages'!$C$18:$C$157=$AQ75)*('Port Linkages'!$D$18:$D$157=IF($AO75="no",$AQ75,$AS75))*('Port Linkages'!$A$18:$A$157&lt;=$C75))))</f>
        <v>0</v>
      </c>
      <c r="TD75" s="75">
        <f t="array" ref="TD75">INDEX('Port Linkages'!$L$18:$L$157,MATCH(2,1/(('Port Linkages'!$C$18:$C$157=$AQ75)*('Port Linkages'!$D$18:$D$157=IF($AO75="no",$AQ75,$AS75))*('Port Linkages'!$A$18:$A$157&lt;=$C75))))</f>
        <v>0</v>
      </c>
      <c r="TE75" s="75">
        <f t="array" ref="TE75">INDEX('Port Linkages'!$M$18:$M$157,MATCH(2,1/(('Port Linkages'!$C$18:$C$157=$AQ75)*('Port Linkages'!$D$18:$D$157=IF($AO75="no",$AQ75,$AS75))*('Port Linkages'!$A$18:$A$157&lt;=$C75))))</f>
        <v>0</v>
      </c>
      <c r="TF75" s="75">
        <f t="array" ref="TF75">INDEX('Port Linkages'!$N$18:$N$157,MATCH(2,1/(('Port Linkages'!$C$18:$C$157=$AQ75)*('Port Linkages'!$D$18:$D$157=IF($AO75="no",$AQ75,$AS75))*('Port Linkages'!$A$18:$A$157&lt;=$C75))))</f>
        <v>0</v>
      </c>
      <c r="TG75" s="75">
        <f t="array" ref="TG75">INDEX('Port Linkages'!$O$18:$O$157,MATCH(2,1/(('Port Linkages'!$C$18:$C$157=$AQ75)*('Port Linkages'!$D$18:$D$157=IF($AO75="no",$AQ75,$AS75))*('Port Linkages'!$A$18:$A$157&lt;=$C75))))</f>
        <v>0</v>
      </c>
      <c r="TH75" s="75">
        <f t="array" ref="TH75">INDEX('Port Linkages'!$P$18:$P$157,MATCH(2,1/(('Port Linkages'!$C$18:$C$157=$AQ75)*('Port Linkages'!$D$18:$D$157=IF($AO75="no",$AQ75,$AS75))*('Port Linkages'!$A$18:$A$157&lt;=$C75))))</f>
        <v>0</v>
      </c>
      <c r="TI75" s="75">
        <f t="array" ref="TI75">INDEX('Port Linkages'!$Q$18:$Q$157,MATCH(2,1/(('Port Linkages'!$C$18:$C$157=$AQ75)*('Port Linkages'!$D$18:$D$157=IF($AO75="no",$AQ75,$AS75))*('Port Linkages'!$A$18:$A$157&lt;=$C75))))</f>
        <v>0</v>
      </c>
      <c r="TJ75" s="75">
        <f t="array" ref="TJ75">INDEX('Port Linkages'!$R$18:$R$157,MATCH(2,1/(('Port Linkages'!$C$18:$C$157=$AQ75)*('Port Linkages'!$D$18:$D$157=IF($AO75="no",$AQ75,$AS75))*('Port Linkages'!$A$18:$A$157&lt;=$C75))))</f>
        <v>0</v>
      </c>
      <c r="TK75" s="75">
        <f t="array" ref="TK75">INDEX('Port Linkages'!$S$18:$S$157,MATCH(2,1/(('Port Linkages'!$C$18:$C$157=$AQ75)*('Port Linkages'!$D$18:$D$157=IF($AO75="no",$AQ75,$AS75))*('Port Linkages'!$A$18:$A$157&lt;=$C75))))</f>
        <v>0</v>
      </c>
      <c r="TL75" s="75">
        <f t="array" ref="TL75">INDEX('Port Linkages'!$T$18:$T$157,MATCH(2,1/(('Port Linkages'!$C$18:$C$157=$AQ75)*('Port Linkages'!$D$18:$D$157=IF($AO75="no",$AQ75,$AS75))*('Port Linkages'!$A$18:$A$157&lt;=$C75))))</f>
        <v>0</v>
      </c>
      <c r="TM75" s="75">
        <f t="array" ref="TM75">INDEX('Port Linkages'!$U$18:$U$157,MATCH(2,1/(('Port Linkages'!$C$18:$C$157=$AQ75)*('Port Linkages'!$D$18:$D$157=IF($AO75="no",$AQ75,$AS75))*('Port Linkages'!$A$18:$A$157&lt;=$C75))))</f>
        <v>0</v>
      </c>
      <c r="TN75" s="75">
        <f t="array" ref="TN75">INDEX('Port Linkages'!$V$18:$V$157,MATCH(2,1/(('Port Linkages'!$C$18:$C$157=$AQ75)*('Port Linkages'!$D$18:$D$157=IF($AO75="no",$AQ75,$AS75))*('Port Linkages'!$A$18:$A$157&lt;=$C75))))</f>
        <v>0</v>
      </c>
      <c r="TO75" s="75">
        <f t="array" ref="TO75">INDEX('Port Linkages'!$W$18:$W$157,MATCH(2,1/(('Port Linkages'!$C$18:$C$157=$AQ75)*('Port Linkages'!$D$18:$D$157=IF($AO75="no",$AQ75,$AS75))*('Port Linkages'!$A$18:$A$157&lt;=$C75))))</f>
        <v>0</v>
      </c>
      <c r="TP75" s="75">
        <f t="array" ref="TP75">INDEX('Port Linkages'!$X$18:$X$157,MATCH(2,1/(('Port Linkages'!$C$18:$C$157=$AQ75)*('Port Linkages'!$D$18:$D$157=IF($AO75="no",$AQ75,$AS75))*('Port Linkages'!$A$18:$A$157&lt;=$C75))))</f>
        <v>0</v>
      </c>
      <c r="TQ75" s="75">
        <f t="array" ref="TQ75">INDEX('Port Linkages'!$Y$18:$Y$157,MATCH(2,1/(('Port Linkages'!$C$18:$C$157=$AQ75)*('Port Linkages'!$D$18:$D$157=IF($AO75="no",$AQ75,$AS75))*('Port Linkages'!$A$18:$A$157&lt;=$C75))))</f>
        <v>0</v>
      </c>
      <c r="TR75" s="75">
        <f t="array" ref="TR75">INDEX('Port Linkages'!$Z$18:$Z$157,MATCH(2,1/(('Port Linkages'!$C$18:$C$157=$AQ75)*('Port Linkages'!$D$18:$D$157=IF($AO75="no",$AQ75,$AS75))*('Port Linkages'!$A$18:$A$157&lt;=$C75))))</f>
        <v>0</v>
      </c>
      <c r="TS75" s="75">
        <f t="array" ref="TS75">INDEX('Port Linkages'!$AA$18:$AA$157,MATCH(2,1/(('Port Linkages'!$C$18:$C$157=$AQ75)*('Port Linkages'!$D$18:$D$157=IF($AO75="no",$AQ75,$AS75))*('Port Linkages'!$A$18:$A$157&lt;=$C75))))</f>
        <v>0</v>
      </c>
      <c r="TT75" s="75">
        <f t="array" ref="TT75">INDEX('Port Linkages'!$AB$18:$AB$157,MATCH(2,1/(('Port Linkages'!$C$18:$C$157=$AQ75)*('Port Linkages'!$D$18:$D$157=IF($AO75="no",$AQ75,$AS75))*('Port Linkages'!$A$18:$A$157&lt;=$C75))))</f>
        <v>0</v>
      </c>
      <c r="TU75" s="75">
        <f t="array" ref="TU75">INDEX('Port Linkages'!$AC$18:$AC$157,MATCH(2,1/(('Port Linkages'!$C$18:$C$157=$AQ75)*('Port Linkages'!$D$18:$D$157=IF($AO75="no",$AQ75,$AS75))*('Port Linkages'!$A$18:$A$157&lt;=$C75))))</f>
        <v>0</v>
      </c>
      <c r="TV75" s="75">
        <f t="array" ref="TV75">INDEX('Port Linkages'!$AD$18:$AD$157,MATCH(2,1/(('Port Linkages'!$C$18:$C$157=$AQ75)*('Port Linkages'!$D$18:$D$157=IF($AO75="no",$AQ75,$AS75))*('Port Linkages'!$A$18:$A$157&lt;=$C75))))</f>
        <v>0</v>
      </c>
      <c r="TW75" s="75">
        <f t="array" ref="TW75">INDEX('Port Linkages'!$AE$18:$AE$157,MATCH(2,1/(('Port Linkages'!$C$18:$C$157=$AQ75)*('Port Linkages'!$D$18:$D$157=IF($AO75="no",$AQ75,$AS75))*('Port Linkages'!$A$18:$A$157&lt;=$C75))))</f>
        <v>0</v>
      </c>
      <c r="TX75" s="75">
        <f t="array" ref="TX75">INDEX('Port Linkages'!$AF$18:$AF$157,MATCH(2,1/(('Port Linkages'!$C$18:$C$157=$AQ75)*('Port Linkages'!$D$18:$D$157=IF($AO75="no",$AQ75,$AS75))*('Port Linkages'!$A$18:$A$157&lt;=$C75))))</f>
        <v>0</v>
      </c>
      <c r="TY75" s="75">
        <f t="array" ref="TY75">INDEX('Port Linkages'!$AG$18:$AG$157,MATCH(2,1/(('Port Linkages'!$C$18:$C$157=$AQ75)*('Port Linkages'!$D$18:$D$157=IF($AO75="no",$AQ75,$AS75))*('Port Linkages'!$A$18:$A$157&lt;=$C75))))</f>
        <v>0</v>
      </c>
      <c r="TZ75" s="75">
        <f t="array" ref="TZ75">INDEX('Port Linkages'!$AH$18:$AH$157,MATCH(2,1/(('Port Linkages'!$C$18:$C$157=$AQ75)*('Port Linkages'!$D$18:$D$157=IF($AO75="no",$AQ75,$AS75))*('Port Linkages'!$A$18:$A$157&lt;=$C75))))</f>
        <v>0</v>
      </c>
      <c r="UA75" s="75">
        <f t="array" ref="UA75">INDEX('Port Linkages'!$AI$18:$AI$157,MATCH(2,1/(('Port Linkages'!$C$18:$C$157=$AQ75)*('Port Linkages'!$D$18:$D$157=IF($AO75="no",$AQ75,$AS75))*('Port Linkages'!$A$18:$A$157&lt;=$C75))))</f>
        <v>0</v>
      </c>
      <c r="UB75" s="75">
        <f t="array" ref="UB75">INDEX('Port Linkages'!$AJ$18:$AJ$157,MATCH(2,1/(('Port Linkages'!$C$18:$C$157=$AQ75)*('Port Linkages'!$D$18:$D$157=IF($AO75="no",$AQ75,$AS75))*('Port Linkages'!$A$18:$A$157&lt;=$C75))))</f>
        <v>0</v>
      </c>
      <c r="UC75" s="75">
        <f t="array" ref="UC75">INDEX('Port Linkages'!$AK$18:$AK$157,MATCH(2,1/(('Port Linkages'!$C$18:$C$157=$AQ75)*('Port Linkages'!$D$18:$D$157=IF($AO75="no",$AQ75,$AS75))*('Port Linkages'!$A$18:$A$157&lt;=$C75))))</f>
        <v>0</v>
      </c>
      <c r="UD75" s="75">
        <f t="array" ref="UD75">INDEX('Port Linkages'!$AL$18:$AL$157,MATCH(2,1/(('Port Linkages'!$C$18:$C$157=$AQ75)*('Port Linkages'!$D$18:$D$157=IF($AO75="no",$AQ75,$AS75))*('Port Linkages'!$A$18:$A$157&lt;=$C75))))</f>
        <v>0</v>
      </c>
      <c r="UE75" s="75">
        <f t="array" ref="UE75">INDEX('Port Linkages'!$AM$18:$AM$157,MATCH(2,1/(('Port Linkages'!$C$18:$C$157=$AQ75)*('Port Linkages'!$D$18:$D$157=IF($AO75="no",$AQ75,$AS75))*('Port Linkages'!$A$18:$A$157&lt;=$C75))))</f>
        <v>0</v>
      </c>
      <c r="UF75" s="75">
        <f t="array" ref="UF75">INDEX('Port Linkages'!$AN$18:$AN$157,MATCH(2,1/(('Port Linkages'!$C$18:$C$157=$AQ75)*('Port Linkages'!$D$18:$D$157=IF($AO75="no",$AQ75,$AS75))*('Port Linkages'!$A$18:$A$157&lt;=$C75))))</f>
        <v>0</v>
      </c>
      <c r="UG75" s="75">
        <f t="array" ref="UG75">INDEX('Port Linkages'!$AO$18:$AO$157,MATCH(2,1/(('Port Linkages'!$C$18:$C$157=$AQ75)*('Port Linkages'!$D$18:$D$157=IF($AO75="no",$AQ75,$AS75))*('Port Linkages'!$A$18:$A$157&lt;=$C75))))</f>
        <v>0</v>
      </c>
      <c r="UH75" s="75">
        <f t="array" ref="UH75">INDEX('Port Linkages'!$AP$18:$AP$157,MATCH(2,1/(('Port Linkages'!$C$18:$C$157=$AQ75)*('Port Linkages'!$D$18:$D$157=IF($AO75="no",$AQ75,$AS75))*('Port Linkages'!$A$18:$A$157&lt;=$C75))))</f>
        <v>0</v>
      </c>
      <c r="UI75" s="75">
        <f t="array" ref="UI75">INDEX('Port Linkages'!$AQ$18:$AQ$157,MATCH(2,1/(('Port Linkages'!$C$18:$C$157=$AQ75)*('Port Linkages'!$D$18:$D$157=IF($AO75="no",$AQ75,$AS75))*('Port Linkages'!$A$18:$A$157&lt;=$C75))))</f>
        <v>0</v>
      </c>
      <c r="UJ75" s="75">
        <f t="array" ref="UJ75">INDEX('Port Linkages'!$AR$18:$AR$157,MATCH(2,1/(('Port Linkages'!$C$18:$C$157=$AQ75)*('Port Linkages'!$D$18:$D$157=IF($AO75="no",$AQ75,$AS75))*('Port Linkages'!$A$18:$A$157&lt;=$C75))))</f>
        <v>0</v>
      </c>
      <c r="UK75" s="75">
        <f t="array" ref="UK75">INDEX('Port Linkages'!$AS$18:$AS$157,MATCH(2,1/(('Port Linkages'!$C$18:$C$157=$AQ75)*('Port Linkages'!$D$18:$D$157=IF($AO75="no",$AQ75,$AS75))*('Port Linkages'!$A$18:$A$157&lt;=$C75))))</f>
        <v>0</v>
      </c>
      <c r="UL75" s="75">
        <f t="array" ref="UL75">INDEX('Port Linkages'!$AT$18:$AT$157,MATCH(2,1/(('Port Linkages'!$C$18:$C$157=$AQ75)*('Port Linkages'!$D$18:$D$157=IF($AO75="no",$AQ75,$AS75))*('Port Linkages'!$A$18:$A$157&lt;=$C75))))</f>
        <v>0</v>
      </c>
      <c r="UM75" s="75">
        <f t="array" ref="UM75">INDEX('Port Linkages'!$AU$18:$AU$157,MATCH(2,1/(('Port Linkages'!$C$18:$C$157=$AQ75)*('Port Linkages'!$D$18:$D$157=IF($AO75="no",$AQ75,$AS75))*('Port Linkages'!$A$18:$A$157&lt;=$C75))))</f>
        <v>0</v>
      </c>
      <c r="UN75" s="75">
        <f t="array" ref="UN75">INDEX('Port Linkages'!$AV$18:$AV$157,MATCH(2,1/(('Port Linkages'!$C$18:$C$157=$AQ75)*('Port Linkages'!$D$18:$D$157=IF($AO75="no",$AQ75,$AS75))*('Port Linkages'!$A$18:$A$157&lt;=$C75))))</f>
        <v>0</v>
      </c>
      <c r="UO75" s="75">
        <f t="array" ref="UO75">INDEX('Port Linkages'!$AW$18:$AW$157,MATCH(2,1/(('Port Linkages'!$C$18:$C$157=$AQ75)*('Port Linkages'!$D$18:$D$157=IF($AO75="no",$AQ75,$AS75))*('Port Linkages'!$A$18:$A$157&lt;=$C75))))</f>
        <v>0</v>
      </c>
      <c r="UP75" s="75">
        <f t="array" ref="UP75">INDEX('Port Linkages'!$AX$18:$AX$157,MATCH(2,1/(('Port Linkages'!$C$18:$C$157=$AQ75)*('Port Linkages'!$D$18:$D$157=IF($AO75="no",$AQ75,$AS75))*('Port Linkages'!$A$18:$A$157&lt;=$C75))))</f>
        <v>0</v>
      </c>
      <c r="UQ75" s="75">
        <f t="array" ref="UQ75">INDEX('Port Linkages'!$AY$18:$AY$157,MATCH(2,1/(('Port Linkages'!$C$18:$C$157=$AQ75)*('Port Linkages'!$D$18:$D$157=IF($AO75="no",$AQ75,$AS75))*('Port Linkages'!$A$18:$A$157&lt;=$C75))))</f>
        <v>0</v>
      </c>
      <c r="UR75" s="75">
        <f t="array" ref="UR75">INDEX('Port Linkages'!$AZ$18:$AZ$157,MATCH(2,1/(('Port Linkages'!$C$18:$C$157=$AQ75)*('Port Linkages'!$D$18:$D$157=IF($AO75="no",$AQ75,$AS75))*('Port Linkages'!$A$18:$A$157&lt;=$C75))))</f>
        <v>0</v>
      </c>
      <c r="US75" s="75">
        <f t="array" ref="US75">INDEX('Port Linkages'!$BA$18:$BA$157,MATCH(2,1/(('Port Linkages'!$C$18:$C$157=$AQ75)*('Port Linkages'!$D$18:$D$157=IF($AO75="no",$AQ75,$AS75))*('Port Linkages'!$A$18:$A$157&lt;=$C75))))</f>
        <v>0</v>
      </c>
      <c r="UU75" s="25" t="e">
        <f t="array" aca="1" ref="UU75" ca="1">INDEX('Ship Fuel Prices'!$F$5:$F$1004,MATCH(2,1/(('Ship Fuel Prices'!$E$5:$E$1004=_xlfn.IFS(SJ75="Handysize",Main!UP75,SJ75="Supramax",UI75,SJ75="Panamax",UB75,SJ75="NeoPanamax",TU75,SJ75="Suezmax",TN75,SJ75="Capesize",TG75,SJ75="VLOC",SZ75))*('Ship Fuel Prices'!$D$5:$D$1004&lt;=Main!$C75))))</f>
        <v>#N/A</v>
      </c>
      <c r="UV75" s="25" t="e">
        <f t="array" aca="1" ref="UV75" ca="1">INDEX('Ship Fuel Prices'!$G$5:$G$1004,MATCH(2,1/(('Ship Fuel Prices'!$E$5:$E$1004=_xlfn.IFS(SJ75="Handysize",Main!UP75,SJ75="Supramax",UI75,SJ75="Panamax",UB75,SJ75="NeoPanamax",TU75,SJ75="Suezmax",TN75,SJ75="Capesize",TG75,SJ75="VLOC",SZ75))*('Ship Fuel Prices'!$D$5:$D$1004&lt;=Main!$C75))))</f>
        <v>#N/A</v>
      </c>
      <c r="UW75" s="25" t="e">
        <f t="array" aca="1" ref="UW75" ca="1">INDEX('Ship Fuel Prices'!$H$5:$H$1004,MATCH(2,1/(('Ship Fuel Prices'!$E$5:$E$1004=_xlfn.IFS(SJ75="Handysize",Main!UP75,SJ75="Supramax",UI75,SJ75="Panamax",UB75,SJ75="NeoPanamax",TU75,SJ75="Suezmax",TN75,SJ75="Capesize",TG75,SJ75="VLOC",SZ75))*('Ship Fuel Prices'!$D$5:$D$1004&lt;=Main!$C75))))</f>
        <v>#N/A</v>
      </c>
      <c r="UX75" s="25" t="e">
        <f t="array" aca="1" ref="UX75" ca="1">INDEX('Ship Fuel Prices'!$I$5:$I$1004,MATCH(2,1/(('Ship Fuel Prices'!$E$5:$E$1004=_xlfn.IFS(SJ75="Handysize",Main!UP75,SJ75="Supramax",UI75,SJ75="Panamax",UB75,SJ75="NeoPanamax",TU75,SJ75="Suezmax",TN75,SJ75="Capesize",TG75,SJ75="VLOC",SZ75))*('Ship Fuel Prices'!$D$5:$D$1004&lt;=Main!$C75))))</f>
        <v>#N/A</v>
      </c>
      <c r="UY75" s="25" t="e">
        <f t="array" aca="1" ref="UY75" ca="1">INDEX('Ship Fuel Prices'!$J$5:$J$1004,MATCH(2,1/(('Ship Fuel Prices'!$E$5:$E$1004=_xlfn.IFS(SJ75="Handysize",Main!UP75,SJ75="Supramax",UI75,SJ75="Panamax",UB75,SJ75="NeoPanamax",TU75,SJ75="Suezmax",TN75,SJ75="Capesize",TG75,SJ75="VLOC",SZ75))*('Ship Fuel Prices'!$D$5:$D$1004&lt;=Main!$C75))))</f>
        <v>#N/A</v>
      </c>
      <c r="VA75" s="75">
        <f t="array" ref="VA75">INDEX('China n Importing Ports'!$E$20:$E$41,MATCH(2,1/(('China n Importing Ports'!$D$20:$D$41&lt;=$C75)*('China n Importing Ports'!$C$20:$C$41=IF($AO75="No",$AQ75,$AS75)))))</f>
        <v>0</v>
      </c>
      <c r="VB75" s="75">
        <f t="array" ref="VB75">INDEX('China n Importing Ports'!$F$20:$F$41,MATCH(2,1/(('China n Importing Ports'!$D$20:$D$41&lt;=$C75)*('China n Importing Ports'!$C$20:$C$41=IF($AO75="No",$AQ75,$AS75)))))</f>
        <v>0</v>
      </c>
      <c r="VC75" s="75">
        <f t="array" ref="VC75">INDEX('China n Importing Ports'!$G$20:$G$41,MATCH(2,1/(('China n Importing Ports'!$D$20:$D$41&lt;=$C75)*('China n Importing Ports'!$C$20:$C$41=IF($AO75="No",$AQ75,$AS75)))))</f>
        <v>0</v>
      </c>
      <c r="VD75" s="75">
        <f t="array" ref="VD75">INDEX('China n Importing Ports'!$H$20:$H$41,MATCH(2,1/(('China n Importing Ports'!$D$20:$D$41&lt;=$C75)*('China n Importing Ports'!$C$20:$C$41=IF($AO75="No",$AQ75,$AS75)))))</f>
        <v>0</v>
      </c>
      <c r="VE75" s="75">
        <f t="array" ref="VE75">INDEX('China n Importing Ports'!$I$20:$I$41,MATCH(2,1/(('China n Importing Ports'!$D$20:$D$41&lt;=$C75)*('China n Importing Ports'!$C$20:$C$41=IF($AO75="No",$AQ75,$AS75)))))</f>
        <v>0</v>
      </c>
      <c r="VF75" s="75">
        <f t="array" ref="VF75">INDEX('China n Importing Ports'!$J$20:$J$41,MATCH(2,1/(('China n Importing Ports'!$D$20:$D$41&lt;=$C75)*('China n Importing Ports'!$C$20:$C$41=IF($AO75="No",$AQ75,$AS75)))))</f>
        <v>0</v>
      </c>
      <c r="VG75" s="75">
        <f t="array" ref="VG75">INDEX('China n Importing Ports'!$K$20:$K$41,MATCH(2,1/(('China n Importing Ports'!$D$20:$D$41&lt;=$C75)*('China n Importing Ports'!$C$20:$C$41=IF($AO75="No",$AQ75,$AS75)))))</f>
        <v>0</v>
      </c>
      <c r="VH75" s="75">
        <f t="array" ref="VH75">INDEX('China n Importing Ports'!$L$20:$L$41,MATCH(2,1/(('China n Importing Ports'!$D$20:$D$41&lt;=$C75)*('China n Importing Ports'!$C$20:$C$41=IF($AO75="No",$AQ75,$AS75)))))</f>
        <v>0</v>
      </c>
      <c r="VI75" s="75">
        <f t="array" ref="VI75">INDEX('China n Importing Ports'!$M$20:$M$41,MATCH(2,1/(('China n Importing Ports'!$D$20:$D$41&lt;=$C75)*('China n Importing Ports'!$C$20:$C$41=IF($AO75="No",$AQ75,$AS75)))))</f>
        <v>0</v>
      </c>
      <c r="VJ75" s="75">
        <f t="array" ref="VJ75">INDEX('China n Importing Ports'!$N$20:$N$41,MATCH(2,1/(('China n Importing Ports'!$D$20:$D$41&lt;=$C75)*('China n Importing Ports'!$C$20:$C$41=IF($AO75="No",$AQ75,$AS75)))))</f>
        <v>0</v>
      </c>
      <c r="VK75" s="75">
        <f t="array" ref="VK75">INDEX('China n Importing Ports'!$O$20:$O$41,MATCH(2,1/(('China n Importing Ports'!$D$20:$D$41&lt;=$C75)*('China n Importing Ports'!$C$20:$C$41=IF($AO75="No",$AQ75,$AS75)))))</f>
        <v>0</v>
      </c>
      <c r="VL75" s="136">
        <f t="array" ref="VL75">INDEX('China n Importing Ports'!$P$20:$P$41,MATCH(2,1/(('China n Importing Ports'!$D$20:$D$41&lt;=$C75)*('China n Importing Ports'!$C$20:$C$41=IF($AO75="No",$AQ75,$AS75)))))</f>
        <v>0</v>
      </c>
      <c r="VM75" s="136">
        <f t="array" ref="VM75">INDEX('China n Importing Ports'!$Q$20:$Q$41,MATCH(2,1/(('China n Importing Ports'!$D$20:$D$41&lt;=$C75)*('China n Importing Ports'!$C$20:$C$41=IF($AO75="No",$AQ75,$AS75)))))</f>
        <v>0</v>
      </c>
      <c r="VN75" s="136">
        <f t="array" ref="VN75">INDEX('China n Importing Ports'!$R$20:$R$41,MATCH(2,1/(('China n Importing Ports'!$D$20:$D$41&lt;=$C75)*('China n Importing Ports'!$C$20:$C$41=IF($AO75="No",$AQ75,$AS75)))))</f>
        <v>0</v>
      </c>
      <c r="VO75" s="136">
        <f t="array" ref="VO75">INDEX('China n Importing Ports'!$S$20:$S$41,MATCH(2,1/(('China n Importing Ports'!$D$20:$D$41&lt;=$C75)*('China n Importing Ports'!$C$20:$C$41=IF($AO75="No",$AQ75,$AS75)))))</f>
        <v>0</v>
      </c>
      <c r="VP75" s="136">
        <f t="array" ref="VP75">INDEX('China n Importing Ports'!$T$20:$T$41,MATCH(2,1/(('China n Importing Ports'!$D$20:$D$41&lt;=$C75)*('China n Importing Ports'!$C$20:$C$41=IF($AO75="No",$AQ75,$AS75)))))</f>
        <v>0</v>
      </c>
      <c r="VQ75" s="136">
        <f t="array" ref="VQ75">INDEX('China n Importing Ports'!$U$20:$U$41,MATCH(2,1/(('China n Importing Ports'!$D$20:$D$41&lt;=$C75)*('China n Importing Ports'!$C$20:$C$41=IF($AO75="No",$AQ75,$AS75)))))</f>
        <v>0</v>
      </c>
      <c r="VR75" s="136">
        <f t="array" ref="VR75">INDEX('China n Importing Ports'!$V$20:$V$41,MATCH(2,1/(('China n Importing Ports'!$D$20:$D$41&lt;=$C75)*('China n Importing Ports'!$C$20:$C$41=IF($AO75="No",$AQ75,$AS75)))))</f>
        <v>0</v>
      </c>
      <c r="VS75" s="136">
        <f t="array" ref="VS75">INDEX('China n Importing Ports'!$W$20:$W$41,MATCH(2,1/(('China n Importing Ports'!$D$20:$D$41&lt;=$C75)*('China n Importing Ports'!$C$20:$C$41=IF($AO75="No",$AQ75,$AS75)))))</f>
        <v>0</v>
      </c>
      <c r="VT75" s="136">
        <f t="array" ref="VT75">INDEX('China n Importing Ports'!$X$20:$X$41,MATCH(2,1/(('China n Importing Ports'!$D$20:$D$41&lt;=$C75)*('China n Importing Ports'!$C$20:$C$41=IF($AO75="No",$AQ75,$AS75)))))</f>
        <v>0</v>
      </c>
      <c r="VU75" s="136">
        <f t="array" ref="VU75">INDEX('China n Importing Ports'!$Y$20:$Y$41,MATCH(2,1/(('China n Importing Ports'!$D$20:$D$41&lt;=$C75)*('China n Importing Ports'!$C$20:$C$41=IF($AO75="No",$AQ75,$AS75)))))</f>
        <v>0</v>
      </c>
      <c r="VV75" s="136">
        <f t="array" ref="VV75">INDEX('China n Importing Ports'!$Z$20:$Z$41,MATCH(2,1/(('China n Importing Ports'!$D$20:$D$41&lt;=$C75)*('China n Importing Ports'!$C$20:$C$41=IF($AO75="No",$AQ75,$AS75)))))</f>
        <v>0</v>
      </c>
      <c r="VW75" s="136">
        <f t="array" ref="VW75">INDEX('China n Importing Ports'!$AA$20:$AA$41,MATCH(2,1/(('China n Importing Ports'!$D$20:$D$41&lt;=$C75)*('China n Importing Ports'!$C$20:$C$41=IF($AO75="No",$AQ75,$AS75)))))</f>
        <v>0</v>
      </c>
      <c r="VY75" s="75" t="e">
        <f t="array" aca="1" ref="VY75" ca="1">INDEX(Canals!$G$24:$G$29,MATCH(2,1/((Canals!$F$24:$F$29&lt;=$C75)*(Canals!$G$24:$G$29=_xlfn.IFS(SJ75="Handysize",US75,SJ75="Supramax",UL75,SJ75="Panamax",UE75,SJ75="NeoPanamax",TX75,SJ75="Suezmax",TQ75,SJ75="Capesize",TJ75,SJ75="VLOC",TC75)))))</f>
        <v>#N/A</v>
      </c>
      <c r="VZ75" s="75" t="e">
        <f t="array" aca="1" ref="VZ75" ca="1">INDEX(Canals!$H$24:$H$29,MATCH(2,1/((Canals!$F$24:$F$29&lt;=$C75)*(Canals!$G$24:$G$29=_xlfn.IFS(SJ75="Handysize",US75,SJ75="Supramax",UL75,SJ75="Panamax",UE75,SJ75="NeoPanamax",TX75,SJ75="Suezmax",TQ75,SJ75="Capesize",TJ75,SJ75="VLOC",TC75)))))</f>
        <v>#N/A</v>
      </c>
      <c r="WA75" s="75" t="e">
        <f t="array" aca="1" ref="WA75" ca="1">INDEX(Canals!$I$24:$I$29,MATCH(2,1/((Canals!$F$24:$F$29&lt;=$C75)*(Canals!$G$24:$G$29=_xlfn.IFS(SJ75="Handysize",US75,SJ75="Supramax",UL75,SJ75="Panamax",UE75,SJ75="NeoPanamax",TX75,SJ75="Suezmax",TQ75,SJ75="Capesize",TJ75,SJ75="VLOC",TC75)))))</f>
        <v>#N/A</v>
      </c>
      <c r="WB75" s="75" t="e">
        <f t="array" aca="1" ref="WB75" ca="1">INDEX(Canals!$J$24:$J$29,MATCH(2,1/((Canals!$F$24:$F$29&lt;=$C75)*(Canals!$G$24:$G$29=_xlfn.IFS(SJ75="Handysize",Main!US75,SJ75="Supramax",UL75,SJ75="Panamax",UE75,SJ75="NeoPanamax",TX75,SJ75="Suezmax",TQ75,SJ75="Capesize",TJ75,SJ75="VLOC",TC75)))))</f>
        <v>#N/A</v>
      </c>
      <c r="WC75" s="75" t="e">
        <f t="array" aca="1" ref="WC75" ca="1">INDEX(Canals!$K$24:$K$29,MATCH(2,1/((Canals!$F$24:$F$29&lt;=$C75)*(Canals!$G$24:$G$29=_xlfn.IFS(SJ75="Handysize",Main!US75,SJ75="Supramax",UL75,SJ75="Panamax",UE75,SJ75="NeoPanamax",TX75,SJ75="Suezmax",TQ75,SJ75="Capesize",TJ75,SJ75="VLOC",TC75)))))</f>
        <v>#N/A</v>
      </c>
      <c r="WD75" s="75" t="e">
        <f t="array" aca="1" ref="WD75" ca="1">INDEX(Canals!$L$24:$L$29,MATCH(2,1/((Canals!$F$24:$F$29&lt;=$C75)*(Canals!$G$24:$G$29=_xlfn.IFS(SJ75="Handysize",Main!US75,SJ75="Supramax",UL75,SJ75="Panamax",UE75,SJ75="NeoPanamax",TX75,SJ75="Suezmax",TQ75,SJ75="Capesize",TJ75,SJ75="VLOC",TC75)))))</f>
        <v>#N/A</v>
      </c>
      <c r="WE75" s="75" t="e">
        <f t="array" aca="1" ref="WE75" ca="1">INDEX(Canals!$M$24:$M$29,MATCH(2,1/((Canals!$F$24:$F$29&lt;=$C75)*(Canals!$G$24:$G$29=_xlfn.IFS(SJ75="Handysize",Main!US75,SJ75="Supramax",UL75,SJ75="Panamax",UE75,SJ75="NeoPanamax",TX75,SJ75="Suezmax",TQ75,SJ75="Capesize",TJ75,SJ75="VLOC",TC75)))))</f>
        <v>#N/A</v>
      </c>
      <c r="WF75" s="75" t="e">
        <f t="array" aca="1" ref="WF75" ca="1">INDEX(Canals!$N$24:$N$29,MATCH(2,1/((Canals!$F$24:$F$29&lt;=$C75)*(Canals!$G$24:$G$29=_xlfn.IFS(SJ75="Handysize",Main!US75,SJ75="Supramax",UL75,SJ75="Panamax",UE75,SJ75="NeoPanamax",TX75,SJ75="Suezmax",TQ75,SJ75="Capesize",TJ75,SJ75="VLOC",TC75)))))</f>
        <v>#N/A</v>
      </c>
      <c r="WG75" s="75" t="e">
        <f t="array" aca="1" ref="WG75" ca="1">INDEX(Canals!$O$24:$O$29,MATCH(2,1/((Canals!$F$24:$F$29&lt;=$C75)*(Canals!$G$24:$G$29=_xlfn.IFS(SJ75="Handysize",Main!US75,SJ75="Supramax",UL75,SJ75="Panamax",UE75,SJ75="NeoPanamax",TX75,SJ75="Suezmax",TQ75,SJ75="Capesize",TJ75,SJ75="VLOC",TC75)))))</f>
        <v>#N/A</v>
      </c>
      <c r="WH75" s="75" t="e">
        <f t="array" aca="1" ref="WH75" ca="1">INDEX(Canals!$P$24:$P$29,MATCH(2,1/((Canals!$F$24:$F$29&lt;=$C75)*(Canals!$G$24:$G$29=_xlfn.IFS(SJ75="Handysize",Main!US75,SJ75="Supramax",UL75,SJ75="Panamax",UE75,SJ75="NeoPanamax",TX75,SJ75="Suezmax",TQ75,SJ75="Capesize",TJ75,SJ75="VLOC",TC75)))))</f>
        <v>#N/A</v>
      </c>
      <c r="WI75" s="75" t="e">
        <f t="array" aca="1" ref="WI75" ca="1">INDEX(Canals!$Q$24:$Q$29,MATCH(2,1/((Canals!$F$24:$F$29&lt;=$C75)*(Canals!$G$24:$G$29=_xlfn.IFS(SJ75="Handysize",Main!US75,SJ75="Supramax",UL75,SJ75="Panamax",UE75,SJ75="NeoPanamax",TX75,SJ75="Suezmax",TQ75,SJ75="Capesize",TJ75,SJ75="VLOC",TC75)))))</f>
        <v>#N/A</v>
      </c>
      <c r="WJ75" s="75" t="e">
        <f t="array" aca="1" ref="WJ75" ca="1">INDEX(Canals!$R$24:$R$29,MATCH(2,1/((Canals!$F$24:$F$29&lt;=$C75)*(Canals!$G$24:$G$29=_xlfn.IFS(SJ75="Handysize",Main!US75,SJ75="Supramax",UL75,SJ75="Panamax",UE75,SJ75="NeoPanamax",TX75,SJ75="Suezmax",TQ75,SJ75="Capesize",TJ75,SJ75="VLOC",TC75)))))</f>
        <v>#N/A</v>
      </c>
      <c r="WK75" s="136" t="e">
        <f t="array" aca="1" ref="WK75" ca="1">INDEX(Canals!$S$24:$S$29,MATCH(2,1/((Canals!$F$24:$F$29&lt;=$C75)*(Canals!$G$24:$G$29=_xlfn.IFS(SJ75="Handysize",Main!US75,SJ75="Supramax",UL75,SJ75="Panamax",UE75,SJ75="NeoPanamax",TX75,SJ75="Suezmax",TQ75,SJ75="Capesize",TJ75,SJ75="VLOC",TC75)))))</f>
        <v>#N/A</v>
      </c>
      <c r="WL75" s="136" t="e">
        <f t="array" aca="1" ref="WL75" ca="1">INDEX(Canals!$T$24:$T$29,MATCH(2,1/((Canals!$F$24:$F$29&lt;=$C75)*(Canals!$G$24:$G$29=_xlfn.IFS(SJ75="Handysize",Main!US75,SJ75="Supramax",UL75,SJ75="Panamax",UE75,SJ75="NeoPanamax",TX75,SJ75="Suezmax",TQ75,SJ75="Capesize",TJ75,SJ75="VLOC",TC75)))))</f>
        <v>#N/A</v>
      </c>
      <c r="WM75" s="136" t="e">
        <f t="array" aca="1" ref="WM75" ca="1">INDEX(Canals!$U$24:$U$29,MATCH(2,1/((Canals!$F$24:$F$29&lt;=$C75)*(Canals!$G$24:$G$29=_xlfn.IFS(SJ75="Handysize",Main!US75,SJ75="Supramax",UL75,SJ75="Panamax",UE75,SJ75="NeoPanamax",TX75,SJ75="Suezmax",TQ75,SJ75="Capesize",TJ75,SJ75="VLOC",TC75)))))</f>
        <v>#N/A</v>
      </c>
      <c r="WN75" s="136" t="e">
        <f t="array" aca="1" ref="WN75" ca="1">INDEX(Canals!$V$24:$V$29,MATCH(2,1/((Canals!$F$24:$F$29&lt;=$C75)*(Canals!$G$24:$G$29=_xlfn.IFS(SJ75="Handysize",Main!US75,SJ75="Supramax",UL75,SJ75="Panamax",UE75,SJ75="NeoPanamax",TX75,SJ75="Suezmax",TQ75,SJ75="Capesize",TJ75,SJ75="VLOC",TC75)))))</f>
        <v>#N/A</v>
      </c>
      <c r="WO75" s="136" t="e">
        <f t="array" aca="1" ref="WO75" ca="1">INDEX(Canals!$W$24:$W$29,MATCH(2,1/((Canals!$F$24:$F$29&lt;=$C75)*(Canals!$G$24:$G$29=_xlfn.IFS(SJ75="Handysize",Main!US75,SJ75="Supramax",UL75,SJ75="Panamax",UE75,SJ75="NeoPanamax",TX75,SJ75="Suezmax",TQ75,SJ75="Capesize",TJ75,SJ75="VLOC",TC75)))))</f>
        <v>#N/A</v>
      </c>
      <c r="WP75" s="136" t="e">
        <f t="array" aca="1" ref="WP75" ca="1">INDEX(Canals!$X$24:$X$29,MATCH(2,1/((Canals!$F$24:$F$29&lt;=$C75)*(Canals!$G$24:$G$29=_xlfn.IFS(SJ75="Handysize",Main!US75,SJ75="Supramax",UL75,SJ75="Panamax",UE75,SJ75="NeoPanamax",TX75,SJ75="Suezmax",TQ75,SJ75="Capesize",TJ75,SJ75="VLOC",TC75)))))</f>
        <v>#N/A</v>
      </c>
      <c r="WQ75" s="136" t="e">
        <f t="array" aca="1" ref="WQ75" ca="1">INDEX(Canals!$Y$24:$Y$29,MATCH(2,1/((Canals!$F$24:$F$29&lt;=$C75)*(Canals!$G$24:$G$29=_xlfn.IFS(SJ75="Handysize",Main!US75,SJ75="Supramax",UL75,SJ75="Panamax",UE75,SJ75="NeoPanamax",TX75,SJ75="Suezmax",TQ75,SJ75="Capesize",TJ75,SJ75="VLOC",TC75)))))</f>
        <v>#N/A</v>
      </c>
      <c r="WR75" s="136" t="e">
        <f t="array" aca="1" ref="WR75" ca="1">INDEX(Canals!$Z$24:$Z$29,MATCH(2,1/((Canals!$F$24:$F$29&lt;=$C75)*(Canals!$G$24:$G$29=_xlfn.IFS(SJ75="Handysize",Main!US75,SJ75="Supramax",UL75,SJ75="Panamax",UE75,SJ75="NeoPanamax",TX75,SJ75="Suezmax",TQ75,SJ75="Capesize",TJ75,SJ75="VLOC",TC75)))))</f>
        <v>#N/A</v>
      </c>
      <c r="WS75" s="136" t="e">
        <f t="array" aca="1" ref="WS75" ca="1">INDEX(Canals!$AA$24:$AA$29,MATCH(2,1/((Canals!$F$24:$F$29&lt;=$C75)*(Canals!$G$24:$G$29=_xlfn.IFS(SJ75="Handysize",Main!US75,SJ75="Supramax",UL75,SJ75="Panamax",UE75,SJ75="NeoPanamax",TX75,SJ75="Suezmax",TQ75,SJ75="Capesize",TJ75,SJ75="VLOC",TC75)))))</f>
        <v>#N/A</v>
      </c>
      <c r="WT75" s="136" t="e">
        <f t="array" aca="1" ref="WT75" ca="1">INDEX(Canals!$AB$24:$AB$29,MATCH(2,1/((Canals!$F$24:$F$29&lt;=$C75)*(Canals!$G$24:$G$29=_xlfn.IFS(SJ75="Handysize",Main!US75,SJ75="Supramax",UL75,SJ75="Panamax",UE75,SJ75="NeoPanamax",TX75,SJ75="Suezmax",TQ75,SJ75="Capesize",TJ75,SJ75="VLOC",TC75)))))</f>
        <v>#N/A</v>
      </c>
      <c r="WU75" s="75" t="e">
        <f t="array" aca="1" ref="WU75" ca="1">INDEX(Canals!$AC$24:$AC$29,MATCH(2,1/((Canals!$F$24:$F$29&lt;=$C75)*(Canals!$G$24:$G$29=_xlfn.IFS(SJ75="Handysize",Main!US75,SJ75="Supramax",UL75,SJ75="Panamax",UE75,SJ75="NeoPanamax",TX75,SJ75="Suezmax",TQ75,SJ75="Capesize",TJ75,SJ75="VLOC",TC75)))))</f>
        <v>#N/A</v>
      </c>
      <c r="WV75" s="75" t="e">
        <f t="array" aca="1" ref="WV75" ca="1">INDEX(Canals!$AD$24:$AD$29,MATCH(2,1/((Canals!$F$24:$F$29&lt;=$C75)*(Canals!$G$24:$G$29=_xlfn.IFS(SJ75="Handysize",Main!US75,SJ75="Supramax",UL75,SJ75="Panamax",UE75,SJ75="NeoPanamax",TX75,SJ75="Suezmax",TQ75,SJ75="Capesize",TJ75,SJ75="VLOC",TC75)))))</f>
        <v>#N/A</v>
      </c>
      <c r="WW75" s="75" t="e">
        <f t="array" aca="1" ref="WW75" ca="1">INDEX(Canals!$AE$24:$AE$29,MATCH(2,1/((Canals!$F$24:$F$29&lt;=$C75)*(Canals!$G$24:$G$29=_xlfn.IFS(SJ75="Handysize",Main!US75,SJ75="Supramax",UL75,SJ75="Panamax",UE75,SJ75="NeoPanamax",TX75,SJ75="Suezmax",TQ75,SJ75="Capesize",TJ75,SJ75="VLOC",TC75)))))</f>
        <v>#N/A</v>
      </c>
      <c r="WX75" s="75" t="e">
        <f t="array" aca="1" ref="WX75" ca="1">INDEX(Canals!$AF$24:$AF$29,MATCH(2,1/((Canals!$F$24:$F$29&lt;=$C75)*(Canals!$G$24:$G$29=_xlfn.IFS(SJ75="Handysize",Main!US75,SJ75="Supramax",UL75,SJ75="Panamax",UE75,SJ75="NeoPanamax",TX75,SJ75="Suezmax",TQ75,SJ75="Capesize",TJ75,SJ75="VLOC",TC75)))))</f>
        <v>#N/A</v>
      </c>
      <c r="WY75" s="75" t="e">
        <f t="array" aca="1" ref="WY75" ca="1">INDEX(Canals!$AG$24:$AG$29,MATCH(2,1/((Canals!$F$24:$F$29&lt;=$C75)*(Canals!$G$24:$G$29=_xlfn.IFS(SJ75="Handysize",Main!US75,SJ75="Supramax",UL75,SJ75="Panamax",UE75,SJ75="NeoPanamax",TX75,SJ75="Suezmax",TQ75,SJ75="Capesize",TJ75,SJ75="VLOC",TC75)))))</f>
        <v>#N/A</v>
      </c>
      <c r="WZ75" s="75" t="e">
        <f t="array" aca="1" ref="WZ75" ca="1">INDEX(Canals!$AH$24:$AH$29,MATCH(2,1/((Canals!$F$24:$F$29&lt;=$C75)*(Canals!$G$24:$G$29=_xlfn.IFS(SJ75="Handysize",Main!US75,SJ75="Supramax",UL75,SJ75="Panamax",UE75,SJ75="NeoPanamax",TX75,SJ75="Suezmax",TQ75,SJ75="Capesize",TJ75,SJ75="VLOC",TC75)))))</f>
        <v>#N/A</v>
      </c>
      <c r="XA75" s="75" t="e">
        <f t="array" aca="1" ref="XA75" ca="1">INDEX(Canals!$AI$24:$AI$29,MATCH(2,1/((Canals!$F$24:$F$29&lt;=$C75)*(Canals!$G$24:$G$29=_xlfn.IFS(SJ75="Handysize",Main!US75,SJ75="Supramax",UL75,SJ75="Panamax",UE75,SJ75="NeoPanamax",TX75,SJ75="Suezmax",TQ75,SJ75="Capesize",TJ75,SJ75="VLOC",TC75)))))</f>
        <v>#N/A</v>
      </c>
      <c r="XB75" s="75" t="e">
        <f t="array" aca="1" ref="XB75" ca="1">INDEX(Canals!$AJ$24:$AJ$29,MATCH(2,1/((Canals!$F$24:$F$29&lt;=$C75)*(Canals!$G$24:$G$29=_xlfn.IFS(SJ75="Handysize",Main!US75,SJ75="Supramax",UL75,SJ75="Panamax",UE75,SJ75="NeoPanamax",TX75,SJ75="Suezmax",TQ75,SJ75="Capesize",TJ75,SJ75="VLOC",TC75)))))</f>
        <v>#N/A</v>
      </c>
      <c r="XC75" s="75" t="e">
        <f t="array" aca="1" ref="XC75" ca="1">INDEX(Canals!$AK$24:$AK$29,MATCH(2,1/((Canals!$F$24:$F$29&lt;=$C75)*(Canals!$G$24:$G$29=_xlfn.IFS(SJ75="Handysize",Main!US75,SJ75="Supramax",UL75,SJ75="Panamax",UE75,SJ75="NeoPanamax",TX75,SJ75="Suezmax",TQ75,SJ75="Capesize",TJ75,SJ75="VLOC",TC75)))))</f>
        <v>#N/A</v>
      </c>
      <c r="XD75" s="136" t="e">
        <f t="array" aca="1" ref="XD75" ca="1">INDEX(Canals!$AL$24:$AL$29,MATCH(2,1/((Canals!$F$24:$F$29&lt;=$C75)*(Canals!$G$24:$G$29=_xlfn.IFS(SJ75="Handysize",Main!US75,SJ75="Supramax",UL75,SJ75="Panamax",UE75,SJ75="NeoPanamax",TX75,SJ75="Suezmax",TQ75,SJ75="Capesize",TJ75,SJ75="VLOC",TC75)))))</f>
        <v>#N/A</v>
      </c>
      <c r="XE75" s="136" t="e">
        <f t="array" aca="1" ref="XE75" ca="1">INDEX(Canals!$AM$24:$AM$29,MATCH(2,1/((Canals!$F$24:$F$29&lt;=$C75)*(Canals!$G$24:$G$29=_xlfn.IFS(SJ75="Handysize",Main!US75,SJ75="Supramax",UL75,SJ75="Panamax",UE75,SJ75="NeoPanamax",TX75,SJ75="Suezmax",TQ75,SJ75="Capesize",TJ75,SJ75="VLOC",TC75)))))</f>
        <v>#N/A</v>
      </c>
      <c r="XF75" s="136" t="e">
        <f t="array" aca="1" ref="XF75" ca="1">INDEX(Canals!$AN$24:$AN$29,MATCH(2,1/((Canals!$F$24:$F$29&lt;=$C75)*(Canals!$G$24:$G$29=_xlfn.IFS(SJ75="Handysize",Main!US75,SJ75="Supramax",UL75,SJ75="Panamax",UE75,SJ75="NeoPanamax",TX75,SJ75="Suezmax",TQ75,SJ75="Capesize",TJ75,SJ75="VLOC",TC75)))))</f>
        <v>#N/A</v>
      </c>
      <c r="XG75" s="136" t="e">
        <f t="array" aca="1" ref="XG75" ca="1">INDEX(Canals!$AO$24:$AO$29,MATCH(2,1/((Canals!$F$24:$F$29&lt;=$C75)*(Canals!$G$24:$G$29=_xlfn.IFS(SJ75="Handysize",Main!US75,SJ75="Supramax",UL75,SJ75="Panamax",UE75,SJ75="NeoPanamax",TX75,SJ75="Suezmax",TQ75,SJ75="Capesize",TJ75,SJ75="VLOC",TC75)))))</f>
        <v>#N/A</v>
      </c>
      <c r="XH75" s="136" t="e">
        <f t="array" aca="1" ref="XH75" ca="1">INDEX(Canals!$AP$24:$AP$29,MATCH(2,1/((Canals!$F$24:$F$29&lt;=$C75)*(Canals!$G$24:$G$29=_xlfn.IFS(SJ75="Handysize",Main!US75,SJ75="Supramax",UL75,SJ75="Panamax",UE75,SJ75="NeoPanamax",TX75,SJ75="Suezmax",TQ75,SJ75="Capesize",TJ75,SJ75="VLOC",TC75)))))</f>
        <v>#N/A</v>
      </c>
      <c r="XI75" s="136" t="e">
        <f t="array" aca="1" ref="XI75" ca="1">INDEX(Canals!$AQ$24:$AQ$29,MATCH(2,1/((Canals!$F$24:$F$29&lt;=$C75)*(Canals!$G$24:$G$29=_xlfn.IFS(SJ75="Handysize",Main!US75,SJ75="Supramax",UL75,SJ75="Panamax",UE75,SJ75="NeoPanamax",TX75,SJ75="Suezmax",TQ75,SJ75="Capesize",TJ75,SJ75="VLOC",TC75)))))</f>
        <v>#N/A</v>
      </c>
      <c r="XJ75" s="136" t="e">
        <f t="array" aca="1" ref="XJ75" ca="1">INDEX(Canals!$AR$24:$AR$29,MATCH(2,1/((Canals!$F$24:$F$29&lt;=$C75)*(Canals!$G$24:$G$29=_xlfn.IFS(SJ75="Handysize",Main!US75,SJ75="Supramax",UL75,SJ75="Panamax",UE75,SJ75="NeoPanamax",TX75,SJ75="Suezmax",TQ75,SJ75="Capesize",TJ75,SJ75="VLOC",TC75)))))</f>
        <v>#N/A</v>
      </c>
      <c r="XK75" s="136" t="e">
        <f t="array" aca="1" ref="XK75" ca="1">INDEX(Canals!$AS$24:$AS$29,MATCH(2,1/((Canals!$F$24:$F$29&lt;=$C75)*(Canals!$G$24:$G$29=_xlfn.IFS(SJ75="Handysize",Main!US75,SJ75="Supramax",UL75,SJ75="Panamax",UE75,SJ75="NeoPanamax",TX75,SJ75="Suezmax",TQ75,SJ75="Capesize",TJ75,SJ75="VLOC",TC75)))))</f>
        <v>#N/A</v>
      </c>
      <c r="XL75" s="136" t="e">
        <f t="array" aca="1" ref="XL75" ca="1">INDEX(Canals!$AT$24:$AT$29,MATCH(2,1/((Canals!$F$24:$F$29&lt;=$C75)*(Canals!$G$24:$G$29=_xlfn.IFS(SJ75="Handysize",Main!US75,SJ75="Supramax",UL75,SJ75="Panamax",UE75,SJ75="NeoPanamax",TX75,SJ75="Suezmax",TQ75,SJ75="Capesize",TJ75,SJ75="VLOC",TC75)))))</f>
        <v>#N/A</v>
      </c>
      <c r="XM75" s="136" t="e">
        <f t="array" aca="1" ref="XM75" ca="1">INDEX(Canals!$AU$24:$AU$29,MATCH(2,1/((Canals!$F$24:$F$29&lt;=$C75)*(Canals!$G$24:$G$29=_xlfn.IFS(SJ75="Handysize",Main!US75,SJ75="Supramax",UL75,SJ75="Panamax",UE75,SJ75="NeoPanamax",TX75,SJ75="Suezmax",TQ75,SJ75="Capesize",TJ75,SJ75="VLOC",TC75)))))</f>
        <v>#N/A</v>
      </c>
      <c r="XN75" s="136" t="e">
        <f t="array" aca="1" ref="XN75" ca="1">INDEX(Canals!$AV$24:$AV$29,MATCH(2,1/((Canals!$F$24:$F$29&lt;=$C75)*(Canals!$G$24:$G$29=_xlfn.IFS(SJ75="Handysize",Main!US75,SJ75="Supramax",UL75,SJ75="Panamax",UE75,SJ75="NeoPanamax",TX75,SJ75="Suezmax",TQ75,SJ75="Capesize",TJ75,SJ75="VLOC",TC75)))))</f>
        <v>#N/A</v>
      </c>
      <c r="XP75" s="75" t="e">
        <f t="array" aca="1" ref="XP75" ca="1">_xlfn.IFS(WA75="DWT",SH75,WA75="NRT",SL75,WA75="GRT",SM75,WA75=0,0)</f>
        <v>#NAME?</v>
      </c>
      <c r="XQ75" s="279" t="e">
        <f t="shared" ca="1" si="836"/>
        <v>#NAME?</v>
      </c>
      <c r="XR75" s="280" t="e">
        <f t="shared" ca="1" si="837"/>
        <v>#NAME?</v>
      </c>
      <c r="XS75" s="280" t="e">
        <f t="shared" ca="1" si="838"/>
        <v>#NAME?</v>
      </c>
      <c r="XT75" s="280" t="e">
        <f t="shared" ca="1" si="839"/>
        <v>#NAME?</v>
      </c>
      <c r="XU75" s="280" t="e">
        <f t="shared" ca="1" si="840"/>
        <v>#NAME?</v>
      </c>
      <c r="XV75" s="280" t="e">
        <f t="shared" ca="1" si="841"/>
        <v>#NAME?</v>
      </c>
      <c r="XW75" s="280" t="e">
        <f t="shared" ca="1" si="842"/>
        <v>#NAME?</v>
      </c>
      <c r="XX75" s="280" t="e">
        <f t="shared" ca="1" si="843"/>
        <v>#NAME?</v>
      </c>
      <c r="XY75" s="280" t="e">
        <f t="shared" ca="1" si="844"/>
        <v>#NAME?</v>
      </c>
      <c r="XZ75" s="75">
        <f t="shared" si="845"/>
        <v>0</v>
      </c>
      <c r="YA75" s="279" t="e">
        <f t="shared" ca="1" si="846"/>
        <v>#N/A</v>
      </c>
      <c r="YB75" s="280" t="e">
        <f t="shared" ca="1" si="847"/>
        <v>#N/A</v>
      </c>
      <c r="YC75" s="280" t="e">
        <f t="shared" ca="1" si="848"/>
        <v>#N/A</v>
      </c>
      <c r="YD75" s="280" t="e">
        <f t="shared" ca="1" si="849"/>
        <v>#N/A</v>
      </c>
      <c r="YE75" s="280" t="e">
        <f t="shared" ca="1" si="850"/>
        <v>#N/A</v>
      </c>
      <c r="YF75" s="280" t="e">
        <f t="shared" ca="1" si="851"/>
        <v>#N/A</v>
      </c>
      <c r="YG75" s="280" t="e">
        <f t="shared" ca="1" si="852"/>
        <v>#N/A</v>
      </c>
      <c r="YH75" s="280" t="e">
        <f t="shared" ca="1" si="853"/>
        <v>#N/A</v>
      </c>
      <c r="YI75" s="280" t="e">
        <f t="shared" ca="1" si="854"/>
        <v>#N/A</v>
      </c>
      <c r="YK75" s="75" t="e">
        <f t="array" aca="1" ref="YK75" ca="1">_xlfn.IFS(SJ75="Handysize",Main!UM75,SJ75="Supramax",UF75,SJ75="Panamax",TY75,SJ75="NeoPanamax",TR75,SJ75="Suezmax",TK75,SJ75="Capesize",TD75,SJ75="VLOC",SW75)*$JI75</f>
        <v>#NAME?</v>
      </c>
      <c r="YL75" s="274" t="e">
        <f t="array" aca="1" ref="YL75" ca="1">_xlfn.IFS(SJ75="Handysize",Main!UN75,SJ75="Supramax",UG75,SJ75="Panamax",TZ75,SJ75="NeoPanamax",TS75,SJ75="Suezmax",TL75,SJ75="Capesize",TE75,SJ75="VLOC",SX75)*$JI75</f>
        <v>#NAME?</v>
      </c>
      <c r="YM75" s="71" t="e">
        <f t="array" aca="1" ref="YM75" ca="1">_xlfn.IFS(SJ75="Handysize",Main!SO75,SJ75="Supramax",SP75,SJ75="Panamax",SQ75,SJ75="NeoPanamax",SR75,SJ75="Suezmax",SS75,SJ75="Capesize",ST75,SJ75="VLOC",SU75)</f>
        <v>#NAME?</v>
      </c>
      <c r="YN75" s="71" t="e">
        <f t="array" aca="1" ref="YN75" ca="1">_xlfn.IFS(SJ75="Handysize",Main!VA75,SJ75="Supramax",VB75,SJ75="Panamax",VC75,SJ75="NeoPanamax",VD75,SJ75="Suezmax",VE75,SJ75="Capesize",VF75,SJ75="VLOC",VG75)</f>
        <v>#NAME?</v>
      </c>
      <c r="YO75" s="70">
        <f t="array" ref="YO75">INDEX('Ship Speeds'!$G$11:$G$1011,MATCH(2,1/(('Ship Speeds'!$E$11:$E$1011&lt;=Main!$C75)*('Ship Speeds'!$F$11:$F$1011=Main!SI75))))</f>
        <v>11</v>
      </c>
      <c r="YP75" s="403">
        <f t="shared" si="855"/>
        <v>0</v>
      </c>
      <c r="YQ75" s="401">
        <f t="shared" si="856"/>
        <v>1.2</v>
      </c>
      <c r="YR75" s="70" t="e">
        <f t="shared" ca="1" si="857"/>
        <v>#NAME?</v>
      </c>
      <c r="YS75" s="70" t="e">
        <f t="shared" ca="1" si="858"/>
        <v>#NAME?</v>
      </c>
      <c r="YT75" s="70" t="e">
        <f t="shared" ca="1" si="859"/>
        <v>#NAME?</v>
      </c>
      <c r="YU75" s="70" t="e">
        <f t="shared" ca="1" si="860"/>
        <v>#NAME?</v>
      </c>
      <c r="YV75" s="72" t="e">
        <f t="shared" ca="1" si="861"/>
        <v>#N/A</v>
      </c>
      <c r="YW75" s="70" t="e">
        <f t="shared" ca="1" si="862"/>
        <v>#NAME?</v>
      </c>
      <c r="YX75" s="70" t="e">
        <f t="array" aca="1" ref="YX75" ca="1">IF(YK75=0,0,INDEX(UU75:UY75,MATCH(_xlfn.IFS(SJ75="Handysize",Main!UQ75,SJ75="Supramax",UJ75,SJ75="Panamax",UC75,SJ75="NeoPanamax",TV75,SJ75="Suezmax",TO75,SJ75="Capesize",TH75,SJ75="VLOC",TA75),$UU$7:$UY$7,0)))</f>
        <v>#NAME?</v>
      </c>
      <c r="YY75" s="70" t="e">
        <f t="array" aca="1" ref="YY75" ca="1">IF(YK75=0,0,INDEX(UU75:UY75,MATCH(_xlfn.IFS(SJ75="Handysize",Main!UR75,SJ75="Supramax",UK75,SJ75="Panamax",UD75,SJ75="NeoPanamax",TW75,SJ75="Suezmax",TP75,SJ75="Capesize",TI75,SJ75="VLOC",TB75),$UU$7:$UY$7,0)))</f>
        <v>#NAME?</v>
      </c>
      <c r="YZ75" s="71" t="e">
        <f t="shared" ca="1" si="863"/>
        <v>#NAME?</v>
      </c>
      <c r="ZA75" s="71" t="e">
        <f t="shared" ca="1" si="864"/>
        <v>#NAME?</v>
      </c>
      <c r="ZB75" s="281" t="e">
        <f t="shared" ca="1" si="865"/>
        <v>#NAME?</v>
      </c>
      <c r="ZC75" s="71" t="e">
        <f t="shared" ca="1" si="866"/>
        <v>#NAME?</v>
      </c>
      <c r="ZD75" s="71" t="e">
        <f t="shared" ca="1" si="867"/>
        <v>#NAME?</v>
      </c>
      <c r="ZE75" s="71" t="e">
        <f t="shared" ca="1" si="868"/>
        <v>#NAME?</v>
      </c>
      <c r="ZF75" s="71" t="e">
        <f t="shared" ca="1" si="869"/>
        <v>#NAME?</v>
      </c>
      <c r="ZG75" s="71" t="e">
        <f t="shared" ca="1" si="870"/>
        <v>#NAME?</v>
      </c>
      <c r="ZH75" s="71" t="e">
        <f t="shared" ca="1" si="871"/>
        <v>#NAME?</v>
      </c>
      <c r="ZI75" s="71" t="e">
        <f t="shared" ca="1" si="872"/>
        <v>#NAME?</v>
      </c>
      <c r="ZJ75" s="71" t="e">
        <f t="shared" ca="1" si="873"/>
        <v>#NAME?</v>
      </c>
      <c r="ZK75" s="71" t="e">
        <f t="shared" ca="1" si="874"/>
        <v>#NAME?</v>
      </c>
      <c r="ZL75" s="71" t="e">
        <f t="shared" ca="1" si="875"/>
        <v>#NAME?</v>
      </c>
      <c r="ZM75" s="71" t="e">
        <f t="shared" ca="1" si="876"/>
        <v>#NAME?</v>
      </c>
      <c r="ZN75" s="71" t="e">
        <f t="shared" ca="1" si="877"/>
        <v>#NAME?</v>
      </c>
      <c r="ZO75" s="72" t="e">
        <f t="shared" ca="1" si="878"/>
        <v>#NAME?</v>
      </c>
      <c r="ZP75" s="72" t="e">
        <f t="shared" ca="1" si="879"/>
        <v>#NAME?</v>
      </c>
      <c r="ZQ75" s="71" t="e">
        <f t="shared" ca="1" si="880"/>
        <v>#NAME?</v>
      </c>
      <c r="ZR75" s="71" t="e">
        <f t="array" aca="1" ref="ZR75" ca="1">IF(YK75=0,0,INDEX('Ship Time Charter Rates'!$H$22:$H$1021,MATCH(2,1/(('Ship Time Charter Rates'!$G$22:$G$1021=_xlfn.IFS(SJ75="Handysize",Main!UO75,SJ75="Supramax",UH75,SJ75="Panamax",UA75,SJ75="NeoPanamax",TT75,SJ75="Suezmax",TM75,SJ75="Capesize",TF75,SJ75="VLOC",SY75))*('Ship Time Charter Rates'!$E$22:$E$1021&lt;=Main!$C75)*(NOT(ISBLANK('Ship Time Charter Rates'!$H$22:$H$1021)))))))</f>
        <v>#NAME?</v>
      </c>
      <c r="ZS75" s="71" t="e">
        <f t="shared" ca="1" si="881"/>
        <v>#NAME?</v>
      </c>
      <c r="ZT75" s="70" t="e">
        <f t="shared" ca="1" si="882"/>
        <v>#NAME?</v>
      </c>
      <c r="ZU75" s="71" t="e">
        <f t="shared" ca="1" si="883"/>
        <v>#NAME?</v>
      </c>
      <c r="ZV75" s="71" t="e">
        <f t="shared" ca="1" si="884"/>
        <v>#NAME?</v>
      </c>
      <c r="ZW75" s="72" t="e">
        <f t="shared" ca="1" si="885"/>
        <v>#NAME?</v>
      </c>
      <c r="ZY75" s="287" t="s">
        <v>39</v>
      </c>
      <c r="AAA75" s="25">
        <f t="shared" si="886"/>
        <v>92911.010558069393</v>
      </c>
      <c r="AAB75" s="4" t="str">
        <f>VLOOKUP(AAA75,'Ship Time Charter Rates'!$F$10:$G$17,2,TRUE)</f>
        <v>Panamax</v>
      </c>
      <c r="AAC75" s="4" t="str">
        <f>VLOOKUP(AAA75,Canals!$E$5:$F$12,2,TRUE)</f>
        <v>Panamax</v>
      </c>
      <c r="AAD75" s="25">
        <f t="shared" si="887"/>
        <v>227.00131221719457</v>
      </c>
      <c r="AAE75" s="25">
        <f t="shared" si="888"/>
        <v>37480.301659125194</v>
      </c>
      <c r="AAF75" s="25">
        <f t="shared" si="889"/>
        <v>53008.523378582213</v>
      </c>
      <c r="AAH75" s="75">
        <f t="array" ref="AAH75">INDEX('Indices Mines Exporting Ports'!$R$20:$R$51,MATCH(2,1/(('Indices Mines Exporting Ports'!$D$20:$D$51&lt;=Main!$C75)*('Indices Mines Exporting Ports'!$Q$20:$Q$51=$AP75))))</f>
        <v>15000</v>
      </c>
      <c r="AAI75" s="75">
        <f t="array" ref="AAI75">INDEX('Indices Mines Exporting Ports'!$S$20:$S$51,MATCH(2,1/(('Indices Mines Exporting Ports'!$D$20:$D$51&lt;=Main!$C75)*('Indices Mines Exporting Ports'!$Q$20:$Q$51=$AP75))))</f>
        <v>15000</v>
      </c>
      <c r="AAJ75" s="75">
        <f t="array" ref="AAJ75">INDEX('Indices Mines Exporting Ports'!$T$20:$T$51,MATCH(2,1/(('Indices Mines Exporting Ports'!$D$20:$D$51&lt;=Main!$C75)*('Indices Mines Exporting Ports'!$Q$20:$Q$51=$AP75))))</f>
        <v>15000</v>
      </c>
      <c r="AAK75" s="75">
        <f t="array" ref="AAK75">INDEX('Indices Mines Exporting Ports'!$U$20:$U$51,MATCH(2,1/(('Indices Mines Exporting Ports'!$D$20:$D$51&lt;=Main!$C75)*('Indices Mines Exporting Ports'!$Q$20:$Q$51=$AP75))))</f>
        <v>15000</v>
      </c>
      <c r="AAL75" s="75">
        <f t="array" ref="AAL75">INDEX('Indices Mines Exporting Ports'!$V$20:$V$51,MATCH(2,1/(('Indices Mines Exporting Ports'!$D$20:$D$51&lt;=Main!$C75)*('Indices Mines Exporting Ports'!$Q$20:$Q$51=$AP75))))</f>
        <v>15000</v>
      </c>
      <c r="AAM75" s="75">
        <f t="array" ref="AAM75">INDEX('Indices Mines Exporting Ports'!$W$20:$W$51,MATCH(2,1/(('Indices Mines Exporting Ports'!$D$20:$D$51&lt;=Main!$C75)*('Indices Mines Exporting Ports'!$Q$20:$Q$51=$AP75))))</f>
        <v>15000</v>
      </c>
      <c r="AAN75" s="75">
        <f t="array" ref="AAN75">INDEX('Indices Mines Exporting Ports'!$X$20:$X$51,MATCH(2,1/(('Indices Mines Exporting Ports'!$D$20:$D$51&lt;=Main!$C75)*('Indices Mines Exporting Ports'!$Q$20:$Q$51=$AP75))))</f>
        <v>15000</v>
      </c>
      <c r="AAP75" s="75">
        <f t="array" ref="AAP75">INDEX('Port Linkages'!$E$18:$E$157,MATCH(2,1/(('Port Linkages'!$C$18:$C$157=$AP75)*('Port Linkages'!$D$18:$D$157=IF($AO75="Yes",$AQ75,$KK75))*('Port Linkages'!$A$18:$A$157&lt;=$C75))))</f>
        <v>2326</v>
      </c>
      <c r="AAQ75" s="75">
        <f t="array" ref="AAQ75">INDEX('Port Linkages'!$F$18:$F$157,MATCH(2,1/(('Port Linkages'!$C$18:$C$157=$AP75)*('Port Linkages'!$D$18:$D$157=IF($AO75="Yes",$AQ75,$KK75))*('Port Linkages'!$A$18:$A$157&lt;=$C75))))</f>
        <v>0</v>
      </c>
      <c r="AAR75" s="75" t="str">
        <f t="array" ref="AAR75">INDEX('Port Linkages'!$G$18:$G$157,MATCH(2,1/(('Port Linkages'!$C$18:$C$157=$AP75)*('Port Linkages'!$D$18:$D$157=IF($AO75="Yes",$AQ75,$KK75))*('Port Linkages'!$A$18:$A$157&lt;=$C75))))</f>
        <v>VLOC_General</v>
      </c>
      <c r="AAS75" s="75" t="str">
        <f t="array" ref="AAS75">INDEX('Port Linkages'!$H$18:$H$157,MATCH(2,1/(('Port Linkages'!$C$18:$C$157=$AP75)*('Port Linkages'!$D$18:$D$157=IF($AO75="Yes",$AQ75,$KK75))*('Port Linkages'!$A$18:$A$157&lt;=$C75))))</f>
        <v>Singapore</v>
      </c>
      <c r="AAT75" s="75" t="str">
        <f t="array" ref="AAT75">INDEX('Port Linkages'!$I$18:$I$157,MATCH(2,1/(('Port Linkages'!$C$18:$C$157=$AP75)*('Port Linkages'!$D$18:$D$157=IF($AO75="Yes",$AQ75,$KK75))*('Port Linkages'!$A$18:$A$157&lt;=$C75))))</f>
        <v>VLSFO</v>
      </c>
      <c r="AAU75" s="75" t="str">
        <f t="array" ref="AAU75">INDEX('Port Linkages'!$J$18:$J$157,MATCH(2,1/(('Port Linkages'!$C$18:$C$157=$AP75)*('Port Linkages'!$D$18:$D$157=IF($AO75="Yes",$AQ75,$KK75))*('Port Linkages'!$A$18:$A$157&lt;=$C75))))</f>
        <v>MGO_Regular</v>
      </c>
      <c r="AAV75" s="75" t="str">
        <f t="array" ref="AAV75">INDEX('Port Linkages'!$K$18:$K$157,MATCH(2,1/(('Port Linkages'!$C$18:$C$157=$AP75)*('Port Linkages'!$D$18:$D$157=IF($AO75="Yes",$AQ75,$KK75))*('Port Linkages'!$A$18:$A$157&lt;=$C75))))</f>
        <v>none</v>
      </c>
      <c r="AAW75" s="75">
        <f t="array" ref="AAW75">INDEX('Port Linkages'!$L$18:$L$157,MATCH(2,1/(('Port Linkages'!$C$18:$C$157=$AP75)*('Port Linkages'!$D$18:$D$157=IF($AO75="Yes",$AQ75,$KK75))*('Port Linkages'!$A$18:$A$157&lt;=$C75))))</f>
        <v>2326</v>
      </c>
      <c r="AAX75" s="75">
        <f t="array" ref="AAX75">INDEX('Port Linkages'!$M$18:$M$157,MATCH(2,1/(('Port Linkages'!$C$18:$C$157=$AP75)*('Port Linkages'!$D$18:$D$157=IF($AO75="Yes",$AQ75,$KK75))*('Port Linkages'!$A$18:$A$157&lt;=$C75))))</f>
        <v>0</v>
      </c>
      <c r="AAY75" s="75" t="str">
        <f t="array" ref="AAY75">INDEX('Port Linkages'!$N$18:$N$157,MATCH(2,1/(('Port Linkages'!$C$18:$C$157=$AP75)*('Port Linkages'!$D$18:$D$157=IF($AO75="Yes",$AQ75,$KK75))*('Port Linkages'!$A$18:$A$157&lt;=$C75))))</f>
        <v>Capesize_General</v>
      </c>
      <c r="AAZ75" s="75" t="str">
        <f t="array" ref="AAZ75">INDEX('Port Linkages'!$O$18:$O$157,MATCH(2,1/(('Port Linkages'!$C$18:$C$157=$AP75)*('Port Linkages'!$D$18:$D$157=IF($AO75="Yes",$AQ75,$KK75))*('Port Linkages'!$A$18:$A$157&lt;=$C75))))</f>
        <v>Singapore</v>
      </c>
      <c r="ABA75" s="75" t="str">
        <f t="array" ref="ABA75">INDEX('Port Linkages'!$P$18:$P$157,MATCH(2,1/(('Port Linkages'!$C$18:$C$157=$AP75)*('Port Linkages'!$D$18:$D$157=IF($AO75="Yes",$AQ75,$KK75))*('Port Linkages'!$A$18:$A$157&lt;=$C75))))</f>
        <v>VLSFO</v>
      </c>
      <c r="ABB75" s="75" t="str">
        <f t="array" ref="ABB75">INDEX('Port Linkages'!$Q$18:$Q$157,MATCH(2,1/(('Port Linkages'!$C$18:$C$157=$AP75)*('Port Linkages'!$D$18:$D$157=IF($AO75="Yes",$AQ75,$KK75))*('Port Linkages'!$A$18:$A$157&lt;=$C75))))</f>
        <v>MGO_Regular</v>
      </c>
      <c r="ABC75" s="75" t="str">
        <f t="array" ref="ABC75">INDEX('Port Linkages'!$R$18:$R$157,MATCH(2,1/(('Port Linkages'!$C$18:$C$157=$AP75)*('Port Linkages'!$D$18:$D$157=IF($AO75="Yes",$AQ75,$KK75))*('Port Linkages'!$A$18:$A$157&lt;=$C75))))</f>
        <v>none</v>
      </c>
      <c r="ABD75" s="75">
        <f t="array" ref="ABD75">INDEX('Port Linkages'!$S$18:$S$157,MATCH(2,1/(('Port Linkages'!$C$18:$C$157=$AP75)*('Port Linkages'!$D$18:$D$157=IF($AO75="Yes",$AQ75,$KK75))*('Port Linkages'!$A$18:$A$157&lt;=$C75))))</f>
        <v>2326</v>
      </c>
      <c r="ABE75" s="75">
        <f t="array" ref="ABE75">INDEX('Port Linkages'!$T$18:$T$157,MATCH(2,1/(('Port Linkages'!$C$18:$C$157=$AP75)*('Port Linkages'!$D$18:$D$157=IF($AO75="Yes",$AQ75,$KK75))*('Port Linkages'!$A$18:$A$157&lt;=$C75))))</f>
        <v>0</v>
      </c>
      <c r="ABF75" s="75" t="str">
        <f t="array" ref="ABF75">INDEX('Port Linkages'!$U$18:$U$157,MATCH(2,1/(('Port Linkages'!$C$18:$C$157=$AP75)*('Port Linkages'!$D$18:$D$157=IF($AO75="Yes",$AQ75,$KK75))*('Port Linkages'!$A$18:$A$157&lt;=$C75))))</f>
        <v>Capesize_General</v>
      </c>
      <c r="ABG75" s="75" t="str">
        <f t="array" ref="ABG75">INDEX('Port Linkages'!$V$18:$V$157,MATCH(2,1/(('Port Linkages'!$C$18:$C$157=$AP75)*('Port Linkages'!$D$18:$D$157=IF($AO75="Yes",$AQ75,$KK75))*('Port Linkages'!$A$18:$A$157&lt;=$C75))))</f>
        <v>Singapore</v>
      </c>
      <c r="ABH75" s="75" t="str">
        <f t="array" ref="ABH75">INDEX('Port Linkages'!$W$18:$W$157,MATCH(2,1/(('Port Linkages'!$C$18:$C$157=$AP75)*('Port Linkages'!$D$18:$D$157=IF($AO75="Yes",$AQ75,$KK75))*('Port Linkages'!$A$18:$A$157&lt;=$C75))))</f>
        <v>VLSFO</v>
      </c>
      <c r="ABI75" s="75" t="str">
        <f t="array" ref="ABI75">INDEX('Port Linkages'!$X$18:$X$157,MATCH(2,1/(('Port Linkages'!$C$18:$C$157=$AP75)*('Port Linkages'!$D$18:$D$157=IF($AO75="Yes",$AQ75,$KK75))*('Port Linkages'!$A$18:$A$157&lt;=$C75))))</f>
        <v>MGO_Regular</v>
      </c>
      <c r="ABJ75" s="75" t="str">
        <f t="array" ref="ABJ75">INDEX('Port Linkages'!$Y$18:$Y$157,MATCH(2,1/(('Port Linkages'!$C$18:$C$157=$AP75)*('Port Linkages'!$D$18:$D$157=IF($AO75="Yes",$AQ75,$KK75))*('Port Linkages'!$A$18:$A$157&lt;=$C75))))</f>
        <v>none</v>
      </c>
      <c r="ABK75" s="75">
        <f t="array" ref="ABK75">INDEX('Port Linkages'!$Z$18:$Z$157,MATCH(2,1/(('Port Linkages'!$C$18:$C$157=$AP75)*('Port Linkages'!$D$18:$D$157=IF($AO75="Yes",$AQ75,$KK75))*('Port Linkages'!$A$18:$A$157&lt;=$C75))))</f>
        <v>2326</v>
      </c>
      <c r="ABL75" s="75">
        <f t="array" ref="ABL75">INDEX('Port Linkages'!$AA$18:$AA$157,MATCH(2,1/(('Port Linkages'!$C$18:$C$157=$AP75)*('Port Linkages'!$D$18:$D$157=IF($AO75="Yes",$AQ75,$KK75))*('Port Linkages'!$A$18:$A$157&lt;=$C75))))</f>
        <v>0</v>
      </c>
      <c r="ABM75" s="75" t="str">
        <f t="array" ref="ABM75">INDEX('Port Linkages'!$AB$18:$AB$157,MATCH(2,1/(('Port Linkages'!$C$18:$C$157=$AP75)*('Port Linkages'!$D$18:$D$157=IF($AO75="Yes",$AQ75,$KK75))*('Port Linkages'!$A$18:$A$157&lt;=$C75))))</f>
        <v>Capesize_General</v>
      </c>
      <c r="ABN75" s="75" t="str">
        <f t="array" ref="ABN75">INDEX('Port Linkages'!$AC$18:$AC$157,MATCH(2,1/(('Port Linkages'!$C$18:$C$157=$AP75)*('Port Linkages'!$D$18:$D$157=IF($AO75="Yes",$AQ75,$KK75))*('Port Linkages'!$A$18:$A$157&lt;=$C75))))</f>
        <v>Singapore</v>
      </c>
      <c r="ABO75" s="75" t="str">
        <f t="array" ref="ABO75">INDEX('Port Linkages'!$AD$18:$AD$157,MATCH(2,1/(('Port Linkages'!$C$18:$C$157=$AP75)*('Port Linkages'!$D$18:$D$157=IF($AO75="Yes",$AQ75,$KK75))*('Port Linkages'!$A$18:$A$157&lt;=$C75))))</f>
        <v>VLSFO</v>
      </c>
      <c r="ABP75" s="75" t="str">
        <f t="array" ref="ABP75">INDEX('Port Linkages'!$AE$18:$AE$157,MATCH(2,1/(('Port Linkages'!$C$18:$C$157=$AP75)*('Port Linkages'!$D$18:$D$157=IF($AO75="Yes",$AQ75,$KK75))*('Port Linkages'!$A$18:$A$157&lt;=$C75))))</f>
        <v>MGO_Regular</v>
      </c>
      <c r="ABQ75" s="75" t="str">
        <f t="array" ref="ABQ75">INDEX('Port Linkages'!$AF$18:$AF$157,MATCH(2,1/(('Port Linkages'!$C$18:$C$157=$AP75)*('Port Linkages'!$D$18:$D$157=IF($AO75="Yes",$AQ75,$KK75))*('Port Linkages'!$A$18:$A$157&lt;=$C75))))</f>
        <v>none</v>
      </c>
      <c r="ABR75" s="75">
        <f t="array" ref="ABR75">INDEX('Port Linkages'!$AG$18:$AG$157,MATCH(2,1/(('Port Linkages'!$C$18:$C$157=$AP75)*('Port Linkages'!$D$18:$D$157=IF($AO75="Yes",$AQ75,$KK75))*('Port Linkages'!$A$18:$A$157&lt;=$C75))))</f>
        <v>2326</v>
      </c>
      <c r="ABS75" s="75">
        <f t="array" ref="ABS75">INDEX('Port Linkages'!$AH$18:$AH$157,MATCH(2,1/(('Port Linkages'!$C$18:$C$157=$AP75)*('Port Linkages'!$D$18:$D$157=IF($AO75="Yes",$AQ75,$KK75))*('Port Linkages'!$A$18:$A$157&lt;=$C75))))</f>
        <v>0</v>
      </c>
      <c r="ABT75" s="75" t="str">
        <f t="array" ref="ABT75">INDEX('Port Linkages'!$AI$18:$AI$157,MATCH(2,1/(('Port Linkages'!$C$18:$C$157=$AP75)*('Port Linkages'!$D$18:$D$157=IF($AO75="Yes",$AQ75,$KK75))*('Port Linkages'!$A$18:$A$157&lt;=$C75))))</f>
        <v>Panamax_General</v>
      </c>
      <c r="ABU75" s="75" t="str">
        <f t="array" ref="ABU75">INDEX('Port Linkages'!$AJ$18:$AJ$157,MATCH(2,1/(('Port Linkages'!$C$18:$C$157=$AP75)*('Port Linkages'!$D$18:$D$157=IF($AO75="Yes",$AQ75,$KK75))*('Port Linkages'!$A$18:$A$157&lt;=$C75))))</f>
        <v>Singapore</v>
      </c>
      <c r="ABV75" s="75" t="str">
        <f t="array" ref="ABV75">INDEX('Port Linkages'!$AK$18:$AK$157,MATCH(2,1/(('Port Linkages'!$C$18:$C$157=$AP75)*('Port Linkages'!$D$18:$D$157=IF($AO75="Yes",$AQ75,$KK75))*('Port Linkages'!$A$18:$A$157&lt;=$C75))))</f>
        <v>VLSFO</v>
      </c>
      <c r="ABW75" s="75" t="str">
        <f t="array" ref="ABW75">INDEX('Port Linkages'!$AL$18:$AL$157,MATCH(2,1/(('Port Linkages'!$C$18:$C$157=$AP75)*('Port Linkages'!$D$18:$D$157=IF($AO75="Yes",$AQ75,$KK75))*('Port Linkages'!$A$18:$A$157&lt;=$C75))))</f>
        <v>MGO_Regular</v>
      </c>
      <c r="ABX75" s="75" t="str">
        <f t="array" ref="ABX75">INDEX('Port Linkages'!$AM$18:$AM$157,MATCH(2,1/(('Port Linkages'!$C$18:$C$157=$AP75)*('Port Linkages'!$D$18:$D$157=IF($AO75="Yes",$AQ75,$KK75))*('Port Linkages'!$A$18:$A$157&lt;=$C75))))</f>
        <v>none</v>
      </c>
      <c r="ABY75" s="75">
        <f t="array" ref="ABY75">INDEX('Port Linkages'!$AN$18:$AN$157,MATCH(2,1/(('Port Linkages'!$C$18:$C$157=$AP75)*('Port Linkages'!$D$18:$D$157=IF($AO75="Yes",$AQ75,$KK75))*('Port Linkages'!$A$18:$A$157&lt;=$C75))))</f>
        <v>2326</v>
      </c>
      <c r="ABZ75" s="75">
        <f t="array" ref="ABZ75">INDEX('Port Linkages'!$AO$18:$AO$157,MATCH(2,1/(('Port Linkages'!$C$18:$C$157=$AP75)*('Port Linkages'!$D$18:$D$157=IF($AO75="Yes",$AQ75,$KK75))*('Port Linkages'!$A$18:$A$157&lt;=$C75))))</f>
        <v>0</v>
      </c>
      <c r="ACA75" s="75" t="str">
        <f t="array" ref="ACA75">INDEX('Port Linkages'!$AP$18:$AP$157,MATCH(2,1/(('Port Linkages'!$C$18:$C$157=$AP75)*('Port Linkages'!$D$18:$D$157=IF($AO75="Yes",$AQ75,$KK75))*('Port Linkages'!$A$18:$A$157&lt;=$C75))))</f>
        <v>Supramax_General</v>
      </c>
      <c r="ACB75" s="75" t="str">
        <f t="array" ref="ACB75">INDEX('Port Linkages'!$AQ$18:$AQ$157,MATCH(2,1/(('Port Linkages'!$C$18:$C$157=$AP75)*('Port Linkages'!$D$18:$D$157=IF($AO75="Yes",$AQ75,$KK75))*('Port Linkages'!$A$18:$A$157&lt;=$C75))))</f>
        <v>Singapore</v>
      </c>
      <c r="ACC75" s="75" t="str">
        <f t="array" ref="ACC75">INDEX('Port Linkages'!$AR$18:$AR$157,MATCH(2,1/(('Port Linkages'!$C$18:$C$157=$AP75)*('Port Linkages'!$D$18:$D$157=IF($AO75="Yes",$AQ75,$KK75))*('Port Linkages'!$A$18:$A$157&lt;=$C75))))</f>
        <v>VLSFO</v>
      </c>
      <c r="ACD75" s="75" t="str">
        <f t="array" ref="ACD75">INDEX('Port Linkages'!$AS$18:$AS$157,MATCH(2,1/(('Port Linkages'!$C$18:$C$157=$AP75)*('Port Linkages'!$D$18:$D$157=IF($AO75="Yes",$AQ75,$KK75))*('Port Linkages'!$A$18:$A$157&lt;=$C75))))</f>
        <v>MGO_Regular</v>
      </c>
      <c r="ACE75" s="75" t="str">
        <f t="array" ref="ACE75">INDEX('Port Linkages'!$AT$18:$AT$157,MATCH(2,1/(('Port Linkages'!$C$18:$C$157=$AP75)*('Port Linkages'!$D$18:$D$157=IF($AO75="Yes",$AQ75,$KK75))*('Port Linkages'!$A$18:$A$157&lt;=$C75))))</f>
        <v>none</v>
      </c>
      <c r="ACF75" s="75">
        <f t="array" ref="ACF75">INDEX('Port Linkages'!$AU$18:$AU$157,MATCH(2,1/(('Port Linkages'!$C$18:$C$157=$AP75)*('Port Linkages'!$D$18:$D$157=IF($AO75="Yes",$AQ75,$KK75))*('Port Linkages'!$A$18:$A$157&lt;=$C75))))</f>
        <v>2326</v>
      </c>
      <c r="ACG75" s="75">
        <f t="array" ref="ACG75">INDEX('Port Linkages'!$AV$18:$AV$157,MATCH(2,1/(('Port Linkages'!$C$18:$C$157=$AP75)*('Port Linkages'!$D$18:$D$157=IF($AO75="Yes",$AQ75,$KK75))*('Port Linkages'!$A$18:$A$157&lt;=$C75))))</f>
        <v>0</v>
      </c>
      <c r="ACH75" s="75" t="str">
        <f t="array" ref="ACH75">INDEX('Port Linkages'!$AW$18:$AW$157,MATCH(2,1/(('Port Linkages'!$C$18:$C$157=$AP75)*('Port Linkages'!$D$18:$D$157=IF($AO75="Yes",$AQ75,$KK75))*('Port Linkages'!$A$18:$A$157&lt;=$C75))))</f>
        <v>Handysize_General</v>
      </c>
      <c r="ACI75" s="75" t="str">
        <f t="array" ref="ACI75">INDEX('Port Linkages'!$AX$18:$AX$157,MATCH(2,1/(('Port Linkages'!$C$18:$C$157=$AP75)*('Port Linkages'!$D$18:$D$157=IF($AO75="Yes",$AQ75,$KK75))*('Port Linkages'!$A$18:$A$157&lt;=$C75))))</f>
        <v>Singapore</v>
      </c>
      <c r="ACJ75" s="75" t="str">
        <f t="array" ref="ACJ75">INDEX('Port Linkages'!$AY$18:$AY$157,MATCH(2,1/(('Port Linkages'!$C$18:$C$157=$AP75)*('Port Linkages'!$D$18:$D$157=IF($AO75="Yes",$AQ75,$KK75))*('Port Linkages'!$A$18:$A$157&lt;=$C75))))</f>
        <v>VLSFO</v>
      </c>
      <c r="ACK75" s="75" t="str">
        <f t="array" ref="ACK75">INDEX('Port Linkages'!$AZ$18:$AZ$157,MATCH(2,1/(('Port Linkages'!$C$18:$C$157=$AP75)*('Port Linkages'!$D$18:$D$157=IF($AO75="Yes",$AQ75,$KK75))*('Port Linkages'!$A$18:$A$157&lt;=$C75))))</f>
        <v>MGO_Regular</v>
      </c>
      <c r="ACL75" s="75" t="str">
        <f t="array" ref="ACL75">INDEX('Port Linkages'!$BA$18:$BA$157,MATCH(2,1/(('Port Linkages'!$C$18:$C$157=$AP75)*('Port Linkages'!$D$18:$D$157=IF($AO75="Yes",$AQ75,$KK75))*('Port Linkages'!$A$18:$A$157&lt;=$C75))))</f>
        <v>none</v>
      </c>
      <c r="ACN75" s="25" t="e">
        <f t="array" aca="1" ref="ACN75" ca="1">INDEX('Ship Fuel Prices'!$F$5:$F$1004,MATCH(2,1/(('Ship Fuel Prices'!$E$5:$E$1004=_xlfn.IFS(AAC75="Handysize",Main!ACI75,AAC75="Supramax",ACB75,AAC75="Panamax",ABU75,AAC75="NeoPanamax",ABN75,AAC75="Suezmax",ABG75,AAC75="Capesize",AAZ75,AAC75="VLOC",AAS75))*('Ship Fuel Prices'!$D$5:$D$1004&lt;=Main!$C75))))</f>
        <v>#N/A</v>
      </c>
      <c r="ACO75" s="25" t="e">
        <f t="array" aca="1" ref="ACO75" ca="1">INDEX('Ship Fuel Prices'!$G$5:$G$1004,MATCH(2,1/(('Ship Fuel Prices'!$E$5:$E$1004=_xlfn.IFS(AAC75="Handysize",Main!ACI75,AAC75="Supramax",ACB75,AAC75="Panamax",ABU75,AAC75="NeoPanamax",ABN75,AAC75="Suezmax",ABG75,AAC75="Capesize",AAZ75,AAC75="VLOC",AAS75))*('Ship Fuel Prices'!$D$5:$D$1004&lt;=Main!$C75))))</f>
        <v>#N/A</v>
      </c>
      <c r="ACP75" s="25" t="e">
        <f t="array" aca="1" ref="ACP75" ca="1">INDEX('Ship Fuel Prices'!$H$5:$H$1004,MATCH(2,1/(('Ship Fuel Prices'!$E$5:$E$1004=_xlfn.IFS(AAC75="Handysize",Main!ACI75,AAC75="Supramax",ACB75,AAC75="Panamax",ABU75,AAC75="NeoPanamax",ABN75,AAC75="Suezmax",ABG75,AAC75="Capesize",AAZ75,AAC75="VLOC",AAS75))*('Ship Fuel Prices'!$D$5:$D$1004&lt;=Main!$C75))))</f>
        <v>#N/A</v>
      </c>
      <c r="ACQ75" s="25" t="e">
        <f t="array" aca="1" ref="ACQ75" ca="1">INDEX('Ship Fuel Prices'!$I$5:$I$1004,MATCH(2,1/(('Ship Fuel Prices'!$E$5:$E$1004=_xlfn.IFS(AAC75="Handysize",Main!ACI75,AAC75="Supramax",ACB75,AAC75="Panamax",ABU75,AAC75="NeoPanamax",ABN75,AAC75="Suezmax",ABG75,AAC75="Capesize",AAZ75,AAC75="VLOC",AAS75))*('Ship Fuel Prices'!$D$5:$D$1004&lt;=Main!$C75))))</f>
        <v>#N/A</v>
      </c>
      <c r="ACR75" s="25" t="e">
        <f t="array" aca="1" ref="ACR75" ca="1">INDEX('Ship Fuel Prices'!$J$5:$J$1004,MATCH(2,1/(('Ship Fuel Prices'!$E$5:$E$1004=_xlfn.IFS(AAC75="Handysize",Main!ACI75,AAC75="Supramax",ACB75,AAC75="Panamax",ABU75,AAC75="NeoPanamax",ABN75,AAC75="Suezmax",ABG75,AAC75="Capesize",AAZ75,AAC75="VLOC",AAS75))*('Ship Fuel Prices'!$D$5:$D$1004&lt;=Main!$C75))))</f>
        <v>#N/A</v>
      </c>
      <c r="ACT75" s="75">
        <f t="array" ref="ACT75">INDEX('China n Importing Ports'!$E$20:$E$41,MATCH(2,1/(('China n Importing Ports'!$D$20:$D$41&lt;=$C75)*('China n Importing Ports'!$C$20:$C$41=IF($AO75="Yes",$AQ75,$KK75)))))</f>
        <v>42500</v>
      </c>
      <c r="ACU75" s="75">
        <f t="array" ref="ACU75">INDEX('China n Importing Ports'!$F$20:$F$41,MATCH(2,1/(('China n Importing Ports'!$D$20:$D$41&lt;=$C75)*('China n Importing Ports'!$C$20:$C$41=IF($AO75="Yes",$AQ75,$KK75)))))</f>
        <v>42500</v>
      </c>
      <c r="ACV75" s="75">
        <f t="array" ref="ACV75">INDEX('China n Importing Ports'!$G$20:$G$41,MATCH(2,1/(('China n Importing Ports'!$D$20:$D$41&lt;=$C75)*('China n Importing Ports'!$C$20:$C$41=IF($AO75="Yes",$AQ75,$KK75)))))</f>
        <v>42500</v>
      </c>
      <c r="ACW75" s="75">
        <f t="array" ref="ACW75">INDEX('China n Importing Ports'!$H$20:$H$41,MATCH(2,1/(('China n Importing Ports'!$D$20:$D$41&lt;=$C75)*('China n Importing Ports'!$C$20:$C$41=IF($AO75="Yes",$AQ75,$KK75)))))</f>
        <v>42500</v>
      </c>
      <c r="ACX75" s="75">
        <f t="array" ref="ACX75">INDEX('China n Importing Ports'!$I$20:$I$41,MATCH(2,1/(('China n Importing Ports'!$D$20:$D$41&lt;=$C75)*('China n Importing Ports'!$C$20:$C$41=IF($AO75="Yes",$AQ75,$KK75)))))</f>
        <v>42500</v>
      </c>
      <c r="ACY75" s="75">
        <f t="array" ref="ACY75">INDEX('China n Importing Ports'!$J$20:$J$41,MATCH(2,1/(('China n Importing Ports'!$D$20:$D$41&lt;=$C75)*('China n Importing Ports'!$C$20:$C$41=IF($AO75="Yes",$AQ75,$KK75)))))</f>
        <v>42500</v>
      </c>
      <c r="ACZ75" s="75">
        <f t="array" ref="ACZ75">INDEX('China n Importing Ports'!$K$20:$K$41,MATCH(2,1/(('China n Importing Ports'!$D$20:$D$41&lt;=$C75)*('China n Importing Ports'!$C$20:$C$41=IF($AO75="Yes",$AQ75,$KK75)))))</f>
        <v>42500</v>
      </c>
      <c r="ADA75" s="75" t="str">
        <f t="array" ref="ADA75">INDEX('China n Importing Ports'!$L$20:$L$41,MATCH(2,1/(('China n Importing Ports'!$D$20:$D$41&lt;=$C75)*('China n Importing Ports'!$C$20:$C$41=IF($AO75="Yes",$AQ75,$KK75)))))</f>
        <v>RMB</v>
      </c>
      <c r="ADB75" s="75">
        <f t="array" ref="ADB75">INDEX('China n Importing Ports'!$M$20:$M$41,MATCH(2,1/(('China n Importing Ports'!$D$20:$D$41&lt;=$C75)*('China n Importing Ports'!$C$20:$C$41=IF($AO75="Yes",$AQ75,$KK75)))))</f>
        <v>12342</v>
      </c>
      <c r="ADC75" s="75">
        <f t="array" ref="ADC75">INDEX('China n Importing Ports'!$N$20:$N$41,MATCH(2,1/(('China n Importing Ports'!$D$20:$D$41&lt;=$C75)*('China n Importing Ports'!$C$20:$C$41=IF($AO75="Yes",$AQ75,$KK75)))))</f>
        <v>0</v>
      </c>
      <c r="ADD75" s="75">
        <f t="array" ref="ADD75">INDEX('China n Importing Ports'!$O$20:$O$41,MATCH(2,1/(('China n Importing Ports'!$D$20:$D$41&lt;=$C75)*('China n Importing Ports'!$C$20:$C$41=IF($AO75="Yes",$AQ75,$KK75)))))</f>
        <v>0</v>
      </c>
      <c r="ADE75" s="136">
        <f t="array" ref="ADE75">INDEX('China n Importing Ports'!$P$20:$P$41,MATCH(2,1/(('China n Importing Ports'!$D$20:$D$41&lt;=$C75)*('China n Importing Ports'!$C$20:$C$41=IF($AO75="Yes",$AQ75,$KK75)))))</f>
        <v>2.64</v>
      </c>
      <c r="ADF75" s="136">
        <f t="array" ref="ADF75">INDEX('China n Importing Ports'!$Q$20:$Q$41,MATCH(2,1/(('China n Importing Ports'!$D$20:$D$41&lt;=$C75)*('China n Importing Ports'!$C$20:$C$41=IF($AO75="Yes",$AQ75,$KK75)))))</f>
        <v>0</v>
      </c>
      <c r="ADG75" s="136">
        <f t="array" ref="ADG75">INDEX('China n Importing Ports'!$R$20:$R$41,MATCH(2,1/(('China n Importing Ports'!$D$20:$D$41&lt;=$C75)*('China n Importing Ports'!$C$20:$C$41=IF($AO75="Yes",$AQ75,$KK75)))))</f>
        <v>0</v>
      </c>
      <c r="ADH75" s="136">
        <f t="array" ref="ADH75">INDEX('China n Importing Ports'!$S$20:$S$41,MATCH(2,1/(('China n Importing Ports'!$D$20:$D$41&lt;=$C75)*('China n Importing Ports'!$C$20:$C$41=IF($AO75="Yes",$AQ75,$KK75)))))</f>
        <v>4.53</v>
      </c>
      <c r="ADI75" s="136">
        <f t="array" ref="ADI75">INDEX('China n Importing Ports'!$T$20:$T$41,MATCH(2,1/(('China n Importing Ports'!$D$20:$D$41&lt;=$C75)*('China n Importing Ports'!$C$20:$C$41=IF($AO75="Yes",$AQ75,$KK75)))))</f>
        <v>0.36699999999999999</v>
      </c>
      <c r="ADJ75" s="136">
        <f t="array" ref="ADJ75">INDEX('China n Importing Ports'!$U$20:$U$41,MATCH(2,1/(('China n Importing Ports'!$D$20:$D$41&lt;=$C75)*('China n Importing Ports'!$C$20:$C$41=IF($AO75="Yes",$AQ75,$KK75)))))</f>
        <v>0.05</v>
      </c>
      <c r="ADK75" s="136">
        <f t="array" ref="ADK75">INDEX('China n Importing Ports'!$V$20:$V$41,MATCH(2,1/(('China n Importing Ports'!$D$20:$D$41&lt;=$C75)*('China n Importing Ports'!$C$20:$C$41=IF($AO75="Yes",$AQ75,$KK75)))))</f>
        <v>0</v>
      </c>
      <c r="ADL75" s="136">
        <f t="array" ref="ADL75">INDEX('China n Importing Ports'!$W$20:$W$41,MATCH(2,1/(('China n Importing Ports'!$D$20:$D$41&lt;=$C75)*('China n Importing Ports'!$C$20:$C$41=IF($AO75="Yes",$AQ75,$KK75)))))</f>
        <v>0</v>
      </c>
      <c r="ADM75" s="136">
        <f t="array" ref="ADM75">INDEX('China n Importing Ports'!$X$20:$X$41,MATCH(2,1/(('China n Importing Ports'!$D$20:$D$41&lt;=$C75)*('China n Importing Ports'!$C$20:$C$41=IF($AO75="Yes",$AQ75,$KK75)))))</f>
        <v>0</v>
      </c>
      <c r="ADN75" s="136">
        <f t="array" ref="ADN75">INDEX('China n Importing Ports'!$Y$20:$Y$41,MATCH(2,1/(('China n Importing Ports'!$D$20:$D$41&lt;=$C75)*('China n Importing Ports'!$C$20:$C$41=IF($AO75="Yes",$AQ75,$KK75)))))</f>
        <v>197</v>
      </c>
      <c r="ADO75" s="136">
        <f t="array" ref="ADO75">INDEX('China n Importing Ports'!$Z$20:$Z$41,MATCH(2,1/(('China n Importing Ports'!$D$20:$D$41&lt;=$C75)*('China n Importing Ports'!$C$20:$C$41=IF($AO75="Yes",$AQ75,$KK75)))))</f>
        <v>0</v>
      </c>
      <c r="ADP75" s="136">
        <f t="array" ref="ADP75">INDEX('China n Importing Ports'!$AA$20:$AA$41,MATCH(2,1/(('China n Importing Ports'!$D$20:$D$41&lt;=$C75)*('China n Importing Ports'!$C$20:$C$41=IF($AO75="Yes",$AQ75,$KK75)))))</f>
        <v>0</v>
      </c>
      <c r="ADR75" s="75" t="e">
        <f t="array" aca="1" ref="ADR75" ca="1">INDEX(Canals!$G$24:$G$29,MATCH(2,1/((Canals!$F$24:$F$29&lt;=$C75)*(Canals!$G$24:$G$29=_xlfn.IFS(AAC75="Handysize",Main!ACL75,AAC75="Supramax",ACE75,AAC75="Panamax",ABX75,AAC75="NeoPanamax",ABQ75,AAC75="Suezmax",ABJ75,AAC75="Capesize",ABC75,AAC75="VLOC",AAV75)))))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S75" s="75" t="e">
        <f t="array" aca="1" ref="ADS75" ca="1">INDEX(Canals!$H$24:$H$29,MATCH(2,1/((Canals!$F$24:$F$29&lt;=$C75)*(Canals!$G$24:$G$29=_xlfn.IFS(AAC75="Handysize",Main!ACL75,AAC75="Supramax",ACE75,AAC75="Panamax",ABX75,AAC75="NeoPanamax",ABQ75,AAC75="Suezmax",ABJ75,AAC75="Capesize",ABC75,AAC75="VLOC",AAV75)))))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T75" s="75" t="e">
        <f t="array" aca="1" ref="ADT75" ca="1">INDEX(Canals!$I$24:$I$29,MATCH(2,1/((Canals!$F$24:$F$29&lt;=$C75)*(Canals!$G$24:$G$29=_xlfn.IFS(AAC75="Handysize",Main!ACL75,AAC75="Supramax",ACE75,AAC75="Panamax",ABX75,AAC75="NeoPanamax",ABQ75,AAC75="Suezmax",ABJ75,AAC75="Capesize",ABC75,AAC75="VLOC",AAV75)))))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U75" s="75" t="e">
        <f t="array" aca="1" ref="ADU75" ca="1">INDEX(Canals!$J$24:$J$29,MATCH(2,1/((Canals!$F$24:$F$29&lt;=$C75)*(Canals!$G$24:$G$29=_xlfn.IFS(AAC75="Handysize",Main!ACL75,AAC75="Supramax",ACE75,AAC75="Panamax",ABX75,AAC75="NeoPanamax",ABQ75,AAC75="Suezmax",ABJ75,AAC75="Capesize",ABC75,AAC75="VLOC",AAV75)))))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V75" s="75" t="e">
        <f t="array" aca="1" ref="ADV75" ca="1">INDEX(Canals!$K$24:$K$29,MATCH(2,1/((Canals!$F$24:$F$29&lt;=$C75)*(Canals!$G$24:$G$29=_xlfn.IFS(AAC75="Handysize",Main!ACL75,AAC75="Supramax",ACE75,AAC75="Panamax",ABX75,AAC75="NeoPanamax",ABQ75,AAC75="Suezmax",ABJ75,AAC75="Capesize",ABC75,AAC75="VLOC",AAV75)))))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W75" s="75" t="e">
        <f t="array" aca="1" ref="ADW75" ca="1">INDEX(Canals!$L$24:$L$29,MATCH(2,1/((Canals!$F$24:$F$29&lt;=$C75)*(Canals!$G$24:$G$29=_xlfn.IFS(AAC75="Handysize",Main!ACL75,AAC75="Supramax",ACE75,AAC75="Panamax",ABX75,AAC75="NeoPanamax",ABQ75,AAC75="Suezmax",ABJ75,AAC75="Capesize",ABC75,AAC75="VLOC",AAV75)))))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X75" s="75" t="e">
        <f t="array" aca="1" ref="ADX75" ca="1">INDEX(Canals!$M$24:$M$29,MATCH(2,1/((Canals!$F$24:$F$29&lt;=$C75)*(Canals!$G$24:$G$29=_xlfn.IFS(AAC75="Handysize",Main!ACL75,AAC75="Supramax",ACE75,AAC75="Panamax",ABX75,AAC75="NeoPanamax",ABQ75,AAC75="Suezmax",ABJ75,AAC75="Capesize",ABC75,AAC75="VLOC",AAV75)))))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Y75" s="75" t="e">
        <f t="array" aca="1" ref="ADY75" ca="1">INDEX(Canals!$N$24:$N$29,MATCH(2,1/((Canals!$F$24:$F$29&lt;=$C75)*(Canals!$G$24:$G$29=_xlfn.IFS(AAC75="Handysize",Main!ACL75,AAC75="Supramax",ACE75,AAC75="Panamax",ABX75,AAC75="NeoPanamax",ABQ75,AAC75="Suezmax",ABJ75,AAC75="Capesize",ABC75,AAC75="VLOC",AAV75)))))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DZ75" s="75" t="e">
        <f t="array" aca="1" ref="ADZ75" ca="1">INDEX(Canals!$O$24:$O$29,MATCH(2,1/((Canals!$F$24:$F$29&lt;=$C75)*(Canals!$G$24:$G$29=_xlfn.IFS(AAC75="Handysize",Main!ACL75,AAC75="Supramax",ACE75,AAC75="Panamax",ABX75,AAC75="NeoPanamax",ABQ75,AAC75="Suezmax",ABJ75,AAC75="Capesize",ABC75,AAC75="VLOC",AAV75)))))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A75" s="75" t="e">
        <f t="array" aca="1" ref="AEA75" ca="1">INDEX(Canals!$P$24:$P$29,MATCH(2,1/((Canals!$F$24:$F$29&lt;=$C75)*(Canals!$G$24:$G$29=_xlfn.IFS(AAC75="Handysize",Main!ACL75,AAC75="Supramax",ACE75,AAC75="Panamax",ABX75,AAC75="NeoPanamax",ABQ75,AAC75="Suezmax",ABJ75,AAC75="Capesize",ABC75,AAC75="VLOC",AAV75)))))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B75" s="75" t="e">
        <f t="array" aca="1" ref="AEB75" ca="1">INDEX(Canals!$Q$24:$Q$29,MATCH(2,1/((Canals!$F$24:$F$29&lt;=$C75)*(Canals!$G$24:$G$29=_xlfn.IFS(AAC75="Handysize",Main!ACL75,AAC75="Supramax",ACE75,AAC75="Panamax",ABX75,AAC75="NeoPanamax",ABQ75,AAC75="Suezmax",ABJ75,AAC75="Capesize",ABC75,AAC75="VLOC",AAV75)))))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C75" s="75" t="e">
        <f t="array" aca="1" ref="AEC75" ca="1">INDEX(Canals!$R$24:$R$29,MATCH(2,1/((Canals!$F$24:$F$29&lt;=$C75)*(Canals!$G$24:$G$29=_xlfn.IFS(AAC75="Handysize",Main!ACL75,AAC75="Supramax",ACE75,AAC75="Panamax",ABX75,AAC75="NeoPanamax",ABQ75,AAC75="Suezmax",ABJ75,AAC75="Capesize",ABC75,AAC75="VLOC",AAV75)))))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D75" s="136" t="e">
        <f t="array" aca="1" ref="AED75" ca="1">INDEX(Canals!$S$24:$S$29,MATCH(2,1/((Canals!$F$24:$F$29&lt;=$C75)*(Canals!$G$24:$G$29=_xlfn.IFS(AAC75="Handysize",Main!ACL75,AAC75="Supramax",ACE75,AAC75="Panamax",ABX75,AAC75="NeoPanamax",ABQ75,AAC75="Suezmax",ABJ75,AAC75="Capesize",ABC75,AAC75="VLOC",AAV75)))))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E75" s="136" t="e">
        <f t="array" aca="1" ref="AEE75" ca="1">INDEX(Canals!$T$24:$T$29,MATCH(2,1/((Canals!$F$24:$F$29&lt;=$C75)*(Canals!$G$24:$G$29=_xlfn.IFS(AAC75="Handysize",Main!ACL75,AAC75="Supramax",ACE75,AAC75="Panamax",ABX75,AAC75="NeoPanamax",ABQ75,AAC75="Suezmax",ABJ75,AAC75="Capesize",ABC75,AAC75="VLOC",AAV75)))))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F75" s="136" t="e">
        <f t="array" aca="1" ref="AEF75" ca="1">INDEX(Canals!$U$24:$U$29,MATCH(2,1/((Canals!$F$24:$F$29&lt;=$C75)*(Canals!$G$24:$G$29=_xlfn.IFS(AAC75="Handysize",Main!ACL75,AAC75="Supramax",ACE75,AAC75="Panamax",ABX75,AAC75="NeoPanamax",ABQ75,AAC75="Suezmax",ABJ75,AAC75="Capesize",ABC75,AAC75="VLOC",AAV75)))))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G75" s="136" t="e">
        <f t="array" aca="1" ref="AEG75" ca="1">INDEX(Canals!$V$24:$V$29,MATCH(2,1/((Canals!$F$24:$F$29&lt;=$C75)*(Canals!$G$24:$G$29=_xlfn.IFS(AAC75="Handysize",Main!ACL75,AAC75="Supramax",ACE75,AAC75="Panamax",ABX75,AAC75="NeoPanamax",ABQ75,AAC75="Suezmax",ABJ75,AAC75="Capesize",ABC75,AAC75="VLOC",AAV75)))))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H75" s="136" t="e">
        <f t="array" aca="1" ref="AEH75" ca="1">INDEX(Canals!$W$24:$W$29,MATCH(2,1/((Canals!$F$24:$F$29&lt;=$C75)*(Canals!$G$24:$G$29=_xlfn.IFS(AAC75="Handysize",Main!ACL75,AAC75="Supramax",ACE75,AAC75="Panamax",ABX75,AAC75="NeoPanamax",ABQ75,AAC75="Suezmax",ABJ75,AAC75="Capesize",ABC75,AAC75="VLOC",AAV75)))))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I75" s="136" t="e">
        <f t="array" aca="1" ref="AEI75" ca="1">INDEX(Canals!$X$24:$X$29,MATCH(2,1/((Canals!$F$24:$F$29&lt;=$C75)*(Canals!$G$24:$G$29=_xlfn.IFS(AAC75="Handysize",Main!ACL75,AAC75="Supramax",ACE75,AAC75="Panamax",ABX75,AAC75="NeoPanamax",ABQ75,AAC75="Suezmax",ABJ75,AAC75="Capesize",ABC75,AAC75="VLOC",AAV75)))))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J75" s="136" t="e">
        <f t="array" aca="1" ref="AEJ75" ca="1">INDEX(Canals!$Y$24:$Y$29,MATCH(2,1/((Canals!$F$24:$F$29&lt;=$C75)*(Canals!$G$24:$G$29=_xlfn.IFS(AAC75="Handysize",Main!ACL75,AAC75="Supramax",ACE75,AAC75="Panamax",ABX75,AAC75="NeoPanamax",ABQ75,AAC75="Suezmax",ABJ75,AAC75="Capesize",ABC75,AAC75="VLOC",AAV75)))))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K75" s="136" t="e">
        <f t="array" aca="1" ref="AEK75" ca="1">INDEX(Canals!$Z$24:$Z$29,MATCH(2,1/((Canals!$F$24:$F$29&lt;=$C75)*(Canals!$G$24:$G$29=_xlfn.IFS(AAC75="Handysize",Main!ACL75,AAC75="Supramax",ACE75,AAC75="Panamax",ABX75,AAC75="NeoPanamax",ABQ75,AAC75="Suezmax",ABJ75,AAC75="Capesize",ABC75,AAC75="VLOC",AAV75)))))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L75" s="136" t="e">
        <f t="array" aca="1" ref="AEL75" ca="1">INDEX(Canals!$AA$24:$AA$29,MATCH(2,1/((Canals!$F$24:$F$29&lt;=$C75)*(Canals!$G$24:$G$29=_xlfn.IFS(AAC75="Handysize",Main!ACL75,AAC75="Supramax",ACE75,AAC75="Panamax",ABX75,AAC75="NeoPanamax",ABQ75,AAC75="Suezmax",ABJ75,AAC75="Capesize",ABC75,AAC75="VLOC",AAV75)))))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M75" s="136" t="e">
        <f t="array" aca="1" ref="AEM75" ca="1">INDEX(Canals!$AB$24:$AB$29,MATCH(2,1/((Canals!$F$24:$F$29&lt;=$C75)*(Canals!$G$24:$G$29=_xlfn.IFS(AAC75="Handysize",Main!ACL75,AAC75="Supramax",ACE75,AAC75="Panamax",ABX75,AAC75="NeoPanamax",ABQ75,AAC75="Suezmax",ABJ75,AAC75="Capesize",ABC75,AAC75="VLOC",AAV75)))))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N75" s="75" t="e">
        <f t="array" aca="1" ref="AEN75" ca="1">INDEX(Canals!$AC$24:$AC$29,MATCH(2,1/((Canals!$F$24:$F$29&lt;=$C75)*(Canals!$G$24:$G$29=_xlfn.IFS(AAC75="Handysize",Main!ACL75,AAC75="Supramax",ACE75,AAC75="Panamax",ABX75,AAC75="NeoPanamax",ABQ75,AAC75="Suezmax",ABJ75,AAC75="Capesize",ABC75,AAC75="VLOC",AAV75)))))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O75" s="75" t="e">
        <f t="array" aca="1" ref="AEO75" ca="1">INDEX(Canals!$AD$24:$AD$29,MATCH(2,1/((Canals!$F$24:$F$29&lt;=$C75)*(Canals!$G$24:$G$29=_xlfn.IFS(AAC75="Handysize",Main!ACL75,AAC75="Supramax",ACE75,AAC75="Panamax",ABX75,AAC75="NeoPanamax",ABQ75,AAC75="Suezmax",ABJ75,AAC75="Capesize",ABC75,AAC75="VLOC",AAV75)))))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P75" s="75" t="e">
        <f t="array" aca="1" ref="AEP75" ca="1">INDEX(Canals!$AE$24:$AE$29,MATCH(2,1/((Canals!$F$24:$F$29&lt;=$C75)*(Canals!$G$24:$G$29=_xlfn.IFS(AAC75="Handysize",Main!ACL75,AAC75="Supramax",ACE75,AAC75="Panamax",ABX75,AAC75="NeoPanamax",ABQ75,AAC75="Suezmax",ABJ75,AAC75="Capesize",ABC75,AAC75="VLOC",AAV75)))))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Q75" s="75" t="e">
        <f t="array" aca="1" ref="AEQ75" ca="1">INDEX(Canals!$AF$24:$AF$29,MATCH(2,1/((Canals!$F$24:$F$29&lt;=$C75)*(Canals!$G$24:$G$29=_xlfn.IFS(AAC75="Handysize",Main!ACL75,AAC75="Supramax",ACE75,AAC75="Panamax",ABX75,AAC75="NeoPanamax",ABQ75,AAC75="Suezmax",ABJ75,AAC75="Capesize",ABC75,AAC75="VLOC",AAV75)))))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R75" s="75" t="e">
        <f t="array" aca="1" ref="AER75" ca="1">INDEX(Canals!$AG$24:$AG$29,MATCH(2,1/((Canals!$F$24:$F$29&lt;=$C75)*(Canals!$G$24:$G$29=_xlfn.IFS(AAC75="Handysize",Main!ACL75,AAC75="Supramax",ACE75,AAC75="Panamax",ABX75,AAC75="NeoPanamax",ABQ75,AAC75="Suezmax",ABJ75,AAC75="Capesize",ABC75,AAC75="VLOC",AAV75)))))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S75" s="75" t="e">
        <f t="array" aca="1" ref="AES75" ca="1">INDEX(Canals!$AH$24:$AH$29,MATCH(2,1/((Canals!$F$24:$F$29&lt;=$C75)*(Canals!$G$24:$G$29=_xlfn.IFS(AAC75="Handysize",Main!ACL75,AAC75="Supramax",ACE75,AAC75="Panamax",ABX75,AAC75="NeoPanamax",ABQ75,AAC75="Suezmax",ABJ75,AAC75="Capesize",ABC75,AAC75="VLOC",AAV75)))))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T75" s="75" t="e">
        <f t="array" aca="1" ref="AET75" ca="1">INDEX(Canals!$AI$24:$AI$29,MATCH(2,1/((Canals!$F$24:$F$29&lt;=$C75)*(Canals!$G$24:$G$29=_xlfn.IFS(AAC75="Handysize",Main!ACL75,AAC75="Supramax",ACE75,AAC75="Panamax",ABX75,AAC75="NeoPanamax",ABQ75,AAC75="Suezmax",ABJ75,AAC75="Capesize",ABC75,AAC75="VLOC",AAV75)))))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U75" s="75" t="e">
        <f t="array" aca="1" ref="AEU75" ca="1">INDEX(Canals!$AJ$24:$AJ$29,MATCH(2,1/((Canals!$F$24:$F$29&lt;=$C75)*(Canals!$G$24:$G$29=_xlfn.IFS(AAC75="Handysize",Main!ACL75,AAC75="Supramax",ACE75,AAC75="Panamax",ABX75,AAC75="NeoPanamax",ABQ75,AAC75="Suezmax",ABJ75,AAC75="Capesize",ABC75,AAC75="VLOC",AAV75)))))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V75" s="75" t="e">
        <f t="array" aca="1" ref="AEV75" ca="1">INDEX(Canals!$AK$24:$AK$29,MATCH(2,1/((Canals!$F$24:$F$29&lt;=$C75)*(Canals!$G$24:$G$29=_xlfn.IFS(AAC75="Handysize",Main!ACL75,AAC75="Supramax",ACE75,AAC75="Panamax",ABX75,AAC75="NeoPanamax",ABQ75,AAC75="Suezmax",ABJ75,AAC75="Capesize",ABC75,AAC75="VLOC",AAV75)))))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W75" s="136" t="e">
        <f t="array" aca="1" ref="AEW75" ca="1">INDEX(Canals!$AL$24:$AL$29,MATCH(2,1/((Canals!$F$24:$F$29&lt;=$C75)*(Canals!$G$24:$G$29=_xlfn.IFS(AAC75="Handysize",Main!ACL75,AAC75="Supramax",ACE75,AAC75="Panamax",ABX75,AAC75="NeoPanamax",ABQ75,AAC75="Suezmax",ABJ75,AAC75="Capesize",ABC75,AAC75="VLOC",AAV75)))))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X75" s="136" t="e">
        <f t="array" aca="1" ref="AEX75" ca="1">INDEX(Canals!$AM$24:$AM$29,MATCH(2,1/((Canals!$F$24:$F$29&lt;=$C75)*(Canals!$G$24:$G$29=_xlfn.IFS(AAC75="Handysize",Main!ACL75,AAC75="Supramax",ACE75,AAC75="Panamax",ABX75,AAC75="NeoPanamax",ABQ75,AAC75="Suezmax",ABJ75,AAC75="Capesize",ABC75,AAC75="VLOC",AAV75)))))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Y75" s="136" t="e">
        <f t="array" aca="1" ref="AEY75" ca="1">INDEX(Canals!$AN$24:$AN$29,MATCH(2,1/((Canals!$F$24:$F$29&lt;=$C75)*(Canals!$G$24:$G$29=_xlfn.IFS(AAC75="Handysize",Main!ACL75,AAC75="Supramax",ACE75,AAC75="Panamax",ABX75,AAC75="NeoPanamax",ABQ75,AAC75="Suezmax",ABJ75,AAC75="Capesize",ABC75,AAC75="VLOC",AAV75)))))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EZ75" s="136" t="e">
        <f t="array" aca="1" ref="AEZ75" ca="1">INDEX(Canals!$AO$24:$AO$29,MATCH(2,1/((Canals!$F$24:$F$29&lt;=$C75)*(Canals!$G$24:$G$29=_xlfn.IFS(AAC75="Handysize",Main!ACL75,AAC75="Supramax",ACE75,AAC75="Panamax",ABX75,AAC75="NeoPanamax",ABQ75,AAC75="Suezmax",ABJ75,AAC75="Capesize",ABC75,AAC75="VLOC",AAV75)))))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A75" s="136" t="e">
        <f t="array" aca="1" ref="AFA75" ca="1">INDEX(Canals!$AP$24:$AP$29,MATCH(2,1/((Canals!$F$24:$F$29&lt;=$C75)*(Canals!$G$24:$G$29=_xlfn.IFS(AAC75="Handysize",Main!ACL75,AAC75="Supramax",ACE75,AAC75="Panamax",ABX75,AAC75="NeoPanamax",ABQ75,AAC75="Suezmax",ABJ75,AAC75="Capesize",ABC75,AAC75="VLOC",AAV75)))))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B75" s="136" t="e">
        <f t="array" aca="1" ref="AFB75" ca="1">INDEX(Canals!$AQ$24:$AQ$29,MATCH(2,1/((Canals!$F$24:$F$29&lt;=$C75)*(Canals!$G$24:$G$29=_xlfn.IFS(AAC75="Handysize",Main!ACL75,AAC75="Supramax",ACE75,AAC75="Panamax",ABX75,AAC75="NeoPanamax",ABQ75,AAC75="Suezmax",ABJ75,AAC75="Capesize",ABC75,AAC75="VLOC",AAV75)))))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C75" s="136" t="e">
        <f t="array" aca="1" ref="AFC75" ca="1">INDEX(Canals!$AR$24:$AR$29,MATCH(2,1/((Canals!$F$24:$F$29&lt;=$C75)*(Canals!$G$24:$G$29=_xlfn.IFS(AAC75="Handysize",Main!ACL75,AAC75="Supramax",ACE75,AAC75="Panamax",ABX75,AAC75="NeoPanamax",ABQ75,AAC75="Suezmax",ABJ75,AAC75="Capesize",ABC75,AAC75="VLOC",AAV75)))))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D75" s="136" t="e">
        <f t="array" aca="1" ref="AFD75" ca="1">INDEX(Canals!$AS$24:$AS$29,MATCH(2,1/((Canals!$F$24:$F$29&lt;=$C75)*(Canals!$G$24:$G$29=_xlfn.IFS(AAC75="Handysize",Main!ACL75,AAC75="Supramax",ACE75,AAC75="Panamax",ABX75,AAC75="NeoPanamax",ABQ75,AAC75="Suezmax",ABJ75,AAC75="Capesize",ABC75,AAC75="VLOC",AAV75)))))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E75" s="136" t="e">
        <f t="array" aca="1" ref="AFE75" ca="1">INDEX(Canals!$AT$24:$AT$29,MATCH(2,1/((Canals!$F$24:$F$29&lt;=$C75)*(Canals!$G$24:$G$29=_xlfn.IFS(AAC75="Handysize",Main!ACL75,AAC75="Supramax",ACE75,AAC75="Panamax",ABX75,AAC75="NeoPanamax",ABQ75,AAC75="Suezmax",ABJ75,AAC75="Capesize",ABC75,AAC75="VLOC",AAV75)))))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F75" s="136" t="e">
        <f t="array" aca="1" ref="AFF75" ca="1">INDEX(Canals!$AU$24:$AU$29,MATCH(2,1/((Canals!$F$24:$F$29&lt;=$C75)*(Canals!$G$24:$G$29=_xlfn.IFS(AAC75="Handysize",Main!ACL75,AAC75="Supramax",ACE75,AAC75="Panamax",ABX75,AAC75="NeoPanamax",ABQ75,AAC75="Suezmax",ABJ75,AAC75="Capesize",ABC75,AAC75="VLOC",AAV75)))))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G75" s="136" t="e">
        <f t="array" aca="1" ref="AFG75" ca="1">INDEX(Canals!$AV$24:$AV$29,MATCH(2,1/((Canals!$F$24:$F$29&lt;=$C75)*(Canals!$G$24:$G$29=_xlfn.IFS(AAC75="Handysize",Main!ACL75,AAC75="Supramax",ACE75,AAC75="Panamax",ABX75,AAC75="NeoPanamax",ABQ75,AAC75="Suezmax",ABJ75,AAC75="Capesize",ABC75,AAC75="VLOC",AAV75)))))</f>
        <v>#N/A</v>
      </c>
      <c r="AFI75" s="75" t="e">
        <f t="array" aca="1" ref="AFI75" ca="1">_xlfn.IFS(ADT75="DWT",AAA75,ADT75="NRT",AAE75,ADT75="GRT",AAF75)</f>
        <v>#NAME?</v>
      </c>
      <c r="AFJ75" s="279" t="e">
        <f t="shared" ca="1" si="890"/>
        <v>#NAME?</v>
      </c>
      <c r="AFK75" s="280" t="e">
        <f t="shared" ca="1" si="891"/>
        <v>#NAME?</v>
      </c>
      <c r="AFL75" s="280" t="e">
        <f t="shared" ca="1" si="892"/>
        <v>#NAME?</v>
      </c>
      <c r="AFM75" s="280" t="e">
        <f t="shared" ca="1" si="893"/>
        <v>#NAME?</v>
      </c>
      <c r="AFN75" s="280" t="e">
        <f t="shared" ca="1" si="894"/>
        <v>#NAME?</v>
      </c>
      <c r="AFO75" s="280" t="e">
        <f t="shared" ca="1" si="895"/>
        <v>#NAME?</v>
      </c>
      <c r="AFP75" s="280" t="e">
        <f t="shared" ca="1" si="896"/>
        <v>#NAME?</v>
      </c>
      <c r="AFQ75" s="280" t="e">
        <f t="shared" ca="1" si="897"/>
        <v>#NAME?</v>
      </c>
      <c r="AFR75" s="280" t="e">
        <f t="shared" ca="1" si="898"/>
        <v>#NAME?</v>
      </c>
      <c r="AFS75" s="75">
        <f t="shared" si="899"/>
        <v>90588.23529411765</v>
      </c>
      <c r="AFT75" s="279" t="e">
        <f t="shared" ca="1" si="900"/>
        <v>#N/A</v>
      </c>
      <c r="AFU75" s="280" t="e">
        <f t="shared" ca="1" si="901"/>
        <v>#N/A</v>
      </c>
      <c r="AFV75" s="280" t="e">
        <f t="shared" ca="1" si="902"/>
        <v>#N/A</v>
      </c>
      <c r="AFW75" s="280" t="e">
        <f t="shared" ca="1" si="903"/>
        <v>#N/A</v>
      </c>
      <c r="AFX75" s="280" t="e">
        <f t="shared" ca="1" si="904"/>
        <v>#N/A</v>
      </c>
      <c r="AFY75" s="280" t="e">
        <f t="shared" ca="1" si="905"/>
        <v>#N/A</v>
      </c>
      <c r="AFZ75" s="280" t="e">
        <f t="shared" ca="1" si="906"/>
        <v>#N/A</v>
      </c>
      <c r="AGA75" s="280" t="e">
        <f t="shared" ca="1" si="907"/>
        <v>#N/A</v>
      </c>
      <c r="AGB75" s="280" t="e">
        <f t="shared" ca="1" si="908"/>
        <v>#N/A</v>
      </c>
      <c r="AGD75" s="75" t="e">
        <f t="array" aca="1" ref="AGD75" ca="1">_xlfn.IFS(AAC75="Handysize",Main!ACF75,AAC75="Supramax",ABY75,AAC75="Panamax",ABR75,AAC75="NeoPanamax",ABK75,AAC75="Suezmax",ABD75,AAC75="Capesize",AAW75,AAC75="VLOC",AAP75)*$JI75</f>
        <v>#NAME?</v>
      </c>
      <c r="AGE75" s="274" t="e">
        <f t="array" aca="1" ref="AGE75" ca="1">_xlfn.IFS(AAC75="Handysize",Main!ACG75,AAC75="Supramax",ABZ75,AAC75="Panamax",ABS75,AAC75="NeoPanamax",ABL75,AAC75="Suezmax",ABE75,AAC75="Capesize",AAX75,AAC75="VLOC",AAQ75)*$JI75</f>
        <v>#NAME?</v>
      </c>
      <c r="AGF75" s="71" t="e">
        <f t="array" aca="1" ref="AGF75" ca="1">_xlfn.IFS(AAC75="Handysize",Main!AAH75,AAC75="Supramax",AAI75,AAC75="Panamax",AAJ75,AAC75="NeoPanamax",AAK75,AAC75="Suezmax",AAL75,AAC75="Capesize",AAM75,AAC75="VLOC",AAN75)</f>
        <v>#NAME?</v>
      </c>
      <c r="AGG75" s="71" t="e">
        <f t="array" aca="1" ref="AGG75" ca="1">_xlfn.IFS(AAC75="Handysize",Main!ACT75,AAC75="Supramax",ACU75,AAC75="Panamax",ACV75,AAC75="NeoPanamax",ACW75,AAC75="Suezmax",ACX75,AAC75="Capesize",ACY75,AAC75="VLOC",ACZ75)</f>
        <v>#NAME?</v>
      </c>
      <c r="AGH75" s="70">
        <f t="array" ref="AGH75">INDEX('Ship Speeds'!$G$11:$G$1011,MATCH(2,1/(('Ship Speeds'!$E$11:$E$1011&lt;=Main!$C75)*('Ship Speeds'!$F$11:$F$1011=Main!AAB75))))</f>
        <v>11</v>
      </c>
      <c r="AGI75" s="403">
        <f t="shared" si="909"/>
        <v>23.70260984288554</v>
      </c>
      <c r="AGJ75" s="401">
        <f t="shared" si="910"/>
        <v>2.1922895927601811</v>
      </c>
      <c r="AGK75" s="70" t="e">
        <f t="shared" ca="1" si="911"/>
        <v>#NAME?</v>
      </c>
      <c r="AGL75" s="70" t="e">
        <f t="shared" ca="1" si="912"/>
        <v>#NAME?</v>
      </c>
      <c r="AGM75" s="70" t="e">
        <f t="shared" ca="1" si="913"/>
        <v>#NAME?</v>
      </c>
      <c r="AGN75" s="70" t="e">
        <f t="shared" ca="1" si="914"/>
        <v>#NAME?</v>
      </c>
      <c r="AGO75" s="72" t="e">
        <f t="shared" ca="1" si="915"/>
        <v>#N/A</v>
      </c>
      <c r="AGP75" s="70" t="e">
        <f t="shared" ca="1" si="916"/>
        <v>#NAME?</v>
      </c>
      <c r="AGQ75" s="70" t="e">
        <f t="array" aca="1" ref="AGQ75" ca="1">INDEX(ACN75:ACR75,MATCH(_xlfn.IFS(AAC75="Handysize",Main!ACJ75,AAC75="Supramax",ACC75,AAC75="Panamax",ABV75,AAC75="NeoPanamax",ABO75,AAC75="Suezmax",ABH75,AAC75="Capesize",ABA75,AAC75="VLOC",AAT75),$ACN$7:$ACR$7,0))</f>
        <v>#NAME?</v>
      </c>
      <c r="AGR75" s="70" t="e">
        <f t="array" aca="1" ref="AGR75" ca="1">INDEX(ACN75:ACR75,MATCH(_xlfn.IFS(AAC75="Handysize",Main!ACK75,AAC75="Supramax",ACD75,AAC75="Panamax",ABW75,AAC75="NeoPanamax",ABP75,AAC75="Suezmax",ABI75,AAC75="Capesize",ABB75,AAC75="VLOC",AAU75),$ACN$7:$ACR$7,0))</f>
        <v>#NAME?</v>
      </c>
      <c r="AGS75" s="71" t="e">
        <f t="shared" ca="1" si="917"/>
        <v>#NAME?</v>
      </c>
      <c r="AGT75" s="71" t="e">
        <f t="shared" ca="1" si="918"/>
        <v>#NAME?</v>
      </c>
      <c r="AGU75" s="281">
        <f t="shared" si="919"/>
        <v>7.0834199999999994</v>
      </c>
      <c r="AGV75" s="71">
        <f t="shared" si="920"/>
        <v>1742.3786814843679</v>
      </c>
      <c r="AGW75" s="71" t="e">
        <f t="shared" ca="1" si="921"/>
        <v>#NAME?</v>
      </c>
      <c r="AGX75" s="71" t="e">
        <f t="shared" ca="1" si="922"/>
        <v>#NAME?</v>
      </c>
      <c r="AGY75" s="71">
        <f t="shared" si="923"/>
        <v>33762.355073745537</v>
      </c>
      <c r="AGZ75" s="71" t="e">
        <f t="shared" ca="1" si="924"/>
        <v>#NAME?</v>
      </c>
      <c r="AHA75" s="71" t="e">
        <f t="shared" ca="1" si="925"/>
        <v>#NAME?</v>
      </c>
      <c r="AHB75" s="71">
        <f t="shared" si="926"/>
        <v>23969.461999406663</v>
      </c>
      <c r="AHC75" s="71" t="e">
        <f t="shared" ca="1" si="927"/>
        <v>#NAME?</v>
      </c>
      <c r="AHD75" s="71" t="e">
        <f t="shared" ca="1" si="928"/>
        <v>#NAME?</v>
      </c>
      <c r="AHE75" s="71">
        <f t="shared" si="929"/>
        <v>0</v>
      </c>
      <c r="AHF75" s="71" t="e">
        <f t="shared" ca="1" si="930"/>
        <v>#NAME?</v>
      </c>
      <c r="AHG75" s="71" t="e">
        <f t="shared" ca="1" si="931"/>
        <v>#NAME?</v>
      </c>
      <c r="AHH75" s="72">
        <f t="shared" si="932"/>
        <v>6313.2298390872393</v>
      </c>
      <c r="AHI75" s="72" t="e">
        <f t="shared" ca="1" si="933"/>
        <v>#NAME?</v>
      </c>
      <c r="AHJ75" s="71" t="e">
        <f t="shared" ca="1" si="934"/>
        <v>#NAME?</v>
      </c>
      <c r="AHK75" s="71" t="e">
        <f t="array" aca="1" ref="AHK75" ca="1">INDEX('Ship Time Charter Rates'!$H$22:$H$1021,MATCH(2,1/(('Ship Time Charter Rates'!$G$22:$G$1021=_xlfn.IFS(AAC75="Handysize",Main!ACH75,AAC75="Supramax",ACA75,AAC75="Panamax",ABT75,AAC75="NeoPanamax",ABM75,AAC75="Suezmax",ABF75,AAC75="Capesize",AAY75,AAC75="VLOC",AAR75))*('Ship Time Charter Rates'!$E$22:$E$1021&lt;=Main!$C75)*(NOT(ISBLANK('Ship Time Charter Rates'!$H$22:$H$1021))))))</f>
        <v>#N/A</v>
      </c>
      <c r="AHL75" s="71" t="e">
        <f t="shared" ca="1" si="935"/>
        <v>#NAME?</v>
      </c>
      <c r="AHM75" s="70" t="e">
        <f t="shared" ca="1" si="936"/>
        <v>#N/A</v>
      </c>
      <c r="AHN75" s="71" t="e">
        <f t="shared" ca="1" si="937"/>
        <v>#NAME?</v>
      </c>
      <c r="AHO75" s="71" t="e">
        <f t="shared" ca="1" si="938"/>
        <v>#NAME?</v>
      </c>
      <c r="AHP75" s="72" t="e">
        <f t="shared" ca="1" si="939"/>
        <v>#NAME?</v>
      </c>
      <c r="AHR75" s="25">
        <f t="shared" si="940"/>
        <v>0</v>
      </c>
      <c r="AHS75" s="4" t="str">
        <f>VLOOKUP(AHR75,'Ship Time Charter Rates'!$F$10:$G$17,2,TRUE)</f>
        <v>Handysize</v>
      </c>
      <c r="AHT75" s="4" t="str">
        <f>VLOOKUP(AHR75,Canals!$E$5:$F$12,2,TRUE)</f>
        <v>Handysize</v>
      </c>
      <c r="AHU75" s="25">
        <f t="shared" si="941"/>
        <v>145.88999999999999</v>
      </c>
      <c r="AHV75" s="25">
        <f t="shared" si="942"/>
        <v>0</v>
      </c>
      <c r="AHW75" s="25">
        <f t="shared" si="943"/>
        <v>4797</v>
      </c>
      <c r="AHY75" s="75">
        <f t="array" ref="AHY75">INDEX('Indices Mines Exporting Ports'!$R$20:$R$51,MATCH(2,1/(('Indices Mines Exporting Ports'!$D$20:$D$51&lt;=Main!$C75)*('Indices Mines Exporting Ports'!$Q$20:$Q$51=$AQ75))))</f>
        <v>0</v>
      </c>
      <c r="AHZ75" s="75">
        <f t="array" ref="AHZ75">INDEX('Indices Mines Exporting Ports'!$S$20:$S$51,MATCH(2,1/(('Indices Mines Exporting Ports'!$D$20:$D$51&lt;=Main!$C75)*('Indices Mines Exporting Ports'!$Q$20:$Q$51=$AQ75))))</f>
        <v>0</v>
      </c>
      <c r="AIA75" s="75">
        <f t="array" ref="AIA75">INDEX('Indices Mines Exporting Ports'!$T$20:$T$51,MATCH(2,1/(('Indices Mines Exporting Ports'!$D$20:$D$51&lt;=Main!$C75)*('Indices Mines Exporting Ports'!$Q$20:$Q$51=$AQ75))))</f>
        <v>0</v>
      </c>
      <c r="AIB75" s="75">
        <f t="array" ref="AIB75">INDEX('Indices Mines Exporting Ports'!$U$20:$U$51,MATCH(2,1/(('Indices Mines Exporting Ports'!$D$20:$D$51&lt;=Main!$C75)*('Indices Mines Exporting Ports'!$Q$20:$Q$51=$AQ75))))</f>
        <v>0</v>
      </c>
      <c r="AIC75" s="75">
        <f t="array" ref="AIC75">INDEX('Indices Mines Exporting Ports'!$V$20:$V$51,MATCH(2,1/(('Indices Mines Exporting Ports'!$D$20:$D$51&lt;=Main!$C75)*('Indices Mines Exporting Ports'!$Q$20:$Q$51=$AQ75))))</f>
        <v>0</v>
      </c>
      <c r="AID75" s="75">
        <f t="array" ref="AID75">INDEX('Indices Mines Exporting Ports'!$W$20:$W$51,MATCH(2,1/(('Indices Mines Exporting Ports'!$D$20:$D$51&lt;=Main!$C75)*('Indices Mines Exporting Ports'!$Q$20:$Q$51=$AQ75))))</f>
        <v>0</v>
      </c>
      <c r="AIE75" s="75">
        <f t="array" ref="AIE75">INDEX('Indices Mines Exporting Ports'!$X$20:$X$51,MATCH(2,1/(('Indices Mines Exporting Ports'!$D$20:$D$51&lt;=Main!$C75)*('Indices Mines Exporting Ports'!$Q$20:$Q$51=$AQ75))))</f>
        <v>0</v>
      </c>
      <c r="AIG75" s="75">
        <f t="array" ref="AIG75">INDEX('Port Linkages'!$E$18:$E$157,MATCH(2,1/(('Port Linkages'!$C$18:$C$157=$AQ75)*('Port Linkages'!$D$18:$D$157=IF($AO75="no",$AQ75,$KK75))*('Port Linkages'!$A$18:$A$157&lt;=$C75))))</f>
        <v>0</v>
      </c>
      <c r="AIH75" s="75">
        <f t="array" ref="AIH75">INDEX('Port Linkages'!$F$18:$F$157,MATCH(2,1/(('Port Linkages'!$C$18:$C$157=$AQ75)*('Port Linkages'!$D$18:$D$157=IF($AO75="no",$AQ75,$KK75))*('Port Linkages'!$A$18:$A$157&lt;=$C75))))</f>
        <v>0</v>
      </c>
      <c r="AII75" s="75">
        <f t="array" ref="AII75">INDEX('Port Linkages'!$G$18:$G$157,MATCH(2,1/(('Port Linkages'!$C$18:$C$157=$AQ75)*('Port Linkages'!$D$18:$D$157=IF($AO75="no",$AQ75,$KK75))*('Port Linkages'!$A$18:$A$157&lt;=$C75))))</f>
        <v>0</v>
      </c>
      <c r="AIJ75" s="75">
        <f t="array" ref="AIJ75">INDEX('Port Linkages'!$H$18:$H$157,MATCH(2,1/(('Port Linkages'!$C$18:$C$157=$AQ75)*('Port Linkages'!$D$18:$D$157=IF($AO75="no",$AQ75,$KK75))*('Port Linkages'!$A$18:$A$157&lt;=$C75))))</f>
        <v>0</v>
      </c>
      <c r="AIK75" s="75">
        <f t="array" ref="AIK75">INDEX('Port Linkages'!$I$18:$I$157,MATCH(2,1/(('Port Linkages'!$C$18:$C$157=$AQ75)*('Port Linkages'!$D$18:$D$157=IF($AO75="no",$AQ75,$KK75))*('Port Linkages'!$A$18:$A$157&lt;=$C75))))</f>
        <v>0</v>
      </c>
      <c r="AIL75" s="75">
        <f t="array" ref="AIL75">INDEX('Port Linkages'!$J$18:$J$157,MATCH(2,1/(('Port Linkages'!$C$18:$C$157=$AQ75)*('Port Linkages'!$D$18:$D$157=IF($AO75="no",$AQ75,$KK75))*('Port Linkages'!$A$18:$A$157&lt;=$C75))))</f>
        <v>0</v>
      </c>
      <c r="AIM75" s="75">
        <f t="array" ref="AIM75">INDEX('Port Linkages'!$K$18:$K$157,MATCH(2,1/(('Port Linkages'!$C$18:$C$157=$AQ75)*('Port Linkages'!$D$18:$D$157=IF($AO75="no",$AQ75,$KK75))*('Port Linkages'!$A$18:$A$157&lt;=$C75))))</f>
        <v>0</v>
      </c>
      <c r="AIN75" s="75">
        <f t="array" ref="AIN75">INDEX('Port Linkages'!$L$18:$L$157,MATCH(2,1/(('Port Linkages'!$C$18:$C$157=$AQ75)*('Port Linkages'!$D$18:$D$157=IF($AO75="no",$AQ75,$KK75))*('Port Linkages'!$A$18:$A$157&lt;=$C75))))</f>
        <v>0</v>
      </c>
      <c r="AIO75" s="75">
        <f t="array" ref="AIO75">INDEX('Port Linkages'!$M$18:$M$157,MATCH(2,1/(('Port Linkages'!$C$18:$C$157=$AQ75)*('Port Linkages'!$D$18:$D$157=IF($AO75="no",$AQ75,$KK75))*('Port Linkages'!$A$18:$A$157&lt;=$C75))))</f>
        <v>0</v>
      </c>
      <c r="AIP75" s="75">
        <f t="array" ref="AIP75">INDEX('Port Linkages'!$N$18:$N$157,MATCH(2,1/(('Port Linkages'!$C$18:$C$157=$AQ75)*('Port Linkages'!$D$18:$D$157=IF($AO75="no",$AQ75,$KK75))*('Port Linkages'!$A$18:$A$157&lt;=$C75))))</f>
        <v>0</v>
      </c>
      <c r="AIQ75" s="75">
        <f t="array" ref="AIQ75">INDEX('Port Linkages'!$O$18:$O$157,MATCH(2,1/(('Port Linkages'!$C$18:$C$157=$AQ75)*('Port Linkages'!$D$18:$D$157=IF($AO75="no",$AQ75,$KK75))*('Port Linkages'!$A$18:$A$157&lt;=$C75))))</f>
        <v>0</v>
      </c>
      <c r="AIR75" s="75">
        <f t="array" ref="AIR75">INDEX('Port Linkages'!$P$18:$P$157,MATCH(2,1/(('Port Linkages'!$C$18:$C$157=$AQ75)*('Port Linkages'!$D$18:$D$157=IF($AO75="no",$AQ75,$KK75))*('Port Linkages'!$A$18:$A$157&lt;=$C75))))</f>
        <v>0</v>
      </c>
      <c r="AIS75" s="75">
        <f t="array" ref="AIS75">INDEX('Port Linkages'!$Q$18:$Q$157,MATCH(2,1/(('Port Linkages'!$C$18:$C$157=$AQ75)*('Port Linkages'!$D$18:$D$157=IF($AO75="no",$AQ75,$KK75))*('Port Linkages'!$A$18:$A$157&lt;=$C75))))</f>
        <v>0</v>
      </c>
      <c r="AIT75" s="75">
        <f t="array" ref="AIT75">INDEX('Port Linkages'!$R$18:$R$157,MATCH(2,1/(('Port Linkages'!$C$18:$C$157=$AQ75)*('Port Linkages'!$D$18:$D$157=IF($AO75="no",$AQ75,$KK75))*('Port Linkages'!$A$18:$A$157&lt;=$C75))))</f>
        <v>0</v>
      </c>
      <c r="AIU75" s="75">
        <f t="array" ref="AIU75">INDEX('Port Linkages'!$S$18:$S$157,MATCH(2,1/(('Port Linkages'!$C$18:$C$157=$AQ75)*('Port Linkages'!$D$18:$D$157=IF($AO75="no",$AQ75,$KK75))*('Port Linkages'!$A$18:$A$157&lt;=$C75))))</f>
        <v>0</v>
      </c>
      <c r="AIV75" s="75">
        <f t="array" ref="AIV75">INDEX('Port Linkages'!$T$18:$T$157,MATCH(2,1/(('Port Linkages'!$C$18:$C$157=$AQ75)*('Port Linkages'!$D$18:$D$157=IF($AO75="no",$AQ75,$KK75))*('Port Linkages'!$A$18:$A$157&lt;=$C75))))</f>
        <v>0</v>
      </c>
      <c r="AIW75" s="75">
        <f t="array" ref="AIW75">INDEX('Port Linkages'!$U$18:$U$157,MATCH(2,1/(('Port Linkages'!$C$18:$C$157=$AQ75)*('Port Linkages'!$D$18:$D$157=IF($AO75="no",$AQ75,$KK75))*('Port Linkages'!$A$18:$A$157&lt;=$C75))))</f>
        <v>0</v>
      </c>
      <c r="AIX75" s="75">
        <f t="array" ref="AIX75">INDEX('Port Linkages'!$V$18:$V$157,MATCH(2,1/(('Port Linkages'!$C$18:$C$157=$AQ75)*('Port Linkages'!$D$18:$D$157=IF($AO75="no",$AQ75,$KK75))*('Port Linkages'!$A$18:$A$157&lt;=$C75))))</f>
        <v>0</v>
      </c>
      <c r="AIY75" s="75">
        <f t="array" ref="AIY75">INDEX('Port Linkages'!$W$18:$W$157,MATCH(2,1/(('Port Linkages'!$C$18:$C$157=$AQ75)*('Port Linkages'!$D$18:$D$157=IF($AO75="no",$AQ75,$KK75))*('Port Linkages'!$A$18:$A$157&lt;=$C75))))</f>
        <v>0</v>
      </c>
      <c r="AIZ75" s="75">
        <f t="array" ref="AIZ75">INDEX('Port Linkages'!$X$18:$X$157,MATCH(2,1/(('Port Linkages'!$C$18:$C$157=$AQ75)*('Port Linkages'!$D$18:$D$157=IF($AO75="no",$AQ75,$KK75))*('Port Linkages'!$A$18:$A$157&lt;=$C75))))</f>
        <v>0</v>
      </c>
      <c r="AJA75" s="75">
        <f t="array" ref="AJA75">INDEX('Port Linkages'!$Y$18:$Y$157,MATCH(2,1/(('Port Linkages'!$C$18:$C$157=$AQ75)*('Port Linkages'!$D$18:$D$157=IF($AO75="no",$AQ75,$KK75))*('Port Linkages'!$A$18:$A$157&lt;=$C75))))</f>
        <v>0</v>
      </c>
      <c r="AJB75" s="75">
        <f t="array" ref="AJB75">INDEX('Port Linkages'!$Z$18:$Z$157,MATCH(2,1/(('Port Linkages'!$C$18:$C$157=$AQ75)*('Port Linkages'!$D$18:$D$157=IF($AO75="no",$AQ75,$KK75))*('Port Linkages'!$A$18:$A$157&lt;=$C75))))</f>
        <v>0</v>
      </c>
      <c r="AJC75" s="75">
        <f t="array" ref="AJC75">INDEX('Port Linkages'!$AA$18:$AA$157,MATCH(2,1/(('Port Linkages'!$C$18:$C$157=$AQ75)*('Port Linkages'!$D$18:$D$157=IF($AO75="no",$AQ75,$KK75))*('Port Linkages'!$A$18:$A$157&lt;=$C75))))</f>
        <v>0</v>
      </c>
      <c r="AJD75" s="75">
        <f t="array" ref="AJD75">INDEX('Port Linkages'!$AB$18:$AB$157,MATCH(2,1/(('Port Linkages'!$C$18:$C$157=$AQ75)*('Port Linkages'!$D$18:$D$157=IF($AO75="no",$AQ75,$KK75))*('Port Linkages'!$A$18:$A$157&lt;=$C75))))</f>
        <v>0</v>
      </c>
      <c r="AJE75" s="75">
        <f t="array" ref="AJE75">INDEX('Port Linkages'!$AC$18:$AC$157,MATCH(2,1/(('Port Linkages'!$C$18:$C$157=$AQ75)*('Port Linkages'!$D$18:$D$157=IF($AO75="no",$AQ75,$KK75))*('Port Linkages'!$A$18:$A$157&lt;=$C75))))</f>
        <v>0</v>
      </c>
      <c r="AJF75" s="75">
        <f t="array" ref="AJF75">INDEX('Port Linkages'!$AD$18:$AD$157,MATCH(2,1/(('Port Linkages'!$C$18:$C$157=$AQ75)*('Port Linkages'!$D$18:$D$157=IF($AO75="no",$AQ75,$KK75))*('Port Linkages'!$A$18:$A$157&lt;=$C75))))</f>
        <v>0</v>
      </c>
      <c r="AJG75" s="75">
        <f t="array" ref="AJG75">INDEX('Port Linkages'!$AE$18:$AE$157,MATCH(2,1/(('Port Linkages'!$C$18:$C$157=$AQ75)*('Port Linkages'!$D$18:$D$157=IF($AO75="no",$AQ75,$KK75))*('Port Linkages'!$A$18:$A$157&lt;=$C75))))</f>
        <v>0</v>
      </c>
      <c r="AJH75" s="75">
        <f t="array" ref="AJH75">INDEX('Port Linkages'!$AF$18:$AF$157,MATCH(2,1/(('Port Linkages'!$C$18:$C$157=$AQ75)*('Port Linkages'!$D$18:$D$157=IF($AO75="no",$AQ75,$KK75))*('Port Linkages'!$A$18:$A$157&lt;=$C75))))</f>
        <v>0</v>
      </c>
      <c r="AJI75" s="75">
        <f t="array" ref="AJI75">INDEX('Port Linkages'!$AG$18:$AG$157,MATCH(2,1/(('Port Linkages'!$C$18:$C$157=$AQ75)*('Port Linkages'!$D$18:$D$157=IF($AO75="no",$AQ75,$KK75))*('Port Linkages'!$A$18:$A$157&lt;=$C75))))</f>
        <v>0</v>
      </c>
      <c r="AJJ75" s="75">
        <f t="array" ref="AJJ75">INDEX('Port Linkages'!$AH$18:$AH$157,MATCH(2,1/(('Port Linkages'!$C$18:$C$157=$AQ75)*('Port Linkages'!$D$18:$D$157=IF($AO75="no",$AQ75,$KK75))*('Port Linkages'!$A$18:$A$157&lt;=$C75))))</f>
        <v>0</v>
      </c>
      <c r="AJK75" s="75">
        <f t="array" ref="AJK75">INDEX('Port Linkages'!$AI$18:$AI$157,MATCH(2,1/(('Port Linkages'!$C$18:$C$157=$AQ75)*('Port Linkages'!$D$18:$D$157=IF($AO75="no",$AQ75,$KK75))*('Port Linkages'!$A$18:$A$157&lt;=$C75))))</f>
        <v>0</v>
      </c>
      <c r="AJL75" s="75">
        <f t="array" ref="AJL75">INDEX('Port Linkages'!$AJ$18:$AJ$157,MATCH(2,1/(('Port Linkages'!$C$18:$C$157=$AQ75)*('Port Linkages'!$D$18:$D$157=IF($AO75="no",$AQ75,$KK75))*('Port Linkages'!$A$18:$A$157&lt;=$C75))))</f>
        <v>0</v>
      </c>
      <c r="AJM75" s="75">
        <f t="array" ref="AJM75">INDEX('Port Linkages'!$AK$18:$AK$157,MATCH(2,1/(('Port Linkages'!$C$18:$C$157=$AQ75)*('Port Linkages'!$D$18:$D$157=IF($AO75="no",$AQ75,$KK75))*('Port Linkages'!$A$18:$A$157&lt;=$C75))))</f>
        <v>0</v>
      </c>
      <c r="AJN75" s="75">
        <f t="array" ref="AJN75">INDEX('Port Linkages'!$AL$18:$AL$157,MATCH(2,1/(('Port Linkages'!$C$18:$C$157=$AQ75)*('Port Linkages'!$D$18:$D$157=IF($AO75="no",$AQ75,$KK75))*('Port Linkages'!$A$18:$A$157&lt;=$C75))))</f>
        <v>0</v>
      </c>
      <c r="AJO75" s="75">
        <f t="array" ref="AJO75">INDEX('Port Linkages'!$AM$18:$AM$157,MATCH(2,1/(('Port Linkages'!$C$18:$C$157=$AQ75)*('Port Linkages'!$D$18:$D$157=IF($AO75="no",$AQ75,$KK75))*('Port Linkages'!$A$18:$A$157&lt;=$C75))))</f>
        <v>0</v>
      </c>
      <c r="AJP75" s="75">
        <f t="array" ref="AJP75">INDEX('Port Linkages'!$AN$18:$AN$157,MATCH(2,1/(('Port Linkages'!$C$18:$C$157=$AQ75)*('Port Linkages'!$D$18:$D$157=IF($AO75="no",$AQ75,$KK75))*('Port Linkages'!$A$18:$A$157&lt;=$C75))))</f>
        <v>0</v>
      </c>
      <c r="AJQ75" s="75">
        <f t="array" ref="AJQ75">INDEX('Port Linkages'!$AO$18:$AO$157,MATCH(2,1/(('Port Linkages'!$C$18:$C$157=$AQ75)*('Port Linkages'!$D$18:$D$157=IF($AO75="no",$AQ75,$KK75))*('Port Linkages'!$A$18:$A$157&lt;=$C75))))</f>
        <v>0</v>
      </c>
      <c r="AJR75" s="75">
        <f t="array" ref="AJR75">INDEX('Port Linkages'!$AP$18:$AP$157,MATCH(2,1/(('Port Linkages'!$C$18:$C$157=$AQ75)*('Port Linkages'!$D$18:$D$157=IF($AO75="no",$AQ75,$KK75))*('Port Linkages'!$A$18:$A$157&lt;=$C75))))</f>
        <v>0</v>
      </c>
      <c r="AJS75" s="75">
        <f t="array" ref="AJS75">INDEX('Port Linkages'!$AQ$18:$AQ$157,MATCH(2,1/(('Port Linkages'!$C$18:$C$157=$AQ75)*('Port Linkages'!$D$18:$D$157=IF($AO75="no",$AQ75,$KK75))*('Port Linkages'!$A$18:$A$157&lt;=$C75))))</f>
        <v>0</v>
      </c>
      <c r="AJT75" s="75">
        <f t="array" ref="AJT75">INDEX('Port Linkages'!$AR$18:$AR$157,MATCH(2,1/(('Port Linkages'!$C$18:$C$157=$AQ75)*('Port Linkages'!$D$18:$D$157=IF($AO75="no",$AQ75,$KK75))*('Port Linkages'!$A$18:$A$157&lt;=$C75))))</f>
        <v>0</v>
      </c>
      <c r="AJU75" s="75">
        <f t="array" ref="AJU75">INDEX('Port Linkages'!$AS$18:$AS$157,MATCH(2,1/(('Port Linkages'!$C$18:$C$157=$AQ75)*('Port Linkages'!$D$18:$D$157=IF($AO75="no",$AQ75,$KK75))*('Port Linkages'!$A$18:$A$157&lt;=$C75))))</f>
        <v>0</v>
      </c>
      <c r="AJV75" s="75">
        <f t="array" ref="AJV75">INDEX('Port Linkages'!$AT$18:$AT$157,MATCH(2,1/(('Port Linkages'!$C$18:$C$157=$AQ75)*('Port Linkages'!$D$18:$D$157=IF($AO75="no",$AQ75,$KK75))*('Port Linkages'!$A$18:$A$157&lt;=$C75))))</f>
        <v>0</v>
      </c>
      <c r="AJW75" s="75">
        <f t="array" ref="AJW75">INDEX('Port Linkages'!$AU$18:$AU$157,MATCH(2,1/(('Port Linkages'!$C$18:$C$157=$AQ75)*('Port Linkages'!$D$18:$D$157=IF($AO75="no",$AQ75,$KK75))*('Port Linkages'!$A$18:$A$157&lt;=$C75))))</f>
        <v>0</v>
      </c>
      <c r="AJX75" s="75">
        <f t="array" ref="AJX75">INDEX('Port Linkages'!$AV$18:$AV$157,MATCH(2,1/(('Port Linkages'!$C$18:$C$157=$AQ75)*('Port Linkages'!$D$18:$D$157=IF($AO75="no",$AQ75,$KK75))*('Port Linkages'!$A$18:$A$157&lt;=$C75))))</f>
        <v>0</v>
      </c>
      <c r="AJY75" s="75">
        <f t="array" ref="AJY75">INDEX('Port Linkages'!$AW$18:$AW$157,MATCH(2,1/(('Port Linkages'!$C$18:$C$157=$AQ75)*('Port Linkages'!$D$18:$D$157=IF($AO75="no",$AQ75,$KK75))*('Port Linkages'!$A$18:$A$157&lt;=$C75))))</f>
        <v>0</v>
      </c>
      <c r="AJZ75" s="75">
        <f t="array" ref="AJZ75">INDEX('Port Linkages'!$AX$18:$AX$157,MATCH(2,1/(('Port Linkages'!$C$18:$C$157=$AQ75)*('Port Linkages'!$D$18:$D$157=IF($AO75="no",$AQ75,$KK75))*('Port Linkages'!$A$18:$A$157&lt;=$C75))))</f>
        <v>0</v>
      </c>
      <c r="AKA75" s="75">
        <f t="array" ref="AKA75">INDEX('Port Linkages'!$AY$18:$AY$157,MATCH(2,1/(('Port Linkages'!$C$18:$C$157=$AQ75)*('Port Linkages'!$D$18:$D$157=IF($AO75="no",$AQ75,$KK75))*('Port Linkages'!$A$18:$A$157&lt;=$C75))))</f>
        <v>0</v>
      </c>
      <c r="AKB75" s="75">
        <f t="array" ref="AKB75">INDEX('Port Linkages'!$AZ$18:$AZ$157,MATCH(2,1/(('Port Linkages'!$C$18:$C$157=$AQ75)*('Port Linkages'!$D$18:$D$157=IF($AO75="no",$AQ75,$KK75))*('Port Linkages'!$A$18:$A$157&lt;=$C75))))</f>
        <v>0</v>
      </c>
      <c r="AKC75" s="75">
        <f t="array" ref="AKC75">INDEX('Port Linkages'!$BA$18:$BA$157,MATCH(2,1/(('Port Linkages'!$C$18:$C$157=$AQ75)*('Port Linkages'!$D$18:$D$157=IF($AO75="no",$AQ75,$KK75))*('Port Linkages'!$A$18:$A$157&lt;=$C75))))</f>
        <v>0</v>
      </c>
      <c r="AKE75" s="25" t="e">
        <f t="array" aca="1" ref="AKE75" ca="1">INDEX('Ship Fuel Prices'!$F$5:$F$1004,MATCH(2,1/(('Ship Fuel Prices'!$E$5:$E$1004=_xlfn.IFS(AHT75="Handysize",Main!AJZ75,AHT75="Supramax",AJS75,AHT75="Panamax",AJL75,AHT75="NeoPanamax",AJE75,AHT75="Suezmax",AIX75,AHT75="Capesize",AIQ75,AHT75="VLOC",AIJ75))*('Ship Fuel Prices'!$D$5:$D$1004&lt;=Main!$C75))))</f>
        <v>#N/A</v>
      </c>
      <c r="AKF75" s="25" t="e">
        <f t="array" aca="1" ref="AKF75" ca="1">INDEX('Ship Fuel Prices'!$G$5:$G$1004,MATCH(2,1/(('Ship Fuel Prices'!$E$5:$E$1004=_xlfn.IFS(AHT75="Handysize",Main!AJZ75,AHT75="Supramax",AJS75,AHT75="Panamax",AJL75,AHT75="NeoPanamax",AJE75,AHT75="Suezmax",AIX75,AHT75="Capesize",AIQ75,AHT75="VLOC",AIJ75))*('Ship Fuel Prices'!$D$5:$D$1004&lt;=Main!$C75))))</f>
        <v>#N/A</v>
      </c>
      <c r="AKG75" s="25" t="e">
        <f t="array" aca="1" ref="AKG75" ca="1">INDEX('Ship Fuel Prices'!$H$5:$H$1004,MATCH(2,1/(('Ship Fuel Prices'!$E$5:$E$1004=_xlfn.IFS(AHT75="Handysize",Main!AJZ75,AHT75="Supramax",AJS75,AHT75="Panamax",AJL75,AHT75="NeoPanamax",AJE75,AHT75="Suezmax",AIX75,AHT75="Capesize",AIQ75,AHT75="VLOC",AIJ75))*('Ship Fuel Prices'!$D$5:$D$1004&lt;=Main!$C75))))</f>
        <v>#N/A</v>
      </c>
      <c r="AKH75" s="25" t="e">
        <f t="array" aca="1" ref="AKH75" ca="1">INDEX('Ship Fuel Prices'!$I$5:$I$1004,MATCH(2,1/(('Ship Fuel Prices'!$E$5:$E$1004=_xlfn.IFS(AHT75="Handysize",Main!AJZ75,AHT75="Supramax",AJS75,AHT75="Panamax",AJL75,AHT75="NeoPanamax",AJE75,AHT75="Suezmax",AIX75,AHT75="Capesize",AIQ75,AHT75="VLOC",AIJ75))*('Ship Fuel Prices'!$D$5:$D$1004&lt;=Main!$C75))))</f>
        <v>#N/A</v>
      </c>
      <c r="AKI75" s="25" t="e">
        <f t="array" aca="1" ref="AKI75" ca="1">INDEX('Ship Fuel Prices'!$J$5:$J$1004,MATCH(2,1/(('Ship Fuel Prices'!$E$5:$E$1004=_xlfn.IFS(AHT75="Handysize",Main!AJZ75,AHT75="Supramax",AJS75,AHT75="Panamax",AJL75,AHT75="NeoPanamax",AJE75,AHT75="Suezmax",AIX75,AHT75="Capesize",AIQ75,AHT75="VLOC",AIJ75))*('Ship Fuel Prices'!$D$5:$D$1004&lt;=Main!$C75))))</f>
        <v>#N/A</v>
      </c>
      <c r="AKK75" s="75">
        <f t="array" ref="AKK75">INDEX('China n Importing Ports'!$E$20:$E$41,MATCH(2,1/(('China n Importing Ports'!$D$20:$D$41&lt;=$C75)*('China n Importing Ports'!$C$20:$C$41=IF($AO75="No",$AQ75,$KK75)))))</f>
        <v>0</v>
      </c>
      <c r="AKL75" s="75">
        <f t="array" ref="AKL75">INDEX('China n Importing Ports'!$F$20:$F$41,MATCH(2,1/(('China n Importing Ports'!$D$20:$D$41&lt;=$C75)*('China n Importing Ports'!$C$20:$C$41=IF($AO75="No",$AQ75,$KK75)))))</f>
        <v>0</v>
      </c>
      <c r="AKM75" s="75">
        <f t="array" ref="AKM75">INDEX('China n Importing Ports'!$G$20:$G$41,MATCH(2,1/(('China n Importing Ports'!$D$20:$D$41&lt;=$C75)*('China n Importing Ports'!$C$20:$C$41=IF($AO75="No",$AQ75,$KK75)))))</f>
        <v>0</v>
      </c>
      <c r="AKN75" s="75">
        <f t="array" ref="AKN75">INDEX('China n Importing Ports'!$H$20:$H$41,MATCH(2,1/(('China n Importing Ports'!$D$20:$D$41&lt;=$C75)*('China n Importing Ports'!$C$20:$C$41=IF($AO75="No",$AQ75,$KK75)))))</f>
        <v>0</v>
      </c>
      <c r="AKO75" s="75">
        <f t="array" ref="AKO75">INDEX('China n Importing Ports'!$I$20:$I$41,MATCH(2,1/(('China n Importing Ports'!$D$20:$D$41&lt;=$C75)*('China n Importing Ports'!$C$20:$C$41=IF($AO75="No",$AQ75,$KK75)))))</f>
        <v>0</v>
      </c>
      <c r="AKP75" s="75">
        <f t="array" ref="AKP75">INDEX('China n Importing Ports'!$J$20:$J$41,MATCH(2,1/(('China n Importing Ports'!$D$20:$D$41&lt;=$C75)*('China n Importing Ports'!$C$20:$C$41=IF($AO75="No",$AQ75,$KK75)))))</f>
        <v>0</v>
      </c>
      <c r="AKQ75" s="75">
        <f t="array" ref="AKQ75">INDEX('China n Importing Ports'!$K$20:$K$41,MATCH(2,1/(('China n Importing Ports'!$D$20:$D$41&lt;=$C75)*('China n Importing Ports'!$C$20:$C$41=IF($AO75="No",$AQ75,$KK75)))))</f>
        <v>0</v>
      </c>
      <c r="AKR75" s="75">
        <f t="array" ref="AKR75">INDEX('China n Importing Ports'!$L$20:$L$41,MATCH(2,1/(('China n Importing Ports'!$D$20:$D$41&lt;=$C75)*('China n Importing Ports'!$C$20:$C$41=IF($AO75="No",$AQ75,$KK75)))))</f>
        <v>0</v>
      </c>
      <c r="AKS75" s="75">
        <f t="array" ref="AKS75">INDEX('China n Importing Ports'!$M$20:$M$41,MATCH(2,1/(('China n Importing Ports'!$D$20:$D$41&lt;=$C75)*('China n Importing Ports'!$C$20:$C$41=IF($AO75="No",$AQ75,$KK75)))))</f>
        <v>0</v>
      </c>
      <c r="AKT75" s="75">
        <f t="array" ref="AKT75">INDEX('China n Importing Ports'!$N$20:$N$41,MATCH(2,1/(('China n Importing Ports'!$D$20:$D$41&lt;=$C75)*('China n Importing Ports'!$C$20:$C$41=IF($AO75="No",$AQ75,$KK75)))))</f>
        <v>0</v>
      </c>
      <c r="AKU75" s="75">
        <f t="array" ref="AKU75">INDEX('China n Importing Ports'!$O$20:$O$41,MATCH(2,1/(('China n Importing Ports'!$D$20:$D$41&lt;=$C75)*('China n Importing Ports'!$C$20:$C$41=IF($AO75="No",$AQ75,$KK75)))))</f>
        <v>0</v>
      </c>
      <c r="AKV75" s="136">
        <f t="array" ref="AKV75">INDEX('China n Importing Ports'!$P$20:$P$41,MATCH(2,1/(('China n Importing Ports'!$D$20:$D$41&lt;=$C75)*('China n Importing Ports'!$C$20:$C$41=IF($AO75="No",$AQ75,$KK75)))))</f>
        <v>0</v>
      </c>
      <c r="AKW75" s="136">
        <f t="array" ref="AKW75">INDEX('China n Importing Ports'!$Q$20:$Q$41,MATCH(2,1/(('China n Importing Ports'!$D$20:$D$41&lt;=$C75)*('China n Importing Ports'!$C$20:$C$41=IF($AO75="No",$AQ75,$KK75)))))</f>
        <v>0</v>
      </c>
      <c r="AKX75" s="136">
        <f t="array" ref="AKX75">INDEX('China n Importing Ports'!$R$20:$R$41,MATCH(2,1/(('China n Importing Ports'!$D$20:$D$41&lt;=$C75)*('China n Importing Ports'!$C$20:$C$41=IF($AO75="No",$AQ75,$KK75)))))</f>
        <v>0</v>
      </c>
      <c r="AKY75" s="136">
        <f t="array" ref="AKY75">INDEX('China n Importing Ports'!$S$20:$S$41,MATCH(2,1/(('China n Importing Ports'!$D$20:$D$41&lt;=$C75)*('China n Importing Ports'!$C$20:$C$41=IF($AO75="No",$AQ75,$KK75)))))</f>
        <v>0</v>
      </c>
      <c r="AKZ75" s="136">
        <f t="array" ref="AKZ75">INDEX('China n Importing Ports'!$T$20:$T$41,MATCH(2,1/(('China n Importing Ports'!$D$20:$D$41&lt;=$C75)*('China n Importing Ports'!$C$20:$C$41=IF($AO75="No",$AQ75,$KK75)))))</f>
        <v>0</v>
      </c>
      <c r="ALA75" s="136">
        <f t="array" ref="ALA75">INDEX('China n Importing Ports'!$U$20:$U$41,MATCH(2,1/(('China n Importing Ports'!$D$20:$D$41&lt;=$C75)*('China n Importing Ports'!$C$20:$C$41=IF($AO75="No",$AQ75,$KK75)))))</f>
        <v>0</v>
      </c>
      <c r="ALB75" s="136">
        <f t="array" ref="ALB75">INDEX('China n Importing Ports'!$V$20:$V$41,MATCH(2,1/(('China n Importing Ports'!$D$20:$D$41&lt;=$C75)*('China n Importing Ports'!$C$20:$C$41=IF($AO75="No",$AQ75,$KK75)))))</f>
        <v>0</v>
      </c>
      <c r="ALC75" s="136">
        <f t="array" ref="ALC75">INDEX('China n Importing Ports'!$W$20:$W$41,MATCH(2,1/(('China n Importing Ports'!$D$20:$D$41&lt;=$C75)*('China n Importing Ports'!$C$20:$C$41=IF($AO75="No",$AQ75,$KK75)))))</f>
        <v>0</v>
      </c>
      <c r="ALD75" s="136">
        <f t="array" ref="ALD75">INDEX('China n Importing Ports'!$X$20:$X$41,MATCH(2,1/(('China n Importing Ports'!$D$20:$D$41&lt;=$C75)*('China n Importing Ports'!$C$20:$C$41=IF($AO75="No",$AQ75,$KK75)))))</f>
        <v>0</v>
      </c>
      <c r="ALE75" s="136">
        <f t="array" ref="ALE75">INDEX('China n Importing Ports'!$Y$20:$Y$41,MATCH(2,1/(('China n Importing Ports'!$D$20:$D$41&lt;=$C75)*('China n Importing Ports'!$C$20:$C$41=IF($AO75="No",$AQ75,$KK75)))))</f>
        <v>0</v>
      </c>
      <c r="ALF75" s="136">
        <f t="array" ref="ALF75">INDEX('China n Importing Ports'!$Z$20:$Z$41,MATCH(2,1/(('China n Importing Ports'!$D$20:$D$41&lt;=$C75)*('China n Importing Ports'!$C$20:$C$41=IF($AO75="No",$AQ75,$KK75)))))</f>
        <v>0</v>
      </c>
      <c r="ALG75" s="136">
        <f t="array" ref="ALG75">INDEX('China n Importing Ports'!$AA$20:$AA$41,MATCH(2,1/(('China n Importing Ports'!$D$20:$D$41&lt;=$C75)*('China n Importing Ports'!$C$20:$C$41=IF($AO75="No",$AQ75,$KK75)))))</f>
        <v>0</v>
      </c>
      <c r="ALI75" s="75" t="e">
        <f t="array" aca="1" ref="ALI75" ca="1">INDEX(Canals!$G$24:$G$29,MATCH(2,1/((Canals!$F$24:$F$29&lt;=$C75)*(Canals!$G$24:$G$29=_xlfn.IFS(AHT75="Handysize",AKC75,AHT75="Supramax",AJV75,AHT75="Panamax",AJO75,AHT75="NeoPanamax",AJH75,AHT75="Suezmax",AJA75,AHT75="Capesize",AIT75,AHT75="VLOC",AIM75)))))</f>
        <v>#N/A</v>
      </c>
      <c r="ALJ75" s="75" t="e">
        <f t="array" aca="1" ref="ALJ75" ca="1">INDEX(Canals!$H$24:$H$29,MATCH(2,1/((Canals!$F$24:$F$29&lt;=$C75)*(Canals!$G$24:$G$29=_xlfn.IFS(AHT75="Handysize",AKC75,AHT75="Supramax",AJV75,AHT75="Panamax",AJO75,AHT75="NeoPanamax",AJH75,AHT75="Suezmax",AJA75,AHT75="Capesize",AIT75,AHT75="VLOC",AIM75)))))</f>
        <v>#N/A</v>
      </c>
      <c r="ALK75" s="75" t="e">
        <f t="array" aca="1" ref="ALK75" ca="1">INDEX(Canals!$I$24:$I$29,MATCH(2,1/((Canals!$F$24:$F$29&lt;=$C75)*(Canals!$G$24:$G$29=_xlfn.IFS(AHT75="Handysize",AKC75,AHT75="Supramax",AJV75,AHT75="Panamax",AJO75,AHT75="NeoPanamax",AJH75,AHT75="Suezmax",AJA75,AHT75="Capesize",AIT75,AHT75="VLOC",AIM75)))))</f>
        <v>#N/A</v>
      </c>
      <c r="ALL75" s="75" t="e">
        <f t="array" aca="1" ref="ALL75" ca="1">INDEX(Canals!$J$24:$J$29,MATCH(2,1/((Canals!$F$24:$F$29&lt;=$C75)*(Canals!$G$24:$G$29=_xlfn.IFS(AHT75="Handysize",Main!AKC75,AHT75="Supramax",AJV75,AHT75="Panamax",AJO75,AHT75="NeoPanamax",AJH75,AHT75="Suezmax",AJA75,AHT75="Capesize",AIT75,AHT75="VLOC",AIM75)))))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M75" s="75" t="e">
        <f t="array" aca="1" ref="ALM75" ca="1">INDEX(Canals!$K$24:$K$29,MATCH(2,1/((Canals!$F$24:$F$29&lt;=$C75)*(Canals!$G$24:$G$29=_xlfn.IFS(AHT75="Handysize",Main!AKC75,AHT75="Supramax",AJV75,AHT75="Panamax",AJO75,AHT75="NeoPanamax",AJH75,AHT75="Suezmax",AJA75,AHT75="Capesize",AIT75,AHT75="VLOC",AIM75)))))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N75" s="75" t="e">
        <f t="array" aca="1" ref="ALN75" ca="1">INDEX(Canals!$L$24:$L$29,MATCH(2,1/((Canals!$F$24:$F$29&lt;=$C75)*(Canals!$G$24:$G$29=_xlfn.IFS(AHT75="Handysize",Main!AKC75,AHT75="Supramax",AJV75,AHT75="Panamax",AJO75,AHT75="NeoPanamax",AJH75,AHT75="Suezmax",AJA75,AHT75="Capesize",AIT75,AHT75="VLOC",AIM75)))))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O75" s="75" t="e">
        <f t="array" aca="1" ref="ALO75" ca="1">INDEX(Canals!$M$24:$M$29,MATCH(2,1/((Canals!$F$24:$F$29&lt;=$C75)*(Canals!$G$24:$G$29=_xlfn.IFS(AHT75="Handysize",Main!AKC75,AHT75="Supramax",AJV75,AHT75="Panamax",AJO75,AHT75="NeoPanamax",AJH75,AHT75="Suezmax",AJA75,AHT75="Capesize",AIT75,AHT75="VLOC",AIM75)))))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P75" s="75" t="e">
        <f t="array" aca="1" ref="ALP75" ca="1">INDEX(Canals!$N$24:$N$29,MATCH(2,1/((Canals!$F$24:$F$29&lt;=$C75)*(Canals!$G$24:$G$29=_xlfn.IFS(AHT75="Handysize",Main!AKC75,AHT75="Supramax",AJV75,AHT75="Panamax",AJO75,AHT75="NeoPanamax",AJH75,AHT75="Suezmax",AJA75,AHT75="Capesize",AIT75,AHT75="VLOC",AIM75)))))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Q75" s="75" t="e">
        <f t="array" aca="1" ref="ALQ75" ca="1">INDEX(Canals!$O$24:$O$29,MATCH(2,1/((Canals!$F$24:$F$29&lt;=$C75)*(Canals!$G$24:$G$29=_xlfn.IFS(AHT75="Handysize",Main!AKC75,AHT75="Supramax",AJV75,AHT75="Panamax",AJO75,AHT75="NeoPanamax",AJH75,AHT75="Suezmax",AJA75,AHT75="Capesize",AIT75,AHT75="VLOC",AIM75)))))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R75" s="75" t="e">
        <f t="array" aca="1" ref="ALR75" ca="1">INDEX(Canals!$P$24:$P$29,MATCH(2,1/((Canals!$F$24:$F$29&lt;=$C75)*(Canals!$G$24:$G$29=_xlfn.IFS(AHT75="Handysize",Main!AKC75,AHT75="Supramax",AJV75,AHT75="Panamax",AJO75,AHT75="NeoPanamax",AJH75,AHT75="Suezmax",AJA75,AHT75="Capesize",AIT75,AHT75="VLOC",AIM75)))))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S75" s="75" t="e">
        <f t="array" aca="1" ref="ALS75" ca="1">INDEX(Canals!$Q$24:$Q$29,MATCH(2,1/((Canals!$F$24:$F$29&lt;=$C75)*(Canals!$G$24:$G$29=_xlfn.IFS(AHT75="Handysize",Main!AKC75,AHT75="Supramax",AJV75,AHT75="Panamax",AJO75,AHT75="NeoPanamax",AJH75,AHT75="Suezmax",AJA75,AHT75="Capesize",AIT75,AHT75="VLOC",AIM75)))))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T75" s="75" t="e">
        <f t="array" aca="1" ref="ALT75" ca="1">INDEX(Canals!$R$24:$R$29,MATCH(2,1/((Canals!$F$24:$F$29&lt;=$C75)*(Canals!$G$24:$G$29=_xlfn.IFS(AHT75="Handysize",Main!AKC75,AHT75="Supramax",AJV75,AHT75="Panamax",AJO75,AHT75="NeoPanamax",AJH75,AHT75="Suezmax",AJA75,AHT75="Capesize",AIT75,AHT75="VLOC",AIM75)))))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U75" s="136" t="e">
        <f t="array" aca="1" ref="ALU75" ca="1">INDEX(Canals!$S$24:$S$29,MATCH(2,1/((Canals!$F$24:$F$29&lt;=$C75)*(Canals!$G$24:$G$29=_xlfn.IFS(AHT75="Handysize",Main!AKC75,AHT75="Supramax",AJV75,AHT75="Panamax",AJO75,AHT75="NeoPanamax",AJH75,AHT75="Suezmax",AJA75,AHT75="Capesize",AIT75,AHT75="VLOC",AIM75)))))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V75" s="136" t="e">
        <f t="array" aca="1" ref="ALV75" ca="1">INDEX(Canals!$T$24:$T$29,MATCH(2,1/((Canals!$F$24:$F$29&lt;=$C75)*(Canals!$G$24:$G$29=_xlfn.IFS(AHT75="Handysize",Main!AKC75,AHT75="Supramax",AJV75,AHT75="Panamax",AJO75,AHT75="NeoPanamax",AJH75,AHT75="Suezmax",AJA75,AHT75="Capesize",AIT75,AHT75="VLOC",AIM75)))))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W75" s="136" t="e">
        <f t="array" aca="1" ref="ALW75" ca="1">INDEX(Canals!$U$24:$U$29,MATCH(2,1/((Canals!$F$24:$F$29&lt;=$C75)*(Canals!$G$24:$G$29=_xlfn.IFS(AHT75="Handysize",Main!AKC75,AHT75="Supramax",AJV75,AHT75="Panamax",AJO75,AHT75="NeoPanamax",AJH75,AHT75="Suezmax",AJA75,AHT75="Capesize",AIT75,AHT75="VLOC",AIM75)))))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X75" s="136" t="e">
        <f t="array" aca="1" ref="ALX75" ca="1">INDEX(Canals!$V$24:$V$29,MATCH(2,1/((Canals!$F$24:$F$29&lt;=$C75)*(Canals!$G$24:$G$29=_xlfn.IFS(AHT75="Handysize",Main!AKC75,AHT75="Supramax",AJV75,AHT75="Panamax",AJO75,AHT75="NeoPanamax",AJH75,AHT75="Suezmax",AJA75,AHT75="Capesize",AIT75,AHT75="VLOC",AIM75)))))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Y75" s="136" t="e">
        <f t="array" aca="1" ref="ALY75" ca="1">INDEX(Canals!$W$24:$W$29,MATCH(2,1/((Canals!$F$24:$F$29&lt;=$C75)*(Canals!$G$24:$G$29=_xlfn.IFS(AHT75="Handysize",Main!AKC75,AHT75="Supramax",AJV75,AHT75="Panamax",AJO75,AHT75="NeoPanamax",AJH75,AHT75="Suezmax",AJA75,AHT75="Capesize",AIT75,AHT75="VLOC",AIM75)))))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LZ75" s="136" t="e">
        <f t="array" aca="1" ref="ALZ75" ca="1">INDEX(Canals!$X$24:$X$29,MATCH(2,1/((Canals!$F$24:$F$29&lt;=$C75)*(Canals!$G$24:$G$29=_xlfn.IFS(AHT75="Handysize",Main!AKC75,AHT75="Supramax",AJV75,AHT75="Panamax",AJO75,AHT75="NeoPanamax",AJH75,AHT75="Suezmax",AJA75,AHT75="Capesize",AIT75,AHT75="VLOC",AIM75)))))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A75" s="136" t="e">
        <f t="array" aca="1" ref="AMA75" ca="1">INDEX(Canals!$Y$24:$Y$29,MATCH(2,1/((Canals!$F$24:$F$29&lt;=$C75)*(Canals!$G$24:$G$29=_xlfn.IFS(AHT75="Handysize",Main!AKC75,AHT75="Supramax",AJV75,AHT75="Panamax",AJO75,AHT75="NeoPanamax",AJH75,AHT75="Suezmax",AJA75,AHT75="Capesize",AIT75,AHT75="VLOC",AIM75)))))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B75" s="136" t="e">
        <f t="array" aca="1" ref="AMB75" ca="1">INDEX(Canals!$Z$24:$Z$29,MATCH(2,1/((Canals!$F$24:$F$29&lt;=$C75)*(Canals!$G$24:$G$29=_xlfn.IFS(AHT75="Handysize",Main!AKC75,AHT75="Supramax",AJV75,AHT75="Panamax",AJO75,AHT75="NeoPanamax",AJH75,AHT75="Suezmax",AJA75,AHT75="Capesize",AIT75,AHT75="VLOC",AIM75)))))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C75" s="136" t="e">
        <f t="array" aca="1" ref="AMC75" ca="1">INDEX(Canals!$AA$24:$AA$29,MATCH(2,1/((Canals!$F$24:$F$29&lt;=$C75)*(Canals!$G$24:$G$29=_xlfn.IFS(AHT75="Handysize",Main!AKC75,AHT75="Supramax",AJV75,AHT75="Panamax",AJO75,AHT75="NeoPanamax",AJH75,AHT75="Suezmax",AJA75,AHT75="Capesize",AIT75,AHT75="VLOC",AIM75)))))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D75" s="136" t="e">
        <f t="array" aca="1" ref="AMD75" ca="1">INDEX(Canals!$AB$24:$AB$29,MATCH(2,1/((Canals!$F$24:$F$29&lt;=$C75)*(Canals!$G$24:$G$29=_xlfn.IFS(AHT75="Handysize",Main!AKC75,AHT75="Supramax",AJV75,AHT75="Panamax",AJO75,AHT75="NeoPanamax",AJH75,AHT75="Suezmax",AJA75,AHT75="Capesize",AIT75,AHT75="VLOC",AIM75)))))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E75" s="75" t="e">
        <f t="array" aca="1" ref="AME75" ca="1">INDEX(Canals!$AC$24:$AC$29,MATCH(2,1/((Canals!$F$24:$F$29&lt;=$C75)*(Canals!$G$24:$G$29=_xlfn.IFS(AHT75="Handysize",Main!AKC75,AHT75="Supramax",AJV75,AHT75="Panamax",AJO75,AHT75="NeoPanamax",AJH75,AHT75="Suezmax",AJA75,AHT75="Capesize",AIT75,AHT75="VLOC",AIM75)))))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F75" s="75" t="e">
        <f t="array" aca="1" ref="AMF75" ca="1">INDEX(Canals!$AD$24:$AD$29,MATCH(2,1/((Canals!$F$24:$F$29&lt;=$C75)*(Canals!$G$24:$G$29=_xlfn.IFS(AHT75="Handysize",Main!AKC75,AHT75="Supramax",AJV75,AHT75="Panamax",AJO75,AHT75="NeoPanamax",AJH75,AHT75="Suezmax",AJA75,AHT75="Capesize",AIT75,AHT75="VLOC",AIM75)))))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G75" s="75" t="e">
        <f t="array" aca="1" ref="AMG75" ca="1">INDEX(Canals!$AE$24:$AE$29,MATCH(2,1/((Canals!$F$24:$F$29&lt;=$C75)*(Canals!$G$24:$G$29=_xlfn.IFS(AHT75="Handysize",Main!AKC75,AHT75="Supramax",AJV75,AHT75="Panamax",AJO75,AHT75="NeoPanamax",AJH75,AHT75="Suezmax",AJA75,AHT75="Capesize",AIT75,AHT75="VLOC",AIM75)))))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H75" s="75" t="e">
        <f t="array" aca="1" ref="AMH75" ca="1">INDEX(Canals!$AF$24:$AF$29,MATCH(2,1/((Canals!$F$24:$F$29&lt;=$C75)*(Canals!$G$24:$G$29=_xlfn.IFS(AHT75="Handysize",Main!AKC75,AHT75="Supramax",AJV75,AHT75="Panamax",AJO75,AHT75="NeoPanamax",AJH75,AHT75="Suezmax",AJA75,AHT75="Capesize",AIT75,AHT75="VLOC",AIM75)))))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I75" s="75" t="e">
        <f t="array" aca="1" ref="AMI75" ca="1">INDEX(Canals!$AG$24:$AG$29,MATCH(2,1/((Canals!$F$24:$F$29&lt;=$C75)*(Canals!$G$24:$G$29=_xlfn.IFS(AHT75="Handysize",Main!AKC75,AHT75="Supramax",AJV75,AHT75="Panamax",AJO75,AHT75="NeoPanamax",AJH75,AHT75="Suezmax",AJA75,AHT75="Capesize",AIT75,AHT75="VLOC",AIM75)))))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J75" s="75" t="e">
        <f t="array" aca="1" ref="AMJ75" ca="1">INDEX(Canals!$AH$24:$AH$29,MATCH(2,1/((Canals!$F$24:$F$29&lt;=$C75)*(Canals!$G$24:$G$29=_xlfn.IFS(AHT75="Handysize",Main!AKC75,AHT75="Supramax",AJV75,AHT75="Panamax",AJO75,AHT75="NeoPanamax",AJH75,AHT75="Suezmax",AJA75,AHT75="Capesize",AIT75,AHT75="VLOC",AIM75)))))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K75" s="75" t="e">
        <f t="array" aca="1" ref="AMK75" ca="1">INDEX(Canals!$AI$24:$AI$29,MATCH(2,1/((Canals!$F$24:$F$29&lt;=$C75)*(Canals!$G$24:$G$29=_xlfn.IFS(AHT75="Handysize",Main!AKC75,AHT75="Supramax",AJV75,AHT75="Panamax",AJO75,AHT75="NeoPanamax",AJH75,AHT75="Suezmax",AJA75,AHT75="Capesize",AIT75,AHT75="VLOC",AIM75)))))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L75" s="75" t="e">
        <f t="array" aca="1" ref="AML75" ca="1">INDEX(Canals!$AJ$24:$AJ$29,MATCH(2,1/((Canals!$F$24:$F$29&lt;=$C75)*(Canals!$G$24:$G$29=_xlfn.IFS(AHT75="Handysize",Main!AKC75,AHT75="Supramax",AJV75,AHT75="Panamax",AJO75,AHT75="NeoPanamax",AJH75,AHT75="Suezmax",AJA75,AHT75="Capesize",AIT75,AHT75="VLOC",AIM75)))))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M75" s="75" t="e">
        <f t="array" aca="1" ref="AMM75" ca="1">INDEX(Canals!$AK$24:$AK$29,MATCH(2,1/((Canals!$F$24:$F$29&lt;=$C75)*(Canals!$G$24:$G$29=_xlfn.IFS(AHT75="Handysize",Main!AKC75,AHT75="Supramax",AJV75,AHT75="Panamax",AJO75,AHT75="NeoPanamax",AJH75,AHT75="Suezmax",AJA75,AHT75="Capesize",AIT75,AHT75="VLOC",AIM75)))))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N75" s="136" t="e">
        <f t="array" aca="1" ref="AMN75" ca="1">INDEX(Canals!$AL$24:$AL$29,MATCH(2,1/((Canals!$F$24:$F$29&lt;=$C75)*(Canals!$G$24:$G$29=_xlfn.IFS(AHT75="Handysize",Main!AKC75,AHT75="Supramax",AJV75,AHT75="Panamax",AJO75,AHT75="NeoPanamax",AJH75,AHT75="Suezmax",AJA75,AHT75="Capesize",AIT75,AHT75="VLOC",AIM75)))))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O75" s="136" t="e">
        <f t="array" aca="1" ref="AMO75" ca="1">INDEX(Canals!$AM$24:$AM$29,MATCH(2,1/((Canals!$F$24:$F$29&lt;=$C75)*(Canals!$G$24:$G$29=_xlfn.IFS(AHT75="Handysize",Main!AKC75,AHT75="Supramax",AJV75,AHT75="Panamax",AJO75,AHT75="NeoPanamax",AJH75,AHT75="Suezmax",AJA75,AHT75="Capesize",AIT75,AHT75="VLOC",AIM75)))))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P75" s="136" t="e">
        <f t="array" aca="1" ref="AMP75" ca="1">INDEX(Canals!$AN$24:$AN$29,MATCH(2,1/((Canals!$F$24:$F$29&lt;=$C75)*(Canals!$G$24:$G$29=_xlfn.IFS(AHT75="Handysize",Main!AKC75,AHT75="Supramax",AJV75,AHT75="Panamax",AJO75,AHT75="NeoPanamax",AJH75,AHT75="Suezmax",AJA75,AHT75="Capesize",AIT75,AHT75="VLOC",AIM75)))))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Q75" s="136" t="e">
        <f t="array" aca="1" ref="AMQ75" ca="1">INDEX(Canals!$AO$24:$AO$29,MATCH(2,1/((Canals!$F$24:$F$29&lt;=$C75)*(Canals!$G$24:$G$29=_xlfn.IFS(AHT75="Handysize",Main!AKC75,AHT75="Supramax",AJV75,AHT75="Panamax",AJO75,AHT75="NeoPanamax",AJH75,AHT75="Suezmax",AJA75,AHT75="Capesize",AIT75,AHT75="VLOC",AIM75)))))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R75" s="136" t="e">
        <f t="array" aca="1" ref="AMR75" ca="1">INDEX(Canals!$AP$24:$AP$29,MATCH(2,1/((Canals!$F$24:$F$29&lt;=$C75)*(Canals!$G$24:$G$29=_xlfn.IFS(AHT75="Handysize",Main!AKC75,AHT75="Supramax",AJV75,AHT75="Panamax",AJO75,AHT75="NeoPanamax",AJH75,AHT75="Suezmax",AJA75,AHT75="Capesize",AIT75,AHT75="VLOC",AIM75)))))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S75" s="136" t="e">
        <f t="array" aca="1" ref="AMS75" ca="1">INDEX(Canals!$AQ$24:$AQ$29,MATCH(2,1/((Canals!$F$24:$F$29&lt;=$C75)*(Canals!$G$24:$G$29=_xlfn.IFS(AHT75="Handysize",Main!AKC75,AHT75="Supramax",AJV75,AHT75="Panamax",AJO75,AHT75="NeoPanamax",AJH75,AHT75="Suezmax",AJA75,AHT75="Capesize",AIT75,AHT75="VLOC",AIM75)))))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T75" s="136" t="e">
        <f t="array" aca="1" ref="AMT75" ca="1">INDEX(Canals!$AR$24:$AR$29,MATCH(2,1/((Canals!$F$24:$F$29&lt;=$C75)*(Canals!$G$24:$G$29=_xlfn.IFS(AHT75="Handysize",Main!AKC75,AHT75="Supramax",AJV75,AHT75="Panamax",AJO75,AHT75="NeoPanamax",AJH75,AHT75="Suezmax",AJA75,AHT75="Capesize",AIT75,AHT75="VLOC",AIM75)))))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U75" s="136" t="e">
        <f t="array" aca="1" ref="AMU75" ca="1">INDEX(Canals!$AS$24:$AS$29,MATCH(2,1/((Canals!$F$24:$F$29&lt;=$C75)*(Canals!$G$24:$G$29=_xlfn.IFS(AHT75="Handysize",Main!AKC75,AHT75="Supramax",AJV75,AHT75="Panamax",AJO75,AHT75="NeoPanamax",AJH75,AHT75="Suezmax",AJA75,AHT75="Capesize",AIT75,AHT75="VLOC",AIM75)))))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V75" s="136" t="e">
        <f t="array" aca="1" ref="AMV75" ca="1">INDEX(Canals!$AT$24:$AT$29,MATCH(2,1/((Canals!$F$24:$F$29&lt;=$C75)*(Canals!$G$24:$G$29=_xlfn.IFS(AHT75="Handysize",Main!AKC75,AHT75="Supramax",AJV75,AHT75="Panamax",AJO75,AHT75="NeoPanamax",AJH75,AHT75="Suezmax",AJA75,AHT75="Capesize",AIT75,AHT75="VLOC",AIM75)))))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W75" s="136" t="e">
        <f t="array" aca="1" ref="AMW75" ca="1">INDEX(Canals!$AU$24:$AU$29,MATCH(2,1/((Canals!$F$24:$F$29&lt;=$C75)*(Canals!$G$24:$G$29=_xlfn.IFS(AHT75="Handysize",Main!AKC75,AHT75="Supramax",AJV75,AHT75="Panamax",AJO75,AHT75="NeoPanamax",AJH75,AHT75="Suezmax",AJA75,AHT75="Capesize",AIT75,AHT75="VLOC",AIM75)))))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X75" s="136" t="e">
        <f t="array" aca="1" ref="AMX75" ca="1">INDEX(Canals!$AV$24:$AV$29,MATCH(2,1/((Canals!$F$24:$F$29&lt;=$C75)*(Canals!$G$24:$G$29=_xlfn.IFS(AHT75="Handysize",Main!AKC75,AHT75="Supramax",AJV75,AHT75="Panamax",AJO75,AHT75="NeoPanamax",AJH75,AHT75="Suezmax",AJA75,AHT75="Capesize",AIT75,AHT75="VLOC",AIM75)))))</f>
        <v>#N/A</v>
      </c>
      <c r="AMZ75" s="75" t="e">
        <f t="array" aca="1" ref="AMZ75" ca="1">_xlfn.IFS(ALK75="DWT",AHR75,ALK75="NRT",AHV75,ALK75="GRT",AHW75,ALK75=0,0)</f>
        <v>#NAME?</v>
      </c>
      <c r="ANA75" s="279" t="e">
        <f t="shared" ca="1" si="944"/>
        <v>#NAME?</v>
      </c>
      <c r="ANB75" s="280" t="e">
        <f t="shared" ca="1" si="945"/>
        <v>#NAME?</v>
      </c>
      <c r="ANC75" s="280" t="e">
        <f t="shared" ca="1" si="946"/>
        <v>#NAME?</v>
      </c>
      <c r="AND75" s="280" t="e">
        <f t="shared" ca="1" si="947"/>
        <v>#NAME?</v>
      </c>
      <c r="ANE75" s="280" t="e">
        <f t="shared" ca="1" si="948"/>
        <v>#NAME?</v>
      </c>
      <c r="ANF75" s="280" t="e">
        <f t="shared" ca="1" si="949"/>
        <v>#NAME?</v>
      </c>
      <c r="ANG75" s="280" t="e">
        <f t="shared" ca="1" si="950"/>
        <v>#NAME?</v>
      </c>
      <c r="ANH75" s="280" t="e">
        <f t="shared" ca="1" si="951"/>
        <v>#NAME?</v>
      </c>
      <c r="ANI75" s="280" t="e">
        <f t="shared" ca="1" si="952"/>
        <v>#NAME?</v>
      </c>
      <c r="ANJ75" s="75">
        <f t="shared" si="953"/>
        <v>0</v>
      </c>
      <c r="ANK75" s="279" t="e">
        <f t="shared" ca="1" si="954"/>
        <v>#N/A</v>
      </c>
      <c r="ANL75" s="280" t="e">
        <f t="shared" ca="1" si="955"/>
        <v>#N/A</v>
      </c>
      <c r="ANM75" s="280" t="e">
        <f t="shared" ca="1" si="956"/>
        <v>#N/A</v>
      </c>
      <c r="ANN75" s="280" t="e">
        <f t="shared" ca="1" si="957"/>
        <v>#N/A</v>
      </c>
      <c r="ANO75" s="280" t="e">
        <f t="shared" ca="1" si="958"/>
        <v>#N/A</v>
      </c>
      <c r="ANP75" s="280" t="e">
        <f t="shared" ca="1" si="959"/>
        <v>#N/A</v>
      </c>
      <c r="ANQ75" s="280" t="e">
        <f t="shared" ca="1" si="960"/>
        <v>#N/A</v>
      </c>
      <c r="ANR75" s="280" t="e">
        <f t="shared" ca="1" si="961"/>
        <v>#N/A</v>
      </c>
      <c r="ANS75" s="280" t="e">
        <f t="shared" ca="1" si="962"/>
        <v>#N/A</v>
      </c>
      <c r="ANU75" s="75" t="e">
        <f t="array" aca="1" ref="ANU75" ca="1">_xlfn.IFS(AHT75="Handysize",Main!AJW75,AHT75="Supramax",AJP75,AHT75="Panamax",AJI75,AHT75="NeoPanamax",AJB75,AHT75="Suezmax",AIU75,AHT75="Capesize",AIN75,AHT75="VLOC",AIG75)*$JI75</f>
        <v>#NAME?</v>
      </c>
      <c r="ANV75" s="274" t="e">
        <f t="array" aca="1" ref="ANV75" ca="1">_xlfn.IFS(AHT75="Handysize",Main!AJX75,AHT75="Supramax",AJQ75,AHT75="Panamax",AJJ75,AHT75="NeoPanamax",AJC75,AHT75="Suezmax",AIV75,AHT75="Capesize",AIO75,AHT75="VLOC",AIH75)*$JI75</f>
        <v>#NAME?</v>
      </c>
      <c r="ANW75" s="71" t="e">
        <f t="array" aca="1" ref="ANW75" ca="1">_xlfn.IFS(AHT75="Handysize",Main!AHY75,AHT75="Supramax",AHZ75,AHT75="Panamax",AIA75,AHT75="NeoPanamax",AIB75,AHT75="Suezmax",AIC75,AHT75="Capesize",AID75,AHT75="VLOC",AIE75)</f>
        <v>#NAME?</v>
      </c>
      <c r="ANX75" s="71" t="e">
        <f t="array" aca="1" ref="ANX75" ca="1">_xlfn.IFS(AHT75="Handysize",Main!AKK75,AHT75="Supramax",AKL75,AHT75="Panamax",AKM75,AHT75="NeoPanamax",AKN75,AHT75="Suezmax",AKO75,AHT75="Capesize",AKP75,AHT75="VLOC",AKQ75)</f>
        <v>#NAME?</v>
      </c>
      <c r="ANY75" s="70">
        <f t="array" ref="ANY75">INDEX('Ship Speeds'!$G$11:$G$1011,MATCH(2,1/(('Ship Speeds'!$E$11:$E$1011&lt;=Main!$C75)*('Ship Speeds'!$F$11:$F$1011=Main!AHS75))))</f>
        <v>11</v>
      </c>
      <c r="ANZ75" s="403">
        <f t="shared" si="963"/>
        <v>0</v>
      </c>
      <c r="AOA75" s="401">
        <f t="shared" si="964"/>
        <v>1.2</v>
      </c>
      <c r="AOB75" s="70" t="e">
        <f t="shared" ca="1" si="965"/>
        <v>#NAME?</v>
      </c>
      <c r="AOC75" s="70" t="e">
        <f t="shared" ca="1" si="966"/>
        <v>#NAME?</v>
      </c>
      <c r="AOD75" s="70" t="e">
        <f t="shared" ca="1" si="967"/>
        <v>#NAME?</v>
      </c>
      <c r="AOE75" s="70" t="e">
        <f t="shared" ca="1" si="968"/>
        <v>#NAME?</v>
      </c>
      <c r="AOF75" s="72" t="e">
        <f t="shared" ca="1" si="969"/>
        <v>#N/A</v>
      </c>
      <c r="AOG75" s="70" t="e">
        <f t="shared" ca="1" si="970"/>
        <v>#NAME?</v>
      </c>
      <c r="AOH75" s="70" t="e">
        <f t="array" aca="1" ref="AOH75" ca="1">IF(ANU75=0,0,INDEX(AKE75:AKI75,MATCH(_xlfn.IFS(AHT75="Handysize",Main!AKA75,AHT75="Supramax",AJT75,AHT75="Panamax",AJM75,AHT75="NeoPanamax",AJF75,AHT75="Suezmax",AIY75,AHT75="Capesize",AIR75,AHT75="VLOC",AIK75),$AKE$7:$AKI$7,0)))</f>
        <v>#NAME?</v>
      </c>
      <c r="AOI75" s="70" t="e">
        <f t="array" aca="1" ref="AOI75" ca="1">IF(ANU75=0,0,INDEX(AKE75:AKI75,MATCH(_xlfn.IFS(AHT75="Handysize",Main!AKB75,AHT75="Supramax",AJU75,AHT75="Panamax",AJN75,AHT75="NeoPanamax",AJG75,AHT75="Suezmax",AIZ75,AHT75="Capesize",AIS75,AHT75="VLOC",AIL75),$AKE$7:$AKI$7,0)))</f>
        <v>#NAME?</v>
      </c>
      <c r="AOJ75" s="71" t="e">
        <f t="shared" ca="1" si="971"/>
        <v>#NAME?</v>
      </c>
      <c r="AOK75" s="71" t="e">
        <f t="shared" ca="1" si="972"/>
        <v>#NAME?</v>
      </c>
      <c r="AOL75" s="281" t="e">
        <f t="shared" ca="1" si="973"/>
        <v>#NAME?</v>
      </c>
      <c r="AOM75" s="71" t="e">
        <f t="shared" ca="1" si="974"/>
        <v>#NAME?</v>
      </c>
      <c r="AON75" s="71" t="e">
        <f t="shared" ca="1" si="975"/>
        <v>#NAME?</v>
      </c>
      <c r="AOO75" s="71" t="e">
        <f t="shared" ca="1" si="976"/>
        <v>#NAME?</v>
      </c>
      <c r="AOP75" s="71" t="e">
        <f t="shared" ca="1" si="977"/>
        <v>#NAME?</v>
      </c>
      <c r="AOQ75" s="71" t="e">
        <f t="shared" ca="1" si="978"/>
        <v>#NAME?</v>
      </c>
      <c r="AOR75" s="71" t="e">
        <f t="shared" ca="1" si="979"/>
        <v>#NAME?</v>
      </c>
      <c r="AOS75" s="71" t="e">
        <f t="shared" ca="1" si="980"/>
        <v>#NAME?</v>
      </c>
      <c r="AOT75" s="71" t="e">
        <f t="shared" ca="1" si="981"/>
        <v>#NAME?</v>
      </c>
      <c r="AOU75" s="71" t="e">
        <f t="shared" ca="1" si="982"/>
        <v>#NAME?</v>
      </c>
      <c r="AOV75" s="71" t="e">
        <f t="shared" ca="1" si="983"/>
        <v>#NAME?</v>
      </c>
      <c r="AOW75" s="71" t="e">
        <f t="shared" ca="1" si="984"/>
        <v>#NAME?</v>
      </c>
      <c r="AOX75" s="71" t="e">
        <f t="shared" ca="1" si="985"/>
        <v>#NAME?</v>
      </c>
      <c r="AOY75" s="72" t="e">
        <f t="shared" ca="1" si="986"/>
        <v>#NAME?</v>
      </c>
      <c r="AOZ75" s="72" t="e">
        <f t="shared" ca="1" si="987"/>
        <v>#NAME?</v>
      </c>
      <c r="APA75" s="71" t="e">
        <f t="shared" ca="1" si="988"/>
        <v>#NAME?</v>
      </c>
      <c r="APB75" s="71" t="e">
        <f t="array" aca="1" ref="APB75" ca="1">IF(ANU75=0,0,INDEX('Ship Time Charter Rates'!$H$22:$H$1021,MATCH(2,1/(('Ship Time Charter Rates'!$G$22:$G$1021=_xlfn.IFS(AHT75="Handysize",Main!AJY75,AHT75="Supramax",AJR75,AHT75="Panamax",AJK75,AHT75="NeoPanamax",AJD75,AHT75="Suezmax",AIW75,AHT75="Capesize",AIP75,AHT75="VLOC",AII75))*('Ship Time Charter Rates'!$E$22:$E$1021&lt;=Main!$C75)*(NOT(ISBLANK('Ship Time Charter Rates'!$H$22:$H$1021)))))))</f>
        <v>#NAME?</v>
      </c>
      <c r="APC75" s="71" t="e">
        <f t="shared" ca="1" si="989"/>
        <v>#NAME?</v>
      </c>
      <c r="APD75" s="70" t="e">
        <f t="shared" ca="1" si="990"/>
        <v>#NAME?</v>
      </c>
      <c r="APE75" s="71" t="e">
        <f t="shared" ca="1" si="991"/>
        <v>#NAME?</v>
      </c>
      <c r="APF75" s="71" t="e">
        <f t="shared" ca="1" si="992"/>
        <v>#NAME?</v>
      </c>
      <c r="APG75" s="72" t="e">
        <f t="shared" ca="1" si="993"/>
        <v>#NAME?</v>
      </c>
      <c r="API75" s="287" t="s">
        <v>39</v>
      </c>
      <c r="APK75" s="289" t="e">
        <f t="shared" ca="1" si="994"/>
        <v>#NAME?</v>
      </c>
      <c r="APL75" s="289" t="e">
        <f t="shared" ca="1" si="995"/>
        <v>#NAME?</v>
      </c>
      <c r="APM75" s="289" t="e">
        <f t="shared" ca="1" si="996"/>
        <v>#NAME?</v>
      </c>
      <c r="APO75" s="287" t="s">
        <v>39</v>
      </c>
    </row>
    <row r="76" spans="1:1107">
      <c r="B76" s="445" t="e">
        <f t="shared" ca="1" si="997"/>
        <v>#NAME?</v>
      </c>
      <c r="C76" s="18">
        <f t="shared" si="674"/>
        <v>43934</v>
      </c>
      <c r="D76" s="7" t="s">
        <v>20</v>
      </c>
      <c r="E76" s="86" t="s">
        <v>156</v>
      </c>
      <c r="F76" s="6">
        <v>29.281957688988282</v>
      </c>
      <c r="G76" s="1" t="s">
        <v>4</v>
      </c>
      <c r="H76" s="1" t="s">
        <v>5</v>
      </c>
      <c r="I76" s="15"/>
      <c r="J76" s="16">
        <f>J$80-J$81</f>
        <v>0.37</v>
      </c>
      <c r="K76" s="15"/>
      <c r="L76" s="16">
        <f>L$80+L$81</f>
        <v>0.09</v>
      </c>
      <c r="M76" s="15"/>
      <c r="N76" s="15"/>
      <c r="O76" s="16">
        <f>O$80-O$81</f>
        <v>0.05</v>
      </c>
      <c r="P76" s="433">
        <v>77000</v>
      </c>
      <c r="Q76" s="98"/>
      <c r="R76" s="7" t="s">
        <v>95</v>
      </c>
      <c r="T76" s="287" t="s">
        <v>39</v>
      </c>
      <c r="V76" s="4"/>
      <c r="W76" s="16" t="str">
        <f t="shared" si="675"/>
        <v>not used yet</v>
      </c>
      <c r="X76" s="16" t="str">
        <f t="shared" si="675"/>
        <v>not used yet</v>
      </c>
      <c r="Y76" s="16" t="str">
        <f t="shared" si="675"/>
        <v>not used yet</v>
      </c>
      <c r="Z76" s="16" t="str">
        <f t="shared" si="675"/>
        <v>not used yet</v>
      </c>
      <c r="AA76" s="16" t="str">
        <f t="shared" si="675"/>
        <v>not used yet</v>
      </c>
      <c r="AB76" s="16" t="str">
        <f t="shared" si="675"/>
        <v>not used yet</v>
      </c>
      <c r="AC76" s="16" t="str">
        <f t="shared" si="675"/>
        <v>not used yet</v>
      </c>
      <c r="AE76" s="88" t="str">
        <f t="shared" si="676"/>
        <v>West Kalimantan Generic</v>
      </c>
      <c r="AF76" s="16">
        <f t="shared" si="677"/>
        <v>0.48</v>
      </c>
      <c r="AG76" s="16">
        <f t="shared" si="678"/>
        <v>0.37</v>
      </c>
      <c r="AH76" s="61">
        <f t="shared" si="679"/>
        <v>0.08</v>
      </c>
      <c r="AI76" s="61">
        <f t="shared" si="680"/>
        <v>0.09</v>
      </c>
      <c r="AJ76" s="61">
        <f t="shared" si="681"/>
        <v>4.4999999999999998E-2</v>
      </c>
      <c r="AK76" s="16">
        <f t="shared" si="682"/>
        <v>5.0000000000000001E-3</v>
      </c>
      <c r="AL76" s="16">
        <f t="shared" si="683"/>
        <v>0.05</v>
      </c>
      <c r="AM76" s="24" t="str">
        <f t="shared" si="684"/>
        <v>LT</v>
      </c>
      <c r="AN76" s="427">
        <f t="shared" si="685"/>
        <v>77000</v>
      </c>
      <c r="AO76" s="127" t="str">
        <f t="array" ref="AO76">IFERROR(IF(AND(AN76&gt;'Indices Mines Exporting Ports'!$D$11,MATCH(2,1/(('Indices Mines Exporting Ports'!$B$3:$B$10&lt;=C76)*('Indices Mines Exporting Ports'!$C$3:$C$10=E76)))),"Yes","No"),"No")</f>
        <v>No</v>
      </c>
      <c r="AP76" s="126" t="str">
        <f t="array" ref="AP76">IF(AO76="Yes",INDEX('Indices Mines Exporting Ports'!$D$3:$D$10,MATCH(2,1/(('Indices Mines Exporting Ports'!$B$3:$B$10&lt;=Main!C76)*('Indices Mines Exporting Ports'!$C$3:$C$10=Main!AE76)))),IF(NOT(ISBLANK(Q76)),Q76,IP76))</f>
        <v>West_Kal_Generic_Offshore</v>
      </c>
      <c r="AQ76" s="262">
        <f t="array" ref="AQ76">IF(AO76="no",0,INDEX('Indices Mines Exporting Ports'!$E$3:$E$10,MATCH(2,1/(('Indices Mines Exporting Ports'!$B$3:$B$10&lt;=Main!$C76)*('Indices Mines Exporting Ports'!$D$3:$D$10=Main!$AP76)))))</f>
        <v>0</v>
      </c>
      <c r="AR76" s="267">
        <f t="array" ref="AR76">IF(AO76="No",0,AN76/ROUND(AN76/INDEX('Indices Mines Exporting Ports'!$F$3:$F$10,MATCH(2,1/(('Indices Mines Exporting Ports'!$B$3:$B$10&lt;=Main!C76)*('Indices Mines Exporting Ports'!$C$3:$C$10=Main!AE76)))),0))</f>
        <v>0</v>
      </c>
      <c r="AS76" s="127" t="str">
        <f t="shared" si="686"/>
        <v>Qingdao</v>
      </c>
      <c r="AT76" s="100" t="str">
        <f t="shared" si="687"/>
        <v>Indonesian LT</v>
      </c>
      <c r="AU76" s="100" t="str">
        <f t="shared" si="688"/>
        <v>CBIX LT</v>
      </c>
      <c r="AV76" s="242" t="s">
        <v>4</v>
      </c>
      <c r="AW76" s="242" t="s">
        <v>5</v>
      </c>
      <c r="AX76" s="292" t="e">
        <f t="shared" ca="1" si="689"/>
        <v>#NAME?</v>
      </c>
      <c r="AY76" s="291" t="e">
        <f t="shared" ca="1" si="690"/>
        <v>#NAME?</v>
      </c>
      <c r="AZ76" s="292" t="e">
        <f t="shared" ca="1" si="691"/>
        <v>#NAME?</v>
      </c>
      <c r="BA76" s="102">
        <f t="shared" si="692"/>
        <v>0.33</v>
      </c>
      <c r="BB76" s="12"/>
      <c r="BC76" s="306" t="s">
        <v>403</v>
      </c>
      <c r="BD76" s="407">
        <f t="shared" si="693"/>
        <v>0</v>
      </c>
      <c r="BE76" s="407" t="e">
        <f t="shared" ca="1" si="693"/>
        <v>#NAME?</v>
      </c>
      <c r="BF76" s="407">
        <f t="shared" si="693"/>
        <v>0</v>
      </c>
      <c r="BG76" s="407" t="e">
        <f t="shared" ca="1" si="694"/>
        <v>#NAME?</v>
      </c>
      <c r="BH76" s="407">
        <f t="shared" si="695"/>
        <v>0</v>
      </c>
      <c r="BI76" s="263" t="e">
        <f t="shared" ca="1" si="696"/>
        <v>#NAME?</v>
      </c>
      <c r="BK76" s="287" t="s">
        <v>39</v>
      </c>
      <c r="BM76" s="291" t="e">
        <f t="shared" ca="1" si="697"/>
        <v>#NAME?</v>
      </c>
      <c r="BN76" s="298">
        <f t="shared" si="698"/>
        <v>0.48</v>
      </c>
      <c r="BO76" s="298">
        <f t="shared" si="699"/>
        <v>0.37</v>
      </c>
      <c r="BP76" s="298">
        <f t="shared" si="700"/>
        <v>0.08</v>
      </c>
      <c r="BQ76" s="298">
        <f t="shared" si="701"/>
        <v>0.09</v>
      </c>
      <c r="BR76" s="298">
        <f t="shared" si="702"/>
        <v>4.4999999999999998E-2</v>
      </c>
      <c r="BS76" s="298">
        <f t="shared" si="703"/>
        <v>5.0000000000000001E-3</v>
      </c>
      <c r="BT76" s="298">
        <f t="shared" si="704"/>
        <v>0.05</v>
      </c>
      <c r="BU76" s="307" t="str">
        <f t="shared" si="705"/>
        <v>LT</v>
      </c>
      <c r="BV76" s="291">
        <f t="shared" si="706"/>
        <v>0.33</v>
      </c>
      <c r="BX76" s="300">
        <f t="array" ref="BX76">INDEX('Processing Factors'!$D$8:$D$29,MATCH(2,1/(('Processing Factors'!$B$8:$B$29&lt;=Main!$C76)*('Processing Factors'!$C$8:$C$29=Main!BU76))))</f>
        <v>0</v>
      </c>
      <c r="BY76" s="299">
        <f t="array" ref="BY76">INDEX('Processing Factors'!$E$8:$E$29,MATCH(2,1/(('Processing Factors'!$B$8:$B$29&lt;=Main!$C76)*('Processing Factors'!$C$8:$C$29=Main!BU76))))</f>
        <v>1</v>
      </c>
      <c r="BZ76" s="299">
        <f t="array" ref="BZ76">INDEX('Processing Factors'!$F$8:$F$29,MATCH(2,1/(('Processing Factors'!$B$8:$B$29&lt;=Main!$C76)*('Processing Factors'!$C$8:$C$29=Main!BU76))))</f>
        <v>0.9</v>
      </c>
      <c r="CA76" s="299">
        <f t="array" ref="CA76">INDEX('Processing Factors'!$G$8:$G$29,MATCH(2,1/(('Processing Factors'!$B$8:$B$29&lt;=Main!$C76)*('Processing Factors'!$C$8:$C$29=Main!BU76))))</f>
        <v>3.5999999999999997E-2</v>
      </c>
      <c r="CB76" s="299">
        <f t="array" ref="CB76">INDEX('Processing Factors'!$H$8:$H$29,MATCH(2,1/(('Processing Factors'!$B$8:$B$29&lt;=Main!$C76)*('Processing Factors'!$C$8:$C$29=Main!BU76))))</f>
        <v>12.15</v>
      </c>
      <c r="CC76" s="300">
        <f t="array" ref="CC76">INDEX('Processing Factors'!$I$8:$I$29,MATCH(2,1/(('Processing Factors'!$B$8:$B$29&lt;=Main!$C76)*('Processing Factors'!$C$8:$C$29=Main!BU76))))</f>
        <v>0</v>
      </c>
      <c r="CD76" s="300">
        <f t="array" ref="CD76">INDEX('Processing Factors'!$J$8:$J$29,MATCH(2,1/(('Processing Factors'!$B$8:$B$29&lt;=Main!$C76)*('Processing Factors'!$C$8:$C$29=Main!BU76))))</f>
        <v>0.9</v>
      </c>
      <c r="CE76" s="299">
        <f t="array" ref="CE76">INDEX('Processing Factors'!$K$8:$K$29,MATCH(2,1/(('Processing Factors'!$B$8:$B$29&lt;=Main!$C76)*('Processing Factors'!$C$8:$C$29=Main!BU76))))</f>
        <v>3.5000000000000003E-2</v>
      </c>
      <c r="CG76" s="302">
        <f t="shared" si="707"/>
        <v>0.45999999999999996</v>
      </c>
      <c r="CH76" s="302">
        <f t="shared" si="708"/>
        <v>0.09</v>
      </c>
      <c r="CI76" s="302">
        <f t="shared" si="709"/>
        <v>0.37</v>
      </c>
      <c r="CJ76" s="299">
        <f t="shared" si="710"/>
        <v>3.0030030030030028</v>
      </c>
      <c r="CK76" s="281" t="e">
        <f t="shared" ca="1" si="711"/>
        <v>#NAME?</v>
      </c>
      <c r="CL76" s="299">
        <f t="shared" si="712"/>
        <v>0.27824324324324323</v>
      </c>
      <c r="CM76" s="281">
        <f t="shared" si="713"/>
        <v>66.777561335274982</v>
      </c>
      <c r="CN76" s="281">
        <f t="shared" si="714"/>
        <v>50.321396655852695</v>
      </c>
      <c r="CO76" s="281">
        <f t="shared" si="715"/>
        <v>1.2197497818850218</v>
      </c>
      <c r="CP76" s="299">
        <f t="shared" si="716"/>
        <v>2.317246246246246</v>
      </c>
      <c r="CQ76" s="281">
        <f t="shared" si="717"/>
        <v>9.8140993174748061</v>
      </c>
      <c r="CR76" s="281" t="e">
        <f t="shared" ca="1" si="718"/>
        <v>#NAME?</v>
      </c>
      <c r="CT76" s="287" t="s">
        <v>39</v>
      </c>
      <c r="CV76" s="305" t="e">
        <f t="shared" ca="1" si="719"/>
        <v>#NAME?</v>
      </c>
      <c r="CW76" s="61">
        <f t="array" ref="CW76">INDEX('Indices Mines Exporting Ports'!E$20:E$51, MATCH(2,1/(('Indices Mines Exporting Ports'!$C$20:$C$51=$AT76)*('Indices Mines Exporting Ports'!$D$20:$D$51&lt;=$C76))))</f>
        <v>0.48</v>
      </c>
      <c r="CX76" s="61">
        <f t="array" ref="CX76">INDEX('Indices Mines Exporting Ports'!F$20:F$51, MATCH(2,1/(('Indices Mines Exporting Ports'!$C$20:$C$51=$AT76)*('Indices Mines Exporting Ports'!$D$20:$D$51&lt;=$C76))))</f>
        <v>0.44</v>
      </c>
      <c r="CY76" s="61">
        <f t="array" ref="CY76">INDEX('Indices Mines Exporting Ports'!G$20:G$51, MATCH(2,1/(('Indices Mines Exporting Ports'!$C$20:$C$51=$AT76)*('Indices Mines Exporting Ports'!$D$20:$D$51&lt;=$C76))))</f>
        <v>0.08</v>
      </c>
      <c r="CZ76" s="61">
        <f t="array" ref="CZ76">INDEX('Indices Mines Exporting Ports'!H$20:H$51, MATCH(2,1/(('Indices Mines Exporting Ports'!$C$20:$C$51=$AT76)*('Indices Mines Exporting Ports'!$D$20:$D$51&lt;=$C76))))</f>
        <v>3.5000000000000003E-2</v>
      </c>
      <c r="DA76" s="61">
        <f t="array" ref="DA76">INDEX('Indices Mines Exporting Ports'!I$20:I$51, MATCH(2,1/(('Indices Mines Exporting Ports'!$C$20:$C$51=$AT76)*('Indices Mines Exporting Ports'!$D$20:$D$51&lt;=$C76))))</f>
        <v>4.4999999999999998E-2</v>
      </c>
      <c r="DB76" s="61">
        <f t="array" ref="DB76">INDEX('Indices Mines Exporting Ports'!J$20:J$51, MATCH(2,1/(('Indices Mines Exporting Ports'!$C$20:$C$51=$AT76)*('Indices Mines Exporting Ports'!$D$20:$D$51&lt;=$C76))))</f>
        <v>5.0000000000000001E-3</v>
      </c>
      <c r="DC76" s="61">
        <f t="array" ref="DC76">INDEX('Indices Mines Exporting Ports'!K$20:K$51, MATCH(2,1/(('Indices Mines Exporting Ports'!$C$20:$C$51=$AT76)*('Indices Mines Exporting Ports'!$D$20:$D$51&lt;=$C76))))</f>
        <v>0.15</v>
      </c>
      <c r="DD76" s="103" t="str">
        <f t="array" ref="DD76">INDEX('Indices Mines Exporting Ports'!L$20:L$51, MATCH(2,1/(('Indices Mines Exporting Ports'!$C$20:$C$51=$AT76)*('Indices Mines Exporting Ports'!$D$20:$D$51&lt;=$C76))))</f>
        <v>LT</v>
      </c>
      <c r="DE76" s="243">
        <f t="array" ref="DE76">INDEX('Indices Mines Exporting Ports'!M$20:M$51, MATCH(2,1/(('Indices Mines Exporting Ports'!$C$20:$C$51=$AT76)*('Indices Mines Exporting Ports'!$D$20:$D$51&lt;=$C76))))</f>
        <v>0.33</v>
      </c>
      <c r="DG76" s="300">
        <f t="array" ref="DG76">INDEX('Processing Factors'!$D$8:$D$29,MATCH(2,1/(('Processing Factors'!$B$8:$B$29&lt;=Main!$C76)*('Processing Factors'!$C$8:$C$29=Main!DD76))))</f>
        <v>0</v>
      </c>
      <c r="DH76" s="299">
        <f t="array" ref="DH76">INDEX('Processing Factors'!$E$8:$E$29,MATCH(2,1/(('Processing Factors'!$B$8:$B$29&lt;=Main!$C76)*('Processing Factors'!$C$8:$C$29=Main!DD76))))</f>
        <v>1</v>
      </c>
      <c r="DI76" s="299">
        <f t="array" ref="DI76">INDEX('Processing Factors'!$F$8:$F$29,MATCH(2,1/(('Processing Factors'!$B$8:$B$29&lt;=Main!$C76)*('Processing Factors'!$C$8:$C$29=Main!DD76))))</f>
        <v>0.9</v>
      </c>
      <c r="DJ76" s="299">
        <f t="array" ref="DJ76">INDEX('Processing Factors'!$G$8:$G$29,MATCH(2,1/(('Processing Factors'!$B$8:$B$29&lt;=Main!$C76)*('Processing Factors'!$C$8:$C$29=Main!DD76))))</f>
        <v>3.5999999999999997E-2</v>
      </c>
      <c r="DK76" s="299">
        <f t="array" ref="DK76">INDEX('Processing Factors'!$H$8:$H$29,MATCH(2,1/(('Processing Factors'!$B$8:$B$29&lt;=Main!$C76)*('Processing Factors'!$C$8:$C$29=Main!DD76))))</f>
        <v>12.15</v>
      </c>
      <c r="DL76" s="300">
        <f t="array" ref="DL76">INDEX('Processing Factors'!$I$8:$I$29,MATCH(2,1/(('Processing Factors'!$B$8:$B$29&lt;=Main!$C76)*('Processing Factors'!$C$8:$C$29=Main!DD76))))</f>
        <v>0</v>
      </c>
      <c r="DM76" s="300">
        <f t="array" ref="DM76">INDEX('Processing Factors'!$J$8:$J$29,MATCH(2,1/(('Processing Factors'!$B$8:$B$29&lt;=Main!$C76)*('Processing Factors'!$C$8:$C$29=Main!DD76))))</f>
        <v>0.9</v>
      </c>
      <c r="DN76" s="299">
        <f t="array" ref="DN76">INDEX('Processing Factors'!$K$8:$K$29,MATCH(2,1/(('Processing Factors'!$B$8:$B$29&lt;=Main!$C76)*('Processing Factors'!$C$8:$C$29=Main!DD76))))</f>
        <v>3.5000000000000003E-2</v>
      </c>
      <c r="DP76" s="302">
        <f t="shared" si="720"/>
        <v>0.47499999999999998</v>
      </c>
      <c r="DQ76" s="302">
        <f t="shared" si="721"/>
        <v>3.5000000000000003E-2</v>
      </c>
      <c r="DR76" s="302">
        <f t="shared" si="722"/>
        <v>0.43999999999999995</v>
      </c>
      <c r="DS76" s="299">
        <f t="shared" si="723"/>
        <v>2.5252525252525255</v>
      </c>
      <c r="DT76" s="304">
        <v>0</v>
      </c>
      <c r="DU76" s="299">
        <f t="shared" si="724"/>
        <v>0.11454545454545458</v>
      </c>
      <c r="DV76" s="281">
        <f t="shared" si="725"/>
        <v>27.490572735666216</v>
      </c>
      <c r="DW76" s="281">
        <f t="shared" si="726"/>
        <v>50.321396655852695</v>
      </c>
      <c r="DX76" s="281">
        <f t="shared" si="727"/>
        <v>1.2197497818850218</v>
      </c>
      <c r="DY76" s="299">
        <f t="shared" si="728"/>
        <v>1.6757979797979801</v>
      </c>
      <c r="DZ76" s="281">
        <f t="shared" si="729"/>
        <v>7.0974104872984247</v>
      </c>
      <c r="EA76" s="281">
        <f t="shared" si="730"/>
        <v>86.129129660702361</v>
      </c>
      <c r="EC76" s="287" t="s">
        <v>39</v>
      </c>
      <c r="EE76" s="305" t="e">
        <f t="shared" ca="1" si="731"/>
        <v>#NAME?</v>
      </c>
      <c r="EF76" s="16">
        <f t="array" ref="EF76">INDEX('Indices Mines Exporting Ports'!E$20:E$51, MATCH(2,1/(('Indices Mines Exporting Ports'!$C$20:$C$51=$AU76)*('Indices Mines Exporting Ports'!$D$20:$D$51&lt;=$C76))))</f>
        <v>0.5</v>
      </c>
      <c r="EG76" s="16">
        <f t="array" ref="EG76">INDEX('Indices Mines Exporting Ports'!F$20:F$51, MATCH(2,1/(('Indices Mines Exporting Ports'!$C$20:$C$51=$AU76)*('Indices Mines Exporting Ports'!$D$20:$D$51&lt;=$C76))))</f>
        <v>0.45</v>
      </c>
      <c r="EH76" s="16">
        <f t="array" ref="EH76">INDEX('Indices Mines Exporting Ports'!G$20:G$51, MATCH(2,1/(('Indices Mines Exporting Ports'!$C$20:$C$51=$AU76)*('Indices Mines Exporting Ports'!$D$20:$D$51&lt;=$C76))))</f>
        <v>0.05</v>
      </c>
      <c r="EI76" s="16">
        <f t="array" ref="EI76">INDEX('Indices Mines Exporting Ports'!H$20:H$51, MATCH(2,1/(('Indices Mines Exporting Ports'!$C$20:$C$51=$AU76)*('Indices Mines Exporting Ports'!$D$20:$D$51&lt;=$C76))))</f>
        <v>0.05</v>
      </c>
      <c r="EJ76" s="16">
        <f t="array" ref="EJ76">INDEX('Indices Mines Exporting Ports'!I$20:I$51, MATCH(2,1/(('Indices Mines Exporting Ports'!$C$20:$C$51=$AU76)*('Indices Mines Exporting Ports'!$D$20:$D$51&lt;=$C76))))</f>
        <v>0</v>
      </c>
      <c r="EK76" s="16">
        <f t="array" ref="EK76">INDEX('Indices Mines Exporting Ports'!J$20:J$51, MATCH(2,1/(('Indices Mines Exporting Ports'!$C$20:$C$51=$AU76)*('Indices Mines Exporting Ports'!$D$20:$D$51&lt;=$C76))))</f>
        <v>0</v>
      </c>
      <c r="EL76" s="16">
        <f t="array" ref="EL76">INDEX('Indices Mines Exporting Ports'!K$20:K$51, MATCH(2,1/(('Indices Mines Exporting Ports'!$C$20:$C$51=$AU76)*('Indices Mines Exporting Ports'!$D$20:$D$51&lt;=$C76))))</f>
        <v>0.1</v>
      </c>
      <c r="EM76" s="103" t="str">
        <f t="array" ref="EM76">INDEX('Indices Mines Exporting Ports'!L$20:L$51, MATCH(2,1/(('Indices Mines Exporting Ports'!$C$20:$C$51=$AU76)*('Indices Mines Exporting Ports'!$D$20:$D$51&lt;=$C76))))</f>
        <v>LT</v>
      </c>
      <c r="EN76" s="243">
        <f t="array" ref="EN76">INDEX('Indices Mines Exporting Ports'!M$20:M$51, MATCH(2,1/(('Indices Mines Exporting Ports'!$C$20:$C$51=$AU76)*('Indices Mines Exporting Ports'!$D$20:$D$51&lt;=$C76))))</f>
        <v>0</v>
      </c>
      <c r="EP76" s="300">
        <f t="array" ref="EP76">INDEX('Processing Factors'!$D$8:$D$29,MATCH(2,1/(('Processing Factors'!$B$8:$B$29&lt;=Main!$C76)*('Processing Factors'!$C$8:$C$29=Main!EM76))))</f>
        <v>0</v>
      </c>
      <c r="EQ76" s="299">
        <f t="array" ref="EQ76">INDEX('Processing Factors'!$E$8:$E$29,MATCH(2,1/(('Processing Factors'!$B$8:$B$29&lt;=Main!$C76)*('Processing Factors'!$C$8:$C$29=Main!EM76))))</f>
        <v>1</v>
      </c>
      <c r="ER76" s="299">
        <f t="array" ref="ER76">INDEX('Processing Factors'!$F$8:$F$29,MATCH(2,1/(('Processing Factors'!$B$8:$B$29&lt;=Main!$C76)*('Processing Factors'!$C$8:$C$29=Main!EM76))))</f>
        <v>0.9</v>
      </c>
      <c r="ES76" s="299">
        <f t="array" ref="ES76">INDEX('Processing Factors'!$G$8:$G$29,MATCH(2,1/(('Processing Factors'!$B$8:$B$29&lt;=Main!$C76)*('Processing Factors'!$C$8:$C$29=Main!EM76))))</f>
        <v>3.5999999999999997E-2</v>
      </c>
      <c r="ET76" s="299">
        <f t="array" ref="ET76">INDEX('Processing Factors'!$H$8:$H$29,MATCH(2,1/(('Processing Factors'!$B$8:$B$29&lt;=Main!$C76)*('Processing Factors'!$C$8:$C$29=Main!EM76))))</f>
        <v>12.15</v>
      </c>
      <c r="EU76" s="300">
        <f t="array" ref="EU76">INDEX('Processing Factors'!$I$8:$I$29,MATCH(2,1/(('Processing Factors'!$B$8:$B$29&lt;=Main!$C76)*('Processing Factors'!$C$8:$C$29=Main!EM76))))</f>
        <v>0</v>
      </c>
      <c r="EV76" s="300">
        <f t="array" ref="EV76">INDEX('Processing Factors'!$J$8:$J$29,MATCH(2,1/(('Processing Factors'!$B$8:$B$29&lt;=Main!$C76)*('Processing Factors'!$C$8:$C$29=Main!EM76))))</f>
        <v>0.9</v>
      </c>
      <c r="EW76" s="299">
        <f t="array" ref="EW76">INDEX('Processing Factors'!$K$8:$K$29,MATCH(2,1/(('Processing Factors'!$B$8:$B$29&lt;=Main!$C76)*('Processing Factors'!$C$8:$C$29=Main!EM76))))</f>
        <v>3.5000000000000003E-2</v>
      </c>
      <c r="EY76" s="302">
        <f t="shared" si="732"/>
        <v>0.5</v>
      </c>
      <c r="EZ76" s="302">
        <f t="shared" si="733"/>
        <v>0.05</v>
      </c>
      <c r="FA76" s="302">
        <f t="shared" si="734"/>
        <v>0.45</v>
      </c>
      <c r="FB76" s="299">
        <f t="shared" si="735"/>
        <v>2.4691358024691357</v>
      </c>
      <c r="FC76" s="304">
        <v>0</v>
      </c>
      <c r="FD76" s="299">
        <f t="shared" si="736"/>
        <v>0.14611111111111114</v>
      </c>
      <c r="FE76" s="281">
        <f t="shared" si="737"/>
        <v>35.06623762093578</v>
      </c>
      <c r="FF76" s="281">
        <f t="shared" si="738"/>
        <v>50.321396655852695</v>
      </c>
      <c r="FG76" s="281">
        <f t="shared" si="739"/>
        <v>1.2197497818850218</v>
      </c>
      <c r="FH76" s="299">
        <f t="shared" si="740"/>
        <v>1.6512469135802468</v>
      </c>
      <c r="FI76" s="281">
        <f t="shared" si="741"/>
        <v>6.9934307731868799</v>
      </c>
      <c r="FJ76" s="281">
        <f t="shared" si="742"/>
        <v>93.60081483186039</v>
      </c>
      <c r="FL76" s="287" t="s">
        <v>39</v>
      </c>
      <c r="FN76" s="315" t="e">
        <f t="shared" ca="1" si="743"/>
        <v>#NAME?</v>
      </c>
      <c r="FO76" s="316">
        <f t="shared" si="744"/>
        <v>0.48</v>
      </c>
      <c r="FP76" s="316">
        <f t="shared" si="745"/>
        <v>0.37</v>
      </c>
      <c r="FQ76" s="316">
        <f t="shared" si="746"/>
        <v>0.08</v>
      </c>
      <c r="FR76" s="316">
        <f t="shared" si="747"/>
        <v>0.09</v>
      </c>
      <c r="FS76" s="316">
        <f t="shared" si="748"/>
        <v>4.4999999999999998E-2</v>
      </c>
      <c r="FT76" s="316">
        <f t="shared" si="749"/>
        <v>5.0000000000000001E-3</v>
      </c>
      <c r="FU76" s="316">
        <f t="shared" si="750"/>
        <v>0.05</v>
      </c>
      <c r="FV76" s="317" t="str">
        <f t="shared" si="751"/>
        <v>LT</v>
      </c>
      <c r="FW76" s="318">
        <v>0</v>
      </c>
      <c r="FX76" s="237"/>
      <c r="FY76" s="319">
        <f t="array" ref="FY76">INDEX('Processing Factors'!$D$8:$D$29,MATCH(2,1/(('Processing Factors'!$B$8:$B$29&lt;=Main!$C76)*('Processing Factors'!$C$8:$C$29=Main!FV76))))</f>
        <v>0</v>
      </c>
      <c r="FZ76" s="320">
        <f t="array" ref="FZ76">INDEX('Processing Factors'!$E$8:$E$29,MATCH(2,1/(('Processing Factors'!$B$8:$B$29&lt;=Main!$C76)*('Processing Factors'!$C$8:$C$29=Main!FV76))))</f>
        <v>1</v>
      </c>
      <c r="GA76" s="320">
        <f t="array" ref="GA76">INDEX('Processing Factors'!$F$8:$F$29,MATCH(2,1/(('Processing Factors'!$B$8:$B$29&lt;=Main!$C76)*('Processing Factors'!$C$8:$C$29=Main!FV76))))</f>
        <v>0.9</v>
      </c>
      <c r="GB76" s="320">
        <f t="array" ref="GB76">INDEX('Processing Factors'!$G$8:$G$29,MATCH(2,1/(('Processing Factors'!$B$8:$B$29&lt;=Main!$C76)*('Processing Factors'!$C$8:$C$29=Main!FV76))))</f>
        <v>3.5999999999999997E-2</v>
      </c>
      <c r="GC76" s="320">
        <f t="array" ref="GC76">INDEX('Processing Factors'!$H$8:$H$29,MATCH(2,1/(('Processing Factors'!$B$8:$B$29&lt;=Main!$C76)*('Processing Factors'!$C$8:$C$29=Main!FV76))))</f>
        <v>12.15</v>
      </c>
      <c r="GD76" s="319">
        <f t="array" ref="GD76">INDEX('Processing Factors'!$I$8:$I$29,MATCH(2,1/(('Processing Factors'!$B$8:$B$29&lt;=Main!$C76)*('Processing Factors'!$C$8:$C$29=Main!FV76))))</f>
        <v>0</v>
      </c>
      <c r="GE76" s="321">
        <v>0.92</v>
      </c>
      <c r="GF76" s="320">
        <f t="array" ref="GF76">INDEX('Processing Factors'!$K$8:$K$29,MATCH(2,1/(('Processing Factors'!$B$8:$B$29&lt;=Main!$C76)*('Processing Factors'!$C$8:$C$29=Main!FV76))))</f>
        <v>3.5000000000000003E-2</v>
      </c>
      <c r="GG76" s="237"/>
      <c r="GH76" s="322">
        <f t="shared" si="752"/>
        <v>0.45999999999999996</v>
      </c>
      <c r="GI76" s="322">
        <f t="shared" si="753"/>
        <v>0.09</v>
      </c>
      <c r="GJ76" s="322">
        <f t="shared" si="754"/>
        <v>0.37</v>
      </c>
      <c r="GK76" s="320">
        <f t="shared" si="755"/>
        <v>2.9377203290246765</v>
      </c>
      <c r="GL76" s="323" t="e">
        <f t="shared" ca="1" si="756"/>
        <v>#NAME?</v>
      </c>
      <c r="GM76" s="320">
        <f t="shared" si="757"/>
        <v>0.2729553466509988</v>
      </c>
      <c r="GN76" s="323">
        <f t="shared" si="758"/>
        <v>65.508481680699148</v>
      </c>
      <c r="GO76" s="323">
        <f t="shared" si="759"/>
        <v>50.321396655852695</v>
      </c>
      <c r="GP76" s="323">
        <f t="shared" si="760"/>
        <v>1.2197497818850218</v>
      </c>
      <c r="GQ76" s="320">
        <f t="shared" si="761"/>
        <v>2.2466756756756752</v>
      </c>
      <c r="GR76" s="323">
        <f t="shared" si="762"/>
        <v>9.5152158519853778</v>
      </c>
      <c r="GS76" s="323" t="e">
        <f t="shared" ca="1" si="763"/>
        <v>#NAME?</v>
      </c>
      <c r="GT76" s="237"/>
      <c r="GU76" s="324" t="e">
        <f t="shared" ca="1" si="764"/>
        <v>#NAME?</v>
      </c>
      <c r="GV76" s="325">
        <f t="array" ref="GV76">INDEX('Indices Mines Exporting Ports'!E$20:E$51, MATCH(2,1/(('Indices Mines Exporting Ports'!$C$20:$C$51=$BC76)*('Indices Mines Exporting Ports'!$D$20:$D$51&lt;=$C76))))</f>
        <v>0.5</v>
      </c>
      <c r="GW76" s="325">
        <f t="array" ref="GW76">INDEX('Indices Mines Exporting Ports'!F$20:F$51, MATCH(2,1/(('Indices Mines Exporting Ports'!$C$20:$C$51=$BC76)*('Indices Mines Exporting Ports'!$D$20:$D$51&lt;=$C76))))</f>
        <v>0.45</v>
      </c>
      <c r="GX76" s="325">
        <f t="array" ref="GX76">INDEX('Indices Mines Exporting Ports'!G$20:G$51, MATCH(2,1/(('Indices Mines Exporting Ports'!$C$20:$C$51=$BC76)*('Indices Mines Exporting Ports'!$D$20:$D$51&lt;=$C76))))</f>
        <v>0.05</v>
      </c>
      <c r="GY76" s="325">
        <f t="array" ref="GY76">INDEX('Indices Mines Exporting Ports'!H$20:H$51, MATCH(2,1/(('Indices Mines Exporting Ports'!$C$20:$C$51=$BC76)*('Indices Mines Exporting Ports'!$D$20:$D$51&lt;=$C76))))</f>
        <v>0.05</v>
      </c>
      <c r="GZ76" s="325">
        <f t="array" ref="GZ76">INDEX('Indices Mines Exporting Ports'!I$20:I$51, MATCH(2,1/(('Indices Mines Exporting Ports'!$C$20:$C$51=$BC76)*('Indices Mines Exporting Ports'!$D$20:$D$51&lt;=$C76))))</f>
        <v>0</v>
      </c>
      <c r="HA76" s="325">
        <f t="array" ref="HA76">INDEX('Indices Mines Exporting Ports'!J$20:J$51, MATCH(2,1/(('Indices Mines Exporting Ports'!$C$20:$C$51=$BC76)*('Indices Mines Exporting Ports'!$D$20:$D$51&lt;=$C76))))</f>
        <v>0</v>
      </c>
      <c r="HB76" s="325">
        <f t="array" ref="HB76">INDEX('Indices Mines Exporting Ports'!K$20:K$51, MATCH(2,1/(('Indices Mines Exporting Ports'!$C$20:$C$51=$BC76)*('Indices Mines Exporting Ports'!$D$20:$D$51&lt;=$C76))))</f>
        <v>0.1</v>
      </c>
      <c r="HC76" s="326" t="str">
        <f t="array" ref="HC76">INDEX('Indices Mines Exporting Ports'!L$20:L$51, MATCH(2,1/(('Indices Mines Exporting Ports'!$C$20:$C$51=$BC76)*('Indices Mines Exporting Ports'!$D$20:$D$51&lt;=$C76))))</f>
        <v>LT</v>
      </c>
      <c r="HD76" s="262">
        <f t="array" ref="HD76">INDEX('Indices Mines Exporting Ports'!M$20:M$51, MATCH(2,1/(('Indices Mines Exporting Ports'!$C$20:$C$51=$BC76)*('Indices Mines Exporting Ports'!$D$20:$D$51&lt;=$C76))))</f>
        <v>0</v>
      </c>
      <c r="HE76" s="237"/>
      <c r="HF76" s="319">
        <f t="array" ref="HF76">INDEX('Processing Factors'!$D$8:$D$29,MATCH(2,1/(('Processing Factors'!$B$8:$B$29&lt;=Main!$C76)*('Processing Factors'!$C$8:$C$29=Main!HC76))))</f>
        <v>0</v>
      </c>
      <c r="HG76" s="320">
        <f t="array" ref="HG76">INDEX('Processing Factors'!$E$8:$E$29,MATCH(2,1/(('Processing Factors'!$B$8:$B$29&lt;=Main!$C76)*('Processing Factors'!$C$8:$C$29=Main!HC76))))</f>
        <v>1</v>
      </c>
      <c r="HH76" s="320">
        <f t="array" ref="HH76">INDEX('Processing Factors'!$F$8:$F$29,MATCH(2,1/(('Processing Factors'!$B$8:$B$29&lt;=Main!$C76)*('Processing Factors'!$C$8:$C$29=Main!HC76))))</f>
        <v>0.9</v>
      </c>
      <c r="HI76" s="320">
        <f t="array" ref="HI76">INDEX('Processing Factors'!$G$8:$G$29,MATCH(2,1/(('Processing Factors'!$B$8:$B$29&lt;=Main!$C76)*('Processing Factors'!$C$8:$C$29=Main!HC76))))</f>
        <v>3.5999999999999997E-2</v>
      </c>
      <c r="HJ76" s="320">
        <f t="array" ref="HJ76">INDEX('Processing Factors'!$H$8:$H$29,MATCH(2,1/(('Processing Factors'!$B$8:$B$29&lt;=Main!$C76)*('Processing Factors'!$C$8:$C$29=Main!HC76))))</f>
        <v>12.15</v>
      </c>
      <c r="HK76" s="319">
        <f t="array" ref="HK76">INDEX('Processing Factors'!$I$8:$I$29,MATCH(2,1/(('Processing Factors'!$B$8:$B$29&lt;=Main!$C76)*('Processing Factors'!$C$8:$C$29=Main!HC76))))</f>
        <v>0</v>
      </c>
      <c r="HL76" s="321">
        <v>0.92</v>
      </c>
      <c r="HM76" s="320">
        <f t="array" ref="HM76">INDEX('Processing Factors'!$K$8:$K$29,MATCH(2,1/(('Processing Factors'!$B$8:$B$29&lt;=Main!$C76)*('Processing Factors'!$C$8:$C$29=Main!HC76))))</f>
        <v>3.5000000000000003E-2</v>
      </c>
      <c r="HN76" s="237"/>
      <c r="HO76" s="322">
        <f t="shared" si="765"/>
        <v>0.5</v>
      </c>
      <c r="HP76" s="322">
        <f t="shared" si="766"/>
        <v>0.05</v>
      </c>
      <c r="HQ76" s="322">
        <f t="shared" si="767"/>
        <v>0.45</v>
      </c>
      <c r="HR76" s="320">
        <f t="shared" si="768"/>
        <v>2.4154589371980677</v>
      </c>
      <c r="HS76" s="263">
        <v>0</v>
      </c>
      <c r="HT76" s="320">
        <f t="shared" si="769"/>
        <v>0.14369565217391306</v>
      </c>
      <c r="HU76" s="323">
        <f t="shared" si="770"/>
        <v>34.486534568845585</v>
      </c>
      <c r="HV76" s="323">
        <f t="shared" si="771"/>
        <v>50.321396655852695</v>
      </c>
      <c r="HW76" s="323">
        <f t="shared" si="772"/>
        <v>1.2197497818850218</v>
      </c>
      <c r="HX76" s="320">
        <f t="shared" si="773"/>
        <v>1.5951545893719807</v>
      </c>
      <c r="HY76" s="323">
        <f t="shared" si="774"/>
        <v>6.755866189095018</v>
      </c>
      <c r="HZ76" s="323">
        <f t="shared" si="775"/>
        <v>92.783547195678324</v>
      </c>
      <c r="IB76" s="287" t="s">
        <v>39</v>
      </c>
      <c r="ID76" s="89" t="str">
        <f t="shared" si="776"/>
        <v>West Kalimantan Generic</v>
      </c>
      <c r="IE76" s="18">
        <f t="shared" si="777"/>
        <v>43934</v>
      </c>
      <c r="IF76" s="94">
        <f t="array" ref="IF76">INDEX('Indices Mines Exporting Ports'!E$20:E$51, MATCH(2,1/(('Indices Mines Exporting Ports'!$C$20:$C$51=$ID76)*('Indices Mines Exporting Ports'!$D$20:$D$51&lt;=$IE76))))</f>
        <v>0.48</v>
      </c>
      <c r="IG76" s="94">
        <f t="array" ref="IG76">INDEX('Indices Mines Exporting Ports'!F$20:F$51, MATCH(2,1/(('Indices Mines Exporting Ports'!$C$20:$C$51=$ID76)*('Indices Mines Exporting Ports'!$D$20:$D$51&lt;=$IE76))))</f>
        <v>0.44</v>
      </c>
      <c r="IH76" s="95">
        <f t="array" ref="IH76">INDEX('Indices Mines Exporting Ports'!G$20:G$51, MATCH(2,1/(('Indices Mines Exporting Ports'!$C$20:$C$51=$ID76)*('Indices Mines Exporting Ports'!$D$20:$D$51&lt;=$IE76))))</f>
        <v>0.08</v>
      </c>
      <c r="II76" s="95">
        <f t="array" ref="II76">INDEX('Indices Mines Exporting Ports'!H$20:H$51, MATCH(2,1/(('Indices Mines Exporting Ports'!$C$20:$C$51=$ID76)*('Indices Mines Exporting Ports'!$D$20:$D$51&lt;=$IE76))))</f>
        <v>3.5000000000000003E-2</v>
      </c>
      <c r="IJ76" s="95">
        <f t="array" ref="IJ76">INDEX('Indices Mines Exporting Ports'!I$20:I$51, MATCH(2,1/(('Indices Mines Exporting Ports'!$C$20:$C$51=$ID76)*('Indices Mines Exporting Ports'!$D$20:$D$51&lt;=$IE76))))</f>
        <v>4.4999999999999998E-2</v>
      </c>
      <c r="IK76" s="94">
        <f t="array" ref="IK76">INDEX('Indices Mines Exporting Ports'!J$20:J$51, MATCH(2,1/(('Indices Mines Exporting Ports'!$C$20:$C$51=$ID76)*('Indices Mines Exporting Ports'!$D$20:$D$51&lt;=$IE76))))</f>
        <v>5.0000000000000001E-3</v>
      </c>
      <c r="IL76" s="94">
        <f t="array" ref="IL76">INDEX('Indices Mines Exporting Ports'!K$20:K$51, MATCH(2,1/(('Indices Mines Exporting Ports'!$C$20:$C$51=$ID76)*('Indices Mines Exporting Ports'!$D$20:$D$51&lt;=$IE76))))</f>
        <v>0.15</v>
      </c>
      <c r="IM76" s="93" t="str">
        <f t="array" ref="IM76">INDEX('Indices Mines Exporting Ports'!L$20:L$51, MATCH(2,1/(('Indices Mines Exporting Ports'!$C$20:$C$51=$ID76)*('Indices Mines Exporting Ports'!$D$20:$D$51&lt;=$IE76))))</f>
        <v>LT</v>
      </c>
      <c r="IN76" s="101">
        <f t="array" ref="IN76">INDEX('Indices Mines Exporting Ports'!M$20:M$51, MATCH(2,1/(('Indices Mines Exporting Ports'!$C$20:$C$51=$ID76)*('Indices Mines Exporting Ports'!$D$20:$D$51&lt;=$IE76))))</f>
        <v>0.33</v>
      </c>
      <c r="IO76" s="96">
        <f t="array" ref="IO76">INDEX('Indices Mines Exporting Ports'!N$20:N$51, MATCH(2,1/(('Indices Mines Exporting Ports'!$C$20:$C$51=$ID76)*('Indices Mines Exporting Ports'!$D$20:$D$51&lt;=$IE76))))</f>
        <v>57000</v>
      </c>
      <c r="IP76" s="95" t="str">
        <f t="array" ref="IP76">INDEX('Indices Mines Exporting Ports'!Q$20:Q$51, MATCH(2,1/(('Indices Mines Exporting Ports'!$C$20:$C$51=$ID76)*('Indices Mines Exporting Ports'!$D$20:$D$51&lt;=$IE76))))</f>
        <v>West_Kal_Generic_Offshore</v>
      </c>
      <c r="IQ76" s="95" t="str">
        <f t="array" ref="IQ76">INDEX('Indices Mines Exporting Ports'!O$20:O$51, MATCH(2,1/(('Indices Mines Exporting Ports'!$C$20:$C$51=$ID76)*('Indices Mines Exporting Ports'!$D$20:$D$51&lt;=$IE76))))</f>
        <v>Indonesian LT</v>
      </c>
      <c r="IR76" s="95" t="str">
        <f t="array" ref="IR76">INDEX('Indices Mines Exporting Ports'!P$20:P$51, MATCH(2,1/(('Indices Mines Exporting Ports'!$C$20:$C$51=$ID76)*('Indices Mines Exporting Ports'!$D$20:$D$51&lt;=$IE76))))</f>
        <v>CBIX LT</v>
      </c>
      <c r="IT76" s="287" t="s">
        <v>39</v>
      </c>
      <c r="IV76" s="292">
        <f>VLOOKUP($C76,'China Price Series'!$C$10:$D$1009,2,TRUE)/$JA76/(VLOOKUP($C76,'China Price Series'!$C$10:$E$1009,3,TRUE)*$JG76/$JF76)</f>
        <v>4.1416787371072177</v>
      </c>
      <c r="IW76" s="292">
        <f>VLOOKUP($C76,'China Price Series'!$G$10:$H$1009,2,TRUE)/$JA76/(VLOOKUP($C76,'China Price Series'!$G$10:$I$1009,3,TRUE))</f>
        <v>239.99706356533991</v>
      </c>
      <c r="IX76" s="292">
        <f>VLOOKUP($C76,'China Price Series'!$K$10:$L$1009,2,TRUE)/$JA76</f>
        <v>33.881938385695051</v>
      </c>
      <c r="IY76" s="292">
        <f>VLOOKUP($C76,'China Price Series'!$N$10:$O$1009,2,TRUE)/$JA76</f>
        <v>4.2352422982118814</v>
      </c>
      <c r="JA76" s="277">
        <f t="array" ref="JA76">INDEX('FX rates'!E$10:E$1009,MATCH(2,1/(('FX rates'!$D$10:$D$1009&lt;=Main!$C76)*(NOT(ISBLANK('FX rates'!E$10:E$1009))))))</f>
        <v>7.0834199999999994</v>
      </c>
      <c r="JB76" s="277">
        <f t="array" ref="JB76">INDEX('FX rates'!F$10:F$1009,MATCH(2,1/(('FX rates'!$D$10:$D$1009&lt;=Main!$C76)*(NOT(ISBLANK('FX rates'!F$10:F$1009))))))</f>
        <v>0.61160022139928016</v>
      </c>
      <c r="JC76" s="277">
        <f t="array" ref="JC76">INDEX('FX rates'!G$10:G$1009,MATCH(2,1/(('FX rates'!$D$10:$D$1009&lt;=Main!$C76)*(NOT(ISBLANK('FX rates'!G$10:G$1009))))))</f>
        <v>1</v>
      </c>
      <c r="JD76" s="277">
        <f t="array" ref="JD76">INDEX('FX rates'!H$10:H$1009,MATCH(2,1/(('FX rates'!$D$10:$D$1009&lt;=Main!$C76)*(NOT(ISBLANK('FX rates'!H$10:H$1009))))))</f>
        <v>1.35</v>
      </c>
      <c r="JF76" s="111">
        <f t="array" ref="JF76">INDEX('Global factors'!C$5:C$23,MATCH(2,1/(('Global factors'!$B$5:$B$23&lt;=Main!$C76)*(NOT(ISBLANK('Global factors'!C$5:C$23))))))</f>
        <v>239000</v>
      </c>
      <c r="JG76" s="112">
        <f t="array" ref="JG76">INDEX('Global factors'!D$5:D$23,MATCH(2,1/(('Global factors'!$B$5:$B$23&lt;=Main!$C76)*(NOT(ISBLANK('Global factors'!D$5:D$23))))))</f>
        <v>1000</v>
      </c>
      <c r="JH76" s="112">
        <f t="array" ref="JH76">INDEX('Global factors'!E$5:E$23,MATCH(2,1/(('Global factors'!$B$5:$B$23&lt;=Main!$C76)*(NOT(ISBLANK('Global factors'!E$5:E$23))))))</f>
        <v>24</v>
      </c>
      <c r="JI76" s="112">
        <f t="array" ref="JI76">INDEX('Global factors'!F$5:F$23,MATCH(2,1/(('Global factors'!$B$5:$B$23&lt;=Main!$C76)*(NOT(ISBLANK('Global factors'!F$5:F$23))))))</f>
        <v>2</v>
      </c>
      <c r="JJ76" s="117">
        <f t="array" ref="JJ76">INDEX('Global factors'!G$5:G$23,MATCH(2,1/(('Global factors'!$B$5:$B$23&lt;=Main!$C76)*(NOT(ISBLANK('Global factors'!G$5:G$23))))))</f>
        <v>0.08</v>
      </c>
      <c r="JK76" s="113">
        <f t="array" ref="JK76">INDEX('Global factors'!H$5:H$23,MATCH(2,1/(('Global factors'!$B$5:$B$23&lt;=Main!$C76)*(NOT(ISBLANK('Global factors'!H$5:H$23))))))</f>
        <v>101.96</v>
      </c>
      <c r="JL76" s="113">
        <f t="array" ref="JL76">INDEX('Global factors'!I$5:I$23,MATCH(2,1/(('Global factors'!$B$5:$B$23&lt;=Main!$C76)*(NOT(ISBLANK('Global factors'!I$5:I$23))))))</f>
        <v>60.08</v>
      </c>
      <c r="JM76" s="114">
        <f t="array" ref="JM76">INDEX('Global factors'!J$5:J$23,MATCH(2,1/(('Global factors'!$B$5:$B$23&lt;=Main!$C76)*(NOT(ISBLANK('Global factors'!J$5:J$23))))))</f>
        <v>0.84853528628495334</v>
      </c>
      <c r="JN76" s="115">
        <f t="array" ref="JN76">INDEX('Global factors'!K$5:K$23,MATCH(2,1/(('Global factors'!$B$5:$B$23&lt;=Main!$C76)*(NOT(ISBLANK('Global factors'!K$5:K$23))))))</f>
        <v>0.97499999999999998</v>
      </c>
      <c r="JO76" s="116">
        <f t="array" ref="JO76">INDEX('Global factors'!L$5:L$23,MATCH(2,1/(('Global factors'!$B$5:$B$23&lt;=Main!$C76)*(NOT(ISBLANK('Global factors'!L$5:L$23))))))</f>
        <v>8.7299999999999997E-4</v>
      </c>
      <c r="JP76" s="116">
        <f t="array" ref="JP76">INDEX('Global factors'!M$5:M$23,MATCH(2,1/(('Global factors'!$B$5:$B$23&lt;=Main!$C76)*(NOT(ISBLANK('Global factors'!M$5:M$23))))))</f>
        <v>145.88999999999999</v>
      </c>
      <c r="JQ76" s="116">
        <f t="array" ref="JQ76">INDEX('Global factors'!N$5:N$23,MATCH(2,1/(('Global factors'!$B$5:$B$23&lt;=Main!$C76)*(NOT(ISBLANK('Global factors'!N$5:N$23))))))</f>
        <v>0.40339999999999998</v>
      </c>
      <c r="JR76" s="116">
        <f t="array" ref="JR76">INDEX('Global factors'!O$5:O$23,MATCH(2,1/(('Global factors'!$B$5:$B$23&lt;=Main!$C76)*(NOT(ISBLANK('Global factors'!O$5:O$23))))))</f>
        <v>0</v>
      </c>
      <c r="JS76" s="116">
        <f t="array" ref="JS76">INDEX('Global factors'!P$5:P$23,MATCH(2,1/(('Global factors'!$B$5:$B$23&lt;=Main!$C76)*(NOT(ISBLANK('Global factors'!P$5:P$23))))))</f>
        <v>0.51890000000000003</v>
      </c>
      <c r="JT76" s="116">
        <f t="array" ref="JT76">INDEX('Global factors'!Q$5:Q$23,MATCH(2,1/(('Global factors'!$B$5:$B$23&lt;=Main!$C76)*(NOT(ISBLANK('Global factors'!Q$5:Q$23))))))</f>
        <v>4797</v>
      </c>
      <c r="JU76" s="116">
        <f t="array" ref="JU76">INDEX('Global factors'!R$5:R$23,MATCH(2,1/(('Global factors'!$B$5:$B$23&lt;=Main!$C76)*(NOT(ISBLANK('Global factors'!R$5:R$23))))))</f>
        <v>7</v>
      </c>
      <c r="JV76" s="115">
        <f t="array" ref="JV76">INDEX('Global factors'!S$5:S$23,MATCH(2,1/(('Global factors'!$B$5:$B$23&lt;=Main!$C76)*(NOT(ISBLANK('Global factors'!S$5:S$23))))))</f>
        <v>0.12</v>
      </c>
      <c r="JW76" s="115">
        <f t="array" ref="JW76">INDEX('Global factors'!T$5:T$23,MATCH(2,1/(('Global factors'!$B$5:$B$23&lt;=Main!$C76)*(NOT(ISBLANK('Global factors'!T$5:T$23))))))</f>
        <v>0.5</v>
      </c>
      <c r="JX76" s="116">
        <f t="array" ref="JX76">INDEX('Global factors'!U$5:U$23,MATCH(2,1/(('Global factors'!$B$5:$B$23&lt;=Main!$C76)*(NOT(ISBLANK('Global factors'!U$5:U$23))))))</f>
        <v>0.5</v>
      </c>
      <c r="JY76" s="116">
        <f t="array" ref="JY76">INDEX('Global factors'!V$5:V$23,MATCH(2,1/(('Global factors'!$B$5:$B$23&lt;=Main!$C76)*(NOT(ISBLANK('Global factors'!V$5:V$23))))))</f>
        <v>10000</v>
      </c>
      <c r="JZ76" s="116">
        <f t="array" ref="JZ76">INDEX('Global factors'!W$5:W$23,MATCH(2,1/(('Global factors'!$B$5:$B$23&lt;=Main!$C76)*(NOT(ISBLANK('Global factors'!W$5:W$23))))))</f>
        <v>0.10680000000000001</v>
      </c>
      <c r="KA76" s="116">
        <f t="array" ref="KA76">INDEX('Global factors'!X$5:X$23,MATCH(2,1/(('Global factors'!$B$5:$B$23&lt;=Main!$C76)*(NOT(ISBLANK('Global factors'!X$5:X$23))))))</f>
        <v>1.2</v>
      </c>
      <c r="KB76" s="116">
        <v>0</v>
      </c>
      <c r="KC76" s="272">
        <f t="array" ref="KC76">INDEX('Global factors'!Y$5:Y$23,MATCH(2,1/(('Global factors'!$B$5:$B$23&lt;=Main!$C76)*(NOT(ISBLANK('Global factors'!Y$5:Y$23))))))</f>
        <v>23643.7088248818</v>
      </c>
      <c r="KD76" s="273">
        <f t="array" ref="KD76">INDEX('Global factors'!Z$5:Z$23,MATCH(2,1/(('Global factors'!$B$5:$B$23&lt;=Main!$C76)*(NOT(ISBLANK('Global factors'!Z$5:Z$23))))))</f>
        <v>0.62802869915581405</v>
      </c>
      <c r="KE76" s="273">
        <v>0</v>
      </c>
      <c r="KF76" s="273">
        <v>0</v>
      </c>
      <c r="KG76" s="116">
        <v>0</v>
      </c>
      <c r="KH76" s="116">
        <f t="array" ref="KH76">INDEX('Global factors'!AB$5:AB$23,MATCH(2,1/(('Global factors'!$B$5:$B$23&lt;=Main!$C76)*(NOT(ISBLANK('Global factors'!AB$5:AB$23))))))</f>
        <v>6.2556361557795204E-2</v>
      </c>
      <c r="KI76" s="116">
        <f t="array" ref="KI76">INDEX('Global factors'!AC$5:AC$23,MATCH(2,1/(('Global factors'!$B$5:$B$23&lt;=Main!$C76)*(NOT(ISBLANK('Global factors'!AC$5:AC$23))))))</f>
        <v>8.6923129044225601E-4</v>
      </c>
      <c r="KJ76" s="116">
        <f t="array" ref="KJ76">INDEX('Global factors'!AD$5:AD$23,MATCH(2,1/(('Global factors'!$B$5:$B$23&lt;=Main!$C76)*(NOT(ISBLANK('Global factors'!AD$5:AD$23))))))</f>
        <v>1.1499999999999999</v>
      </c>
      <c r="KK76" s="116" t="str">
        <f t="array" ref="KK76">INDEX('Global factors'!AE$5:AE$23,MATCH(2,1/(('Global factors'!$B$5:$B$23&lt;=Main!$C76)*(NOT(ISBLANK('Global factors'!AE$5:AE$23))))))</f>
        <v>Qingdao</v>
      </c>
      <c r="KL76" s="290">
        <f t="array" ref="KL76">INDEX('Global factors'!AF$5:AF$23,MATCH(2,1/(('Global factors'!$B$5:$B$23&lt;=Main!$C76)*(NOT(ISBLANK('Global factors'!AF$5:AF$23))))))</f>
        <v>3.0000000000000001E-3</v>
      </c>
      <c r="KM76" s="290"/>
      <c r="KO76" s="287" t="s">
        <v>39</v>
      </c>
      <c r="KQ76" s="25">
        <f t="shared" si="778"/>
        <v>83130.904183535764</v>
      </c>
      <c r="KR76" s="4" t="str">
        <f>VLOOKUP(KQ76,'Ship Time Charter Rates'!$F$10:$G$17,2,TRUE)</f>
        <v>Panamax</v>
      </c>
      <c r="KS76" s="4" t="str">
        <f>VLOOKUP(KQ76,Canals!$E$5:$F$12,2,TRUE)</f>
        <v>Panamax</v>
      </c>
      <c r="KT76" s="25">
        <f t="shared" si="779"/>
        <v>218.46327935222672</v>
      </c>
      <c r="KU76" s="25">
        <f t="shared" si="780"/>
        <v>33535.006747638326</v>
      </c>
      <c r="KV76" s="25">
        <f t="shared" si="781"/>
        <v>47933.626180836713</v>
      </c>
      <c r="KX76" s="75">
        <f t="array" ref="KX76">INDEX('Indices Mines Exporting Ports'!$R$20:$R$51,MATCH(2,1/(('Indices Mines Exporting Ports'!$D$20:$D$51&lt;=Main!$C76)*('Indices Mines Exporting Ports'!$Q$20:$Q$51=$AP76))))</f>
        <v>15000</v>
      </c>
      <c r="KY76" s="75">
        <f t="array" ref="KY76">INDEX('Indices Mines Exporting Ports'!$S$20:$S$51,MATCH(2,1/(('Indices Mines Exporting Ports'!$D$20:$D$51&lt;=Main!$C76)*('Indices Mines Exporting Ports'!$Q$20:$Q$51=$AP76))))</f>
        <v>15000</v>
      </c>
      <c r="KZ76" s="75">
        <f t="array" ref="KZ76">INDEX('Indices Mines Exporting Ports'!$T$20:$T$51,MATCH(2,1/(('Indices Mines Exporting Ports'!$D$20:$D$51&lt;=Main!$C76)*('Indices Mines Exporting Ports'!$Q$20:$Q$51=$AP76))))</f>
        <v>15000</v>
      </c>
      <c r="LA76" s="75">
        <f t="array" ref="LA76">INDEX('Indices Mines Exporting Ports'!$U$20:$U$51,MATCH(2,1/(('Indices Mines Exporting Ports'!$D$20:$D$51&lt;=Main!$C76)*('Indices Mines Exporting Ports'!$Q$20:$Q$51=$AP76))))</f>
        <v>15000</v>
      </c>
      <c r="LB76" s="75">
        <f t="array" ref="LB76">INDEX('Indices Mines Exporting Ports'!$V$20:$V$51,MATCH(2,1/(('Indices Mines Exporting Ports'!$D$20:$D$51&lt;=Main!$C76)*('Indices Mines Exporting Ports'!$Q$20:$Q$51=$AP76))))</f>
        <v>15000</v>
      </c>
      <c r="LC76" s="75">
        <f t="array" ref="LC76">INDEX('Indices Mines Exporting Ports'!$W$20:$W$51,MATCH(2,1/(('Indices Mines Exporting Ports'!$D$20:$D$51&lt;=Main!$C76)*('Indices Mines Exporting Ports'!$Q$20:$Q$51=$AP76))))</f>
        <v>15000</v>
      </c>
      <c r="LD76" s="75">
        <f t="array" ref="LD76">INDEX('Indices Mines Exporting Ports'!$X$20:$X$51,MATCH(2,1/(('Indices Mines Exporting Ports'!$D$20:$D$51&lt;=Main!$C76)*('Indices Mines Exporting Ports'!$Q$20:$Q$51=$AP76))))</f>
        <v>15000</v>
      </c>
      <c r="LF76" s="75">
        <f t="array" ref="LF76">INDEX('Port Linkages'!$E$18:$E$157,MATCH(2,1/(('Port Linkages'!$C$18:$C$157=$AP76)*('Port Linkages'!$D$18:$D$157=IF($AO76="Yes",$AQ76,$AS76))*('Port Linkages'!$A$18:$A$157&lt;=$C76))))</f>
        <v>2326</v>
      </c>
      <c r="LG76" s="75">
        <f t="array" ref="LG76">INDEX('Port Linkages'!$F$18:$F$157,MATCH(2,1/(('Port Linkages'!$C$18:$C$157=$AP76)*('Port Linkages'!$D$18:$D$157=IF($AO76="Yes",$AQ76,$AS76))*('Port Linkages'!$A$18:$A$157&lt;=$C76))))</f>
        <v>0</v>
      </c>
      <c r="LH76" s="75" t="str">
        <f t="array" ref="LH76">INDEX('Port Linkages'!$G$18:$G$157,MATCH(2,1/(('Port Linkages'!$C$18:$C$157=$AP76)*('Port Linkages'!$D$18:$D$157=IF($AO76="Yes",$AQ76,$AS76))*('Port Linkages'!$A$18:$A$157&lt;=$C76))))</f>
        <v>VLOC_General</v>
      </c>
      <c r="LI76" s="75" t="str">
        <f t="array" ref="LI76">INDEX('Port Linkages'!$H$18:$H$157,MATCH(2,1/(('Port Linkages'!$C$18:$C$157=$AP76)*('Port Linkages'!$D$18:$D$157=IF($AO76="Yes",$AQ76,$AS76))*('Port Linkages'!$A$18:$A$157&lt;=$C76))))</f>
        <v>Singapore</v>
      </c>
      <c r="LJ76" s="75" t="str">
        <f t="array" ref="LJ76">INDEX('Port Linkages'!$I$18:$I$157,MATCH(2,1/(('Port Linkages'!$C$18:$C$157=$AP76)*('Port Linkages'!$D$18:$D$157=IF($AO76="Yes",$AQ76,$AS76))*('Port Linkages'!$A$18:$A$157&lt;=$C76))))</f>
        <v>VLSFO</v>
      </c>
      <c r="LK76" s="75" t="str">
        <f t="array" ref="LK76">INDEX('Port Linkages'!$J$18:$J$157,MATCH(2,1/(('Port Linkages'!$C$18:$C$157=$AP76)*('Port Linkages'!$D$18:$D$157=IF($AO76="Yes",$AQ76,$AS76))*('Port Linkages'!$A$18:$A$157&lt;=$C76))))</f>
        <v>MGO_Regular</v>
      </c>
      <c r="LL76" s="75" t="str">
        <f t="array" ref="LL76">INDEX('Port Linkages'!$K$18:$K$157,MATCH(2,1/(('Port Linkages'!$C$18:$C$157=$AP76)*('Port Linkages'!$D$18:$D$157=IF($AO76="Yes",$AQ76,$AS76))*('Port Linkages'!$A$18:$A$157&lt;=$C76))))</f>
        <v>none</v>
      </c>
      <c r="LM76" s="75">
        <f t="array" ref="LM76">INDEX('Port Linkages'!$L$18:$L$157,MATCH(2,1/(('Port Linkages'!$C$18:$C$157=$AP76)*('Port Linkages'!$D$18:$D$157=IF($AO76="Yes",$AQ76,$AS76))*('Port Linkages'!$A$18:$A$157&lt;=$C76))))</f>
        <v>2326</v>
      </c>
      <c r="LN76" s="75">
        <f t="array" ref="LN76">INDEX('Port Linkages'!$M$18:$M$157,MATCH(2,1/(('Port Linkages'!$C$18:$C$157=$AP76)*('Port Linkages'!$D$18:$D$157=IF($AO76="Yes",$AQ76,$AS76))*('Port Linkages'!$A$18:$A$157&lt;=$C76))))</f>
        <v>0</v>
      </c>
      <c r="LO76" s="75" t="str">
        <f t="array" ref="LO76">INDEX('Port Linkages'!$N$18:$N$157,MATCH(2,1/(('Port Linkages'!$C$18:$C$157=$AP76)*('Port Linkages'!$D$18:$D$157=IF($AO76="Yes",$AQ76,$AS76))*('Port Linkages'!$A$18:$A$157&lt;=$C76))))</f>
        <v>Capesize_General</v>
      </c>
      <c r="LP76" s="75" t="str">
        <f t="array" ref="LP76">INDEX('Port Linkages'!$O$18:$O$157,MATCH(2,1/(('Port Linkages'!$C$18:$C$157=$AP76)*('Port Linkages'!$D$18:$D$157=IF($AO76="Yes",$AQ76,$AS76))*('Port Linkages'!$A$18:$A$157&lt;=$C76))))</f>
        <v>Singapore</v>
      </c>
      <c r="LQ76" s="75" t="str">
        <f t="array" ref="LQ76">INDEX('Port Linkages'!$P$18:$P$157,MATCH(2,1/(('Port Linkages'!$C$18:$C$157=$AP76)*('Port Linkages'!$D$18:$D$157=IF($AO76="Yes",$AQ76,$AS76))*('Port Linkages'!$A$18:$A$157&lt;=$C76))))</f>
        <v>VLSFO</v>
      </c>
      <c r="LR76" s="75" t="str">
        <f t="array" ref="LR76">INDEX('Port Linkages'!$Q$18:$Q$157,MATCH(2,1/(('Port Linkages'!$C$18:$C$157=$AP76)*('Port Linkages'!$D$18:$D$157=IF($AO76="Yes",$AQ76,$AS76))*('Port Linkages'!$A$18:$A$157&lt;=$C76))))</f>
        <v>MGO_Regular</v>
      </c>
      <c r="LS76" s="75" t="str">
        <f t="array" ref="LS76">INDEX('Port Linkages'!$R$18:$R$157,MATCH(2,1/(('Port Linkages'!$C$18:$C$157=$AP76)*('Port Linkages'!$D$18:$D$157=IF($AO76="Yes",$AQ76,$AS76))*('Port Linkages'!$A$18:$A$157&lt;=$C76))))</f>
        <v>none</v>
      </c>
      <c r="LT76" s="75">
        <f t="array" ref="LT76">INDEX('Port Linkages'!$S$18:$S$157,MATCH(2,1/(('Port Linkages'!$C$18:$C$157=$AP76)*('Port Linkages'!$D$18:$D$157=IF($AO76="Yes",$AQ76,$AS76))*('Port Linkages'!$A$18:$A$157&lt;=$C76))))</f>
        <v>2326</v>
      </c>
      <c r="LU76" s="75">
        <f t="array" ref="LU76">INDEX('Port Linkages'!$T$18:$T$157,MATCH(2,1/(('Port Linkages'!$C$18:$C$157=$AP76)*('Port Linkages'!$D$18:$D$157=IF($AO76="Yes",$AQ76,$AS76))*('Port Linkages'!$A$18:$A$157&lt;=$C76))))</f>
        <v>0</v>
      </c>
      <c r="LV76" s="75" t="str">
        <f t="array" ref="LV76">INDEX('Port Linkages'!$U$18:$U$157,MATCH(2,1/(('Port Linkages'!$C$18:$C$157=$AP76)*('Port Linkages'!$D$18:$D$157=IF($AO76="Yes",$AQ76,$AS76))*('Port Linkages'!$A$18:$A$157&lt;=$C76))))</f>
        <v>Capesize_General</v>
      </c>
      <c r="LW76" s="75" t="str">
        <f t="array" ref="LW76">INDEX('Port Linkages'!$V$18:$V$157,MATCH(2,1/(('Port Linkages'!$C$18:$C$157=$AP76)*('Port Linkages'!$D$18:$D$157=IF($AO76="Yes",$AQ76,$AS76))*('Port Linkages'!$A$18:$A$157&lt;=$C76))))</f>
        <v>Singapore</v>
      </c>
      <c r="LX76" s="75" t="str">
        <f t="array" ref="LX76">INDEX('Port Linkages'!$W$18:$W$157,MATCH(2,1/(('Port Linkages'!$C$18:$C$157=$AP76)*('Port Linkages'!$D$18:$D$157=IF($AO76="Yes",$AQ76,$AS76))*('Port Linkages'!$A$18:$A$157&lt;=$C76))))</f>
        <v>VLSFO</v>
      </c>
      <c r="LY76" s="75" t="str">
        <f t="array" ref="LY76">INDEX('Port Linkages'!$X$18:$X$157,MATCH(2,1/(('Port Linkages'!$C$18:$C$157=$AP76)*('Port Linkages'!$D$18:$D$157=IF($AO76="Yes",$AQ76,$AS76))*('Port Linkages'!$A$18:$A$157&lt;=$C76))))</f>
        <v>MGO_Regular</v>
      </c>
      <c r="LZ76" s="75" t="str">
        <f t="array" ref="LZ76">INDEX('Port Linkages'!$Y$18:$Y$157,MATCH(2,1/(('Port Linkages'!$C$18:$C$157=$AP76)*('Port Linkages'!$D$18:$D$157=IF($AO76="Yes",$AQ76,$AS76))*('Port Linkages'!$A$18:$A$157&lt;=$C76))))</f>
        <v>none</v>
      </c>
      <c r="MA76" s="75">
        <f t="array" ref="MA76">INDEX('Port Linkages'!$Z$18:$Z$157,MATCH(2,1/(('Port Linkages'!$C$18:$C$157=$AP76)*('Port Linkages'!$D$18:$D$157=IF($AO76="Yes",$AQ76,$AS76))*('Port Linkages'!$A$18:$A$157&lt;=$C76))))</f>
        <v>2326</v>
      </c>
      <c r="MB76" s="75">
        <f t="array" ref="MB76">INDEX('Port Linkages'!$AA$18:$AA$157,MATCH(2,1/(('Port Linkages'!$C$18:$C$157=$AP76)*('Port Linkages'!$D$18:$D$157=IF($AO76="Yes",$AQ76,$AS76))*('Port Linkages'!$A$18:$A$157&lt;=$C76))))</f>
        <v>0</v>
      </c>
      <c r="MC76" s="75" t="str">
        <f t="array" ref="MC76">INDEX('Port Linkages'!$AB$18:$AB$157,MATCH(2,1/(('Port Linkages'!$C$18:$C$157=$AP76)*('Port Linkages'!$D$18:$D$157=IF($AO76="Yes",$AQ76,$AS76))*('Port Linkages'!$A$18:$A$157&lt;=$C76))))</f>
        <v>Capesize_General</v>
      </c>
      <c r="MD76" s="75" t="str">
        <f t="array" ref="MD76">INDEX('Port Linkages'!$AC$18:$AC$157,MATCH(2,1/(('Port Linkages'!$C$18:$C$157=$AP76)*('Port Linkages'!$D$18:$D$157=IF($AO76="Yes",$AQ76,$AS76))*('Port Linkages'!$A$18:$A$157&lt;=$C76))))</f>
        <v>Singapore</v>
      </c>
      <c r="ME76" s="75" t="str">
        <f t="array" ref="ME76">INDEX('Port Linkages'!$AD$18:$AD$157,MATCH(2,1/(('Port Linkages'!$C$18:$C$157=$AP76)*('Port Linkages'!$D$18:$D$157=IF($AO76="Yes",$AQ76,$AS76))*('Port Linkages'!$A$18:$A$157&lt;=$C76))))</f>
        <v>VLSFO</v>
      </c>
      <c r="MF76" s="75" t="str">
        <f t="array" ref="MF76">INDEX('Port Linkages'!$AE$18:$AE$157,MATCH(2,1/(('Port Linkages'!$C$18:$C$157=$AP76)*('Port Linkages'!$D$18:$D$157=IF($AO76="Yes",$AQ76,$AS76))*('Port Linkages'!$A$18:$A$157&lt;=$C76))))</f>
        <v>MGO_Regular</v>
      </c>
      <c r="MG76" s="75" t="str">
        <f t="array" ref="MG76">INDEX('Port Linkages'!$AF$18:$AF$157,MATCH(2,1/(('Port Linkages'!$C$18:$C$157=$AP76)*('Port Linkages'!$D$18:$D$157=IF($AO76="Yes",$AQ76,$AS76))*('Port Linkages'!$A$18:$A$157&lt;=$C76))))</f>
        <v>none</v>
      </c>
      <c r="MH76" s="75">
        <f t="array" ref="MH76">INDEX('Port Linkages'!$AG$18:$AG$157,MATCH(2,1/(('Port Linkages'!$C$18:$C$157=$AP76)*('Port Linkages'!$D$18:$D$157=IF($AO76="Yes",$AQ76,$AS76))*('Port Linkages'!$A$18:$A$157&lt;=$C76))))</f>
        <v>2326</v>
      </c>
      <c r="MI76" s="75">
        <f t="array" ref="MI76">INDEX('Port Linkages'!$AH$18:$AH$157,MATCH(2,1/(('Port Linkages'!$C$18:$C$157=$AP76)*('Port Linkages'!$D$18:$D$157=IF($AO76="Yes",$AQ76,$AS76))*('Port Linkages'!$A$18:$A$157&lt;=$C76))))</f>
        <v>0</v>
      </c>
      <c r="MJ76" s="75" t="str">
        <f t="array" ref="MJ76">INDEX('Port Linkages'!$AI$18:$AI$157,MATCH(2,1/(('Port Linkages'!$C$18:$C$157=$AP76)*('Port Linkages'!$D$18:$D$157=IF($AO76="Yes",$AQ76,$AS76))*('Port Linkages'!$A$18:$A$157&lt;=$C76))))</f>
        <v>Panamax_General</v>
      </c>
      <c r="MK76" s="75" t="str">
        <f t="array" ref="MK76">INDEX('Port Linkages'!$AJ$18:$AJ$157,MATCH(2,1/(('Port Linkages'!$C$18:$C$157=$AP76)*('Port Linkages'!$D$18:$D$157=IF($AO76="Yes",$AQ76,$AS76))*('Port Linkages'!$A$18:$A$157&lt;=$C76))))</f>
        <v>Singapore</v>
      </c>
      <c r="ML76" s="75" t="str">
        <f t="array" ref="ML76">INDEX('Port Linkages'!$AK$18:$AK$157,MATCH(2,1/(('Port Linkages'!$C$18:$C$157=$AP76)*('Port Linkages'!$D$18:$D$157=IF($AO76="Yes",$AQ76,$AS76))*('Port Linkages'!$A$18:$A$157&lt;=$C76))))</f>
        <v>VLSFO</v>
      </c>
      <c r="MM76" s="75" t="str">
        <f t="array" ref="MM76">INDEX('Port Linkages'!$AL$18:$AL$157,MATCH(2,1/(('Port Linkages'!$C$18:$C$157=$AP76)*('Port Linkages'!$D$18:$D$157=IF($AO76="Yes",$AQ76,$AS76))*('Port Linkages'!$A$18:$A$157&lt;=$C76))))</f>
        <v>MGO_Regular</v>
      </c>
      <c r="MN76" s="75" t="str">
        <f t="array" ref="MN76">INDEX('Port Linkages'!$AM$18:$AM$157,MATCH(2,1/(('Port Linkages'!$C$18:$C$157=$AP76)*('Port Linkages'!$D$18:$D$157=IF($AO76="Yes",$AQ76,$AS76))*('Port Linkages'!$A$18:$A$157&lt;=$C76))))</f>
        <v>none</v>
      </c>
      <c r="MO76" s="75">
        <f t="array" ref="MO76">INDEX('Port Linkages'!$AN$18:$AN$157,MATCH(2,1/(('Port Linkages'!$C$18:$C$157=$AP76)*('Port Linkages'!$D$18:$D$157=IF($AO76="Yes",$AQ76,$AS76))*('Port Linkages'!$A$18:$A$157&lt;=$C76))))</f>
        <v>2326</v>
      </c>
      <c r="MP76" s="75">
        <f t="array" ref="MP76">INDEX('Port Linkages'!$AO$18:$AO$157,MATCH(2,1/(('Port Linkages'!$C$18:$C$157=$AP76)*('Port Linkages'!$D$18:$D$157=IF($AO76="Yes",$AQ76,$AS76))*('Port Linkages'!$A$18:$A$157&lt;=$C76))))</f>
        <v>0</v>
      </c>
      <c r="MQ76" s="75" t="str">
        <f t="array" ref="MQ76">INDEX('Port Linkages'!$AP$18:$AP$157,MATCH(2,1/(('Port Linkages'!$C$18:$C$157=$AP76)*('Port Linkages'!$D$18:$D$157=IF($AO76="Yes",$AQ76,$AS76))*('Port Linkages'!$A$18:$A$157&lt;=$C76))))</f>
        <v>Supramax_General</v>
      </c>
      <c r="MR76" s="75" t="str">
        <f t="array" ref="MR76">INDEX('Port Linkages'!$AQ$18:$AQ$157,MATCH(2,1/(('Port Linkages'!$C$18:$C$157=$AP76)*('Port Linkages'!$D$18:$D$157=IF($AO76="Yes",$AQ76,$AS76))*('Port Linkages'!$A$18:$A$157&lt;=$C76))))</f>
        <v>Singapore</v>
      </c>
      <c r="MS76" s="75" t="str">
        <f t="array" ref="MS76">INDEX('Port Linkages'!$AR$18:$AR$157,MATCH(2,1/(('Port Linkages'!$C$18:$C$157=$AP76)*('Port Linkages'!$D$18:$D$157=IF($AO76="Yes",$AQ76,$AS76))*('Port Linkages'!$A$18:$A$157&lt;=$C76))))</f>
        <v>VLSFO</v>
      </c>
      <c r="MT76" s="75" t="str">
        <f t="array" ref="MT76">INDEX('Port Linkages'!$AS$18:$AS$157,MATCH(2,1/(('Port Linkages'!$C$18:$C$157=$AP76)*('Port Linkages'!$D$18:$D$157=IF($AO76="Yes",$AQ76,$AS76))*('Port Linkages'!$A$18:$A$157&lt;=$C76))))</f>
        <v>MGO_Regular</v>
      </c>
      <c r="MU76" s="75" t="str">
        <f t="array" ref="MU76">INDEX('Port Linkages'!$AT$18:$AT$157,MATCH(2,1/(('Port Linkages'!$C$18:$C$157=$AP76)*('Port Linkages'!$D$18:$D$157=IF($AO76="Yes",$AQ76,$AS76))*('Port Linkages'!$A$18:$A$157&lt;=$C76))))</f>
        <v>none</v>
      </c>
      <c r="MV76" s="75">
        <f t="array" ref="MV76">INDEX('Port Linkages'!$AU$18:$AU$157,MATCH(2,1/(('Port Linkages'!$C$18:$C$157=$AP76)*('Port Linkages'!$D$18:$D$157=IF($AO76="Yes",$AQ76,$AS76))*('Port Linkages'!$A$18:$A$157&lt;=$C76))))</f>
        <v>2326</v>
      </c>
      <c r="MW76" s="75">
        <f t="array" ref="MW76">INDEX('Port Linkages'!$AV$18:$AV$157,MATCH(2,1/(('Port Linkages'!$C$18:$C$157=$AP76)*('Port Linkages'!$D$18:$D$157=IF($AO76="Yes",$AQ76,$AS76))*('Port Linkages'!$A$18:$A$157&lt;=$C76))))</f>
        <v>0</v>
      </c>
      <c r="MX76" s="75" t="str">
        <f t="array" ref="MX76">INDEX('Port Linkages'!$AW$18:$AW$157,MATCH(2,1/(('Port Linkages'!$C$18:$C$157=$AP76)*('Port Linkages'!$D$18:$D$157=IF($AO76="Yes",$AQ76,$AS76))*('Port Linkages'!$A$18:$A$157&lt;=$C76))))</f>
        <v>Handysize_General</v>
      </c>
      <c r="MY76" s="75" t="str">
        <f t="array" ref="MY76">INDEX('Port Linkages'!$AX$18:$AX$157,MATCH(2,1/(('Port Linkages'!$C$18:$C$157=$AP76)*('Port Linkages'!$D$18:$D$157=IF($AO76="Yes",$AQ76,$AS76))*('Port Linkages'!$A$18:$A$157&lt;=$C76))))</f>
        <v>Singapore</v>
      </c>
      <c r="MZ76" s="75" t="str">
        <f t="array" ref="MZ76">INDEX('Port Linkages'!$AY$18:$AY$157,MATCH(2,1/(('Port Linkages'!$C$18:$C$157=$AP76)*('Port Linkages'!$D$18:$D$157=IF($AO76="Yes",$AQ76,$AS76))*('Port Linkages'!$A$18:$A$157&lt;=$C76))))</f>
        <v>VLSFO</v>
      </c>
      <c r="NA76" s="75" t="str">
        <f t="array" ref="NA76">INDEX('Port Linkages'!$AZ$18:$AZ$157,MATCH(2,1/(('Port Linkages'!$C$18:$C$157=$AP76)*('Port Linkages'!$D$18:$D$157=IF($AO76="Yes",$AQ76,$AS76))*('Port Linkages'!$A$18:$A$157&lt;=$C76))))</f>
        <v>MGO_Regular</v>
      </c>
      <c r="NB76" s="75" t="str">
        <f t="array" ref="NB76">INDEX('Port Linkages'!$BA$18:$BA$157,MATCH(2,1/(('Port Linkages'!$C$18:$C$157=$AP76)*('Port Linkages'!$D$18:$D$157=IF($AO76="Yes",$AQ76,$AS76))*('Port Linkages'!$A$18:$A$157&lt;=$C76))))</f>
        <v>none</v>
      </c>
      <c r="ND76" s="25" t="e">
        <f t="array" aca="1" ref="ND76" ca="1">INDEX('Ship Fuel Prices'!$F$5:$F$1004,MATCH(2,1/(('Ship Fuel Prices'!$E$5:$E$1004=_xlfn.IFS(KS76="Handysize",Main!MY76,KS76="Supramax",MR76,KS76="Panamax",MK76,KS76="NeoPanamax",MD76,KS76="Suezmax",LW76,KS76="Capesize",LP76,KS76="VLOC",LI76))*('Ship Fuel Prices'!$D$5:$D$1004&lt;=Main!$C76))))</f>
        <v>#N/A</v>
      </c>
      <c r="NE76" s="25" t="e">
        <f t="array" aca="1" ref="NE76" ca="1">INDEX('Ship Fuel Prices'!$G$5:$G$1004,MATCH(2,1/(('Ship Fuel Prices'!$E$5:$E$1004=_xlfn.IFS(KS76="Handysize",Main!MY76,KS76="Supramax",MR76,KS76="Panamax",MK76,KS76="NeoPanamax",MD76,KS76="Suezmax",LW76,KS76="Capesize",LP76,KS76="VLOC",LI76))*('Ship Fuel Prices'!$D$5:$D$1004&lt;=Main!$C76))))</f>
        <v>#N/A</v>
      </c>
      <c r="NF76" s="25" t="e">
        <f t="array" aca="1" ref="NF76" ca="1">INDEX('Ship Fuel Prices'!$H$5:$H$1004,MATCH(2,1/(('Ship Fuel Prices'!$E$5:$E$1004=_xlfn.IFS(KS76="Handysize",Main!MY76,KS76="Supramax",MR76,KS76="Panamax",MK76,KS76="NeoPanamax",MD76,KS76="Suezmax",LW76,KS76="Capesize",LP76,KS76="VLOC",LI76))*('Ship Fuel Prices'!$D$5:$D$1004&lt;=Main!$C76))))</f>
        <v>#N/A</v>
      </c>
      <c r="NG76" s="25" t="e">
        <f t="array" aca="1" ref="NG76" ca="1">INDEX('Ship Fuel Prices'!$I$5:$I$1004,MATCH(2,1/(('Ship Fuel Prices'!$E$5:$E$1004=_xlfn.IFS(KS76="Handysize",Main!MY76,KS76="Supramax",MR76,KS76="Panamax",MK76,KS76="NeoPanamax",MD76,KS76="Suezmax",LW76,KS76="Capesize",LP76,KS76="VLOC",LI76))*('Ship Fuel Prices'!$D$5:$D$1004&lt;=Main!$C76))))</f>
        <v>#N/A</v>
      </c>
      <c r="NH76" s="25" t="e">
        <f t="array" aca="1" ref="NH76" ca="1">INDEX('Ship Fuel Prices'!$J$5:$J$1004,MATCH(2,1/(('Ship Fuel Prices'!$E$5:$E$1004=_xlfn.IFS(KS76="Handysize",Main!MY76,KS76="Supramax",MR76,KS76="Panamax",MK76,KS76="NeoPanamax",MD76,KS76="Suezmax",LW76,KS76="Capesize",LP76,KS76="VLOC",LI76))*('Ship Fuel Prices'!$D$5:$D$1004&lt;=Main!$C76))))</f>
        <v>#N/A</v>
      </c>
      <c r="NJ76" s="75">
        <f t="array" ref="NJ76">INDEX('China n Importing Ports'!$E$20:$E$41,MATCH(2,1/(('China n Importing Ports'!$D$20:$D$41&lt;=$C76)*('China n Importing Ports'!$C$20:$C$41=IF($AO76="Yes",$AQ76,$AS76)))))</f>
        <v>42500</v>
      </c>
      <c r="NK76" s="75">
        <f t="array" ref="NK76">INDEX('China n Importing Ports'!$F$20:$F$41,MATCH(2,1/(('China n Importing Ports'!$D$20:$D$41&lt;=$C76)*('China n Importing Ports'!$C$20:$C$41=IF($AO76="Yes",$AQ76,$AS76)))))</f>
        <v>42500</v>
      </c>
      <c r="NL76" s="75">
        <f t="array" ref="NL76">INDEX('China n Importing Ports'!$G$20:$G$41,MATCH(2,1/(('China n Importing Ports'!$D$20:$D$41&lt;=$C76)*('China n Importing Ports'!$C$20:$C$41=IF($AO76="Yes",$AQ76,$AS76)))))</f>
        <v>42500</v>
      </c>
      <c r="NM76" s="75">
        <f t="array" ref="NM76">INDEX('China n Importing Ports'!$H$20:$H$41,MATCH(2,1/(('China n Importing Ports'!$D$20:$D$41&lt;=$C76)*('China n Importing Ports'!$C$20:$C$41=IF($AO76="Yes",$AQ76,$AS76)))))</f>
        <v>42500</v>
      </c>
      <c r="NN76" s="75">
        <f t="array" ref="NN76">INDEX('China n Importing Ports'!$I$20:$I$41,MATCH(2,1/(('China n Importing Ports'!$D$20:$D$41&lt;=$C76)*('China n Importing Ports'!$C$20:$C$41=IF($AO76="Yes",$AQ76,$AS76)))))</f>
        <v>42500</v>
      </c>
      <c r="NO76" s="75">
        <f t="array" ref="NO76">INDEX('China n Importing Ports'!$J$20:$J$41,MATCH(2,1/(('China n Importing Ports'!$D$20:$D$41&lt;=$C76)*('China n Importing Ports'!$C$20:$C$41=IF($AO76="Yes",$AQ76,$AS76)))))</f>
        <v>42500</v>
      </c>
      <c r="NP76" s="75">
        <f t="array" ref="NP76">INDEX('China n Importing Ports'!$K$20:$K$41,MATCH(2,1/(('China n Importing Ports'!$D$20:$D$41&lt;=$C76)*('China n Importing Ports'!$C$20:$C$41=IF($AO76="Yes",$AQ76,$AS76)))))</f>
        <v>42500</v>
      </c>
      <c r="NQ76" s="75" t="str">
        <f t="array" ref="NQ76">INDEX('China n Importing Ports'!$L$20:$L$41,MATCH(2,1/(('China n Importing Ports'!$D$20:$D$41&lt;=$C76)*('China n Importing Ports'!$C$20:$C$41=IF($AO76="Yes",$AQ76,$AS76)))))</f>
        <v>RMB</v>
      </c>
      <c r="NR76" s="75">
        <f t="array" ref="NR76">INDEX('China n Importing Ports'!$M$20:$M$41,MATCH(2,1/(('China n Importing Ports'!$D$20:$D$41&lt;=$C76)*('China n Importing Ports'!$C$20:$C$41=IF($AO76="Yes",$AQ76,$AS76)))))</f>
        <v>12342</v>
      </c>
      <c r="NS76" s="75">
        <f t="array" ref="NS76">INDEX('China n Importing Ports'!$N$20:$N$41,MATCH(2,1/(('China n Importing Ports'!$D$20:$D$41&lt;=$C76)*('China n Importing Ports'!$C$20:$C$41=IF($AO76="Yes",$AQ76,$AS76)))))</f>
        <v>0</v>
      </c>
      <c r="NT76" s="75">
        <f t="array" ref="NT76">INDEX('China n Importing Ports'!$O$20:$O$41,MATCH(2,1/(('China n Importing Ports'!$D$20:$D$41&lt;=$C76)*('China n Importing Ports'!$C$20:$C$41=IF($AO76="Yes",$AQ76,$AS76)))))</f>
        <v>0</v>
      </c>
      <c r="NU76" s="136">
        <f t="array" ref="NU76">INDEX('China n Importing Ports'!$P$20:$P$41,MATCH(2,1/(('China n Importing Ports'!$D$20:$D$41&lt;=$C76)*('China n Importing Ports'!$C$20:$C$41=IF($AO76="Yes",$AQ76,$AS76)))))</f>
        <v>2.64</v>
      </c>
      <c r="NV76" s="136">
        <f t="array" ref="NV76">INDEX('China n Importing Ports'!$Q$20:$Q$41,MATCH(2,1/(('China n Importing Ports'!$D$20:$D$41&lt;=$C76)*('China n Importing Ports'!$C$20:$C$41=IF($AO76="Yes",$AQ76,$AS76)))))</f>
        <v>0</v>
      </c>
      <c r="NW76" s="136">
        <f t="array" ref="NW76">INDEX('China n Importing Ports'!$R$20:$R$41,MATCH(2,1/(('China n Importing Ports'!$D$20:$D$41&lt;=$C76)*('China n Importing Ports'!$C$20:$C$41=IF($AO76="Yes",$AQ76,$AS76)))))</f>
        <v>0</v>
      </c>
      <c r="NX76" s="136">
        <f t="array" ref="NX76">INDEX('China n Importing Ports'!$S$20:$S$41,MATCH(2,1/(('China n Importing Ports'!$D$20:$D$41&lt;=$C76)*('China n Importing Ports'!$C$20:$C$41=IF($AO76="Yes",$AQ76,$AS76)))))</f>
        <v>4.53</v>
      </c>
      <c r="NY76" s="136">
        <f t="array" ref="NY76">INDEX('China n Importing Ports'!$T$20:$T$41,MATCH(2,1/(('China n Importing Ports'!$D$20:$D$41&lt;=$C76)*('China n Importing Ports'!$C$20:$C$41=IF($AO76="Yes",$AQ76,$AS76)))))</f>
        <v>0.36699999999999999</v>
      </c>
      <c r="NZ76" s="136">
        <f t="array" ref="NZ76">INDEX('China n Importing Ports'!$U$20:$U$41,MATCH(2,1/(('China n Importing Ports'!$D$20:$D$41&lt;=$C76)*('China n Importing Ports'!$C$20:$C$41=IF($AO76="Yes",$AQ76,$AS76)))))</f>
        <v>0.05</v>
      </c>
      <c r="OA76" s="136">
        <f t="array" ref="OA76">INDEX('China n Importing Ports'!$V$20:$V$41,MATCH(2,1/(('China n Importing Ports'!$D$20:$D$41&lt;=$C76)*('China n Importing Ports'!$C$20:$C$41=IF($AO76="Yes",$AQ76,$AS76)))))</f>
        <v>0</v>
      </c>
      <c r="OB76" s="136">
        <f t="array" ref="OB76">INDEX('China n Importing Ports'!$W$20:$W$41,MATCH(2,1/(('China n Importing Ports'!$D$20:$D$41&lt;=$C76)*('China n Importing Ports'!$C$20:$C$41=IF($AO76="Yes",$AQ76,$AS76)))))</f>
        <v>0</v>
      </c>
      <c r="OC76" s="136">
        <f t="array" ref="OC76">INDEX('China n Importing Ports'!$X$20:$X$41,MATCH(2,1/(('China n Importing Ports'!$D$20:$D$41&lt;=$C76)*('China n Importing Ports'!$C$20:$C$41=IF($AO76="Yes",$AQ76,$AS76)))))</f>
        <v>0</v>
      </c>
      <c r="OD76" s="136">
        <f t="array" ref="OD76">INDEX('China n Importing Ports'!$Y$20:$Y$41,MATCH(2,1/(('China n Importing Ports'!$D$20:$D$41&lt;=$C76)*('China n Importing Ports'!$C$20:$C$41=IF($AO76="Yes",$AQ76,$AS76)))))</f>
        <v>197</v>
      </c>
      <c r="OE76" s="136">
        <f t="array" ref="OE76">INDEX('China n Importing Ports'!$Z$20:$Z$41,MATCH(2,1/(('China n Importing Ports'!$D$20:$D$41&lt;=$C76)*('China n Importing Ports'!$C$20:$C$41=IF($AO76="Yes",$AQ76,$AS76)))))</f>
        <v>0</v>
      </c>
      <c r="OF76" s="136">
        <f t="array" ref="OF76">INDEX('China n Importing Ports'!$AA$20:$AA$41,MATCH(2,1/(('China n Importing Ports'!$D$20:$D$41&lt;=$C76)*('China n Importing Ports'!$C$20:$C$41=IF($AO76="Yes",$AQ76,$AS76)))))</f>
        <v>0</v>
      </c>
      <c r="OH76" s="75" t="e">
        <f t="array" aca="1" ref="OH76" ca="1">INDEX(Canals!$G$24:$G$29,MATCH(2,1/((Canals!$F$24:$F$29&lt;=$C76)*(Canals!$G$24:$G$29=_xlfn.IFS(KS76="Handysize",Main!NB76,KS76="Supramax",MU76,KS76="Panamax",MN76,KS76="NeoPanamax",MG76,KS76="Suezmax",LZ76,KS76="Capesize",LS76,KS76="VLOC",LL76)))))</f>
        <v>#N/A</v>
      </c>
      <c r="OI76" s="75" t="e">
        <f t="array" aca="1" ref="OI76" ca="1">INDEX(Canals!$H$24:$H$29,MATCH(2,1/((Canals!$F$24:$F$29&lt;=$C76)*(Canals!$G$24:$G$29=_xlfn.IFS(KS76="Handysize",Main!NB76,KS76="Supramax",MU76,KS76="Panamax",MN76,KS76="NeoPanamax",MG76,KS76="Suezmax",LZ76,KS76="Capesize",LS76,KS76="VLOC",LL76)))))</f>
        <v>#N/A</v>
      </c>
      <c r="OJ76" s="75" t="e">
        <f t="array" aca="1" ref="OJ76" ca="1">INDEX(Canals!$I$24:$I$29,MATCH(2,1/((Canals!$F$24:$F$29&lt;=$C76)*(Canals!$G$24:$G$29=_xlfn.IFS(KS76="Handysize",Main!NB76,KS76="Supramax",MU76,KS76="Panamax",MN76,KS76="NeoPanamax",MG76,KS76="Suezmax",LZ76,KS76="Capesize",LS76,KS76="VLOC",LL76)))))</f>
        <v>#N/A</v>
      </c>
      <c r="OK76" s="75" t="e">
        <f t="array" aca="1" ref="OK76" ca="1">INDEX(Canals!$J$24:$J$29,MATCH(2,1/((Canals!$F$24:$F$29&lt;=$C76)*(Canals!$G$24:$G$29=_xlfn.IFS(KS76="Handysize",Main!NB76,KS76="Supramax",MU76,KS76="Panamax",MN76,KS76="NeoPanamax",MG76,KS76="Suezmax",LZ76,KS76="Capesize",LS76,KS76="VLOC",LL76)))))</f>
        <v>#N/A</v>
      </c>
      <c r="OL76" s="75" t="e">
        <f t="array" aca="1" ref="OL76" ca="1">INDEX(Canals!$K$24:$K$29,MATCH(2,1/((Canals!$F$24:$F$29&lt;=$C76)*(Canals!$G$24:$G$29=_xlfn.IFS(KS76="Handysize",Main!NB76,KS76="Supramax",MU76,KS76="Panamax",MN76,KS76="NeoPanamax",MG76,KS76="Suezmax",LZ76,KS76="Capesize",LS76,KS76="VLOC",LL76)))))</f>
        <v>#N/A</v>
      </c>
      <c r="OM76" s="75" t="e">
        <f t="array" aca="1" ref="OM76" ca="1">INDEX(Canals!$L$24:$L$29,MATCH(2,1/((Canals!$F$24:$F$29&lt;=$C76)*(Canals!$G$24:$G$29=_xlfn.IFS(KS76="Handysize",Main!NB76,KS76="Supramax",MU76,KS76="Panamax",MN76,KS76="NeoPanamax",MG76,KS76="Suezmax",LZ76,KS76="Capesize",LS76,KS76="VLOC",LL76)))))</f>
        <v>#N/A</v>
      </c>
      <c r="ON76" s="75" t="e">
        <f t="array" aca="1" ref="ON76" ca="1">INDEX(Canals!$M$24:$M$29,MATCH(2,1/((Canals!$F$24:$F$29&lt;=$C76)*(Canals!$G$24:$G$29=_xlfn.IFS(KS76="Handysize",Main!NB76,KS76="Supramax",MU76,KS76="Panamax",MN76,KS76="NeoPanamax",MG76,KS76="Suezmax",LZ76,KS76="Capesize",LS76,KS76="VLOC",LL76)))))</f>
        <v>#N/A</v>
      </c>
      <c r="OO76" s="75" t="e">
        <f t="array" aca="1" ref="OO76" ca="1">INDEX(Canals!$N$24:$N$29,MATCH(2,1/((Canals!$F$24:$F$29&lt;=$C76)*(Canals!$G$24:$G$29=_xlfn.IFS(KS76="Handysize",Main!NB76,KS76="Supramax",MU76,KS76="Panamax",MN76,KS76="NeoPanamax",MG76,KS76="Suezmax",LZ76,KS76="Capesize",LS76,KS76="VLOC",LL76)))))</f>
        <v>#N/A</v>
      </c>
      <c r="OP76" s="75" t="e">
        <f t="array" aca="1" ref="OP76" ca="1">INDEX(Canals!$O$24:$O$29,MATCH(2,1/((Canals!$F$24:$F$29&lt;=$C76)*(Canals!$G$24:$G$29=_xlfn.IFS(KS76="Handysize",Main!NB76,KS76="Supramax",MU76,KS76="Panamax",MN76,KS76="NeoPanamax",MG76,KS76="Suezmax",LZ76,KS76="Capesize",LS76,KS76="VLOC",LL76)))))</f>
        <v>#N/A</v>
      </c>
      <c r="OQ76" s="75" t="e">
        <f t="array" aca="1" ref="OQ76" ca="1">INDEX(Canals!$P$24:$P$29,MATCH(2,1/((Canals!$F$24:$F$29&lt;=$C76)*(Canals!$G$24:$G$29=_xlfn.IFS(KS76="Handysize",Main!NB76,KS76="Supramax",MU76,KS76="Panamax",MN76,KS76="NeoPanamax",MG76,KS76="Suezmax",LZ76,KS76="Capesize",LS76,KS76="VLOC",LL76)))))</f>
        <v>#N/A</v>
      </c>
      <c r="OR76" s="75" t="e">
        <f t="array" aca="1" ref="OR76" ca="1">INDEX(Canals!$Q$24:$Q$29,MATCH(2,1/((Canals!$F$24:$F$29&lt;=$C76)*(Canals!$G$24:$G$29=_xlfn.IFS(KS76="Handysize",Main!NB76,KS76="Supramax",MU76,KS76="Panamax",MN76,KS76="NeoPanamax",MG76,KS76="Suezmax",LZ76,KS76="Capesize",LS76,KS76="VLOC",LL76)))))</f>
        <v>#N/A</v>
      </c>
      <c r="OS76" s="75" t="e">
        <f t="array" aca="1" ref="OS76" ca="1">INDEX(Canals!$R$24:$R$29,MATCH(2,1/((Canals!$F$24:$F$29&lt;=$C76)*(Canals!$G$24:$G$29=_xlfn.IFS(KS76="Handysize",Main!NB76,KS76="Supramax",MU76,KS76="Panamax",MN76,KS76="NeoPanamax",MG76,KS76="Suezmax",LZ76,KS76="Capesize",LS76,KS76="VLOC",LL76)))))</f>
        <v>#N/A</v>
      </c>
      <c r="OT76" s="136" t="e">
        <f t="array" aca="1" ref="OT76" ca="1">INDEX(Canals!$S$24:$S$29,MATCH(2,1/((Canals!$F$24:$F$29&lt;=$C76)*(Canals!$G$24:$G$29=_xlfn.IFS(KS76="Handysize",Main!NB76,KS76="Supramax",MU76,KS76="Panamax",MN76,KS76="NeoPanamax",MG76,KS76="Suezmax",LZ76,KS76="Capesize",LS76,KS76="VLOC",LL76)))))</f>
        <v>#N/A</v>
      </c>
      <c r="OU76" s="136" t="e">
        <f t="array" aca="1" ref="OU76" ca="1">INDEX(Canals!$T$24:$T$29,MATCH(2,1/((Canals!$F$24:$F$29&lt;=$C76)*(Canals!$G$24:$G$29=_xlfn.IFS(KS76="Handysize",Main!NB76,KS76="Supramax",MU76,KS76="Panamax",MN76,KS76="NeoPanamax",MG76,KS76="Suezmax",LZ76,KS76="Capesize",LS76,KS76="VLOC",LL76)))))</f>
        <v>#N/A</v>
      </c>
      <c r="OV76" s="136" t="e">
        <f t="array" aca="1" ref="OV76" ca="1">INDEX(Canals!$U$24:$U$29,MATCH(2,1/((Canals!$F$24:$F$29&lt;=$C76)*(Canals!$G$24:$G$29=_xlfn.IFS(KS76="Handysize",Main!NB76,KS76="Supramax",MU76,KS76="Panamax",MN76,KS76="NeoPanamax",MG76,KS76="Suezmax",LZ76,KS76="Capesize",LS76,KS76="VLOC",LL76)))))</f>
        <v>#N/A</v>
      </c>
      <c r="OW76" s="136" t="e">
        <f t="array" aca="1" ref="OW76" ca="1">INDEX(Canals!$V$24:$V$29,MATCH(2,1/((Canals!$F$24:$F$29&lt;=$C76)*(Canals!$G$24:$G$29=_xlfn.IFS(KS76="Handysize",Main!NB76,KS76="Supramax",MU76,KS76="Panamax",MN76,KS76="NeoPanamax",MG76,KS76="Suezmax",LZ76,KS76="Capesize",LS76,KS76="VLOC",LL76)))))</f>
        <v>#N/A</v>
      </c>
      <c r="OX76" s="136" t="e">
        <f t="array" aca="1" ref="OX76" ca="1">INDEX(Canals!$W$24:$W$29,MATCH(2,1/((Canals!$F$24:$F$29&lt;=$C76)*(Canals!$G$24:$G$29=_xlfn.IFS(KS76="Handysize",Main!NB76,KS76="Supramax",MU76,KS76="Panamax",MN76,KS76="NeoPanamax",MG76,KS76="Suezmax",LZ76,KS76="Capesize",LS76,KS76="VLOC",LL76)))))</f>
        <v>#N/A</v>
      </c>
      <c r="OY76" s="136" t="e">
        <f t="array" aca="1" ref="OY76" ca="1">INDEX(Canals!$X$24:$X$29,MATCH(2,1/((Canals!$F$24:$F$29&lt;=$C76)*(Canals!$G$24:$G$29=_xlfn.IFS(KS76="Handysize",Main!NB76,KS76="Supramax",MU76,KS76="Panamax",MN76,KS76="NeoPanamax",MG76,KS76="Suezmax",LZ76,KS76="Capesize",LS76,KS76="VLOC",LL76)))))</f>
        <v>#N/A</v>
      </c>
      <c r="OZ76" s="136" t="e">
        <f t="array" aca="1" ref="OZ76" ca="1">INDEX(Canals!$Y$24:$Y$29,MATCH(2,1/((Canals!$F$24:$F$29&lt;=$C76)*(Canals!$G$24:$G$29=_xlfn.IFS(KS76="Handysize",Main!NB76,KS76="Supramax",MU76,KS76="Panamax",MN76,KS76="NeoPanamax",MG76,KS76="Suezmax",LZ76,KS76="Capesize",LS76,KS76="VLOC",LL76)))))</f>
        <v>#N/A</v>
      </c>
      <c r="PA76" s="136" t="e">
        <f t="array" aca="1" ref="PA76" ca="1">INDEX(Canals!$Z$24:$Z$29,MATCH(2,1/((Canals!$F$24:$F$29&lt;=$C76)*(Canals!$G$24:$G$29=_xlfn.IFS(KS76="Handysize",Main!NB76,KS76="Supramax",MU76,KS76="Panamax",MN76,KS76="NeoPanamax",MG76,KS76="Suezmax",LZ76,KS76="Capesize",LS76,KS76="VLOC",LL76)))))</f>
        <v>#N/A</v>
      </c>
      <c r="PB76" s="136" t="e">
        <f t="array" aca="1" ref="PB76" ca="1">INDEX(Canals!$AA$24:$AA$29,MATCH(2,1/((Canals!$F$24:$F$29&lt;=$C76)*(Canals!$G$24:$G$29=_xlfn.IFS(KS76="Handysize",Main!NB76,KS76="Supramax",MU76,KS76="Panamax",MN76,KS76="NeoPanamax",MG76,KS76="Suezmax",LZ76,KS76="Capesize",LS76,KS76="VLOC",LL76)))))</f>
        <v>#N/A</v>
      </c>
      <c r="PC76" s="136" t="e">
        <f t="array" aca="1" ref="PC76" ca="1">INDEX(Canals!$AB$24:$AB$29,MATCH(2,1/((Canals!$F$24:$F$29&lt;=$C76)*(Canals!$G$24:$G$29=_xlfn.IFS(KS76="Handysize",Main!NB76,KS76="Supramax",MU76,KS76="Panamax",MN76,KS76="NeoPanamax",MG76,KS76="Suezmax",LZ76,KS76="Capesize",LS76,KS76="VLOC",LL76)))))</f>
        <v>#N/A</v>
      </c>
      <c r="PD76" s="75" t="e">
        <f t="array" aca="1" ref="PD76" ca="1">INDEX(Canals!$AC$24:$AC$29,MATCH(2,1/((Canals!$F$24:$F$29&lt;=$C76)*(Canals!$G$24:$G$29=_xlfn.IFS(KS76="Handysize",Main!NB76,KS76="Supramax",MU76,KS76="Panamax",MN76,KS76="NeoPanamax",MG76,KS76="Suezmax",LZ76,KS76="Capesize",LS76,KS76="VLOC",LL76)))))</f>
        <v>#N/A</v>
      </c>
      <c r="PE76" s="75" t="e">
        <f t="array" aca="1" ref="PE76" ca="1">INDEX(Canals!$AD$24:$AD$29,MATCH(2,1/((Canals!$F$24:$F$29&lt;=$C76)*(Canals!$G$24:$G$29=_xlfn.IFS(KS76="Handysize",Main!NB76,KS76="Supramax",MU76,KS76="Panamax",MN76,KS76="NeoPanamax",MG76,KS76="Suezmax",LZ76,KS76="Capesize",LS76,KS76="VLOC",LL76)))))</f>
        <v>#N/A</v>
      </c>
      <c r="PF76" s="75" t="e">
        <f t="array" aca="1" ref="PF76" ca="1">INDEX(Canals!$AE$24:$AE$29,MATCH(2,1/((Canals!$F$24:$F$29&lt;=$C76)*(Canals!$G$24:$G$29=_xlfn.IFS(KS76="Handysize",Main!NB76,KS76="Supramax",MU76,KS76="Panamax",MN76,KS76="NeoPanamax",MG76,KS76="Suezmax",LZ76,KS76="Capesize",LS76,KS76="VLOC",LL76)))))</f>
        <v>#N/A</v>
      </c>
      <c r="PG76" s="75" t="e">
        <f t="array" aca="1" ref="PG76" ca="1">INDEX(Canals!$AF$24:$AF$29,MATCH(2,1/((Canals!$F$24:$F$29&lt;=$C76)*(Canals!$G$24:$G$29=_xlfn.IFS(KS76="Handysize",Main!NB76,KS76="Supramax",MU76,KS76="Panamax",MN76,KS76="NeoPanamax",MG76,KS76="Suezmax",LZ76,KS76="Capesize",LS76,KS76="VLOC",LL76)))))</f>
        <v>#N/A</v>
      </c>
      <c r="PH76" s="75" t="e">
        <f t="array" aca="1" ref="PH76" ca="1">INDEX(Canals!$AG$24:$AG$29,MATCH(2,1/((Canals!$F$24:$F$29&lt;=$C76)*(Canals!$G$24:$G$29=_xlfn.IFS(KS76="Handysize",Main!NB76,KS76="Supramax",MU76,KS76="Panamax",MN76,KS76="NeoPanamax",MG76,KS76="Suezmax",LZ76,KS76="Capesize",LS76,KS76="VLOC",LL76)))))</f>
        <v>#N/A</v>
      </c>
      <c r="PI76" s="75" t="e">
        <f t="array" aca="1" ref="PI76" ca="1">INDEX(Canals!$AH$24:$AH$29,MATCH(2,1/((Canals!$F$24:$F$29&lt;=$C76)*(Canals!$G$24:$G$29=_xlfn.IFS(KS76="Handysize",Main!NB76,KS76="Supramax",MU76,KS76="Panamax",MN76,KS76="NeoPanamax",MG76,KS76="Suezmax",LZ76,KS76="Capesize",LS76,KS76="VLOC",LL76)))))</f>
        <v>#N/A</v>
      </c>
      <c r="PJ76" s="75" t="e">
        <f t="array" aca="1" ref="PJ76" ca="1">INDEX(Canals!$AI$24:$AI$29,MATCH(2,1/((Canals!$F$24:$F$29&lt;=$C76)*(Canals!$G$24:$G$29=_xlfn.IFS(KS76="Handysize",Main!NB76,KS76="Supramax",MU76,KS76="Panamax",MN76,KS76="NeoPanamax",MG76,KS76="Suezmax",LZ76,KS76="Capesize",LS76,KS76="VLOC",LL76)))))</f>
        <v>#N/A</v>
      </c>
      <c r="PK76" s="75" t="e">
        <f t="array" aca="1" ref="PK76" ca="1">INDEX(Canals!$AJ$24:$AJ$29,MATCH(2,1/((Canals!$F$24:$F$29&lt;=$C76)*(Canals!$G$24:$G$29=_xlfn.IFS(KS76="Handysize",Main!NB76,KS76="Supramax",MU76,KS76="Panamax",MN76,KS76="NeoPanamax",MG76,KS76="Suezmax",LZ76,KS76="Capesize",LS76,KS76="VLOC",LL76)))))</f>
        <v>#N/A</v>
      </c>
      <c r="PL76" s="75" t="e">
        <f t="array" aca="1" ref="PL76" ca="1">INDEX(Canals!$AK$24:$AK$29,MATCH(2,1/((Canals!$F$24:$F$29&lt;=$C76)*(Canals!$G$24:$G$29=_xlfn.IFS(KS76="Handysize",Main!NB76,KS76="Supramax",MU76,KS76="Panamax",MN76,KS76="NeoPanamax",MG76,KS76="Suezmax",LZ76,KS76="Capesize",LS76,KS76="VLOC",LL76)))))</f>
        <v>#N/A</v>
      </c>
      <c r="PM76" s="136" t="e">
        <f t="array" aca="1" ref="PM76" ca="1">INDEX(Canals!$AL$24:$AL$29,MATCH(2,1/((Canals!$F$24:$F$29&lt;=$C76)*(Canals!$G$24:$G$29=_xlfn.IFS(KS76="Handysize",Main!NB76,KS76="Supramax",MU76,KS76="Panamax",MN76,KS76="NeoPanamax",MG76,KS76="Suezmax",LZ76,KS76="Capesize",LS76,KS76="VLOC",LL76)))))</f>
        <v>#N/A</v>
      </c>
      <c r="PN76" s="136" t="e">
        <f t="array" aca="1" ref="PN76" ca="1">INDEX(Canals!$AM$24:$AM$29,MATCH(2,1/((Canals!$F$24:$F$29&lt;=$C76)*(Canals!$G$24:$G$29=_xlfn.IFS(KS76="Handysize",Main!NB76,KS76="Supramax",MU76,KS76="Panamax",MN76,KS76="NeoPanamax",MG76,KS76="Suezmax",LZ76,KS76="Capesize",LS76,KS76="VLOC",LL76)))))</f>
        <v>#N/A</v>
      </c>
      <c r="PO76" s="136" t="e">
        <f t="array" aca="1" ref="PO76" ca="1">INDEX(Canals!$AN$24:$AN$29,MATCH(2,1/((Canals!$F$24:$F$29&lt;=$C76)*(Canals!$G$24:$G$29=_xlfn.IFS(KS76="Handysize",Main!NB76,KS76="Supramax",MU76,KS76="Panamax",MN76,KS76="NeoPanamax",MG76,KS76="Suezmax",LZ76,KS76="Capesize",LS76,KS76="VLOC",LL76)))))</f>
        <v>#N/A</v>
      </c>
      <c r="PP76" s="136" t="e">
        <f t="array" aca="1" ref="PP76" ca="1">INDEX(Canals!$AO$24:$AO$29,MATCH(2,1/((Canals!$F$24:$F$29&lt;=$C76)*(Canals!$G$24:$G$29=_xlfn.IFS(KS76="Handysize",Main!NB76,KS76="Supramax",MU76,KS76="Panamax",MN76,KS76="NeoPanamax",MG76,KS76="Suezmax",LZ76,KS76="Capesize",LS76,KS76="VLOC",LL76)))))</f>
        <v>#N/A</v>
      </c>
      <c r="PQ76" s="136" t="e">
        <f t="array" aca="1" ref="PQ76" ca="1">INDEX(Canals!$AP$24:$AP$29,MATCH(2,1/((Canals!$F$24:$F$29&lt;=$C76)*(Canals!$G$24:$G$29=_xlfn.IFS(KS76="Handysize",Main!NB76,KS76="Supramax",MU76,KS76="Panamax",MN76,KS76="NeoPanamax",MG76,KS76="Suezmax",LZ76,KS76="Capesize",LS76,KS76="VLOC",LL76)))))</f>
        <v>#N/A</v>
      </c>
      <c r="PR76" s="136" t="e">
        <f t="array" aca="1" ref="PR76" ca="1">INDEX(Canals!$AQ$24:$AQ$29,MATCH(2,1/((Canals!$F$24:$F$29&lt;=$C76)*(Canals!$G$24:$G$29=_xlfn.IFS(KS76="Handysize",Main!NB76,KS76="Supramax",MU76,KS76="Panamax",MN76,KS76="NeoPanamax",MG76,KS76="Suezmax",LZ76,KS76="Capesize",LS76,KS76="VLOC",LL76)))))</f>
        <v>#N/A</v>
      </c>
      <c r="PS76" s="136" t="e">
        <f t="array" aca="1" ref="PS76" ca="1">INDEX(Canals!$AR$24:$AR$29,MATCH(2,1/((Canals!$F$24:$F$29&lt;=$C76)*(Canals!$G$24:$G$29=_xlfn.IFS(KS76="Handysize",Main!NB76,KS76="Supramax",MU76,KS76="Panamax",MN76,KS76="NeoPanamax",MG76,KS76="Suezmax",LZ76,KS76="Capesize",LS76,KS76="VLOC",LL76)))))</f>
        <v>#N/A</v>
      </c>
      <c r="PT76" s="136" t="e">
        <f t="array" aca="1" ref="PT76" ca="1">INDEX(Canals!$AS$24:$AS$29,MATCH(2,1/((Canals!$F$24:$F$29&lt;=$C76)*(Canals!$G$24:$G$29=_xlfn.IFS(KS76="Handysize",Main!NB76,KS76="Supramax",MU76,KS76="Panamax",MN76,KS76="NeoPanamax",MG76,KS76="Suezmax",LZ76,KS76="Capesize",LS76,KS76="VLOC",LL76)))))</f>
        <v>#N/A</v>
      </c>
      <c r="PU76" s="136" t="e">
        <f t="array" aca="1" ref="PU76" ca="1">INDEX(Canals!$AT$24:$AT$29,MATCH(2,1/((Canals!$F$24:$F$29&lt;=$C76)*(Canals!$G$24:$G$29=_xlfn.IFS(KS76="Handysize",Main!NB76,KS76="Supramax",MU76,KS76="Panamax",MN76,KS76="NeoPanamax",MG76,KS76="Suezmax",LZ76,KS76="Capesize",LS76,KS76="VLOC",LL76)))))</f>
        <v>#N/A</v>
      </c>
      <c r="PV76" s="136" t="e">
        <f t="array" aca="1" ref="PV76" ca="1">INDEX(Canals!$AU$24:$AU$29,MATCH(2,1/((Canals!$F$24:$F$29&lt;=$C76)*(Canals!$G$24:$G$29=_xlfn.IFS(KS76="Handysize",Main!NB76,KS76="Supramax",MU76,KS76="Panamax",MN76,KS76="NeoPanamax",MG76,KS76="Suezmax",LZ76,KS76="Capesize",LS76,KS76="VLOC",LL76)))))</f>
        <v>#N/A</v>
      </c>
      <c r="PW76" s="136" t="e">
        <f t="array" aca="1" ref="PW76" ca="1">INDEX(Canals!$AV$24:$AV$29,MATCH(2,1/((Canals!$F$24:$F$29&lt;=$C76)*(Canals!$G$24:$G$29=_xlfn.IFS(KS76="Handysize",Main!NB76,KS76="Supramax",MU76,KS76="Panamax",MN76,KS76="NeoPanamax",MG76,KS76="Suezmax",LZ76,KS76="Capesize",LS76,KS76="VLOC",LL76)))))</f>
        <v>#N/A</v>
      </c>
      <c r="PY76" s="75" t="e">
        <f t="array" aca="1" ref="PY76" ca="1">_xlfn.IFS(OJ76="DWT",KQ76,OJ76="NRT",KU76,OJ76="GRT",KV76)</f>
        <v>#NAME?</v>
      </c>
      <c r="PZ76" s="279" t="e">
        <f t="shared" ca="1" si="782"/>
        <v>#NAME?</v>
      </c>
      <c r="QA76" s="280" t="e">
        <f t="shared" ca="1" si="783"/>
        <v>#NAME?</v>
      </c>
      <c r="QB76" s="280" t="e">
        <f t="shared" ca="1" si="784"/>
        <v>#NAME?</v>
      </c>
      <c r="QC76" s="280" t="e">
        <f t="shared" ca="1" si="785"/>
        <v>#NAME?</v>
      </c>
      <c r="QD76" s="280" t="e">
        <f t="shared" ca="1" si="786"/>
        <v>#NAME?</v>
      </c>
      <c r="QE76" s="280" t="e">
        <f t="shared" ca="1" si="787"/>
        <v>#NAME?</v>
      </c>
      <c r="QF76" s="280" t="e">
        <f t="shared" ca="1" si="788"/>
        <v>#NAME?</v>
      </c>
      <c r="QG76" s="280" t="e">
        <f t="shared" ca="1" si="789"/>
        <v>#NAME?</v>
      </c>
      <c r="QH76" s="280" t="e">
        <f t="shared" ca="1" si="790"/>
        <v>#NAME?</v>
      </c>
      <c r="QI76" s="75">
        <f t="shared" si="791"/>
        <v>81052.631578947374</v>
      </c>
      <c r="QJ76" s="279" t="e">
        <f t="shared" ca="1" si="792"/>
        <v>#N/A</v>
      </c>
      <c r="QK76" s="280" t="e">
        <f t="shared" ca="1" si="793"/>
        <v>#N/A</v>
      </c>
      <c r="QL76" s="280" t="e">
        <f t="shared" ca="1" si="794"/>
        <v>#N/A</v>
      </c>
      <c r="QM76" s="280" t="e">
        <f t="shared" ca="1" si="795"/>
        <v>#N/A</v>
      </c>
      <c r="QN76" s="280" t="e">
        <f t="shared" ca="1" si="796"/>
        <v>#N/A</v>
      </c>
      <c r="QO76" s="280" t="e">
        <f t="shared" ca="1" si="797"/>
        <v>#N/A</v>
      </c>
      <c r="QP76" s="280" t="e">
        <f t="shared" ca="1" si="798"/>
        <v>#N/A</v>
      </c>
      <c r="QQ76" s="280" t="e">
        <f t="shared" ca="1" si="799"/>
        <v>#N/A</v>
      </c>
      <c r="QR76" s="280" t="e">
        <f t="shared" ca="1" si="800"/>
        <v>#N/A</v>
      </c>
      <c r="QT76" s="75" t="e">
        <f t="array" aca="1" ref="QT76" ca="1">_xlfn.IFS(KS76="Handysize",Main!MV76,KS76="Supramax",MO76,KS76="Panamax",MH76,KS76="NeoPanamax",MA76,KS76="Suezmax",LT76,KS76="Capesize",LM76,KS76="VLOC",LF76)*$JI76</f>
        <v>#NAME?</v>
      </c>
      <c r="QU76" s="274" t="e">
        <f t="array" aca="1" ref="QU76" ca="1">_xlfn.IFS(KS76="Handysize",Main!MW76,KS76="Supramax",MP76,KS76="Panamax",MI76,KS76="NeoPanamax",MB76,KS76="Suezmax",LU76,KS76="Capesize",LN76,KS76="VLOC",LG76)*$JI76</f>
        <v>#NAME?</v>
      </c>
      <c r="QV76" s="71" t="e">
        <f t="array" aca="1" ref="QV76" ca="1">_xlfn.IFS(KS76="Handysize",Main!KX76,KS76="Supramax",KY76,KS76="Panamax",KZ76,KS76="NeoPanamax",LA76,KS76="Suezmax",LB76,KS76="Capesize",LC76,KS76="VLOC",LD76)</f>
        <v>#NAME?</v>
      </c>
      <c r="QW76" s="71" t="e">
        <f t="array" aca="1" ref="QW76" ca="1">_xlfn.IFS(KS76="Handysize",Main!NJ76,KS76="Supramax",NK76,KS76="Panamax",NL76,KS76="NeoPanamax",NM76,KS76="Suezmax",NN76,KS76="Capesize",NO76,KS76="VLOC",NP76)</f>
        <v>#NAME?</v>
      </c>
      <c r="QX76" s="70">
        <f t="array" ref="QX76">INDEX('Ship Speeds'!$G$11:$G$1011,MATCH(2,1/(('Ship Speeds'!$E$11:$E$1011&lt;=Main!$C76)*('Ship Speeds'!$F$11:$F$1011=Main!KR76))))</f>
        <v>11</v>
      </c>
      <c r="QY76" s="403">
        <f t="shared" si="801"/>
        <v>22.103418307276918</v>
      </c>
      <c r="QZ76" s="401">
        <f t="shared" si="802"/>
        <v>2.087838056680162</v>
      </c>
      <c r="RA76" s="70" t="e">
        <f t="shared" ca="1" si="803"/>
        <v>#NAME?</v>
      </c>
      <c r="RB76" s="70" t="e">
        <f t="shared" ca="1" si="804"/>
        <v>#NAME?</v>
      </c>
      <c r="RC76" s="70" t="e">
        <f t="shared" ca="1" si="805"/>
        <v>#NAME?</v>
      </c>
      <c r="RD76" s="70" t="e">
        <f t="shared" ca="1" si="806"/>
        <v>#NAME?</v>
      </c>
      <c r="RE76" s="72" t="e">
        <f t="shared" ca="1" si="807"/>
        <v>#N/A</v>
      </c>
      <c r="RF76" s="70" t="e">
        <f t="shared" ca="1" si="808"/>
        <v>#NAME?</v>
      </c>
      <c r="RG76" s="70" t="e">
        <f t="array" aca="1" ref="RG76" ca="1">INDEX(ND76:NH76,MATCH(_xlfn.IFS(KS76="Handysize",Main!MZ76,KS76="Supramax",MS76,KS76="Panamax",ML76,KS76="NeoPanamax",ME76,KS76="Suezmax",LX76,KS76="Capesize",LQ76,KS76="VLOC",LJ76),$ND$7:$NH$7,0))</f>
        <v>#NAME?</v>
      </c>
      <c r="RH76" s="70" t="e">
        <f t="array" aca="1" ref="RH76" ca="1">INDEX(ND76:NH76,MATCH(_xlfn.IFS(KS76="Handysize",Main!NA76,KS76="Supramax",MT76,KS76="Panamax",MM76,KS76="NeoPanamax",MF76,KS76="Suezmax",LY76,KS76="Capesize",LR76,KS76="VLOC",LK76),$ND$7:$NH$7,0))</f>
        <v>#NAME?</v>
      </c>
      <c r="RI76" s="71" t="e">
        <f t="shared" ca="1" si="809"/>
        <v>#NAME?</v>
      </c>
      <c r="RJ76" s="71" t="e">
        <f t="shared" ca="1" si="810"/>
        <v>#NAME?</v>
      </c>
      <c r="RK76" s="281">
        <f t="shared" si="811"/>
        <v>7.0834199999999994</v>
      </c>
      <c r="RL76" s="71">
        <f t="shared" si="812"/>
        <v>1742.3786814843679</v>
      </c>
      <c r="RM76" s="71" t="e">
        <f t="shared" ca="1" si="813"/>
        <v>#NAME?</v>
      </c>
      <c r="RN76" s="71" t="e">
        <f t="shared" ca="1" si="814"/>
        <v>#NAME?</v>
      </c>
      <c r="RO76" s="71">
        <f t="shared" si="815"/>
        <v>30208.422960719694</v>
      </c>
      <c r="RP76" s="71" t="e">
        <f t="shared" ca="1" si="816"/>
        <v>#NAME?</v>
      </c>
      <c r="RQ76" s="71" t="e">
        <f t="shared" ca="1" si="817"/>
        <v>#NAME?</v>
      </c>
      <c r="RR76" s="71">
        <f t="shared" si="818"/>
        <v>21446.360736311224</v>
      </c>
      <c r="RS76" s="71" t="e">
        <f t="shared" ca="1" si="819"/>
        <v>#NAME?</v>
      </c>
      <c r="RT76" s="71" t="e">
        <f t="shared" ca="1" si="820"/>
        <v>#NAME?</v>
      </c>
      <c r="RU76" s="71">
        <f t="shared" si="821"/>
        <v>0</v>
      </c>
      <c r="RV76" s="71" t="e">
        <f t="shared" ca="1" si="822"/>
        <v>#NAME?</v>
      </c>
      <c r="RW76" s="71" t="e">
        <f t="shared" ca="1" si="823"/>
        <v>#NAME?</v>
      </c>
      <c r="RX76" s="72">
        <f t="shared" si="824"/>
        <v>6075.774983325663</v>
      </c>
      <c r="RY76" s="72" t="e">
        <f t="shared" ca="1" si="825"/>
        <v>#NAME?</v>
      </c>
      <c r="RZ76" s="71" t="e">
        <f t="shared" ca="1" si="826"/>
        <v>#NAME?</v>
      </c>
      <c r="SA76" s="71" t="e">
        <f t="array" aca="1" ref="SA76" ca="1">INDEX('Ship Time Charter Rates'!$H$22:$H$1021,MATCH(2,1/(('Ship Time Charter Rates'!$G$22:$G$1021=_xlfn.IFS(KS76="Handysize",Main!MX76,KS76="Supramax",MQ76,KS76="Panamax",MJ76,KS76="NeoPanamax",MC76,KS76="Suezmax",LV76,KS76="Capesize",LO76,KS76="VLOC",LH76))*('Ship Time Charter Rates'!$E$22:$E$1021&lt;=Main!$C76)*(NOT(ISBLANK('Ship Time Charter Rates'!$H$22:$H$1021))))))</f>
        <v>#N/A</v>
      </c>
      <c r="SB76" s="71" t="e">
        <f t="shared" ca="1" si="827"/>
        <v>#NAME?</v>
      </c>
      <c r="SC76" s="70" t="e">
        <f t="shared" ca="1" si="828"/>
        <v>#N/A</v>
      </c>
      <c r="SD76" s="71" t="e">
        <f t="shared" ca="1" si="829"/>
        <v>#NAME?</v>
      </c>
      <c r="SE76" s="71" t="e">
        <f t="shared" ca="1" si="830"/>
        <v>#NAME?</v>
      </c>
      <c r="SF76" s="72" t="e">
        <f t="shared" ca="1" si="831"/>
        <v>#NAME?</v>
      </c>
      <c r="SH76" s="25">
        <f t="shared" si="832"/>
        <v>0</v>
      </c>
      <c r="SI76" s="4" t="str">
        <f>VLOOKUP(SH76,'Ship Time Charter Rates'!$F$10:$G$17,2,TRUE)</f>
        <v>Handysize</v>
      </c>
      <c r="SJ76" s="4" t="str">
        <f>VLOOKUP(SH76,Canals!$E$5:$F$12,2,TRUE)</f>
        <v>Handysize</v>
      </c>
      <c r="SK76" s="25">
        <f t="shared" si="833"/>
        <v>145.88999999999999</v>
      </c>
      <c r="SL76" s="25">
        <f t="shared" si="834"/>
        <v>0</v>
      </c>
      <c r="SM76" s="25">
        <f t="shared" si="835"/>
        <v>4797</v>
      </c>
      <c r="SO76" s="75">
        <f t="array" ref="SO76">INDEX('Indices Mines Exporting Ports'!$R$20:$R$51,MATCH(2,1/(('Indices Mines Exporting Ports'!$D$20:$D$51&lt;=Main!$C76)*('Indices Mines Exporting Ports'!$Q$20:$Q$51=$AQ76))))</f>
        <v>0</v>
      </c>
      <c r="SP76" s="75">
        <f t="array" ref="SP76">INDEX('Indices Mines Exporting Ports'!$S$20:$S$51,MATCH(2,1/(('Indices Mines Exporting Ports'!$D$20:$D$51&lt;=Main!$C76)*('Indices Mines Exporting Ports'!$Q$20:$Q$51=$AQ76))))</f>
        <v>0</v>
      </c>
      <c r="SQ76" s="75">
        <f t="array" ref="SQ76">INDEX('Indices Mines Exporting Ports'!$T$20:$T$51,MATCH(2,1/(('Indices Mines Exporting Ports'!$D$20:$D$51&lt;=Main!$C76)*('Indices Mines Exporting Ports'!$Q$20:$Q$51=$AQ76))))</f>
        <v>0</v>
      </c>
      <c r="SR76" s="75">
        <f t="array" ref="SR76">INDEX('Indices Mines Exporting Ports'!$U$20:$U$51,MATCH(2,1/(('Indices Mines Exporting Ports'!$D$20:$D$51&lt;=Main!$C76)*('Indices Mines Exporting Ports'!$Q$20:$Q$51=$AQ76))))</f>
        <v>0</v>
      </c>
      <c r="SS76" s="75">
        <f t="array" ref="SS76">INDEX('Indices Mines Exporting Ports'!$V$20:$V$51,MATCH(2,1/(('Indices Mines Exporting Ports'!$D$20:$D$51&lt;=Main!$C76)*('Indices Mines Exporting Ports'!$Q$20:$Q$51=$AQ76))))</f>
        <v>0</v>
      </c>
      <c r="ST76" s="75">
        <f t="array" ref="ST76">INDEX('Indices Mines Exporting Ports'!$W$20:$W$51,MATCH(2,1/(('Indices Mines Exporting Ports'!$D$20:$D$51&lt;=Main!$C76)*('Indices Mines Exporting Ports'!$Q$20:$Q$51=$AQ76))))</f>
        <v>0</v>
      </c>
      <c r="SU76" s="75">
        <f t="array" ref="SU76">INDEX('Indices Mines Exporting Ports'!$X$20:$X$51,MATCH(2,1/(('Indices Mines Exporting Ports'!$D$20:$D$51&lt;=Main!$C76)*('Indices Mines Exporting Ports'!$Q$20:$Q$51=$AQ76))))</f>
        <v>0</v>
      </c>
      <c r="SW76" s="75">
        <f t="array" ref="SW76">INDEX('Port Linkages'!$E$18:$E$157,MATCH(2,1/(('Port Linkages'!$C$18:$C$157=$AQ76)*('Port Linkages'!$D$18:$D$157=IF($AO76="no",$AQ76,$AS76))*('Port Linkages'!$A$18:$A$157&lt;=$C76))))</f>
        <v>0</v>
      </c>
      <c r="SX76" s="75">
        <f t="array" ref="SX76">INDEX('Port Linkages'!$F$18:$F$157,MATCH(2,1/(('Port Linkages'!$C$18:$C$157=$AQ76)*('Port Linkages'!$D$18:$D$157=IF($AO76="no",$AQ76,$AS76))*('Port Linkages'!$A$18:$A$157&lt;=$C76))))</f>
        <v>0</v>
      </c>
      <c r="SY76" s="75">
        <f t="array" ref="SY76">INDEX('Port Linkages'!$G$18:$G$157,MATCH(2,1/(('Port Linkages'!$C$18:$C$157=$AQ76)*('Port Linkages'!$D$18:$D$157=IF($AO76="no",$AQ76,$AS76))*('Port Linkages'!$A$18:$A$157&lt;=$C76))))</f>
        <v>0</v>
      </c>
      <c r="SZ76" s="75">
        <f t="array" ref="SZ76">INDEX('Port Linkages'!$H$18:$H$157,MATCH(2,1/(('Port Linkages'!$C$18:$C$157=$AQ76)*('Port Linkages'!$D$18:$D$157=IF($AO76="no",$AQ76,$AS76))*('Port Linkages'!$A$18:$A$157&lt;=$C76))))</f>
        <v>0</v>
      </c>
      <c r="TA76" s="75">
        <f t="array" ref="TA76">INDEX('Port Linkages'!$I$18:$I$157,MATCH(2,1/(('Port Linkages'!$C$18:$C$157=$AQ76)*('Port Linkages'!$D$18:$D$157=IF($AO76="no",$AQ76,$AS76))*('Port Linkages'!$A$18:$A$157&lt;=$C76))))</f>
        <v>0</v>
      </c>
      <c r="TB76" s="75">
        <f t="array" ref="TB76">INDEX('Port Linkages'!$J$18:$J$157,MATCH(2,1/(('Port Linkages'!$C$18:$C$157=$AQ76)*('Port Linkages'!$D$18:$D$157=IF($AO76="no",$AQ76,$AS76))*('Port Linkages'!$A$18:$A$157&lt;=$C76))))</f>
        <v>0</v>
      </c>
      <c r="TC76" s="75">
        <f t="array" ref="TC76">INDEX('Port Linkages'!$K$18:$K$157,MATCH(2,1/(('Port Linkages'!$C$18:$C$157=$AQ76)*('Port Linkages'!$D$18:$D$157=IF($AO76="no",$AQ76,$AS76))*('Port Linkages'!$A$18:$A$157&lt;=$C76))))</f>
        <v>0</v>
      </c>
      <c r="TD76" s="75">
        <f t="array" ref="TD76">INDEX('Port Linkages'!$L$18:$L$157,MATCH(2,1/(('Port Linkages'!$C$18:$C$157=$AQ76)*('Port Linkages'!$D$18:$D$157=IF($AO76="no",$AQ76,$AS76))*('Port Linkages'!$A$18:$A$157&lt;=$C76))))</f>
        <v>0</v>
      </c>
      <c r="TE76" s="75">
        <f t="array" ref="TE76">INDEX('Port Linkages'!$M$18:$M$157,MATCH(2,1/(('Port Linkages'!$C$18:$C$157=$AQ76)*('Port Linkages'!$D$18:$D$157=IF($AO76="no",$AQ76,$AS76))*('Port Linkages'!$A$18:$A$157&lt;=$C76))))</f>
        <v>0</v>
      </c>
      <c r="TF76" s="75">
        <f t="array" ref="TF76">INDEX('Port Linkages'!$N$18:$N$157,MATCH(2,1/(('Port Linkages'!$C$18:$C$157=$AQ76)*('Port Linkages'!$D$18:$D$157=IF($AO76="no",$AQ76,$AS76))*('Port Linkages'!$A$18:$A$157&lt;=$C76))))</f>
        <v>0</v>
      </c>
      <c r="TG76" s="75">
        <f t="array" ref="TG76">INDEX('Port Linkages'!$O$18:$O$157,MATCH(2,1/(('Port Linkages'!$C$18:$C$157=$AQ76)*('Port Linkages'!$D$18:$D$157=IF($AO76="no",$AQ76,$AS76))*('Port Linkages'!$A$18:$A$157&lt;=$C76))))</f>
        <v>0</v>
      </c>
      <c r="TH76" s="75">
        <f t="array" ref="TH76">INDEX('Port Linkages'!$P$18:$P$157,MATCH(2,1/(('Port Linkages'!$C$18:$C$157=$AQ76)*('Port Linkages'!$D$18:$D$157=IF($AO76="no",$AQ76,$AS76))*('Port Linkages'!$A$18:$A$157&lt;=$C76))))</f>
        <v>0</v>
      </c>
      <c r="TI76" s="75">
        <f t="array" ref="TI76">INDEX('Port Linkages'!$Q$18:$Q$157,MATCH(2,1/(('Port Linkages'!$C$18:$C$157=$AQ76)*('Port Linkages'!$D$18:$D$157=IF($AO76="no",$AQ76,$AS76))*('Port Linkages'!$A$18:$A$157&lt;=$C76))))</f>
        <v>0</v>
      </c>
      <c r="TJ76" s="75">
        <f t="array" ref="TJ76">INDEX('Port Linkages'!$R$18:$R$157,MATCH(2,1/(('Port Linkages'!$C$18:$C$157=$AQ76)*('Port Linkages'!$D$18:$D$157=IF($AO76="no",$AQ76,$AS76))*('Port Linkages'!$A$18:$A$157&lt;=$C76))))</f>
        <v>0</v>
      </c>
      <c r="TK76" s="75">
        <f t="array" ref="TK76">INDEX('Port Linkages'!$S$18:$S$157,MATCH(2,1/(('Port Linkages'!$C$18:$C$157=$AQ76)*('Port Linkages'!$D$18:$D$157=IF($AO76="no",$AQ76,$AS76))*('Port Linkages'!$A$18:$A$157&lt;=$C76))))</f>
        <v>0</v>
      </c>
      <c r="TL76" s="75">
        <f t="array" ref="TL76">INDEX('Port Linkages'!$T$18:$T$157,MATCH(2,1/(('Port Linkages'!$C$18:$C$157=$AQ76)*('Port Linkages'!$D$18:$D$157=IF($AO76="no",$AQ76,$AS76))*('Port Linkages'!$A$18:$A$157&lt;=$C76))))</f>
        <v>0</v>
      </c>
      <c r="TM76" s="75">
        <f t="array" ref="TM76">INDEX('Port Linkages'!$U$18:$U$157,MATCH(2,1/(('Port Linkages'!$C$18:$C$157=$AQ76)*('Port Linkages'!$D$18:$D$157=IF($AO76="no",$AQ76,$AS76))*('Port Linkages'!$A$18:$A$157&lt;=$C76))))</f>
        <v>0</v>
      </c>
      <c r="TN76" s="75">
        <f t="array" ref="TN76">INDEX('Port Linkages'!$V$18:$V$157,MATCH(2,1/(('Port Linkages'!$C$18:$C$157=$AQ76)*('Port Linkages'!$D$18:$D$157=IF($AO76="no",$AQ76,$AS76))*('Port Linkages'!$A$18:$A$157&lt;=$C76))))</f>
        <v>0</v>
      </c>
      <c r="TO76" s="75">
        <f t="array" ref="TO76">INDEX('Port Linkages'!$W$18:$W$157,MATCH(2,1/(('Port Linkages'!$C$18:$C$157=$AQ76)*('Port Linkages'!$D$18:$D$157=IF($AO76="no",$AQ76,$AS76))*('Port Linkages'!$A$18:$A$157&lt;=$C76))))</f>
        <v>0</v>
      </c>
      <c r="TP76" s="75">
        <f t="array" ref="TP76">INDEX('Port Linkages'!$X$18:$X$157,MATCH(2,1/(('Port Linkages'!$C$18:$C$157=$AQ76)*('Port Linkages'!$D$18:$D$157=IF($AO76="no",$AQ76,$AS76))*('Port Linkages'!$A$18:$A$157&lt;=$C76))))</f>
        <v>0</v>
      </c>
      <c r="TQ76" s="75">
        <f t="array" ref="TQ76">INDEX('Port Linkages'!$Y$18:$Y$157,MATCH(2,1/(('Port Linkages'!$C$18:$C$157=$AQ76)*('Port Linkages'!$D$18:$D$157=IF($AO76="no",$AQ76,$AS76))*('Port Linkages'!$A$18:$A$157&lt;=$C76))))</f>
        <v>0</v>
      </c>
      <c r="TR76" s="75">
        <f t="array" ref="TR76">INDEX('Port Linkages'!$Z$18:$Z$157,MATCH(2,1/(('Port Linkages'!$C$18:$C$157=$AQ76)*('Port Linkages'!$D$18:$D$157=IF($AO76="no",$AQ76,$AS76))*('Port Linkages'!$A$18:$A$157&lt;=$C76))))</f>
        <v>0</v>
      </c>
      <c r="TS76" s="75">
        <f t="array" ref="TS76">INDEX('Port Linkages'!$AA$18:$AA$157,MATCH(2,1/(('Port Linkages'!$C$18:$C$157=$AQ76)*('Port Linkages'!$D$18:$D$157=IF($AO76="no",$AQ76,$AS76))*('Port Linkages'!$A$18:$A$157&lt;=$C76))))</f>
        <v>0</v>
      </c>
      <c r="TT76" s="75">
        <f t="array" ref="TT76">INDEX('Port Linkages'!$AB$18:$AB$157,MATCH(2,1/(('Port Linkages'!$C$18:$C$157=$AQ76)*('Port Linkages'!$D$18:$D$157=IF($AO76="no",$AQ76,$AS76))*('Port Linkages'!$A$18:$A$157&lt;=$C76))))</f>
        <v>0</v>
      </c>
      <c r="TU76" s="75">
        <f t="array" ref="TU76">INDEX('Port Linkages'!$AC$18:$AC$157,MATCH(2,1/(('Port Linkages'!$C$18:$C$157=$AQ76)*('Port Linkages'!$D$18:$D$157=IF($AO76="no",$AQ76,$AS76))*('Port Linkages'!$A$18:$A$157&lt;=$C76))))</f>
        <v>0</v>
      </c>
      <c r="TV76" s="75">
        <f t="array" ref="TV76">INDEX('Port Linkages'!$AD$18:$AD$157,MATCH(2,1/(('Port Linkages'!$C$18:$C$157=$AQ76)*('Port Linkages'!$D$18:$D$157=IF($AO76="no",$AQ76,$AS76))*('Port Linkages'!$A$18:$A$157&lt;=$C76))))</f>
        <v>0</v>
      </c>
      <c r="TW76" s="75">
        <f t="array" ref="TW76">INDEX('Port Linkages'!$AE$18:$AE$157,MATCH(2,1/(('Port Linkages'!$C$18:$C$157=$AQ76)*('Port Linkages'!$D$18:$D$157=IF($AO76="no",$AQ76,$AS76))*('Port Linkages'!$A$18:$A$157&lt;=$C76))))</f>
        <v>0</v>
      </c>
      <c r="TX76" s="75">
        <f t="array" ref="TX76">INDEX('Port Linkages'!$AF$18:$AF$157,MATCH(2,1/(('Port Linkages'!$C$18:$C$157=$AQ76)*('Port Linkages'!$D$18:$D$157=IF($AO76="no",$AQ76,$AS76))*('Port Linkages'!$A$18:$A$157&lt;=$C76))))</f>
        <v>0</v>
      </c>
      <c r="TY76" s="75">
        <f t="array" ref="TY76">INDEX('Port Linkages'!$AG$18:$AG$157,MATCH(2,1/(('Port Linkages'!$C$18:$C$157=$AQ76)*('Port Linkages'!$D$18:$D$157=IF($AO76="no",$AQ76,$AS76))*('Port Linkages'!$A$18:$A$157&lt;=$C76))))</f>
        <v>0</v>
      </c>
      <c r="TZ76" s="75">
        <f t="array" ref="TZ76">INDEX('Port Linkages'!$AH$18:$AH$157,MATCH(2,1/(('Port Linkages'!$C$18:$C$157=$AQ76)*('Port Linkages'!$D$18:$D$157=IF($AO76="no",$AQ76,$AS76))*('Port Linkages'!$A$18:$A$157&lt;=$C76))))</f>
        <v>0</v>
      </c>
      <c r="UA76" s="75">
        <f t="array" ref="UA76">INDEX('Port Linkages'!$AI$18:$AI$157,MATCH(2,1/(('Port Linkages'!$C$18:$C$157=$AQ76)*('Port Linkages'!$D$18:$D$157=IF($AO76="no",$AQ76,$AS76))*('Port Linkages'!$A$18:$A$157&lt;=$C76))))</f>
        <v>0</v>
      </c>
      <c r="UB76" s="75">
        <f t="array" ref="UB76">INDEX('Port Linkages'!$AJ$18:$AJ$157,MATCH(2,1/(('Port Linkages'!$C$18:$C$157=$AQ76)*('Port Linkages'!$D$18:$D$157=IF($AO76="no",$AQ76,$AS76))*('Port Linkages'!$A$18:$A$157&lt;=$C76))))</f>
        <v>0</v>
      </c>
      <c r="UC76" s="75">
        <f t="array" ref="UC76">INDEX('Port Linkages'!$AK$18:$AK$157,MATCH(2,1/(('Port Linkages'!$C$18:$C$157=$AQ76)*('Port Linkages'!$D$18:$D$157=IF($AO76="no",$AQ76,$AS76))*('Port Linkages'!$A$18:$A$157&lt;=$C76))))</f>
        <v>0</v>
      </c>
      <c r="UD76" s="75">
        <f t="array" ref="UD76">INDEX('Port Linkages'!$AL$18:$AL$157,MATCH(2,1/(('Port Linkages'!$C$18:$C$157=$AQ76)*('Port Linkages'!$D$18:$D$157=IF($AO76="no",$AQ76,$AS76))*('Port Linkages'!$A$18:$A$157&lt;=$C76))))</f>
        <v>0</v>
      </c>
      <c r="UE76" s="75">
        <f t="array" ref="UE76">INDEX('Port Linkages'!$AM$18:$AM$157,MATCH(2,1/(('Port Linkages'!$C$18:$C$157=$AQ76)*('Port Linkages'!$D$18:$D$157=IF($AO76="no",$AQ76,$AS76))*('Port Linkages'!$A$18:$A$157&lt;=$C76))))</f>
        <v>0</v>
      </c>
      <c r="UF76" s="75">
        <f t="array" ref="UF76">INDEX('Port Linkages'!$AN$18:$AN$157,MATCH(2,1/(('Port Linkages'!$C$18:$C$157=$AQ76)*('Port Linkages'!$D$18:$D$157=IF($AO76="no",$AQ76,$AS76))*('Port Linkages'!$A$18:$A$157&lt;=$C76))))</f>
        <v>0</v>
      </c>
      <c r="UG76" s="75">
        <f t="array" ref="UG76">INDEX('Port Linkages'!$AO$18:$AO$157,MATCH(2,1/(('Port Linkages'!$C$18:$C$157=$AQ76)*('Port Linkages'!$D$18:$D$157=IF($AO76="no",$AQ76,$AS76))*('Port Linkages'!$A$18:$A$157&lt;=$C76))))</f>
        <v>0</v>
      </c>
      <c r="UH76" s="75">
        <f t="array" ref="UH76">INDEX('Port Linkages'!$AP$18:$AP$157,MATCH(2,1/(('Port Linkages'!$C$18:$C$157=$AQ76)*('Port Linkages'!$D$18:$D$157=IF($AO76="no",$AQ76,$AS76))*('Port Linkages'!$A$18:$A$157&lt;=$C76))))</f>
        <v>0</v>
      </c>
      <c r="UI76" s="75">
        <f t="array" ref="UI76">INDEX('Port Linkages'!$AQ$18:$AQ$157,MATCH(2,1/(('Port Linkages'!$C$18:$C$157=$AQ76)*('Port Linkages'!$D$18:$D$157=IF($AO76="no",$AQ76,$AS76))*('Port Linkages'!$A$18:$A$157&lt;=$C76))))</f>
        <v>0</v>
      </c>
      <c r="UJ76" s="75">
        <f t="array" ref="UJ76">INDEX('Port Linkages'!$AR$18:$AR$157,MATCH(2,1/(('Port Linkages'!$C$18:$C$157=$AQ76)*('Port Linkages'!$D$18:$D$157=IF($AO76="no",$AQ76,$AS76))*('Port Linkages'!$A$18:$A$157&lt;=$C76))))</f>
        <v>0</v>
      </c>
      <c r="UK76" s="75">
        <f t="array" ref="UK76">INDEX('Port Linkages'!$AS$18:$AS$157,MATCH(2,1/(('Port Linkages'!$C$18:$C$157=$AQ76)*('Port Linkages'!$D$18:$D$157=IF($AO76="no",$AQ76,$AS76))*('Port Linkages'!$A$18:$A$157&lt;=$C76))))</f>
        <v>0</v>
      </c>
      <c r="UL76" s="75">
        <f t="array" ref="UL76">INDEX('Port Linkages'!$AT$18:$AT$157,MATCH(2,1/(('Port Linkages'!$C$18:$C$157=$AQ76)*('Port Linkages'!$D$18:$D$157=IF($AO76="no",$AQ76,$AS76))*('Port Linkages'!$A$18:$A$157&lt;=$C76))))</f>
        <v>0</v>
      </c>
      <c r="UM76" s="75">
        <f t="array" ref="UM76">INDEX('Port Linkages'!$AU$18:$AU$157,MATCH(2,1/(('Port Linkages'!$C$18:$C$157=$AQ76)*('Port Linkages'!$D$18:$D$157=IF($AO76="no",$AQ76,$AS76))*('Port Linkages'!$A$18:$A$157&lt;=$C76))))</f>
        <v>0</v>
      </c>
      <c r="UN76" s="75">
        <f t="array" ref="UN76">INDEX('Port Linkages'!$AV$18:$AV$157,MATCH(2,1/(('Port Linkages'!$C$18:$C$157=$AQ76)*('Port Linkages'!$D$18:$D$157=IF($AO76="no",$AQ76,$AS76))*('Port Linkages'!$A$18:$A$157&lt;=$C76))))</f>
        <v>0</v>
      </c>
      <c r="UO76" s="75">
        <f t="array" ref="UO76">INDEX('Port Linkages'!$AW$18:$AW$157,MATCH(2,1/(('Port Linkages'!$C$18:$C$157=$AQ76)*('Port Linkages'!$D$18:$D$157=IF($AO76="no",$AQ76,$AS76))*('Port Linkages'!$A$18:$A$157&lt;=$C76))))</f>
        <v>0</v>
      </c>
      <c r="UP76" s="75">
        <f t="array" ref="UP76">INDEX('Port Linkages'!$AX$18:$AX$157,MATCH(2,1/(('Port Linkages'!$C$18:$C$157=$AQ76)*('Port Linkages'!$D$18:$D$157=IF($AO76="no",$AQ76,$AS76))*('Port Linkages'!$A$18:$A$157&lt;=$C76))))</f>
        <v>0</v>
      </c>
      <c r="UQ76" s="75">
        <f t="array" ref="UQ76">INDEX('Port Linkages'!$AY$18:$AY$157,MATCH(2,1/(('Port Linkages'!$C$18:$C$157=$AQ76)*('Port Linkages'!$D$18:$D$157=IF($AO76="no",$AQ76,$AS76))*('Port Linkages'!$A$18:$A$157&lt;=$C76))))</f>
        <v>0</v>
      </c>
      <c r="UR76" s="75">
        <f t="array" ref="UR76">INDEX('Port Linkages'!$AZ$18:$AZ$157,MATCH(2,1/(('Port Linkages'!$C$18:$C$157=$AQ76)*('Port Linkages'!$D$18:$D$157=IF($AO76="no",$AQ76,$AS76))*('Port Linkages'!$A$18:$A$157&lt;=$C76))))</f>
        <v>0</v>
      </c>
      <c r="US76" s="75">
        <f t="array" ref="US76">INDEX('Port Linkages'!$BA$18:$BA$157,MATCH(2,1/(('Port Linkages'!$C$18:$C$157=$AQ76)*('Port Linkages'!$D$18:$D$157=IF($AO76="no",$AQ76,$AS76))*('Port Linkages'!$A$18:$A$157&lt;=$C76))))</f>
        <v>0</v>
      </c>
      <c r="UU76" s="25" t="e">
        <f t="array" aca="1" ref="UU76" ca="1">INDEX('Ship Fuel Prices'!$F$5:$F$1004,MATCH(2,1/(('Ship Fuel Prices'!$E$5:$E$1004=_xlfn.IFS(SJ76="Handysize",Main!UP76,SJ76="Supramax",UI76,SJ76="Panamax",UB76,SJ76="NeoPanamax",TU76,SJ76="Suezmax",TN76,SJ76="Capesize",TG76,SJ76="VLOC",SZ76))*('Ship Fuel Prices'!$D$5:$D$1004&lt;=Main!$C76))))</f>
        <v>#N/A</v>
      </c>
      <c r="UV76" s="25" t="e">
        <f t="array" aca="1" ref="UV76" ca="1">INDEX('Ship Fuel Prices'!$G$5:$G$1004,MATCH(2,1/(('Ship Fuel Prices'!$E$5:$E$1004=_xlfn.IFS(SJ76="Handysize",Main!UP76,SJ76="Supramax",UI76,SJ76="Panamax",UB76,SJ76="NeoPanamax",TU76,SJ76="Suezmax",TN76,SJ76="Capesize",TG76,SJ76="VLOC",SZ76))*('Ship Fuel Prices'!$D$5:$D$1004&lt;=Main!$C76))))</f>
        <v>#N/A</v>
      </c>
      <c r="UW76" s="25" t="e">
        <f t="array" aca="1" ref="UW76" ca="1">INDEX('Ship Fuel Prices'!$H$5:$H$1004,MATCH(2,1/(('Ship Fuel Prices'!$E$5:$E$1004=_xlfn.IFS(SJ76="Handysize",Main!UP76,SJ76="Supramax",UI76,SJ76="Panamax",UB76,SJ76="NeoPanamax",TU76,SJ76="Suezmax",TN76,SJ76="Capesize",TG76,SJ76="VLOC",SZ76))*('Ship Fuel Prices'!$D$5:$D$1004&lt;=Main!$C76))))</f>
        <v>#N/A</v>
      </c>
      <c r="UX76" s="25" t="e">
        <f t="array" aca="1" ref="UX76" ca="1">INDEX('Ship Fuel Prices'!$I$5:$I$1004,MATCH(2,1/(('Ship Fuel Prices'!$E$5:$E$1004=_xlfn.IFS(SJ76="Handysize",Main!UP76,SJ76="Supramax",UI76,SJ76="Panamax",UB76,SJ76="NeoPanamax",TU76,SJ76="Suezmax",TN76,SJ76="Capesize",TG76,SJ76="VLOC",SZ76))*('Ship Fuel Prices'!$D$5:$D$1004&lt;=Main!$C76))))</f>
        <v>#N/A</v>
      </c>
      <c r="UY76" s="25" t="e">
        <f t="array" aca="1" ref="UY76" ca="1">INDEX('Ship Fuel Prices'!$J$5:$J$1004,MATCH(2,1/(('Ship Fuel Prices'!$E$5:$E$1004=_xlfn.IFS(SJ76="Handysize",Main!UP76,SJ76="Supramax",UI76,SJ76="Panamax",UB76,SJ76="NeoPanamax",TU76,SJ76="Suezmax",TN76,SJ76="Capesize",TG76,SJ76="VLOC",SZ76))*('Ship Fuel Prices'!$D$5:$D$1004&lt;=Main!$C76))))</f>
        <v>#N/A</v>
      </c>
      <c r="VA76" s="75">
        <f t="array" ref="VA76">INDEX('China n Importing Ports'!$E$20:$E$41,MATCH(2,1/(('China n Importing Ports'!$D$20:$D$41&lt;=$C76)*('China n Importing Ports'!$C$20:$C$41=IF($AO76="No",$AQ76,$AS76)))))</f>
        <v>0</v>
      </c>
      <c r="VB76" s="75">
        <f t="array" ref="VB76">INDEX('China n Importing Ports'!$F$20:$F$41,MATCH(2,1/(('China n Importing Ports'!$D$20:$D$41&lt;=$C76)*('China n Importing Ports'!$C$20:$C$41=IF($AO76="No",$AQ76,$AS76)))))</f>
        <v>0</v>
      </c>
      <c r="VC76" s="75">
        <f t="array" ref="VC76">INDEX('China n Importing Ports'!$G$20:$G$41,MATCH(2,1/(('China n Importing Ports'!$D$20:$D$41&lt;=$C76)*('China n Importing Ports'!$C$20:$C$41=IF($AO76="No",$AQ76,$AS76)))))</f>
        <v>0</v>
      </c>
      <c r="VD76" s="75">
        <f t="array" ref="VD76">INDEX('China n Importing Ports'!$H$20:$H$41,MATCH(2,1/(('China n Importing Ports'!$D$20:$D$41&lt;=$C76)*('China n Importing Ports'!$C$20:$C$41=IF($AO76="No",$AQ76,$AS76)))))</f>
        <v>0</v>
      </c>
      <c r="VE76" s="75">
        <f t="array" ref="VE76">INDEX('China n Importing Ports'!$I$20:$I$41,MATCH(2,1/(('China n Importing Ports'!$D$20:$D$41&lt;=$C76)*('China n Importing Ports'!$C$20:$C$41=IF($AO76="No",$AQ76,$AS76)))))</f>
        <v>0</v>
      </c>
      <c r="VF76" s="75">
        <f t="array" ref="VF76">INDEX('China n Importing Ports'!$J$20:$J$41,MATCH(2,1/(('China n Importing Ports'!$D$20:$D$41&lt;=$C76)*('China n Importing Ports'!$C$20:$C$41=IF($AO76="No",$AQ76,$AS76)))))</f>
        <v>0</v>
      </c>
      <c r="VG76" s="75">
        <f t="array" ref="VG76">INDEX('China n Importing Ports'!$K$20:$K$41,MATCH(2,1/(('China n Importing Ports'!$D$20:$D$41&lt;=$C76)*('China n Importing Ports'!$C$20:$C$41=IF($AO76="No",$AQ76,$AS76)))))</f>
        <v>0</v>
      </c>
      <c r="VH76" s="75">
        <f t="array" ref="VH76">INDEX('China n Importing Ports'!$L$20:$L$41,MATCH(2,1/(('China n Importing Ports'!$D$20:$D$41&lt;=$C76)*('China n Importing Ports'!$C$20:$C$41=IF($AO76="No",$AQ76,$AS76)))))</f>
        <v>0</v>
      </c>
      <c r="VI76" s="75">
        <f t="array" ref="VI76">INDEX('China n Importing Ports'!$M$20:$M$41,MATCH(2,1/(('China n Importing Ports'!$D$20:$D$41&lt;=$C76)*('China n Importing Ports'!$C$20:$C$41=IF($AO76="No",$AQ76,$AS76)))))</f>
        <v>0</v>
      </c>
      <c r="VJ76" s="75">
        <f t="array" ref="VJ76">INDEX('China n Importing Ports'!$N$20:$N$41,MATCH(2,1/(('China n Importing Ports'!$D$20:$D$41&lt;=$C76)*('China n Importing Ports'!$C$20:$C$41=IF($AO76="No",$AQ76,$AS76)))))</f>
        <v>0</v>
      </c>
      <c r="VK76" s="75">
        <f t="array" ref="VK76">INDEX('China n Importing Ports'!$O$20:$O$41,MATCH(2,1/(('China n Importing Ports'!$D$20:$D$41&lt;=$C76)*('China n Importing Ports'!$C$20:$C$41=IF($AO76="No",$AQ76,$AS76)))))</f>
        <v>0</v>
      </c>
      <c r="VL76" s="136">
        <f t="array" ref="VL76">INDEX('China n Importing Ports'!$P$20:$P$41,MATCH(2,1/(('China n Importing Ports'!$D$20:$D$41&lt;=$C76)*('China n Importing Ports'!$C$20:$C$41=IF($AO76="No",$AQ76,$AS76)))))</f>
        <v>0</v>
      </c>
      <c r="VM76" s="136">
        <f t="array" ref="VM76">INDEX('China n Importing Ports'!$Q$20:$Q$41,MATCH(2,1/(('China n Importing Ports'!$D$20:$D$41&lt;=$C76)*('China n Importing Ports'!$C$20:$C$41=IF($AO76="No",$AQ76,$AS76)))))</f>
        <v>0</v>
      </c>
      <c r="VN76" s="136">
        <f t="array" ref="VN76">INDEX('China n Importing Ports'!$R$20:$R$41,MATCH(2,1/(('China n Importing Ports'!$D$20:$D$41&lt;=$C76)*('China n Importing Ports'!$C$20:$C$41=IF($AO76="No",$AQ76,$AS76)))))</f>
        <v>0</v>
      </c>
      <c r="VO76" s="136">
        <f t="array" ref="VO76">INDEX('China n Importing Ports'!$S$20:$S$41,MATCH(2,1/(('China n Importing Ports'!$D$20:$D$41&lt;=$C76)*('China n Importing Ports'!$C$20:$C$41=IF($AO76="No",$AQ76,$AS76)))))</f>
        <v>0</v>
      </c>
      <c r="VP76" s="136">
        <f t="array" ref="VP76">INDEX('China n Importing Ports'!$T$20:$T$41,MATCH(2,1/(('China n Importing Ports'!$D$20:$D$41&lt;=$C76)*('China n Importing Ports'!$C$20:$C$41=IF($AO76="No",$AQ76,$AS76)))))</f>
        <v>0</v>
      </c>
      <c r="VQ76" s="136">
        <f t="array" ref="VQ76">INDEX('China n Importing Ports'!$U$20:$U$41,MATCH(2,1/(('China n Importing Ports'!$D$20:$D$41&lt;=$C76)*('China n Importing Ports'!$C$20:$C$41=IF($AO76="No",$AQ76,$AS76)))))</f>
        <v>0</v>
      </c>
      <c r="VR76" s="136">
        <f t="array" ref="VR76">INDEX('China n Importing Ports'!$V$20:$V$41,MATCH(2,1/(('China n Importing Ports'!$D$20:$D$41&lt;=$C76)*('China n Importing Ports'!$C$20:$C$41=IF($AO76="No",$AQ76,$AS76)))))</f>
        <v>0</v>
      </c>
      <c r="VS76" s="136">
        <f t="array" ref="VS76">INDEX('China n Importing Ports'!$W$20:$W$41,MATCH(2,1/(('China n Importing Ports'!$D$20:$D$41&lt;=$C76)*('China n Importing Ports'!$C$20:$C$41=IF($AO76="No",$AQ76,$AS76)))))</f>
        <v>0</v>
      </c>
      <c r="VT76" s="136">
        <f t="array" ref="VT76">INDEX('China n Importing Ports'!$X$20:$X$41,MATCH(2,1/(('China n Importing Ports'!$D$20:$D$41&lt;=$C76)*('China n Importing Ports'!$C$20:$C$41=IF($AO76="No",$AQ76,$AS76)))))</f>
        <v>0</v>
      </c>
      <c r="VU76" s="136">
        <f t="array" ref="VU76">INDEX('China n Importing Ports'!$Y$20:$Y$41,MATCH(2,1/(('China n Importing Ports'!$D$20:$D$41&lt;=$C76)*('China n Importing Ports'!$C$20:$C$41=IF($AO76="No",$AQ76,$AS76)))))</f>
        <v>0</v>
      </c>
      <c r="VV76" s="136">
        <f t="array" ref="VV76">INDEX('China n Importing Ports'!$Z$20:$Z$41,MATCH(2,1/(('China n Importing Ports'!$D$20:$D$41&lt;=$C76)*('China n Importing Ports'!$C$20:$C$41=IF($AO76="No",$AQ76,$AS76)))))</f>
        <v>0</v>
      </c>
      <c r="VW76" s="136">
        <f t="array" ref="VW76">INDEX('China n Importing Ports'!$AA$20:$AA$41,MATCH(2,1/(('China n Importing Ports'!$D$20:$D$41&lt;=$C76)*('China n Importing Ports'!$C$20:$C$41=IF($AO76="No",$AQ76,$AS76)))))</f>
        <v>0</v>
      </c>
      <c r="VY76" s="75" t="e">
        <f t="array" aca="1" ref="VY76" ca="1">INDEX(Canals!$G$24:$G$29,MATCH(2,1/((Canals!$F$24:$F$29&lt;=$C76)*(Canals!$G$24:$G$29=_xlfn.IFS(SJ76="Handysize",US76,SJ76="Supramax",UL76,SJ76="Panamax",UE76,SJ76="NeoPanamax",TX76,SJ76="Suezmax",TQ76,SJ76="Capesize",TJ76,SJ76="VLOC",TC76)))))</f>
        <v>#N/A</v>
      </c>
      <c r="VZ76" s="75" t="e">
        <f t="array" aca="1" ref="VZ76" ca="1">INDEX(Canals!$H$24:$H$29,MATCH(2,1/((Canals!$F$24:$F$29&lt;=$C76)*(Canals!$G$24:$G$29=_xlfn.IFS(SJ76="Handysize",US76,SJ76="Supramax",UL76,SJ76="Panamax",UE76,SJ76="NeoPanamax",TX76,SJ76="Suezmax",TQ76,SJ76="Capesize",TJ76,SJ76="VLOC",TC76)))))</f>
        <v>#N/A</v>
      </c>
      <c r="WA76" s="75" t="e">
        <f t="array" aca="1" ref="WA76" ca="1">INDEX(Canals!$I$24:$I$29,MATCH(2,1/((Canals!$F$24:$F$29&lt;=$C76)*(Canals!$G$24:$G$29=_xlfn.IFS(SJ76="Handysize",US76,SJ76="Supramax",UL76,SJ76="Panamax",UE76,SJ76="NeoPanamax",TX76,SJ76="Suezmax",TQ76,SJ76="Capesize",TJ76,SJ76="VLOC",TC76)))))</f>
        <v>#N/A</v>
      </c>
      <c r="WB76" s="75" t="e">
        <f t="array" aca="1" ref="WB76" ca="1">INDEX(Canals!$J$24:$J$29,MATCH(2,1/((Canals!$F$24:$F$29&lt;=$C76)*(Canals!$G$24:$G$29=_xlfn.IFS(SJ76="Handysize",Main!US76,SJ76="Supramax",UL76,SJ76="Panamax",UE76,SJ76="NeoPanamax",TX76,SJ76="Suezmax",TQ76,SJ76="Capesize",TJ76,SJ76="VLOC",TC76)))))</f>
        <v>#N/A</v>
      </c>
      <c r="WC76" s="75" t="e">
        <f t="array" aca="1" ref="WC76" ca="1">INDEX(Canals!$K$24:$K$29,MATCH(2,1/((Canals!$F$24:$F$29&lt;=$C76)*(Canals!$G$24:$G$29=_xlfn.IFS(SJ76="Handysize",Main!US76,SJ76="Supramax",UL76,SJ76="Panamax",UE76,SJ76="NeoPanamax",TX76,SJ76="Suezmax",TQ76,SJ76="Capesize",TJ76,SJ76="VLOC",TC76)))))</f>
        <v>#N/A</v>
      </c>
      <c r="WD76" s="75" t="e">
        <f t="array" aca="1" ref="WD76" ca="1">INDEX(Canals!$L$24:$L$29,MATCH(2,1/((Canals!$F$24:$F$29&lt;=$C76)*(Canals!$G$24:$G$29=_xlfn.IFS(SJ76="Handysize",Main!US76,SJ76="Supramax",UL76,SJ76="Panamax",UE76,SJ76="NeoPanamax",TX76,SJ76="Suezmax",TQ76,SJ76="Capesize",TJ76,SJ76="VLOC",TC76)))))</f>
        <v>#N/A</v>
      </c>
      <c r="WE76" s="75" t="e">
        <f t="array" aca="1" ref="WE76" ca="1">INDEX(Canals!$M$24:$M$29,MATCH(2,1/((Canals!$F$24:$F$29&lt;=$C76)*(Canals!$G$24:$G$29=_xlfn.IFS(SJ76="Handysize",Main!US76,SJ76="Supramax",UL76,SJ76="Panamax",UE76,SJ76="NeoPanamax",TX76,SJ76="Suezmax",TQ76,SJ76="Capesize",TJ76,SJ76="VLOC",TC76)))))</f>
        <v>#N/A</v>
      </c>
      <c r="WF76" s="75" t="e">
        <f t="array" aca="1" ref="WF76" ca="1">INDEX(Canals!$N$24:$N$29,MATCH(2,1/((Canals!$F$24:$F$29&lt;=$C76)*(Canals!$G$24:$G$29=_xlfn.IFS(SJ76="Handysize",Main!US76,SJ76="Supramax",UL76,SJ76="Panamax",UE76,SJ76="NeoPanamax",TX76,SJ76="Suezmax",TQ76,SJ76="Capesize",TJ76,SJ76="VLOC",TC76)))))</f>
        <v>#N/A</v>
      </c>
      <c r="WG76" s="75" t="e">
        <f t="array" aca="1" ref="WG76" ca="1">INDEX(Canals!$O$24:$O$29,MATCH(2,1/((Canals!$F$24:$F$29&lt;=$C76)*(Canals!$G$24:$G$29=_xlfn.IFS(SJ76="Handysize",Main!US76,SJ76="Supramax",UL76,SJ76="Panamax",UE76,SJ76="NeoPanamax",TX76,SJ76="Suezmax",TQ76,SJ76="Capesize",TJ76,SJ76="VLOC",TC76)))))</f>
        <v>#N/A</v>
      </c>
      <c r="WH76" s="75" t="e">
        <f t="array" aca="1" ref="WH76" ca="1">INDEX(Canals!$P$24:$P$29,MATCH(2,1/((Canals!$F$24:$F$29&lt;=$C76)*(Canals!$G$24:$G$29=_xlfn.IFS(SJ76="Handysize",Main!US76,SJ76="Supramax",UL76,SJ76="Panamax",UE76,SJ76="NeoPanamax",TX76,SJ76="Suezmax",TQ76,SJ76="Capesize",TJ76,SJ76="VLOC",TC76)))))</f>
        <v>#N/A</v>
      </c>
      <c r="WI76" s="75" t="e">
        <f t="array" aca="1" ref="WI76" ca="1">INDEX(Canals!$Q$24:$Q$29,MATCH(2,1/((Canals!$F$24:$F$29&lt;=$C76)*(Canals!$G$24:$G$29=_xlfn.IFS(SJ76="Handysize",Main!US76,SJ76="Supramax",UL76,SJ76="Panamax",UE76,SJ76="NeoPanamax",TX76,SJ76="Suezmax",TQ76,SJ76="Capesize",TJ76,SJ76="VLOC",TC76)))))</f>
        <v>#N/A</v>
      </c>
      <c r="WJ76" s="75" t="e">
        <f t="array" aca="1" ref="WJ76" ca="1">INDEX(Canals!$R$24:$R$29,MATCH(2,1/((Canals!$F$24:$F$29&lt;=$C76)*(Canals!$G$24:$G$29=_xlfn.IFS(SJ76="Handysize",Main!US76,SJ76="Supramax",UL76,SJ76="Panamax",UE76,SJ76="NeoPanamax",TX76,SJ76="Suezmax",TQ76,SJ76="Capesize",TJ76,SJ76="VLOC",TC76)))))</f>
        <v>#N/A</v>
      </c>
      <c r="WK76" s="136" t="e">
        <f t="array" aca="1" ref="WK76" ca="1">INDEX(Canals!$S$24:$S$29,MATCH(2,1/((Canals!$F$24:$F$29&lt;=$C76)*(Canals!$G$24:$G$29=_xlfn.IFS(SJ76="Handysize",Main!US76,SJ76="Supramax",UL76,SJ76="Panamax",UE76,SJ76="NeoPanamax",TX76,SJ76="Suezmax",TQ76,SJ76="Capesize",TJ76,SJ76="VLOC",TC76)))))</f>
        <v>#N/A</v>
      </c>
      <c r="WL76" s="136" t="e">
        <f t="array" aca="1" ref="WL76" ca="1">INDEX(Canals!$T$24:$T$29,MATCH(2,1/((Canals!$F$24:$F$29&lt;=$C76)*(Canals!$G$24:$G$29=_xlfn.IFS(SJ76="Handysize",Main!US76,SJ76="Supramax",UL76,SJ76="Panamax",UE76,SJ76="NeoPanamax",TX76,SJ76="Suezmax",TQ76,SJ76="Capesize",TJ76,SJ76="VLOC",TC76)))))</f>
        <v>#N/A</v>
      </c>
      <c r="WM76" s="136" t="e">
        <f t="array" aca="1" ref="WM76" ca="1">INDEX(Canals!$U$24:$U$29,MATCH(2,1/((Canals!$F$24:$F$29&lt;=$C76)*(Canals!$G$24:$G$29=_xlfn.IFS(SJ76="Handysize",Main!US76,SJ76="Supramax",UL76,SJ76="Panamax",UE76,SJ76="NeoPanamax",TX76,SJ76="Suezmax",TQ76,SJ76="Capesize",TJ76,SJ76="VLOC",TC76)))))</f>
        <v>#N/A</v>
      </c>
      <c r="WN76" s="136" t="e">
        <f t="array" aca="1" ref="WN76" ca="1">INDEX(Canals!$V$24:$V$29,MATCH(2,1/((Canals!$F$24:$F$29&lt;=$C76)*(Canals!$G$24:$G$29=_xlfn.IFS(SJ76="Handysize",Main!US76,SJ76="Supramax",UL76,SJ76="Panamax",UE76,SJ76="NeoPanamax",TX76,SJ76="Suezmax",TQ76,SJ76="Capesize",TJ76,SJ76="VLOC",TC76)))))</f>
        <v>#N/A</v>
      </c>
      <c r="WO76" s="136" t="e">
        <f t="array" aca="1" ref="WO76" ca="1">INDEX(Canals!$W$24:$W$29,MATCH(2,1/((Canals!$F$24:$F$29&lt;=$C76)*(Canals!$G$24:$G$29=_xlfn.IFS(SJ76="Handysize",Main!US76,SJ76="Supramax",UL76,SJ76="Panamax",UE76,SJ76="NeoPanamax",TX76,SJ76="Suezmax",TQ76,SJ76="Capesize",TJ76,SJ76="VLOC",TC76)))))</f>
        <v>#N/A</v>
      </c>
      <c r="WP76" s="136" t="e">
        <f t="array" aca="1" ref="WP76" ca="1">INDEX(Canals!$X$24:$X$29,MATCH(2,1/((Canals!$F$24:$F$29&lt;=$C76)*(Canals!$G$24:$G$29=_xlfn.IFS(SJ76="Handysize",Main!US76,SJ76="Supramax",UL76,SJ76="Panamax",UE76,SJ76="NeoPanamax",TX76,SJ76="Suezmax",TQ76,SJ76="Capesize",TJ76,SJ76="VLOC",TC76)))))</f>
        <v>#N/A</v>
      </c>
      <c r="WQ76" s="136" t="e">
        <f t="array" aca="1" ref="WQ76" ca="1">INDEX(Canals!$Y$24:$Y$29,MATCH(2,1/((Canals!$F$24:$F$29&lt;=$C76)*(Canals!$G$24:$G$29=_xlfn.IFS(SJ76="Handysize",Main!US76,SJ76="Supramax",UL76,SJ76="Panamax",UE76,SJ76="NeoPanamax",TX76,SJ76="Suezmax",TQ76,SJ76="Capesize",TJ76,SJ76="VLOC",TC76)))))</f>
        <v>#N/A</v>
      </c>
      <c r="WR76" s="136" t="e">
        <f t="array" aca="1" ref="WR76" ca="1">INDEX(Canals!$Z$24:$Z$29,MATCH(2,1/((Canals!$F$24:$F$29&lt;=$C76)*(Canals!$G$24:$G$29=_xlfn.IFS(SJ76="Handysize",Main!US76,SJ76="Supramax",UL76,SJ76="Panamax",UE76,SJ76="NeoPanamax",TX76,SJ76="Suezmax",TQ76,SJ76="Capesize",TJ76,SJ76="VLOC",TC76)))))</f>
        <v>#N/A</v>
      </c>
      <c r="WS76" s="136" t="e">
        <f t="array" aca="1" ref="WS76" ca="1">INDEX(Canals!$AA$24:$AA$29,MATCH(2,1/((Canals!$F$24:$F$29&lt;=$C76)*(Canals!$G$24:$G$29=_xlfn.IFS(SJ76="Handysize",Main!US76,SJ76="Supramax",UL76,SJ76="Panamax",UE76,SJ76="NeoPanamax",TX76,SJ76="Suezmax",TQ76,SJ76="Capesize",TJ76,SJ76="VLOC",TC76)))))</f>
        <v>#N/A</v>
      </c>
      <c r="WT76" s="136" t="e">
        <f t="array" aca="1" ref="WT76" ca="1">INDEX(Canals!$AB$24:$AB$29,MATCH(2,1/((Canals!$F$24:$F$29&lt;=$C76)*(Canals!$G$24:$G$29=_xlfn.IFS(SJ76="Handysize",Main!US76,SJ76="Supramax",UL76,SJ76="Panamax",UE76,SJ76="NeoPanamax",TX76,SJ76="Suezmax",TQ76,SJ76="Capesize",TJ76,SJ76="VLOC",TC76)))))</f>
        <v>#N/A</v>
      </c>
      <c r="WU76" s="75" t="e">
        <f t="array" aca="1" ref="WU76" ca="1">INDEX(Canals!$AC$24:$AC$29,MATCH(2,1/((Canals!$F$24:$F$29&lt;=$C76)*(Canals!$G$24:$G$29=_xlfn.IFS(SJ76="Handysize",Main!US76,SJ76="Supramax",UL76,SJ76="Panamax",UE76,SJ76="NeoPanamax",TX76,SJ76="Suezmax",TQ76,SJ76="Capesize",TJ76,SJ76="VLOC",TC76)))))</f>
        <v>#N/A</v>
      </c>
      <c r="WV76" s="75" t="e">
        <f t="array" aca="1" ref="WV76" ca="1">INDEX(Canals!$AD$24:$AD$29,MATCH(2,1/((Canals!$F$24:$F$29&lt;=$C76)*(Canals!$G$24:$G$29=_xlfn.IFS(SJ76="Handysize",Main!US76,SJ76="Supramax",UL76,SJ76="Panamax",UE76,SJ76="NeoPanamax",TX76,SJ76="Suezmax",TQ76,SJ76="Capesize",TJ76,SJ76="VLOC",TC76)))))</f>
        <v>#N/A</v>
      </c>
      <c r="WW76" s="75" t="e">
        <f t="array" aca="1" ref="WW76" ca="1">INDEX(Canals!$AE$24:$AE$29,MATCH(2,1/((Canals!$F$24:$F$29&lt;=$C76)*(Canals!$G$24:$G$29=_xlfn.IFS(SJ76="Handysize",Main!US76,SJ76="Supramax",UL76,SJ76="Panamax",UE76,SJ76="NeoPanamax",TX76,SJ76="Suezmax",TQ76,SJ76="Capesize",TJ76,SJ76="VLOC",TC76)))))</f>
        <v>#N/A</v>
      </c>
      <c r="WX76" s="75" t="e">
        <f t="array" aca="1" ref="WX76" ca="1">INDEX(Canals!$AF$24:$AF$29,MATCH(2,1/((Canals!$F$24:$F$29&lt;=$C76)*(Canals!$G$24:$G$29=_xlfn.IFS(SJ76="Handysize",Main!US76,SJ76="Supramax",UL76,SJ76="Panamax",UE76,SJ76="NeoPanamax",TX76,SJ76="Suezmax",TQ76,SJ76="Capesize",TJ76,SJ76="VLOC",TC76)))))</f>
        <v>#N/A</v>
      </c>
      <c r="WY76" s="75" t="e">
        <f t="array" aca="1" ref="WY76" ca="1">INDEX(Canals!$AG$24:$AG$29,MATCH(2,1/((Canals!$F$24:$F$29&lt;=$C76)*(Canals!$G$24:$G$29=_xlfn.IFS(SJ76="Handysize",Main!US76,SJ76="Supramax",UL76,SJ76="Panamax",UE76,SJ76="NeoPanamax",TX76,SJ76="Suezmax",TQ76,SJ76="Capesize",TJ76,SJ76="VLOC",TC76)))))</f>
        <v>#N/A</v>
      </c>
      <c r="WZ76" s="75" t="e">
        <f t="array" aca="1" ref="WZ76" ca="1">INDEX(Canals!$AH$24:$AH$29,MATCH(2,1/((Canals!$F$24:$F$29&lt;=$C76)*(Canals!$G$24:$G$29=_xlfn.IFS(SJ76="Handysize",Main!US76,SJ76="Supramax",UL76,SJ76="Panamax",UE76,SJ76="NeoPanamax",TX76,SJ76="Suezmax",TQ76,SJ76="Capesize",TJ76,SJ76="VLOC",TC76)))))</f>
        <v>#N/A</v>
      </c>
      <c r="XA76" s="75" t="e">
        <f t="array" aca="1" ref="XA76" ca="1">INDEX(Canals!$AI$24:$AI$29,MATCH(2,1/((Canals!$F$24:$F$29&lt;=$C76)*(Canals!$G$24:$G$29=_xlfn.IFS(SJ76="Handysize",Main!US76,SJ76="Supramax",UL76,SJ76="Panamax",UE76,SJ76="NeoPanamax",TX76,SJ76="Suezmax",TQ76,SJ76="Capesize",TJ76,SJ76="VLOC",TC76)))))</f>
        <v>#N/A</v>
      </c>
      <c r="XB76" s="75" t="e">
        <f t="array" aca="1" ref="XB76" ca="1">INDEX(Canals!$AJ$24:$AJ$29,MATCH(2,1/((Canals!$F$24:$F$29&lt;=$C76)*(Canals!$G$24:$G$29=_xlfn.IFS(SJ76="Handysize",Main!US76,SJ76="Supramax",UL76,SJ76="Panamax",UE76,SJ76="NeoPanamax",TX76,SJ76="Suezmax",TQ76,SJ76="Capesize",TJ76,SJ76="VLOC",TC76)))))</f>
        <v>#N/A</v>
      </c>
      <c r="XC76" s="75" t="e">
        <f t="array" aca="1" ref="XC76" ca="1">INDEX(Canals!$AK$24:$AK$29,MATCH(2,1/((Canals!$F$24:$F$29&lt;=$C76)*(Canals!$G$24:$G$29=_xlfn.IFS(SJ76="Handysize",Main!US76,SJ76="Supramax",UL76,SJ76="Panamax",UE76,SJ76="NeoPanamax",TX76,SJ76="Suezmax",TQ76,SJ76="Capesize",TJ76,SJ76="VLOC",TC76)))))</f>
        <v>#N/A</v>
      </c>
      <c r="XD76" s="136" t="e">
        <f t="array" aca="1" ref="XD76" ca="1">INDEX(Canals!$AL$24:$AL$29,MATCH(2,1/((Canals!$F$24:$F$29&lt;=$C76)*(Canals!$G$24:$G$29=_xlfn.IFS(SJ76="Handysize",Main!US76,SJ76="Supramax",UL76,SJ76="Panamax",UE76,SJ76="NeoPanamax",TX76,SJ76="Suezmax",TQ76,SJ76="Capesize",TJ76,SJ76="VLOC",TC76)))))</f>
        <v>#N/A</v>
      </c>
      <c r="XE76" s="136" t="e">
        <f t="array" aca="1" ref="XE76" ca="1">INDEX(Canals!$AM$24:$AM$29,MATCH(2,1/((Canals!$F$24:$F$29&lt;=$C76)*(Canals!$G$24:$G$29=_xlfn.IFS(SJ76="Handysize",Main!US76,SJ76="Supramax",UL76,SJ76="Panamax",UE76,SJ76="NeoPanamax",TX76,SJ76="Suezmax",TQ76,SJ76="Capesize",TJ76,SJ76="VLOC",TC76)))))</f>
        <v>#N/A</v>
      </c>
      <c r="XF76" s="136" t="e">
        <f t="array" aca="1" ref="XF76" ca="1">INDEX(Canals!$AN$24:$AN$29,MATCH(2,1/((Canals!$F$24:$F$29&lt;=$C76)*(Canals!$G$24:$G$29=_xlfn.IFS(SJ76="Handysize",Main!US76,SJ76="Supramax",UL76,SJ76="Panamax",UE76,SJ76="NeoPanamax",TX76,SJ76="Suezmax",TQ76,SJ76="Capesize",TJ76,SJ76="VLOC",TC76)))))</f>
        <v>#N/A</v>
      </c>
      <c r="XG76" s="136" t="e">
        <f t="array" aca="1" ref="XG76" ca="1">INDEX(Canals!$AO$24:$AO$29,MATCH(2,1/((Canals!$F$24:$F$29&lt;=$C76)*(Canals!$G$24:$G$29=_xlfn.IFS(SJ76="Handysize",Main!US76,SJ76="Supramax",UL76,SJ76="Panamax",UE76,SJ76="NeoPanamax",TX76,SJ76="Suezmax",TQ76,SJ76="Capesize",TJ76,SJ76="VLOC",TC76)))))</f>
        <v>#N/A</v>
      </c>
      <c r="XH76" s="136" t="e">
        <f t="array" aca="1" ref="XH76" ca="1">INDEX(Canals!$AP$24:$AP$29,MATCH(2,1/((Canals!$F$24:$F$29&lt;=$C76)*(Canals!$G$24:$G$29=_xlfn.IFS(SJ76="Handysize",Main!US76,SJ76="Supramax",UL76,SJ76="Panamax",UE76,SJ76="NeoPanamax",TX76,SJ76="Suezmax",TQ76,SJ76="Capesize",TJ76,SJ76="VLOC",TC76)))))</f>
        <v>#N/A</v>
      </c>
      <c r="XI76" s="136" t="e">
        <f t="array" aca="1" ref="XI76" ca="1">INDEX(Canals!$AQ$24:$AQ$29,MATCH(2,1/((Canals!$F$24:$F$29&lt;=$C76)*(Canals!$G$24:$G$29=_xlfn.IFS(SJ76="Handysize",Main!US76,SJ76="Supramax",UL76,SJ76="Panamax",UE76,SJ76="NeoPanamax",TX76,SJ76="Suezmax",TQ76,SJ76="Capesize",TJ76,SJ76="VLOC",TC76)))))</f>
        <v>#N/A</v>
      </c>
      <c r="XJ76" s="136" t="e">
        <f t="array" aca="1" ref="XJ76" ca="1">INDEX(Canals!$AR$24:$AR$29,MATCH(2,1/((Canals!$F$24:$F$29&lt;=$C76)*(Canals!$G$24:$G$29=_xlfn.IFS(SJ76="Handysize",Main!US76,SJ76="Supramax",UL76,SJ76="Panamax",UE76,SJ76="NeoPanamax",TX76,SJ76="Suezmax",TQ76,SJ76="Capesize",TJ76,SJ76="VLOC",TC76)))))</f>
        <v>#N/A</v>
      </c>
      <c r="XK76" s="136" t="e">
        <f t="array" aca="1" ref="XK76" ca="1">INDEX(Canals!$AS$24:$AS$29,MATCH(2,1/((Canals!$F$24:$F$29&lt;=$C76)*(Canals!$G$24:$G$29=_xlfn.IFS(SJ76="Handysize",Main!US76,SJ76="Supramax",UL76,SJ76="Panamax",UE76,SJ76="NeoPanamax",TX76,SJ76="Suezmax",TQ76,SJ76="Capesize",TJ76,SJ76="VLOC",TC76)))))</f>
        <v>#N/A</v>
      </c>
      <c r="XL76" s="136" t="e">
        <f t="array" aca="1" ref="XL76" ca="1">INDEX(Canals!$AT$24:$AT$29,MATCH(2,1/((Canals!$F$24:$F$29&lt;=$C76)*(Canals!$G$24:$G$29=_xlfn.IFS(SJ76="Handysize",Main!US76,SJ76="Supramax",UL76,SJ76="Panamax",UE76,SJ76="NeoPanamax",TX76,SJ76="Suezmax",TQ76,SJ76="Capesize",TJ76,SJ76="VLOC",TC76)))))</f>
        <v>#N/A</v>
      </c>
      <c r="XM76" s="136" t="e">
        <f t="array" aca="1" ref="XM76" ca="1">INDEX(Canals!$AU$24:$AU$29,MATCH(2,1/((Canals!$F$24:$F$29&lt;=$C76)*(Canals!$G$24:$G$29=_xlfn.IFS(SJ76="Handysize",Main!US76,SJ76="Supramax",UL76,SJ76="Panamax",UE76,SJ76="NeoPanamax",TX76,SJ76="Suezmax",TQ76,SJ76="Capesize",TJ76,SJ76="VLOC",TC76)))))</f>
        <v>#N/A</v>
      </c>
      <c r="XN76" s="136" t="e">
        <f t="array" aca="1" ref="XN76" ca="1">INDEX(Canals!$AV$24:$AV$29,MATCH(2,1/((Canals!$F$24:$F$29&lt;=$C76)*(Canals!$G$24:$G$29=_xlfn.IFS(SJ76="Handysize",Main!US76,SJ76="Supramax",UL76,SJ76="Panamax",UE76,SJ76="NeoPanamax",TX76,SJ76="Suezmax",TQ76,SJ76="Capesize",TJ76,SJ76="VLOC",TC76)))))</f>
        <v>#N/A</v>
      </c>
      <c r="XP76" s="75" t="e">
        <f t="array" aca="1" ref="XP76" ca="1">_xlfn.IFS(WA76="DWT",SH76,WA76="NRT",SL76,WA76="GRT",SM76,WA76=0,0)</f>
        <v>#NAME?</v>
      </c>
      <c r="XQ76" s="279" t="e">
        <f t="shared" ca="1" si="836"/>
        <v>#NAME?</v>
      </c>
      <c r="XR76" s="280" t="e">
        <f t="shared" ca="1" si="837"/>
        <v>#NAME?</v>
      </c>
      <c r="XS76" s="280" t="e">
        <f t="shared" ca="1" si="838"/>
        <v>#NAME?</v>
      </c>
      <c r="XT76" s="280" t="e">
        <f t="shared" ca="1" si="839"/>
        <v>#NAME?</v>
      </c>
      <c r="XU76" s="280" t="e">
        <f t="shared" ca="1" si="840"/>
        <v>#NAME?</v>
      </c>
      <c r="XV76" s="280" t="e">
        <f t="shared" ca="1" si="841"/>
        <v>#NAME?</v>
      </c>
      <c r="XW76" s="280" t="e">
        <f t="shared" ca="1" si="842"/>
        <v>#NAME?</v>
      </c>
      <c r="XX76" s="280" t="e">
        <f t="shared" ca="1" si="843"/>
        <v>#NAME?</v>
      </c>
      <c r="XY76" s="280" t="e">
        <f t="shared" ca="1" si="844"/>
        <v>#NAME?</v>
      </c>
      <c r="XZ76" s="75">
        <f t="shared" si="845"/>
        <v>0</v>
      </c>
      <c r="YA76" s="279" t="e">
        <f t="shared" ca="1" si="846"/>
        <v>#N/A</v>
      </c>
      <c r="YB76" s="280" t="e">
        <f t="shared" ca="1" si="847"/>
        <v>#N/A</v>
      </c>
      <c r="YC76" s="280" t="e">
        <f t="shared" ca="1" si="848"/>
        <v>#N/A</v>
      </c>
      <c r="YD76" s="280" t="e">
        <f t="shared" ca="1" si="849"/>
        <v>#N/A</v>
      </c>
      <c r="YE76" s="280" t="e">
        <f t="shared" ca="1" si="850"/>
        <v>#N/A</v>
      </c>
      <c r="YF76" s="280" t="e">
        <f t="shared" ca="1" si="851"/>
        <v>#N/A</v>
      </c>
      <c r="YG76" s="280" t="e">
        <f t="shared" ca="1" si="852"/>
        <v>#N/A</v>
      </c>
      <c r="YH76" s="280" t="e">
        <f t="shared" ca="1" si="853"/>
        <v>#N/A</v>
      </c>
      <c r="YI76" s="280" t="e">
        <f t="shared" ca="1" si="854"/>
        <v>#N/A</v>
      </c>
      <c r="YK76" s="75" t="e">
        <f t="array" aca="1" ref="YK76" ca="1">_xlfn.IFS(SJ76="Handysize",Main!UM76,SJ76="Supramax",UF76,SJ76="Panamax",TY76,SJ76="NeoPanamax",TR76,SJ76="Suezmax",TK76,SJ76="Capesize",TD76,SJ76="VLOC",SW76)*$JI76</f>
        <v>#NAME?</v>
      </c>
      <c r="YL76" s="274" t="e">
        <f t="array" aca="1" ref="YL76" ca="1">_xlfn.IFS(SJ76="Handysize",Main!UN76,SJ76="Supramax",UG76,SJ76="Panamax",TZ76,SJ76="NeoPanamax",TS76,SJ76="Suezmax",TL76,SJ76="Capesize",TE76,SJ76="VLOC",SX76)*$JI76</f>
        <v>#NAME?</v>
      </c>
      <c r="YM76" s="71" t="e">
        <f t="array" aca="1" ref="YM76" ca="1">_xlfn.IFS(SJ76="Handysize",Main!SO76,SJ76="Supramax",SP76,SJ76="Panamax",SQ76,SJ76="NeoPanamax",SR76,SJ76="Suezmax",SS76,SJ76="Capesize",ST76,SJ76="VLOC",SU76)</f>
        <v>#NAME?</v>
      </c>
      <c r="YN76" s="71" t="e">
        <f t="array" aca="1" ref="YN76" ca="1">_xlfn.IFS(SJ76="Handysize",Main!VA76,SJ76="Supramax",VB76,SJ76="Panamax",VC76,SJ76="NeoPanamax",VD76,SJ76="Suezmax",VE76,SJ76="Capesize",VF76,SJ76="VLOC",VG76)</f>
        <v>#NAME?</v>
      </c>
      <c r="YO76" s="70">
        <f t="array" ref="YO76">INDEX('Ship Speeds'!$G$11:$G$1011,MATCH(2,1/(('Ship Speeds'!$E$11:$E$1011&lt;=Main!$C76)*('Ship Speeds'!$F$11:$F$1011=Main!SI76))))</f>
        <v>11</v>
      </c>
      <c r="YP76" s="403">
        <f t="shared" si="855"/>
        <v>0</v>
      </c>
      <c r="YQ76" s="401">
        <f t="shared" si="856"/>
        <v>1.2</v>
      </c>
      <c r="YR76" s="70" t="e">
        <f t="shared" ca="1" si="857"/>
        <v>#NAME?</v>
      </c>
      <c r="YS76" s="70" t="e">
        <f t="shared" ca="1" si="858"/>
        <v>#NAME?</v>
      </c>
      <c r="YT76" s="70" t="e">
        <f t="shared" ca="1" si="859"/>
        <v>#NAME?</v>
      </c>
      <c r="YU76" s="70" t="e">
        <f t="shared" ca="1" si="860"/>
        <v>#NAME?</v>
      </c>
      <c r="YV76" s="72" t="e">
        <f t="shared" ca="1" si="861"/>
        <v>#N/A</v>
      </c>
      <c r="YW76" s="70" t="e">
        <f t="shared" ca="1" si="862"/>
        <v>#NAME?</v>
      </c>
      <c r="YX76" s="70" t="e">
        <f t="array" aca="1" ref="YX76" ca="1">IF(YK76=0,0,INDEX(UU76:UY76,MATCH(_xlfn.IFS(SJ76="Handysize",Main!UQ76,SJ76="Supramax",UJ76,SJ76="Panamax",UC76,SJ76="NeoPanamax",TV76,SJ76="Suezmax",TO76,SJ76="Capesize",TH76,SJ76="VLOC",TA76),$UU$7:$UY$7,0)))</f>
        <v>#NAME?</v>
      </c>
      <c r="YY76" s="70" t="e">
        <f t="array" aca="1" ref="YY76" ca="1">IF(YK76=0,0,INDEX(UU76:UY76,MATCH(_xlfn.IFS(SJ76="Handysize",Main!UR76,SJ76="Supramax",UK76,SJ76="Panamax",UD76,SJ76="NeoPanamax",TW76,SJ76="Suezmax",TP76,SJ76="Capesize",TI76,SJ76="VLOC",TB76),$UU$7:$UY$7,0)))</f>
        <v>#NAME?</v>
      </c>
      <c r="YZ76" s="71" t="e">
        <f t="shared" ca="1" si="863"/>
        <v>#NAME?</v>
      </c>
      <c r="ZA76" s="71" t="e">
        <f t="shared" ca="1" si="864"/>
        <v>#NAME?</v>
      </c>
      <c r="ZB76" s="281" t="e">
        <f t="shared" ca="1" si="865"/>
        <v>#NAME?</v>
      </c>
      <c r="ZC76" s="71" t="e">
        <f t="shared" ca="1" si="866"/>
        <v>#NAME?</v>
      </c>
      <c r="ZD76" s="71" t="e">
        <f t="shared" ca="1" si="867"/>
        <v>#NAME?</v>
      </c>
      <c r="ZE76" s="71" t="e">
        <f t="shared" ca="1" si="868"/>
        <v>#NAME?</v>
      </c>
      <c r="ZF76" s="71" t="e">
        <f t="shared" ca="1" si="869"/>
        <v>#NAME?</v>
      </c>
      <c r="ZG76" s="71" t="e">
        <f t="shared" ca="1" si="870"/>
        <v>#NAME?</v>
      </c>
      <c r="ZH76" s="71" t="e">
        <f t="shared" ca="1" si="871"/>
        <v>#NAME?</v>
      </c>
      <c r="ZI76" s="71" t="e">
        <f t="shared" ca="1" si="872"/>
        <v>#NAME?</v>
      </c>
      <c r="ZJ76" s="71" t="e">
        <f t="shared" ca="1" si="873"/>
        <v>#NAME?</v>
      </c>
      <c r="ZK76" s="71" t="e">
        <f t="shared" ca="1" si="874"/>
        <v>#NAME?</v>
      </c>
      <c r="ZL76" s="71" t="e">
        <f t="shared" ca="1" si="875"/>
        <v>#NAME?</v>
      </c>
      <c r="ZM76" s="71" t="e">
        <f t="shared" ca="1" si="876"/>
        <v>#NAME?</v>
      </c>
      <c r="ZN76" s="71" t="e">
        <f t="shared" ca="1" si="877"/>
        <v>#NAME?</v>
      </c>
      <c r="ZO76" s="72" t="e">
        <f t="shared" ca="1" si="878"/>
        <v>#NAME?</v>
      </c>
      <c r="ZP76" s="72" t="e">
        <f t="shared" ca="1" si="879"/>
        <v>#NAME?</v>
      </c>
      <c r="ZQ76" s="71" t="e">
        <f t="shared" ca="1" si="880"/>
        <v>#NAME?</v>
      </c>
      <c r="ZR76" s="71" t="e">
        <f t="array" aca="1" ref="ZR76" ca="1">IF(YK76=0,0,INDEX('Ship Time Charter Rates'!$H$22:$H$1021,MATCH(2,1/(('Ship Time Charter Rates'!$G$22:$G$1021=_xlfn.IFS(SJ76="Handysize",Main!UO76,SJ76="Supramax",UH76,SJ76="Panamax",UA76,SJ76="NeoPanamax",TT76,SJ76="Suezmax",TM76,SJ76="Capesize",TF76,SJ76="VLOC",SY76))*('Ship Time Charter Rates'!$E$22:$E$1021&lt;=Main!$C76)*(NOT(ISBLANK('Ship Time Charter Rates'!$H$22:$H$1021)))))))</f>
        <v>#NAME?</v>
      </c>
      <c r="ZS76" s="71" t="e">
        <f t="shared" ca="1" si="881"/>
        <v>#NAME?</v>
      </c>
      <c r="ZT76" s="70" t="e">
        <f t="shared" ca="1" si="882"/>
        <v>#NAME?</v>
      </c>
      <c r="ZU76" s="71" t="e">
        <f t="shared" ca="1" si="883"/>
        <v>#NAME?</v>
      </c>
      <c r="ZV76" s="71" t="e">
        <f t="shared" ca="1" si="884"/>
        <v>#NAME?</v>
      </c>
      <c r="ZW76" s="72" t="e">
        <f t="shared" ca="1" si="885"/>
        <v>#NAME?</v>
      </c>
      <c r="ZY76" s="287" t="s">
        <v>39</v>
      </c>
      <c r="AAA76" s="25">
        <f t="shared" si="886"/>
        <v>83130.904183535764</v>
      </c>
      <c r="AAB76" s="4" t="str">
        <f>VLOOKUP(AAA76,'Ship Time Charter Rates'!$F$10:$G$17,2,TRUE)</f>
        <v>Panamax</v>
      </c>
      <c r="AAC76" s="4" t="str">
        <f>VLOOKUP(AAA76,Canals!$E$5:$F$12,2,TRUE)</f>
        <v>Panamax</v>
      </c>
      <c r="AAD76" s="25">
        <f t="shared" si="887"/>
        <v>218.46327935222672</v>
      </c>
      <c r="AAE76" s="25">
        <f t="shared" si="888"/>
        <v>33535.006747638326</v>
      </c>
      <c r="AAF76" s="25">
        <f t="shared" si="889"/>
        <v>47933.626180836713</v>
      </c>
      <c r="AAH76" s="75">
        <f t="array" ref="AAH76">INDEX('Indices Mines Exporting Ports'!$R$20:$R$51,MATCH(2,1/(('Indices Mines Exporting Ports'!$D$20:$D$51&lt;=Main!$C76)*('Indices Mines Exporting Ports'!$Q$20:$Q$51=$AP76))))</f>
        <v>15000</v>
      </c>
      <c r="AAI76" s="75">
        <f t="array" ref="AAI76">INDEX('Indices Mines Exporting Ports'!$S$20:$S$51,MATCH(2,1/(('Indices Mines Exporting Ports'!$D$20:$D$51&lt;=Main!$C76)*('Indices Mines Exporting Ports'!$Q$20:$Q$51=$AP76))))</f>
        <v>15000</v>
      </c>
      <c r="AAJ76" s="75">
        <f t="array" ref="AAJ76">INDEX('Indices Mines Exporting Ports'!$T$20:$T$51,MATCH(2,1/(('Indices Mines Exporting Ports'!$D$20:$D$51&lt;=Main!$C76)*('Indices Mines Exporting Ports'!$Q$20:$Q$51=$AP76))))</f>
        <v>15000</v>
      </c>
      <c r="AAK76" s="75">
        <f t="array" ref="AAK76">INDEX('Indices Mines Exporting Ports'!$U$20:$U$51,MATCH(2,1/(('Indices Mines Exporting Ports'!$D$20:$D$51&lt;=Main!$C76)*('Indices Mines Exporting Ports'!$Q$20:$Q$51=$AP76))))</f>
        <v>15000</v>
      </c>
      <c r="AAL76" s="75">
        <f t="array" ref="AAL76">INDEX('Indices Mines Exporting Ports'!$V$20:$V$51,MATCH(2,1/(('Indices Mines Exporting Ports'!$D$20:$D$51&lt;=Main!$C76)*('Indices Mines Exporting Ports'!$Q$20:$Q$51=$AP76))))</f>
        <v>15000</v>
      </c>
      <c r="AAM76" s="75">
        <f t="array" ref="AAM76">INDEX('Indices Mines Exporting Ports'!$W$20:$W$51,MATCH(2,1/(('Indices Mines Exporting Ports'!$D$20:$D$51&lt;=Main!$C76)*('Indices Mines Exporting Ports'!$Q$20:$Q$51=$AP76))))</f>
        <v>15000</v>
      </c>
      <c r="AAN76" s="75">
        <f t="array" ref="AAN76">INDEX('Indices Mines Exporting Ports'!$X$20:$X$51,MATCH(2,1/(('Indices Mines Exporting Ports'!$D$20:$D$51&lt;=Main!$C76)*('Indices Mines Exporting Ports'!$Q$20:$Q$51=$AP76))))</f>
        <v>15000</v>
      </c>
      <c r="AAP76" s="75">
        <f t="array" ref="AAP76">INDEX('Port Linkages'!$E$18:$E$157,MATCH(2,1/(('Port Linkages'!$C$18:$C$157=$AP76)*('Port Linkages'!$D$18:$D$157=IF($AO76="Yes",$AQ76,$KK76))*('Port Linkages'!$A$18:$A$157&lt;=$C76))))</f>
        <v>2326</v>
      </c>
      <c r="AAQ76" s="75">
        <f t="array" ref="AAQ76">INDEX('Port Linkages'!$F$18:$F$157,MATCH(2,1/(('Port Linkages'!$C$18:$C$157=$AP76)*('Port Linkages'!$D$18:$D$157=IF($AO76="Yes",$AQ76,$KK76))*('Port Linkages'!$A$18:$A$157&lt;=$C76))))</f>
        <v>0</v>
      </c>
      <c r="AAR76" s="75" t="str">
        <f t="array" ref="AAR76">INDEX('Port Linkages'!$G$18:$G$157,MATCH(2,1/(('Port Linkages'!$C$18:$C$157=$AP76)*('Port Linkages'!$D$18:$D$157=IF($AO76="Yes",$AQ76,$KK76))*('Port Linkages'!$A$18:$A$157&lt;=$C76))))</f>
        <v>VLOC_General</v>
      </c>
      <c r="AAS76" s="75" t="str">
        <f t="array" ref="AAS76">INDEX('Port Linkages'!$H$18:$H$157,MATCH(2,1/(('Port Linkages'!$C$18:$C$157=$AP76)*('Port Linkages'!$D$18:$D$157=IF($AO76="Yes",$AQ76,$KK76))*('Port Linkages'!$A$18:$A$157&lt;=$C76))))</f>
        <v>Singapore</v>
      </c>
      <c r="AAT76" s="75" t="str">
        <f t="array" ref="AAT76">INDEX('Port Linkages'!$I$18:$I$157,MATCH(2,1/(('Port Linkages'!$C$18:$C$157=$AP76)*('Port Linkages'!$D$18:$D$157=IF($AO76="Yes",$AQ76,$KK76))*('Port Linkages'!$A$18:$A$157&lt;=$C76))))</f>
        <v>VLSFO</v>
      </c>
      <c r="AAU76" s="75" t="str">
        <f t="array" ref="AAU76">INDEX('Port Linkages'!$J$18:$J$157,MATCH(2,1/(('Port Linkages'!$C$18:$C$157=$AP76)*('Port Linkages'!$D$18:$D$157=IF($AO76="Yes",$AQ76,$KK76))*('Port Linkages'!$A$18:$A$157&lt;=$C76))))</f>
        <v>MGO_Regular</v>
      </c>
      <c r="AAV76" s="75" t="str">
        <f t="array" ref="AAV76">INDEX('Port Linkages'!$K$18:$K$157,MATCH(2,1/(('Port Linkages'!$C$18:$C$157=$AP76)*('Port Linkages'!$D$18:$D$157=IF($AO76="Yes",$AQ76,$KK76))*('Port Linkages'!$A$18:$A$157&lt;=$C76))))</f>
        <v>none</v>
      </c>
      <c r="AAW76" s="75">
        <f t="array" ref="AAW76">INDEX('Port Linkages'!$L$18:$L$157,MATCH(2,1/(('Port Linkages'!$C$18:$C$157=$AP76)*('Port Linkages'!$D$18:$D$157=IF($AO76="Yes",$AQ76,$KK76))*('Port Linkages'!$A$18:$A$157&lt;=$C76))))</f>
        <v>2326</v>
      </c>
      <c r="AAX76" s="75">
        <f t="array" ref="AAX76">INDEX('Port Linkages'!$M$18:$M$157,MATCH(2,1/(('Port Linkages'!$C$18:$C$157=$AP76)*('Port Linkages'!$D$18:$D$157=IF($AO76="Yes",$AQ76,$KK76))*('Port Linkages'!$A$18:$A$157&lt;=$C76))))</f>
        <v>0</v>
      </c>
      <c r="AAY76" s="75" t="str">
        <f t="array" ref="AAY76">INDEX('Port Linkages'!$N$18:$N$157,MATCH(2,1/(('Port Linkages'!$C$18:$C$157=$AP76)*('Port Linkages'!$D$18:$D$157=IF($AO76="Yes",$AQ76,$KK76))*('Port Linkages'!$A$18:$A$157&lt;=$C76))))</f>
        <v>Capesize_General</v>
      </c>
      <c r="AAZ76" s="75" t="str">
        <f t="array" ref="AAZ76">INDEX('Port Linkages'!$O$18:$O$157,MATCH(2,1/(('Port Linkages'!$C$18:$C$157=$AP76)*('Port Linkages'!$D$18:$D$157=IF($AO76="Yes",$AQ76,$KK76))*('Port Linkages'!$A$18:$A$157&lt;=$C76))))</f>
        <v>Singapore</v>
      </c>
      <c r="ABA76" s="75" t="str">
        <f t="array" ref="ABA76">INDEX('Port Linkages'!$P$18:$P$157,MATCH(2,1/(('Port Linkages'!$C$18:$C$157=$AP76)*('Port Linkages'!$D$18:$D$157=IF($AO76="Yes",$AQ76,$KK76))*('Port Linkages'!$A$18:$A$157&lt;=$C76))))</f>
        <v>VLSFO</v>
      </c>
      <c r="ABB76" s="75" t="str">
        <f t="array" ref="ABB76">INDEX('Port Linkages'!$Q$18:$Q$157,MATCH(2,1/(('Port Linkages'!$C$18:$C$157=$AP76)*('Port Linkages'!$D$18:$D$157=IF($AO76="Yes",$AQ76,$KK76))*('Port Linkages'!$A$18:$A$157&lt;=$C76))))</f>
        <v>MGO_Regular</v>
      </c>
      <c r="ABC76" s="75" t="str">
        <f t="array" ref="ABC76">INDEX('Port Linkages'!$R$18:$R$157,MATCH(2,1/(('Port Linkages'!$C$18:$C$157=$AP76)*('Port Linkages'!$D$18:$D$157=IF($AO76="Yes",$AQ76,$KK76))*('Port Linkages'!$A$18:$A$157&lt;=$C76))))</f>
        <v>none</v>
      </c>
      <c r="ABD76" s="75">
        <f t="array" ref="ABD76">INDEX('Port Linkages'!$S$18:$S$157,MATCH(2,1/(('Port Linkages'!$C$18:$C$157=$AP76)*('Port Linkages'!$D$18:$D$157=IF($AO76="Yes",$AQ76,$KK76))*('Port Linkages'!$A$18:$A$157&lt;=$C76))))</f>
        <v>2326</v>
      </c>
      <c r="ABE76" s="75">
        <f t="array" ref="ABE76">INDEX('Port Linkages'!$T$18:$T$157,MATCH(2,1/(('Port Linkages'!$C$18:$C$157=$AP76)*('Port Linkages'!$D$18:$D$157=IF($AO76="Yes",$AQ76,$KK76))*('Port Linkages'!$A$18:$A$157&lt;=$C76))))</f>
        <v>0</v>
      </c>
      <c r="ABF76" s="75" t="str">
        <f t="array" ref="ABF76">INDEX('Port Linkages'!$U$18:$U$157,MATCH(2,1/(('Port Linkages'!$C$18:$C$157=$AP76)*('Port Linkages'!$D$18:$D$157=IF($AO76="Yes",$AQ76,$KK76))*('Port Linkages'!$A$18:$A$157&lt;=$C76))))</f>
        <v>Capesize_General</v>
      </c>
      <c r="ABG76" s="75" t="str">
        <f t="array" ref="ABG76">INDEX('Port Linkages'!$V$18:$V$157,MATCH(2,1/(('Port Linkages'!$C$18:$C$157=$AP76)*('Port Linkages'!$D$18:$D$157=IF($AO76="Yes",$AQ76,$KK76))*('Port Linkages'!$A$18:$A$157&lt;=$C76))))</f>
        <v>Singapore</v>
      </c>
      <c r="ABH76" s="75" t="str">
        <f t="array" ref="ABH76">INDEX('Port Linkages'!$W$18:$W$157,MATCH(2,1/(('Port Linkages'!$C$18:$C$157=$AP76)*('Port Linkages'!$D$18:$D$157=IF($AO76="Yes",$AQ76,$KK76))*('Port Linkages'!$A$18:$A$157&lt;=$C76))))</f>
        <v>VLSFO</v>
      </c>
      <c r="ABI76" s="75" t="str">
        <f t="array" ref="ABI76">INDEX('Port Linkages'!$X$18:$X$157,MATCH(2,1/(('Port Linkages'!$C$18:$C$157=$AP76)*('Port Linkages'!$D$18:$D$157=IF($AO76="Yes",$AQ76,$KK76))*('Port Linkages'!$A$18:$A$157&lt;=$C76))))</f>
        <v>MGO_Regular</v>
      </c>
      <c r="ABJ76" s="75" t="str">
        <f t="array" ref="ABJ76">INDEX('Port Linkages'!$Y$18:$Y$157,MATCH(2,1/(('Port Linkages'!$C$18:$C$157=$AP76)*('Port Linkages'!$D$18:$D$157=IF($AO76="Yes",$AQ76,$KK76))*('Port Linkages'!$A$18:$A$157&lt;=$C76))))</f>
        <v>none</v>
      </c>
      <c r="ABK76" s="75">
        <f t="array" ref="ABK76">INDEX('Port Linkages'!$Z$18:$Z$157,MATCH(2,1/(('Port Linkages'!$C$18:$C$157=$AP76)*('Port Linkages'!$D$18:$D$157=IF($AO76="Yes",$AQ76,$KK76))*('Port Linkages'!$A$18:$A$157&lt;=$C76))))</f>
        <v>2326</v>
      </c>
      <c r="ABL76" s="75">
        <f t="array" ref="ABL76">INDEX('Port Linkages'!$AA$18:$AA$157,MATCH(2,1/(('Port Linkages'!$C$18:$C$157=$AP76)*('Port Linkages'!$D$18:$D$157=IF($AO76="Yes",$AQ76,$KK76))*('Port Linkages'!$A$18:$A$157&lt;=$C76))))</f>
        <v>0</v>
      </c>
      <c r="ABM76" s="75" t="str">
        <f t="array" ref="ABM76">INDEX('Port Linkages'!$AB$18:$AB$157,MATCH(2,1/(('Port Linkages'!$C$18:$C$157=$AP76)*('Port Linkages'!$D$18:$D$157=IF($AO76="Yes",$AQ76,$KK76))*('Port Linkages'!$A$18:$A$157&lt;=$C76))))</f>
        <v>Capesize_General</v>
      </c>
      <c r="ABN76" s="75" t="str">
        <f t="array" ref="ABN76">INDEX('Port Linkages'!$AC$18:$AC$157,MATCH(2,1/(('Port Linkages'!$C$18:$C$157=$AP76)*('Port Linkages'!$D$18:$D$157=IF($AO76="Yes",$AQ76,$KK76))*('Port Linkages'!$A$18:$A$157&lt;=$C76))))</f>
        <v>Singapore</v>
      </c>
      <c r="ABO76" s="75" t="str">
        <f t="array" ref="ABO76">INDEX('Port Linkages'!$AD$18:$AD$157,MATCH(2,1/(('Port Linkages'!$C$18:$C$157=$AP76)*('Port Linkages'!$D$18:$D$157=IF($AO76="Yes",$AQ76,$KK76))*('Port Linkages'!$A$18:$A$157&lt;=$C76))))</f>
        <v>VLSFO</v>
      </c>
      <c r="ABP76" s="75" t="str">
        <f t="array" ref="ABP76">INDEX('Port Linkages'!$AE$18:$AE$157,MATCH(2,1/(('Port Linkages'!$C$18:$C$157=$AP76)*('Port Linkages'!$D$18:$D$157=IF($AO76="Yes",$AQ76,$KK76))*('Port Linkages'!$A$18:$A$157&lt;=$C76))))</f>
        <v>MGO_Regular</v>
      </c>
      <c r="ABQ76" s="75" t="str">
        <f t="array" ref="ABQ76">INDEX('Port Linkages'!$AF$18:$AF$157,MATCH(2,1/(('Port Linkages'!$C$18:$C$157=$AP76)*('Port Linkages'!$D$18:$D$157=IF($AO76="Yes",$AQ76,$KK76))*('Port Linkages'!$A$18:$A$157&lt;=$C76))))</f>
        <v>none</v>
      </c>
      <c r="ABR76" s="75">
        <f t="array" ref="ABR76">INDEX('Port Linkages'!$AG$18:$AG$157,MATCH(2,1/(('Port Linkages'!$C$18:$C$157=$AP76)*('Port Linkages'!$D$18:$D$157=IF($AO76="Yes",$AQ76,$KK76))*('Port Linkages'!$A$18:$A$157&lt;=$C76))))</f>
        <v>2326</v>
      </c>
      <c r="ABS76" s="75">
        <f t="array" ref="ABS76">INDEX('Port Linkages'!$AH$18:$AH$157,MATCH(2,1/(('Port Linkages'!$C$18:$C$157=$AP76)*('Port Linkages'!$D$18:$D$157=IF($AO76="Yes",$AQ76,$KK76))*('Port Linkages'!$A$18:$A$157&lt;=$C76))))</f>
        <v>0</v>
      </c>
      <c r="ABT76" s="75" t="str">
        <f t="array" ref="ABT76">INDEX('Port Linkages'!$AI$18:$AI$157,MATCH(2,1/(('Port Linkages'!$C$18:$C$157=$AP76)*('Port Linkages'!$D$18:$D$157=IF($AO76="Yes",$AQ76,$KK76))*('Port Linkages'!$A$18:$A$157&lt;=$C76))))</f>
        <v>Panamax_General</v>
      </c>
      <c r="ABU76" s="75" t="str">
        <f t="array" ref="ABU76">INDEX('Port Linkages'!$AJ$18:$AJ$157,MATCH(2,1/(('Port Linkages'!$C$18:$C$157=$AP76)*('Port Linkages'!$D$18:$D$157=IF($AO76="Yes",$AQ76,$KK76))*('Port Linkages'!$A$18:$A$157&lt;=$C76))))</f>
        <v>Singapore</v>
      </c>
      <c r="ABV76" s="75" t="str">
        <f t="array" ref="ABV76">INDEX('Port Linkages'!$AK$18:$AK$157,MATCH(2,1/(('Port Linkages'!$C$18:$C$157=$AP76)*('Port Linkages'!$D$18:$D$157=IF($AO76="Yes",$AQ76,$KK76))*('Port Linkages'!$A$18:$A$157&lt;=$C76))))</f>
        <v>VLSFO</v>
      </c>
      <c r="ABW76" s="75" t="str">
        <f t="array" ref="ABW76">INDEX('Port Linkages'!$AL$18:$AL$157,MATCH(2,1/(('Port Linkages'!$C$18:$C$157=$AP76)*('Port Linkages'!$D$18:$D$157=IF($AO76="Yes",$AQ76,$KK76))*('Port Linkages'!$A$18:$A$157&lt;=$C76))))</f>
        <v>MGO_Regular</v>
      </c>
      <c r="ABX76" s="75" t="str">
        <f t="array" ref="ABX76">INDEX('Port Linkages'!$AM$18:$AM$157,MATCH(2,1/(('Port Linkages'!$C$18:$C$157=$AP76)*('Port Linkages'!$D$18:$D$157=IF($AO76="Yes",$AQ76,$KK76))*('Port Linkages'!$A$18:$A$157&lt;=$C76))))</f>
        <v>none</v>
      </c>
      <c r="ABY76" s="75">
        <f t="array" ref="ABY76">INDEX('Port Linkages'!$AN$18:$AN$157,MATCH(2,1/(('Port Linkages'!$C$18:$C$157=$AP76)*('Port Linkages'!$D$18:$D$157=IF($AO76="Yes",$AQ76,$KK76))*('Port Linkages'!$A$18:$A$157&lt;=$C76))))</f>
        <v>2326</v>
      </c>
      <c r="ABZ76" s="75">
        <f t="array" ref="ABZ76">INDEX('Port Linkages'!$AO$18:$AO$157,MATCH(2,1/(('Port Linkages'!$C$18:$C$157=$AP76)*('Port Linkages'!$D$18:$D$157=IF($AO76="Yes",$AQ76,$KK76))*('Port Linkages'!$A$18:$A$157&lt;=$C76))))</f>
        <v>0</v>
      </c>
      <c r="ACA76" s="75" t="str">
        <f t="array" ref="ACA76">INDEX('Port Linkages'!$AP$18:$AP$157,MATCH(2,1/(('Port Linkages'!$C$18:$C$157=$AP76)*('Port Linkages'!$D$18:$D$157=IF($AO76="Yes",$AQ76,$KK76))*('Port Linkages'!$A$18:$A$157&lt;=$C76))))</f>
        <v>Supramax_General</v>
      </c>
      <c r="ACB76" s="75" t="str">
        <f t="array" ref="ACB76">INDEX('Port Linkages'!$AQ$18:$AQ$157,MATCH(2,1/(('Port Linkages'!$C$18:$C$157=$AP76)*('Port Linkages'!$D$18:$D$157=IF($AO76="Yes",$AQ76,$KK76))*('Port Linkages'!$A$18:$A$157&lt;=$C76))))</f>
        <v>Singapore</v>
      </c>
      <c r="ACC76" s="75" t="str">
        <f t="array" ref="ACC76">INDEX('Port Linkages'!$AR$18:$AR$157,MATCH(2,1/(('Port Linkages'!$C$18:$C$157=$AP76)*('Port Linkages'!$D$18:$D$157=IF($AO76="Yes",$AQ76,$KK76))*('Port Linkages'!$A$18:$A$157&lt;=$C76))))</f>
        <v>VLSFO</v>
      </c>
      <c r="ACD76" s="75" t="str">
        <f t="array" ref="ACD76">INDEX('Port Linkages'!$AS$18:$AS$157,MATCH(2,1/(('Port Linkages'!$C$18:$C$157=$AP76)*('Port Linkages'!$D$18:$D$157=IF($AO76="Yes",$AQ76,$KK76))*('Port Linkages'!$A$18:$A$157&lt;=$C76))))</f>
        <v>MGO_Regular</v>
      </c>
      <c r="ACE76" s="75" t="str">
        <f t="array" ref="ACE76">INDEX('Port Linkages'!$AT$18:$AT$157,MATCH(2,1/(('Port Linkages'!$C$18:$C$157=$AP76)*('Port Linkages'!$D$18:$D$157=IF($AO76="Yes",$AQ76,$KK76))*('Port Linkages'!$A$18:$A$157&lt;=$C76))))</f>
        <v>none</v>
      </c>
      <c r="ACF76" s="75">
        <f t="array" ref="ACF76">INDEX('Port Linkages'!$AU$18:$AU$157,MATCH(2,1/(('Port Linkages'!$C$18:$C$157=$AP76)*('Port Linkages'!$D$18:$D$157=IF($AO76="Yes",$AQ76,$KK76))*('Port Linkages'!$A$18:$A$157&lt;=$C76))))</f>
        <v>2326</v>
      </c>
      <c r="ACG76" s="75">
        <f t="array" ref="ACG76">INDEX('Port Linkages'!$AV$18:$AV$157,MATCH(2,1/(('Port Linkages'!$C$18:$C$157=$AP76)*('Port Linkages'!$D$18:$D$157=IF($AO76="Yes",$AQ76,$KK76))*('Port Linkages'!$A$18:$A$157&lt;=$C76))))</f>
        <v>0</v>
      </c>
      <c r="ACH76" s="75" t="str">
        <f t="array" ref="ACH76">INDEX('Port Linkages'!$AW$18:$AW$157,MATCH(2,1/(('Port Linkages'!$C$18:$C$157=$AP76)*('Port Linkages'!$D$18:$D$157=IF($AO76="Yes",$AQ76,$KK76))*('Port Linkages'!$A$18:$A$157&lt;=$C76))))</f>
        <v>Handysize_General</v>
      </c>
      <c r="ACI76" s="75" t="str">
        <f t="array" ref="ACI76">INDEX('Port Linkages'!$AX$18:$AX$157,MATCH(2,1/(('Port Linkages'!$C$18:$C$157=$AP76)*('Port Linkages'!$D$18:$D$157=IF($AO76="Yes",$AQ76,$KK76))*('Port Linkages'!$A$18:$A$157&lt;=$C76))))</f>
        <v>Singapore</v>
      </c>
      <c r="ACJ76" s="75" t="str">
        <f t="array" ref="ACJ76">INDEX('Port Linkages'!$AY$18:$AY$157,MATCH(2,1/(('Port Linkages'!$C$18:$C$157=$AP76)*('Port Linkages'!$D$18:$D$157=IF($AO76="Yes",$AQ76,$KK76))*('Port Linkages'!$A$18:$A$157&lt;=$C76))))</f>
        <v>VLSFO</v>
      </c>
      <c r="ACK76" s="75" t="str">
        <f t="array" ref="ACK76">INDEX('Port Linkages'!$AZ$18:$AZ$157,MATCH(2,1/(('Port Linkages'!$C$18:$C$157=$AP76)*('Port Linkages'!$D$18:$D$157=IF($AO76="Yes",$AQ76,$KK76))*('Port Linkages'!$A$18:$A$157&lt;=$C76))))</f>
        <v>MGO_Regular</v>
      </c>
      <c r="ACL76" s="75" t="str">
        <f t="array" ref="ACL76">INDEX('Port Linkages'!$BA$18:$BA$157,MATCH(2,1/(('Port Linkages'!$C$18:$C$157=$AP76)*('Port Linkages'!$D$18:$D$157=IF($AO76="Yes",$AQ76,$KK76))*('Port Linkages'!$A$18:$A$157&lt;=$C76))))</f>
        <v>none</v>
      </c>
      <c r="ACN76" s="25" t="e">
        <f t="array" aca="1" ref="ACN76" ca="1">INDEX('Ship Fuel Prices'!$F$5:$F$1004,MATCH(2,1/(('Ship Fuel Prices'!$E$5:$E$1004=_xlfn.IFS(AAC76="Handysize",Main!ACI76,AAC76="Supramax",ACB76,AAC76="Panamax",ABU76,AAC76="NeoPanamax",ABN76,AAC76="Suezmax",ABG76,AAC76="Capesize",AAZ76,AAC76="VLOC",AAS76))*('Ship Fuel Prices'!$D$5:$D$1004&lt;=Main!$C76))))</f>
        <v>#N/A</v>
      </c>
      <c r="ACO76" s="25" t="e">
        <f t="array" aca="1" ref="ACO76" ca="1">INDEX('Ship Fuel Prices'!$G$5:$G$1004,MATCH(2,1/(('Ship Fuel Prices'!$E$5:$E$1004=_xlfn.IFS(AAC76="Handysize",Main!ACI76,AAC76="Supramax",ACB76,AAC76="Panamax",ABU76,AAC76="NeoPanamax",ABN76,AAC76="Suezmax",ABG76,AAC76="Capesize",AAZ76,AAC76="VLOC",AAS76))*('Ship Fuel Prices'!$D$5:$D$1004&lt;=Main!$C76))))</f>
        <v>#N/A</v>
      </c>
      <c r="ACP76" s="25" t="e">
        <f t="array" aca="1" ref="ACP76" ca="1">INDEX('Ship Fuel Prices'!$H$5:$H$1004,MATCH(2,1/(('Ship Fuel Prices'!$E$5:$E$1004=_xlfn.IFS(AAC76="Handysize",Main!ACI76,AAC76="Supramax",ACB76,AAC76="Panamax",ABU76,AAC76="NeoPanamax",ABN76,AAC76="Suezmax",ABG76,AAC76="Capesize",AAZ76,AAC76="VLOC",AAS76))*('Ship Fuel Prices'!$D$5:$D$1004&lt;=Main!$C76))))</f>
        <v>#N/A</v>
      </c>
      <c r="ACQ76" s="25" t="e">
        <f t="array" aca="1" ref="ACQ76" ca="1">INDEX('Ship Fuel Prices'!$I$5:$I$1004,MATCH(2,1/(('Ship Fuel Prices'!$E$5:$E$1004=_xlfn.IFS(AAC76="Handysize",Main!ACI76,AAC76="Supramax",ACB76,AAC76="Panamax",ABU76,AAC76="NeoPanamax",ABN76,AAC76="Suezmax",ABG76,AAC76="Capesize",AAZ76,AAC76="VLOC",AAS76))*('Ship Fuel Prices'!$D$5:$D$1004&lt;=Main!$C76))))</f>
        <v>#N/A</v>
      </c>
      <c r="ACR76" s="25" t="e">
        <f t="array" aca="1" ref="ACR76" ca="1">INDEX('Ship Fuel Prices'!$J$5:$J$1004,MATCH(2,1/(('Ship Fuel Prices'!$E$5:$E$1004=_xlfn.IFS(AAC76="Handysize",Main!ACI76,AAC76="Supramax",ACB76,AAC76="Panamax",ABU76,AAC76="NeoPanamax",ABN76,AAC76="Suezmax",ABG76,AAC76="Capesize",AAZ76,AAC76="VLOC",AAS76))*('Ship Fuel Prices'!$D$5:$D$1004&lt;=Main!$C76))))</f>
        <v>#N/A</v>
      </c>
      <c r="ACT76" s="75">
        <f t="array" ref="ACT76">INDEX('China n Importing Ports'!$E$20:$E$41,MATCH(2,1/(('China n Importing Ports'!$D$20:$D$41&lt;=$C76)*('China n Importing Ports'!$C$20:$C$41=IF($AO76="Yes",$AQ76,$KK76)))))</f>
        <v>42500</v>
      </c>
      <c r="ACU76" s="75">
        <f t="array" ref="ACU76">INDEX('China n Importing Ports'!$F$20:$F$41,MATCH(2,1/(('China n Importing Ports'!$D$20:$D$41&lt;=$C76)*('China n Importing Ports'!$C$20:$C$41=IF($AO76="Yes",$AQ76,$KK76)))))</f>
        <v>42500</v>
      </c>
      <c r="ACV76" s="75">
        <f t="array" ref="ACV76">INDEX('China n Importing Ports'!$G$20:$G$41,MATCH(2,1/(('China n Importing Ports'!$D$20:$D$41&lt;=$C76)*('China n Importing Ports'!$C$20:$C$41=IF($AO76="Yes",$AQ76,$KK76)))))</f>
        <v>42500</v>
      </c>
      <c r="ACW76" s="75">
        <f t="array" ref="ACW76">INDEX('China n Importing Ports'!$H$20:$H$41,MATCH(2,1/(('China n Importing Ports'!$D$20:$D$41&lt;=$C76)*('China n Importing Ports'!$C$20:$C$41=IF($AO76="Yes",$AQ76,$KK76)))))</f>
        <v>42500</v>
      </c>
      <c r="ACX76" s="75">
        <f t="array" ref="ACX76">INDEX('China n Importing Ports'!$I$20:$I$41,MATCH(2,1/(('China n Importing Ports'!$D$20:$D$41&lt;=$C76)*('China n Importing Ports'!$C$20:$C$41=IF($AO76="Yes",$AQ76,$KK76)))))</f>
        <v>42500</v>
      </c>
      <c r="ACY76" s="75">
        <f t="array" ref="ACY76">INDEX('China n Importing Ports'!$J$20:$J$41,MATCH(2,1/(('China n Importing Ports'!$D$20:$D$41&lt;=$C76)*('China n Importing Ports'!$C$20:$C$41=IF($AO76="Yes",$AQ76,$KK76)))))</f>
        <v>42500</v>
      </c>
      <c r="ACZ76" s="75">
        <f t="array" ref="ACZ76">INDEX('China n Importing Ports'!$K$20:$K$41,MATCH(2,1/(('China n Importing Ports'!$D$20:$D$41&lt;=$C76)*('China n Importing Ports'!$C$20:$C$41=IF($AO76="Yes",$AQ76,$KK76)))))</f>
        <v>42500</v>
      </c>
      <c r="ADA76" s="75" t="str">
        <f t="array" ref="ADA76">INDEX('China n Importing Ports'!$L$20:$L$41,MATCH(2,1/(('China n Importing Ports'!$D$20:$D$41&lt;=$C76)*('China n Importing Ports'!$C$20:$C$41=IF($AO76="Yes",$AQ76,$KK76)))))</f>
        <v>RMB</v>
      </c>
      <c r="ADB76" s="75">
        <f t="array" ref="ADB76">INDEX('China n Importing Ports'!$M$20:$M$41,MATCH(2,1/(('China n Importing Ports'!$D$20:$D$41&lt;=$C76)*('China n Importing Ports'!$C$20:$C$41=IF($AO76="Yes",$AQ76,$KK76)))))</f>
        <v>12342</v>
      </c>
      <c r="ADC76" s="75">
        <f t="array" ref="ADC76">INDEX('China n Importing Ports'!$N$20:$N$41,MATCH(2,1/(('China n Importing Ports'!$D$20:$D$41&lt;=$C76)*('China n Importing Ports'!$C$20:$C$41=IF($AO76="Yes",$AQ76,$KK76)))))</f>
        <v>0</v>
      </c>
      <c r="ADD76" s="75">
        <f t="array" ref="ADD76">INDEX('China n Importing Ports'!$O$20:$O$41,MATCH(2,1/(('China n Importing Ports'!$D$20:$D$41&lt;=$C76)*('China n Importing Ports'!$C$20:$C$41=IF($AO76="Yes",$AQ76,$KK76)))))</f>
        <v>0</v>
      </c>
      <c r="ADE76" s="136">
        <f t="array" ref="ADE76">INDEX('China n Importing Ports'!$P$20:$P$41,MATCH(2,1/(('China n Importing Ports'!$D$20:$D$41&lt;=$C76)*('China n Importing Ports'!$C$20:$C$41=IF($AO76="Yes",$AQ76,$KK76)))))</f>
        <v>2.64</v>
      </c>
      <c r="ADF76" s="136">
        <f t="array" ref="ADF76">INDEX('China n Importing Ports'!$Q$20:$Q$41,MATCH(2,1/(('China n Importing Ports'!$D$20:$D$41&lt;=$C76)*('China n Importing Ports'!$C$20:$C$41=IF($AO76="Yes",$AQ76,$KK76)))))</f>
        <v>0</v>
      </c>
      <c r="ADG76" s="136">
        <f t="array" ref="ADG76">INDEX('China n Importing Ports'!$R$20:$R$41,MATCH(2,1/(('China n Importing Ports'!$D$20:$D$41&lt;=$C76)*('China n Importing Ports'!$C$20:$C$41=IF($AO76="Yes",$AQ76,$KK76)))))</f>
        <v>0</v>
      </c>
      <c r="ADH76" s="136">
        <f t="array" ref="ADH76">INDEX('China n Importing Ports'!$S$20:$S$41,MATCH(2,1/(('China n Importing Ports'!$D$20:$D$41&lt;=$C76)*('China n Importing Ports'!$C$20:$C$41=IF($AO76="Yes",$AQ76,$KK76)))))</f>
        <v>4.53</v>
      </c>
      <c r="ADI76" s="136">
        <f t="array" ref="ADI76">INDEX('China n Importing Ports'!$T$20:$T$41,MATCH(2,1/(('China n Importing Ports'!$D$20:$D$41&lt;=$C76)*('China n Importing Ports'!$C$20:$C$41=IF($AO76="Yes",$AQ76,$KK76)))))</f>
        <v>0.36699999999999999</v>
      </c>
      <c r="ADJ76" s="136">
        <f t="array" ref="ADJ76">INDEX('China n Importing Ports'!$U$20:$U$41,MATCH(2,1/(('China n Importing Ports'!$D$20:$D$41&lt;=$C76)*('China n Importing Ports'!$C$20:$C$41=IF($AO76="Yes",$AQ76,$KK76)))))</f>
        <v>0.05</v>
      </c>
      <c r="ADK76" s="136">
        <f t="array" ref="ADK76">INDEX('China n Importing Ports'!$V$20:$V$41,MATCH(2,1/(('China n Importing Ports'!$D$20:$D$41&lt;=$C76)*('China n Importing Ports'!$C$20:$C$41=IF($AO76="Yes",$AQ76,$KK76)))))</f>
        <v>0</v>
      </c>
      <c r="ADL76" s="136">
        <f t="array" ref="ADL76">INDEX('China n Importing Ports'!$W$20:$W$41,MATCH(2,1/(('China n Importing Ports'!$D$20:$D$41&lt;=$C76)*('China n Importing Ports'!$C$20:$C$41=IF($AO76="Yes",$AQ76,$KK76)))))</f>
        <v>0</v>
      </c>
      <c r="ADM76" s="136">
        <f t="array" ref="ADM76">INDEX('China n Importing Ports'!$X$20:$X$41,MATCH(2,1/(('China n Importing Ports'!$D$20:$D$41&lt;=$C76)*('China n Importing Ports'!$C$20:$C$41=IF($AO76="Yes",$AQ76,$KK76)))))</f>
        <v>0</v>
      </c>
      <c r="ADN76" s="136">
        <f t="array" ref="ADN76">INDEX('China n Importing Ports'!$Y$20:$Y$41,MATCH(2,1/(('China n Importing Ports'!$D$20:$D$41&lt;=$C76)*('China n Importing Ports'!$C$20:$C$41=IF($AO76="Yes",$AQ76,$KK76)))))</f>
        <v>197</v>
      </c>
      <c r="ADO76" s="136">
        <f t="array" ref="ADO76">INDEX('China n Importing Ports'!$Z$20:$Z$41,MATCH(2,1/(('China n Importing Ports'!$D$20:$D$41&lt;=$C76)*('China n Importing Ports'!$C$20:$C$41=IF($AO76="Yes",$AQ76,$KK76)))))</f>
        <v>0</v>
      </c>
      <c r="ADP76" s="136">
        <f t="array" ref="ADP76">INDEX('China n Importing Ports'!$AA$20:$AA$41,MATCH(2,1/(('China n Importing Ports'!$D$20:$D$41&lt;=$C76)*('China n Importing Ports'!$C$20:$C$41=IF($AO76="Yes",$AQ76,$KK76)))))</f>
        <v>0</v>
      </c>
      <c r="ADR76" s="75" t="e">
        <f t="array" aca="1" ref="ADR76" ca="1">INDEX(Canals!$G$24:$G$29,MATCH(2,1/((Canals!$F$24:$F$29&lt;=$C76)*(Canals!$G$24:$G$29=_xlfn.IFS(AAC76="Handysize",Main!ACL76,AAC76="Supramax",ACE76,AAC76="Panamax",ABX76,AAC76="NeoPanamax",ABQ76,AAC76="Suezmax",ABJ76,AAC76="Capesize",ABC76,AAC76="VLOC",AAV76)))))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S76" s="75" t="e">
        <f t="array" aca="1" ref="ADS76" ca="1">INDEX(Canals!$H$24:$H$29,MATCH(2,1/((Canals!$F$24:$F$29&lt;=$C76)*(Canals!$G$24:$G$29=_xlfn.IFS(AAC76="Handysize",Main!ACL76,AAC76="Supramax",ACE76,AAC76="Panamax",ABX76,AAC76="NeoPanamax",ABQ76,AAC76="Suezmax",ABJ76,AAC76="Capesize",ABC76,AAC76="VLOC",AAV76)))))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T76" s="75" t="e">
        <f t="array" aca="1" ref="ADT76" ca="1">INDEX(Canals!$I$24:$I$29,MATCH(2,1/((Canals!$F$24:$F$29&lt;=$C76)*(Canals!$G$24:$G$29=_xlfn.IFS(AAC76="Handysize",Main!ACL76,AAC76="Supramax",ACE76,AAC76="Panamax",ABX76,AAC76="NeoPanamax",ABQ76,AAC76="Suezmax",ABJ76,AAC76="Capesize",ABC76,AAC76="VLOC",AAV76)))))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U76" s="75" t="e">
        <f t="array" aca="1" ref="ADU76" ca="1">INDEX(Canals!$J$24:$J$29,MATCH(2,1/((Canals!$F$24:$F$29&lt;=$C76)*(Canals!$G$24:$G$29=_xlfn.IFS(AAC76="Handysize",Main!ACL76,AAC76="Supramax",ACE76,AAC76="Panamax",ABX76,AAC76="NeoPanamax",ABQ76,AAC76="Suezmax",ABJ76,AAC76="Capesize",ABC76,AAC76="VLOC",AAV76)))))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V76" s="75" t="e">
        <f t="array" aca="1" ref="ADV76" ca="1">INDEX(Canals!$K$24:$K$29,MATCH(2,1/((Canals!$F$24:$F$29&lt;=$C76)*(Canals!$G$24:$G$29=_xlfn.IFS(AAC76="Handysize",Main!ACL76,AAC76="Supramax",ACE76,AAC76="Panamax",ABX76,AAC76="NeoPanamax",ABQ76,AAC76="Suezmax",ABJ76,AAC76="Capesize",ABC76,AAC76="VLOC",AAV76)))))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W76" s="75" t="e">
        <f t="array" aca="1" ref="ADW76" ca="1">INDEX(Canals!$L$24:$L$29,MATCH(2,1/((Canals!$F$24:$F$29&lt;=$C76)*(Canals!$G$24:$G$29=_xlfn.IFS(AAC76="Handysize",Main!ACL76,AAC76="Supramax",ACE76,AAC76="Panamax",ABX76,AAC76="NeoPanamax",ABQ76,AAC76="Suezmax",ABJ76,AAC76="Capesize",ABC76,AAC76="VLOC",AAV76)))))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X76" s="75" t="e">
        <f t="array" aca="1" ref="ADX76" ca="1">INDEX(Canals!$M$24:$M$29,MATCH(2,1/((Canals!$F$24:$F$29&lt;=$C76)*(Canals!$G$24:$G$29=_xlfn.IFS(AAC76="Handysize",Main!ACL76,AAC76="Supramax",ACE76,AAC76="Panamax",ABX76,AAC76="NeoPanamax",ABQ76,AAC76="Suezmax",ABJ76,AAC76="Capesize",ABC76,AAC76="VLOC",AAV76)))))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Y76" s="75" t="e">
        <f t="array" aca="1" ref="ADY76" ca="1">INDEX(Canals!$N$24:$N$29,MATCH(2,1/((Canals!$F$24:$F$29&lt;=$C76)*(Canals!$G$24:$G$29=_xlfn.IFS(AAC76="Handysize",Main!ACL76,AAC76="Supramax",ACE76,AAC76="Panamax",ABX76,AAC76="NeoPanamax",ABQ76,AAC76="Suezmax",ABJ76,AAC76="Capesize",ABC76,AAC76="VLOC",AAV76)))))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DZ76" s="75" t="e">
        <f t="array" aca="1" ref="ADZ76" ca="1">INDEX(Canals!$O$24:$O$29,MATCH(2,1/((Canals!$F$24:$F$29&lt;=$C76)*(Canals!$G$24:$G$29=_xlfn.IFS(AAC76="Handysize",Main!ACL76,AAC76="Supramax",ACE76,AAC76="Panamax",ABX76,AAC76="NeoPanamax",ABQ76,AAC76="Suezmax",ABJ76,AAC76="Capesize",ABC76,AAC76="VLOC",AAV76)))))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A76" s="75" t="e">
        <f t="array" aca="1" ref="AEA76" ca="1">INDEX(Canals!$P$24:$P$29,MATCH(2,1/((Canals!$F$24:$F$29&lt;=$C76)*(Canals!$G$24:$G$29=_xlfn.IFS(AAC76="Handysize",Main!ACL76,AAC76="Supramax",ACE76,AAC76="Panamax",ABX76,AAC76="NeoPanamax",ABQ76,AAC76="Suezmax",ABJ76,AAC76="Capesize",ABC76,AAC76="VLOC",AAV76)))))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B76" s="75" t="e">
        <f t="array" aca="1" ref="AEB76" ca="1">INDEX(Canals!$Q$24:$Q$29,MATCH(2,1/((Canals!$F$24:$F$29&lt;=$C76)*(Canals!$G$24:$G$29=_xlfn.IFS(AAC76="Handysize",Main!ACL76,AAC76="Supramax",ACE76,AAC76="Panamax",ABX76,AAC76="NeoPanamax",ABQ76,AAC76="Suezmax",ABJ76,AAC76="Capesize",ABC76,AAC76="VLOC",AAV76)))))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C76" s="75" t="e">
        <f t="array" aca="1" ref="AEC76" ca="1">INDEX(Canals!$R$24:$R$29,MATCH(2,1/((Canals!$F$24:$F$29&lt;=$C76)*(Canals!$G$24:$G$29=_xlfn.IFS(AAC76="Handysize",Main!ACL76,AAC76="Supramax",ACE76,AAC76="Panamax",ABX76,AAC76="NeoPanamax",ABQ76,AAC76="Suezmax",ABJ76,AAC76="Capesize",ABC76,AAC76="VLOC",AAV76)))))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D76" s="136" t="e">
        <f t="array" aca="1" ref="AED76" ca="1">INDEX(Canals!$S$24:$S$29,MATCH(2,1/((Canals!$F$24:$F$29&lt;=$C76)*(Canals!$G$24:$G$29=_xlfn.IFS(AAC76="Handysize",Main!ACL76,AAC76="Supramax",ACE76,AAC76="Panamax",ABX76,AAC76="NeoPanamax",ABQ76,AAC76="Suezmax",ABJ76,AAC76="Capesize",ABC76,AAC76="VLOC",AAV76)))))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E76" s="136" t="e">
        <f t="array" aca="1" ref="AEE76" ca="1">INDEX(Canals!$T$24:$T$29,MATCH(2,1/((Canals!$F$24:$F$29&lt;=$C76)*(Canals!$G$24:$G$29=_xlfn.IFS(AAC76="Handysize",Main!ACL76,AAC76="Supramax",ACE76,AAC76="Panamax",ABX76,AAC76="NeoPanamax",ABQ76,AAC76="Suezmax",ABJ76,AAC76="Capesize",ABC76,AAC76="VLOC",AAV76)))))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F76" s="136" t="e">
        <f t="array" aca="1" ref="AEF76" ca="1">INDEX(Canals!$U$24:$U$29,MATCH(2,1/((Canals!$F$24:$F$29&lt;=$C76)*(Canals!$G$24:$G$29=_xlfn.IFS(AAC76="Handysize",Main!ACL76,AAC76="Supramax",ACE76,AAC76="Panamax",ABX76,AAC76="NeoPanamax",ABQ76,AAC76="Suezmax",ABJ76,AAC76="Capesize",ABC76,AAC76="VLOC",AAV76)))))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G76" s="136" t="e">
        <f t="array" aca="1" ref="AEG76" ca="1">INDEX(Canals!$V$24:$V$29,MATCH(2,1/((Canals!$F$24:$F$29&lt;=$C76)*(Canals!$G$24:$G$29=_xlfn.IFS(AAC76="Handysize",Main!ACL76,AAC76="Supramax",ACE76,AAC76="Panamax",ABX76,AAC76="NeoPanamax",ABQ76,AAC76="Suezmax",ABJ76,AAC76="Capesize",ABC76,AAC76="VLOC",AAV76)))))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H76" s="136" t="e">
        <f t="array" aca="1" ref="AEH76" ca="1">INDEX(Canals!$W$24:$W$29,MATCH(2,1/((Canals!$F$24:$F$29&lt;=$C76)*(Canals!$G$24:$G$29=_xlfn.IFS(AAC76="Handysize",Main!ACL76,AAC76="Supramax",ACE76,AAC76="Panamax",ABX76,AAC76="NeoPanamax",ABQ76,AAC76="Suezmax",ABJ76,AAC76="Capesize",ABC76,AAC76="VLOC",AAV76)))))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I76" s="136" t="e">
        <f t="array" aca="1" ref="AEI76" ca="1">INDEX(Canals!$X$24:$X$29,MATCH(2,1/((Canals!$F$24:$F$29&lt;=$C76)*(Canals!$G$24:$G$29=_xlfn.IFS(AAC76="Handysize",Main!ACL76,AAC76="Supramax",ACE76,AAC76="Panamax",ABX76,AAC76="NeoPanamax",ABQ76,AAC76="Suezmax",ABJ76,AAC76="Capesize",ABC76,AAC76="VLOC",AAV76)))))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J76" s="136" t="e">
        <f t="array" aca="1" ref="AEJ76" ca="1">INDEX(Canals!$Y$24:$Y$29,MATCH(2,1/((Canals!$F$24:$F$29&lt;=$C76)*(Canals!$G$24:$G$29=_xlfn.IFS(AAC76="Handysize",Main!ACL76,AAC76="Supramax",ACE76,AAC76="Panamax",ABX76,AAC76="NeoPanamax",ABQ76,AAC76="Suezmax",ABJ76,AAC76="Capesize",ABC76,AAC76="VLOC",AAV76)))))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K76" s="136" t="e">
        <f t="array" aca="1" ref="AEK76" ca="1">INDEX(Canals!$Z$24:$Z$29,MATCH(2,1/((Canals!$F$24:$F$29&lt;=$C76)*(Canals!$G$24:$G$29=_xlfn.IFS(AAC76="Handysize",Main!ACL76,AAC76="Supramax",ACE76,AAC76="Panamax",ABX76,AAC76="NeoPanamax",ABQ76,AAC76="Suezmax",ABJ76,AAC76="Capesize",ABC76,AAC76="VLOC",AAV76)))))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L76" s="136" t="e">
        <f t="array" aca="1" ref="AEL76" ca="1">INDEX(Canals!$AA$24:$AA$29,MATCH(2,1/((Canals!$F$24:$F$29&lt;=$C76)*(Canals!$G$24:$G$29=_xlfn.IFS(AAC76="Handysize",Main!ACL76,AAC76="Supramax",ACE76,AAC76="Panamax",ABX76,AAC76="NeoPanamax",ABQ76,AAC76="Suezmax",ABJ76,AAC76="Capesize",ABC76,AAC76="VLOC",AAV76)))))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M76" s="136" t="e">
        <f t="array" aca="1" ref="AEM76" ca="1">INDEX(Canals!$AB$24:$AB$29,MATCH(2,1/((Canals!$F$24:$F$29&lt;=$C76)*(Canals!$G$24:$G$29=_xlfn.IFS(AAC76="Handysize",Main!ACL76,AAC76="Supramax",ACE76,AAC76="Panamax",ABX76,AAC76="NeoPanamax",ABQ76,AAC76="Suezmax",ABJ76,AAC76="Capesize",ABC76,AAC76="VLOC",AAV76)))))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N76" s="75" t="e">
        <f t="array" aca="1" ref="AEN76" ca="1">INDEX(Canals!$AC$24:$AC$29,MATCH(2,1/((Canals!$F$24:$F$29&lt;=$C76)*(Canals!$G$24:$G$29=_xlfn.IFS(AAC76="Handysize",Main!ACL76,AAC76="Supramax",ACE76,AAC76="Panamax",ABX76,AAC76="NeoPanamax",ABQ76,AAC76="Suezmax",ABJ76,AAC76="Capesize",ABC76,AAC76="VLOC",AAV76)))))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O76" s="75" t="e">
        <f t="array" aca="1" ref="AEO76" ca="1">INDEX(Canals!$AD$24:$AD$29,MATCH(2,1/((Canals!$F$24:$F$29&lt;=$C76)*(Canals!$G$24:$G$29=_xlfn.IFS(AAC76="Handysize",Main!ACL76,AAC76="Supramax",ACE76,AAC76="Panamax",ABX76,AAC76="NeoPanamax",ABQ76,AAC76="Suezmax",ABJ76,AAC76="Capesize",ABC76,AAC76="VLOC",AAV76)))))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P76" s="75" t="e">
        <f t="array" aca="1" ref="AEP76" ca="1">INDEX(Canals!$AE$24:$AE$29,MATCH(2,1/((Canals!$F$24:$F$29&lt;=$C76)*(Canals!$G$24:$G$29=_xlfn.IFS(AAC76="Handysize",Main!ACL76,AAC76="Supramax",ACE76,AAC76="Panamax",ABX76,AAC76="NeoPanamax",ABQ76,AAC76="Suezmax",ABJ76,AAC76="Capesize",ABC76,AAC76="VLOC",AAV76)))))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Q76" s="75" t="e">
        <f t="array" aca="1" ref="AEQ76" ca="1">INDEX(Canals!$AF$24:$AF$29,MATCH(2,1/((Canals!$F$24:$F$29&lt;=$C76)*(Canals!$G$24:$G$29=_xlfn.IFS(AAC76="Handysize",Main!ACL76,AAC76="Supramax",ACE76,AAC76="Panamax",ABX76,AAC76="NeoPanamax",ABQ76,AAC76="Suezmax",ABJ76,AAC76="Capesize",ABC76,AAC76="VLOC",AAV76)))))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R76" s="75" t="e">
        <f t="array" aca="1" ref="AER76" ca="1">INDEX(Canals!$AG$24:$AG$29,MATCH(2,1/((Canals!$F$24:$F$29&lt;=$C76)*(Canals!$G$24:$G$29=_xlfn.IFS(AAC76="Handysize",Main!ACL76,AAC76="Supramax",ACE76,AAC76="Panamax",ABX76,AAC76="NeoPanamax",ABQ76,AAC76="Suezmax",ABJ76,AAC76="Capesize",ABC76,AAC76="VLOC",AAV76)))))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S76" s="75" t="e">
        <f t="array" aca="1" ref="AES76" ca="1">INDEX(Canals!$AH$24:$AH$29,MATCH(2,1/((Canals!$F$24:$F$29&lt;=$C76)*(Canals!$G$24:$G$29=_xlfn.IFS(AAC76="Handysize",Main!ACL76,AAC76="Supramax",ACE76,AAC76="Panamax",ABX76,AAC76="NeoPanamax",ABQ76,AAC76="Suezmax",ABJ76,AAC76="Capesize",ABC76,AAC76="VLOC",AAV76)))))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T76" s="75" t="e">
        <f t="array" aca="1" ref="AET76" ca="1">INDEX(Canals!$AI$24:$AI$29,MATCH(2,1/((Canals!$F$24:$F$29&lt;=$C76)*(Canals!$G$24:$G$29=_xlfn.IFS(AAC76="Handysize",Main!ACL76,AAC76="Supramax",ACE76,AAC76="Panamax",ABX76,AAC76="NeoPanamax",ABQ76,AAC76="Suezmax",ABJ76,AAC76="Capesize",ABC76,AAC76="VLOC",AAV76)))))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U76" s="75" t="e">
        <f t="array" aca="1" ref="AEU76" ca="1">INDEX(Canals!$AJ$24:$AJ$29,MATCH(2,1/((Canals!$F$24:$F$29&lt;=$C76)*(Canals!$G$24:$G$29=_xlfn.IFS(AAC76="Handysize",Main!ACL76,AAC76="Supramax",ACE76,AAC76="Panamax",ABX76,AAC76="NeoPanamax",ABQ76,AAC76="Suezmax",ABJ76,AAC76="Capesize",ABC76,AAC76="VLOC",AAV76)))))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V76" s="75" t="e">
        <f t="array" aca="1" ref="AEV76" ca="1">INDEX(Canals!$AK$24:$AK$29,MATCH(2,1/((Canals!$F$24:$F$29&lt;=$C76)*(Canals!$G$24:$G$29=_xlfn.IFS(AAC76="Handysize",Main!ACL76,AAC76="Supramax",ACE76,AAC76="Panamax",ABX76,AAC76="NeoPanamax",ABQ76,AAC76="Suezmax",ABJ76,AAC76="Capesize",ABC76,AAC76="VLOC",AAV76)))))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W76" s="136" t="e">
        <f t="array" aca="1" ref="AEW76" ca="1">INDEX(Canals!$AL$24:$AL$29,MATCH(2,1/((Canals!$F$24:$F$29&lt;=$C76)*(Canals!$G$24:$G$29=_xlfn.IFS(AAC76="Handysize",Main!ACL76,AAC76="Supramax",ACE76,AAC76="Panamax",ABX76,AAC76="NeoPanamax",ABQ76,AAC76="Suezmax",ABJ76,AAC76="Capesize",ABC76,AAC76="VLOC",AAV76)))))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X76" s="136" t="e">
        <f t="array" aca="1" ref="AEX76" ca="1">INDEX(Canals!$AM$24:$AM$29,MATCH(2,1/((Canals!$F$24:$F$29&lt;=$C76)*(Canals!$G$24:$G$29=_xlfn.IFS(AAC76="Handysize",Main!ACL76,AAC76="Supramax",ACE76,AAC76="Panamax",ABX76,AAC76="NeoPanamax",ABQ76,AAC76="Suezmax",ABJ76,AAC76="Capesize",ABC76,AAC76="VLOC",AAV76)))))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Y76" s="136" t="e">
        <f t="array" aca="1" ref="AEY76" ca="1">INDEX(Canals!$AN$24:$AN$29,MATCH(2,1/((Canals!$F$24:$F$29&lt;=$C76)*(Canals!$G$24:$G$29=_xlfn.IFS(AAC76="Handysize",Main!ACL76,AAC76="Supramax",ACE76,AAC76="Panamax",ABX76,AAC76="NeoPanamax",ABQ76,AAC76="Suezmax",ABJ76,AAC76="Capesize",ABC76,AAC76="VLOC",AAV76)))))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EZ76" s="136" t="e">
        <f t="array" aca="1" ref="AEZ76" ca="1">INDEX(Canals!$AO$24:$AO$29,MATCH(2,1/((Canals!$F$24:$F$29&lt;=$C76)*(Canals!$G$24:$G$29=_xlfn.IFS(AAC76="Handysize",Main!ACL76,AAC76="Supramax",ACE76,AAC76="Panamax",ABX76,AAC76="NeoPanamax",ABQ76,AAC76="Suezmax",ABJ76,AAC76="Capesize",ABC76,AAC76="VLOC",AAV76)))))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A76" s="136" t="e">
        <f t="array" aca="1" ref="AFA76" ca="1">INDEX(Canals!$AP$24:$AP$29,MATCH(2,1/((Canals!$F$24:$F$29&lt;=$C76)*(Canals!$G$24:$G$29=_xlfn.IFS(AAC76="Handysize",Main!ACL76,AAC76="Supramax",ACE76,AAC76="Panamax",ABX76,AAC76="NeoPanamax",ABQ76,AAC76="Suezmax",ABJ76,AAC76="Capesize",ABC76,AAC76="VLOC",AAV76)))))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B76" s="136" t="e">
        <f t="array" aca="1" ref="AFB76" ca="1">INDEX(Canals!$AQ$24:$AQ$29,MATCH(2,1/((Canals!$F$24:$F$29&lt;=$C76)*(Canals!$G$24:$G$29=_xlfn.IFS(AAC76="Handysize",Main!ACL76,AAC76="Supramax",ACE76,AAC76="Panamax",ABX76,AAC76="NeoPanamax",ABQ76,AAC76="Suezmax",ABJ76,AAC76="Capesize",ABC76,AAC76="VLOC",AAV76)))))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C76" s="136" t="e">
        <f t="array" aca="1" ref="AFC76" ca="1">INDEX(Canals!$AR$24:$AR$29,MATCH(2,1/((Canals!$F$24:$F$29&lt;=$C76)*(Canals!$G$24:$G$29=_xlfn.IFS(AAC76="Handysize",Main!ACL76,AAC76="Supramax",ACE76,AAC76="Panamax",ABX76,AAC76="NeoPanamax",ABQ76,AAC76="Suezmax",ABJ76,AAC76="Capesize",ABC76,AAC76="VLOC",AAV76)))))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D76" s="136" t="e">
        <f t="array" aca="1" ref="AFD76" ca="1">INDEX(Canals!$AS$24:$AS$29,MATCH(2,1/((Canals!$F$24:$F$29&lt;=$C76)*(Canals!$G$24:$G$29=_xlfn.IFS(AAC76="Handysize",Main!ACL76,AAC76="Supramax",ACE76,AAC76="Panamax",ABX76,AAC76="NeoPanamax",ABQ76,AAC76="Suezmax",ABJ76,AAC76="Capesize",ABC76,AAC76="VLOC",AAV76)))))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E76" s="136" t="e">
        <f t="array" aca="1" ref="AFE76" ca="1">INDEX(Canals!$AT$24:$AT$29,MATCH(2,1/((Canals!$F$24:$F$29&lt;=$C76)*(Canals!$G$24:$G$29=_xlfn.IFS(AAC76="Handysize",Main!ACL76,AAC76="Supramax",ACE76,AAC76="Panamax",ABX76,AAC76="NeoPanamax",ABQ76,AAC76="Suezmax",ABJ76,AAC76="Capesize",ABC76,AAC76="VLOC",AAV76)))))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F76" s="136" t="e">
        <f t="array" aca="1" ref="AFF76" ca="1">INDEX(Canals!$AU$24:$AU$29,MATCH(2,1/((Canals!$F$24:$F$29&lt;=$C76)*(Canals!$G$24:$G$29=_xlfn.IFS(AAC76="Handysize",Main!ACL76,AAC76="Supramax",ACE76,AAC76="Panamax",ABX76,AAC76="NeoPanamax",ABQ76,AAC76="Suezmax",ABJ76,AAC76="Capesize",ABC76,AAC76="VLOC",AAV76)))))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G76" s="136" t="e">
        <f t="array" aca="1" ref="AFG76" ca="1">INDEX(Canals!$AV$24:$AV$29,MATCH(2,1/((Canals!$F$24:$F$29&lt;=$C76)*(Canals!$G$24:$G$29=_xlfn.IFS(AAC76="Handysize",Main!ACL76,AAC76="Supramax",ACE76,AAC76="Panamax",ABX76,AAC76="NeoPanamax",ABQ76,AAC76="Suezmax",ABJ76,AAC76="Capesize",ABC76,AAC76="VLOC",AAV76)))))</f>
        <v>#N/A</v>
      </c>
      <c r="AFI76" s="75" t="e">
        <f t="array" aca="1" ref="AFI76" ca="1">_xlfn.IFS(ADT76="DWT",AAA76,ADT76="NRT",AAE76,ADT76="GRT",AAF76)</f>
        <v>#NAME?</v>
      </c>
      <c r="AFJ76" s="279" t="e">
        <f t="shared" ca="1" si="890"/>
        <v>#NAME?</v>
      </c>
      <c r="AFK76" s="280" t="e">
        <f t="shared" ca="1" si="891"/>
        <v>#NAME?</v>
      </c>
      <c r="AFL76" s="280" t="e">
        <f t="shared" ca="1" si="892"/>
        <v>#NAME?</v>
      </c>
      <c r="AFM76" s="280" t="e">
        <f t="shared" ca="1" si="893"/>
        <v>#NAME?</v>
      </c>
      <c r="AFN76" s="280" t="e">
        <f t="shared" ca="1" si="894"/>
        <v>#NAME?</v>
      </c>
      <c r="AFO76" s="280" t="e">
        <f t="shared" ca="1" si="895"/>
        <v>#NAME?</v>
      </c>
      <c r="AFP76" s="280" t="e">
        <f t="shared" ca="1" si="896"/>
        <v>#NAME?</v>
      </c>
      <c r="AFQ76" s="280" t="e">
        <f t="shared" ca="1" si="897"/>
        <v>#NAME?</v>
      </c>
      <c r="AFR76" s="280" t="e">
        <f t="shared" ca="1" si="898"/>
        <v>#NAME?</v>
      </c>
      <c r="AFS76" s="75">
        <f t="shared" si="899"/>
        <v>81052.631578947374</v>
      </c>
      <c r="AFT76" s="279" t="e">
        <f t="shared" ca="1" si="900"/>
        <v>#N/A</v>
      </c>
      <c r="AFU76" s="280" t="e">
        <f t="shared" ca="1" si="901"/>
        <v>#N/A</v>
      </c>
      <c r="AFV76" s="280" t="e">
        <f t="shared" ca="1" si="902"/>
        <v>#N/A</v>
      </c>
      <c r="AFW76" s="280" t="e">
        <f t="shared" ca="1" si="903"/>
        <v>#N/A</v>
      </c>
      <c r="AFX76" s="280" t="e">
        <f t="shared" ca="1" si="904"/>
        <v>#N/A</v>
      </c>
      <c r="AFY76" s="280" t="e">
        <f t="shared" ca="1" si="905"/>
        <v>#N/A</v>
      </c>
      <c r="AFZ76" s="280" t="e">
        <f t="shared" ca="1" si="906"/>
        <v>#N/A</v>
      </c>
      <c r="AGA76" s="280" t="e">
        <f t="shared" ca="1" si="907"/>
        <v>#N/A</v>
      </c>
      <c r="AGB76" s="280" t="e">
        <f t="shared" ca="1" si="908"/>
        <v>#N/A</v>
      </c>
      <c r="AGD76" s="75" t="e">
        <f t="array" aca="1" ref="AGD76" ca="1">_xlfn.IFS(AAC76="Handysize",Main!ACF76,AAC76="Supramax",ABY76,AAC76="Panamax",ABR76,AAC76="NeoPanamax",ABK76,AAC76="Suezmax",ABD76,AAC76="Capesize",AAW76,AAC76="VLOC",AAP76)*$JI76</f>
        <v>#NAME?</v>
      </c>
      <c r="AGE76" s="274" t="e">
        <f t="array" aca="1" ref="AGE76" ca="1">_xlfn.IFS(AAC76="Handysize",Main!ACG76,AAC76="Supramax",ABZ76,AAC76="Panamax",ABS76,AAC76="NeoPanamax",ABL76,AAC76="Suezmax",ABE76,AAC76="Capesize",AAX76,AAC76="VLOC",AAQ76)*$JI76</f>
        <v>#NAME?</v>
      </c>
      <c r="AGF76" s="71" t="e">
        <f t="array" aca="1" ref="AGF76" ca="1">_xlfn.IFS(AAC76="Handysize",Main!AAH76,AAC76="Supramax",AAI76,AAC76="Panamax",AAJ76,AAC76="NeoPanamax",AAK76,AAC76="Suezmax",AAL76,AAC76="Capesize",AAM76,AAC76="VLOC",AAN76)</f>
        <v>#NAME?</v>
      </c>
      <c r="AGG76" s="71" t="e">
        <f t="array" aca="1" ref="AGG76" ca="1">_xlfn.IFS(AAC76="Handysize",Main!ACT76,AAC76="Supramax",ACU76,AAC76="Panamax",ACV76,AAC76="NeoPanamax",ACW76,AAC76="Suezmax",ACX76,AAC76="Capesize",ACY76,AAC76="VLOC",ACZ76)</f>
        <v>#NAME?</v>
      </c>
      <c r="AGH76" s="70">
        <f t="array" ref="AGH76">INDEX('Ship Speeds'!$G$11:$G$1011,MATCH(2,1/(('Ship Speeds'!$E$11:$E$1011&lt;=Main!$C76)*('Ship Speeds'!$F$11:$F$1011=Main!AAB76))))</f>
        <v>11</v>
      </c>
      <c r="AGI76" s="403">
        <f t="shared" si="909"/>
        <v>22.103418307276918</v>
      </c>
      <c r="AGJ76" s="401">
        <f t="shared" si="910"/>
        <v>2.087838056680162</v>
      </c>
      <c r="AGK76" s="70" t="e">
        <f t="shared" ca="1" si="911"/>
        <v>#NAME?</v>
      </c>
      <c r="AGL76" s="70" t="e">
        <f t="shared" ca="1" si="912"/>
        <v>#NAME?</v>
      </c>
      <c r="AGM76" s="70" t="e">
        <f t="shared" ca="1" si="913"/>
        <v>#NAME?</v>
      </c>
      <c r="AGN76" s="70" t="e">
        <f t="shared" ca="1" si="914"/>
        <v>#NAME?</v>
      </c>
      <c r="AGO76" s="72" t="e">
        <f t="shared" ca="1" si="915"/>
        <v>#N/A</v>
      </c>
      <c r="AGP76" s="70" t="e">
        <f t="shared" ca="1" si="916"/>
        <v>#NAME?</v>
      </c>
      <c r="AGQ76" s="70" t="e">
        <f t="array" aca="1" ref="AGQ76" ca="1">INDEX(ACN76:ACR76,MATCH(_xlfn.IFS(AAC76="Handysize",Main!ACJ76,AAC76="Supramax",ACC76,AAC76="Panamax",ABV76,AAC76="NeoPanamax",ABO76,AAC76="Suezmax",ABH76,AAC76="Capesize",ABA76,AAC76="VLOC",AAT76),$ACN$7:$ACR$7,0))</f>
        <v>#NAME?</v>
      </c>
      <c r="AGR76" s="70" t="e">
        <f t="array" aca="1" ref="AGR76" ca="1">INDEX(ACN76:ACR76,MATCH(_xlfn.IFS(AAC76="Handysize",Main!ACK76,AAC76="Supramax",ACD76,AAC76="Panamax",ABW76,AAC76="NeoPanamax",ABP76,AAC76="Suezmax",ABI76,AAC76="Capesize",ABB76,AAC76="VLOC",AAU76),$ACN$7:$ACR$7,0))</f>
        <v>#NAME?</v>
      </c>
      <c r="AGS76" s="71" t="e">
        <f t="shared" ca="1" si="917"/>
        <v>#NAME?</v>
      </c>
      <c r="AGT76" s="71" t="e">
        <f t="shared" ca="1" si="918"/>
        <v>#NAME?</v>
      </c>
      <c r="AGU76" s="281">
        <f t="shared" si="919"/>
        <v>7.0834199999999994</v>
      </c>
      <c r="AGV76" s="71">
        <f t="shared" si="920"/>
        <v>1742.3786814843679</v>
      </c>
      <c r="AGW76" s="71" t="e">
        <f t="shared" ca="1" si="921"/>
        <v>#NAME?</v>
      </c>
      <c r="AGX76" s="71" t="e">
        <f t="shared" ca="1" si="922"/>
        <v>#NAME?</v>
      </c>
      <c r="AGY76" s="71">
        <f t="shared" si="923"/>
        <v>30208.422960719694</v>
      </c>
      <c r="AGZ76" s="71" t="e">
        <f t="shared" ca="1" si="924"/>
        <v>#NAME?</v>
      </c>
      <c r="AHA76" s="71" t="e">
        <f t="shared" ca="1" si="925"/>
        <v>#NAME?</v>
      </c>
      <c r="AHB76" s="71">
        <f t="shared" si="926"/>
        <v>21446.360736311224</v>
      </c>
      <c r="AHC76" s="71" t="e">
        <f t="shared" ca="1" si="927"/>
        <v>#NAME?</v>
      </c>
      <c r="AHD76" s="71" t="e">
        <f t="shared" ca="1" si="928"/>
        <v>#NAME?</v>
      </c>
      <c r="AHE76" s="71">
        <f t="shared" si="929"/>
        <v>0</v>
      </c>
      <c r="AHF76" s="71" t="e">
        <f t="shared" ca="1" si="930"/>
        <v>#NAME?</v>
      </c>
      <c r="AHG76" s="71" t="e">
        <f t="shared" ca="1" si="931"/>
        <v>#NAME?</v>
      </c>
      <c r="AHH76" s="72">
        <f t="shared" si="932"/>
        <v>6075.774983325663</v>
      </c>
      <c r="AHI76" s="72" t="e">
        <f t="shared" ca="1" si="933"/>
        <v>#NAME?</v>
      </c>
      <c r="AHJ76" s="71" t="e">
        <f t="shared" ca="1" si="934"/>
        <v>#NAME?</v>
      </c>
      <c r="AHK76" s="71" t="e">
        <f t="array" aca="1" ref="AHK76" ca="1">INDEX('Ship Time Charter Rates'!$H$22:$H$1021,MATCH(2,1/(('Ship Time Charter Rates'!$G$22:$G$1021=_xlfn.IFS(AAC76="Handysize",Main!ACH76,AAC76="Supramax",ACA76,AAC76="Panamax",ABT76,AAC76="NeoPanamax",ABM76,AAC76="Suezmax",ABF76,AAC76="Capesize",AAY76,AAC76="VLOC",AAR76))*('Ship Time Charter Rates'!$E$22:$E$1021&lt;=Main!$C76)*(NOT(ISBLANK('Ship Time Charter Rates'!$H$22:$H$1021))))))</f>
        <v>#N/A</v>
      </c>
      <c r="AHL76" s="71" t="e">
        <f t="shared" ca="1" si="935"/>
        <v>#NAME?</v>
      </c>
      <c r="AHM76" s="70" t="e">
        <f t="shared" ca="1" si="936"/>
        <v>#N/A</v>
      </c>
      <c r="AHN76" s="71" t="e">
        <f t="shared" ca="1" si="937"/>
        <v>#NAME?</v>
      </c>
      <c r="AHO76" s="71" t="e">
        <f t="shared" ca="1" si="938"/>
        <v>#NAME?</v>
      </c>
      <c r="AHP76" s="72" t="e">
        <f t="shared" ca="1" si="939"/>
        <v>#NAME?</v>
      </c>
      <c r="AHR76" s="25">
        <f t="shared" si="940"/>
        <v>0</v>
      </c>
      <c r="AHS76" s="4" t="str">
        <f>VLOOKUP(AHR76,'Ship Time Charter Rates'!$F$10:$G$17,2,TRUE)</f>
        <v>Handysize</v>
      </c>
      <c r="AHT76" s="4" t="str">
        <f>VLOOKUP(AHR76,Canals!$E$5:$F$12,2,TRUE)</f>
        <v>Handysize</v>
      </c>
      <c r="AHU76" s="25">
        <f t="shared" si="941"/>
        <v>145.88999999999999</v>
      </c>
      <c r="AHV76" s="25">
        <f t="shared" si="942"/>
        <v>0</v>
      </c>
      <c r="AHW76" s="25">
        <f t="shared" si="943"/>
        <v>4797</v>
      </c>
      <c r="AHY76" s="75">
        <f t="array" ref="AHY76">INDEX('Indices Mines Exporting Ports'!$R$20:$R$51,MATCH(2,1/(('Indices Mines Exporting Ports'!$D$20:$D$51&lt;=Main!$C76)*('Indices Mines Exporting Ports'!$Q$20:$Q$51=$AQ76))))</f>
        <v>0</v>
      </c>
      <c r="AHZ76" s="75">
        <f t="array" ref="AHZ76">INDEX('Indices Mines Exporting Ports'!$S$20:$S$51,MATCH(2,1/(('Indices Mines Exporting Ports'!$D$20:$D$51&lt;=Main!$C76)*('Indices Mines Exporting Ports'!$Q$20:$Q$51=$AQ76))))</f>
        <v>0</v>
      </c>
      <c r="AIA76" s="75">
        <f t="array" ref="AIA76">INDEX('Indices Mines Exporting Ports'!$T$20:$T$51,MATCH(2,1/(('Indices Mines Exporting Ports'!$D$20:$D$51&lt;=Main!$C76)*('Indices Mines Exporting Ports'!$Q$20:$Q$51=$AQ76))))</f>
        <v>0</v>
      </c>
      <c r="AIB76" s="75">
        <f t="array" ref="AIB76">INDEX('Indices Mines Exporting Ports'!$U$20:$U$51,MATCH(2,1/(('Indices Mines Exporting Ports'!$D$20:$D$51&lt;=Main!$C76)*('Indices Mines Exporting Ports'!$Q$20:$Q$51=$AQ76))))</f>
        <v>0</v>
      </c>
      <c r="AIC76" s="75">
        <f t="array" ref="AIC76">INDEX('Indices Mines Exporting Ports'!$V$20:$V$51,MATCH(2,1/(('Indices Mines Exporting Ports'!$D$20:$D$51&lt;=Main!$C76)*('Indices Mines Exporting Ports'!$Q$20:$Q$51=$AQ76))))</f>
        <v>0</v>
      </c>
      <c r="AID76" s="75">
        <f t="array" ref="AID76">INDEX('Indices Mines Exporting Ports'!$W$20:$W$51,MATCH(2,1/(('Indices Mines Exporting Ports'!$D$20:$D$51&lt;=Main!$C76)*('Indices Mines Exporting Ports'!$Q$20:$Q$51=$AQ76))))</f>
        <v>0</v>
      </c>
      <c r="AIE76" s="75">
        <f t="array" ref="AIE76">INDEX('Indices Mines Exporting Ports'!$X$20:$X$51,MATCH(2,1/(('Indices Mines Exporting Ports'!$D$20:$D$51&lt;=Main!$C76)*('Indices Mines Exporting Ports'!$Q$20:$Q$51=$AQ76))))</f>
        <v>0</v>
      </c>
      <c r="AIG76" s="75">
        <f t="array" ref="AIG76">INDEX('Port Linkages'!$E$18:$E$157,MATCH(2,1/(('Port Linkages'!$C$18:$C$157=$AQ76)*('Port Linkages'!$D$18:$D$157=IF($AO76="no",$AQ76,$KK76))*('Port Linkages'!$A$18:$A$157&lt;=$C76))))</f>
        <v>0</v>
      </c>
      <c r="AIH76" s="75">
        <f t="array" ref="AIH76">INDEX('Port Linkages'!$F$18:$F$157,MATCH(2,1/(('Port Linkages'!$C$18:$C$157=$AQ76)*('Port Linkages'!$D$18:$D$157=IF($AO76="no",$AQ76,$KK76))*('Port Linkages'!$A$18:$A$157&lt;=$C76))))</f>
        <v>0</v>
      </c>
      <c r="AII76" s="75">
        <f t="array" ref="AII76">INDEX('Port Linkages'!$G$18:$G$157,MATCH(2,1/(('Port Linkages'!$C$18:$C$157=$AQ76)*('Port Linkages'!$D$18:$D$157=IF($AO76="no",$AQ76,$KK76))*('Port Linkages'!$A$18:$A$157&lt;=$C76))))</f>
        <v>0</v>
      </c>
      <c r="AIJ76" s="75">
        <f t="array" ref="AIJ76">INDEX('Port Linkages'!$H$18:$H$157,MATCH(2,1/(('Port Linkages'!$C$18:$C$157=$AQ76)*('Port Linkages'!$D$18:$D$157=IF($AO76="no",$AQ76,$KK76))*('Port Linkages'!$A$18:$A$157&lt;=$C76))))</f>
        <v>0</v>
      </c>
      <c r="AIK76" s="75">
        <f t="array" ref="AIK76">INDEX('Port Linkages'!$I$18:$I$157,MATCH(2,1/(('Port Linkages'!$C$18:$C$157=$AQ76)*('Port Linkages'!$D$18:$D$157=IF($AO76="no",$AQ76,$KK76))*('Port Linkages'!$A$18:$A$157&lt;=$C76))))</f>
        <v>0</v>
      </c>
      <c r="AIL76" s="75">
        <f t="array" ref="AIL76">INDEX('Port Linkages'!$J$18:$J$157,MATCH(2,1/(('Port Linkages'!$C$18:$C$157=$AQ76)*('Port Linkages'!$D$18:$D$157=IF($AO76="no",$AQ76,$KK76))*('Port Linkages'!$A$18:$A$157&lt;=$C76))))</f>
        <v>0</v>
      </c>
      <c r="AIM76" s="75">
        <f t="array" ref="AIM76">INDEX('Port Linkages'!$K$18:$K$157,MATCH(2,1/(('Port Linkages'!$C$18:$C$157=$AQ76)*('Port Linkages'!$D$18:$D$157=IF($AO76="no",$AQ76,$KK76))*('Port Linkages'!$A$18:$A$157&lt;=$C76))))</f>
        <v>0</v>
      </c>
      <c r="AIN76" s="75">
        <f t="array" ref="AIN76">INDEX('Port Linkages'!$L$18:$L$157,MATCH(2,1/(('Port Linkages'!$C$18:$C$157=$AQ76)*('Port Linkages'!$D$18:$D$157=IF($AO76="no",$AQ76,$KK76))*('Port Linkages'!$A$18:$A$157&lt;=$C76))))</f>
        <v>0</v>
      </c>
      <c r="AIO76" s="75">
        <f t="array" ref="AIO76">INDEX('Port Linkages'!$M$18:$M$157,MATCH(2,1/(('Port Linkages'!$C$18:$C$157=$AQ76)*('Port Linkages'!$D$18:$D$157=IF($AO76="no",$AQ76,$KK76))*('Port Linkages'!$A$18:$A$157&lt;=$C76))))</f>
        <v>0</v>
      </c>
      <c r="AIP76" s="75">
        <f t="array" ref="AIP76">INDEX('Port Linkages'!$N$18:$N$157,MATCH(2,1/(('Port Linkages'!$C$18:$C$157=$AQ76)*('Port Linkages'!$D$18:$D$157=IF($AO76="no",$AQ76,$KK76))*('Port Linkages'!$A$18:$A$157&lt;=$C76))))</f>
        <v>0</v>
      </c>
      <c r="AIQ76" s="75">
        <f t="array" ref="AIQ76">INDEX('Port Linkages'!$O$18:$O$157,MATCH(2,1/(('Port Linkages'!$C$18:$C$157=$AQ76)*('Port Linkages'!$D$18:$D$157=IF($AO76="no",$AQ76,$KK76))*('Port Linkages'!$A$18:$A$157&lt;=$C76))))</f>
        <v>0</v>
      </c>
      <c r="AIR76" s="75">
        <f t="array" ref="AIR76">INDEX('Port Linkages'!$P$18:$P$157,MATCH(2,1/(('Port Linkages'!$C$18:$C$157=$AQ76)*('Port Linkages'!$D$18:$D$157=IF($AO76="no",$AQ76,$KK76))*('Port Linkages'!$A$18:$A$157&lt;=$C76))))</f>
        <v>0</v>
      </c>
      <c r="AIS76" s="75">
        <f t="array" ref="AIS76">INDEX('Port Linkages'!$Q$18:$Q$157,MATCH(2,1/(('Port Linkages'!$C$18:$C$157=$AQ76)*('Port Linkages'!$D$18:$D$157=IF($AO76="no",$AQ76,$KK76))*('Port Linkages'!$A$18:$A$157&lt;=$C76))))</f>
        <v>0</v>
      </c>
      <c r="AIT76" s="75">
        <f t="array" ref="AIT76">INDEX('Port Linkages'!$R$18:$R$157,MATCH(2,1/(('Port Linkages'!$C$18:$C$157=$AQ76)*('Port Linkages'!$D$18:$D$157=IF($AO76="no",$AQ76,$KK76))*('Port Linkages'!$A$18:$A$157&lt;=$C76))))</f>
        <v>0</v>
      </c>
      <c r="AIU76" s="75">
        <f t="array" ref="AIU76">INDEX('Port Linkages'!$S$18:$S$157,MATCH(2,1/(('Port Linkages'!$C$18:$C$157=$AQ76)*('Port Linkages'!$D$18:$D$157=IF($AO76="no",$AQ76,$KK76))*('Port Linkages'!$A$18:$A$157&lt;=$C76))))</f>
        <v>0</v>
      </c>
      <c r="AIV76" s="75">
        <f t="array" ref="AIV76">INDEX('Port Linkages'!$T$18:$T$157,MATCH(2,1/(('Port Linkages'!$C$18:$C$157=$AQ76)*('Port Linkages'!$D$18:$D$157=IF($AO76="no",$AQ76,$KK76))*('Port Linkages'!$A$18:$A$157&lt;=$C76))))</f>
        <v>0</v>
      </c>
      <c r="AIW76" s="75">
        <f t="array" ref="AIW76">INDEX('Port Linkages'!$U$18:$U$157,MATCH(2,1/(('Port Linkages'!$C$18:$C$157=$AQ76)*('Port Linkages'!$D$18:$D$157=IF($AO76="no",$AQ76,$KK76))*('Port Linkages'!$A$18:$A$157&lt;=$C76))))</f>
        <v>0</v>
      </c>
      <c r="AIX76" s="75">
        <f t="array" ref="AIX76">INDEX('Port Linkages'!$V$18:$V$157,MATCH(2,1/(('Port Linkages'!$C$18:$C$157=$AQ76)*('Port Linkages'!$D$18:$D$157=IF($AO76="no",$AQ76,$KK76))*('Port Linkages'!$A$18:$A$157&lt;=$C76))))</f>
        <v>0</v>
      </c>
      <c r="AIY76" s="75">
        <f t="array" ref="AIY76">INDEX('Port Linkages'!$W$18:$W$157,MATCH(2,1/(('Port Linkages'!$C$18:$C$157=$AQ76)*('Port Linkages'!$D$18:$D$157=IF($AO76="no",$AQ76,$KK76))*('Port Linkages'!$A$18:$A$157&lt;=$C76))))</f>
        <v>0</v>
      </c>
      <c r="AIZ76" s="75">
        <f t="array" ref="AIZ76">INDEX('Port Linkages'!$X$18:$X$157,MATCH(2,1/(('Port Linkages'!$C$18:$C$157=$AQ76)*('Port Linkages'!$D$18:$D$157=IF($AO76="no",$AQ76,$KK76))*('Port Linkages'!$A$18:$A$157&lt;=$C76))))</f>
        <v>0</v>
      </c>
      <c r="AJA76" s="75">
        <f t="array" ref="AJA76">INDEX('Port Linkages'!$Y$18:$Y$157,MATCH(2,1/(('Port Linkages'!$C$18:$C$157=$AQ76)*('Port Linkages'!$D$18:$D$157=IF($AO76="no",$AQ76,$KK76))*('Port Linkages'!$A$18:$A$157&lt;=$C76))))</f>
        <v>0</v>
      </c>
      <c r="AJB76" s="75">
        <f t="array" ref="AJB76">INDEX('Port Linkages'!$Z$18:$Z$157,MATCH(2,1/(('Port Linkages'!$C$18:$C$157=$AQ76)*('Port Linkages'!$D$18:$D$157=IF($AO76="no",$AQ76,$KK76))*('Port Linkages'!$A$18:$A$157&lt;=$C76))))</f>
        <v>0</v>
      </c>
      <c r="AJC76" s="75">
        <f t="array" ref="AJC76">INDEX('Port Linkages'!$AA$18:$AA$157,MATCH(2,1/(('Port Linkages'!$C$18:$C$157=$AQ76)*('Port Linkages'!$D$18:$D$157=IF($AO76="no",$AQ76,$KK76))*('Port Linkages'!$A$18:$A$157&lt;=$C76))))</f>
        <v>0</v>
      </c>
      <c r="AJD76" s="75">
        <f t="array" ref="AJD76">INDEX('Port Linkages'!$AB$18:$AB$157,MATCH(2,1/(('Port Linkages'!$C$18:$C$157=$AQ76)*('Port Linkages'!$D$18:$D$157=IF($AO76="no",$AQ76,$KK76))*('Port Linkages'!$A$18:$A$157&lt;=$C76))))</f>
        <v>0</v>
      </c>
      <c r="AJE76" s="75">
        <f t="array" ref="AJE76">INDEX('Port Linkages'!$AC$18:$AC$157,MATCH(2,1/(('Port Linkages'!$C$18:$C$157=$AQ76)*('Port Linkages'!$D$18:$D$157=IF($AO76="no",$AQ76,$KK76))*('Port Linkages'!$A$18:$A$157&lt;=$C76))))</f>
        <v>0</v>
      </c>
      <c r="AJF76" s="75">
        <f t="array" ref="AJF76">INDEX('Port Linkages'!$AD$18:$AD$157,MATCH(2,1/(('Port Linkages'!$C$18:$C$157=$AQ76)*('Port Linkages'!$D$18:$D$157=IF($AO76="no",$AQ76,$KK76))*('Port Linkages'!$A$18:$A$157&lt;=$C76))))</f>
        <v>0</v>
      </c>
      <c r="AJG76" s="75">
        <f t="array" ref="AJG76">INDEX('Port Linkages'!$AE$18:$AE$157,MATCH(2,1/(('Port Linkages'!$C$18:$C$157=$AQ76)*('Port Linkages'!$D$18:$D$157=IF($AO76="no",$AQ76,$KK76))*('Port Linkages'!$A$18:$A$157&lt;=$C76))))</f>
        <v>0</v>
      </c>
      <c r="AJH76" s="75">
        <f t="array" ref="AJH76">INDEX('Port Linkages'!$AF$18:$AF$157,MATCH(2,1/(('Port Linkages'!$C$18:$C$157=$AQ76)*('Port Linkages'!$D$18:$D$157=IF($AO76="no",$AQ76,$KK76))*('Port Linkages'!$A$18:$A$157&lt;=$C76))))</f>
        <v>0</v>
      </c>
      <c r="AJI76" s="75">
        <f t="array" ref="AJI76">INDEX('Port Linkages'!$AG$18:$AG$157,MATCH(2,1/(('Port Linkages'!$C$18:$C$157=$AQ76)*('Port Linkages'!$D$18:$D$157=IF($AO76="no",$AQ76,$KK76))*('Port Linkages'!$A$18:$A$157&lt;=$C76))))</f>
        <v>0</v>
      </c>
      <c r="AJJ76" s="75">
        <f t="array" ref="AJJ76">INDEX('Port Linkages'!$AH$18:$AH$157,MATCH(2,1/(('Port Linkages'!$C$18:$C$157=$AQ76)*('Port Linkages'!$D$18:$D$157=IF($AO76="no",$AQ76,$KK76))*('Port Linkages'!$A$18:$A$157&lt;=$C76))))</f>
        <v>0</v>
      </c>
      <c r="AJK76" s="75">
        <f t="array" ref="AJK76">INDEX('Port Linkages'!$AI$18:$AI$157,MATCH(2,1/(('Port Linkages'!$C$18:$C$157=$AQ76)*('Port Linkages'!$D$18:$D$157=IF($AO76="no",$AQ76,$KK76))*('Port Linkages'!$A$18:$A$157&lt;=$C76))))</f>
        <v>0</v>
      </c>
      <c r="AJL76" s="75">
        <f t="array" ref="AJL76">INDEX('Port Linkages'!$AJ$18:$AJ$157,MATCH(2,1/(('Port Linkages'!$C$18:$C$157=$AQ76)*('Port Linkages'!$D$18:$D$157=IF($AO76="no",$AQ76,$KK76))*('Port Linkages'!$A$18:$A$157&lt;=$C76))))</f>
        <v>0</v>
      </c>
      <c r="AJM76" s="75">
        <f t="array" ref="AJM76">INDEX('Port Linkages'!$AK$18:$AK$157,MATCH(2,1/(('Port Linkages'!$C$18:$C$157=$AQ76)*('Port Linkages'!$D$18:$D$157=IF($AO76="no",$AQ76,$KK76))*('Port Linkages'!$A$18:$A$157&lt;=$C76))))</f>
        <v>0</v>
      </c>
      <c r="AJN76" s="75">
        <f t="array" ref="AJN76">INDEX('Port Linkages'!$AL$18:$AL$157,MATCH(2,1/(('Port Linkages'!$C$18:$C$157=$AQ76)*('Port Linkages'!$D$18:$D$157=IF($AO76="no",$AQ76,$KK76))*('Port Linkages'!$A$18:$A$157&lt;=$C76))))</f>
        <v>0</v>
      </c>
      <c r="AJO76" s="75">
        <f t="array" ref="AJO76">INDEX('Port Linkages'!$AM$18:$AM$157,MATCH(2,1/(('Port Linkages'!$C$18:$C$157=$AQ76)*('Port Linkages'!$D$18:$D$157=IF($AO76="no",$AQ76,$KK76))*('Port Linkages'!$A$18:$A$157&lt;=$C76))))</f>
        <v>0</v>
      </c>
      <c r="AJP76" s="75">
        <f t="array" ref="AJP76">INDEX('Port Linkages'!$AN$18:$AN$157,MATCH(2,1/(('Port Linkages'!$C$18:$C$157=$AQ76)*('Port Linkages'!$D$18:$D$157=IF($AO76="no",$AQ76,$KK76))*('Port Linkages'!$A$18:$A$157&lt;=$C76))))</f>
        <v>0</v>
      </c>
      <c r="AJQ76" s="75">
        <f t="array" ref="AJQ76">INDEX('Port Linkages'!$AO$18:$AO$157,MATCH(2,1/(('Port Linkages'!$C$18:$C$157=$AQ76)*('Port Linkages'!$D$18:$D$157=IF($AO76="no",$AQ76,$KK76))*('Port Linkages'!$A$18:$A$157&lt;=$C76))))</f>
        <v>0</v>
      </c>
      <c r="AJR76" s="75">
        <f t="array" ref="AJR76">INDEX('Port Linkages'!$AP$18:$AP$157,MATCH(2,1/(('Port Linkages'!$C$18:$C$157=$AQ76)*('Port Linkages'!$D$18:$D$157=IF($AO76="no",$AQ76,$KK76))*('Port Linkages'!$A$18:$A$157&lt;=$C76))))</f>
        <v>0</v>
      </c>
      <c r="AJS76" s="75">
        <f t="array" ref="AJS76">INDEX('Port Linkages'!$AQ$18:$AQ$157,MATCH(2,1/(('Port Linkages'!$C$18:$C$157=$AQ76)*('Port Linkages'!$D$18:$D$157=IF($AO76="no",$AQ76,$KK76))*('Port Linkages'!$A$18:$A$157&lt;=$C76))))</f>
        <v>0</v>
      </c>
      <c r="AJT76" s="75">
        <f t="array" ref="AJT76">INDEX('Port Linkages'!$AR$18:$AR$157,MATCH(2,1/(('Port Linkages'!$C$18:$C$157=$AQ76)*('Port Linkages'!$D$18:$D$157=IF($AO76="no",$AQ76,$KK76))*('Port Linkages'!$A$18:$A$157&lt;=$C76))))</f>
        <v>0</v>
      </c>
      <c r="AJU76" s="75">
        <f t="array" ref="AJU76">INDEX('Port Linkages'!$AS$18:$AS$157,MATCH(2,1/(('Port Linkages'!$C$18:$C$157=$AQ76)*('Port Linkages'!$D$18:$D$157=IF($AO76="no",$AQ76,$KK76))*('Port Linkages'!$A$18:$A$157&lt;=$C76))))</f>
        <v>0</v>
      </c>
      <c r="AJV76" s="75">
        <f t="array" ref="AJV76">INDEX('Port Linkages'!$AT$18:$AT$157,MATCH(2,1/(('Port Linkages'!$C$18:$C$157=$AQ76)*('Port Linkages'!$D$18:$D$157=IF($AO76="no",$AQ76,$KK76))*('Port Linkages'!$A$18:$A$157&lt;=$C76))))</f>
        <v>0</v>
      </c>
      <c r="AJW76" s="75">
        <f t="array" ref="AJW76">INDEX('Port Linkages'!$AU$18:$AU$157,MATCH(2,1/(('Port Linkages'!$C$18:$C$157=$AQ76)*('Port Linkages'!$D$18:$D$157=IF($AO76="no",$AQ76,$KK76))*('Port Linkages'!$A$18:$A$157&lt;=$C76))))</f>
        <v>0</v>
      </c>
      <c r="AJX76" s="75">
        <f t="array" ref="AJX76">INDEX('Port Linkages'!$AV$18:$AV$157,MATCH(2,1/(('Port Linkages'!$C$18:$C$157=$AQ76)*('Port Linkages'!$D$18:$D$157=IF($AO76="no",$AQ76,$KK76))*('Port Linkages'!$A$18:$A$157&lt;=$C76))))</f>
        <v>0</v>
      </c>
      <c r="AJY76" s="75">
        <f t="array" ref="AJY76">INDEX('Port Linkages'!$AW$18:$AW$157,MATCH(2,1/(('Port Linkages'!$C$18:$C$157=$AQ76)*('Port Linkages'!$D$18:$D$157=IF($AO76="no",$AQ76,$KK76))*('Port Linkages'!$A$18:$A$157&lt;=$C76))))</f>
        <v>0</v>
      </c>
      <c r="AJZ76" s="75">
        <f t="array" ref="AJZ76">INDEX('Port Linkages'!$AX$18:$AX$157,MATCH(2,1/(('Port Linkages'!$C$18:$C$157=$AQ76)*('Port Linkages'!$D$18:$D$157=IF($AO76="no",$AQ76,$KK76))*('Port Linkages'!$A$18:$A$157&lt;=$C76))))</f>
        <v>0</v>
      </c>
      <c r="AKA76" s="75">
        <f t="array" ref="AKA76">INDEX('Port Linkages'!$AY$18:$AY$157,MATCH(2,1/(('Port Linkages'!$C$18:$C$157=$AQ76)*('Port Linkages'!$D$18:$D$157=IF($AO76="no",$AQ76,$KK76))*('Port Linkages'!$A$18:$A$157&lt;=$C76))))</f>
        <v>0</v>
      </c>
      <c r="AKB76" s="75">
        <f t="array" ref="AKB76">INDEX('Port Linkages'!$AZ$18:$AZ$157,MATCH(2,1/(('Port Linkages'!$C$18:$C$157=$AQ76)*('Port Linkages'!$D$18:$D$157=IF($AO76="no",$AQ76,$KK76))*('Port Linkages'!$A$18:$A$157&lt;=$C76))))</f>
        <v>0</v>
      </c>
      <c r="AKC76" s="75">
        <f t="array" ref="AKC76">INDEX('Port Linkages'!$BA$18:$BA$157,MATCH(2,1/(('Port Linkages'!$C$18:$C$157=$AQ76)*('Port Linkages'!$D$18:$D$157=IF($AO76="no",$AQ76,$KK76))*('Port Linkages'!$A$18:$A$157&lt;=$C76))))</f>
        <v>0</v>
      </c>
      <c r="AKE76" s="25" t="e">
        <f t="array" aca="1" ref="AKE76" ca="1">INDEX('Ship Fuel Prices'!$F$5:$F$1004,MATCH(2,1/(('Ship Fuel Prices'!$E$5:$E$1004=_xlfn.IFS(AHT76="Handysize",Main!AJZ76,AHT76="Supramax",AJS76,AHT76="Panamax",AJL76,AHT76="NeoPanamax",AJE76,AHT76="Suezmax",AIX76,AHT76="Capesize",AIQ76,AHT76="VLOC",AIJ76))*('Ship Fuel Prices'!$D$5:$D$1004&lt;=Main!$C76))))</f>
        <v>#N/A</v>
      </c>
      <c r="AKF76" s="25" t="e">
        <f t="array" aca="1" ref="AKF76" ca="1">INDEX('Ship Fuel Prices'!$G$5:$G$1004,MATCH(2,1/(('Ship Fuel Prices'!$E$5:$E$1004=_xlfn.IFS(AHT76="Handysize",Main!AJZ76,AHT76="Supramax",AJS76,AHT76="Panamax",AJL76,AHT76="NeoPanamax",AJE76,AHT76="Suezmax",AIX76,AHT76="Capesize",AIQ76,AHT76="VLOC",AIJ76))*('Ship Fuel Prices'!$D$5:$D$1004&lt;=Main!$C76))))</f>
        <v>#N/A</v>
      </c>
      <c r="AKG76" s="25" t="e">
        <f t="array" aca="1" ref="AKG76" ca="1">INDEX('Ship Fuel Prices'!$H$5:$H$1004,MATCH(2,1/(('Ship Fuel Prices'!$E$5:$E$1004=_xlfn.IFS(AHT76="Handysize",Main!AJZ76,AHT76="Supramax",AJS76,AHT76="Panamax",AJL76,AHT76="NeoPanamax",AJE76,AHT76="Suezmax",AIX76,AHT76="Capesize",AIQ76,AHT76="VLOC",AIJ76))*('Ship Fuel Prices'!$D$5:$D$1004&lt;=Main!$C76))))</f>
        <v>#N/A</v>
      </c>
      <c r="AKH76" s="25" t="e">
        <f t="array" aca="1" ref="AKH76" ca="1">INDEX('Ship Fuel Prices'!$I$5:$I$1004,MATCH(2,1/(('Ship Fuel Prices'!$E$5:$E$1004=_xlfn.IFS(AHT76="Handysize",Main!AJZ76,AHT76="Supramax",AJS76,AHT76="Panamax",AJL76,AHT76="NeoPanamax",AJE76,AHT76="Suezmax",AIX76,AHT76="Capesize",AIQ76,AHT76="VLOC",AIJ76))*('Ship Fuel Prices'!$D$5:$D$1004&lt;=Main!$C76))))</f>
        <v>#N/A</v>
      </c>
      <c r="AKI76" s="25" t="e">
        <f t="array" aca="1" ref="AKI76" ca="1">INDEX('Ship Fuel Prices'!$J$5:$J$1004,MATCH(2,1/(('Ship Fuel Prices'!$E$5:$E$1004=_xlfn.IFS(AHT76="Handysize",Main!AJZ76,AHT76="Supramax",AJS76,AHT76="Panamax",AJL76,AHT76="NeoPanamax",AJE76,AHT76="Suezmax",AIX76,AHT76="Capesize",AIQ76,AHT76="VLOC",AIJ76))*('Ship Fuel Prices'!$D$5:$D$1004&lt;=Main!$C76))))</f>
        <v>#N/A</v>
      </c>
      <c r="AKK76" s="75">
        <f t="array" ref="AKK76">INDEX('China n Importing Ports'!$E$20:$E$41,MATCH(2,1/(('China n Importing Ports'!$D$20:$D$41&lt;=$C76)*('China n Importing Ports'!$C$20:$C$41=IF($AO76="No",$AQ76,$KK76)))))</f>
        <v>0</v>
      </c>
      <c r="AKL76" s="75">
        <f t="array" ref="AKL76">INDEX('China n Importing Ports'!$F$20:$F$41,MATCH(2,1/(('China n Importing Ports'!$D$20:$D$41&lt;=$C76)*('China n Importing Ports'!$C$20:$C$41=IF($AO76="No",$AQ76,$KK76)))))</f>
        <v>0</v>
      </c>
      <c r="AKM76" s="75">
        <f t="array" ref="AKM76">INDEX('China n Importing Ports'!$G$20:$G$41,MATCH(2,1/(('China n Importing Ports'!$D$20:$D$41&lt;=$C76)*('China n Importing Ports'!$C$20:$C$41=IF($AO76="No",$AQ76,$KK76)))))</f>
        <v>0</v>
      </c>
      <c r="AKN76" s="75">
        <f t="array" ref="AKN76">INDEX('China n Importing Ports'!$H$20:$H$41,MATCH(2,1/(('China n Importing Ports'!$D$20:$D$41&lt;=$C76)*('China n Importing Ports'!$C$20:$C$41=IF($AO76="No",$AQ76,$KK76)))))</f>
        <v>0</v>
      </c>
      <c r="AKO76" s="75">
        <f t="array" ref="AKO76">INDEX('China n Importing Ports'!$I$20:$I$41,MATCH(2,1/(('China n Importing Ports'!$D$20:$D$41&lt;=$C76)*('China n Importing Ports'!$C$20:$C$41=IF($AO76="No",$AQ76,$KK76)))))</f>
        <v>0</v>
      </c>
      <c r="AKP76" s="75">
        <f t="array" ref="AKP76">INDEX('China n Importing Ports'!$J$20:$J$41,MATCH(2,1/(('China n Importing Ports'!$D$20:$D$41&lt;=$C76)*('China n Importing Ports'!$C$20:$C$41=IF($AO76="No",$AQ76,$KK76)))))</f>
        <v>0</v>
      </c>
      <c r="AKQ76" s="75">
        <f t="array" ref="AKQ76">INDEX('China n Importing Ports'!$K$20:$K$41,MATCH(2,1/(('China n Importing Ports'!$D$20:$D$41&lt;=$C76)*('China n Importing Ports'!$C$20:$C$41=IF($AO76="No",$AQ76,$KK76)))))</f>
        <v>0</v>
      </c>
      <c r="AKR76" s="75">
        <f t="array" ref="AKR76">INDEX('China n Importing Ports'!$L$20:$L$41,MATCH(2,1/(('China n Importing Ports'!$D$20:$D$41&lt;=$C76)*('China n Importing Ports'!$C$20:$C$41=IF($AO76="No",$AQ76,$KK76)))))</f>
        <v>0</v>
      </c>
      <c r="AKS76" s="75">
        <f t="array" ref="AKS76">INDEX('China n Importing Ports'!$M$20:$M$41,MATCH(2,1/(('China n Importing Ports'!$D$20:$D$41&lt;=$C76)*('China n Importing Ports'!$C$20:$C$41=IF($AO76="No",$AQ76,$KK76)))))</f>
        <v>0</v>
      </c>
      <c r="AKT76" s="75">
        <f t="array" ref="AKT76">INDEX('China n Importing Ports'!$N$20:$N$41,MATCH(2,1/(('China n Importing Ports'!$D$20:$D$41&lt;=$C76)*('China n Importing Ports'!$C$20:$C$41=IF($AO76="No",$AQ76,$KK76)))))</f>
        <v>0</v>
      </c>
      <c r="AKU76" s="75">
        <f t="array" ref="AKU76">INDEX('China n Importing Ports'!$O$20:$O$41,MATCH(2,1/(('China n Importing Ports'!$D$20:$D$41&lt;=$C76)*('China n Importing Ports'!$C$20:$C$41=IF($AO76="No",$AQ76,$KK76)))))</f>
        <v>0</v>
      </c>
      <c r="AKV76" s="136">
        <f t="array" ref="AKV76">INDEX('China n Importing Ports'!$P$20:$P$41,MATCH(2,1/(('China n Importing Ports'!$D$20:$D$41&lt;=$C76)*('China n Importing Ports'!$C$20:$C$41=IF($AO76="No",$AQ76,$KK76)))))</f>
        <v>0</v>
      </c>
      <c r="AKW76" s="136">
        <f t="array" ref="AKW76">INDEX('China n Importing Ports'!$Q$20:$Q$41,MATCH(2,1/(('China n Importing Ports'!$D$20:$D$41&lt;=$C76)*('China n Importing Ports'!$C$20:$C$41=IF($AO76="No",$AQ76,$KK76)))))</f>
        <v>0</v>
      </c>
      <c r="AKX76" s="136">
        <f t="array" ref="AKX76">INDEX('China n Importing Ports'!$R$20:$R$41,MATCH(2,1/(('China n Importing Ports'!$D$20:$D$41&lt;=$C76)*('China n Importing Ports'!$C$20:$C$41=IF($AO76="No",$AQ76,$KK76)))))</f>
        <v>0</v>
      </c>
      <c r="AKY76" s="136">
        <f t="array" ref="AKY76">INDEX('China n Importing Ports'!$S$20:$S$41,MATCH(2,1/(('China n Importing Ports'!$D$20:$D$41&lt;=$C76)*('China n Importing Ports'!$C$20:$C$41=IF($AO76="No",$AQ76,$KK76)))))</f>
        <v>0</v>
      </c>
      <c r="AKZ76" s="136">
        <f t="array" ref="AKZ76">INDEX('China n Importing Ports'!$T$20:$T$41,MATCH(2,1/(('China n Importing Ports'!$D$20:$D$41&lt;=$C76)*('China n Importing Ports'!$C$20:$C$41=IF($AO76="No",$AQ76,$KK76)))))</f>
        <v>0</v>
      </c>
      <c r="ALA76" s="136">
        <f t="array" ref="ALA76">INDEX('China n Importing Ports'!$U$20:$U$41,MATCH(2,1/(('China n Importing Ports'!$D$20:$D$41&lt;=$C76)*('China n Importing Ports'!$C$20:$C$41=IF($AO76="No",$AQ76,$KK76)))))</f>
        <v>0</v>
      </c>
      <c r="ALB76" s="136">
        <f t="array" ref="ALB76">INDEX('China n Importing Ports'!$V$20:$V$41,MATCH(2,1/(('China n Importing Ports'!$D$20:$D$41&lt;=$C76)*('China n Importing Ports'!$C$20:$C$41=IF($AO76="No",$AQ76,$KK76)))))</f>
        <v>0</v>
      </c>
      <c r="ALC76" s="136">
        <f t="array" ref="ALC76">INDEX('China n Importing Ports'!$W$20:$W$41,MATCH(2,1/(('China n Importing Ports'!$D$20:$D$41&lt;=$C76)*('China n Importing Ports'!$C$20:$C$41=IF($AO76="No",$AQ76,$KK76)))))</f>
        <v>0</v>
      </c>
      <c r="ALD76" s="136">
        <f t="array" ref="ALD76">INDEX('China n Importing Ports'!$X$20:$X$41,MATCH(2,1/(('China n Importing Ports'!$D$20:$D$41&lt;=$C76)*('China n Importing Ports'!$C$20:$C$41=IF($AO76="No",$AQ76,$KK76)))))</f>
        <v>0</v>
      </c>
      <c r="ALE76" s="136">
        <f t="array" ref="ALE76">INDEX('China n Importing Ports'!$Y$20:$Y$41,MATCH(2,1/(('China n Importing Ports'!$D$20:$D$41&lt;=$C76)*('China n Importing Ports'!$C$20:$C$41=IF($AO76="No",$AQ76,$KK76)))))</f>
        <v>0</v>
      </c>
      <c r="ALF76" s="136">
        <f t="array" ref="ALF76">INDEX('China n Importing Ports'!$Z$20:$Z$41,MATCH(2,1/(('China n Importing Ports'!$D$20:$D$41&lt;=$C76)*('China n Importing Ports'!$C$20:$C$41=IF($AO76="No",$AQ76,$KK76)))))</f>
        <v>0</v>
      </c>
      <c r="ALG76" s="136">
        <f t="array" ref="ALG76">INDEX('China n Importing Ports'!$AA$20:$AA$41,MATCH(2,1/(('China n Importing Ports'!$D$20:$D$41&lt;=$C76)*('China n Importing Ports'!$C$20:$C$41=IF($AO76="No",$AQ76,$KK76)))))</f>
        <v>0</v>
      </c>
      <c r="ALI76" s="75" t="e">
        <f t="array" aca="1" ref="ALI76" ca="1">INDEX(Canals!$G$24:$G$29,MATCH(2,1/((Canals!$F$24:$F$29&lt;=$C76)*(Canals!$G$24:$G$29=_xlfn.IFS(AHT76="Handysize",AKC76,AHT76="Supramax",AJV76,AHT76="Panamax",AJO76,AHT76="NeoPanamax",AJH76,AHT76="Suezmax",AJA76,AHT76="Capesize",AIT76,AHT76="VLOC",AIM76)))))</f>
        <v>#N/A</v>
      </c>
      <c r="ALJ76" s="75" t="e">
        <f t="array" aca="1" ref="ALJ76" ca="1">INDEX(Canals!$H$24:$H$29,MATCH(2,1/((Canals!$F$24:$F$29&lt;=$C76)*(Canals!$G$24:$G$29=_xlfn.IFS(AHT76="Handysize",AKC76,AHT76="Supramax",AJV76,AHT76="Panamax",AJO76,AHT76="NeoPanamax",AJH76,AHT76="Suezmax",AJA76,AHT76="Capesize",AIT76,AHT76="VLOC",AIM76)))))</f>
        <v>#N/A</v>
      </c>
      <c r="ALK76" s="75" t="e">
        <f t="array" aca="1" ref="ALK76" ca="1">INDEX(Canals!$I$24:$I$29,MATCH(2,1/((Canals!$F$24:$F$29&lt;=$C76)*(Canals!$G$24:$G$29=_xlfn.IFS(AHT76="Handysize",AKC76,AHT76="Supramax",AJV76,AHT76="Panamax",AJO76,AHT76="NeoPanamax",AJH76,AHT76="Suezmax",AJA76,AHT76="Capesize",AIT76,AHT76="VLOC",AIM76)))))</f>
        <v>#N/A</v>
      </c>
      <c r="ALL76" s="75" t="e">
        <f t="array" aca="1" ref="ALL76" ca="1">INDEX(Canals!$J$24:$J$29,MATCH(2,1/((Canals!$F$24:$F$29&lt;=$C76)*(Canals!$G$24:$G$29=_xlfn.IFS(AHT76="Handysize",Main!AKC76,AHT76="Supramax",AJV76,AHT76="Panamax",AJO76,AHT76="NeoPanamax",AJH76,AHT76="Suezmax",AJA76,AHT76="Capesize",AIT76,AHT76="VLOC",AIM76)))))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M76" s="75" t="e">
        <f t="array" aca="1" ref="ALM76" ca="1">INDEX(Canals!$K$24:$K$29,MATCH(2,1/((Canals!$F$24:$F$29&lt;=$C76)*(Canals!$G$24:$G$29=_xlfn.IFS(AHT76="Handysize",Main!AKC76,AHT76="Supramax",AJV76,AHT76="Panamax",AJO76,AHT76="NeoPanamax",AJH76,AHT76="Suezmax",AJA76,AHT76="Capesize",AIT76,AHT76="VLOC",AIM76)))))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N76" s="75" t="e">
        <f t="array" aca="1" ref="ALN76" ca="1">INDEX(Canals!$L$24:$L$29,MATCH(2,1/((Canals!$F$24:$F$29&lt;=$C76)*(Canals!$G$24:$G$29=_xlfn.IFS(AHT76="Handysize",Main!AKC76,AHT76="Supramax",AJV76,AHT76="Panamax",AJO76,AHT76="NeoPanamax",AJH76,AHT76="Suezmax",AJA76,AHT76="Capesize",AIT76,AHT76="VLOC",AIM76)))))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O76" s="75" t="e">
        <f t="array" aca="1" ref="ALO76" ca="1">INDEX(Canals!$M$24:$M$29,MATCH(2,1/((Canals!$F$24:$F$29&lt;=$C76)*(Canals!$G$24:$G$29=_xlfn.IFS(AHT76="Handysize",Main!AKC76,AHT76="Supramax",AJV76,AHT76="Panamax",AJO76,AHT76="NeoPanamax",AJH76,AHT76="Suezmax",AJA76,AHT76="Capesize",AIT76,AHT76="VLOC",AIM76)))))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P76" s="75" t="e">
        <f t="array" aca="1" ref="ALP76" ca="1">INDEX(Canals!$N$24:$N$29,MATCH(2,1/((Canals!$F$24:$F$29&lt;=$C76)*(Canals!$G$24:$G$29=_xlfn.IFS(AHT76="Handysize",Main!AKC76,AHT76="Supramax",AJV76,AHT76="Panamax",AJO76,AHT76="NeoPanamax",AJH76,AHT76="Suezmax",AJA76,AHT76="Capesize",AIT76,AHT76="VLOC",AIM76)))))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Q76" s="75" t="e">
        <f t="array" aca="1" ref="ALQ76" ca="1">INDEX(Canals!$O$24:$O$29,MATCH(2,1/((Canals!$F$24:$F$29&lt;=$C76)*(Canals!$G$24:$G$29=_xlfn.IFS(AHT76="Handysize",Main!AKC76,AHT76="Supramax",AJV76,AHT76="Panamax",AJO76,AHT76="NeoPanamax",AJH76,AHT76="Suezmax",AJA76,AHT76="Capesize",AIT76,AHT76="VLOC",AIM76)))))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R76" s="75" t="e">
        <f t="array" aca="1" ref="ALR76" ca="1">INDEX(Canals!$P$24:$P$29,MATCH(2,1/((Canals!$F$24:$F$29&lt;=$C76)*(Canals!$G$24:$G$29=_xlfn.IFS(AHT76="Handysize",Main!AKC76,AHT76="Supramax",AJV76,AHT76="Panamax",AJO76,AHT76="NeoPanamax",AJH76,AHT76="Suezmax",AJA76,AHT76="Capesize",AIT76,AHT76="VLOC",AIM76)))))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S76" s="75" t="e">
        <f t="array" aca="1" ref="ALS76" ca="1">INDEX(Canals!$Q$24:$Q$29,MATCH(2,1/((Canals!$F$24:$F$29&lt;=$C76)*(Canals!$G$24:$G$29=_xlfn.IFS(AHT76="Handysize",Main!AKC76,AHT76="Supramax",AJV76,AHT76="Panamax",AJO76,AHT76="NeoPanamax",AJH76,AHT76="Suezmax",AJA76,AHT76="Capesize",AIT76,AHT76="VLOC",AIM76)))))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T76" s="75" t="e">
        <f t="array" aca="1" ref="ALT76" ca="1">INDEX(Canals!$R$24:$R$29,MATCH(2,1/((Canals!$F$24:$F$29&lt;=$C76)*(Canals!$G$24:$G$29=_xlfn.IFS(AHT76="Handysize",Main!AKC76,AHT76="Supramax",AJV76,AHT76="Panamax",AJO76,AHT76="NeoPanamax",AJH76,AHT76="Suezmax",AJA76,AHT76="Capesize",AIT76,AHT76="VLOC",AIM76)))))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U76" s="136" t="e">
        <f t="array" aca="1" ref="ALU76" ca="1">INDEX(Canals!$S$24:$S$29,MATCH(2,1/((Canals!$F$24:$F$29&lt;=$C76)*(Canals!$G$24:$G$29=_xlfn.IFS(AHT76="Handysize",Main!AKC76,AHT76="Supramax",AJV76,AHT76="Panamax",AJO76,AHT76="NeoPanamax",AJH76,AHT76="Suezmax",AJA76,AHT76="Capesize",AIT76,AHT76="VLOC",AIM76)))))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V76" s="136" t="e">
        <f t="array" aca="1" ref="ALV76" ca="1">INDEX(Canals!$T$24:$T$29,MATCH(2,1/((Canals!$F$24:$F$29&lt;=$C76)*(Canals!$G$24:$G$29=_xlfn.IFS(AHT76="Handysize",Main!AKC76,AHT76="Supramax",AJV76,AHT76="Panamax",AJO76,AHT76="NeoPanamax",AJH76,AHT76="Suezmax",AJA76,AHT76="Capesize",AIT76,AHT76="VLOC",AIM76)))))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W76" s="136" t="e">
        <f t="array" aca="1" ref="ALW76" ca="1">INDEX(Canals!$U$24:$U$29,MATCH(2,1/((Canals!$F$24:$F$29&lt;=$C76)*(Canals!$G$24:$G$29=_xlfn.IFS(AHT76="Handysize",Main!AKC76,AHT76="Supramax",AJV76,AHT76="Panamax",AJO76,AHT76="NeoPanamax",AJH76,AHT76="Suezmax",AJA76,AHT76="Capesize",AIT76,AHT76="VLOC",AIM76)))))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X76" s="136" t="e">
        <f t="array" aca="1" ref="ALX76" ca="1">INDEX(Canals!$V$24:$V$29,MATCH(2,1/((Canals!$F$24:$F$29&lt;=$C76)*(Canals!$G$24:$G$29=_xlfn.IFS(AHT76="Handysize",Main!AKC76,AHT76="Supramax",AJV76,AHT76="Panamax",AJO76,AHT76="NeoPanamax",AJH76,AHT76="Suezmax",AJA76,AHT76="Capesize",AIT76,AHT76="VLOC",AIM76)))))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Y76" s="136" t="e">
        <f t="array" aca="1" ref="ALY76" ca="1">INDEX(Canals!$W$24:$W$29,MATCH(2,1/((Canals!$F$24:$F$29&lt;=$C76)*(Canals!$G$24:$G$29=_xlfn.IFS(AHT76="Handysize",Main!AKC76,AHT76="Supramax",AJV76,AHT76="Panamax",AJO76,AHT76="NeoPanamax",AJH76,AHT76="Suezmax",AJA76,AHT76="Capesize",AIT76,AHT76="VLOC",AIM76)))))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LZ76" s="136" t="e">
        <f t="array" aca="1" ref="ALZ76" ca="1">INDEX(Canals!$X$24:$X$29,MATCH(2,1/((Canals!$F$24:$F$29&lt;=$C76)*(Canals!$G$24:$G$29=_xlfn.IFS(AHT76="Handysize",Main!AKC76,AHT76="Supramax",AJV76,AHT76="Panamax",AJO76,AHT76="NeoPanamax",AJH76,AHT76="Suezmax",AJA76,AHT76="Capesize",AIT76,AHT76="VLOC",AIM76)))))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A76" s="136" t="e">
        <f t="array" aca="1" ref="AMA76" ca="1">INDEX(Canals!$Y$24:$Y$29,MATCH(2,1/((Canals!$F$24:$F$29&lt;=$C76)*(Canals!$G$24:$G$29=_xlfn.IFS(AHT76="Handysize",Main!AKC76,AHT76="Supramax",AJV76,AHT76="Panamax",AJO76,AHT76="NeoPanamax",AJH76,AHT76="Suezmax",AJA76,AHT76="Capesize",AIT76,AHT76="VLOC",AIM76)))))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B76" s="136" t="e">
        <f t="array" aca="1" ref="AMB76" ca="1">INDEX(Canals!$Z$24:$Z$29,MATCH(2,1/((Canals!$F$24:$F$29&lt;=$C76)*(Canals!$G$24:$G$29=_xlfn.IFS(AHT76="Handysize",Main!AKC76,AHT76="Supramax",AJV76,AHT76="Panamax",AJO76,AHT76="NeoPanamax",AJH76,AHT76="Suezmax",AJA76,AHT76="Capesize",AIT76,AHT76="VLOC",AIM76)))))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C76" s="136" t="e">
        <f t="array" aca="1" ref="AMC76" ca="1">INDEX(Canals!$AA$24:$AA$29,MATCH(2,1/((Canals!$F$24:$F$29&lt;=$C76)*(Canals!$G$24:$G$29=_xlfn.IFS(AHT76="Handysize",Main!AKC76,AHT76="Supramax",AJV76,AHT76="Panamax",AJO76,AHT76="NeoPanamax",AJH76,AHT76="Suezmax",AJA76,AHT76="Capesize",AIT76,AHT76="VLOC",AIM76)))))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D76" s="136" t="e">
        <f t="array" aca="1" ref="AMD76" ca="1">INDEX(Canals!$AB$24:$AB$29,MATCH(2,1/((Canals!$F$24:$F$29&lt;=$C76)*(Canals!$G$24:$G$29=_xlfn.IFS(AHT76="Handysize",Main!AKC76,AHT76="Supramax",AJV76,AHT76="Panamax",AJO76,AHT76="NeoPanamax",AJH76,AHT76="Suezmax",AJA76,AHT76="Capesize",AIT76,AHT76="VLOC",AIM76)))))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E76" s="75" t="e">
        <f t="array" aca="1" ref="AME76" ca="1">INDEX(Canals!$AC$24:$AC$29,MATCH(2,1/((Canals!$F$24:$F$29&lt;=$C76)*(Canals!$G$24:$G$29=_xlfn.IFS(AHT76="Handysize",Main!AKC76,AHT76="Supramax",AJV76,AHT76="Panamax",AJO76,AHT76="NeoPanamax",AJH76,AHT76="Suezmax",AJA76,AHT76="Capesize",AIT76,AHT76="VLOC",AIM76)))))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F76" s="75" t="e">
        <f t="array" aca="1" ref="AMF76" ca="1">INDEX(Canals!$AD$24:$AD$29,MATCH(2,1/((Canals!$F$24:$F$29&lt;=$C76)*(Canals!$G$24:$G$29=_xlfn.IFS(AHT76="Handysize",Main!AKC76,AHT76="Supramax",AJV76,AHT76="Panamax",AJO76,AHT76="NeoPanamax",AJH76,AHT76="Suezmax",AJA76,AHT76="Capesize",AIT76,AHT76="VLOC",AIM76)))))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G76" s="75" t="e">
        <f t="array" aca="1" ref="AMG76" ca="1">INDEX(Canals!$AE$24:$AE$29,MATCH(2,1/((Canals!$F$24:$F$29&lt;=$C76)*(Canals!$G$24:$G$29=_xlfn.IFS(AHT76="Handysize",Main!AKC76,AHT76="Supramax",AJV76,AHT76="Panamax",AJO76,AHT76="NeoPanamax",AJH76,AHT76="Suezmax",AJA76,AHT76="Capesize",AIT76,AHT76="VLOC",AIM76)))))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H76" s="75" t="e">
        <f t="array" aca="1" ref="AMH76" ca="1">INDEX(Canals!$AF$24:$AF$29,MATCH(2,1/((Canals!$F$24:$F$29&lt;=$C76)*(Canals!$G$24:$G$29=_xlfn.IFS(AHT76="Handysize",Main!AKC76,AHT76="Supramax",AJV76,AHT76="Panamax",AJO76,AHT76="NeoPanamax",AJH76,AHT76="Suezmax",AJA76,AHT76="Capesize",AIT76,AHT76="VLOC",AIM76)))))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I76" s="75" t="e">
        <f t="array" aca="1" ref="AMI76" ca="1">INDEX(Canals!$AG$24:$AG$29,MATCH(2,1/((Canals!$F$24:$F$29&lt;=$C76)*(Canals!$G$24:$G$29=_xlfn.IFS(AHT76="Handysize",Main!AKC76,AHT76="Supramax",AJV76,AHT76="Panamax",AJO76,AHT76="NeoPanamax",AJH76,AHT76="Suezmax",AJA76,AHT76="Capesize",AIT76,AHT76="VLOC",AIM76)))))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J76" s="75" t="e">
        <f t="array" aca="1" ref="AMJ76" ca="1">INDEX(Canals!$AH$24:$AH$29,MATCH(2,1/((Canals!$F$24:$F$29&lt;=$C76)*(Canals!$G$24:$G$29=_xlfn.IFS(AHT76="Handysize",Main!AKC76,AHT76="Supramax",AJV76,AHT76="Panamax",AJO76,AHT76="NeoPanamax",AJH76,AHT76="Suezmax",AJA76,AHT76="Capesize",AIT76,AHT76="VLOC",AIM76)))))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K76" s="75" t="e">
        <f t="array" aca="1" ref="AMK76" ca="1">INDEX(Canals!$AI$24:$AI$29,MATCH(2,1/((Canals!$F$24:$F$29&lt;=$C76)*(Canals!$G$24:$G$29=_xlfn.IFS(AHT76="Handysize",Main!AKC76,AHT76="Supramax",AJV76,AHT76="Panamax",AJO76,AHT76="NeoPanamax",AJH76,AHT76="Suezmax",AJA76,AHT76="Capesize",AIT76,AHT76="VLOC",AIM76)))))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L76" s="75" t="e">
        <f t="array" aca="1" ref="AML76" ca="1">INDEX(Canals!$AJ$24:$AJ$29,MATCH(2,1/((Canals!$F$24:$F$29&lt;=$C76)*(Canals!$G$24:$G$29=_xlfn.IFS(AHT76="Handysize",Main!AKC76,AHT76="Supramax",AJV76,AHT76="Panamax",AJO76,AHT76="NeoPanamax",AJH76,AHT76="Suezmax",AJA76,AHT76="Capesize",AIT76,AHT76="VLOC",AIM76)))))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M76" s="75" t="e">
        <f t="array" aca="1" ref="AMM76" ca="1">INDEX(Canals!$AK$24:$AK$29,MATCH(2,1/((Canals!$F$24:$F$29&lt;=$C76)*(Canals!$G$24:$G$29=_xlfn.IFS(AHT76="Handysize",Main!AKC76,AHT76="Supramax",AJV76,AHT76="Panamax",AJO76,AHT76="NeoPanamax",AJH76,AHT76="Suezmax",AJA76,AHT76="Capesize",AIT76,AHT76="VLOC",AIM76)))))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N76" s="136" t="e">
        <f t="array" aca="1" ref="AMN76" ca="1">INDEX(Canals!$AL$24:$AL$29,MATCH(2,1/((Canals!$F$24:$F$29&lt;=$C76)*(Canals!$G$24:$G$29=_xlfn.IFS(AHT76="Handysize",Main!AKC76,AHT76="Supramax",AJV76,AHT76="Panamax",AJO76,AHT76="NeoPanamax",AJH76,AHT76="Suezmax",AJA76,AHT76="Capesize",AIT76,AHT76="VLOC",AIM76)))))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O76" s="136" t="e">
        <f t="array" aca="1" ref="AMO76" ca="1">INDEX(Canals!$AM$24:$AM$29,MATCH(2,1/((Canals!$F$24:$F$29&lt;=$C76)*(Canals!$G$24:$G$29=_xlfn.IFS(AHT76="Handysize",Main!AKC76,AHT76="Supramax",AJV76,AHT76="Panamax",AJO76,AHT76="NeoPanamax",AJH76,AHT76="Suezmax",AJA76,AHT76="Capesize",AIT76,AHT76="VLOC",AIM76)))))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P76" s="136" t="e">
        <f t="array" aca="1" ref="AMP76" ca="1">INDEX(Canals!$AN$24:$AN$29,MATCH(2,1/((Canals!$F$24:$F$29&lt;=$C76)*(Canals!$G$24:$G$29=_xlfn.IFS(AHT76="Handysize",Main!AKC76,AHT76="Supramax",AJV76,AHT76="Panamax",AJO76,AHT76="NeoPanamax",AJH76,AHT76="Suezmax",AJA76,AHT76="Capesize",AIT76,AHT76="VLOC",AIM76)))))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Q76" s="136" t="e">
        <f t="array" aca="1" ref="AMQ76" ca="1">INDEX(Canals!$AO$24:$AO$29,MATCH(2,1/((Canals!$F$24:$F$29&lt;=$C76)*(Canals!$G$24:$G$29=_xlfn.IFS(AHT76="Handysize",Main!AKC76,AHT76="Supramax",AJV76,AHT76="Panamax",AJO76,AHT76="NeoPanamax",AJH76,AHT76="Suezmax",AJA76,AHT76="Capesize",AIT76,AHT76="VLOC",AIM76)))))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R76" s="136" t="e">
        <f t="array" aca="1" ref="AMR76" ca="1">INDEX(Canals!$AP$24:$AP$29,MATCH(2,1/((Canals!$F$24:$F$29&lt;=$C76)*(Canals!$G$24:$G$29=_xlfn.IFS(AHT76="Handysize",Main!AKC76,AHT76="Supramax",AJV76,AHT76="Panamax",AJO76,AHT76="NeoPanamax",AJH76,AHT76="Suezmax",AJA76,AHT76="Capesize",AIT76,AHT76="VLOC",AIM76)))))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S76" s="136" t="e">
        <f t="array" aca="1" ref="AMS76" ca="1">INDEX(Canals!$AQ$24:$AQ$29,MATCH(2,1/((Canals!$F$24:$F$29&lt;=$C76)*(Canals!$G$24:$G$29=_xlfn.IFS(AHT76="Handysize",Main!AKC76,AHT76="Supramax",AJV76,AHT76="Panamax",AJO76,AHT76="NeoPanamax",AJH76,AHT76="Suezmax",AJA76,AHT76="Capesize",AIT76,AHT76="VLOC",AIM76)))))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T76" s="136" t="e">
        <f t="array" aca="1" ref="AMT76" ca="1">INDEX(Canals!$AR$24:$AR$29,MATCH(2,1/((Canals!$F$24:$F$29&lt;=$C76)*(Canals!$G$24:$G$29=_xlfn.IFS(AHT76="Handysize",Main!AKC76,AHT76="Supramax",AJV76,AHT76="Panamax",AJO76,AHT76="NeoPanamax",AJH76,AHT76="Suezmax",AJA76,AHT76="Capesize",AIT76,AHT76="VLOC",AIM76)))))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U76" s="136" t="e">
        <f t="array" aca="1" ref="AMU76" ca="1">INDEX(Canals!$AS$24:$AS$29,MATCH(2,1/((Canals!$F$24:$F$29&lt;=$C76)*(Canals!$G$24:$G$29=_xlfn.IFS(AHT76="Handysize",Main!AKC76,AHT76="Supramax",AJV76,AHT76="Panamax",AJO76,AHT76="NeoPanamax",AJH76,AHT76="Suezmax",AJA76,AHT76="Capesize",AIT76,AHT76="VLOC",AIM76)))))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V76" s="136" t="e">
        <f t="array" aca="1" ref="AMV76" ca="1">INDEX(Canals!$AT$24:$AT$29,MATCH(2,1/((Canals!$F$24:$F$29&lt;=$C76)*(Canals!$G$24:$G$29=_xlfn.IFS(AHT76="Handysize",Main!AKC76,AHT76="Supramax",AJV76,AHT76="Panamax",AJO76,AHT76="NeoPanamax",AJH76,AHT76="Suezmax",AJA76,AHT76="Capesize",AIT76,AHT76="VLOC",AIM76)))))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W76" s="136" t="e">
        <f t="array" aca="1" ref="AMW76" ca="1">INDEX(Canals!$AU$24:$AU$29,MATCH(2,1/((Canals!$F$24:$F$29&lt;=$C76)*(Canals!$G$24:$G$29=_xlfn.IFS(AHT76="Handysize",Main!AKC76,AHT76="Supramax",AJV76,AHT76="Panamax",AJO76,AHT76="NeoPanamax",AJH76,AHT76="Suezmax",AJA76,AHT76="Capesize",AIT76,AHT76="VLOC",AIM76)))))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X76" s="136" t="e">
        <f t="array" aca="1" ref="AMX76" ca="1">INDEX(Canals!$AV$24:$AV$29,MATCH(2,1/((Canals!$F$24:$F$29&lt;=$C76)*(Canals!$G$24:$G$29=_xlfn.IFS(AHT76="Handysize",Main!AKC76,AHT76="Supramax",AJV76,AHT76="Panamax",AJO76,AHT76="NeoPanamax",AJH76,AHT76="Suezmax",AJA76,AHT76="Capesize",AIT76,AHT76="VLOC",AIM76)))))</f>
        <v>#N/A</v>
      </c>
      <c r="AMZ76" s="75" t="e">
        <f t="array" aca="1" ref="AMZ76" ca="1">_xlfn.IFS(ALK76="DWT",AHR76,ALK76="NRT",AHV76,ALK76="GRT",AHW76,ALK76=0,0)</f>
        <v>#NAME?</v>
      </c>
      <c r="ANA76" s="279" t="e">
        <f t="shared" ca="1" si="944"/>
        <v>#NAME?</v>
      </c>
      <c r="ANB76" s="280" t="e">
        <f t="shared" ca="1" si="945"/>
        <v>#NAME?</v>
      </c>
      <c r="ANC76" s="280" t="e">
        <f t="shared" ca="1" si="946"/>
        <v>#NAME?</v>
      </c>
      <c r="AND76" s="280" t="e">
        <f t="shared" ca="1" si="947"/>
        <v>#NAME?</v>
      </c>
      <c r="ANE76" s="280" t="e">
        <f t="shared" ca="1" si="948"/>
        <v>#NAME?</v>
      </c>
      <c r="ANF76" s="280" t="e">
        <f t="shared" ca="1" si="949"/>
        <v>#NAME?</v>
      </c>
      <c r="ANG76" s="280" t="e">
        <f t="shared" ca="1" si="950"/>
        <v>#NAME?</v>
      </c>
      <c r="ANH76" s="280" t="e">
        <f t="shared" ca="1" si="951"/>
        <v>#NAME?</v>
      </c>
      <c r="ANI76" s="280" t="e">
        <f t="shared" ca="1" si="952"/>
        <v>#NAME?</v>
      </c>
      <c r="ANJ76" s="75">
        <f t="shared" si="953"/>
        <v>0</v>
      </c>
      <c r="ANK76" s="279" t="e">
        <f t="shared" ca="1" si="954"/>
        <v>#N/A</v>
      </c>
      <c r="ANL76" s="280" t="e">
        <f t="shared" ca="1" si="955"/>
        <v>#N/A</v>
      </c>
      <c r="ANM76" s="280" t="e">
        <f t="shared" ca="1" si="956"/>
        <v>#N/A</v>
      </c>
      <c r="ANN76" s="280" t="e">
        <f t="shared" ca="1" si="957"/>
        <v>#N/A</v>
      </c>
      <c r="ANO76" s="280" t="e">
        <f t="shared" ca="1" si="958"/>
        <v>#N/A</v>
      </c>
      <c r="ANP76" s="280" t="e">
        <f t="shared" ca="1" si="959"/>
        <v>#N/A</v>
      </c>
      <c r="ANQ76" s="280" t="e">
        <f t="shared" ca="1" si="960"/>
        <v>#N/A</v>
      </c>
      <c r="ANR76" s="280" t="e">
        <f t="shared" ca="1" si="961"/>
        <v>#N/A</v>
      </c>
      <c r="ANS76" s="280" t="e">
        <f t="shared" ca="1" si="962"/>
        <v>#N/A</v>
      </c>
      <c r="ANU76" s="75" t="e">
        <f t="array" aca="1" ref="ANU76" ca="1">_xlfn.IFS(AHT76="Handysize",Main!AJW76,AHT76="Supramax",AJP76,AHT76="Panamax",AJI76,AHT76="NeoPanamax",AJB76,AHT76="Suezmax",AIU76,AHT76="Capesize",AIN76,AHT76="VLOC",AIG76)*$JI76</f>
        <v>#NAME?</v>
      </c>
      <c r="ANV76" s="274" t="e">
        <f t="array" aca="1" ref="ANV76" ca="1">_xlfn.IFS(AHT76="Handysize",Main!AJX76,AHT76="Supramax",AJQ76,AHT76="Panamax",AJJ76,AHT76="NeoPanamax",AJC76,AHT76="Suezmax",AIV76,AHT76="Capesize",AIO76,AHT76="VLOC",AIH76)*$JI76</f>
        <v>#NAME?</v>
      </c>
      <c r="ANW76" s="71" t="e">
        <f t="array" aca="1" ref="ANW76" ca="1">_xlfn.IFS(AHT76="Handysize",Main!AHY76,AHT76="Supramax",AHZ76,AHT76="Panamax",AIA76,AHT76="NeoPanamax",AIB76,AHT76="Suezmax",AIC76,AHT76="Capesize",AID76,AHT76="VLOC",AIE76)</f>
        <v>#NAME?</v>
      </c>
      <c r="ANX76" s="71" t="e">
        <f t="array" aca="1" ref="ANX76" ca="1">_xlfn.IFS(AHT76="Handysize",Main!AKK76,AHT76="Supramax",AKL76,AHT76="Panamax",AKM76,AHT76="NeoPanamax",AKN76,AHT76="Suezmax",AKO76,AHT76="Capesize",AKP76,AHT76="VLOC",AKQ76)</f>
        <v>#NAME?</v>
      </c>
      <c r="ANY76" s="70">
        <f t="array" ref="ANY76">INDEX('Ship Speeds'!$G$11:$G$1011,MATCH(2,1/(('Ship Speeds'!$E$11:$E$1011&lt;=Main!$C76)*('Ship Speeds'!$F$11:$F$1011=Main!AHS76))))</f>
        <v>11</v>
      </c>
      <c r="ANZ76" s="403">
        <f t="shared" si="963"/>
        <v>0</v>
      </c>
      <c r="AOA76" s="401">
        <f t="shared" si="964"/>
        <v>1.2</v>
      </c>
      <c r="AOB76" s="70" t="e">
        <f t="shared" ca="1" si="965"/>
        <v>#NAME?</v>
      </c>
      <c r="AOC76" s="70" t="e">
        <f t="shared" ca="1" si="966"/>
        <v>#NAME?</v>
      </c>
      <c r="AOD76" s="70" t="e">
        <f t="shared" ca="1" si="967"/>
        <v>#NAME?</v>
      </c>
      <c r="AOE76" s="70" t="e">
        <f t="shared" ca="1" si="968"/>
        <v>#NAME?</v>
      </c>
      <c r="AOF76" s="72" t="e">
        <f t="shared" ca="1" si="969"/>
        <v>#N/A</v>
      </c>
      <c r="AOG76" s="70" t="e">
        <f t="shared" ca="1" si="970"/>
        <v>#NAME?</v>
      </c>
      <c r="AOH76" s="70" t="e">
        <f t="array" aca="1" ref="AOH76" ca="1">IF(ANU76=0,0,INDEX(AKE76:AKI76,MATCH(_xlfn.IFS(AHT76="Handysize",Main!AKA76,AHT76="Supramax",AJT76,AHT76="Panamax",AJM76,AHT76="NeoPanamax",AJF76,AHT76="Suezmax",AIY76,AHT76="Capesize",AIR76,AHT76="VLOC",AIK76),$AKE$7:$AKI$7,0)))</f>
        <v>#NAME?</v>
      </c>
      <c r="AOI76" s="70" t="e">
        <f t="array" aca="1" ref="AOI76" ca="1">IF(ANU76=0,0,INDEX(AKE76:AKI76,MATCH(_xlfn.IFS(AHT76="Handysize",Main!AKB76,AHT76="Supramax",AJU76,AHT76="Panamax",AJN76,AHT76="NeoPanamax",AJG76,AHT76="Suezmax",AIZ76,AHT76="Capesize",AIS76,AHT76="VLOC",AIL76),$AKE$7:$AKI$7,0)))</f>
        <v>#NAME?</v>
      </c>
      <c r="AOJ76" s="71" t="e">
        <f t="shared" ca="1" si="971"/>
        <v>#NAME?</v>
      </c>
      <c r="AOK76" s="71" t="e">
        <f t="shared" ca="1" si="972"/>
        <v>#NAME?</v>
      </c>
      <c r="AOL76" s="281" t="e">
        <f t="shared" ca="1" si="973"/>
        <v>#NAME?</v>
      </c>
      <c r="AOM76" s="71" t="e">
        <f t="shared" ca="1" si="974"/>
        <v>#NAME?</v>
      </c>
      <c r="AON76" s="71" t="e">
        <f t="shared" ca="1" si="975"/>
        <v>#NAME?</v>
      </c>
      <c r="AOO76" s="71" t="e">
        <f t="shared" ca="1" si="976"/>
        <v>#NAME?</v>
      </c>
      <c r="AOP76" s="71" t="e">
        <f t="shared" ca="1" si="977"/>
        <v>#NAME?</v>
      </c>
      <c r="AOQ76" s="71" t="e">
        <f t="shared" ca="1" si="978"/>
        <v>#NAME?</v>
      </c>
      <c r="AOR76" s="71" t="e">
        <f t="shared" ca="1" si="979"/>
        <v>#NAME?</v>
      </c>
      <c r="AOS76" s="71" t="e">
        <f t="shared" ca="1" si="980"/>
        <v>#NAME?</v>
      </c>
      <c r="AOT76" s="71" t="e">
        <f t="shared" ca="1" si="981"/>
        <v>#NAME?</v>
      </c>
      <c r="AOU76" s="71" t="e">
        <f t="shared" ca="1" si="982"/>
        <v>#NAME?</v>
      </c>
      <c r="AOV76" s="71" t="e">
        <f t="shared" ca="1" si="983"/>
        <v>#NAME?</v>
      </c>
      <c r="AOW76" s="71" t="e">
        <f t="shared" ca="1" si="984"/>
        <v>#NAME?</v>
      </c>
      <c r="AOX76" s="71" t="e">
        <f t="shared" ca="1" si="985"/>
        <v>#NAME?</v>
      </c>
      <c r="AOY76" s="72" t="e">
        <f t="shared" ca="1" si="986"/>
        <v>#NAME?</v>
      </c>
      <c r="AOZ76" s="72" t="e">
        <f t="shared" ca="1" si="987"/>
        <v>#NAME?</v>
      </c>
      <c r="APA76" s="71" t="e">
        <f t="shared" ca="1" si="988"/>
        <v>#NAME?</v>
      </c>
      <c r="APB76" s="71" t="e">
        <f t="array" aca="1" ref="APB76" ca="1">IF(ANU76=0,0,INDEX('Ship Time Charter Rates'!$H$22:$H$1021,MATCH(2,1/(('Ship Time Charter Rates'!$G$22:$G$1021=_xlfn.IFS(AHT76="Handysize",Main!AJY76,AHT76="Supramax",AJR76,AHT76="Panamax",AJK76,AHT76="NeoPanamax",AJD76,AHT76="Suezmax",AIW76,AHT76="Capesize",AIP76,AHT76="VLOC",AII76))*('Ship Time Charter Rates'!$E$22:$E$1021&lt;=Main!$C76)*(NOT(ISBLANK('Ship Time Charter Rates'!$H$22:$H$1021)))))))</f>
        <v>#NAME?</v>
      </c>
      <c r="APC76" s="71" t="e">
        <f t="shared" ca="1" si="989"/>
        <v>#NAME?</v>
      </c>
      <c r="APD76" s="70" t="e">
        <f t="shared" ca="1" si="990"/>
        <v>#NAME?</v>
      </c>
      <c r="APE76" s="71" t="e">
        <f t="shared" ca="1" si="991"/>
        <v>#NAME?</v>
      </c>
      <c r="APF76" s="71" t="e">
        <f t="shared" ca="1" si="992"/>
        <v>#NAME?</v>
      </c>
      <c r="APG76" s="72" t="e">
        <f t="shared" ca="1" si="993"/>
        <v>#NAME?</v>
      </c>
      <c r="API76" s="287" t="s">
        <v>39</v>
      </c>
      <c r="APK76" s="289" t="e">
        <f t="shared" ca="1" si="994"/>
        <v>#NAME?</v>
      </c>
      <c r="APL76" s="289" t="e">
        <f t="shared" ca="1" si="995"/>
        <v>#NAME?</v>
      </c>
      <c r="APM76" s="289" t="e">
        <f t="shared" ca="1" si="996"/>
        <v>#NAME?</v>
      </c>
      <c r="APO76" s="287" t="s">
        <v>39</v>
      </c>
    </row>
    <row r="77" spans="1:1107">
      <c r="B77" s="445" t="e">
        <f t="shared" ca="1" si="997"/>
        <v>#NAME?</v>
      </c>
      <c r="C77" s="18">
        <f t="shared" si="674"/>
        <v>43934</v>
      </c>
      <c r="D77" s="7" t="s">
        <v>20</v>
      </c>
      <c r="E77" s="86" t="s">
        <v>156</v>
      </c>
      <c r="F77" s="6">
        <v>42.470502205620079</v>
      </c>
      <c r="G77" s="1" t="s">
        <v>4</v>
      </c>
      <c r="H77" s="1" t="s">
        <v>5</v>
      </c>
      <c r="I77" s="15"/>
      <c r="J77" s="16">
        <f>J$80-J$81</f>
        <v>0.37</v>
      </c>
      <c r="K77" s="15"/>
      <c r="L77" s="16">
        <f>L$80-L$81</f>
        <v>0.03</v>
      </c>
      <c r="M77" s="15"/>
      <c r="N77" s="15"/>
      <c r="O77" s="16">
        <f>O$80+O$81</f>
        <v>0.15000000000000002</v>
      </c>
      <c r="P77" s="433">
        <v>77000</v>
      </c>
      <c r="Q77" s="98"/>
      <c r="R77" s="7" t="s">
        <v>95</v>
      </c>
      <c r="T77" s="287" t="s">
        <v>39</v>
      </c>
      <c r="V77" s="4"/>
      <c r="W77" s="16" t="str">
        <f t="shared" si="675"/>
        <v>not used yet</v>
      </c>
      <c r="X77" s="16" t="str">
        <f t="shared" si="675"/>
        <v>not used yet</v>
      </c>
      <c r="Y77" s="16" t="str">
        <f t="shared" si="675"/>
        <v>not used yet</v>
      </c>
      <c r="Z77" s="16" t="str">
        <f t="shared" si="675"/>
        <v>not used yet</v>
      </c>
      <c r="AA77" s="16" t="str">
        <f t="shared" si="675"/>
        <v>not used yet</v>
      </c>
      <c r="AB77" s="16" t="str">
        <f t="shared" si="675"/>
        <v>not used yet</v>
      </c>
      <c r="AC77" s="16" t="str">
        <f t="shared" si="675"/>
        <v>not used yet</v>
      </c>
      <c r="AE77" s="88" t="str">
        <f t="shared" si="676"/>
        <v>West Kalimantan Generic</v>
      </c>
      <c r="AF77" s="16">
        <f t="shared" si="677"/>
        <v>0.48</v>
      </c>
      <c r="AG77" s="16">
        <f t="shared" si="678"/>
        <v>0.37</v>
      </c>
      <c r="AH77" s="61">
        <f t="shared" si="679"/>
        <v>0.08</v>
      </c>
      <c r="AI77" s="61">
        <f t="shared" si="680"/>
        <v>0.03</v>
      </c>
      <c r="AJ77" s="61">
        <f t="shared" si="681"/>
        <v>4.4999999999999998E-2</v>
      </c>
      <c r="AK77" s="16">
        <f t="shared" si="682"/>
        <v>5.0000000000000001E-3</v>
      </c>
      <c r="AL77" s="16">
        <f t="shared" si="683"/>
        <v>0.15000000000000002</v>
      </c>
      <c r="AM77" s="24" t="str">
        <f t="shared" si="684"/>
        <v>LT</v>
      </c>
      <c r="AN77" s="427">
        <f t="shared" si="685"/>
        <v>77000</v>
      </c>
      <c r="AO77" s="127" t="str">
        <f t="array" ref="AO77">IFERROR(IF(AND(AN77&gt;'Indices Mines Exporting Ports'!$D$11,MATCH(2,1/(('Indices Mines Exporting Ports'!$B$3:$B$10&lt;=C77)*('Indices Mines Exporting Ports'!$C$3:$C$10=E77)))),"Yes","No"),"No")</f>
        <v>No</v>
      </c>
      <c r="AP77" s="126" t="str">
        <f t="array" ref="AP77">IF(AO77="Yes",INDEX('Indices Mines Exporting Ports'!$D$3:$D$10,MATCH(2,1/(('Indices Mines Exporting Ports'!$B$3:$B$10&lt;=Main!C77)*('Indices Mines Exporting Ports'!$C$3:$C$10=Main!AE77)))),IF(NOT(ISBLANK(Q77)),Q77,IP77))</f>
        <v>West_Kal_Generic_Offshore</v>
      </c>
      <c r="AQ77" s="262">
        <f t="array" ref="AQ77">IF(AO77="no",0,INDEX('Indices Mines Exporting Ports'!$E$3:$E$10,MATCH(2,1/(('Indices Mines Exporting Ports'!$B$3:$B$10&lt;=Main!$C77)*('Indices Mines Exporting Ports'!$D$3:$D$10=Main!$AP77)))))</f>
        <v>0</v>
      </c>
      <c r="AR77" s="267">
        <f t="array" ref="AR77">IF(AO77="No",0,AN77/ROUND(AN77/INDEX('Indices Mines Exporting Ports'!$F$3:$F$10,MATCH(2,1/(('Indices Mines Exporting Ports'!$B$3:$B$10&lt;=Main!C77)*('Indices Mines Exporting Ports'!$C$3:$C$10=Main!AE77)))),0))</f>
        <v>0</v>
      </c>
      <c r="AS77" s="127" t="str">
        <f t="shared" si="686"/>
        <v>Qingdao</v>
      </c>
      <c r="AT77" s="100" t="str">
        <f t="shared" si="687"/>
        <v>Indonesian LT</v>
      </c>
      <c r="AU77" s="100" t="str">
        <f t="shared" si="688"/>
        <v>CBIX LT</v>
      </c>
      <c r="AV77" s="242" t="s">
        <v>4</v>
      </c>
      <c r="AW77" s="242" t="s">
        <v>5</v>
      </c>
      <c r="AX77" s="292" t="e">
        <f t="shared" ca="1" si="689"/>
        <v>#NAME?</v>
      </c>
      <c r="AY77" s="291" t="e">
        <f t="shared" ca="1" si="690"/>
        <v>#NAME?</v>
      </c>
      <c r="AZ77" s="292" t="e">
        <f t="shared" ca="1" si="691"/>
        <v>#NAME?</v>
      </c>
      <c r="BA77" s="102">
        <f t="shared" si="692"/>
        <v>0.33</v>
      </c>
      <c r="BB77" s="12"/>
      <c r="BC77" s="306" t="s">
        <v>403</v>
      </c>
      <c r="BD77" s="407">
        <f t="shared" si="693"/>
        <v>0</v>
      </c>
      <c r="BE77" s="407" t="e">
        <f t="shared" ca="1" si="693"/>
        <v>#NAME?</v>
      </c>
      <c r="BF77" s="407">
        <f t="shared" si="693"/>
        <v>0</v>
      </c>
      <c r="BG77" s="407" t="e">
        <f t="shared" ca="1" si="694"/>
        <v>#NAME?</v>
      </c>
      <c r="BH77" s="407">
        <f t="shared" si="695"/>
        <v>0</v>
      </c>
      <c r="BI77" s="263" t="e">
        <f t="shared" ca="1" si="696"/>
        <v>#NAME?</v>
      </c>
      <c r="BK77" s="287" t="s">
        <v>39</v>
      </c>
      <c r="BM77" s="291" t="e">
        <f t="shared" ca="1" si="697"/>
        <v>#NAME?</v>
      </c>
      <c r="BN77" s="298">
        <f t="shared" si="698"/>
        <v>0.48</v>
      </c>
      <c r="BO77" s="298">
        <f t="shared" si="699"/>
        <v>0.37</v>
      </c>
      <c r="BP77" s="298">
        <f t="shared" si="700"/>
        <v>0.08</v>
      </c>
      <c r="BQ77" s="298">
        <f t="shared" si="701"/>
        <v>0.03</v>
      </c>
      <c r="BR77" s="298">
        <f t="shared" si="702"/>
        <v>4.4999999999999998E-2</v>
      </c>
      <c r="BS77" s="298">
        <f t="shared" si="703"/>
        <v>5.0000000000000001E-3</v>
      </c>
      <c r="BT77" s="298">
        <f t="shared" si="704"/>
        <v>0.15000000000000002</v>
      </c>
      <c r="BU77" s="307" t="str">
        <f t="shared" si="705"/>
        <v>LT</v>
      </c>
      <c r="BV77" s="291">
        <f t="shared" si="706"/>
        <v>0.33</v>
      </c>
      <c r="BX77" s="300">
        <f t="array" ref="BX77">INDEX('Processing Factors'!$D$8:$D$29,MATCH(2,1/(('Processing Factors'!$B$8:$B$29&lt;=Main!$C77)*('Processing Factors'!$C$8:$C$29=Main!BU77))))</f>
        <v>0</v>
      </c>
      <c r="BY77" s="299">
        <f t="array" ref="BY77">INDEX('Processing Factors'!$E$8:$E$29,MATCH(2,1/(('Processing Factors'!$B$8:$B$29&lt;=Main!$C77)*('Processing Factors'!$C$8:$C$29=Main!BU77))))</f>
        <v>1</v>
      </c>
      <c r="BZ77" s="299">
        <f t="array" ref="BZ77">INDEX('Processing Factors'!$F$8:$F$29,MATCH(2,1/(('Processing Factors'!$B$8:$B$29&lt;=Main!$C77)*('Processing Factors'!$C$8:$C$29=Main!BU77))))</f>
        <v>0.9</v>
      </c>
      <c r="CA77" s="299">
        <f t="array" ref="CA77">INDEX('Processing Factors'!$G$8:$G$29,MATCH(2,1/(('Processing Factors'!$B$8:$B$29&lt;=Main!$C77)*('Processing Factors'!$C$8:$C$29=Main!BU77))))</f>
        <v>3.5999999999999997E-2</v>
      </c>
      <c r="CB77" s="299">
        <f t="array" ref="CB77">INDEX('Processing Factors'!$H$8:$H$29,MATCH(2,1/(('Processing Factors'!$B$8:$B$29&lt;=Main!$C77)*('Processing Factors'!$C$8:$C$29=Main!BU77))))</f>
        <v>12.15</v>
      </c>
      <c r="CC77" s="300">
        <f t="array" ref="CC77">INDEX('Processing Factors'!$I$8:$I$29,MATCH(2,1/(('Processing Factors'!$B$8:$B$29&lt;=Main!$C77)*('Processing Factors'!$C$8:$C$29=Main!BU77))))</f>
        <v>0</v>
      </c>
      <c r="CD77" s="300">
        <f t="array" ref="CD77">INDEX('Processing Factors'!$J$8:$J$29,MATCH(2,1/(('Processing Factors'!$B$8:$B$29&lt;=Main!$C77)*('Processing Factors'!$C$8:$C$29=Main!BU77))))</f>
        <v>0.9</v>
      </c>
      <c r="CE77" s="299">
        <f t="array" ref="CE77">INDEX('Processing Factors'!$K$8:$K$29,MATCH(2,1/(('Processing Factors'!$B$8:$B$29&lt;=Main!$C77)*('Processing Factors'!$C$8:$C$29=Main!BU77))))</f>
        <v>3.5000000000000003E-2</v>
      </c>
      <c r="CG77" s="302">
        <f t="shared" si="707"/>
        <v>0.4</v>
      </c>
      <c r="CH77" s="302">
        <f t="shared" si="708"/>
        <v>0.03</v>
      </c>
      <c r="CI77" s="302">
        <f t="shared" si="709"/>
        <v>0.37</v>
      </c>
      <c r="CJ77" s="299">
        <f t="shared" si="710"/>
        <v>3.0030030030030028</v>
      </c>
      <c r="CK77" s="281" t="e">
        <f t="shared" ca="1" si="711"/>
        <v>#NAME?</v>
      </c>
      <c r="CL77" s="299">
        <f t="shared" si="712"/>
        <v>0.11608108108108108</v>
      </c>
      <c r="CM77" s="281">
        <f t="shared" si="713"/>
        <v>27.859118594949592</v>
      </c>
      <c r="CN77" s="281">
        <f t="shared" si="714"/>
        <v>50.321396655852695</v>
      </c>
      <c r="CO77" s="281">
        <f t="shared" si="715"/>
        <v>1.2197497818850218</v>
      </c>
      <c r="CP77" s="299">
        <f t="shared" si="716"/>
        <v>2.1550840840840841</v>
      </c>
      <c r="CQ77" s="281">
        <f t="shared" si="717"/>
        <v>9.1273032691161244</v>
      </c>
      <c r="CR77" s="281" t="e">
        <f t="shared" ca="1" si="718"/>
        <v>#NAME?</v>
      </c>
      <c r="CT77" s="287" t="s">
        <v>39</v>
      </c>
      <c r="CV77" s="305" t="e">
        <f t="shared" ca="1" si="719"/>
        <v>#NAME?</v>
      </c>
      <c r="CW77" s="61">
        <f t="array" ref="CW77">INDEX('Indices Mines Exporting Ports'!E$20:E$51, MATCH(2,1/(('Indices Mines Exporting Ports'!$C$20:$C$51=$AT77)*('Indices Mines Exporting Ports'!$D$20:$D$51&lt;=$C77))))</f>
        <v>0.48</v>
      </c>
      <c r="CX77" s="61">
        <f t="array" ref="CX77">INDEX('Indices Mines Exporting Ports'!F$20:F$51, MATCH(2,1/(('Indices Mines Exporting Ports'!$C$20:$C$51=$AT77)*('Indices Mines Exporting Ports'!$D$20:$D$51&lt;=$C77))))</f>
        <v>0.44</v>
      </c>
      <c r="CY77" s="61">
        <f t="array" ref="CY77">INDEX('Indices Mines Exporting Ports'!G$20:G$51, MATCH(2,1/(('Indices Mines Exporting Ports'!$C$20:$C$51=$AT77)*('Indices Mines Exporting Ports'!$D$20:$D$51&lt;=$C77))))</f>
        <v>0.08</v>
      </c>
      <c r="CZ77" s="61">
        <f t="array" ref="CZ77">INDEX('Indices Mines Exporting Ports'!H$20:H$51, MATCH(2,1/(('Indices Mines Exporting Ports'!$C$20:$C$51=$AT77)*('Indices Mines Exporting Ports'!$D$20:$D$51&lt;=$C77))))</f>
        <v>3.5000000000000003E-2</v>
      </c>
      <c r="DA77" s="61">
        <f t="array" ref="DA77">INDEX('Indices Mines Exporting Ports'!I$20:I$51, MATCH(2,1/(('Indices Mines Exporting Ports'!$C$20:$C$51=$AT77)*('Indices Mines Exporting Ports'!$D$20:$D$51&lt;=$C77))))</f>
        <v>4.4999999999999998E-2</v>
      </c>
      <c r="DB77" s="61">
        <f t="array" ref="DB77">INDEX('Indices Mines Exporting Ports'!J$20:J$51, MATCH(2,1/(('Indices Mines Exporting Ports'!$C$20:$C$51=$AT77)*('Indices Mines Exporting Ports'!$D$20:$D$51&lt;=$C77))))</f>
        <v>5.0000000000000001E-3</v>
      </c>
      <c r="DC77" s="61">
        <f t="array" ref="DC77">INDEX('Indices Mines Exporting Ports'!K$20:K$51, MATCH(2,1/(('Indices Mines Exporting Ports'!$C$20:$C$51=$AT77)*('Indices Mines Exporting Ports'!$D$20:$D$51&lt;=$C77))))</f>
        <v>0.15</v>
      </c>
      <c r="DD77" s="103" t="str">
        <f t="array" ref="DD77">INDEX('Indices Mines Exporting Ports'!L$20:L$51, MATCH(2,1/(('Indices Mines Exporting Ports'!$C$20:$C$51=$AT77)*('Indices Mines Exporting Ports'!$D$20:$D$51&lt;=$C77))))</f>
        <v>LT</v>
      </c>
      <c r="DE77" s="243">
        <f t="array" ref="DE77">INDEX('Indices Mines Exporting Ports'!M$20:M$51, MATCH(2,1/(('Indices Mines Exporting Ports'!$C$20:$C$51=$AT77)*('Indices Mines Exporting Ports'!$D$20:$D$51&lt;=$C77))))</f>
        <v>0.33</v>
      </c>
      <c r="DG77" s="300">
        <f t="array" ref="DG77">INDEX('Processing Factors'!$D$8:$D$29,MATCH(2,1/(('Processing Factors'!$B$8:$B$29&lt;=Main!$C77)*('Processing Factors'!$C$8:$C$29=Main!DD77))))</f>
        <v>0</v>
      </c>
      <c r="DH77" s="299">
        <f t="array" ref="DH77">INDEX('Processing Factors'!$E$8:$E$29,MATCH(2,1/(('Processing Factors'!$B$8:$B$29&lt;=Main!$C77)*('Processing Factors'!$C$8:$C$29=Main!DD77))))</f>
        <v>1</v>
      </c>
      <c r="DI77" s="299">
        <f t="array" ref="DI77">INDEX('Processing Factors'!$F$8:$F$29,MATCH(2,1/(('Processing Factors'!$B$8:$B$29&lt;=Main!$C77)*('Processing Factors'!$C$8:$C$29=Main!DD77))))</f>
        <v>0.9</v>
      </c>
      <c r="DJ77" s="299">
        <f t="array" ref="DJ77">INDEX('Processing Factors'!$G$8:$G$29,MATCH(2,1/(('Processing Factors'!$B$8:$B$29&lt;=Main!$C77)*('Processing Factors'!$C$8:$C$29=Main!DD77))))</f>
        <v>3.5999999999999997E-2</v>
      </c>
      <c r="DK77" s="299">
        <f t="array" ref="DK77">INDEX('Processing Factors'!$H$8:$H$29,MATCH(2,1/(('Processing Factors'!$B$8:$B$29&lt;=Main!$C77)*('Processing Factors'!$C$8:$C$29=Main!DD77))))</f>
        <v>12.15</v>
      </c>
      <c r="DL77" s="300">
        <f t="array" ref="DL77">INDEX('Processing Factors'!$I$8:$I$29,MATCH(2,1/(('Processing Factors'!$B$8:$B$29&lt;=Main!$C77)*('Processing Factors'!$C$8:$C$29=Main!DD77))))</f>
        <v>0</v>
      </c>
      <c r="DM77" s="300">
        <f t="array" ref="DM77">INDEX('Processing Factors'!$J$8:$J$29,MATCH(2,1/(('Processing Factors'!$B$8:$B$29&lt;=Main!$C77)*('Processing Factors'!$C$8:$C$29=Main!DD77))))</f>
        <v>0.9</v>
      </c>
      <c r="DN77" s="299">
        <f t="array" ref="DN77">INDEX('Processing Factors'!$K$8:$K$29,MATCH(2,1/(('Processing Factors'!$B$8:$B$29&lt;=Main!$C77)*('Processing Factors'!$C$8:$C$29=Main!DD77))))</f>
        <v>3.5000000000000003E-2</v>
      </c>
      <c r="DP77" s="302">
        <f t="shared" si="720"/>
        <v>0.47499999999999998</v>
      </c>
      <c r="DQ77" s="302">
        <f t="shared" si="721"/>
        <v>3.5000000000000003E-2</v>
      </c>
      <c r="DR77" s="302">
        <f t="shared" si="722"/>
        <v>0.43999999999999995</v>
      </c>
      <c r="DS77" s="299">
        <f t="shared" si="723"/>
        <v>2.5252525252525255</v>
      </c>
      <c r="DT77" s="304">
        <v>0</v>
      </c>
      <c r="DU77" s="299">
        <f t="shared" si="724"/>
        <v>0.11454545454545458</v>
      </c>
      <c r="DV77" s="281">
        <f t="shared" si="725"/>
        <v>27.490572735666216</v>
      </c>
      <c r="DW77" s="281">
        <f t="shared" si="726"/>
        <v>50.321396655852695</v>
      </c>
      <c r="DX77" s="281">
        <f t="shared" si="727"/>
        <v>1.2197497818850218</v>
      </c>
      <c r="DY77" s="299">
        <f t="shared" si="728"/>
        <v>1.6757979797979801</v>
      </c>
      <c r="DZ77" s="281">
        <f t="shared" si="729"/>
        <v>7.0974104872984247</v>
      </c>
      <c r="EA77" s="281">
        <f t="shared" si="730"/>
        <v>86.129129660702361</v>
      </c>
      <c r="EC77" s="287" t="s">
        <v>39</v>
      </c>
      <c r="EE77" s="305" t="e">
        <f t="shared" ca="1" si="731"/>
        <v>#NAME?</v>
      </c>
      <c r="EF77" s="16">
        <f t="array" ref="EF77">INDEX('Indices Mines Exporting Ports'!E$20:E$51, MATCH(2,1/(('Indices Mines Exporting Ports'!$C$20:$C$51=$AU77)*('Indices Mines Exporting Ports'!$D$20:$D$51&lt;=$C77))))</f>
        <v>0.5</v>
      </c>
      <c r="EG77" s="16">
        <f t="array" ref="EG77">INDEX('Indices Mines Exporting Ports'!F$20:F$51, MATCH(2,1/(('Indices Mines Exporting Ports'!$C$20:$C$51=$AU77)*('Indices Mines Exporting Ports'!$D$20:$D$51&lt;=$C77))))</f>
        <v>0.45</v>
      </c>
      <c r="EH77" s="16">
        <f t="array" ref="EH77">INDEX('Indices Mines Exporting Ports'!G$20:G$51, MATCH(2,1/(('Indices Mines Exporting Ports'!$C$20:$C$51=$AU77)*('Indices Mines Exporting Ports'!$D$20:$D$51&lt;=$C77))))</f>
        <v>0.05</v>
      </c>
      <c r="EI77" s="16">
        <f t="array" ref="EI77">INDEX('Indices Mines Exporting Ports'!H$20:H$51, MATCH(2,1/(('Indices Mines Exporting Ports'!$C$20:$C$51=$AU77)*('Indices Mines Exporting Ports'!$D$20:$D$51&lt;=$C77))))</f>
        <v>0.05</v>
      </c>
      <c r="EJ77" s="16">
        <f t="array" ref="EJ77">INDEX('Indices Mines Exporting Ports'!I$20:I$51, MATCH(2,1/(('Indices Mines Exporting Ports'!$C$20:$C$51=$AU77)*('Indices Mines Exporting Ports'!$D$20:$D$51&lt;=$C77))))</f>
        <v>0</v>
      </c>
      <c r="EK77" s="16">
        <f t="array" ref="EK77">INDEX('Indices Mines Exporting Ports'!J$20:J$51, MATCH(2,1/(('Indices Mines Exporting Ports'!$C$20:$C$51=$AU77)*('Indices Mines Exporting Ports'!$D$20:$D$51&lt;=$C77))))</f>
        <v>0</v>
      </c>
      <c r="EL77" s="16">
        <f t="array" ref="EL77">INDEX('Indices Mines Exporting Ports'!K$20:K$51, MATCH(2,1/(('Indices Mines Exporting Ports'!$C$20:$C$51=$AU77)*('Indices Mines Exporting Ports'!$D$20:$D$51&lt;=$C77))))</f>
        <v>0.1</v>
      </c>
      <c r="EM77" s="103" t="str">
        <f t="array" ref="EM77">INDEX('Indices Mines Exporting Ports'!L$20:L$51, MATCH(2,1/(('Indices Mines Exporting Ports'!$C$20:$C$51=$AU77)*('Indices Mines Exporting Ports'!$D$20:$D$51&lt;=$C77))))</f>
        <v>LT</v>
      </c>
      <c r="EN77" s="243">
        <f t="array" ref="EN77">INDEX('Indices Mines Exporting Ports'!M$20:M$51, MATCH(2,1/(('Indices Mines Exporting Ports'!$C$20:$C$51=$AU77)*('Indices Mines Exporting Ports'!$D$20:$D$51&lt;=$C77))))</f>
        <v>0</v>
      </c>
      <c r="EP77" s="300">
        <f t="array" ref="EP77">INDEX('Processing Factors'!$D$8:$D$29,MATCH(2,1/(('Processing Factors'!$B$8:$B$29&lt;=Main!$C77)*('Processing Factors'!$C$8:$C$29=Main!EM77))))</f>
        <v>0</v>
      </c>
      <c r="EQ77" s="299">
        <f t="array" ref="EQ77">INDEX('Processing Factors'!$E$8:$E$29,MATCH(2,1/(('Processing Factors'!$B$8:$B$29&lt;=Main!$C77)*('Processing Factors'!$C$8:$C$29=Main!EM77))))</f>
        <v>1</v>
      </c>
      <c r="ER77" s="299">
        <f t="array" ref="ER77">INDEX('Processing Factors'!$F$8:$F$29,MATCH(2,1/(('Processing Factors'!$B$8:$B$29&lt;=Main!$C77)*('Processing Factors'!$C$8:$C$29=Main!EM77))))</f>
        <v>0.9</v>
      </c>
      <c r="ES77" s="299">
        <f t="array" ref="ES77">INDEX('Processing Factors'!$G$8:$G$29,MATCH(2,1/(('Processing Factors'!$B$8:$B$29&lt;=Main!$C77)*('Processing Factors'!$C$8:$C$29=Main!EM77))))</f>
        <v>3.5999999999999997E-2</v>
      </c>
      <c r="ET77" s="299">
        <f t="array" ref="ET77">INDEX('Processing Factors'!$H$8:$H$29,MATCH(2,1/(('Processing Factors'!$B$8:$B$29&lt;=Main!$C77)*('Processing Factors'!$C$8:$C$29=Main!EM77))))</f>
        <v>12.15</v>
      </c>
      <c r="EU77" s="300">
        <f t="array" ref="EU77">INDEX('Processing Factors'!$I$8:$I$29,MATCH(2,1/(('Processing Factors'!$B$8:$B$29&lt;=Main!$C77)*('Processing Factors'!$C$8:$C$29=Main!EM77))))</f>
        <v>0</v>
      </c>
      <c r="EV77" s="300">
        <f t="array" ref="EV77">INDEX('Processing Factors'!$J$8:$J$29,MATCH(2,1/(('Processing Factors'!$B$8:$B$29&lt;=Main!$C77)*('Processing Factors'!$C$8:$C$29=Main!EM77))))</f>
        <v>0.9</v>
      </c>
      <c r="EW77" s="299">
        <f t="array" ref="EW77">INDEX('Processing Factors'!$K$8:$K$29,MATCH(2,1/(('Processing Factors'!$B$8:$B$29&lt;=Main!$C77)*('Processing Factors'!$C$8:$C$29=Main!EM77))))</f>
        <v>3.5000000000000003E-2</v>
      </c>
      <c r="EY77" s="302">
        <f t="shared" si="732"/>
        <v>0.5</v>
      </c>
      <c r="EZ77" s="302">
        <f t="shared" si="733"/>
        <v>0.05</v>
      </c>
      <c r="FA77" s="302">
        <f t="shared" si="734"/>
        <v>0.45</v>
      </c>
      <c r="FB77" s="299">
        <f t="shared" si="735"/>
        <v>2.4691358024691357</v>
      </c>
      <c r="FC77" s="304">
        <v>0</v>
      </c>
      <c r="FD77" s="299">
        <f t="shared" si="736"/>
        <v>0.14611111111111114</v>
      </c>
      <c r="FE77" s="281">
        <f t="shared" si="737"/>
        <v>35.06623762093578</v>
      </c>
      <c r="FF77" s="281">
        <f t="shared" si="738"/>
        <v>50.321396655852695</v>
      </c>
      <c r="FG77" s="281">
        <f t="shared" si="739"/>
        <v>1.2197497818850218</v>
      </c>
      <c r="FH77" s="299">
        <f t="shared" si="740"/>
        <v>1.6512469135802468</v>
      </c>
      <c r="FI77" s="281">
        <f t="shared" si="741"/>
        <v>6.9934307731868799</v>
      </c>
      <c r="FJ77" s="281">
        <f t="shared" si="742"/>
        <v>93.60081483186039</v>
      </c>
      <c r="FL77" s="287" t="s">
        <v>39</v>
      </c>
      <c r="FN77" s="315" t="e">
        <f t="shared" ca="1" si="743"/>
        <v>#NAME?</v>
      </c>
      <c r="FO77" s="316">
        <f t="shared" si="744"/>
        <v>0.48</v>
      </c>
      <c r="FP77" s="316">
        <f t="shared" si="745"/>
        <v>0.37</v>
      </c>
      <c r="FQ77" s="316">
        <f t="shared" si="746"/>
        <v>0.08</v>
      </c>
      <c r="FR77" s="316">
        <f t="shared" si="747"/>
        <v>0.03</v>
      </c>
      <c r="FS77" s="316">
        <f t="shared" si="748"/>
        <v>4.4999999999999998E-2</v>
      </c>
      <c r="FT77" s="316">
        <f t="shared" si="749"/>
        <v>5.0000000000000001E-3</v>
      </c>
      <c r="FU77" s="316">
        <f t="shared" si="750"/>
        <v>0.15000000000000002</v>
      </c>
      <c r="FV77" s="317" t="str">
        <f t="shared" si="751"/>
        <v>LT</v>
      </c>
      <c r="FW77" s="318">
        <v>0</v>
      </c>
      <c r="FX77" s="237"/>
      <c r="FY77" s="319">
        <f t="array" ref="FY77">INDEX('Processing Factors'!$D$8:$D$29,MATCH(2,1/(('Processing Factors'!$B$8:$B$29&lt;=Main!$C77)*('Processing Factors'!$C$8:$C$29=Main!FV77))))</f>
        <v>0</v>
      </c>
      <c r="FZ77" s="320">
        <f t="array" ref="FZ77">INDEX('Processing Factors'!$E$8:$E$29,MATCH(2,1/(('Processing Factors'!$B$8:$B$29&lt;=Main!$C77)*('Processing Factors'!$C$8:$C$29=Main!FV77))))</f>
        <v>1</v>
      </c>
      <c r="GA77" s="320">
        <f t="array" ref="GA77">INDEX('Processing Factors'!$F$8:$F$29,MATCH(2,1/(('Processing Factors'!$B$8:$B$29&lt;=Main!$C77)*('Processing Factors'!$C$8:$C$29=Main!FV77))))</f>
        <v>0.9</v>
      </c>
      <c r="GB77" s="320">
        <f t="array" ref="GB77">INDEX('Processing Factors'!$G$8:$G$29,MATCH(2,1/(('Processing Factors'!$B$8:$B$29&lt;=Main!$C77)*('Processing Factors'!$C$8:$C$29=Main!FV77))))</f>
        <v>3.5999999999999997E-2</v>
      </c>
      <c r="GC77" s="320">
        <f t="array" ref="GC77">INDEX('Processing Factors'!$H$8:$H$29,MATCH(2,1/(('Processing Factors'!$B$8:$B$29&lt;=Main!$C77)*('Processing Factors'!$C$8:$C$29=Main!FV77))))</f>
        <v>12.15</v>
      </c>
      <c r="GD77" s="319">
        <f t="array" ref="GD77">INDEX('Processing Factors'!$I$8:$I$29,MATCH(2,1/(('Processing Factors'!$B$8:$B$29&lt;=Main!$C77)*('Processing Factors'!$C$8:$C$29=Main!FV77))))</f>
        <v>0</v>
      </c>
      <c r="GE77" s="321">
        <v>0.92</v>
      </c>
      <c r="GF77" s="320">
        <f t="array" ref="GF77">INDEX('Processing Factors'!$K$8:$K$29,MATCH(2,1/(('Processing Factors'!$B$8:$B$29&lt;=Main!$C77)*('Processing Factors'!$C$8:$C$29=Main!FV77))))</f>
        <v>3.5000000000000003E-2</v>
      </c>
      <c r="GG77" s="237"/>
      <c r="GH77" s="322">
        <f t="shared" si="752"/>
        <v>0.4</v>
      </c>
      <c r="GI77" s="322">
        <f t="shared" si="753"/>
        <v>0.03</v>
      </c>
      <c r="GJ77" s="322">
        <f t="shared" si="754"/>
        <v>0.37</v>
      </c>
      <c r="GK77" s="320">
        <f t="shared" si="755"/>
        <v>2.9377203290246765</v>
      </c>
      <c r="GL77" s="323" t="e">
        <f t="shared" ca="1" si="756"/>
        <v>#NAME?</v>
      </c>
      <c r="GM77" s="320">
        <f t="shared" si="757"/>
        <v>0.11431844888366627</v>
      </c>
      <c r="GN77" s="323">
        <f t="shared" si="758"/>
        <v>27.436092043424313</v>
      </c>
      <c r="GO77" s="323">
        <f t="shared" si="759"/>
        <v>50.321396655852695</v>
      </c>
      <c r="GP77" s="323">
        <f t="shared" si="760"/>
        <v>1.2197497818850218</v>
      </c>
      <c r="GQ77" s="320">
        <f t="shared" si="761"/>
        <v>2.0880387779083427</v>
      </c>
      <c r="GR77" s="323">
        <f t="shared" si="762"/>
        <v>8.8433501525040583</v>
      </c>
      <c r="GS77" s="323" t="e">
        <f t="shared" ca="1" si="763"/>
        <v>#NAME?</v>
      </c>
      <c r="GT77" s="237"/>
      <c r="GU77" s="324" t="e">
        <f t="shared" ca="1" si="764"/>
        <v>#NAME?</v>
      </c>
      <c r="GV77" s="325">
        <f t="array" ref="GV77">INDEX('Indices Mines Exporting Ports'!E$20:E$51, MATCH(2,1/(('Indices Mines Exporting Ports'!$C$20:$C$51=$BC77)*('Indices Mines Exporting Ports'!$D$20:$D$51&lt;=$C77))))</f>
        <v>0.5</v>
      </c>
      <c r="GW77" s="325">
        <f t="array" ref="GW77">INDEX('Indices Mines Exporting Ports'!F$20:F$51, MATCH(2,1/(('Indices Mines Exporting Ports'!$C$20:$C$51=$BC77)*('Indices Mines Exporting Ports'!$D$20:$D$51&lt;=$C77))))</f>
        <v>0.45</v>
      </c>
      <c r="GX77" s="325">
        <f t="array" ref="GX77">INDEX('Indices Mines Exporting Ports'!G$20:G$51, MATCH(2,1/(('Indices Mines Exporting Ports'!$C$20:$C$51=$BC77)*('Indices Mines Exporting Ports'!$D$20:$D$51&lt;=$C77))))</f>
        <v>0.05</v>
      </c>
      <c r="GY77" s="325">
        <f t="array" ref="GY77">INDEX('Indices Mines Exporting Ports'!H$20:H$51, MATCH(2,1/(('Indices Mines Exporting Ports'!$C$20:$C$51=$BC77)*('Indices Mines Exporting Ports'!$D$20:$D$51&lt;=$C77))))</f>
        <v>0.05</v>
      </c>
      <c r="GZ77" s="325">
        <f t="array" ref="GZ77">INDEX('Indices Mines Exporting Ports'!I$20:I$51, MATCH(2,1/(('Indices Mines Exporting Ports'!$C$20:$C$51=$BC77)*('Indices Mines Exporting Ports'!$D$20:$D$51&lt;=$C77))))</f>
        <v>0</v>
      </c>
      <c r="HA77" s="325">
        <f t="array" ref="HA77">INDEX('Indices Mines Exporting Ports'!J$20:J$51, MATCH(2,1/(('Indices Mines Exporting Ports'!$C$20:$C$51=$BC77)*('Indices Mines Exporting Ports'!$D$20:$D$51&lt;=$C77))))</f>
        <v>0</v>
      </c>
      <c r="HB77" s="325">
        <f t="array" ref="HB77">INDEX('Indices Mines Exporting Ports'!K$20:K$51, MATCH(2,1/(('Indices Mines Exporting Ports'!$C$20:$C$51=$BC77)*('Indices Mines Exporting Ports'!$D$20:$D$51&lt;=$C77))))</f>
        <v>0.1</v>
      </c>
      <c r="HC77" s="326" t="str">
        <f t="array" ref="HC77">INDEX('Indices Mines Exporting Ports'!L$20:L$51, MATCH(2,1/(('Indices Mines Exporting Ports'!$C$20:$C$51=$BC77)*('Indices Mines Exporting Ports'!$D$20:$D$51&lt;=$C77))))</f>
        <v>LT</v>
      </c>
      <c r="HD77" s="262">
        <f t="array" ref="HD77">INDEX('Indices Mines Exporting Ports'!M$20:M$51, MATCH(2,1/(('Indices Mines Exporting Ports'!$C$20:$C$51=$BC77)*('Indices Mines Exporting Ports'!$D$20:$D$51&lt;=$C77))))</f>
        <v>0</v>
      </c>
      <c r="HE77" s="237"/>
      <c r="HF77" s="319">
        <f t="array" ref="HF77">INDEX('Processing Factors'!$D$8:$D$29,MATCH(2,1/(('Processing Factors'!$B$8:$B$29&lt;=Main!$C77)*('Processing Factors'!$C$8:$C$29=Main!HC77))))</f>
        <v>0</v>
      </c>
      <c r="HG77" s="320">
        <f t="array" ref="HG77">INDEX('Processing Factors'!$E$8:$E$29,MATCH(2,1/(('Processing Factors'!$B$8:$B$29&lt;=Main!$C77)*('Processing Factors'!$C$8:$C$29=Main!HC77))))</f>
        <v>1</v>
      </c>
      <c r="HH77" s="320">
        <f t="array" ref="HH77">INDEX('Processing Factors'!$F$8:$F$29,MATCH(2,1/(('Processing Factors'!$B$8:$B$29&lt;=Main!$C77)*('Processing Factors'!$C$8:$C$29=Main!HC77))))</f>
        <v>0.9</v>
      </c>
      <c r="HI77" s="320">
        <f t="array" ref="HI77">INDEX('Processing Factors'!$G$8:$G$29,MATCH(2,1/(('Processing Factors'!$B$8:$B$29&lt;=Main!$C77)*('Processing Factors'!$C$8:$C$29=Main!HC77))))</f>
        <v>3.5999999999999997E-2</v>
      </c>
      <c r="HJ77" s="320">
        <f t="array" ref="HJ77">INDEX('Processing Factors'!$H$8:$H$29,MATCH(2,1/(('Processing Factors'!$B$8:$B$29&lt;=Main!$C77)*('Processing Factors'!$C$8:$C$29=Main!HC77))))</f>
        <v>12.15</v>
      </c>
      <c r="HK77" s="319">
        <f t="array" ref="HK77">INDEX('Processing Factors'!$I$8:$I$29,MATCH(2,1/(('Processing Factors'!$B$8:$B$29&lt;=Main!$C77)*('Processing Factors'!$C$8:$C$29=Main!HC77))))</f>
        <v>0</v>
      </c>
      <c r="HL77" s="321">
        <v>0.92</v>
      </c>
      <c r="HM77" s="320">
        <f t="array" ref="HM77">INDEX('Processing Factors'!$K$8:$K$29,MATCH(2,1/(('Processing Factors'!$B$8:$B$29&lt;=Main!$C77)*('Processing Factors'!$C$8:$C$29=Main!HC77))))</f>
        <v>3.5000000000000003E-2</v>
      </c>
      <c r="HN77" s="237"/>
      <c r="HO77" s="322">
        <f t="shared" si="765"/>
        <v>0.5</v>
      </c>
      <c r="HP77" s="322">
        <f t="shared" si="766"/>
        <v>0.05</v>
      </c>
      <c r="HQ77" s="322">
        <f t="shared" si="767"/>
        <v>0.45</v>
      </c>
      <c r="HR77" s="320">
        <f t="shared" si="768"/>
        <v>2.4154589371980677</v>
      </c>
      <c r="HS77" s="263">
        <v>0</v>
      </c>
      <c r="HT77" s="320">
        <f t="shared" si="769"/>
        <v>0.14369565217391306</v>
      </c>
      <c r="HU77" s="323">
        <f t="shared" si="770"/>
        <v>34.486534568845585</v>
      </c>
      <c r="HV77" s="323">
        <f t="shared" si="771"/>
        <v>50.321396655852695</v>
      </c>
      <c r="HW77" s="323">
        <f t="shared" si="772"/>
        <v>1.2197497818850218</v>
      </c>
      <c r="HX77" s="320">
        <f t="shared" si="773"/>
        <v>1.5951545893719807</v>
      </c>
      <c r="HY77" s="323">
        <f t="shared" si="774"/>
        <v>6.755866189095018</v>
      </c>
      <c r="HZ77" s="323">
        <f t="shared" si="775"/>
        <v>92.783547195678324</v>
      </c>
      <c r="IB77" s="287" t="s">
        <v>39</v>
      </c>
      <c r="ID77" s="89" t="str">
        <f t="shared" si="776"/>
        <v>West Kalimantan Generic</v>
      </c>
      <c r="IE77" s="18">
        <f t="shared" si="777"/>
        <v>43934</v>
      </c>
      <c r="IF77" s="94">
        <f t="array" ref="IF77">INDEX('Indices Mines Exporting Ports'!E$20:E$51, MATCH(2,1/(('Indices Mines Exporting Ports'!$C$20:$C$51=$ID77)*('Indices Mines Exporting Ports'!$D$20:$D$51&lt;=$IE77))))</f>
        <v>0.48</v>
      </c>
      <c r="IG77" s="94">
        <f t="array" ref="IG77">INDEX('Indices Mines Exporting Ports'!F$20:F$51, MATCH(2,1/(('Indices Mines Exporting Ports'!$C$20:$C$51=$ID77)*('Indices Mines Exporting Ports'!$D$20:$D$51&lt;=$IE77))))</f>
        <v>0.44</v>
      </c>
      <c r="IH77" s="95">
        <f t="array" ref="IH77">INDEX('Indices Mines Exporting Ports'!G$20:G$51, MATCH(2,1/(('Indices Mines Exporting Ports'!$C$20:$C$51=$ID77)*('Indices Mines Exporting Ports'!$D$20:$D$51&lt;=$IE77))))</f>
        <v>0.08</v>
      </c>
      <c r="II77" s="95">
        <f t="array" ref="II77">INDEX('Indices Mines Exporting Ports'!H$20:H$51, MATCH(2,1/(('Indices Mines Exporting Ports'!$C$20:$C$51=$ID77)*('Indices Mines Exporting Ports'!$D$20:$D$51&lt;=$IE77))))</f>
        <v>3.5000000000000003E-2</v>
      </c>
      <c r="IJ77" s="95">
        <f t="array" ref="IJ77">INDEX('Indices Mines Exporting Ports'!I$20:I$51, MATCH(2,1/(('Indices Mines Exporting Ports'!$C$20:$C$51=$ID77)*('Indices Mines Exporting Ports'!$D$20:$D$51&lt;=$IE77))))</f>
        <v>4.4999999999999998E-2</v>
      </c>
      <c r="IK77" s="94">
        <f t="array" ref="IK77">INDEX('Indices Mines Exporting Ports'!J$20:J$51, MATCH(2,1/(('Indices Mines Exporting Ports'!$C$20:$C$51=$ID77)*('Indices Mines Exporting Ports'!$D$20:$D$51&lt;=$IE77))))</f>
        <v>5.0000000000000001E-3</v>
      </c>
      <c r="IL77" s="94">
        <f t="array" ref="IL77">INDEX('Indices Mines Exporting Ports'!K$20:K$51, MATCH(2,1/(('Indices Mines Exporting Ports'!$C$20:$C$51=$ID77)*('Indices Mines Exporting Ports'!$D$20:$D$51&lt;=$IE77))))</f>
        <v>0.15</v>
      </c>
      <c r="IM77" s="93" t="str">
        <f t="array" ref="IM77">INDEX('Indices Mines Exporting Ports'!L$20:L$51, MATCH(2,1/(('Indices Mines Exporting Ports'!$C$20:$C$51=$ID77)*('Indices Mines Exporting Ports'!$D$20:$D$51&lt;=$IE77))))</f>
        <v>LT</v>
      </c>
      <c r="IN77" s="101">
        <f t="array" ref="IN77">INDEX('Indices Mines Exporting Ports'!M$20:M$51, MATCH(2,1/(('Indices Mines Exporting Ports'!$C$20:$C$51=$ID77)*('Indices Mines Exporting Ports'!$D$20:$D$51&lt;=$IE77))))</f>
        <v>0.33</v>
      </c>
      <c r="IO77" s="96">
        <f t="array" ref="IO77">INDEX('Indices Mines Exporting Ports'!N$20:N$51, MATCH(2,1/(('Indices Mines Exporting Ports'!$C$20:$C$51=$ID77)*('Indices Mines Exporting Ports'!$D$20:$D$51&lt;=$IE77))))</f>
        <v>57000</v>
      </c>
      <c r="IP77" s="95" t="str">
        <f t="array" ref="IP77">INDEX('Indices Mines Exporting Ports'!Q$20:Q$51, MATCH(2,1/(('Indices Mines Exporting Ports'!$C$20:$C$51=$ID77)*('Indices Mines Exporting Ports'!$D$20:$D$51&lt;=$IE77))))</f>
        <v>West_Kal_Generic_Offshore</v>
      </c>
      <c r="IQ77" s="95" t="str">
        <f t="array" ref="IQ77">INDEX('Indices Mines Exporting Ports'!O$20:O$51, MATCH(2,1/(('Indices Mines Exporting Ports'!$C$20:$C$51=$ID77)*('Indices Mines Exporting Ports'!$D$20:$D$51&lt;=$IE77))))</f>
        <v>Indonesian LT</v>
      </c>
      <c r="IR77" s="95" t="str">
        <f t="array" ref="IR77">INDEX('Indices Mines Exporting Ports'!P$20:P$51, MATCH(2,1/(('Indices Mines Exporting Ports'!$C$20:$C$51=$ID77)*('Indices Mines Exporting Ports'!$D$20:$D$51&lt;=$IE77))))</f>
        <v>CBIX LT</v>
      </c>
      <c r="IT77" s="287" t="s">
        <v>39</v>
      </c>
      <c r="IV77" s="292">
        <f>VLOOKUP($C77,'China Price Series'!$C$10:$D$1009,2,TRUE)/$JA77/(VLOOKUP($C77,'China Price Series'!$C$10:$E$1009,3,TRUE)*$JG77/$JF77)</f>
        <v>4.1416787371072177</v>
      </c>
      <c r="IW77" s="292">
        <f>VLOOKUP($C77,'China Price Series'!$G$10:$H$1009,2,TRUE)/$JA77/(VLOOKUP($C77,'China Price Series'!$G$10:$I$1009,3,TRUE))</f>
        <v>239.99706356533991</v>
      </c>
      <c r="IX77" s="292">
        <f>VLOOKUP($C77,'China Price Series'!$K$10:$L$1009,2,TRUE)/$JA77</f>
        <v>33.881938385695051</v>
      </c>
      <c r="IY77" s="292">
        <f>VLOOKUP($C77,'China Price Series'!$N$10:$O$1009,2,TRUE)/$JA77</f>
        <v>4.2352422982118814</v>
      </c>
      <c r="JA77" s="277">
        <f t="array" ref="JA77">INDEX('FX rates'!E$10:E$1009,MATCH(2,1/(('FX rates'!$D$10:$D$1009&lt;=Main!$C77)*(NOT(ISBLANK('FX rates'!E$10:E$1009))))))</f>
        <v>7.0834199999999994</v>
      </c>
      <c r="JB77" s="277">
        <f t="array" ref="JB77">INDEX('FX rates'!F$10:F$1009,MATCH(2,1/(('FX rates'!$D$10:$D$1009&lt;=Main!$C77)*(NOT(ISBLANK('FX rates'!F$10:F$1009))))))</f>
        <v>0.61160022139928016</v>
      </c>
      <c r="JC77" s="277">
        <f t="array" ref="JC77">INDEX('FX rates'!G$10:G$1009,MATCH(2,1/(('FX rates'!$D$10:$D$1009&lt;=Main!$C77)*(NOT(ISBLANK('FX rates'!G$10:G$1009))))))</f>
        <v>1</v>
      </c>
      <c r="JD77" s="277">
        <f t="array" ref="JD77">INDEX('FX rates'!H$10:H$1009,MATCH(2,1/(('FX rates'!$D$10:$D$1009&lt;=Main!$C77)*(NOT(ISBLANK('FX rates'!H$10:H$1009))))))</f>
        <v>1.35</v>
      </c>
      <c r="JF77" s="111">
        <f t="array" ref="JF77">INDEX('Global factors'!C$5:C$23,MATCH(2,1/(('Global factors'!$B$5:$B$23&lt;=Main!$C77)*(NOT(ISBLANK('Global factors'!C$5:C$23))))))</f>
        <v>239000</v>
      </c>
      <c r="JG77" s="112">
        <f t="array" ref="JG77">INDEX('Global factors'!D$5:D$23,MATCH(2,1/(('Global factors'!$B$5:$B$23&lt;=Main!$C77)*(NOT(ISBLANK('Global factors'!D$5:D$23))))))</f>
        <v>1000</v>
      </c>
      <c r="JH77" s="112">
        <f t="array" ref="JH77">INDEX('Global factors'!E$5:E$23,MATCH(2,1/(('Global factors'!$B$5:$B$23&lt;=Main!$C77)*(NOT(ISBLANK('Global factors'!E$5:E$23))))))</f>
        <v>24</v>
      </c>
      <c r="JI77" s="112">
        <f t="array" ref="JI77">INDEX('Global factors'!F$5:F$23,MATCH(2,1/(('Global factors'!$B$5:$B$23&lt;=Main!$C77)*(NOT(ISBLANK('Global factors'!F$5:F$23))))))</f>
        <v>2</v>
      </c>
      <c r="JJ77" s="117">
        <f t="array" ref="JJ77">INDEX('Global factors'!G$5:G$23,MATCH(2,1/(('Global factors'!$B$5:$B$23&lt;=Main!$C77)*(NOT(ISBLANK('Global factors'!G$5:G$23))))))</f>
        <v>0.08</v>
      </c>
      <c r="JK77" s="113">
        <f t="array" ref="JK77">INDEX('Global factors'!H$5:H$23,MATCH(2,1/(('Global factors'!$B$5:$B$23&lt;=Main!$C77)*(NOT(ISBLANK('Global factors'!H$5:H$23))))))</f>
        <v>101.96</v>
      </c>
      <c r="JL77" s="113">
        <f t="array" ref="JL77">INDEX('Global factors'!I$5:I$23,MATCH(2,1/(('Global factors'!$B$5:$B$23&lt;=Main!$C77)*(NOT(ISBLANK('Global factors'!I$5:I$23))))))</f>
        <v>60.08</v>
      </c>
      <c r="JM77" s="114">
        <f t="array" ref="JM77">INDEX('Global factors'!J$5:J$23,MATCH(2,1/(('Global factors'!$B$5:$B$23&lt;=Main!$C77)*(NOT(ISBLANK('Global factors'!J$5:J$23))))))</f>
        <v>0.84853528628495334</v>
      </c>
      <c r="JN77" s="115">
        <f t="array" ref="JN77">INDEX('Global factors'!K$5:K$23,MATCH(2,1/(('Global factors'!$B$5:$B$23&lt;=Main!$C77)*(NOT(ISBLANK('Global factors'!K$5:K$23))))))</f>
        <v>0.97499999999999998</v>
      </c>
      <c r="JO77" s="116">
        <f t="array" ref="JO77">INDEX('Global factors'!L$5:L$23,MATCH(2,1/(('Global factors'!$B$5:$B$23&lt;=Main!$C77)*(NOT(ISBLANK('Global factors'!L$5:L$23))))))</f>
        <v>8.7299999999999997E-4</v>
      </c>
      <c r="JP77" s="116">
        <f t="array" ref="JP77">INDEX('Global factors'!M$5:M$23,MATCH(2,1/(('Global factors'!$B$5:$B$23&lt;=Main!$C77)*(NOT(ISBLANK('Global factors'!M$5:M$23))))))</f>
        <v>145.88999999999999</v>
      </c>
      <c r="JQ77" s="116">
        <f t="array" ref="JQ77">INDEX('Global factors'!N$5:N$23,MATCH(2,1/(('Global factors'!$B$5:$B$23&lt;=Main!$C77)*(NOT(ISBLANK('Global factors'!N$5:N$23))))))</f>
        <v>0.40339999999999998</v>
      </c>
      <c r="JR77" s="116">
        <f t="array" ref="JR77">INDEX('Global factors'!O$5:O$23,MATCH(2,1/(('Global factors'!$B$5:$B$23&lt;=Main!$C77)*(NOT(ISBLANK('Global factors'!O$5:O$23))))))</f>
        <v>0</v>
      </c>
      <c r="JS77" s="116">
        <f t="array" ref="JS77">INDEX('Global factors'!P$5:P$23,MATCH(2,1/(('Global factors'!$B$5:$B$23&lt;=Main!$C77)*(NOT(ISBLANK('Global factors'!P$5:P$23))))))</f>
        <v>0.51890000000000003</v>
      </c>
      <c r="JT77" s="116">
        <f t="array" ref="JT77">INDEX('Global factors'!Q$5:Q$23,MATCH(2,1/(('Global factors'!$B$5:$B$23&lt;=Main!$C77)*(NOT(ISBLANK('Global factors'!Q$5:Q$23))))))</f>
        <v>4797</v>
      </c>
      <c r="JU77" s="116">
        <f t="array" ref="JU77">INDEX('Global factors'!R$5:R$23,MATCH(2,1/(('Global factors'!$B$5:$B$23&lt;=Main!$C77)*(NOT(ISBLANK('Global factors'!R$5:R$23))))))</f>
        <v>7</v>
      </c>
      <c r="JV77" s="115">
        <f t="array" ref="JV77">INDEX('Global factors'!S$5:S$23,MATCH(2,1/(('Global factors'!$B$5:$B$23&lt;=Main!$C77)*(NOT(ISBLANK('Global factors'!S$5:S$23))))))</f>
        <v>0.12</v>
      </c>
      <c r="JW77" s="115">
        <f t="array" ref="JW77">INDEX('Global factors'!T$5:T$23,MATCH(2,1/(('Global factors'!$B$5:$B$23&lt;=Main!$C77)*(NOT(ISBLANK('Global factors'!T$5:T$23))))))</f>
        <v>0.5</v>
      </c>
      <c r="JX77" s="116">
        <f t="array" ref="JX77">INDEX('Global factors'!U$5:U$23,MATCH(2,1/(('Global factors'!$B$5:$B$23&lt;=Main!$C77)*(NOT(ISBLANK('Global factors'!U$5:U$23))))))</f>
        <v>0.5</v>
      </c>
      <c r="JY77" s="116">
        <f t="array" ref="JY77">INDEX('Global factors'!V$5:V$23,MATCH(2,1/(('Global factors'!$B$5:$B$23&lt;=Main!$C77)*(NOT(ISBLANK('Global factors'!V$5:V$23))))))</f>
        <v>10000</v>
      </c>
      <c r="JZ77" s="116">
        <f t="array" ref="JZ77">INDEX('Global factors'!W$5:W$23,MATCH(2,1/(('Global factors'!$B$5:$B$23&lt;=Main!$C77)*(NOT(ISBLANK('Global factors'!W$5:W$23))))))</f>
        <v>0.10680000000000001</v>
      </c>
      <c r="KA77" s="116">
        <f t="array" ref="KA77">INDEX('Global factors'!X$5:X$23,MATCH(2,1/(('Global factors'!$B$5:$B$23&lt;=Main!$C77)*(NOT(ISBLANK('Global factors'!X$5:X$23))))))</f>
        <v>1.2</v>
      </c>
      <c r="KB77" s="116">
        <v>0</v>
      </c>
      <c r="KC77" s="272">
        <f t="array" ref="KC77">INDEX('Global factors'!Y$5:Y$23,MATCH(2,1/(('Global factors'!$B$5:$B$23&lt;=Main!$C77)*(NOT(ISBLANK('Global factors'!Y$5:Y$23))))))</f>
        <v>23643.7088248818</v>
      </c>
      <c r="KD77" s="273">
        <f t="array" ref="KD77">INDEX('Global factors'!Z$5:Z$23,MATCH(2,1/(('Global factors'!$B$5:$B$23&lt;=Main!$C77)*(NOT(ISBLANK('Global factors'!Z$5:Z$23))))))</f>
        <v>0.62802869915581405</v>
      </c>
      <c r="KE77" s="273">
        <v>0</v>
      </c>
      <c r="KF77" s="273">
        <v>0</v>
      </c>
      <c r="KG77" s="116">
        <v>0</v>
      </c>
      <c r="KH77" s="116">
        <f t="array" ref="KH77">INDEX('Global factors'!AB$5:AB$23,MATCH(2,1/(('Global factors'!$B$5:$B$23&lt;=Main!$C77)*(NOT(ISBLANK('Global factors'!AB$5:AB$23))))))</f>
        <v>6.2556361557795204E-2</v>
      </c>
      <c r="KI77" s="116">
        <f t="array" ref="KI77">INDEX('Global factors'!AC$5:AC$23,MATCH(2,1/(('Global factors'!$B$5:$B$23&lt;=Main!$C77)*(NOT(ISBLANK('Global factors'!AC$5:AC$23))))))</f>
        <v>8.6923129044225601E-4</v>
      </c>
      <c r="KJ77" s="116">
        <f t="array" ref="KJ77">INDEX('Global factors'!AD$5:AD$23,MATCH(2,1/(('Global factors'!$B$5:$B$23&lt;=Main!$C77)*(NOT(ISBLANK('Global factors'!AD$5:AD$23))))))</f>
        <v>1.1499999999999999</v>
      </c>
      <c r="KK77" s="116" t="str">
        <f t="array" ref="KK77">INDEX('Global factors'!AE$5:AE$23,MATCH(2,1/(('Global factors'!$B$5:$B$23&lt;=Main!$C77)*(NOT(ISBLANK('Global factors'!AE$5:AE$23))))))</f>
        <v>Qingdao</v>
      </c>
      <c r="KL77" s="290">
        <f t="array" ref="KL77">INDEX('Global factors'!AF$5:AF$23,MATCH(2,1/(('Global factors'!$B$5:$B$23&lt;=Main!$C77)*(NOT(ISBLANK('Global factors'!AF$5:AF$23))))))</f>
        <v>3.0000000000000001E-3</v>
      </c>
      <c r="KM77" s="290"/>
      <c r="KO77" s="287" t="s">
        <v>39</v>
      </c>
      <c r="KQ77" s="25">
        <f t="shared" si="778"/>
        <v>92911.010558069393</v>
      </c>
      <c r="KR77" s="4" t="str">
        <f>VLOOKUP(KQ77,'Ship Time Charter Rates'!$F$10:$G$17,2,TRUE)</f>
        <v>Panamax</v>
      </c>
      <c r="KS77" s="4" t="str">
        <f>VLOOKUP(KQ77,Canals!$E$5:$F$12,2,TRUE)</f>
        <v>Panamax</v>
      </c>
      <c r="KT77" s="25">
        <f t="shared" si="779"/>
        <v>227.00131221719457</v>
      </c>
      <c r="KU77" s="25">
        <f t="shared" si="780"/>
        <v>37480.301659125194</v>
      </c>
      <c r="KV77" s="25">
        <f t="shared" si="781"/>
        <v>53008.523378582213</v>
      </c>
      <c r="KX77" s="75">
        <f t="array" ref="KX77">INDEX('Indices Mines Exporting Ports'!$R$20:$R$51,MATCH(2,1/(('Indices Mines Exporting Ports'!$D$20:$D$51&lt;=Main!$C77)*('Indices Mines Exporting Ports'!$Q$20:$Q$51=$AP77))))</f>
        <v>15000</v>
      </c>
      <c r="KY77" s="75">
        <f t="array" ref="KY77">INDEX('Indices Mines Exporting Ports'!$S$20:$S$51,MATCH(2,1/(('Indices Mines Exporting Ports'!$D$20:$D$51&lt;=Main!$C77)*('Indices Mines Exporting Ports'!$Q$20:$Q$51=$AP77))))</f>
        <v>15000</v>
      </c>
      <c r="KZ77" s="75">
        <f t="array" ref="KZ77">INDEX('Indices Mines Exporting Ports'!$T$20:$T$51,MATCH(2,1/(('Indices Mines Exporting Ports'!$D$20:$D$51&lt;=Main!$C77)*('Indices Mines Exporting Ports'!$Q$20:$Q$51=$AP77))))</f>
        <v>15000</v>
      </c>
      <c r="LA77" s="75">
        <f t="array" ref="LA77">INDEX('Indices Mines Exporting Ports'!$U$20:$U$51,MATCH(2,1/(('Indices Mines Exporting Ports'!$D$20:$D$51&lt;=Main!$C77)*('Indices Mines Exporting Ports'!$Q$20:$Q$51=$AP77))))</f>
        <v>15000</v>
      </c>
      <c r="LB77" s="75">
        <f t="array" ref="LB77">INDEX('Indices Mines Exporting Ports'!$V$20:$V$51,MATCH(2,1/(('Indices Mines Exporting Ports'!$D$20:$D$51&lt;=Main!$C77)*('Indices Mines Exporting Ports'!$Q$20:$Q$51=$AP77))))</f>
        <v>15000</v>
      </c>
      <c r="LC77" s="75">
        <f t="array" ref="LC77">INDEX('Indices Mines Exporting Ports'!$W$20:$W$51,MATCH(2,1/(('Indices Mines Exporting Ports'!$D$20:$D$51&lt;=Main!$C77)*('Indices Mines Exporting Ports'!$Q$20:$Q$51=$AP77))))</f>
        <v>15000</v>
      </c>
      <c r="LD77" s="75">
        <f t="array" ref="LD77">INDEX('Indices Mines Exporting Ports'!$X$20:$X$51,MATCH(2,1/(('Indices Mines Exporting Ports'!$D$20:$D$51&lt;=Main!$C77)*('Indices Mines Exporting Ports'!$Q$20:$Q$51=$AP77))))</f>
        <v>15000</v>
      </c>
      <c r="LF77" s="75">
        <f t="array" ref="LF77">INDEX('Port Linkages'!$E$18:$E$157,MATCH(2,1/(('Port Linkages'!$C$18:$C$157=$AP77)*('Port Linkages'!$D$18:$D$157=IF($AO77="Yes",$AQ77,$AS77))*('Port Linkages'!$A$18:$A$157&lt;=$C77))))</f>
        <v>2326</v>
      </c>
      <c r="LG77" s="75">
        <f t="array" ref="LG77">INDEX('Port Linkages'!$F$18:$F$157,MATCH(2,1/(('Port Linkages'!$C$18:$C$157=$AP77)*('Port Linkages'!$D$18:$D$157=IF($AO77="Yes",$AQ77,$AS77))*('Port Linkages'!$A$18:$A$157&lt;=$C77))))</f>
        <v>0</v>
      </c>
      <c r="LH77" s="75" t="str">
        <f t="array" ref="LH77">INDEX('Port Linkages'!$G$18:$G$157,MATCH(2,1/(('Port Linkages'!$C$18:$C$157=$AP77)*('Port Linkages'!$D$18:$D$157=IF($AO77="Yes",$AQ77,$AS77))*('Port Linkages'!$A$18:$A$157&lt;=$C77))))</f>
        <v>VLOC_General</v>
      </c>
      <c r="LI77" s="75" t="str">
        <f t="array" ref="LI77">INDEX('Port Linkages'!$H$18:$H$157,MATCH(2,1/(('Port Linkages'!$C$18:$C$157=$AP77)*('Port Linkages'!$D$18:$D$157=IF($AO77="Yes",$AQ77,$AS77))*('Port Linkages'!$A$18:$A$157&lt;=$C77))))</f>
        <v>Singapore</v>
      </c>
      <c r="LJ77" s="75" t="str">
        <f t="array" ref="LJ77">INDEX('Port Linkages'!$I$18:$I$157,MATCH(2,1/(('Port Linkages'!$C$18:$C$157=$AP77)*('Port Linkages'!$D$18:$D$157=IF($AO77="Yes",$AQ77,$AS77))*('Port Linkages'!$A$18:$A$157&lt;=$C77))))</f>
        <v>VLSFO</v>
      </c>
      <c r="LK77" s="75" t="str">
        <f t="array" ref="LK77">INDEX('Port Linkages'!$J$18:$J$157,MATCH(2,1/(('Port Linkages'!$C$18:$C$157=$AP77)*('Port Linkages'!$D$18:$D$157=IF($AO77="Yes",$AQ77,$AS77))*('Port Linkages'!$A$18:$A$157&lt;=$C77))))</f>
        <v>MGO_Regular</v>
      </c>
      <c r="LL77" s="75" t="str">
        <f t="array" ref="LL77">INDEX('Port Linkages'!$K$18:$K$157,MATCH(2,1/(('Port Linkages'!$C$18:$C$157=$AP77)*('Port Linkages'!$D$18:$D$157=IF($AO77="Yes",$AQ77,$AS77))*('Port Linkages'!$A$18:$A$157&lt;=$C77))))</f>
        <v>none</v>
      </c>
      <c r="LM77" s="75">
        <f t="array" ref="LM77">INDEX('Port Linkages'!$L$18:$L$157,MATCH(2,1/(('Port Linkages'!$C$18:$C$157=$AP77)*('Port Linkages'!$D$18:$D$157=IF($AO77="Yes",$AQ77,$AS77))*('Port Linkages'!$A$18:$A$157&lt;=$C77))))</f>
        <v>2326</v>
      </c>
      <c r="LN77" s="75">
        <f t="array" ref="LN77">INDEX('Port Linkages'!$M$18:$M$157,MATCH(2,1/(('Port Linkages'!$C$18:$C$157=$AP77)*('Port Linkages'!$D$18:$D$157=IF($AO77="Yes",$AQ77,$AS77))*('Port Linkages'!$A$18:$A$157&lt;=$C77))))</f>
        <v>0</v>
      </c>
      <c r="LO77" s="75" t="str">
        <f t="array" ref="LO77">INDEX('Port Linkages'!$N$18:$N$157,MATCH(2,1/(('Port Linkages'!$C$18:$C$157=$AP77)*('Port Linkages'!$D$18:$D$157=IF($AO77="Yes",$AQ77,$AS77))*('Port Linkages'!$A$18:$A$157&lt;=$C77))))</f>
        <v>Capesize_General</v>
      </c>
      <c r="LP77" s="75" t="str">
        <f t="array" ref="LP77">INDEX('Port Linkages'!$O$18:$O$157,MATCH(2,1/(('Port Linkages'!$C$18:$C$157=$AP77)*('Port Linkages'!$D$18:$D$157=IF($AO77="Yes",$AQ77,$AS77))*('Port Linkages'!$A$18:$A$157&lt;=$C77))))</f>
        <v>Singapore</v>
      </c>
      <c r="LQ77" s="75" t="str">
        <f t="array" ref="LQ77">INDEX('Port Linkages'!$P$18:$P$157,MATCH(2,1/(('Port Linkages'!$C$18:$C$157=$AP77)*('Port Linkages'!$D$18:$D$157=IF($AO77="Yes",$AQ77,$AS77))*('Port Linkages'!$A$18:$A$157&lt;=$C77))))</f>
        <v>VLSFO</v>
      </c>
      <c r="LR77" s="75" t="str">
        <f t="array" ref="LR77">INDEX('Port Linkages'!$Q$18:$Q$157,MATCH(2,1/(('Port Linkages'!$C$18:$C$157=$AP77)*('Port Linkages'!$D$18:$D$157=IF($AO77="Yes",$AQ77,$AS77))*('Port Linkages'!$A$18:$A$157&lt;=$C77))))</f>
        <v>MGO_Regular</v>
      </c>
      <c r="LS77" s="75" t="str">
        <f t="array" ref="LS77">INDEX('Port Linkages'!$R$18:$R$157,MATCH(2,1/(('Port Linkages'!$C$18:$C$157=$AP77)*('Port Linkages'!$D$18:$D$157=IF($AO77="Yes",$AQ77,$AS77))*('Port Linkages'!$A$18:$A$157&lt;=$C77))))</f>
        <v>none</v>
      </c>
      <c r="LT77" s="75">
        <f t="array" ref="LT77">INDEX('Port Linkages'!$S$18:$S$157,MATCH(2,1/(('Port Linkages'!$C$18:$C$157=$AP77)*('Port Linkages'!$D$18:$D$157=IF($AO77="Yes",$AQ77,$AS77))*('Port Linkages'!$A$18:$A$157&lt;=$C77))))</f>
        <v>2326</v>
      </c>
      <c r="LU77" s="75">
        <f t="array" ref="LU77">INDEX('Port Linkages'!$T$18:$T$157,MATCH(2,1/(('Port Linkages'!$C$18:$C$157=$AP77)*('Port Linkages'!$D$18:$D$157=IF($AO77="Yes",$AQ77,$AS77))*('Port Linkages'!$A$18:$A$157&lt;=$C77))))</f>
        <v>0</v>
      </c>
      <c r="LV77" s="75" t="str">
        <f t="array" ref="LV77">INDEX('Port Linkages'!$U$18:$U$157,MATCH(2,1/(('Port Linkages'!$C$18:$C$157=$AP77)*('Port Linkages'!$D$18:$D$157=IF($AO77="Yes",$AQ77,$AS77))*('Port Linkages'!$A$18:$A$157&lt;=$C77))))</f>
        <v>Capesize_General</v>
      </c>
      <c r="LW77" s="75" t="str">
        <f t="array" ref="LW77">INDEX('Port Linkages'!$V$18:$V$157,MATCH(2,1/(('Port Linkages'!$C$18:$C$157=$AP77)*('Port Linkages'!$D$18:$D$157=IF($AO77="Yes",$AQ77,$AS77))*('Port Linkages'!$A$18:$A$157&lt;=$C77))))</f>
        <v>Singapore</v>
      </c>
      <c r="LX77" s="75" t="str">
        <f t="array" ref="LX77">INDEX('Port Linkages'!$W$18:$W$157,MATCH(2,1/(('Port Linkages'!$C$18:$C$157=$AP77)*('Port Linkages'!$D$18:$D$157=IF($AO77="Yes",$AQ77,$AS77))*('Port Linkages'!$A$18:$A$157&lt;=$C77))))</f>
        <v>VLSFO</v>
      </c>
      <c r="LY77" s="75" t="str">
        <f t="array" ref="LY77">INDEX('Port Linkages'!$X$18:$X$157,MATCH(2,1/(('Port Linkages'!$C$18:$C$157=$AP77)*('Port Linkages'!$D$18:$D$157=IF($AO77="Yes",$AQ77,$AS77))*('Port Linkages'!$A$18:$A$157&lt;=$C77))))</f>
        <v>MGO_Regular</v>
      </c>
      <c r="LZ77" s="75" t="str">
        <f t="array" ref="LZ77">INDEX('Port Linkages'!$Y$18:$Y$157,MATCH(2,1/(('Port Linkages'!$C$18:$C$157=$AP77)*('Port Linkages'!$D$18:$D$157=IF($AO77="Yes",$AQ77,$AS77))*('Port Linkages'!$A$18:$A$157&lt;=$C77))))</f>
        <v>none</v>
      </c>
      <c r="MA77" s="75">
        <f t="array" ref="MA77">INDEX('Port Linkages'!$Z$18:$Z$157,MATCH(2,1/(('Port Linkages'!$C$18:$C$157=$AP77)*('Port Linkages'!$D$18:$D$157=IF($AO77="Yes",$AQ77,$AS77))*('Port Linkages'!$A$18:$A$157&lt;=$C77))))</f>
        <v>2326</v>
      </c>
      <c r="MB77" s="75">
        <f t="array" ref="MB77">INDEX('Port Linkages'!$AA$18:$AA$157,MATCH(2,1/(('Port Linkages'!$C$18:$C$157=$AP77)*('Port Linkages'!$D$18:$D$157=IF($AO77="Yes",$AQ77,$AS77))*('Port Linkages'!$A$18:$A$157&lt;=$C77))))</f>
        <v>0</v>
      </c>
      <c r="MC77" s="75" t="str">
        <f t="array" ref="MC77">INDEX('Port Linkages'!$AB$18:$AB$157,MATCH(2,1/(('Port Linkages'!$C$18:$C$157=$AP77)*('Port Linkages'!$D$18:$D$157=IF($AO77="Yes",$AQ77,$AS77))*('Port Linkages'!$A$18:$A$157&lt;=$C77))))</f>
        <v>Capesize_General</v>
      </c>
      <c r="MD77" s="75" t="str">
        <f t="array" ref="MD77">INDEX('Port Linkages'!$AC$18:$AC$157,MATCH(2,1/(('Port Linkages'!$C$18:$C$157=$AP77)*('Port Linkages'!$D$18:$D$157=IF($AO77="Yes",$AQ77,$AS77))*('Port Linkages'!$A$18:$A$157&lt;=$C77))))</f>
        <v>Singapore</v>
      </c>
      <c r="ME77" s="75" t="str">
        <f t="array" ref="ME77">INDEX('Port Linkages'!$AD$18:$AD$157,MATCH(2,1/(('Port Linkages'!$C$18:$C$157=$AP77)*('Port Linkages'!$D$18:$D$157=IF($AO77="Yes",$AQ77,$AS77))*('Port Linkages'!$A$18:$A$157&lt;=$C77))))</f>
        <v>VLSFO</v>
      </c>
      <c r="MF77" s="75" t="str">
        <f t="array" ref="MF77">INDEX('Port Linkages'!$AE$18:$AE$157,MATCH(2,1/(('Port Linkages'!$C$18:$C$157=$AP77)*('Port Linkages'!$D$18:$D$157=IF($AO77="Yes",$AQ77,$AS77))*('Port Linkages'!$A$18:$A$157&lt;=$C77))))</f>
        <v>MGO_Regular</v>
      </c>
      <c r="MG77" s="75" t="str">
        <f t="array" ref="MG77">INDEX('Port Linkages'!$AF$18:$AF$157,MATCH(2,1/(('Port Linkages'!$C$18:$C$157=$AP77)*('Port Linkages'!$D$18:$D$157=IF($AO77="Yes",$AQ77,$AS77))*('Port Linkages'!$A$18:$A$157&lt;=$C77))))</f>
        <v>none</v>
      </c>
      <c r="MH77" s="75">
        <f t="array" ref="MH77">INDEX('Port Linkages'!$AG$18:$AG$157,MATCH(2,1/(('Port Linkages'!$C$18:$C$157=$AP77)*('Port Linkages'!$D$18:$D$157=IF($AO77="Yes",$AQ77,$AS77))*('Port Linkages'!$A$18:$A$157&lt;=$C77))))</f>
        <v>2326</v>
      </c>
      <c r="MI77" s="75">
        <f t="array" ref="MI77">INDEX('Port Linkages'!$AH$18:$AH$157,MATCH(2,1/(('Port Linkages'!$C$18:$C$157=$AP77)*('Port Linkages'!$D$18:$D$157=IF($AO77="Yes",$AQ77,$AS77))*('Port Linkages'!$A$18:$A$157&lt;=$C77))))</f>
        <v>0</v>
      </c>
      <c r="MJ77" s="75" t="str">
        <f t="array" ref="MJ77">INDEX('Port Linkages'!$AI$18:$AI$157,MATCH(2,1/(('Port Linkages'!$C$18:$C$157=$AP77)*('Port Linkages'!$D$18:$D$157=IF($AO77="Yes",$AQ77,$AS77))*('Port Linkages'!$A$18:$A$157&lt;=$C77))))</f>
        <v>Panamax_General</v>
      </c>
      <c r="MK77" s="75" t="str">
        <f t="array" ref="MK77">INDEX('Port Linkages'!$AJ$18:$AJ$157,MATCH(2,1/(('Port Linkages'!$C$18:$C$157=$AP77)*('Port Linkages'!$D$18:$D$157=IF($AO77="Yes",$AQ77,$AS77))*('Port Linkages'!$A$18:$A$157&lt;=$C77))))</f>
        <v>Singapore</v>
      </c>
      <c r="ML77" s="75" t="str">
        <f t="array" ref="ML77">INDEX('Port Linkages'!$AK$18:$AK$157,MATCH(2,1/(('Port Linkages'!$C$18:$C$157=$AP77)*('Port Linkages'!$D$18:$D$157=IF($AO77="Yes",$AQ77,$AS77))*('Port Linkages'!$A$18:$A$157&lt;=$C77))))</f>
        <v>VLSFO</v>
      </c>
      <c r="MM77" s="75" t="str">
        <f t="array" ref="MM77">INDEX('Port Linkages'!$AL$18:$AL$157,MATCH(2,1/(('Port Linkages'!$C$18:$C$157=$AP77)*('Port Linkages'!$D$18:$D$157=IF($AO77="Yes",$AQ77,$AS77))*('Port Linkages'!$A$18:$A$157&lt;=$C77))))</f>
        <v>MGO_Regular</v>
      </c>
      <c r="MN77" s="75" t="str">
        <f t="array" ref="MN77">INDEX('Port Linkages'!$AM$18:$AM$157,MATCH(2,1/(('Port Linkages'!$C$18:$C$157=$AP77)*('Port Linkages'!$D$18:$D$157=IF($AO77="Yes",$AQ77,$AS77))*('Port Linkages'!$A$18:$A$157&lt;=$C77))))</f>
        <v>none</v>
      </c>
      <c r="MO77" s="75">
        <f t="array" ref="MO77">INDEX('Port Linkages'!$AN$18:$AN$157,MATCH(2,1/(('Port Linkages'!$C$18:$C$157=$AP77)*('Port Linkages'!$D$18:$D$157=IF($AO77="Yes",$AQ77,$AS77))*('Port Linkages'!$A$18:$A$157&lt;=$C77))))</f>
        <v>2326</v>
      </c>
      <c r="MP77" s="75">
        <f t="array" ref="MP77">INDEX('Port Linkages'!$AO$18:$AO$157,MATCH(2,1/(('Port Linkages'!$C$18:$C$157=$AP77)*('Port Linkages'!$D$18:$D$157=IF($AO77="Yes",$AQ77,$AS77))*('Port Linkages'!$A$18:$A$157&lt;=$C77))))</f>
        <v>0</v>
      </c>
      <c r="MQ77" s="75" t="str">
        <f t="array" ref="MQ77">INDEX('Port Linkages'!$AP$18:$AP$157,MATCH(2,1/(('Port Linkages'!$C$18:$C$157=$AP77)*('Port Linkages'!$D$18:$D$157=IF($AO77="Yes",$AQ77,$AS77))*('Port Linkages'!$A$18:$A$157&lt;=$C77))))</f>
        <v>Supramax_General</v>
      </c>
      <c r="MR77" s="75" t="str">
        <f t="array" ref="MR77">INDEX('Port Linkages'!$AQ$18:$AQ$157,MATCH(2,1/(('Port Linkages'!$C$18:$C$157=$AP77)*('Port Linkages'!$D$18:$D$157=IF($AO77="Yes",$AQ77,$AS77))*('Port Linkages'!$A$18:$A$157&lt;=$C77))))</f>
        <v>Singapore</v>
      </c>
      <c r="MS77" s="75" t="str">
        <f t="array" ref="MS77">INDEX('Port Linkages'!$AR$18:$AR$157,MATCH(2,1/(('Port Linkages'!$C$18:$C$157=$AP77)*('Port Linkages'!$D$18:$D$157=IF($AO77="Yes",$AQ77,$AS77))*('Port Linkages'!$A$18:$A$157&lt;=$C77))))</f>
        <v>VLSFO</v>
      </c>
      <c r="MT77" s="75" t="str">
        <f t="array" ref="MT77">INDEX('Port Linkages'!$AS$18:$AS$157,MATCH(2,1/(('Port Linkages'!$C$18:$C$157=$AP77)*('Port Linkages'!$D$18:$D$157=IF($AO77="Yes",$AQ77,$AS77))*('Port Linkages'!$A$18:$A$157&lt;=$C77))))</f>
        <v>MGO_Regular</v>
      </c>
      <c r="MU77" s="75" t="str">
        <f t="array" ref="MU77">INDEX('Port Linkages'!$AT$18:$AT$157,MATCH(2,1/(('Port Linkages'!$C$18:$C$157=$AP77)*('Port Linkages'!$D$18:$D$157=IF($AO77="Yes",$AQ77,$AS77))*('Port Linkages'!$A$18:$A$157&lt;=$C77))))</f>
        <v>none</v>
      </c>
      <c r="MV77" s="75">
        <f t="array" ref="MV77">INDEX('Port Linkages'!$AU$18:$AU$157,MATCH(2,1/(('Port Linkages'!$C$18:$C$157=$AP77)*('Port Linkages'!$D$18:$D$157=IF($AO77="Yes",$AQ77,$AS77))*('Port Linkages'!$A$18:$A$157&lt;=$C77))))</f>
        <v>2326</v>
      </c>
      <c r="MW77" s="75">
        <f t="array" ref="MW77">INDEX('Port Linkages'!$AV$18:$AV$157,MATCH(2,1/(('Port Linkages'!$C$18:$C$157=$AP77)*('Port Linkages'!$D$18:$D$157=IF($AO77="Yes",$AQ77,$AS77))*('Port Linkages'!$A$18:$A$157&lt;=$C77))))</f>
        <v>0</v>
      </c>
      <c r="MX77" s="75" t="str">
        <f t="array" ref="MX77">INDEX('Port Linkages'!$AW$18:$AW$157,MATCH(2,1/(('Port Linkages'!$C$18:$C$157=$AP77)*('Port Linkages'!$D$18:$D$157=IF($AO77="Yes",$AQ77,$AS77))*('Port Linkages'!$A$18:$A$157&lt;=$C77))))</f>
        <v>Handysize_General</v>
      </c>
      <c r="MY77" s="75" t="str">
        <f t="array" ref="MY77">INDEX('Port Linkages'!$AX$18:$AX$157,MATCH(2,1/(('Port Linkages'!$C$18:$C$157=$AP77)*('Port Linkages'!$D$18:$D$157=IF($AO77="Yes",$AQ77,$AS77))*('Port Linkages'!$A$18:$A$157&lt;=$C77))))</f>
        <v>Singapore</v>
      </c>
      <c r="MZ77" s="75" t="str">
        <f t="array" ref="MZ77">INDEX('Port Linkages'!$AY$18:$AY$157,MATCH(2,1/(('Port Linkages'!$C$18:$C$157=$AP77)*('Port Linkages'!$D$18:$D$157=IF($AO77="Yes",$AQ77,$AS77))*('Port Linkages'!$A$18:$A$157&lt;=$C77))))</f>
        <v>VLSFO</v>
      </c>
      <c r="NA77" s="75" t="str">
        <f t="array" ref="NA77">INDEX('Port Linkages'!$AZ$18:$AZ$157,MATCH(2,1/(('Port Linkages'!$C$18:$C$157=$AP77)*('Port Linkages'!$D$18:$D$157=IF($AO77="Yes",$AQ77,$AS77))*('Port Linkages'!$A$18:$A$157&lt;=$C77))))</f>
        <v>MGO_Regular</v>
      </c>
      <c r="NB77" s="75" t="str">
        <f t="array" ref="NB77">INDEX('Port Linkages'!$BA$18:$BA$157,MATCH(2,1/(('Port Linkages'!$C$18:$C$157=$AP77)*('Port Linkages'!$D$18:$D$157=IF($AO77="Yes",$AQ77,$AS77))*('Port Linkages'!$A$18:$A$157&lt;=$C77))))</f>
        <v>none</v>
      </c>
      <c r="ND77" s="25" t="e">
        <f t="array" aca="1" ref="ND77" ca="1">INDEX('Ship Fuel Prices'!$F$5:$F$1004,MATCH(2,1/(('Ship Fuel Prices'!$E$5:$E$1004=_xlfn.IFS(KS77="Handysize",Main!MY77,KS77="Supramax",MR77,KS77="Panamax",MK77,KS77="NeoPanamax",MD77,KS77="Suezmax",LW77,KS77="Capesize",LP77,KS77="VLOC",LI77))*('Ship Fuel Prices'!$D$5:$D$1004&lt;=Main!$C77))))</f>
        <v>#N/A</v>
      </c>
      <c r="NE77" s="25" t="e">
        <f t="array" aca="1" ref="NE77" ca="1">INDEX('Ship Fuel Prices'!$G$5:$G$1004,MATCH(2,1/(('Ship Fuel Prices'!$E$5:$E$1004=_xlfn.IFS(KS77="Handysize",Main!MY77,KS77="Supramax",MR77,KS77="Panamax",MK77,KS77="NeoPanamax",MD77,KS77="Suezmax",LW77,KS77="Capesize",LP77,KS77="VLOC",LI77))*('Ship Fuel Prices'!$D$5:$D$1004&lt;=Main!$C77))))</f>
        <v>#N/A</v>
      </c>
      <c r="NF77" s="25" t="e">
        <f t="array" aca="1" ref="NF77" ca="1">INDEX('Ship Fuel Prices'!$H$5:$H$1004,MATCH(2,1/(('Ship Fuel Prices'!$E$5:$E$1004=_xlfn.IFS(KS77="Handysize",Main!MY77,KS77="Supramax",MR77,KS77="Panamax",MK77,KS77="NeoPanamax",MD77,KS77="Suezmax",LW77,KS77="Capesize",LP77,KS77="VLOC",LI77))*('Ship Fuel Prices'!$D$5:$D$1004&lt;=Main!$C77))))</f>
        <v>#N/A</v>
      </c>
      <c r="NG77" s="25" t="e">
        <f t="array" aca="1" ref="NG77" ca="1">INDEX('Ship Fuel Prices'!$I$5:$I$1004,MATCH(2,1/(('Ship Fuel Prices'!$E$5:$E$1004=_xlfn.IFS(KS77="Handysize",Main!MY77,KS77="Supramax",MR77,KS77="Panamax",MK77,KS77="NeoPanamax",MD77,KS77="Suezmax",LW77,KS77="Capesize",LP77,KS77="VLOC",LI77))*('Ship Fuel Prices'!$D$5:$D$1004&lt;=Main!$C77))))</f>
        <v>#N/A</v>
      </c>
      <c r="NH77" s="25" t="e">
        <f t="array" aca="1" ref="NH77" ca="1">INDEX('Ship Fuel Prices'!$J$5:$J$1004,MATCH(2,1/(('Ship Fuel Prices'!$E$5:$E$1004=_xlfn.IFS(KS77="Handysize",Main!MY77,KS77="Supramax",MR77,KS77="Panamax",MK77,KS77="NeoPanamax",MD77,KS77="Suezmax",LW77,KS77="Capesize",LP77,KS77="VLOC",LI77))*('Ship Fuel Prices'!$D$5:$D$1004&lt;=Main!$C77))))</f>
        <v>#N/A</v>
      </c>
      <c r="NJ77" s="75">
        <f t="array" ref="NJ77">INDEX('China n Importing Ports'!$E$20:$E$41,MATCH(2,1/(('China n Importing Ports'!$D$20:$D$41&lt;=$C77)*('China n Importing Ports'!$C$20:$C$41=IF($AO77="Yes",$AQ77,$AS77)))))</f>
        <v>42500</v>
      </c>
      <c r="NK77" s="75">
        <f t="array" ref="NK77">INDEX('China n Importing Ports'!$F$20:$F$41,MATCH(2,1/(('China n Importing Ports'!$D$20:$D$41&lt;=$C77)*('China n Importing Ports'!$C$20:$C$41=IF($AO77="Yes",$AQ77,$AS77)))))</f>
        <v>42500</v>
      </c>
      <c r="NL77" s="75">
        <f t="array" ref="NL77">INDEX('China n Importing Ports'!$G$20:$G$41,MATCH(2,1/(('China n Importing Ports'!$D$20:$D$41&lt;=$C77)*('China n Importing Ports'!$C$20:$C$41=IF($AO77="Yes",$AQ77,$AS77)))))</f>
        <v>42500</v>
      </c>
      <c r="NM77" s="75">
        <f t="array" ref="NM77">INDEX('China n Importing Ports'!$H$20:$H$41,MATCH(2,1/(('China n Importing Ports'!$D$20:$D$41&lt;=$C77)*('China n Importing Ports'!$C$20:$C$41=IF($AO77="Yes",$AQ77,$AS77)))))</f>
        <v>42500</v>
      </c>
      <c r="NN77" s="75">
        <f t="array" ref="NN77">INDEX('China n Importing Ports'!$I$20:$I$41,MATCH(2,1/(('China n Importing Ports'!$D$20:$D$41&lt;=$C77)*('China n Importing Ports'!$C$20:$C$41=IF($AO77="Yes",$AQ77,$AS77)))))</f>
        <v>42500</v>
      </c>
      <c r="NO77" s="75">
        <f t="array" ref="NO77">INDEX('China n Importing Ports'!$J$20:$J$41,MATCH(2,1/(('China n Importing Ports'!$D$20:$D$41&lt;=$C77)*('China n Importing Ports'!$C$20:$C$41=IF($AO77="Yes",$AQ77,$AS77)))))</f>
        <v>42500</v>
      </c>
      <c r="NP77" s="75">
        <f t="array" ref="NP77">INDEX('China n Importing Ports'!$K$20:$K$41,MATCH(2,1/(('China n Importing Ports'!$D$20:$D$41&lt;=$C77)*('China n Importing Ports'!$C$20:$C$41=IF($AO77="Yes",$AQ77,$AS77)))))</f>
        <v>42500</v>
      </c>
      <c r="NQ77" s="75" t="str">
        <f t="array" ref="NQ77">INDEX('China n Importing Ports'!$L$20:$L$41,MATCH(2,1/(('China n Importing Ports'!$D$20:$D$41&lt;=$C77)*('China n Importing Ports'!$C$20:$C$41=IF($AO77="Yes",$AQ77,$AS77)))))</f>
        <v>RMB</v>
      </c>
      <c r="NR77" s="75">
        <f t="array" ref="NR77">INDEX('China n Importing Ports'!$M$20:$M$41,MATCH(2,1/(('China n Importing Ports'!$D$20:$D$41&lt;=$C77)*('China n Importing Ports'!$C$20:$C$41=IF($AO77="Yes",$AQ77,$AS77)))))</f>
        <v>12342</v>
      </c>
      <c r="NS77" s="75">
        <f t="array" ref="NS77">INDEX('China n Importing Ports'!$N$20:$N$41,MATCH(2,1/(('China n Importing Ports'!$D$20:$D$41&lt;=$C77)*('China n Importing Ports'!$C$20:$C$41=IF($AO77="Yes",$AQ77,$AS77)))))</f>
        <v>0</v>
      </c>
      <c r="NT77" s="75">
        <f t="array" ref="NT77">INDEX('China n Importing Ports'!$O$20:$O$41,MATCH(2,1/(('China n Importing Ports'!$D$20:$D$41&lt;=$C77)*('China n Importing Ports'!$C$20:$C$41=IF($AO77="Yes",$AQ77,$AS77)))))</f>
        <v>0</v>
      </c>
      <c r="NU77" s="136">
        <f t="array" ref="NU77">INDEX('China n Importing Ports'!$P$20:$P$41,MATCH(2,1/(('China n Importing Ports'!$D$20:$D$41&lt;=$C77)*('China n Importing Ports'!$C$20:$C$41=IF($AO77="Yes",$AQ77,$AS77)))))</f>
        <v>2.64</v>
      </c>
      <c r="NV77" s="136">
        <f t="array" ref="NV77">INDEX('China n Importing Ports'!$Q$20:$Q$41,MATCH(2,1/(('China n Importing Ports'!$D$20:$D$41&lt;=$C77)*('China n Importing Ports'!$C$20:$C$41=IF($AO77="Yes",$AQ77,$AS77)))))</f>
        <v>0</v>
      </c>
      <c r="NW77" s="136">
        <f t="array" ref="NW77">INDEX('China n Importing Ports'!$R$20:$R$41,MATCH(2,1/(('China n Importing Ports'!$D$20:$D$41&lt;=$C77)*('China n Importing Ports'!$C$20:$C$41=IF($AO77="Yes",$AQ77,$AS77)))))</f>
        <v>0</v>
      </c>
      <c r="NX77" s="136">
        <f t="array" ref="NX77">INDEX('China n Importing Ports'!$S$20:$S$41,MATCH(2,1/(('China n Importing Ports'!$D$20:$D$41&lt;=$C77)*('China n Importing Ports'!$C$20:$C$41=IF($AO77="Yes",$AQ77,$AS77)))))</f>
        <v>4.53</v>
      </c>
      <c r="NY77" s="136">
        <f t="array" ref="NY77">INDEX('China n Importing Ports'!$T$20:$T$41,MATCH(2,1/(('China n Importing Ports'!$D$20:$D$41&lt;=$C77)*('China n Importing Ports'!$C$20:$C$41=IF($AO77="Yes",$AQ77,$AS77)))))</f>
        <v>0.36699999999999999</v>
      </c>
      <c r="NZ77" s="136">
        <f t="array" ref="NZ77">INDEX('China n Importing Ports'!$U$20:$U$41,MATCH(2,1/(('China n Importing Ports'!$D$20:$D$41&lt;=$C77)*('China n Importing Ports'!$C$20:$C$41=IF($AO77="Yes",$AQ77,$AS77)))))</f>
        <v>0.05</v>
      </c>
      <c r="OA77" s="136">
        <f t="array" ref="OA77">INDEX('China n Importing Ports'!$V$20:$V$41,MATCH(2,1/(('China n Importing Ports'!$D$20:$D$41&lt;=$C77)*('China n Importing Ports'!$C$20:$C$41=IF($AO77="Yes",$AQ77,$AS77)))))</f>
        <v>0</v>
      </c>
      <c r="OB77" s="136">
        <f t="array" ref="OB77">INDEX('China n Importing Ports'!$W$20:$W$41,MATCH(2,1/(('China n Importing Ports'!$D$20:$D$41&lt;=$C77)*('China n Importing Ports'!$C$20:$C$41=IF($AO77="Yes",$AQ77,$AS77)))))</f>
        <v>0</v>
      </c>
      <c r="OC77" s="136">
        <f t="array" ref="OC77">INDEX('China n Importing Ports'!$X$20:$X$41,MATCH(2,1/(('China n Importing Ports'!$D$20:$D$41&lt;=$C77)*('China n Importing Ports'!$C$20:$C$41=IF($AO77="Yes",$AQ77,$AS77)))))</f>
        <v>0</v>
      </c>
      <c r="OD77" s="136">
        <f t="array" ref="OD77">INDEX('China n Importing Ports'!$Y$20:$Y$41,MATCH(2,1/(('China n Importing Ports'!$D$20:$D$41&lt;=$C77)*('China n Importing Ports'!$C$20:$C$41=IF($AO77="Yes",$AQ77,$AS77)))))</f>
        <v>197</v>
      </c>
      <c r="OE77" s="136">
        <f t="array" ref="OE77">INDEX('China n Importing Ports'!$Z$20:$Z$41,MATCH(2,1/(('China n Importing Ports'!$D$20:$D$41&lt;=$C77)*('China n Importing Ports'!$C$20:$C$41=IF($AO77="Yes",$AQ77,$AS77)))))</f>
        <v>0</v>
      </c>
      <c r="OF77" s="136">
        <f t="array" ref="OF77">INDEX('China n Importing Ports'!$AA$20:$AA$41,MATCH(2,1/(('China n Importing Ports'!$D$20:$D$41&lt;=$C77)*('China n Importing Ports'!$C$20:$C$41=IF($AO77="Yes",$AQ77,$AS77)))))</f>
        <v>0</v>
      </c>
      <c r="OH77" s="75" t="e">
        <f t="array" aca="1" ref="OH77" ca="1">INDEX(Canals!$G$24:$G$29,MATCH(2,1/((Canals!$F$24:$F$29&lt;=$C77)*(Canals!$G$24:$G$29=_xlfn.IFS(KS77="Handysize",Main!NB77,KS77="Supramax",MU77,KS77="Panamax",MN77,KS77="NeoPanamax",MG77,KS77="Suezmax",LZ77,KS77="Capesize",LS77,KS77="VLOC",LL77)))))</f>
        <v>#N/A</v>
      </c>
      <c r="OI77" s="75" t="e">
        <f t="array" aca="1" ref="OI77" ca="1">INDEX(Canals!$H$24:$H$29,MATCH(2,1/((Canals!$F$24:$F$29&lt;=$C77)*(Canals!$G$24:$G$29=_xlfn.IFS(KS77="Handysize",Main!NB77,KS77="Supramax",MU77,KS77="Panamax",MN77,KS77="NeoPanamax",MG77,KS77="Suezmax",LZ77,KS77="Capesize",LS77,KS77="VLOC",LL77)))))</f>
        <v>#N/A</v>
      </c>
      <c r="OJ77" s="75" t="e">
        <f t="array" aca="1" ref="OJ77" ca="1">INDEX(Canals!$I$24:$I$29,MATCH(2,1/((Canals!$F$24:$F$29&lt;=$C77)*(Canals!$G$24:$G$29=_xlfn.IFS(KS77="Handysize",Main!NB77,KS77="Supramax",MU77,KS77="Panamax",MN77,KS77="NeoPanamax",MG77,KS77="Suezmax",LZ77,KS77="Capesize",LS77,KS77="VLOC",LL77)))))</f>
        <v>#N/A</v>
      </c>
      <c r="OK77" s="75" t="e">
        <f t="array" aca="1" ref="OK77" ca="1">INDEX(Canals!$J$24:$J$29,MATCH(2,1/((Canals!$F$24:$F$29&lt;=$C77)*(Canals!$G$24:$G$29=_xlfn.IFS(KS77="Handysize",Main!NB77,KS77="Supramax",MU77,KS77="Panamax",MN77,KS77="NeoPanamax",MG77,KS77="Suezmax",LZ77,KS77="Capesize",LS77,KS77="VLOC",LL77)))))</f>
        <v>#N/A</v>
      </c>
      <c r="OL77" s="75" t="e">
        <f t="array" aca="1" ref="OL77" ca="1">INDEX(Canals!$K$24:$K$29,MATCH(2,1/((Canals!$F$24:$F$29&lt;=$C77)*(Canals!$G$24:$G$29=_xlfn.IFS(KS77="Handysize",Main!NB77,KS77="Supramax",MU77,KS77="Panamax",MN77,KS77="NeoPanamax",MG77,KS77="Suezmax",LZ77,KS77="Capesize",LS77,KS77="VLOC",LL77)))))</f>
        <v>#N/A</v>
      </c>
      <c r="OM77" s="75" t="e">
        <f t="array" aca="1" ref="OM77" ca="1">INDEX(Canals!$L$24:$L$29,MATCH(2,1/((Canals!$F$24:$F$29&lt;=$C77)*(Canals!$G$24:$G$29=_xlfn.IFS(KS77="Handysize",Main!NB77,KS77="Supramax",MU77,KS77="Panamax",MN77,KS77="NeoPanamax",MG77,KS77="Suezmax",LZ77,KS77="Capesize",LS77,KS77="VLOC",LL77)))))</f>
        <v>#N/A</v>
      </c>
      <c r="ON77" s="75" t="e">
        <f t="array" aca="1" ref="ON77" ca="1">INDEX(Canals!$M$24:$M$29,MATCH(2,1/((Canals!$F$24:$F$29&lt;=$C77)*(Canals!$G$24:$G$29=_xlfn.IFS(KS77="Handysize",Main!NB77,KS77="Supramax",MU77,KS77="Panamax",MN77,KS77="NeoPanamax",MG77,KS77="Suezmax",LZ77,KS77="Capesize",LS77,KS77="VLOC",LL77)))))</f>
        <v>#N/A</v>
      </c>
      <c r="OO77" s="75" t="e">
        <f t="array" aca="1" ref="OO77" ca="1">INDEX(Canals!$N$24:$N$29,MATCH(2,1/((Canals!$F$24:$F$29&lt;=$C77)*(Canals!$G$24:$G$29=_xlfn.IFS(KS77="Handysize",Main!NB77,KS77="Supramax",MU77,KS77="Panamax",MN77,KS77="NeoPanamax",MG77,KS77="Suezmax",LZ77,KS77="Capesize",LS77,KS77="VLOC",LL77)))))</f>
        <v>#N/A</v>
      </c>
      <c r="OP77" s="75" t="e">
        <f t="array" aca="1" ref="OP77" ca="1">INDEX(Canals!$O$24:$O$29,MATCH(2,1/((Canals!$F$24:$F$29&lt;=$C77)*(Canals!$G$24:$G$29=_xlfn.IFS(KS77="Handysize",Main!NB77,KS77="Supramax",MU77,KS77="Panamax",MN77,KS77="NeoPanamax",MG77,KS77="Suezmax",LZ77,KS77="Capesize",LS77,KS77="VLOC",LL77)))))</f>
        <v>#N/A</v>
      </c>
      <c r="OQ77" s="75" t="e">
        <f t="array" aca="1" ref="OQ77" ca="1">INDEX(Canals!$P$24:$P$29,MATCH(2,1/((Canals!$F$24:$F$29&lt;=$C77)*(Canals!$G$24:$G$29=_xlfn.IFS(KS77="Handysize",Main!NB77,KS77="Supramax",MU77,KS77="Panamax",MN77,KS77="NeoPanamax",MG77,KS77="Suezmax",LZ77,KS77="Capesize",LS77,KS77="VLOC",LL77)))))</f>
        <v>#N/A</v>
      </c>
      <c r="OR77" s="75" t="e">
        <f t="array" aca="1" ref="OR77" ca="1">INDEX(Canals!$Q$24:$Q$29,MATCH(2,1/((Canals!$F$24:$F$29&lt;=$C77)*(Canals!$G$24:$G$29=_xlfn.IFS(KS77="Handysize",Main!NB77,KS77="Supramax",MU77,KS77="Panamax",MN77,KS77="NeoPanamax",MG77,KS77="Suezmax",LZ77,KS77="Capesize",LS77,KS77="VLOC",LL77)))))</f>
        <v>#N/A</v>
      </c>
      <c r="OS77" s="75" t="e">
        <f t="array" aca="1" ref="OS77" ca="1">INDEX(Canals!$R$24:$R$29,MATCH(2,1/((Canals!$F$24:$F$29&lt;=$C77)*(Canals!$G$24:$G$29=_xlfn.IFS(KS77="Handysize",Main!NB77,KS77="Supramax",MU77,KS77="Panamax",MN77,KS77="NeoPanamax",MG77,KS77="Suezmax",LZ77,KS77="Capesize",LS77,KS77="VLOC",LL77)))))</f>
        <v>#N/A</v>
      </c>
      <c r="OT77" s="136" t="e">
        <f t="array" aca="1" ref="OT77" ca="1">INDEX(Canals!$S$24:$S$29,MATCH(2,1/((Canals!$F$24:$F$29&lt;=$C77)*(Canals!$G$24:$G$29=_xlfn.IFS(KS77="Handysize",Main!NB77,KS77="Supramax",MU77,KS77="Panamax",MN77,KS77="NeoPanamax",MG77,KS77="Suezmax",LZ77,KS77="Capesize",LS77,KS77="VLOC",LL77)))))</f>
        <v>#N/A</v>
      </c>
      <c r="OU77" s="136" t="e">
        <f t="array" aca="1" ref="OU77" ca="1">INDEX(Canals!$T$24:$T$29,MATCH(2,1/((Canals!$F$24:$F$29&lt;=$C77)*(Canals!$G$24:$G$29=_xlfn.IFS(KS77="Handysize",Main!NB77,KS77="Supramax",MU77,KS77="Panamax",MN77,KS77="NeoPanamax",MG77,KS77="Suezmax",LZ77,KS77="Capesize",LS77,KS77="VLOC",LL77)))))</f>
        <v>#N/A</v>
      </c>
      <c r="OV77" s="136" t="e">
        <f t="array" aca="1" ref="OV77" ca="1">INDEX(Canals!$U$24:$U$29,MATCH(2,1/((Canals!$F$24:$F$29&lt;=$C77)*(Canals!$G$24:$G$29=_xlfn.IFS(KS77="Handysize",Main!NB77,KS77="Supramax",MU77,KS77="Panamax",MN77,KS77="NeoPanamax",MG77,KS77="Suezmax",LZ77,KS77="Capesize",LS77,KS77="VLOC",LL77)))))</f>
        <v>#N/A</v>
      </c>
      <c r="OW77" s="136" t="e">
        <f t="array" aca="1" ref="OW77" ca="1">INDEX(Canals!$V$24:$V$29,MATCH(2,1/((Canals!$F$24:$F$29&lt;=$C77)*(Canals!$G$24:$G$29=_xlfn.IFS(KS77="Handysize",Main!NB77,KS77="Supramax",MU77,KS77="Panamax",MN77,KS77="NeoPanamax",MG77,KS77="Suezmax",LZ77,KS77="Capesize",LS77,KS77="VLOC",LL77)))))</f>
        <v>#N/A</v>
      </c>
      <c r="OX77" s="136" t="e">
        <f t="array" aca="1" ref="OX77" ca="1">INDEX(Canals!$W$24:$W$29,MATCH(2,1/((Canals!$F$24:$F$29&lt;=$C77)*(Canals!$G$24:$G$29=_xlfn.IFS(KS77="Handysize",Main!NB77,KS77="Supramax",MU77,KS77="Panamax",MN77,KS77="NeoPanamax",MG77,KS77="Suezmax",LZ77,KS77="Capesize",LS77,KS77="VLOC",LL77)))))</f>
        <v>#N/A</v>
      </c>
      <c r="OY77" s="136" t="e">
        <f t="array" aca="1" ref="OY77" ca="1">INDEX(Canals!$X$24:$X$29,MATCH(2,1/((Canals!$F$24:$F$29&lt;=$C77)*(Canals!$G$24:$G$29=_xlfn.IFS(KS77="Handysize",Main!NB77,KS77="Supramax",MU77,KS77="Panamax",MN77,KS77="NeoPanamax",MG77,KS77="Suezmax",LZ77,KS77="Capesize",LS77,KS77="VLOC",LL77)))))</f>
        <v>#N/A</v>
      </c>
      <c r="OZ77" s="136" t="e">
        <f t="array" aca="1" ref="OZ77" ca="1">INDEX(Canals!$Y$24:$Y$29,MATCH(2,1/((Canals!$F$24:$F$29&lt;=$C77)*(Canals!$G$24:$G$29=_xlfn.IFS(KS77="Handysize",Main!NB77,KS77="Supramax",MU77,KS77="Panamax",MN77,KS77="NeoPanamax",MG77,KS77="Suezmax",LZ77,KS77="Capesize",LS77,KS77="VLOC",LL77)))))</f>
        <v>#N/A</v>
      </c>
      <c r="PA77" s="136" t="e">
        <f t="array" aca="1" ref="PA77" ca="1">INDEX(Canals!$Z$24:$Z$29,MATCH(2,1/((Canals!$F$24:$F$29&lt;=$C77)*(Canals!$G$24:$G$29=_xlfn.IFS(KS77="Handysize",Main!NB77,KS77="Supramax",MU77,KS77="Panamax",MN77,KS77="NeoPanamax",MG77,KS77="Suezmax",LZ77,KS77="Capesize",LS77,KS77="VLOC",LL77)))))</f>
        <v>#N/A</v>
      </c>
      <c r="PB77" s="136" t="e">
        <f t="array" aca="1" ref="PB77" ca="1">INDEX(Canals!$AA$24:$AA$29,MATCH(2,1/((Canals!$F$24:$F$29&lt;=$C77)*(Canals!$G$24:$G$29=_xlfn.IFS(KS77="Handysize",Main!NB77,KS77="Supramax",MU77,KS77="Panamax",MN77,KS77="NeoPanamax",MG77,KS77="Suezmax",LZ77,KS77="Capesize",LS77,KS77="VLOC",LL77)))))</f>
        <v>#N/A</v>
      </c>
      <c r="PC77" s="136" t="e">
        <f t="array" aca="1" ref="PC77" ca="1">INDEX(Canals!$AB$24:$AB$29,MATCH(2,1/((Canals!$F$24:$F$29&lt;=$C77)*(Canals!$G$24:$G$29=_xlfn.IFS(KS77="Handysize",Main!NB77,KS77="Supramax",MU77,KS77="Panamax",MN77,KS77="NeoPanamax",MG77,KS77="Suezmax",LZ77,KS77="Capesize",LS77,KS77="VLOC",LL77)))))</f>
        <v>#N/A</v>
      </c>
      <c r="PD77" s="75" t="e">
        <f t="array" aca="1" ref="PD77" ca="1">INDEX(Canals!$AC$24:$AC$29,MATCH(2,1/((Canals!$F$24:$F$29&lt;=$C77)*(Canals!$G$24:$G$29=_xlfn.IFS(KS77="Handysize",Main!NB77,KS77="Supramax",MU77,KS77="Panamax",MN77,KS77="NeoPanamax",MG77,KS77="Suezmax",LZ77,KS77="Capesize",LS77,KS77="VLOC",LL77)))))</f>
        <v>#N/A</v>
      </c>
      <c r="PE77" s="75" t="e">
        <f t="array" aca="1" ref="PE77" ca="1">INDEX(Canals!$AD$24:$AD$29,MATCH(2,1/((Canals!$F$24:$F$29&lt;=$C77)*(Canals!$G$24:$G$29=_xlfn.IFS(KS77="Handysize",Main!NB77,KS77="Supramax",MU77,KS77="Panamax",MN77,KS77="NeoPanamax",MG77,KS77="Suezmax",LZ77,KS77="Capesize",LS77,KS77="VLOC",LL77)))))</f>
        <v>#N/A</v>
      </c>
      <c r="PF77" s="75" t="e">
        <f t="array" aca="1" ref="PF77" ca="1">INDEX(Canals!$AE$24:$AE$29,MATCH(2,1/((Canals!$F$24:$F$29&lt;=$C77)*(Canals!$G$24:$G$29=_xlfn.IFS(KS77="Handysize",Main!NB77,KS77="Supramax",MU77,KS77="Panamax",MN77,KS77="NeoPanamax",MG77,KS77="Suezmax",LZ77,KS77="Capesize",LS77,KS77="VLOC",LL77)))))</f>
        <v>#N/A</v>
      </c>
      <c r="PG77" s="75" t="e">
        <f t="array" aca="1" ref="PG77" ca="1">INDEX(Canals!$AF$24:$AF$29,MATCH(2,1/((Canals!$F$24:$F$29&lt;=$C77)*(Canals!$G$24:$G$29=_xlfn.IFS(KS77="Handysize",Main!NB77,KS77="Supramax",MU77,KS77="Panamax",MN77,KS77="NeoPanamax",MG77,KS77="Suezmax",LZ77,KS77="Capesize",LS77,KS77="VLOC",LL77)))))</f>
        <v>#N/A</v>
      </c>
      <c r="PH77" s="75" t="e">
        <f t="array" aca="1" ref="PH77" ca="1">INDEX(Canals!$AG$24:$AG$29,MATCH(2,1/((Canals!$F$24:$F$29&lt;=$C77)*(Canals!$G$24:$G$29=_xlfn.IFS(KS77="Handysize",Main!NB77,KS77="Supramax",MU77,KS77="Panamax",MN77,KS77="NeoPanamax",MG77,KS77="Suezmax",LZ77,KS77="Capesize",LS77,KS77="VLOC",LL77)))))</f>
        <v>#N/A</v>
      </c>
      <c r="PI77" s="75" t="e">
        <f t="array" aca="1" ref="PI77" ca="1">INDEX(Canals!$AH$24:$AH$29,MATCH(2,1/((Canals!$F$24:$F$29&lt;=$C77)*(Canals!$G$24:$G$29=_xlfn.IFS(KS77="Handysize",Main!NB77,KS77="Supramax",MU77,KS77="Panamax",MN77,KS77="NeoPanamax",MG77,KS77="Suezmax",LZ77,KS77="Capesize",LS77,KS77="VLOC",LL77)))))</f>
        <v>#N/A</v>
      </c>
      <c r="PJ77" s="75" t="e">
        <f t="array" aca="1" ref="PJ77" ca="1">INDEX(Canals!$AI$24:$AI$29,MATCH(2,1/((Canals!$F$24:$F$29&lt;=$C77)*(Canals!$G$24:$G$29=_xlfn.IFS(KS77="Handysize",Main!NB77,KS77="Supramax",MU77,KS77="Panamax",MN77,KS77="NeoPanamax",MG77,KS77="Suezmax",LZ77,KS77="Capesize",LS77,KS77="VLOC",LL77)))))</f>
        <v>#N/A</v>
      </c>
      <c r="PK77" s="75" t="e">
        <f t="array" aca="1" ref="PK77" ca="1">INDEX(Canals!$AJ$24:$AJ$29,MATCH(2,1/((Canals!$F$24:$F$29&lt;=$C77)*(Canals!$G$24:$G$29=_xlfn.IFS(KS77="Handysize",Main!NB77,KS77="Supramax",MU77,KS77="Panamax",MN77,KS77="NeoPanamax",MG77,KS77="Suezmax",LZ77,KS77="Capesize",LS77,KS77="VLOC",LL77)))))</f>
        <v>#N/A</v>
      </c>
      <c r="PL77" s="75" t="e">
        <f t="array" aca="1" ref="PL77" ca="1">INDEX(Canals!$AK$24:$AK$29,MATCH(2,1/((Canals!$F$24:$F$29&lt;=$C77)*(Canals!$G$24:$G$29=_xlfn.IFS(KS77="Handysize",Main!NB77,KS77="Supramax",MU77,KS77="Panamax",MN77,KS77="NeoPanamax",MG77,KS77="Suezmax",LZ77,KS77="Capesize",LS77,KS77="VLOC",LL77)))))</f>
        <v>#N/A</v>
      </c>
      <c r="PM77" s="136" t="e">
        <f t="array" aca="1" ref="PM77" ca="1">INDEX(Canals!$AL$24:$AL$29,MATCH(2,1/((Canals!$F$24:$F$29&lt;=$C77)*(Canals!$G$24:$G$29=_xlfn.IFS(KS77="Handysize",Main!NB77,KS77="Supramax",MU77,KS77="Panamax",MN77,KS77="NeoPanamax",MG77,KS77="Suezmax",LZ77,KS77="Capesize",LS77,KS77="VLOC",LL77)))))</f>
        <v>#N/A</v>
      </c>
      <c r="PN77" s="136" t="e">
        <f t="array" aca="1" ref="PN77" ca="1">INDEX(Canals!$AM$24:$AM$29,MATCH(2,1/((Canals!$F$24:$F$29&lt;=$C77)*(Canals!$G$24:$G$29=_xlfn.IFS(KS77="Handysize",Main!NB77,KS77="Supramax",MU77,KS77="Panamax",MN77,KS77="NeoPanamax",MG77,KS77="Suezmax",LZ77,KS77="Capesize",LS77,KS77="VLOC",LL77)))))</f>
        <v>#N/A</v>
      </c>
      <c r="PO77" s="136" t="e">
        <f t="array" aca="1" ref="PO77" ca="1">INDEX(Canals!$AN$24:$AN$29,MATCH(2,1/((Canals!$F$24:$F$29&lt;=$C77)*(Canals!$G$24:$G$29=_xlfn.IFS(KS77="Handysize",Main!NB77,KS77="Supramax",MU77,KS77="Panamax",MN77,KS77="NeoPanamax",MG77,KS77="Suezmax",LZ77,KS77="Capesize",LS77,KS77="VLOC",LL77)))))</f>
        <v>#N/A</v>
      </c>
      <c r="PP77" s="136" t="e">
        <f t="array" aca="1" ref="PP77" ca="1">INDEX(Canals!$AO$24:$AO$29,MATCH(2,1/((Canals!$F$24:$F$29&lt;=$C77)*(Canals!$G$24:$G$29=_xlfn.IFS(KS77="Handysize",Main!NB77,KS77="Supramax",MU77,KS77="Panamax",MN77,KS77="NeoPanamax",MG77,KS77="Suezmax",LZ77,KS77="Capesize",LS77,KS77="VLOC",LL77)))))</f>
        <v>#N/A</v>
      </c>
      <c r="PQ77" s="136" t="e">
        <f t="array" aca="1" ref="PQ77" ca="1">INDEX(Canals!$AP$24:$AP$29,MATCH(2,1/((Canals!$F$24:$F$29&lt;=$C77)*(Canals!$G$24:$G$29=_xlfn.IFS(KS77="Handysize",Main!NB77,KS77="Supramax",MU77,KS77="Panamax",MN77,KS77="NeoPanamax",MG77,KS77="Suezmax",LZ77,KS77="Capesize",LS77,KS77="VLOC",LL77)))))</f>
        <v>#N/A</v>
      </c>
      <c r="PR77" s="136" t="e">
        <f t="array" aca="1" ref="PR77" ca="1">INDEX(Canals!$AQ$24:$AQ$29,MATCH(2,1/((Canals!$F$24:$F$29&lt;=$C77)*(Canals!$G$24:$G$29=_xlfn.IFS(KS77="Handysize",Main!NB77,KS77="Supramax",MU77,KS77="Panamax",MN77,KS77="NeoPanamax",MG77,KS77="Suezmax",LZ77,KS77="Capesize",LS77,KS77="VLOC",LL77)))))</f>
        <v>#N/A</v>
      </c>
      <c r="PS77" s="136" t="e">
        <f t="array" aca="1" ref="PS77" ca="1">INDEX(Canals!$AR$24:$AR$29,MATCH(2,1/((Canals!$F$24:$F$29&lt;=$C77)*(Canals!$G$24:$G$29=_xlfn.IFS(KS77="Handysize",Main!NB77,KS77="Supramax",MU77,KS77="Panamax",MN77,KS77="NeoPanamax",MG77,KS77="Suezmax",LZ77,KS77="Capesize",LS77,KS77="VLOC",LL77)))))</f>
        <v>#N/A</v>
      </c>
      <c r="PT77" s="136" t="e">
        <f t="array" aca="1" ref="PT77" ca="1">INDEX(Canals!$AS$24:$AS$29,MATCH(2,1/((Canals!$F$24:$F$29&lt;=$C77)*(Canals!$G$24:$G$29=_xlfn.IFS(KS77="Handysize",Main!NB77,KS77="Supramax",MU77,KS77="Panamax",MN77,KS77="NeoPanamax",MG77,KS77="Suezmax",LZ77,KS77="Capesize",LS77,KS77="VLOC",LL77)))))</f>
        <v>#N/A</v>
      </c>
      <c r="PU77" s="136" t="e">
        <f t="array" aca="1" ref="PU77" ca="1">INDEX(Canals!$AT$24:$AT$29,MATCH(2,1/((Canals!$F$24:$F$29&lt;=$C77)*(Canals!$G$24:$G$29=_xlfn.IFS(KS77="Handysize",Main!NB77,KS77="Supramax",MU77,KS77="Panamax",MN77,KS77="NeoPanamax",MG77,KS77="Suezmax",LZ77,KS77="Capesize",LS77,KS77="VLOC",LL77)))))</f>
        <v>#N/A</v>
      </c>
      <c r="PV77" s="136" t="e">
        <f t="array" aca="1" ref="PV77" ca="1">INDEX(Canals!$AU$24:$AU$29,MATCH(2,1/((Canals!$F$24:$F$29&lt;=$C77)*(Canals!$G$24:$G$29=_xlfn.IFS(KS77="Handysize",Main!NB77,KS77="Supramax",MU77,KS77="Panamax",MN77,KS77="NeoPanamax",MG77,KS77="Suezmax",LZ77,KS77="Capesize",LS77,KS77="VLOC",LL77)))))</f>
        <v>#N/A</v>
      </c>
      <c r="PW77" s="136" t="e">
        <f t="array" aca="1" ref="PW77" ca="1">INDEX(Canals!$AV$24:$AV$29,MATCH(2,1/((Canals!$F$24:$F$29&lt;=$C77)*(Canals!$G$24:$G$29=_xlfn.IFS(KS77="Handysize",Main!NB77,KS77="Supramax",MU77,KS77="Panamax",MN77,KS77="NeoPanamax",MG77,KS77="Suezmax",LZ77,KS77="Capesize",LS77,KS77="VLOC",LL77)))))</f>
        <v>#N/A</v>
      </c>
      <c r="PY77" s="75" t="e">
        <f t="array" aca="1" ref="PY77" ca="1">_xlfn.IFS(OJ77="DWT",KQ77,OJ77="NRT",KU77,OJ77="GRT",KV77)</f>
        <v>#NAME?</v>
      </c>
      <c r="PZ77" s="279" t="e">
        <f t="shared" ca="1" si="782"/>
        <v>#NAME?</v>
      </c>
      <c r="QA77" s="280" t="e">
        <f t="shared" ca="1" si="783"/>
        <v>#NAME?</v>
      </c>
      <c r="QB77" s="280" t="e">
        <f t="shared" ca="1" si="784"/>
        <v>#NAME?</v>
      </c>
      <c r="QC77" s="280" t="e">
        <f t="shared" ca="1" si="785"/>
        <v>#NAME?</v>
      </c>
      <c r="QD77" s="280" t="e">
        <f t="shared" ca="1" si="786"/>
        <v>#NAME?</v>
      </c>
      <c r="QE77" s="280" t="e">
        <f t="shared" ca="1" si="787"/>
        <v>#NAME?</v>
      </c>
      <c r="QF77" s="280" t="e">
        <f t="shared" ca="1" si="788"/>
        <v>#NAME?</v>
      </c>
      <c r="QG77" s="280" t="e">
        <f t="shared" ca="1" si="789"/>
        <v>#NAME?</v>
      </c>
      <c r="QH77" s="280" t="e">
        <f t="shared" ca="1" si="790"/>
        <v>#NAME?</v>
      </c>
      <c r="QI77" s="75">
        <f t="shared" si="791"/>
        <v>90588.23529411765</v>
      </c>
      <c r="QJ77" s="279" t="e">
        <f t="shared" ca="1" si="792"/>
        <v>#N/A</v>
      </c>
      <c r="QK77" s="280" t="e">
        <f t="shared" ca="1" si="793"/>
        <v>#N/A</v>
      </c>
      <c r="QL77" s="280" t="e">
        <f t="shared" ca="1" si="794"/>
        <v>#N/A</v>
      </c>
      <c r="QM77" s="280" t="e">
        <f t="shared" ca="1" si="795"/>
        <v>#N/A</v>
      </c>
      <c r="QN77" s="280" t="e">
        <f t="shared" ca="1" si="796"/>
        <v>#N/A</v>
      </c>
      <c r="QO77" s="280" t="e">
        <f t="shared" ca="1" si="797"/>
        <v>#N/A</v>
      </c>
      <c r="QP77" s="280" t="e">
        <f t="shared" ca="1" si="798"/>
        <v>#N/A</v>
      </c>
      <c r="QQ77" s="280" t="e">
        <f t="shared" ca="1" si="799"/>
        <v>#N/A</v>
      </c>
      <c r="QR77" s="280" t="e">
        <f t="shared" ca="1" si="800"/>
        <v>#N/A</v>
      </c>
      <c r="QT77" s="75" t="e">
        <f t="array" aca="1" ref="QT77" ca="1">_xlfn.IFS(KS77="Handysize",Main!MV77,KS77="Supramax",MO77,KS77="Panamax",MH77,KS77="NeoPanamax",MA77,KS77="Suezmax",LT77,KS77="Capesize",LM77,KS77="VLOC",LF77)*$JI77</f>
        <v>#NAME?</v>
      </c>
      <c r="QU77" s="274" t="e">
        <f t="array" aca="1" ref="QU77" ca="1">_xlfn.IFS(KS77="Handysize",Main!MW77,KS77="Supramax",MP77,KS77="Panamax",MI77,KS77="NeoPanamax",MB77,KS77="Suezmax",LU77,KS77="Capesize",LN77,KS77="VLOC",LG77)*$JI77</f>
        <v>#NAME?</v>
      </c>
      <c r="QV77" s="71" t="e">
        <f t="array" aca="1" ref="QV77" ca="1">_xlfn.IFS(KS77="Handysize",Main!KX77,KS77="Supramax",KY77,KS77="Panamax",KZ77,KS77="NeoPanamax",LA77,KS77="Suezmax",LB77,KS77="Capesize",LC77,KS77="VLOC",LD77)</f>
        <v>#NAME?</v>
      </c>
      <c r="QW77" s="71" t="e">
        <f t="array" aca="1" ref="QW77" ca="1">_xlfn.IFS(KS77="Handysize",Main!NJ77,KS77="Supramax",NK77,KS77="Panamax",NL77,KS77="NeoPanamax",NM77,KS77="Suezmax",NN77,KS77="Capesize",NO77,KS77="VLOC",NP77)</f>
        <v>#NAME?</v>
      </c>
      <c r="QX77" s="70">
        <f t="array" ref="QX77">INDEX('Ship Speeds'!$G$11:$G$1011,MATCH(2,1/(('Ship Speeds'!$E$11:$E$1011&lt;=Main!$C77)*('Ship Speeds'!$F$11:$F$1011=Main!KR77))))</f>
        <v>11</v>
      </c>
      <c r="QY77" s="403">
        <f t="shared" si="801"/>
        <v>23.70260984288554</v>
      </c>
      <c r="QZ77" s="401">
        <f t="shared" si="802"/>
        <v>2.1922895927601811</v>
      </c>
      <c r="RA77" s="70" t="e">
        <f t="shared" ca="1" si="803"/>
        <v>#NAME?</v>
      </c>
      <c r="RB77" s="70" t="e">
        <f t="shared" ca="1" si="804"/>
        <v>#NAME?</v>
      </c>
      <c r="RC77" s="70" t="e">
        <f t="shared" ca="1" si="805"/>
        <v>#NAME?</v>
      </c>
      <c r="RD77" s="70" t="e">
        <f t="shared" ca="1" si="806"/>
        <v>#NAME?</v>
      </c>
      <c r="RE77" s="72" t="e">
        <f t="shared" ca="1" si="807"/>
        <v>#N/A</v>
      </c>
      <c r="RF77" s="70" t="e">
        <f t="shared" ca="1" si="808"/>
        <v>#NAME?</v>
      </c>
      <c r="RG77" s="70" t="e">
        <f t="array" aca="1" ref="RG77" ca="1">INDEX(ND77:NH77,MATCH(_xlfn.IFS(KS77="Handysize",Main!MZ77,KS77="Supramax",MS77,KS77="Panamax",ML77,KS77="NeoPanamax",ME77,KS77="Suezmax",LX77,KS77="Capesize",LQ77,KS77="VLOC",LJ77),$ND$7:$NH$7,0))</f>
        <v>#NAME?</v>
      </c>
      <c r="RH77" s="70" t="e">
        <f t="array" aca="1" ref="RH77" ca="1">INDEX(ND77:NH77,MATCH(_xlfn.IFS(KS77="Handysize",Main!NA77,KS77="Supramax",MT77,KS77="Panamax",MM77,KS77="NeoPanamax",MF77,KS77="Suezmax",LY77,KS77="Capesize",LR77,KS77="VLOC",LK77),$ND$7:$NH$7,0))</f>
        <v>#NAME?</v>
      </c>
      <c r="RI77" s="71" t="e">
        <f t="shared" ca="1" si="809"/>
        <v>#NAME?</v>
      </c>
      <c r="RJ77" s="71" t="e">
        <f t="shared" ca="1" si="810"/>
        <v>#NAME?</v>
      </c>
      <c r="RK77" s="281">
        <f t="shared" si="811"/>
        <v>7.0834199999999994</v>
      </c>
      <c r="RL77" s="71">
        <f t="shared" si="812"/>
        <v>1742.3786814843679</v>
      </c>
      <c r="RM77" s="71" t="e">
        <f t="shared" ca="1" si="813"/>
        <v>#NAME?</v>
      </c>
      <c r="RN77" s="71" t="e">
        <f t="shared" ca="1" si="814"/>
        <v>#NAME?</v>
      </c>
      <c r="RO77" s="71">
        <f t="shared" si="815"/>
        <v>33762.355073745537</v>
      </c>
      <c r="RP77" s="71" t="e">
        <f t="shared" ca="1" si="816"/>
        <v>#NAME?</v>
      </c>
      <c r="RQ77" s="71" t="e">
        <f t="shared" ca="1" si="817"/>
        <v>#NAME?</v>
      </c>
      <c r="RR77" s="71">
        <f t="shared" si="818"/>
        <v>23969.461999406663</v>
      </c>
      <c r="RS77" s="71" t="e">
        <f t="shared" ca="1" si="819"/>
        <v>#NAME?</v>
      </c>
      <c r="RT77" s="71" t="e">
        <f t="shared" ca="1" si="820"/>
        <v>#NAME?</v>
      </c>
      <c r="RU77" s="71">
        <f t="shared" si="821"/>
        <v>0</v>
      </c>
      <c r="RV77" s="71" t="e">
        <f t="shared" ca="1" si="822"/>
        <v>#NAME?</v>
      </c>
      <c r="RW77" s="71" t="e">
        <f t="shared" ca="1" si="823"/>
        <v>#NAME?</v>
      </c>
      <c r="RX77" s="72">
        <f t="shared" si="824"/>
        <v>6313.2298390872393</v>
      </c>
      <c r="RY77" s="72" t="e">
        <f t="shared" ca="1" si="825"/>
        <v>#NAME?</v>
      </c>
      <c r="RZ77" s="71" t="e">
        <f t="shared" ca="1" si="826"/>
        <v>#NAME?</v>
      </c>
      <c r="SA77" s="71" t="e">
        <f t="array" aca="1" ref="SA77" ca="1">INDEX('Ship Time Charter Rates'!$H$22:$H$1021,MATCH(2,1/(('Ship Time Charter Rates'!$G$22:$G$1021=_xlfn.IFS(KS77="Handysize",Main!MX77,KS77="Supramax",MQ77,KS77="Panamax",MJ77,KS77="NeoPanamax",MC77,KS77="Suezmax",LV77,KS77="Capesize",LO77,KS77="VLOC",LH77))*('Ship Time Charter Rates'!$E$22:$E$1021&lt;=Main!$C77)*(NOT(ISBLANK('Ship Time Charter Rates'!$H$22:$H$1021))))))</f>
        <v>#N/A</v>
      </c>
      <c r="SB77" s="71" t="e">
        <f t="shared" ca="1" si="827"/>
        <v>#NAME?</v>
      </c>
      <c r="SC77" s="70" t="e">
        <f t="shared" ca="1" si="828"/>
        <v>#N/A</v>
      </c>
      <c r="SD77" s="71" t="e">
        <f t="shared" ca="1" si="829"/>
        <v>#NAME?</v>
      </c>
      <c r="SE77" s="71" t="e">
        <f t="shared" ca="1" si="830"/>
        <v>#NAME?</v>
      </c>
      <c r="SF77" s="72" t="e">
        <f t="shared" ca="1" si="831"/>
        <v>#NAME?</v>
      </c>
      <c r="SH77" s="25">
        <f t="shared" si="832"/>
        <v>0</v>
      </c>
      <c r="SI77" s="4" t="str">
        <f>VLOOKUP(SH77,'Ship Time Charter Rates'!$F$10:$G$17,2,TRUE)</f>
        <v>Handysize</v>
      </c>
      <c r="SJ77" s="4" t="str">
        <f>VLOOKUP(SH77,Canals!$E$5:$F$12,2,TRUE)</f>
        <v>Handysize</v>
      </c>
      <c r="SK77" s="25">
        <f t="shared" si="833"/>
        <v>145.88999999999999</v>
      </c>
      <c r="SL77" s="25">
        <f t="shared" si="834"/>
        <v>0</v>
      </c>
      <c r="SM77" s="25">
        <f t="shared" si="835"/>
        <v>4797</v>
      </c>
      <c r="SO77" s="75">
        <f t="array" ref="SO77">INDEX('Indices Mines Exporting Ports'!$R$20:$R$51,MATCH(2,1/(('Indices Mines Exporting Ports'!$D$20:$D$51&lt;=Main!$C77)*('Indices Mines Exporting Ports'!$Q$20:$Q$51=$AQ77))))</f>
        <v>0</v>
      </c>
      <c r="SP77" s="75">
        <f t="array" ref="SP77">INDEX('Indices Mines Exporting Ports'!$S$20:$S$51,MATCH(2,1/(('Indices Mines Exporting Ports'!$D$20:$D$51&lt;=Main!$C77)*('Indices Mines Exporting Ports'!$Q$20:$Q$51=$AQ77))))</f>
        <v>0</v>
      </c>
      <c r="SQ77" s="75">
        <f t="array" ref="SQ77">INDEX('Indices Mines Exporting Ports'!$T$20:$T$51,MATCH(2,1/(('Indices Mines Exporting Ports'!$D$20:$D$51&lt;=Main!$C77)*('Indices Mines Exporting Ports'!$Q$20:$Q$51=$AQ77))))</f>
        <v>0</v>
      </c>
      <c r="SR77" s="75">
        <f t="array" ref="SR77">INDEX('Indices Mines Exporting Ports'!$U$20:$U$51,MATCH(2,1/(('Indices Mines Exporting Ports'!$D$20:$D$51&lt;=Main!$C77)*('Indices Mines Exporting Ports'!$Q$20:$Q$51=$AQ77))))</f>
        <v>0</v>
      </c>
      <c r="SS77" s="75">
        <f t="array" ref="SS77">INDEX('Indices Mines Exporting Ports'!$V$20:$V$51,MATCH(2,1/(('Indices Mines Exporting Ports'!$D$20:$D$51&lt;=Main!$C77)*('Indices Mines Exporting Ports'!$Q$20:$Q$51=$AQ77))))</f>
        <v>0</v>
      </c>
      <c r="ST77" s="75">
        <f t="array" ref="ST77">INDEX('Indices Mines Exporting Ports'!$W$20:$W$51,MATCH(2,1/(('Indices Mines Exporting Ports'!$D$20:$D$51&lt;=Main!$C77)*('Indices Mines Exporting Ports'!$Q$20:$Q$51=$AQ77))))</f>
        <v>0</v>
      </c>
      <c r="SU77" s="75">
        <f t="array" ref="SU77">INDEX('Indices Mines Exporting Ports'!$X$20:$X$51,MATCH(2,1/(('Indices Mines Exporting Ports'!$D$20:$D$51&lt;=Main!$C77)*('Indices Mines Exporting Ports'!$Q$20:$Q$51=$AQ77))))</f>
        <v>0</v>
      </c>
      <c r="SW77" s="75">
        <f t="array" ref="SW77">INDEX('Port Linkages'!$E$18:$E$157,MATCH(2,1/(('Port Linkages'!$C$18:$C$157=$AQ77)*('Port Linkages'!$D$18:$D$157=IF($AO77="no",$AQ77,$AS77))*('Port Linkages'!$A$18:$A$157&lt;=$C77))))</f>
        <v>0</v>
      </c>
      <c r="SX77" s="75">
        <f t="array" ref="SX77">INDEX('Port Linkages'!$F$18:$F$157,MATCH(2,1/(('Port Linkages'!$C$18:$C$157=$AQ77)*('Port Linkages'!$D$18:$D$157=IF($AO77="no",$AQ77,$AS77))*('Port Linkages'!$A$18:$A$157&lt;=$C77))))</f>
        <v>0</v>
      </c>
      <c r="SY77" s="75">
        <f t="array" ref="SY77">INDEX('Port Linkages'!$G$18:$G$157,MATCH(2,1/(('Port Linkages'!$C$18:$C$157=$AQ77)*('Port Linkages'!$D$18:$D$157=IF($AO77="no",$AQ77,$AS77))*('Port Linkages'!$A$18:$A$157&lt;=$C77))))</f>
        <v>0</v>
      </c>
      <c r="SZ77" s="75">
        <f t="array" ref="SZ77">INDEX('Port Linkages'!$H$18:$H$157,MATCH(2,1/(('Port Linkages'!$C$18:$C$157=$AQ77)*('Port Linkages'!$D$18:$D$157=IF($AO77="no",$AQ77,$AS77))*('Port Linkages'!$A$18:$A$157&lt;=$C77))))</f>
        <v>0</v>
      </c>
      <c r="TA77" s="75">
        <f t="array" ref="TA77">INDEX('Port Linkages'!$I$18:$I$157,MATCH(2,1/(('Port Linkages'!$C$18:$C$157=$AQ77)*('Port Linkages'!$D$18:$D$157=IF($AO77="no",$AQ77,$AS77))*('Port Linkages'!$A$18:$A$157&lt;=$C77))))</f>
        <v>0</v>
      </c>
      <c r="TB77" s="75">
        <f t="array" ref="TB77">INDEX('Port Linkages'!$J$18:$J$157,MATCH(2,1/(('Port Linkages'!$C$18:$C$157=$AQ77)*('Port Linkages'!$D$18:$D$157=IF($AO77="no",$AQ77,$AS77))*('Port Linkages'!$A$18:$A$157&lt;=$C77))))</f>
        <v>0</v>
      </c>
      <c r="TC77" s="75">
        <f t="array" ref="TC77">INDEX('Port Linkages'!$K$18:$K$157,MATCH(2,1/(('Port Linkages'!$C$18:$C$157=$AQ77)*('Port Linkages'!$D$18:$D$157=IF($AO77="no",$AQ77,$AS77))*('Port Linkages'!$A$18:$A$157&lt;=$C77))))</f>
        <v>0</v>
      </c>
      <c r="TD77" s="75">
        <f t="array" ref="TD77">INDEX('Port Linkages'!$L$18:$L$157,MATCH(2,1/(('Port Linkages'!$C$18:$C$157=$AQ77)*('Port Linkages'!$D$18:$D$157=IF($AO77="no",$AQ77,$AS77))*('Port Linkages'!$A$18:$A$157&lt;=$C77))))</f>
        <v>0</v>
      </c>
      <c r="TE77" s="75">
        <f t="array" ref="TE77">INDEX('Port Linkages'!$M$18:$M$157,MATCH(2,1/(('Port Linkages'!$C$18:$C$157=$AQ77)*('Port Linkages'!$D$18:$D$157=IF($AO77="no",$AQ77,$AS77))*('Port Linkages'!$A$18:$A$157&lt;=$C77))))</f>
        <v>0</v>
      </c>
      <c r="TF77" s="75">
        <f t="array" ref="TF77">INDEX('Port Linkages'!$N$18:$N$157,MATCH(2,1/(('Port Linkages'!$C$18:$C$157=$AQ77)*('Port Linkages'!$D$18:$D$157=IF($AO77="no",$AQ77,$AS77))*('Port Linkages'!$A$18:$A$157&lt;=$C77))))</f>
        <v>0</v>
      </c>
      <c r="TG77" s="75">
        <f t="array" ref="TG77">INDEX('Port Linkages'!$O$18:$O$157,MATCH(2,1/(('Port Linkages'!$C$18:$C$157=$AQ77)*('Port Linkages'!$D$18:$D$157=IF($AO77="no",$AQ77,$AS77))*('Port Linkages'!$A$18:$A$157&lt;=$C77))))</f>
        <v>0</v>
      </c>
      <c r="TH77" s="75">
        <f t="array" ref="TH77">INDEX('Port Linkages'!$P$18:$P$157,MATCH(2,1/(('Port Linkages'!$C$18:$C$157=$AQ77)*('Port Linkages'!$D$18:$D$157=IF($AO77="no",$AQ77,$AS77))*('Port Linkages'!$A$18:$A$157&lt;=$C77))))</f>
        <v>0</v>
      </c>
      <c r="TI77" s="75">
        <f t="array" ref="TI77">INDEX('Port Linkages'!$Q$18:$Q$157,MATCH(2,1/(('Port Linkages'!$C$18:$C$157=$AQ77)*('Port Linkages'!$D$18:$D$157=IF($AO77="no",$AQ77,$AS77))*('Port Linkages'!$A$18:$A$157&lt;=$C77))))</f>
        <v>0</v>
      </c>
      <c r="TJ77" s="75">
        <f t="array" ref="TJ77">INDEX('Port Linkages'!$R$18:$R$157,MATCH(2,1/(('Port Linkages'!$C$18:$C$157=$AQ77)*('Port Linkages'!$D$18:$D$157=IF($AO77="no",$AQ77,$AS77))*('Port Linkages'!$A$18:$A$157&lt;=$C77))))</f>
        <v>0</v>
      </c>
      <c r="TK77" s="75">
        <f t="array" ref="TK77">INDEX('Port Linkages'!$S$18:$S$157,MATCH(2,1/(('Port Linkages'!$C$18:$C$157=$AQ77)*('Port Linkages'!$D$18:$D$157=IF($AO77="no",$AQ77,$AS77))*('Port Linkages'!$A$18:$A$157&lt;=$C77))))</f>
        <v>0</v>
      </c>
      <c r="TL77" s="75">
        <f t="array" ref="TL77">INDEX('Port Linkages'!$T$18:$T$157,MATCH(2,1/(('Port Linkages'!$C$18:$C$157=$AQ77)*('Port Linkages'!$D$18:$D$157=IF($AO77="no",$AQ77,$AS77))*('Port Linkages'!$A$18:$A$157&lt;=$C77))))</f>
        <v>0</v>
      </c>
      <c r="TM77" s="75">
        <f t="array" ref="TM77">INDEX('Port Linkages'!$U$18:$U$157,MATCH(2,1/(('Port Linkages'!$C$18:$C$157=$AQ77)*('Port Linkages'!$D$18:$D$157=IF($AO77="no",$AQ77,$AS77))*('Port Linkages'!$A$18:$A$157&lt;=$C77))))</f>
        <v>0</v>
      </c>
      <c r="TN77" s="75">
        <f t="array" ref="TN77">INDEX('Port Linkages'!$V$18:$V$157,MATCH(2,1/(('Port Linkages'!$C$18:$C$157=$AQ77)*('Port Linkages'!$D$18:$D$157=IF($AO77="no",$AQ77,$AS77))*('Port Linkages'!$A$18:$A$157&lt;=$C77))))</f>
        <v>0</v>
      </c>
      <c r="TO77" s="75">
        <f t="array" ref="TO77">INDEX('Port Linkages'!$W$18:$W$157,MATCH(2,1/(('Port Linkages'!$C$18:$C$157=$AQ77)*('Port Linkages'!$D$18:$D$157=IF($AO77="no",$AQ77,$AS77))*('Port Linkages'!$A$18:$A$157&lt;=$C77))))</f>
        <v>0</v>
      </c>
      <c r="TP77" s="75">
        <f t="array" ref="TP77">INDEX('Port Linkages'!$X$18:$X$157,MATCH(2,1/(('Port Linkages'!$C$18:$C$157=$AQ77)*('Port Linkages'!$D$18:$D$157=IF($AO77="no",$AQ77,$AS77))*('Port Linkages'!$A$18:$A$157&lt;=$C77))))</f>
        <v>0</v>
      </c>
      <c r="TQ77" s="75">
        <f t="array" ref="TQ77">INDEX('Port Linkages'!$Y$18:$Y$157,MATCH(2,1/(('Port Linkages'!$C$18:$C$157=$AQ77)*('Port Linkages'!$D$18:$D$157=IF($AO77="no",$AQ77,$AS77))*('Port Linkages'!$A$18:$A$157&lt;=$C77))))</f>
        <v>0</v>
      </c>
      <c r="TR77" s="75">
        <f t="array" ref="TR77">INDEX('Port Linkages'!$Z$18:$Z$157,MATCH(2,1/(('Port Linkages'!$C$18:$C$157=$AQ77)*('Port Linkages'!$D$18:$D$157=IF($AO77="no",$AQ77,$AS77))*('Port Linkages'!$A$18:$A$157&lt;=$C77))))</f>
        <v>0</v>
      </c>
      <c r="TS77" s="75">
        <f t="array" ref="TS77">INDEX('Port Linkages'!$AA$18:$AA$157,MATCH(2,1/(('Port Linkages'!$C$18:$C$157=$AQ77)*('Port Linkages'!$D$18:$D$157=IF($AO77="no",$AQ77,$AS77))*('Port Linkages'!$A$18:$A$157&lt;=$C77))))</f>
        <v>0</v>
      </c>
      <c r="TT77" s="75">
        <f t="array" ref="TT77">INDEX('Port Linkages'!$AB$18:$AB$157,MATCH(2,1/(('Port Linkages'!$C$18:$C$157=$AQ77)*('Port Linkages'!$D$18:$D$157=IF($AO77="no",$AQ77,$AS77))*('Port Linkages'!$A$18:$A$157&lt;=$C77))))</f>
        <v>0</v>
      </c>
      <c r="TU77" s="75">
        <f t="array" ref="TU77">INDEX('Port Linkages'!$AC$18:$AC$157,MATCH(2,1/(('Port Linkages'!$C$18:$C$157=$AQ77)*('Port Linkages'!$D$18:$D$157=IF($AO77="no",$AQ77,$AS77))*('Port Linkages'!$A$18:$A$157&lt;=$C77))))</f>
        <v>0</v>
      </c>
      <c r="TV77" s="75">
        <f t="array" ref="TV77">INDEX('Port Linkages'!$AD$18:$AD$157,MATCH(2,1/(('Port Linkages'!$C$18:$C$157=$AQ77)*('Port Linkages'!$D$18:$D$157=IF($AO77="no",$AQ77,$AS77))*('Port Linkages'!$A$18:$A$157&lt;=$C77))))</f>
        <v>0</v>
      </c>
      <c r="TW77" s="75">
        <f t="array" ref="TW77">INDEX('Port Linkages'!$AE$18:$AE$157,MATCH(2,1/(('Port Linkages'!$C$18:$C$157=$AQ77)*('Port Linkages'!$D$18:$D$157=IF($AO77="no",$AQ77,$AS77))*('Port Linkages'!$A$18:$A$157&lt;=$C77))))</f>
        <v>0</v>
      </c>
      <c r="TX77" s="75">
        <f t="array" ref="TX77">INDEX('Port Linkages'!$AF$18:$AF$157,MATCH(2,1/(('Port Linkages'!$C$18:$C$157=$AQ77)*('Port Linkages'!$D$18:$D$157=IF($AO77="no",$AQ77,$AS77))*('Port Linkages'!$A$18:$A$157&lt;=$C77))))</f>
        <v>0</v>
      </c>
      <c r="TY77" s="75">
        <f t="array" ref="TY77">INDEX('Port Linkages'!$AG$18:$AG$157,MATCH(2,1/(('Port Linkages'!$C$18:$C$157=$AQ77)*('Port Linkages'!$D$18:$D$157=IF($AO77="no",$AQ77,$AS77))*('Port Linkages'!$A$18:$A$157&lt;=$C77))))</f>
        <v>0</v>
      </c>
      <c r="TZ77" s="75">
        <f t="array" ref="TZ77">INDEX('Port Linkages'!$AH$18:$AH$157,MATCH(2,1/(('Port Linkages'!$C$18:$C$157=$AQ77)*('Port Linkages'!$D$18:$D$157=IF($AO77="no",$AQ77,$AS77))*('Port Linkages'!$A$18:$A$157&lt;=$C77))))</f>
        <v>0</v>
      </c>
      <c r="UA77" s="75">
        <f t="array" ref="UA77">INDEX('Port Linkages'!$AI$18:$AI$157,MATCH(2,1/(('Port Linkages'!$C$18:$C$157=$AQ77)*('Port Linkages'!$D$18:$D$157=IF($AO77="no",$AQ77,$AS77))*('Port Linkages'!$A$18:$A$157&lt;=$C77))))</f>
        <v>0</v>
      </c>
      <c r="UB77" s="75">
        <f t="array" ref="UB77">INDEX('Port Linkages'!$AJ$18:$AJ$157,MATCH(2,1/(('Port Linkages'!$C$18:$C$157=$AQ77)*('Port Linkages'!$D$18:$D$157=IF($AO77="no",$AQ77,$AS77))*('Port Linkages'!$A$18:$A$157&lt;=$C77))))</f>
        <v>0</v>
      </c>
      <c r="UC77" s="75">
        <f t="array" ref="UC77">INDEX('Port Linkages'!$AK$18:$AK$157,MATCH(2,1/(('Port Linkages'!$C$18:$C$157=$AQ77)*('Port Linkages'!$D$18:$D$157=IF($AO77="no",$AQ77,$AS77))*('Port Linkages'!$A$18:$A$157&lt;=$C77))))</f>
        <v>0</v>
      </c>
      <c r="UD77" s="75">
        <f t="array" ref="UD77">INDEX('Port Linkages'!$AL$18:$AL$157,MATCH(2,1/(('Port Linkages'!$C$18:$C$157=$AQ77)*('Port Linkages'!$D$18:$D$157=IF($AO77="no",$AQ77,$AS77))*('Port Linkages'!$A$18:$A$157&lt;=$C77))))</f>
        <v>0</v>
      </c>
      <c r="UE77" s="75">
        <f t="array" ref="UE77">INDEX('Port Linkages'!$AM$18:$AM$157,MATCH(2,1/(('Port Linkages'!$C$18:$C$157=$AQ77)*('Port Linkages'!$D$18:$D$157=IF($AO77="no",$AQ77,$AS77))*('Port Linkages'!$A$18:$A$157&lt;=$C77))))</f>
        <v>0</v>
      </c>
      <c r="UF77" s="75">
        <f t="array" ref="UF77">INDEX('Port Linkages'!$AN$18:$AN$157,MATCH(2,1/(('Port Linkages'!$C$18:$C$157=$AQ77)*('Port Linkages'!$D$18:$D$157=IF($AO77="no",$AQ77,$AS77))*('Port Linkages'!$A$18:$A$157&lt;=$C77))))</f>
        <v>0</v>
      </c>
      <c r="UG77" s="75">
        <f t="array" ref="UG77">INDEX('Port Linkages'!$AO$18:$AO$157,MATCH(2,1/(('Port Linkages'!$C$18:$C$157=$AQ77)*('Port Linkages'!$D$18:$D$157=IF($AO77="no",$AQ77,$AS77))*('Port Linkages'!$A$18:$A$157&lt;=$C77))))</f>
        <v>0</v>
      </c>
      <c r="UH77" s="75">
        <f t="array" ref="UH77">INDEX('Port Linkages'!$AP$18:$AP$157,MATCH(2,1/(('Port Linkages'!$C$18:$C$157=$AQ77)*('Port Linkages'!$D$18:$D$157=IF($AO77="no",$AQ77,$AS77))*('Port Linkages'!$A$18:$A$157&lt;=$C77))))</f>
        <v>0</v>
      </c>
      <c r="UI77" s="75">
        <f t="array" ref="UI77">INDEX('Port Linkages'!$AQ$18:$AQ$157,MATCH(2,1/(('Port Linkages'!$C$18:$C$157=$AQ77)*('Port Linkages'!$D$18:$D$157=IF($AO77="no",$AQ77,$AS77))*('Port Linkages'!$A$18:$A$157&lt;=$C77))))</f>
        <v>0</v>
      </c>
      <c r="UJ77" s="75">
        <f t="array" ref="UJ77">INDEX('Port Linkages'!$AR$18:$AR$157,MATCH(2,1/(('Port Linkages'!$C$18:$C$157=$AQ77)*('Port Linkages'!$D$18:$D$157=IF($AO77="no",$AQ77,$AS77))*('Port Linkages'!$A$18:$A$157&lt;=$C77))))</f>
        <v>0</v>
      </c>
      <c r="UK77" s="75">
        <f t="array" ref="UK77">INDEX('Port Linkages'!$AS$18:$AS$157,MATCH(2,1/(('Port Linkages'!$C$18:$C$157=$AQ77)*('Port Linkages'!$D$18:$D$157=IF($AO77="no",$AQ77,$AS77))*('Port Linkages'!$A$18:$A$157&lt;=$C77))))</f>
        <v>0</v>
      </c>
      <c r="UL77" s="75">
        <f t="array" ref="UL77">INDEX('Port Linkages'!$AT$18:$AT$157,MATCH(2,1/(('Port Linkages'!$C$18:$C$157=$AQ77)*('Port Linkages'!$D$18:$D$157=IF($AO77="no",$AQ77,$AS77))*('Port Linkages'!$A$18:$A$157&lt;=$C77))))</f>
        <v>0</v>
      </c>
      <c r="UM77" s="75">
        <f t="array" ref="UM77">INDEX('Port Linkages'!$AU$18:$AU$157,MATCH(2,1/(('Port Linkages'!$C$18:$C$157=$AQ77)*('Port Linkages'!$D$18:$D$157=IF($AO77="no",$AQ77,$AS77))*('Port Linkages'!$A$18:$A$157&lt;=$C77))))</f>
        <v>0</v>
      </c>
      <c r="UN77" s="75">
        <f t="array" ref="UN77">INDEX('Port Linkages'!$AV$18:$AV$157,MATCH(2,1/(('Port Linkages'!$C$18:$C$157=$AQ77)*('Port Linkages'!$D$18:$D$157=IF($AO77="no",$AQ77,$AS77))*('Port Linkages'!$A$18:$A$157&lt;=$C77))))</f>
        <v>0</v>
      </c>
      <c r="UO77" s="75">
        <f t="array" ref="UO77">INDEX('Port Linkages'!$AW$18:$AW$157,MATCH(2,1/(('Port Linkages'!$C$18:$C$157=$AQ77)*('Port Linkages'!$D$18:$D$157=IF($AO77="no",$AQ77,$AS77))*('Port Linkages'!$A$18:$A$157&lt;=$C77))))</f>
        <v>0</v>
      </c>
      <c r="UP77" s="75">
        <f t="array" ref="UP77">INDEX('Port Linkages'!$AX$18:$AX$157,MATCH(2,1/(('Port Linkages'!$C$18:$C$157=$AQ77)*('Port Linkages'!$D$18:$D$157=IF($AO77="no",$AQ77,$AS77))*('Port Linkages'!$A$18:$A$157&lt;=$C77))))</f>
        <v>0</v>
      </c>
      <c r="UQ77" s="75">
        <f t="array" ref="UQ77">INDEX('Port Linkages'!$AY$18:$AY$157,MATCH(2,1/(('Port Linkages'!$C$18:$C$157=$AQ77)*('Port Linkages'!$D$18:$D$157=IF($AO77="no",$AQ77,$AS77))*('Port Linkages'!$A$18:$A$157&lt;=$C77))))</f>
        <v>0</v>
      </c>
      <c r="UR77" s="75">
        <f t="array" ref="UR77">INDEX('Port Linkages'!$AZ$18:$AZ$157,MATCH(2,1/(('Port Linkages'!$C$18:$C$157=$AQ77)*('Port Linkages'!$D$18:$D$157=IF($AO77="no",$AQ77,$AS77))*('Port Linkages'!$A$18:$A$157&lt;=$C77))))</f>
        <v>0</v>
      </c>
      <c r="US77" s="75">
        <f t="array" ref="US77">INDEX('Port Linkages'!$BA$18:$BA$157,MATCH(2,1/(('Port Linkages'!$C$18:$C$157=$AQ77)*('Port Linkages'!$D$18:$D$157=IF($AO77="no",$AQ77,$AS77))*('Port Linkages'!$A$18:$A$157&lt;=$C77))))</f>
        <v>0</v>
      </c>
      <c r="UU77" s="25" t="e">
        <f t="array" aca="1" ref="UU77" ca="1">INDEX('Ship Fuel Prices'!$F$5:$F$1004,MATCH(2,1/(('Ship Fuel Prices'!$E$5:$E$1004=_xlfn.IFS(SJ77="Handysize",Main!UP77,SJ77="Supramax",UI77,SJ77="Panamax",UB77,SJ77="NeoPanamax",TU77,SJ77="Suezmax",TN77,SJ77="Capesize",TG77,SJ77="VLOC",SZ77))*('Ship Fuel Prices'!$D$5:$D$1004&lt;=Main!$C77))))</f>
        <v>#N/A</v>
      </c>
      <c r="UV77" s="25" t="e">
        <f t="array" aca="1" ref="UV77" ca="1">INDEX('Ship Fuel Prices'!$G$5:$G$1004,MATCH(2,1/(('Ship Fuel Prices'!$E$5:$E$1004=_xlfn.IFS(SJ77="Handysize",Main!UP77,SJ77="Supramax",UI77,SJ77="Panamax",UB77,SJ77="NeoPanamax",TU77,SJ77="Suezmax",TN77,SJ77="Capesize",TG77,SJ77="VLOC",SZ77))*('Ship Fuel Prices'!$D$5:$D$1004&lt;=Main!$C77))))</f>
        <v>#N/A</v>
      </c>
      <c r="UW77" s="25" t="e">
        <f t="array" aca="1" ref="UW77" ca="1">INDEX('Ship Fuel Prices'!$H$5:$H$1004,MATCH(2,1/(('Ship Fuel Prices'!$E$5:$E$1004=_xlfn.IFS(SJ77="Handysize",Main!UP77,SJ77="Supramax",UI77,SJ77="Panamax",UB77,SJ77="NeoPanamax",TU77,SJ77="Suezmax",TN77,SJ77="Capesize",TG77,SJ77="VLOC",SZ77))*('Ship Fuel Prices'!$D$5:$D$1004&lt;=Main!$C77))))</f>
        <v>#N/A</v>
      </c>
      <c r="UX77" s="25" t="e">
        <f t="array" aca="1" ref="UX77" ca="1">INDEX('Ship Fuel Prices'!$I$5:$I$1004,MATCH(2,1/(('Ship Fuel Prices'!$E$5:$E$1004=_xlfn.IFS(SJ77="Handysize",Main!UP77,SJ77="Supramax",UI77,SJ77="Panamax",UB77,SJ77="NeoPanamax",TU77,SJ77="Suezmax",TN77,SJ77="Capesize",TG77,SJ77="VLOC",SZ77))*('Ship Fuel Prices'!$D$5:$D$1004&lt;=Main!$C77))))</f>
        <v>#N/A</v>
      </c>
      <c r="UY77" s="25" t="e">
        <f t="array" aca="1" ref="UY77" ca="1">INDEX('Ship Fuel Prices'!$J$5:$J$1004,MATCH(2,1/(('Ship Fuel Prices'!$E$5:$E$1004=_xlfn.IFS(SJ77="Handysize",Main!UP77,SJ77="Supramax",UI77,SJ77="Panamax",UB77,SJ77="NeoPanamax",TU77,SJ77="Suezmax",TN77,SJ77="Capesize",TG77,SJ77="VLOC",SZ77))*('Ship Fuel Prices'!$D$5:$D$1004&lt;=Main!$C77))))</f>
        <v>#N/A</v>
      </c>
      <c r="VA77" s="75">
        <f t="array" ref="VA77">INDEX('China n Importing Ports'!$E$20:$E$41,MATCH(2,1/(('China n Importing Ports'!$D$20:$D$41&lt;=$C77)*('China n Importing Ports'!$C$20:$C$41=IF($AO77="No",$AQ77,$AS77)))))</f>
        <v>0</v>
      </c>
      <c r="VB77" s="75">
        <f t="array" ref="VB77">INDEX('China n Importing Ports'!$F$20:$F$41,MATCH(2,1/(('China n Importing Ports'!$D$20:$D$41&lt;=$C77)*('China n Importing Ports'!$C$20:$C$41=IF($AO77="No",$AQ77,$AS77)))))</f>
        <v>0</v>
      </c>
      <c r="VC77" s="75">
        <f t="array" ref="VC77">INDEX('China n Importing Ports'!$G$20:$G$41,MATCH(2,1/(('China n Importing Ports'!$D$20:$D$41&lt;=$C77)*('China n Importing Ports'!$C$20:$C$41=IF($AO77="No",$AQ77,$AS77)))))</f>
        <v>0</v>
      </c>
      <c r="VD77" s="75">
        <f t="array" ref="VD77">INDEX('China n Importing Ports'!$H$20:$H$41,MATCH(2,1/(('China n Importing Ports'!$D$20:$D$41&lt;=$C77)*('China n Importing Ports'!$C$20:$C$41=IF($AO77="No",$AQ77,$AS77)))))</f>
        <v>0</v>
      </c>
      <c r="VE77" s="75">
        <f t="array" ref="VE77">INDEX('China n Importing Ports'!$I$20:$I$41,MATCH(2,1/(('China n Importing Ports'!$D$20:$D$41&lt;=$C77)*('China n Importing Ports'!$C$20:$C$41=IF($AO77="No",$AQ77,$AS77)))))</f>
        <v>0</v>
      </c>
      <c r="VF77" s="75">
        <f t="array" ref="VF77">INDEX('China n Importing Ports'!$J$20:$J$41,MATCH(2,1/(('China n Importing Ports'!$D$20:$D$41&lt;=$C77)*('China n Importing Ports'!$C$20:$C$41=IF($AO77="No",$AQ77,$AS77)))))</f>
        <v>0</v>
      </c>
      <c r="VG77" s="75">
        <f t="array" ref="VG77">INDEX('China n Importing Ports'!$K$20:$K$41,MATCH(2,1/(('China n Importing Ports'!$D$20:$D$41&lt;=$C77)*('China n Importing Ports'!$C$20:$C$41=IF($AO77="No",$AQ77,$AS77)))))</f>
        <v>0</v>
      </c>
      <c r="VH77" s="75">
        <f t="array" ref="VH77">INDEX('China n Importing Ports'!$L$20:$L$41,MATCH(2,1/(('China n Importing Ports'!$D$20:$D$41&lt;=$C77)*('China n Importing Ports'!$C$20:$C$41=IF($AO77="No",$AQ77,$AS77)))))</f>
        <v>0</v>
      </c>
      <c r="VI77" s="75">
        <f t="array" ref="VI77">INDEX('China n Importing Ports'!$M$20:$M$41,MATCH(2,1/(('China n Importing Ports'!$D$20:$D$41&lt;=$C77)*('China n Importing Ports'!$C$20:$C$41=IF($AO77="No",$AQ77,$AS77)))))</f>
        <v>0</v>
      </c>
      <c r="VJ77" s="75">
        <f t="array" ref="VJ77">INDEX('China n Importing Ports'!$N$20:$N$41,MATCH(2,1/(('China n Importing Ports'!$D$20:$D$41&lt;=$C77)*('China n Importing Ports'!$C$20:$C$41=IF($AO77="No",$AQ77,$AS77)))))</f>
        <v>0</v>
      </c>
      <c r="VK77" s="75">
        <f t="array" ref="VK77">INDEX('China n Importing Ports'!$O$20:$O$41,MATCH(2,1/(('China n Importing Ports'!$D$20:$D$41&lt;=$C77)*('China n Importing Ports'!$C$20:$C$41=IF($AO77="No",$AQ77,$AS77)))))</f>
        <v>0</v>
      </c>
      <c r="VL77" s="136">
        <f t="array" ref="VL77">INDEX('China n Importing Ports'!$P$20:$P$41,MATCH(2,1/(('China n Importing Ports'!$D$20:$D$41&lt;=$C77)*('China n Importing Ports'!$C$20:$C$41=IF($AO77="No",$AQ77,$AS77)))))</f>
        <v>0</v>
      </c>
      <c r="VM77" s="136">
        <f t="array" ref="VM77">INDEX('China n Importing Ports'!$Q$20:$Q$41,MATCH(2,1/(('China n Importing Ports'!$D$20:$D$41&lt;=$C77)*('China n Importing Ports'!$C$20:$C$41=IF($AO77="No",$AQ77,$AS77)))))</f>
        <v>0</v>
      </c>
      <c r="VN77" s="136">
        <f t="array" ref="VN77">INDEX('China n Importing Ports'!$R$20:$R$41,MATCH(2,1/(('China n Importing Ports'!$D$20:$D$41&lt;=$C77)*('China n Importing Ports'!$C$20:$C$41=IF($AO77="No",$AQ77,$AS77)))))</f>
        <v>0</v>
      </c>
      <c r="VO77" s="136">
        <f t="array" ref="VO77">INDEX('China n Importing Ports'!$S$20:$S$41,MATCH(2,1/(('China n Importing Ports'!$D$20:$D$41&lt;=$C77)*('China n Importing Ports'!$C$20:$C$41=IF($AO77="No",$AQ77,$AS77)))))</f>
        <v>0</v>
      </c>
      <c r="VP77" s="136">
        <f t="array" ref="VP77">INDEX('China n Importing Ports'!$T$20:$T$41,MATCH(2,1/(('China n Importing Ports'!$D$20:$D$41&lt;=$C77)*('China n Importing Ports'!$C$20:$C$41=IF($AO77="No",$AQ77,$AS77)))))</f>
        <v>0</v>
      </c>
      <c r="VQ77" s="136">
        <f t="array" ref="VQ77">INDEX('China n Importing Ports'!$U$20:$U$41,MATCH(2,1/(('China n Importing Ports'!$D$20:$D$41&lt;=$C77)*('China n Importing Ports'!$C$20:$C$41=IF($AO77="No",$AQ77,$AS77)))))</f>
        <v>0</v>
      </c>
      <c r="VR77" s="136">
        <f t="array" ref="VR77">INDEX('China n Importing Ports'!$V$20:$V$41,MATCH(2,1/(('China n Importing Ports'!$D$20:$D$41&lt;=$C77)*('China n Importing Ports'!$C$20:$C$41=IF($AO77="No",$AQ77,$AS77)))))</f>
        <v>0</v>
      </c>
      <c r="VS77" s="136">
        <f t="array" ref="VS77">INDEX('China n Importing Ports'!$W$20:$W$41,MATCH(2,1/(('China n Importing Ports'!$D$20:$D$41&lt;=$C77)*('China n Importing Ports'!$C$20:$C$41=IF($AO77="No",$AQ77,$AS77)))))</f>
        <v>0</v>
      </c>
      <c r="VT77" s="136">
        <f t="array" ref="VT77">INDEX('China n Importing Ports'!$X$20:$X$41,MATCH(2,1/(('China n Importing Ports'!$D$20:$D$41&lt;=$C77)*('China n Importing Ports'!$C$20:$C$41=IF($AO77="No",$AQ77,$AS77)))))</f>
        <v>0</v>
      </c>
      <c r="VU77" s="136">
        <f t="array" ref="VU77">INDEX('China n Importing Ports'!$Y$20:$Y$41,MATCH(2,1/(('China n Importing Ports'!$D$20:$D$41&lt;=$C77)*('China n Importing Ports'!$C$20:$C$41=IF($AO77="No",$AQ77,$AS77)))))</f>
        <v>0</v>
      </c>
      <c r="VV77" s="136">
        <f t="array" ref="VV77">INDEX('China n Importing Ports'!$Z$20:$Z$41,MATCH(2,1/(('China n Importing Ports'!$D$20:$D$41&lt;=$C77)*('China n Importing Ports'!$C$20:$C$41=IF($AO77="No",$AQ77,$AS77)))))</f>
        <v>0</v>
      </c>
      <c r="VW77" s="136">
        <f t="array" ref="VW77">INDEX('China n Importing Ports'!$AA$20:$AA$41,MATCH(2,1/(('China n Importing Ports'!$D$20:$D$41&lt;=$C77)*('China n Importing Ports'!$C$20:$C$41=IF($AO77="No",$AQ77,$AS77)))))</f>
        <v>0</v>
      </c>
      <c r="VY77" s="75" t="e">
        <f t="array" aca="1" ref="VY77" ca="1">INDEX(Canals!$G$24:$G$29,MATCH(2,1/((Canals!$F$24:$F$29&lt;=$C77)*(Canals!$G$24:$G$29=_xlfn.IFS(SJ77="Handysize",US77,SJ77="Supramax",UL77,SJ77="Panamax",UE77,SJ77="NeoPanamax",TX77,SJ77="Suezmax",TQ77,SJ77="Capesize",TJ77,SJ77="VLOC",TC77)))))</f>
        <v>#N/A</v>
      </c>
      <c r="VZ77" s="75" t="e">
        <f t="array" aca="1" ref="VZ77" ca="1">INDEX(Canals!$H$24:$H$29,MATCH(2,1/((Canals!$F$24:$F$29&lt;=$C77)*(Canals!$G$24:$G$29=_xlfn.IFS(SJ77="Handysize",US77,SJ77="Supramax",UL77,SJ77="Panamax",UE77,SJ77="NeoPanamax",TX77,SJ77="Suezmax",TQ77,SJ77="Capesize",TJ77,SJ77="VLOC",TC77)))))</f>
        <v>#N/A</v>
      </c>
      <c r="WA77" s="75" t="e">
        <f t="array" aca="1" ref="WA77" ca="1">INDEX(Canals!$I$24:$I$29,MATCH(2,1/((Canals!$F$24:$F$29&lt;=$C77)*(Canals!$G$24:$G$29=_xlfn.IFS(SJ77="Handysize",US77,SJ77="Supramax",UL77,SJ77="Panamax",UE77,SJ77="NeoPanamax",TX77,SJ77="Suezmax",TQ77,SJ77="Capesize",TJ77,SJ77="VLOC",TC77)))))</f>
        <v>#N/A</v>
      </c>
      <c r="WB77" s="75" t="e">
        <f t="array" aca="1" ref="WB77" ca="1">INDEX(Canals!$J$24:$J$29,MATCH(2,1/((Canals!$F$24:$F$29&lt;=$C77)*(Canals!$G$24:$G$29=_xlfn.IFS(SJ77="Handysize",Main!US77,SJ77="Supramax",UL77,SJ77="Panamax",UE77,SJ77="NeoPanamax",TX77,SJ77="Suezmax",TQ77,SJ77="Capesize",TJ77,SJ77="VLOC",TC77)))))</f>
        <v>#N/A</v>
      </c>
      <c r="WC77" s="75" t="e">
        <f t="array" aca="1" ref="WC77" ca="1">INDEX(Canals!$K$24:$K$29,MATCH(2,1/((Canals!$F$24:$F$29&lt;=$C77)*(Canals!$G$24:$G$29=_xlfn.IFS(SJ77="Handysize",Main!US77,SJ77="Supramax",UL77,SJ77="Panamax",UE77,SJ77="NeoPanamax",TX77,SJ77="Suezmax",TQ77,SJ77="Capesize",TJ77,SJ77="VLOC",TC77)))))</f>
        <v>#N/A</v>
      </c>
      <c r="WD77" s="75" t="e">
        <f t="array" aca="1" ref="WD77" ca="1">INDEX(Canals!$L$24:$L$29,MATCH(2,1/((Canals!$F$24:$F$29&lt;=$C77)*(Canals!$G$24:$G$29=_xlfn.IFS(SJ77="Handysize",Main!US77,SJ77="Supramax",UL77,SJ77="Panamax",UE77,SJ77="NeoPanamax",TX77,SJ77="Suezmax",TQ77,SJ77="Capesize",TJ77,SJ77="VLOC",TC77)))))</f>
        <v>#N/A</v>
      </c>
      <c r="WE77" s="75" t="e">
        <f t="array" aca="1" ref="WE77" ca="1">INDEX(Canals!$M$24:$M$29,MATCH(2,1/((Canals!$F$24:$F$29&lt;=$C77)*(Canals!$G$24:$G$29=_xlfn.IFS(SJ77="Handysize",Main!US77,SJ77="Supramax",UL77,SJ77="Panamax",UE77,SJ77="NeoPanamax",TX77,SJ77="Suezmax",TQ77,SJ77="Capesize",TJ77,SJ77="VLOC",TC77)))))</f>
        <v>#N/A</v>
      </c>
      <c r="WF77" s="75" t="e">
        <f t="array" aca="1" ref="WF77" ca="1">INDEX(Canals!$N$24:$N$29,MATCH(2,1/((Canals!$F$24:$F$29&lt;=$C77)*(Canals!$G$24:$G$29=_xlfn.IFS(SJ77="Handysize",Main!US77,SJ77="Supramax",UL77,SJ77="Panamax",UE77,SJ77="NeoPanamax",TX77,SJ77="Suezmax",TQ77,SJ77="Capesize",TJ77,SJ77="VLOC",TC77)))))</f>
        <v>#N/A</v>
      </c>
      <c r="WG77" s="75" t="e">
        <f t="array" aca="1" ref="WG77" ca="1">INDEX(Canals!$O$24:$O$29,MATCH(2,1/((Canals!$F$24:$F$29&lt;=$C77)*(Canals!$G$24:$G$29=_xlfn.IFS(SJ77="Handysize",Main!US77,SJ77="Supramax",UL77,SJ77="Panamax",UE77,SJ77="NeoPanamax",TX77,SJ77="Suezmax",TQ77,SJ77="Capesize",TJ77,SJ77="VLOC",TC77)))))</f>
        <v>#N/A</v>
      </c>
      <c r="WH77" s="75" t="e">
        <f t="array" aca="1" ref="WH77" ca="1">INDEX(Canals!$P$24:$P$29,MATCH(2,1/((Canals!$F$24:$F$29&lt;=$C77)*(Canals!$G$24:$G$29=_xlfn.IFS(SJ77="Handysize",Main!US77,SJ77="Supramax",UL77,SJ77="Panamax",UE77,SJ77="NeoPanamax",TX77,SJ77="Suezmax",TQ77,SJ77="Capesize",TJ77,SJ77="VLOC",TC77)))))</f>
        <v>#N/A</v>
      </c>
      <c r="WI77" s="75" t="e">
        <f t="array" aca="1" ref="WI77" ca="1">INDEX(Canals!$Q$24:$Q$29,MATCH(2,1/((Canals!$F$24:$F$29&lt;=$C77)*(Canals!$G$24:$G$29=_xlfn.IFS(SJ77="Handysize",Main!US77,SJ77="Supramax",UL77,SJ77="Panamax",UE77,SJ77="NeoPanamax",TX77,SJ77="Suezmax",TQ77,SJ77="Capesize",TJ77,SJ77="VLOC",TC77)))))</f>
        <v>#N/A</v>
      </c>
      <c r="WJ77" s="75" t="e">
        <f t="array" aca="1" ref="WJ77" ca="1">INDEX(Canals!$R$24:$R$29,MATCH(2,1/((Canals!$F$24:$F$29&lt;=$C77)*(Canals!$G$24:$G$29=_xlfn.IFS(SJ77="Handysize",Main!US77,SJ77="Supramax",UL77,SJ77="Panamax",UE77,SJ77="NeoPanamax",TX77,SJ77="Suezmax",TQ77,SJ77="Capesize",TJ77,SJ77="VLOC",TC77)))))</f>
        <v>#N/A</v>
      </c>
      <c r="WK77" s="136" t="e">
        <f t="array" aca="1" ref="WK77" ca="1">INDEX(Canals!$S$24:$S$29,MATCH(2,1/((Canals!$F$24:$F$29&lt;=$C77)*(Canals!$G$24:$G$29=_xlfn.IFS(SJ77="Handysize",Main!US77,SJ77="Supramax",UL77,SJ77="Panamax",UE77,SJ77="NeoPanamax",TX77,SJ77="Suezmax",TQ77,SJ77="Capesize",TJ77,SJ77="VLOC",TC77)))))</f>
        <v>#N/A</v>
      </c>
      <c r="WL77" s="136" t="e">
        <f t="array" aca="1" ref="WL77" ca="1">INDEX(Canals!$T$24:$T$29,MATCH(2,1/((Canals!$F$24:$F$29&lt;=$C77)*(Canals!$G$24:$G$29=_xlfn.IFS(SJ77="Handysize",Main!US77,SJ77="Supramax",UL77,SJ77="Panamax",UE77,SJ77="NeoPanamax",TX77,SJ77="Suezmax",TQ77,SJ77="Capesize",TJ77,SJ77="VLOC",TC77)))))</f>
        <v>#N/A</v>
      </c>
      <c r="WM77" s="136" t="e">
        <f t="array" aca="1" ref="WM77" ca="1">INDEX(Canals!$U$24:$U$29,MATCH(2,1/((Canals!$F$24:$F$29&lt;=$C77)*(Canals!$G$24:$G$29=_xlfn.IFS(SJ77="Handysize",Main!US77,SJ77="Supramax",UL77,SJ77="Panamax",UE77,SJ77="NeoPanamax",TX77,SJ77="Suezmax",TQ77,SJ77="Capesize",TJ77,SJ77="VLOC",TC77)))))</f>
        <v>#N/A</v>
      </c>
      <c r="WN77" s="136" t="e">
        <f t="array" aca="1" ref="WN77" ca="1">INDEX(Canals!$V$24:$V$29,MATCH(2,1/((Canals!$F$24:$F$29&lt;=$C77)*(Canals!$G$24:$G$29=_xlfn.IFS(SJ77="Handysize",Main!US77,SJ77="Supramax",UL77,SJ77="Panamax",UE77,SJ77="NeoPanamax",TX77,SJ77="Suezmax",TQ77,SJ77="Capesize",TJ77,SJ77="VLOC",TC77)))))</f>
        <v>#N/A</v>
      </c>
      <c r="WO77" s="136" t="e">
        <f t="array" aca="1" ref="WO77" ca="1">INDEX(Canals!$W$24:$W$29,MATCH(2,1/((Canals!$F$24:$F$29&lt;=$C77)*(Canals!$G$24:$G$29=_xlfn.IFS(SJ77="Handysize",Main!US77,SJ77="Supramax",UL77,SJ77="Panamax",UE77,SJ77="NeoPanamax",TX77,SJ77="Suezmax",TQ77,SJ77="Capesize",TJ77,SJ77="VLOC",TC77)))))</f>
        <v>#N/A</v>
      </c>
      <c r="WP77" s="136" t="e">
        <f t="array" aca="1" ref="WP77" ca="1">INDEX(Canals!$X$24:$X$29,MATCH(2,1/((Canals!$F$24:$F$29&lt;=$C77)*(Canals!$G$24:$G$29=_xlfn.IFS(SJ77="Handysize",Main!US77,SJ77="Supramax",UL77,SJ77="Panamax",UE77,SJ77="NeoPanamax",TX77,SJ77="Suezmax",TQ77,SJ77="Capesize",TJ77,SJ77="VLOC",TC77)))))</f>
        <v>#N/A</v>
      </c>
      <c r="WQ77" s="136" t="e">
        <f t="array" aca="1" ref="WQ77" ca="1">INDEX(Canals!$Y$24:$Y$29,MATCH(2,1/((Canals!$F$24:$F$29&lt;=$C77)*(Canals!$G$24:$G$29=_xlfn.IFS(SJ77="Handysize",Main!US77,SJ77="Supramax",UL77,SJ77="Panamax",UE77,SJ77="NeoPanamax",TX77,SJ77="Suezmax",TQ77,SJ77="Capesize",TJ77,SJ77="VLOC",TC77)))))</f>
        <v>#N/A</v>
      </c>
      <c r="WR77" s="136" t="e">
        <f t="array" aca="1" ref="WR77" ca="1">INDEX(Canals!$Z$24:$Z$29,MATCH(2,1/((Canals!$F$24:$F$29&lt;=$C77)*(Canals!$G$24:$G$29=_xlfn.IFS(SJ77="Handysize",Main!US77,SJ77="Supramax",UL77,SJ77="Panamax",UE77,SJ77="NeoPanamax",TX77,SJ77="Suezmax",TQ77,SJ77="Capesize",TJ77,SJ77="VLOC",TC77)))))</f>
        <v>#N/A</v>
      </c>
      <c r="WS77" s="136" t="e">
        <f t="array" aca="1" ref="WS77" ca="1">INDEX(Canals!$AA$24:$AA$29,MATCH(2,1/((Canals!$F$24:$F$29&lt;=$C77)*(Canals!$G$24:$G$29=_xlfn.IFS(SJ77="Handysize",Main!US77,SJ77="Supramax",UL77,SJ77="Panamax",UE77,SJ77="NeoPanamax",TX77,SJ77="Suezmax",TQ77,SJ77="Capesize",TJ77,SJ77="VLOC",TC77)))))</f>
        <v>#N/A</v>
      </c>
      <c r="WT77" s="136" t="e">
        <f t="array" aca="1" ref="WT77" ca="1">INDEX(Canals!$AB$24:$AB$29,MATCH(2,1/((Canals!$F$24:$F$29&lt;=$C77)*(Canals!$G$24:$G$29=_xlfn.IFS(SJ77="Handysize",Main!US77,SJ77="Supramax",UL77,SJ77="Panamax",UE77,SJ77="NeoPanamax",TX77,SJ77="Suezmax",TQ77,SJ77="Capesize",TJ77,SJ77="VLOC",TC77)))))</f>
        <v>#N/A</v>
      </c>
      <c r="WU77" s="75" t="e">
        <f t="array" aca="1" ref="WU77" ca="1">INDEX(Canals!$AC$24:$AC$29,MATCH(2,1/((Canals!$F$24:$F$29&lt;=$C77)*(Canals!$G$24:$G$29=_xlfn.IFS(SJ77="Handysize",Main!US77,SJ77="Supramax",UL77,SJ77="Panamax",UE77,SJ77="NeoPanamax",TX77,SJ77="Suezmax",TQ77,SJ77="Capesize",TJ77,SJ77="VLOC",TC77)))))</f>
        <v>#N/A</v>
      </c>
      <c r="WV77" s="75" t="e">
        <f t="array" aca="1" ref="WV77" ca="1">INDEX(Canals!$AD$24:$AD$29,MATCH(2,1/((Canals!$F$24:$F$29&lt;=$C77)*(Canals!$G$24:$G$29=_xlfn.IFS(SJ77="Handysize",Main!US77,SJ77="Supramax",UL77,SJ77="Panamax",UE77,SJ77="NeoPanamax",TX77,SJ77="Suezmax",TQ77,SJ77="Capesize",TJ77,SJ77="VLOC",TC77)))))</f>
        <v>#N/A</v>
      </c>
      <c r="WW77" s="75" t="e">
        <f t="array" aca="1" ref="WW77" ca="1">INDEX(Canals!$AE$24:$AE$29,MATCH(2,1/((Canals!$F$24:$F$29&lt;=$C77)*(Canals!$G$24:$G$29=_xlfn.IFS(SJ77="Handysize",Main!US77,SJ77="Supramax",UL77,SJ77="Panamax",UE77,SJ77="NeoPanamax",TX77,SJ77="Suezmax",TQ77,SJ77="Capesize",TJ77,SJ77="VLOC",TC77)))))</f>
        <v>#N/A</v>
      </c>
      <c r="WX77" s="75" t="e">
        <f t="array" aca="1" ref="WX77" ca="1">INDEX(Canals!$AF$24:$AF$29,MATCH(2,1/((Canals!$F$24:$F$29&lt;=$C77)*(Canals!$G$24:$G$29=_xlfn.IFS(SJ77="Handysize",Main!US77,SJ77="Supramax",UL77,SJ77="Panamax",UE77,SJ77="NeoPanamax",TX77,SJ77="Suezmax",TQ77,SJ77="Capesize",TJ77,SJ77="VLOC",TC77)))))</f>
        <v>#N/A</v>
      </c>
      <c r="WY77" s="75" t="e">
        <f t="array" aca="1" ref="WY77" ca="1">INDEX(Canals!$AG$24:$AG$29,MATCH(2,1/((Canals!$F$24:$F$29&lt;=$C77)*(Canals!$G$24:$G$29=_xlfn.IFS(SJ77="Handysize",Main!US77,SJ77="Supramax",UL77,SJ77="Panamax",UE77,SJ77="NeoPanamax",TX77,SJ77="Suezmax",TQ77,SJ77="Capesize",TJ77,SJ77="VLOC",TC77)))))</f>
        <v>#N/A</v>
      </c>
      <c r="WZ77" s="75" t="e">
        <f t="array" aca="1" ref="WZ77" ca="1">INDEX(Canals!$AH$24:$AH$29,MATCH(2,1/((Canals!$F$24:$F$29&lt;=$C77)*(Canals!$G$24:$G$29=_xlfn.IFS(SJ77="Handysize",Main!US77,SJ77="Supramax",UL77,SJ77="Panamax",UE77,SJ77="NeoPanamax",TX77,SJ77="Suezmax",TQ77,SJ77="Capesize",TJ77,SJ77="VLOC",TC77)))))</f>
        <v>#N/A</v>
      </c>
      <c r="XA77" s="75" t="e">
        <f t="array" aca="1" ref="XA77" ca="1">INDEX(Canals!$AI$24:$AI$29,MATCH(2,1/((Canals!$F$24:$F$29&lt;=$C77)*(Canals!$G$24:$G$29=_xlfn.IFS(SJ77="Handysize",Main!US77,SJ77="Supramax",UL77,SJ77="Panamax",UE77,SJ77="NeoPanamax",TX77,SJ77="Suezmax",TQ77,SJ77="Capesize",TJ77,SJ77="VLOC",TC77)))))</f>
        <v>#N/A</v>
      </c>
      <c r="XB77" s="75" t="e">
        <f t="array" aca="1" ref="XB77" ca="1">INDEX(Canals!$AJ$24:$AJ$29,MATCH(2,1/((Canals!$F$24:$F$29&lt;=$C77)*(Canals!$G$24:$G$29=_xlfn.IFS(SJ77="Handysize",Main!US77,SJ77="Supramax",UL77,SJ77="Panamax",UE77,SJ77="NeoPanamax",TX77,SJ77="Suezmax",TQ77,SJ77="Capesize",TJ77,SJ77="VLOC",TC77)))))</f>
        <v>#N/A</v>
      </c>
      <c r="XC77" s="75" t="e">
        <f t="array" aca="1" ref="XC77" ca="1">INDEX(Canals!$AK$24:$AK$29,MATCH(2,1/((Canals!$F$24:$F$29&lt;=$C77)*(Canals!$G$24:$G$29=_xlfn.IFS(SJ77="Handysize",Main!US77,SJ77="Supramax",UL77,SJ77="Panamax",UE77,SJ77="NeoPanamax",TX77,SJ77="Suezmax",TQ77,SJ77="Capesize",TJ77,SJ77="VLOC",TC77)))))</f>
        <v>#N/A</v>
      </c>
      <c r="XD77" s="136" t="e">
        <f t="array" aca="1" ref="XD77" ca="1">INDEX(Canals!$AL$24:$AL$29,MATCH(2,1/((Canals!$F$24:$F$29&lt;=$C77)*(Canals!$G$24:$G$29=_xlfn.IFS(SJ77="Handysize",Main!US77,SJ77="Supramax",UL77,SJ77="Panamax",UE77,SJ77="NeoPanamax",TX77,SJ77="Suezmax",TQ77,SJ77="Capesize",TJ77,SJ77="VLOC",TC77)))))</f>
        <v>#N/A</v>
      </c>
      <c r="XE77" s="136" t="e">
        <f t="array" aca="1" ref="XE77" ca="1">INDEX(Canals!$AM$24:$AM$29,MATCH(2,1/((Canals!$F$24:$F$29&lt;=$C77)*(Canals!$G$24:$G$29=_xlfn.IFS(SJ77="Handysize",Main!US77,SJ77="Supramax",UL77,SJ77="Panamax",UE77,SJ77="NeoPanamax",TX77,SJ77="Suezmax",TQ77,SJ77="Capesize",TJ77,SJ77="VLOC",TC77)))))</f>
        <v>#N/A</v>
      </c>
      <c r="XF77" s="136" t="e">
        <f t="array" aca="1" ref="XF77" ca="1">INDEX(Canals!$AN$24:$AN$29,MATCH(2,1/((Canals!$F$24:$F$29&lt;=$C77)*(Canals!$G$24:$G$29=_xlfn.IFS(SJ77="Handysize",Main!US77,SJ77="Supramax",UL77,SJ77="Panamax",UE77,SJ77="NeoPanamax",TX77,SJ77="Suezmax",TQ77,SJ77="Capesize",TJ77,SJ77="VLOC",TC77)))))</f>
        <v>#N/A</v>
      </c>
      <c r="XG77" s="136" t="e">
        <f t="array" aca="1" ref="XG77" ca="1">INDEX(Canals!$AO$24:$AO$29,MATCH(2,1/((Canals!$F$24:$F$29&lt;=$C77)*(Canals!$G$24:$G$29=_xlfn.IFS(SJ77="Handysize",Main!US77,SJ77="Supramax",UL77,SJ77="Panamax",UE77,SJ77="NeoPanamax",TX77,SJ77="Suezmax",TQ77,SJ77="Capesize",TJ77,SJ77="VLOC",TC77)))))</f>
        <v>#N/A</v>
      </c>
      <c r="XH77" s="136" t="e">
        <f t="array" aca="1" ref="XH77" ca="1">INDEX(Canals!$AP$24:$AP$29,MATCH(2,1/((Canals!$F$24:$F$29&lt;=$C77)*(Canals!$G$24:$G$29=_xlfn.IFS(SJ77="Handysize",Main!US77,SJ77="Supramax",UL77,SJ77="Panamax",UE77,SJ77="NeoPanamax",TX77,SJ77="Suezmax",TQ77,SJ77="Capesize",TJ77,SJ77="VLOC",TC77)))))</f>
        <v>#N/A</v>
      </c>
      <c r="XI77" s="136" t="e">
        <f t="array" aca="1" ref="XI77" ca="1">INDEX(Canals!$AQ$24:$AQ$29,MATCH(2,1/((Canals!$F$24:$F$29&lt;=$C77)*(Canals!$G$24:$G$29=_xlfn.IFS(SJ77="Handysize",Main!US77,SJ77="Supramax",UL77,SJ77="Panamax",UE77,SJ77="NeoPanamax",TX77,SJ77="Suezmax",TQ77,SJ77="Capesize",TJ77,SJ77="VLOC",TC77)))))</f>
        <v>#N/A</v>
      </c>
      <c r="XJ77" s="136" t="e">
        <f t="array" aca="1" ref="XJ77" ca="1">INDEX(Canals!$AR$24:$AR$29,MATCH(2,1/((Canals!$F$24:$F$29&lt;=$C77)*(Canals!$G$24:$G$29=_xlfn.IFS(SJ77="Handysize",Main!US77,SJ77="Supramax",UL77,SJ77="Panamax",UE77,SJ77="NeoPanamax",TX77,SJ77="Suezmax",TQ77,SJ77="Capesize",TJ77,SJ77="VLOC",TC77)))))</f>
        <v>#N/A</v>
      </c>
      <c r="XK77" s="136" t="e">
        <f t="array" aca="1" ref="XK77" ca="1">INDEX(Canals!$AS$24:$AS$29,MATCH(2,1/((Canals!$F$24:$F$29&lt;=$C77)*(Canals!$G$24:$G$29=_xlfn.IFS(SJ77="Handysize",Main!US77,SJ77="Supramax",UL77,SJ77="Panamax",UE77,SJ77="NeoPanamax",TX77,SJ77="Suezmax",TQ77,SJ77="Capesize",TJ77,SJ77="VLOC",TC77)))))</f>
        <v>#N/A</v>
      </c>
      <c r="XL77" s="136" t="e">
        <f t="array" aca="1" ref="XL77" ca="1">INDEX(Canals!$AT$24:$AT$29,MATCH(2,1/((Canals!$F$24:$F$29&lt;=$C77)*(Canals!$G$24:$G$29=_xlfn.IFS(SJ77="Handysize",Main!US77,SJ77="Supramax",UL77,SJ77="Panamax",UE77,SJ77="NeoPanamax",TX77,SJ77="Suezmax",TQ77,SJ77="Capesize",TJ77,SJ77="VLOC",TC77)))))</f>
        <v>#N/A</v>
      </c>
      <c r="XM77" s="136" t="e">
        <f t="array" aca="1" ref="XM77" ca="1">INDEX(Canals!$AU$24:$AU$29,MATCH(2,1/((Canals!$F$24:$F$29&lt;=$C77)*(Canals!$G$24:$G$29=_xlfn.IFS(SJ77="Handysize",Main!US77,SJ77="Supramax",UL77,SJ77="Panamax",UE77,SJ77="NeoPanamax",TX77,SJ77="Suezmax",TQ77,SJ77="Capesize",TJ77,SJ77="VLOC",TC77)))))</f>
        <v>#N/A</v>
      </c>
      <c r="XN77" s="136" t="e">
        <f t="array" aca="1" ref="XN77" ca="1">INDEX(Canals!$AV$24:$AV$29,MATCH(2,1/((Canals!$F$24:$F$29&lt;=$C77)*(Canals!$G$24:$G$29=_xlfn.IFS(SJ77="Handysize",Main!US77,SJ77="Supramax",UL77,SJ77="Panamax",UE77,SJ77="NeoPanamax",TX77,SJ77="Suezmax",TQ77,SJ77="Capesize",TJ77,SJ77="VLOC",TC77)))))</f>
        <v>#N/A</v>
      </c>
      <c r="XP77" s="75" t="e">
        <f t="array" aca="1" ref="XP77" ca="1">_xlfn.IFS(WA77="DWT",SH77,WA77="NRT",SL77,WA77="GRT",SM77,WA77=0,0)</f>
        <v>#NAME?</v>
      </c>
      <c r="XQ77" s="279" t="e">
        <f t="shared" ca="1" si="836"/>
        <v>#NAME?</v>
      </c>
      <c r="XR77" s="280" t="e">
        <f t="shared" ca="1" si="837"/>
        <v>#NAME?</v>
      </c>
      <c r="XS77" s="280" t="e">
        <f t="shared" ca="1" si="838"/>
        <v>#NAME?</v>
      </c>
      <c r="XT77" s="280" t="e">
        <f t="shared" ca="1" si="839"/>
        <v>#NAME?</v>
      </c>
      <c r="XU77" s="280" t="e">
        <f t="shared" ca="1" si="840"/>
        <v>#NAME?</v>
      </c>
      <c r="XV77" s="280" t="e">
        <f t="shared" ca="1" si="841"/>
        <v>#NAME?</v>
      </c>
      <c r="XW77" s="280" t="e">
        <f t="shared" ca="1" si="842"/>
        <v>#NAME?</v>
      </c>
      <c r="XX77" s="280" t="e">
        <f t="shared" ca="1" si="843"/>
        <v>#NAME?</v>
      </c>
      <c r="XY77" s="280" t="e">
        <f t="shared" ca="1" si="844"/>
        <v>#NAME?</v>
      </c>
      <c r="XZ77" s="75">
        <f t="shared" si="845"/>
        <v>0</v>
      </c>
      <c r="YA77" s="279" t="e">
        <f t="shared" ca="1" si="846"/>
        <v>#N/A</v>
      </c>
      <c r="YB77" s="280" t="e">
        <f t="shared" ca="1" si="847"/>
        <v>#N/A</v>
      </c>
      <c r="YC77" s="280" t="e">
        <f t="shared" ca="1" si="848"/>
        <v>#N/A</v>
      </c>
      <c r="YD77" s="280" t="e">
        <f t="shared" ca="1" si="849"/>
        <v>#N/A</v>
      </c>
      <c r="YE77" s="280" t="e">
        <f t="shared" ca="1" si="850"/>
        <v>#N/A</v>
      </c>
      <c r="YF77" s="280" t="e">
        <f t="shared" ca="1" si="851"/>
        <v>#N/A</v>
      </c>
      <c r="YG77" s="280" t="e">
        <f t="shared" ca="1" si="852"/>
        <v>#N/A</v>
      </c>
      <c r="YH77" s="280" t="e">
        <f t="shared" ca="1" si="853"/>
        <v>#N/A</v>
      </c>
      <c r="YI77" s="280" t="e">
        <f t="shared" ca="1" si="854"/>
        <v>#N/A</v>
      </c>
      <c r="YK77" s="75" t="e">
        <f t="array" aca="1" ref="YK77" ca="1">_xlfn.IFS(SJ77="Handysize",Main!UM77,SJ77="Supramax",UF77,SJ77="Panamax",TY77,SJ77="NeoPanamax",TR77,SJ77="Suezmax",TK77,SJ77="Capesize",TD77,SJ77="VLOC",SW77)*$JI77</f>
        <v>#NAME?</v>
      </c>
      <c r="YL77" s="274" t="e">
        <f t="array" aca="1" ref="YL77" ca="1">_xlfn.IFS(SJ77="Handysize",Main!UN77,SJ77="Supramax",UG77,SJ77="Panamax",TZ77,SJ77="NeoPanamax",TS77,SJ77="Suezmax",TL77,SJ77="Capesize",TE77,SJ77="VLOC",SX77)*$JI77</f>
        <v>#NAME?</v>
      </c>
      <c r="YM77" s="71" t="e">
        <f t="array" aca="1" ref="YM77" ca="1">_xlfn.IFS(SJ77="Handysize",Main!SO77,SJ77="Supramax",SP77,SJ77="Panamax",SQ77,SJ77="NeoPanamax",SR77,SJ77="Suezmax",SS77,SJ77="Capesize",ST77,SJ77="VLOC",SU77)</f>
        <v>#NAME?</v>
      </c>
      <c r="YN77" s="71" t="e">
        <f t="array" aca="1" ref="YN77" ca="1">_xlfn.IFS(SJ77="Handysize",Main!VA77,SJ77="Supramax",VB77,SJ77="Panamax",VC77,SJ77="NeoPanamax",VD77,SJ77="Suezmax",VE77,SJ77="Capesize",VF77,SJ77="VLOC",VG77)</f>
        <v>#NAME?</v>
      </c>
      <c r="YO77" s="70">
        <f t="array" ref="YO77">INDEX('Ship Speeds'!$G$11:$G$1011,MATCH(2,1/(('Ship Speeds'!$E$11:$E$1011&lt;=Main!$C77)*('Ship Speeds'!$F$11:$F$1011=Main!SI77))))</f>
        <v>11</v>
      </c>
      <c r="YP77" s="403">
        <f t="shared" si="855"/>
        <v>0</v>
      </c>
      <c r="YQ77" s="401">
        <f t="shared" si="856"/>
        <v>1.2</v>
      </c>
      <c r="YR77" s="70" t="e">
        <f t="shared" ca="1" si="857"/>
        <v>#NAME?</v>
      </c>
      <c r="YS77" s="70" t="e">
        <f t="shared" ca="1" si="858"/>
        <v>#NAME?</v>
      </c>
      <c r="YT77" s="70" t="e">
        <f t="shared" ca="1" si="859"/>
        <v>#NAME?</v>
      </c>
      <c r="YU77" s="70" t="e">
        <f t="shared" ca="1" si="860"/>
        <v>#NAME?</v>
      </c>
      <c r="YV77" s="72" t="e">
        <f t="shared" ca="1" si="861"/>
        <v>#N/A</v>
      </c>
      <c r="YW77" s="70" t="e">
        <f t="shared" ca="1" si="862"/>
        <v>#NAME?</v>
      </c>
      <c r="YX77" s="70" t="e">
        <f t="array" aca="1" ref="YX77" ca="1">IF(YK77=0,0,INDEX(UU77:UY77,MATCH(_xlfn.IFS(SJ77="Handysize",Main!UQ77,SJ77="Supramax",UJ77,SJ77="Panamax",UC77,SJ77="NeoPanamax",TV77,SJ77="Suezmax",TO77,SJ77="Capesize",TH77,SJ77="VLOC",TA77),$UU$7:$UY$7,0)))</f>
        <v>#NAME?</v>
      </c>
      <c r="YY77" s="70" t="e">
        <f t="array" aca="1" ref="YY77" ca="1">IF(YK77=0,0,INDEX(UU77:UY77,MATCH(_xlfn.IFS(SJ77="Handysize",Main!UR77,SJ77="Supramax",UK77,SJ77="Panamax",UD77,SJ77="NeoPanamax",TW77,SJ77="Suezmax",TP77,SJ77="Capesize",TI77,SJ77="VLOC",TB77),$UU$7:$UY$7,0)))</f>
        <v>#NAME?</v>
      </c>
      <c r="YZ77" s="71" t="e">
        <f t="shared" ca="1" si="863"/>
        <v>#NAME?</v>
      </c>
      <c r="ZA77" s="71" t="e">
        <f t="shared" ca="1" si="864"/>
        <v>#NAME?</v>
      </c>
      <c r="ZB77" s="281" t="e">
        <f t="shared" ca="1" si="865"/>
        <v>#NAME?</v>
      </c>
      <c r="ZC77" s="71" t="e">
        <f t="shared" ca="1" si="866"/>
        <v>#NAME?</v>
      </c>
      <c r="ZD77" s="71" t="e">
        <f t="shared" ca="1" si="867"/>
        <v>#NAME?</v>
      </c>
      <c r="ZE77" s="71" t="e">
        <f t="shared" ca="1" si="868"/>
        <v>#NAME?</v>
      </c>
      <c r="ZF77" s="71" t="e">
        <f t="shared" ca="1" si="869"/>
        <v>#NAME?</v>
      </c>
      <c r="ZG77" s="71" t="e">
        <f t="shared" ca="1" si="870"/>
        <v>#NAME?</v>
      </c>
      <c r="ZH77" s="71" t="e">
        <f t="shared" ca="1" si="871"/>
        <v>#NAME?</v>
      </c>
      <c r="ZI77" s="71" t="e">
        <f t="shared" ca="1" si="872"/>
        <v>#NAME?</v>
      </c>
      <c r="ZJ77" s="71" t="e">
        <f t="shared" ca="1" si="873"/>
        <v>#NAME?</v>
      </c>
      <c r="ZK77" s="71" t="e">
        <f t="shared" ca="1" si="874"/>
        <v>#NAME?</v>
      </c>
      <c r="ZL77" s="71" t="e">
        <f t="shared" ca="1" si="875"/>
        <v>#NAME?</v>
      </c>
      <c r="ZM77" s="71" t="e">
        <f t="shared" ca="1" si="876"/>
        <v>#NAME?</v>
      </c>
      <c r="ZN77" s="71" t="e">
        <f t="shared" ca="1" si="877"/>
        <v>#NAME?</v>
      </c>
      <c r="ZO77" s="72" t="e">
        <f t="shared" ca="1" si="878"/>
        <v>#NAME?</v>
      </c>
      <c r="ZP77" s="72" t="e">
        <f t="shared" ca="1" si="879"/>
        <v>#NAME?</v>
      </c>
      <c r="ZQ77" s="71" t="e">
        <f t="shared" ca="1" si="880"/>
        <v>#NAME?</v>
      </c>
      <c r="ZR77" s="71" t="e">
        <f t="array" aca="1" ref="ZR77" ca="1">IF(YK77=0,0,INDEX('Ship Time Charter Rates'!$H$22:$H$1021,MATCH(2,1/(('Ship Time Charter Rates'!$G$22:$G$1021=_xlfn.IFS(SJ77="Handysize",Main!UO77,SJ77="Supramax",UH77,SJ77="Panamax",UA77,SJ77="NeoPanamax",TT77,SJ77="Suezmax",TM77,SJ77="Capesize",TF77,SJ77="VLOC",SY77))*('Ship Time Charter Rates'!$E$22:$E$1021&lt;=Main!$C77)*(NOT(ISBLANK('Ship Time Charter Rates'!$H$22:$H$1021)))))))</f>
        <v>#NAME?</v>
      </c>
      <c r="ZS77" s="71" t="e">
        <f t="shared" ca="1" si="881"/>
        <v>#NAME?</v>
      </c>
      <c r="ZT77" s="70" t="e">
        <f t="shared" ca="1" si="882"/>
        <v>#NAME?</v>
      </c>
      <c r="ZU77" s="71" t="e">
        <f t="shared" ca="1" si="883"/>
        <v>#NAME?</v>
      </c>
      <c r="ZV77" s="71" t="e">
        <f t="shared" ca="1" si="884"/>
        <v>#NAME?</v>
      </c>
      <c r="ZW77" s="72" t="e">
        <f t="shared" ca="1" si="885"/>
        <v>#NAME?</v>
      </c>
      <c r="ZY77" s="287" t="s">
        <v>39</v>
      </c>
      <c r="AAA77" s="25">
        <f t="shared" si="886"/>
        <v>92911.010558069393</v>
      </c>
      <c r="AAB77" s="4" t="str">
        <f>VLOOKUP(AAA77,'Ship Time Charter Rates'!$F$10:$G$17,2,TRUE)</f>
        <v>Panamax</v>
      </c>
      <c r="AAC77" s="4" t="str">
        <f>VLOOKUP(AAA77,Canals!$E$5:$F$12,2,TRUE)</f>
        <v>Panamax</v>
      </c>
      <c r="AAD77" s="25">
        <f t="shared" si="887"/>
        <v>227.00131221719457</v>
      </c>
      <c r="AAE77" s="25">
        <f t="shared" si="888"/>
        <v>37480.301659125194</v>
      </c>
      <c r="AAF77" s="25">
        <f t="shared" si="889"/>
        <v>53008.523378582213</v>
      </c>
      <c r="AAH77" s="75">
        <f t="array" ref="AAH77">INDEX('Indices Mines Exporting Ports'!$R$20:$R$51,MATCH(2,1/(('Indices Mines Exporting Ports'!$D$20:$D$51&lt;=Main!$C77)*('Indices Mines Exporting Ports'!$Q$20:$Q$51=$AP77))))</f>
        <v>15000</v>
      </c>
      <c r="AAI77" s="75">
        <f t="array" ref="AAI77">INDEX('Indices Mines Exporting Ports'!$S$20:$S$51,MATCH(2,1/(('Indices Mines Exporting Ports'!$D$20:$D$51&lt;=Main!$C77)*('Indices Mines Exporting Ports'!$Q$20:$Q$51=$AP77))))</f>
        <v>15000</v>
      </c>
      <c r="AAJ77" s="75">
        <f t="array" ref="AAJ77">INDEX('Indices Mines Exporting Ports'!$T$20:$T$51,MATCH(2,1/(('Indices Mines Exporting Ports'!$D$20:$D$51&lt;=Main!$C77)*('Indices Mines Exporting Ports'!$Q$20:$Q$51=$AP77))))</f>
        <v>15000</v>
      </c>
      <c r="AAK77" s="75">
        <f t="array" ref="AAK77">INDEX('Indices Mines Exporting Ports'!$U$20:$U$51,MATCH(2,1/(('Indices Mines Exporting Ports'!$D$20:$D$51&lt;=Main!$C77)*('Indices Mines Exporting Ports'!$Q$20:$Q$51=$AP77))))</f>
        <v>15000</v>
      </c>
      <c r="AAL77" s="75">
        <f t="array" ref="AAL77">INDEX('Indices Mines Exporting Ports'!$V$20:$V$51,MATCH(2,1/(('Indices Mines Exporting Ports'!$D$20:$D$51&lt;=Main!$C77)*('Indices Mines Exporting Ports'!$Q$20:$Q$51=$AP77))))</f>
        <v>15000</v>
      </c>
      <c r="AAM77" s="75">
        <f t="array" ref="AAM77">INDEX('Indices Mines Exporting Ports'!$W$20:$W$51,MATCH(2,1/(('Indices Mines Exporting Ports'!$D$20:$D$51&lt;=Main!$C77)*('Indices Mines Exporting Ports'!$Q$20:$Q$51=$AP77))))</f>
        <v>15000</v>
      </c>
      <c r="AAN77" s="75">
        <f t="array" ref="AAN77">INDEX('Indices Mines Exporting Ports'!$X$20:$X$51,MATCH(2,1/(('Indices Mines Exporting Ports'!$D$20:$D$51&lt;=Main!$C77)*('Indices Mines Exporting Ports'!$Q$20:$Q$51=$AP77))))</f>
        <v>15000</v>
      </c>
      <c r="AAP77" s="75">
        <f t="array" ref="AAP77">INDEX('Port Linkages'!$E$18:$E$157,MATCH(2,1/(('Port Linkages'!$C$18:$C$157=$AP77)*('Port Linkages'!$D$18:$D$157=IF($AO77="Yes",$AQ77,$KK77))*('Port Linkages'!$A$18:$A$157&lt;=$C77))))</f>
        <v>2326</v>
      </c>
      <c r="AAQ77" s="75">
        <f t="array" ref="AAQ77">INDEX('Port Linkages'!$F$18:$F$157,MATCH(2,1/(('Port Linkages'!$C$18:$C$157=$AP77)*('Port Linkages'!$D$18:$D$157=IF($AO77="Yes",$AQ77,$KK77))*('Port Linkages'!$A$18:$A$157&lt;=$C77))))</f>
        <v>0</v>
      </c>
      <c r="AAR77" s="75" t="str">
        <f t="array" ref="AAR77">INDEX('Port Linkages'!$G$18:$G$157,MATCH(2,1/(('Port Linkages'!$C$18:$C$157=$AP77)*('Port Linkages'!$D$18:$D$157=IF($AO77="Yes",$AQ77,$KK77))*('Port Linkages'!$A$18:$A$157&lt;=$C77))))</f>
        <v>VLOC_General</v>
      </c>
      <c r="AAS77" s="75" t="str">
        <f t="array" ref="AAS77">INDEX('Port Linkages'!$H$18:$H$157,MATCH(2,1/(('Port Linkages'!$C$18:$C$157=$AP77)*('Port Linkages'!$D$18:$D$157=IF($AO77="Yes",$AQ77,$KK77))*('Port Linkages'!$A$18:$A$157&lt;=$C77))))</f>
        <v>Singapore</v>
      </c>
      <c r="AAT77" s="75" t="str">
        <f t="array" ref="AAT77">INDEX('Port Linkages'!$I$18:$I$157,MATCH(2,1/(('Port Linkages'!$C$18:$C$157=$AP77)*('Port Linkages'!$D$18:$D$157=IF($AO77="Yes",$AQ77,$KK77))*('Port Linkages'!$A$18:$A$157&lt;=$C77))))</f>
        <v>VLSFO</v>
      </c>
      <c r="AAU77" s="75" t="str">
        <f t="array" ref="AAU77">INDEX('Port Linkages'!$J$18:$J$157,MATCH(2,1/(('Port Linkages'!$C$18:$C$157=$AP77)*('Port Linkages'!$D$18:$D$157=IF($AO77="Yes",$AQ77,$KK77))*('Port Linkages'!$A$18:$A$157&lt;=$C77))))</f>
        <v>MGO_Regular</v>
      </c>
      <c r="AAV77" s="75" t="str">
        <f t="array" ref="AAV77">INDEX('Port Linkages'!$K$18:$K$157,MATCH(2,1/(('Port Linkages'!$C$18:$C$157=$AP77)*('Port Linkages'!$D$18:$D$157=IF($AO77="Yes",$AQ77,$KK77))*('Port Linkages'!$A$18:$A$157&lt;=$C77))))</f>
        <v>none</v>
      </c>
      <c r="AAW77" s="75">
        <f t="array" ref="AAW77">INDEX('Port Linkages'!$L$18:$L$157,MATCH(2,1/(('Port Linkages'!$C$18:$C$157=$AP77)*('Port Linkages'!$D$18:$D$157=IF($AO77="Yes",$AQ77,$KK77))*('Port Linkages'!$A$18:$A$157&lt;=$C77))))</f>
        <v>2326</v>
      </c>
      <c r="AAX77" s="75">
        <f t="array" ref="AAX77">INDEX('Port Linkages'!$M$18:$M$157,MATCH(2,1/(('Port Linkages'!$C$18:$C$157=$AP77)*('Port Linkages'!$D$18:$D$157=IF($AO77="Yes",$AQ77,$KK77))*('Port Linkages'!$A$18:$A$157&lt;=$C77))))</f>
        <v>0</v>
      </c>
      <c r="AAY77" s="75" t="str">
        <f t="array" ref="AAY77">INDEX('Port Linkages'!$N$18:$N$157,MATCH(2,1/(('Port Linkages'!$C$18:$C$157=$AP77)*('Port Linkages'!$D$18:$D$157=IF($AO77="Yes",$AQ77,$KK77))*('Port Linkages'!$A$18:$A$157&lt;=$C77))))</f>
        <v>Capesize_General</v>
      </c>
      <c r="AAZ77" s="75" t="str">
        <f t="array" ref="AAZ77">INDEX('Port Linkages'!$O$18:$O$157,MATCH(2,1/(('Port Linkages'!$C$18:$C$157=$AP77)*('Port Linkages'!$D$18:$D$157=IF($AO77="Yes",$AQ77,$KK77))*('Port Linkages'!$A$18:$A$157&lt;=$C77))))</f>
        <v>Singapore</v>
      </c>
      <c r="ABA77" s="75" t="str">
        <f t="array" ref="ABA77">INDEX('Port Linkages'!$P$18:$P$157,MATCH(2,1/(('Port Linkages'!$C$18:$C$157=$AP77)*('Port Linkages'!$D$18:$D$157=IF($AO77="Yes",$AQ77,$KK77))*('Port Linkages'!$A$18:$A$157&lt;=$C77))))</f>
        <v>VLSFO</v>
      </c>
      <c r="ABB77" s="75" t="str">
        <f t="array" ref="ABB77">INDEX('Port Linkages'!$Q$18:$Q$157,MATCH(2,1/(('Port Linkages'!$C$18:$C$157=$AP77)*('Port Linkages'!$D$18:$D$157=IF($AO77="Yes",$AQ77,$KK77))*('Port Linkages'!$A$18:$A$157&lt;=$C77))))</f>
        <v>MGO_Regular</v>
      </c>
      <c r="ABC77" s="75" t="str">
        <f t="array" ref="ABC77">INDEX('Port Linkages'!$R$18:$R$157,MATCH(2,1/(('Port Linkages'!$C$18:$C$157=$AP77)*('Port Linkages'!$D$18:$D$157=IF($AO77="Yes",$AQ77,$KK77))*('Port Linkages'!$A$18:$A$157&lt;=$C77))))</f>
        <v>none</v>
      </c>
      <c r="ABD77" s="75">
        <f t="array" ref="ABD77">INDEX('Port Linkages'!$S$18:$S$157,MATCH(2,1/(('Port Linkages'!$C$18:$C$157=$AP77)*('Port Linkages'!$D$18:$D$157=IF($AO77="Yes",$AQ77,$KK77))*('Port Linkages'!$A$18:$A$157&lt;=$C77))))</f>
        <v>2326</v>
      </c>
      <c r="ABE77" s="75">
        <f t="array" ref="ABE77">INDEX('Port Linkages'!$T$18:$T$157,MATCH(2,1/(('Port Linkages'!$C$18:$C$157=$AP77)*('Port Linkages'!$D$18:$D$157=IF($AO77="Yes",$AQ77,$KK77))*('Port Linkages'!$A$18:$A$157&lt;=$C77))))</f>
        <v>0</v>
      </c>
      <c r="ABF77" s="75" t="str">
        <f t="array" ref="ABF77">INDEX('Port Linkages'!$U$18:$U$157,MATCH(2,1/(('Port Linkages'!$C$18:$C$157=$AP77)*('Port Linkages'!$D$18:$D$157=IF($AO77="Yes",$AQ77,$KK77))*('Port Linkages'!$A$18:$A$157&lt;=$C77))))</f>
        <v>Capesize_General</v>
      </c>
      <c r="ABG77" s="75" t="str">
        <f t="array" ref="ABG77">INDEX('Port Linkages'!$V$18:$V$157,MATCH(2,1/(('Port Linkages'!$C$18:$C$157=$AP77)*('Port Linkages'!$D$18:$D$157=IF($AO77="Yes",$AQ77,$KK77))*('Port Linkages'!$A$18:$A$157&lt;=$C77))))</f>
        <v>Singapore</v>
      </c>
      <c r="ABH77" s="75" t="str">
        <f t="array" ref="ABH77">INDEX('Port Linkages'!$W$18:$W$157,MATCH(2,1/(('Port Linkages'!$C$18:$C$157=$AP77)*('Port Linkages'!$D$18:$D$157=IF($AO77="Yes",$AQ77,$KK77))*('Port Linkages'!$A$18:$A$157&lt;=$C77))))</f>
        <v>VLSFO</v>
      </c>
      <c r="ABI77" s="75" t="str">
        <f t="array" ref="ABI77">INDEX('Port Linkages'!$X$18:$X$157,MATCH(2,1/(('Port Linkages'!$C$18:$C$157=$AP77)*('Port Linkages'!$D$18:$D$157=IF($AO77="Yes",$AQ77,$KK77))*('Port Linkages'!$A$18:$A$157&lt;=$C77))))</f>
        <v>MGO_Regular</v>
      </c>
      <c r="ABJ77" s="75" t="str">
        <f t="array" ref="ABJ77">INDEX('Port Linkages'!$Y$18:$Y$157,MATCH(2,1/(('Port Linkages'!$C$18:$C$157=$AP77)*('Port Linkages'!$D$18:$D$157=IF($AO77="Yes",$AQ77,$KK77))*('Port Linkages'!$A$18:$A$157&lt;=$C77))))</f>
        <v>none</v>
      </c>
      <c r="ABK77" s="75">
        <f t="array" ref="ABK77">INDEX('Port Linkages'!$Z$18:$Z$157,MATCH(2,1/(('Port Linkages'!$C$18:$C$157=$AP77)*('Port Linkages'!$D$18:$D$157=IF($AO77="Yes",$AQ77,$KK77))*('Port Linkages'!$A$18:$A$157&lt;=$C77))))</f>
        <v>2326</v>
      </c>
      <c r="ABL77" s="75">
        <f t="array" ref="ABL77">INDEX('Port Linkages'!$AA$18:$AA$157,MATCH(2,1/(('Port Linkages'!$C$18:$C$157=$AP77)*('Port Linkages'!$D$18:$D$157=IF($AO77="Yes",$AQ77,$KK77))*('Port Linkages'!$A$18:$A$157&lt;=$C77))))</f>
        <v>0</v>
      </c>
      <c r="ABM77" s="75" t="str">
        <f t="array" ref="ABM77">INDEX('Port Linkages'!$AB$18:$AB$157,MATCH(2,1/(('Port Linkages'!$C$18:$C$157=$AP77)*('Port Linkages'!$D$18:$D$157=IF($AO77="Yes",$AQ77,$KK77))*('Port Linkages'!$A$18:$A$157&lt;=$C77))))</f>
        <v>Capesize_General</v>
      </c>
      <c r="ABN77" s="75" t="str">
        <f t="array" ref="ABN77">INDEX('Port Linkages'!$AC$18:$AC$157,MATCH(2,1/(('Port Linkages'!$C$18:$C$157=$AP77)*('Port Linkages'!$D$18:$D$157=IF($AO77="Yes",$AQ77,$KK77))*('Port Linkages'!$A$18:$A$157&lt;=$C77))))</f>
        <v>Singapore</v>
      </c>
      <c r="ABO77" s="75" t="str">
        <f t="array" ref="ABO77">INDEX('Port Linkages'!$AD$18:$AD$157,MATCH(2,1/(('Port Linkages'!$C$18:$C$157=$AP77)*('Port Linkages'!$D$18:$D$157=IF($AO77="Yes",$AQ77,$KK77))*('Port Linkages'!$A$18:$A$157&lt;=$C77))))</f>
        <v>VLSFO</v>
      </c>
      <c r="ABP77" s="75" t="str">
        <f t="array" ref="ABP77">INDEX('Port Linkages'!$AE$18:$AE$157,MATCH(2,1/(('Port Linkages'!$C$18:$C$157=$AP77)*('Port Linkages'!$D$18:$D$157=IF($AO77="Yes",$AQ77,$KK77))*('Port Linkages'!$A$18:$A$157&lt;=$C77))))</f>
        <v>MGO_Regular</v>
      </c>
      <c r="ABQ77" s="75" t="str">
        <f t="array" ref="ABQ77">INDEX('Port Linkages'!$AF$18:$AF$157,MATCH(2,1/(('Port Linkages'!$C$18:$C$157=$AP77)*('Port Linkages'!$D$18:$D$157=IF($AO77="Yes",$AQ77,$KK77))*('Port Linkages'!$A$18:$A$157&lt;=$C77))))</f>
        <v>none</v>
      </c>
      <c r="ABR77" s="75">
        <f t="array" ref="ABR77">INDEX('Port Linkages'!$AG$18:$AG$157,MATCH(2,1/(('Port Linkages'!$C$18:$C$157=$AP77)*('Port Linkages'!$D$18:$D$157=IF($AO77="Yes",$AQ77,$KK77))*('Port Linkages'!$A$18:$A$157&lt;=$C77))))</f>
        <v>2326</v>
      </c>
      <c r="ABS77" s="75">
        <f t="array" ref="ABS77">INDEX('Port Linkages'!$AH$18:$AH$157,MATCH(2,1/(('Port Linkages'!$C$18:$C$157=$AP77)*('Port Linkages'!$D$18:$D$157=IF($AO77="Yes",$AQ77,$KK77))*('Port Linkages'!$A$18:$A$157&lt;=$C77))))</f>
        <v>0</v>
      </c>
      <c r="ABT77" s="75" t="str">
        <f t="array" ref="ABT77">INDEX('Port Linkages'!$AI$18:$AI$157,MATCH(2,1/(('Port Linkages'!$C$18:$C$157=$AP77)*('Port Linkages'!$D$18:$D$157=IF($AO77="Yes",$AQ77,$KK77))*('Port Linkages'!$A$18:$A$157&lt;=$C77))))</f>
        <v>Panamax_General</v>
      </c>
      <c r="ABU77" s="75" t="str">
        <f t="array" ref="ABU77">INDEX('Port Linkages'!$AJ$18:$AJ$157,MATCH(2,1/(('Port Linkages'!$C$18:$C$157=$AP77)*('Port Linkages'!$D$18:$D$157=IF($AO77="Yes",$AQ77,$KK77))*('Port Linkages'!$A$18:$A$157&lt;=$C77))))</f>
        <v>Singapore</v>
      </c>
      <c r="ABV77" s="75" t="str">
        <f t="array" ref="ABV77">INDEX('Port Linkages'!$AK$18:$AK$157,MATCH(2,1/(('Port Linkages'!$C$18:$C$157=$AP77)*('Port Linkages'!$D$18:$D$157=IF($AO77="Yes",$AQ77,$KK77))*('Port Linkages'!$A$18:$A$157&lt;=$C77))))</f>
        <v>VLSFO</v>
      </c>
      <c r="ABW77" s="75" t="str">
        <f t="array" ref="ABW77">INDEX('Port Linkages'!$AL$18:$AL$157,MATCH(2,1/(('Port Linkages'!$C$18:$C$157=$AP77)*('Port Linkages'!$D$18:$D$157=IF($AO77="Yes",$AQ77,$KK77))*('Port Linkages'!$A$18:$A$157&lt;=$C77))))</f>
        <v>MGO_Regular</v>
      </c>
      <c r="ABX77" s="75" t="str">
        <f t="array" ref="ABX77">INDEX('Port Linkages'!$AM$18:$AM$157,MATCH(2,1/(('Port Linkages'!$C$18:$C$157=$AP77)*('Port Linkages'!$D$18:$D$157=IF($AO77="Yes",$AQ77,$KK77))*('Port Linkages'!$A$18:$A$157&lt;=$C77))))</f>
        <v>none</v>
      </c>
      <c r="ABY77" s="75">
        <f t="array" ref="ABY77">INDEX('Port Linkages'!$AN$18:$AN$157,MATCH(2,1/(('Port Linkages'!$C$18:$C$157=$AP77)*('Port Linkages'!$D$18:$D$157=IF($AO77="Yes",$AQ77,$KK77))*('Port Linkages'!$A$18:$A$157&lt;=$C77))))</f>
        <v>2326</v>
      </c>
      <c r="ABZ77" s="75">
        <f t="array" ref="ABZ77">INDEX('Port Linkages'!$AO$18:$AO$157,MATCH(2,1/(('Port Linkages'!$C$18:$C$157=$AP77)*('Port Linkages'!$D$18:$D$157=IF($AO77="Yes",$AQ77,$KK77))*('Port Linkages'!$A$18:$A$157&lt;=$C77))))</f>
        <v>0</v>
      </c>
      <c r="ACA77" s="75" t="str">
        <f t="array" ref="ACA77">INDEX('Port Linkages'!$AP$18:$AP$157,MATCH(2,1/(('Port Linkages'!$C$18:$C$157=$AP77)*('Port Linkages'!$D$18:$D$157=IF($AO77="Yes",$AQ77,$KK77))*('Port Linkages'!$A$18:$A$157&lt;=$C77))))</f>
        <v>Supramax_General</v>
      </c>
      <c r="ACB77" s="75" t="str">
        <f t="array" ref="ACB77">INDEX('Port Linkages'!$AQ$18:$AQ$157,MATCH(2,1/(('Port Linkages'!$C$18:$C$157=$AP77)*('Port Linkages'!$D$18:$D$157=IF($AO77="Yes",$AQ77,$KK77))*('Port Linkages'!$A$18:$A$157&lt;=$C77))))</f>
        <v>Singapore</v>
      </c>
      <c r="ACC77" s="75" t="str">
        <f t="array" ref="ACC77">INDEX('Port Linkages'!$AR$18:$AR$157,MATCH(2,1/(('Port Linkages'!$C$18:$C$157=$AP77)*('Port Linkages'!$D$18:$D$157=IF($AO77="Yes",$AQ77,$KK77))*('Port Linkages'!$A$18:$A$157&lt;=$C77))))</f>
        <v>VLSFO</v>
      </c>
      <c r="ACD77" s="75" t="str">
        <f t="array" ref="ACD77">INDEX('Port Linkages'!$AS$18:$AS$157,MATCH(2,1/(('Port Linkages'!$C$18:$C$157=$AP77)*('Port Linkages'!$D$18:$D$157=IF($AO77="Yes",$AQ77,$KK77))*('Port Linkages'!$A$18:$A$157&lt;=$C77))))</f>
        <v>MGO_Regular</v>
      </c>
      <c r="ACE77" s="75" t="str">
        <f t="array" ref="ACE77">INDEX('Port Linkages'!$AT$18:$AT$157,MATCH(2,1/(('Port Linkages'!$C$18:$C$157=$AP77)*('Port Linkages'!$D$18:$D$157=IF($AO77="Yes",$AQ77,$KK77))*('Port Linkages'!$A$18:$A$157&lt;=$C77))))</f>
        <v>none</v>
      </c>
      <c r="ACF77" s="75">
        <f t="array" ref="ACF77">INDEX('Port Linkages'!$AU$18:$AU$157,MATCH(2,1/(('Port Linkages'!$C$18:$C$157=$AP77)*('Port Linkages'!$D$18:$D$157=IF($AO77="Yes",$AQ77,$KK77))*('Port Linkages'!$A$18:$A$157&lt;=$C77))))</f>
        <v>2326</v>
      </c>
      <c r="ACG77" s="75">
        <f t="array" ref="ACG77">INDEX('Port Linkages'!$AV$18:$AV$157,MATCH(2,1/(('Port Linkages'!$C$18:$C$157=$AP77)*('Port Linkages'!$D$18:$D$157=IF($AO77="Yes",$AQ77,$KK77))*('Port Linkages'!$A$18:$A$157&lt;=$C77))))</f>
        <v>0</v>
      </c>
      <c r="ACH77" s="75" t="str">
        <f t="array" ref="ACH77">INDEX('Port Linkages'!$AW$18:$AW$157,MATCH(2,1/(('Port Linkages'!$C$18:$C$157=$AP77)*('Port Linkages'!$D$18:$D$157=IF($AO77="Yes",$AQ77,$KK77))*('Port Linkages'!$A$18:$A$157&lt;=$C77))))</f>
        <v>Handysize_General</v>
      </c>
      <c r="ACI77" s="75" t="str">
        <f t="array" ref="ACI77">INDEX('Port Linkages'!$AX$18:$AX$157,MATCH(2,1/(('Port Linkages'!$C$18:$C$157=$AP77)*('Port Linkages'!$D$18:$D$157=IF($AO77="Yes",$AQ77,$KK77))*('Port Linkages'!$A$18:$A$157&lt;=$C77))))</f>
        <v>Singapore</v>
      </c>
      <c r="ACJ77" s="75" t="str">
        <f t="array" ref="ACJ77">INDEX('Port Linkages'!$AY$18:$AY$157,MATCH(2,1/(('Port Linkages'!$C$18:$C$157=$AP77)*('Port Linkages'!$D$18:$D$157=IF($AO77="Yes",$AQ77,$KK77))*('Port Linkages'!$A$18:$A$157&lt;=$C77))))</f>
        <v>VLSFO</v>
      </c>
      <c r="ACK77" s="75" t="str">
        <f t="array" ref="ACK77">INDEX('Port Linkages'!$AZ$18:$AZ$157,MATCH(2,1/(('Port Linkages'!$C$18:$C$157=$AP77)*('Port Linkages'!$D$18:$D$157=IF($AO77="Yes",$AQ77,$KK77))*('Port Linkages'!$A$18:$A$157&lt;=$C77))))</f>
        <v>MGO_Regular</v>
      </c>
      <c r="ACL77" s="75" t="str">
        <f t="array" ref="ACL77">INDEX('Port Linkages'!$BA$18:$BA$157,MATCH(2,1/(('Port Linkages'!$C$18:$C$157=$AP77)*('Port Linkages'!$D$18:$D$157=IF($AO77="Yes",$AQ77,$KK77))*('Port Linkages'!$A$18:$A$157&lt;=$C77))))</f>
        <v>none</v>
      </c>
      <c r="ACN77" s="25" t="e">
        <f t="array" aca="1" ref="ACN77" ca="1">INDEX('Ship Fuel Prices'!$F$5:$F$1004,MATCH(2,1/(('Ship Fuel Prices'!$E$5:$E$1004=_xlfn.IFS(AAC77="Handysize",Main!ACI77,AAC77="Supramax",ACB77,AAC77="Panamax",ABU77,AAC77="NeoPanamax",ABN77,AAC77="Suezmax",ABG77,AAC77="Capesize",AAZ77,AAC77="VLOC",AAS77))*('Ship Fuel Prices'!$D$5:$D$1004&lt;=Main!$C77))))</f>
        <v>#N/A</v>
      </c>
      <c r="ACO77" s="25" t="e">
        <f t="array" aca="1" ref="ACO77" ca="1">INDEX('Ship Fuel Prices'!$G$5:$G$1004,MATCH(2,1/(('Ship Fuel Prices'!$E$5:$E$1004=_xlfn.IFS(AAC77="Handysize",Main!ACI77,AAC77="Supramax",ACB77,AAC77="Panamax",ABU77,AAC77="NeoPanamax",ABN77,AAC77="Suezmax",ABG77,AAC77="Capesize",AAZ77,AAC77="VLOC",AAS77))*('Ship Fuel Prices'!$D$5:$D$1004&lt;=Main!$C77))))</f>
        <v>#N/A</v>
      </c>
      <c r="ACP77" s="25" t="e">
        <f t="array" aca="1" ref="ACP77" ca="1">INDEX('Ship Fuel Prices'!$H$5:$H$1004,MATCH(2,1/(('Ship Fuel Prices'!$E$5:$E$1004=_xlfn.IFS(AAC77="Handysize",Main!ACI77,AAC77="Supramax",ACB77,AAC77="Panamax",ABU77,AAC77="NeoPanamax",ABN77,AAC77="Suezmax",ABG77,AAC77="Capesize",AAZ77,AAC77="VLOC",AAS77))*('Ship Fuel Prices'!$D$5:$D$1004&lt;=Main!$C77))))</f>
        <v>#N/A</v>
      </c>
      <c r="ACQ77" s="25" t="e">
        <f t="array" aca="1" ref="ACQ77" ca="1">INDEX('Ship Fuel Prices'!$I$5:$I$1004,MATCH(2,1/(('Ship Fuel Prices'!$E$5:$E$1004=_xlfn.IFS(AAC77="Handysize",Main!ACI77,AAC77="Supramax",ACB77,AAC77="Panamax",ABU77,AAC77="NeoPanamax",ABN77,AAC77="Suezmax",ABG77,AAC77="Capesize",AAZ77,AAC77="VLOC",AAS77))*('Ship Fuel Prices'!$D$5:$D$1004&lt;=Main!$C77))))</f>
        <v>#N/A</v>
      </c>
      <c r="ACR77" s="25" t="e">
        <f t="array" aca="1" ref="ACR77" ca="1">INDEX('Ship Fuel Prices'!$J$5:$J$1004,MATCH(2,1/(('Ship Fuel Prices'!$E$5:$E$1004=_xlfn.IFS(AAC77="Handysize",Main!ACI77,AAC77="Supramax",ACB77,AAC77="Panamax",ABU77,AAC77="NeoPanamax",ABN77,AAC77="Suezmax",ABG77,AAC77="Capesize",AAZ77,AAC77="VLOC",AAS77))*('Ship Fuel Prices'!$D$5:$D$1004&lt;=Main!$C77))))</f>
        <v>#N/A</v>
      </c>
      <c r="ACT77" s="75">
        <f t="array" ref="ACT77">INDEX('China n Importing Ports'!$E$20:$E$41,MATCH(2,1/(('China n Importing Ports'!$D$20:$D$41&lt;=$C77)*('China n Importing Ports'!$C$20:$C$41=IF($AO77="Yes",$AQ77,$KK77)))))</f>
        <v>42500</v>
      </c>
      <c r="ACU77" s="75">
        <f t="array" ref="ACU77">INDEX('China n Importing Ports'!$F$20:$F$41,MATCH(2,1/(('China n Importing Ports'!$D$20:$D$41&lt;=$C77)*('China n Importing Ports'!$C$20:$C$41=IF($AO77="Yes",$AQ77,$KK77)))))</f>
        <v>42500</v>
      </c>
      <c r="ACV77" s="75">
        <f t="array" ref="ACV77">INDEX('China n Importing Ports'!$G$20:$G$41,MATCH(2,1/(('China n Importing Ports'!$D$20:$D$41&lt;=$C77)*('China n Importing Ports'!$C$20:$C$41=IF($AO77="Yes",$AQ77,$KK77)))))</f>
        <v>42500</v>
      </c>
      <c r="ACW77" s="75">
        <f t="array" ref="ACW77">INDEX('China n Importing Ports'!$H$20:$H$41,MATCH(2,1/(('China n Importing Ports'!$D$20:$D$41&lt;=$C77)*('China n Importing Ports'!$C$20:$C$41=IF($AO77="Yes",$AQ77,$KK77)))))</f>
        <v>42500</v>
      </c>
      <c r="ACX77" s="75">
        <f t="array" ref="ACX77">INDEX('China n Importing Ports'!$I$20:$I$41,MATCH(2,1/(('China n Importing Ports'!$D$20:$D$41&lt;=$C77)*('China n Importing Ports'!$C$20:$C$41=IF($AO77="Yes",$AQ77,$KK77)))))</f>
        <v>42500</v>
      </c>
      <c r="ACY77" s="75">
        <f t="array" ref="ACY77">INDEX('China n Importing Ports'!$J$20:$J$41,MATCH(2,1/(('China n Importing Ports'!$D$20:$D$41&lt;=$C77)*('China n Importing Ports'!$C$20:$C$41=IF($AO77="Yes",$AQ77,$KK77)))))</f>
        <v>42500</v>
      </c>
      <c r="ACZ77" s="75">
        <f t="array" ref="ACZ77">INDEX('China n Importing Ports'!$K$20:$K$41,MATCH(2,1/(('China n Importing Ports'!$D$20:$D$41&lt;=$C77)*('China n Importing Ports'!$C$20:$C$41=IF($AO77="Yes",$AQ77,$KK77)))))</f>
        <v>42500</v>
      </c>
      <c r="ADA77" s="75" t="str">
        <f t="array" ref="ADA77">INDEX('China n Importing Ports'!$L$20:$L$41,MATCH(2,1/(('China n Importing Ports'!$D$20:$D$41&lt;=$C77)*('China n Importing Ports'!$C$20:$C$41=IF($AO77="Yes",$AQ77,$KK77)))))</f>
        <v>RMB</v>
      </c>
      <c r="ADB77" s="75">
        <f t="array" ref="ADB77">INDEX('China n Importing Ports'!$M$20:$M$41,MATCH(2,1/(('China n Importing Ports'!$D$20:$D$41&lt;=$C77)*('China n Importing Ports'!$C$20:$C$41=IF($AO77="Yes",$AQ77,$KK77)))))</f>
        <v>12342</v>
      </c>
      <c r="ADC77" s="75">
        <f t="array" ref="ADC77">INDEX('China n Importing Ports'!$N$20:$N$41,MATCH(2,1/(('China n Importing Ports'!$D$20:$D$41&lt;=$C77)*('China n Importing Ports'!$C$20:$C$41=IF($AO77="Yes",$AQ77,$KK77)))))</f>
        <v>0</v>
      </c>
      <c r="ADD77" s="75">
        <f t="array" ref="ADD77">INDEX('China n Importing Ports'!$O$20:$O$41,MATCH(2,1/(('China n Importing Ports'!$D$20:$D$41&lt;=$C77)*('China n Importing Ports'!$C$20:$C$41=IF($AO77="Yes",$AQ77,$KK77)))))</f>
        <v>0</v>
      </c>
      <c r="ADE77" s="136">
        <f t="array" ref="ADE77">INDEX('China n Importing Ports'!$P$20:$P$41,MATCH(2,1/(('China n Importing Ports'!$D$20:$D$41&lt;=$C77)*('China n Importing Ports'!$C$20:$C$41=IF($AO77="Yes",$AQ77,$KK77)))))</f>
        <v>2.64</v>
      </c>
      <c r="ADF77" s="136">
        <f t="array" ref="ADF77">INDEX('China n Importing Ports'!$Q$20:$Q$41,MATCH(2,1/(('China n Importing Ports'!$D$20:$D$41&lt;=$C77)*('China n Importing Ports'!$C$20:$C$41=IF($AO77="Yes",$AQ77,$KK77)))))</f>
        <v>0</v>
      </c>
      <c r="ADG77" s="136">
        <f t="array" ref="ADG77">INDEX('China n Importing Ports'!$R$20:$R$41,MATCH(2,1/(('China n Importing Ports'!$D$20:$D$41&lt;=$C77)*('China n Importing Ports'!$C$20:$C$41=IF($AO77="Yes",$AQ77,$KK77)))))</f>
        <v>0</v>
      </c>
      <c r="ADH77" s="136">
        <f t="array" ref="ADH77">INDEX('China n Importing Ports'!$S$20:$S$41,MATCH(2,1/(('China n Importing Ports'!$D$20:$D$41&lt;=$C77)*('China n Importing Ports'!$C$20:$C$41=IF($AO77="Yes",$AQ77,$KK77)))))</f>
        <v>4.53</v>
      </c>
      <c r="ADI77" s="136">
        <f t="array" ref="ADI77">INDEX('China n Importing Ports'!$T$20:$T$41,MATCH(2,1/(('China n Importing Ports'!$D$20:$D$41&lt;=$C77)*('China n Importing Ports'!$C$20:$C$41=IF($AO77="Yes",$AQ77,$KK77)))))</f>
        <v>0.36699999999999999</v>
      </c>
      <c r="ADJ77" s="136">
        <f t="array" ref="ADJ77">INDEX('China n Importing Ports'!$U$20:$U$41,MATCH(2,1/(('China n Importing Ports'!$D$20:$D$41&lt;=$C77)*('China n Importing Ports'!$C$20:$C$41=IF($AO77="Yes",$AQ77,$KK77)))))</f>
        <v>0.05</v>
      </c>
      <c r="ADK77" s="136">
        <f t="array" ref="ADK77">INDEX('China n Importing Ports'!$V$20:$V$41,MATCH(2,1/(('China n Importing Ports'!$D$20:$D$41&lt;=$C77)*('China n Importing Ports'!$C$20:$C$41=IF($AO77="Yes",$AQ77,$KK77)))))</f>
        <v>0</v>
      </c>
      <c r="ADL77" s="136">
        <f t="array" ref="ADL77">INDEX('China n Importing Ports'!$W$20:$W$41,MATCH(2,1/(('China n Importing Ports'!$D$20:$D$41&lt;=$C77)*('China n Importing Ports'!$C$20:$C$41=IF($AO77="Yes",$AQ77,$KK77)))))</f>
        <v>0</v>
      </c>
      <c r="ADM77" s="136">
        <f t="array" ref="ADM77">INDEX('China n Importing Ports'!$X$20:$X$41,MATCH(2,1/(('China n Importing Ports'!$D$20:$D$41&lt;=$C77)*('China n Importing Ports'!$C$20:$C$41=IF($AO77="Yes",$AQ77,$KK77)))))</f>
        <v>0</v>
      </c>
      <c r="ADN77" s="136">
        <f t="array" ref="ADN77">INDEX('China n Importing Ports'!$Y$20:$Y$41,MATCH(2,1/(('China n Importing Ports'!$D$20:$D$41&lt;=$C77)*('China n Importing Ports'!$C$20:$C$41=IF($AO77="Yes",$AQ77,$KK77)))))</f>
        <v>197</v>
      </c>
      <c r="ADO77" s="136">
        <f t="array" ref="ADO77">INDEX('China n Importing Ports'!$Z$20:$Z$41,MATCH(2,1/(('China n Importing Ports'!$D$20:$D$41&lt;=$C77)*('China n Importing Ports'!$C$20:$C$41=IF($AO77="Yes",$AQ77,$KK77)))))</f>
        <v>0</v>
      </c>
      <c r="ADP77" s="136">
        <f t="array" ref="ADP77">INDEX('China n Importing Ports'!$AA$20:$AA$41,MATCH(2,1/(('China n Importing Ports'!$D$20:$D$41&lt;=$C77)*('China n Importing Ports'!$C$20:$C$41=IF($AO77="Yes",$AQ77,$KK77)))))</f>
        <v>0</v>
      </c>
      <c r="ADR77" s="75" t="e">
        <f t="array" aca="1" ref="ADR77" ca="1">INDEX(Canals!$G$24:$G$29,MATCH(2,1/((Canals!$F$24:$F$29&lt;=$C77)*(Canals!$G$24:$G$29=_xlfn.IFS(AAC77="Handysize",Main!ACL77,AAC77="Supramax",ACE77,AAC77="Panamax",ABX77,AAC77="NeoPanamax",ABQ77,AAC77="Suezmax",ABJ77,AAC77="Capesize",ABC77,AAC77="VLOC",AAV77)))))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S77" s="75" t="e">
        <f t="array" aca="1" ref="ADS77" ca="1">INDEX(Canals!$H$24:$H$29,MATCH(2,1/((Canals!$F$24:$F$29&lt;=$C77)*(Canals!$G$24:$G$29=_xlfn.IFS(AAC77="Handysize",Main!ACL77,AAC77="Supramax",ACE77,AAC77="Panamax",ABX77,AAC77="NeoPanamax",ABQ77,AAC77="Suezmax",ABJ77,AAC77="Capesize",ABC77,AAC77="VLOC",AAV77)))))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T77" s="75" t="e">
        <f t="array" aca="1" ref="ADT77" ca="1">INDEX(Canals!$I$24:$I$29,MATCH(2,1/((Canals!$F$24:$F$29&lt;=$C77)*(Canals!$G$24:$G$29=_xlfn.IFS(AAC77="Handysize",Main!ACL77,AAC77="Supramax",ACE77,AAC77="Panamax",ABX77,AAC77="NeoPanamax",ABQ77,AAC77="Suezmax",ABJ77,AAC77="Capesize",ABC77,AAC77="VLOC",AAV77)))))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U77" s="75" t="e">
        <f t="array" aca="1" ref="ADU77" ca="1">INDEX(Canals!$J$24:$J$29,MATCH(2,1/((Canals!$F$24:$F$29&lt;=$C77)*(Canals!$G$24:$G$29=_xlfn.IFS(AAC77="Handysize",Main!ACL77,AAC77="Supramax",ACE77,AAC77="Panamax",ABX77,AAC77="NeoPanamax",ABQ77,AAC77="Suezmax",ABJ77,AAC77="Capesize",ABC77,AAC77="VLOC",AAV77)))))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V77" s="75" t="e">
        <f t="array" aca="1" ref="ADV77" ca="1">INDEX(Canals!$K$24:$K$29,MATCH(2,1/((Canals!$F$24:$F$29&lt;=$C77)*(Canals!$G$24:$G$29=_xlfn.IFS(AAC77="Handysize",Main!ACL77,AAC77="Supramax",ACE77,AAC77="Panamax",ABX77,AAC77="NeoPanamax",ABQ77,AAC77="Suezmax",ABJ77,AAC77="Capesize",ABC77,AAC77="VLOC",AAV77)))))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W77" s="75" t="e">
        <f t="array" aca="1" ref="ADW77" ca="1">INDEX(Canals!$L$24:$L$29,MATCH(2,1/((Canals!$F$24:$F$29&lt;=$C77)*(Canals!$G$24:$G$29=_xlfn.IFS(AAC77="Handysize",Main!ACL77,AAC77="Supramax",ACE77,AAC77="Panamax",ABX77,AAC77="NeoPanamax",ABQ77,AAC77="Suezmax",ABJ77,AAC77="Capesize",ABC77,AAC77="VLOC",AAV77)))))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X77" s="75" t="e">
        <f t="array" aca="1" ref="ADX77" ca="1">INDEX(Canals!$M$24:$M$29,MATCH(2,1/((Canals!$F$24:$F$29&lt;=$C77)*(Canals!$G$24:$G$29=_xlfn.IFS(AAC77="Handysize",Main!ACL77,AAC77="Supramax",ACE77,AAC77="Panamax",ABX77,AAC77="NeoPanamax",ABQ77,AAC77="Suezmax",ABJ77,AAC77="Capesize",ABC77,AAC77="VLOC",AAV77)))))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Y77" s="75" t="e">
        <f t="array" aca="1" ref="ADY77" ca="1">INDEX(Canals!$N$24:$N$29,MATCH(2,1/((Canals!$F$24:$F$29&lt;=$C77)*(Canals!$G$24:$G$29=_xlfn.IFS(AAC77="Handysize",Main!ACL77,AAC77="Supramax",ACE77,AAC77="Panamax",ABX77,AAC77="NeoPanamax",ABQ77,AAC77="Suezmax",ABJ77,AAC77="Capesize",ABC77,AAC77="VLOC",AAV77)))))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DZ77" s="75" t="e">
        <f t="array" aca="1" ref="ADZ77" ca="1">INDEX(Canals!$O$24:$O$29,MATCH(2,1/((Canals!$F$24:$F$29&lt;=$C77)*(Canals!$G$24:$G$29=_xlfn.IFS(AAC77="Handysize",Main!ACL77,AAC77="Supramax",ACE77,AAC77="Panamax",ABX77,AAC77="NeoPanamax",ABQ77,AAC77="Suezmax",ABJ77,AAC77="Capesize",ABC77,AAC77="VLOC",AAV77)))))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A77" s="75" t="e">
        <f t="array" aca="1" ref="AEA77" ca="1">INDEX(Canals!$P$24:$P$29,MATCH(2,1/((Canals!$F$24:$F$29&lt;=$C77)*(Canals!$G$24:$G$29=_xlfn.IFS(AAC77="Handysize",Main!ACL77,AAC77="Supramax",ACE77,AAC77="Panamax",ABX77,AAC77="NeoPanamax",ABQ77,AAC77="Suezmax",ABJ77,AAC77="Capesize",ABC77,AAC77="VLOC",AAV77)))))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B77" s="75" t="e">
        <f t="array" aca="1" ref="AEB77" ca="1">INDEX(Canals!$Q$24:$Q$29,MATCH(2,1/((Canals!$F$24:$F$29&lt;=$C77)*(Canals!$G$24:$G$29=_xlfn.IFS(AAC77="Handysize",Main!ACL77,AAC77="Supramax",ACE77,AAC77="Panamax",ABX77,AAC77="NeoPanamax",ABQ77,AAC77="Suezmax",ABJ77,AAC77="Capesize",ABC77,AAC77="VLOC",AAV77)))))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C77" s="75" t="e">
        <f t="array" aca="1" ref="AEC77" ca="1">INDEX(Canals!$R$24:$R$29,MATCH(2,1/((Canals!$F$24:$F$29&lt;=$C77)*(Canals!$G$24:$G$29=_xlfn.IFS(AAC77="Handysize",Main!ACL77,AAC77="Supramax",ACE77,AAC77="Panamax",ABX77,AAC77="NeoPanamax",ABQ77,AAC77="Suezmax",ABJ77,AAC77="Capesize",ABC77,AAC77="VLOC",AAV77)))))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D77" s="136" t="e">
        <f t="array" aca="1" ref="AED77" ca="1">INDEX(Canals!$S$24:$S$29,MATCH(2,1/((Canals!$F$24:$F$29&lt;=$C77)*(Canals!$G$24:$G$29=_xlfn.IFS(AAC77="Handysize",Main!ACL77,AAC77="Supramax",ACE77,AAC77="Panamax",ABX77,AAC77="NeoPanamax",ABQ77,AAC77="Suezmax",ABJ77,AAC77="Capesize",ABC77,AAC77="VLOC",AAV77)))))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E77" s="136" t="e">
        <f t="array" aca="1" ref="AEE77" ca="1">INDEX(Canals!$T$24:$T$29,MATCH(2,1/((Canals!$F$24:$F$29&lt;=$C77)*(Canals!$G$24:$G$29=_xlfn.IFS(AAC77="Handysize",Main!ACL77,AAC77="Supramax",ACE77,AAC77="Panamax",ABX77,AAC77="NeoPanamax",ABQ77,AAC77="Suezmax",ABJ77,AAC77="Capesize",ABC77,AAC77="VLOC",AAV77)))))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F77" s="136" t="e">
        <f t="array" aca="1" ref="AEF77" ca="1">INDEX(Canals!$U$24:$U$29,MATCH(2,1/((Canals!$F$24:$F$29&lt;=$C77)*(Canals!$G$24:$G$29=_xlfn.IFS(AAC77="Handysize",Main!ACL77,AAC77="Supramax",ACE77,AAC77="Panamax",ABX77,AAC77="NeoPanamax",ABQ77,AAC77="Suezmax",ABJ77,AAC77="Capesize",ABC77,AAC77="VLOC",AAV77)))))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G77" s="136" t="e">
        <f t="array" aca="1" ref="AEG77" ca="1">INDEX(Canals!$V$24:$V$29,MATCH(2,1/((Canals!$F$24:$F$29&lt;=$C77)*(Canals!$G$24:$G$29=_xlfn.IFS(AAC77="Handysize",Main!ACL77,AAC77="Supramax",ACE77,AAC77="Panamax",ABX77,AAC77="NeoPanamax",ABQ77,AAC77="Suezmax",ABJ77,AAC77="Capesize",ABC77,AAC77="VLOC",AAV77)))))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H77" s="136" t="e">
        <f t="array" aca="1" ref="AEH77" ca="1">INDEX(Canals!$W$24:$W$29,MATCH(2,1/((Canals!$F$24:$F$29&lt;=$C77)*(Canals!$G$24:$G$29=_xlfn.IFS(AAC77="Handysize",Main!ACL77,AAC77="Supramax",ACE77,AAC77="Panamax",ABX77,AAC77="NeoPanamax",ABQ77,AAC77="Suezmax",ABJ77,AAC77="Capesize",ABC77,AAC77="VLOC",AAV77)))))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I77" s="136" t="e">
        <f t="array" aca="1" ref="AEI77" ca="1">INDEX(Canals!$X$24:$X$29,MATCH(2,1/((Canals!$F$24:$F$29&lt;=$C77)*(Canals!$G$24:$G$29=_xlfn.IFS(AAC77="Handysize",Main!ACL77,AAC77="Supramax",ACE77,AAC77="Panamax",ABX77,AAC77="NeoPanamax",ABQ77,AAC77="Suezmax",ABJ77,AAC77="Capesize",ABC77,AAC77="VLOC",AAV77)))))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J77" s="136" t="e">
        <f t="array" aca="1" ref="AEJ77" ca="1">INDEX(Canals!$Y$24:$Y$29,MATCH(2,1/((Canals!$F$24:$F$29&lt;=$C77)*(Canals!$G$24:$G$29=_xlfn.IFS(AAC77="Handysize",Main!ACL77,AAC77="Supramax",ACE77,AAC77="Panamax",ABX77,AAC77="NeoPanamax",ABQ77,AAC77="Suezmax",ABJ77,AAC77="Capesize",ABC77,AAC77="VLOC",AAV77)))))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K77" s="136" t="e">
        <f t="array" aca="1" ref="AEK77" ca="1">INDEX(Canals!$Z$24:$Z$29,MATCH(2,1/((Canals!$F$24:$F$29&lt;=$C77)*(Canals!$G$24:$G$29=_xlfn.IFS(AAC77="Handysize",Main!ACL77,AAC77="Supramax",ACE77,AAC77="Panamax",ABX77,AAC77="NeoPanamax",ABQ77,AAC77="Suezmax",ABJ77,AAC77="Capesize",ABC77,AAC77="VLOC",AAV77)))))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L77" s="136" t="e">
        <f t="array" aca="1" ref="AEL77" ca="1">INDEX(Canals!$AA$24:$AA$29,MATCH(2,1/((Canals!$F$24:$F$29&lt;=$C77)*(Canals!$G$24:$G$29=_xlfn.IFS(AAC77="Handysize",Main!ACL77,AAC77="Supramax",ACE77,AAC77="Panamax",ABX77,AAC77="NeoPanamax",ABQ77,AAC77="Suezmax",ABJ77,AAC77="Capesize",ABC77,AAC77="VLOC",AAV77)))))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M77" s="136" t="e">
        <f t="array" aca="1" ref="AEM77" ca="1">INDEX(Canals!$AB$24:$AB$29,MATCH(2,1/((Canals!$F$24:$F$29&lt;=$C77)*(Canals!$G$24:$G$29=_xlfn.IFS(AAC77="Handysize",Main!ACL77,AAC77="Supramax",ACE77,AAC77="Panamax",ABX77,AAC77="NeoPanamax",ABQ77,AAC77="Suezmax",ABJ77,AAC77="Capesize",ABC77,AAC77="VLOC",AAV77)))))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N77" s="75" t="e">
        <f t="array" aca="1" ref="AEN77" ca="1">INDEX(Canals!$AC$24:$AC$29,MATCH(2,1/((Canals!$F$24:$F$29&lt;=$C77)*(Canals!$G$24:$G$29=_xlfn.IFS(AAC77="Handysize",Main!ACL77,AAC77="Supramax",ACE77,AAC77="Panamax",ABX77,AAC77="NeoPanamax",ABQ77,AAC77="Suezmax",ABJ77,AAC77="Capesize",ABC77,AAC77="VLOC",AAV77)))))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O77" s="75" t="e">
        <f t="array" aca="1" ref="AEO77" ca="1">INDEX(Canals!$AD$24:$AD$29,MATCH(2,1/((Canals!$F$24:$F$29&lt;=$C77)*(Canals!$G$24:$G$29=_xlfn.IFS(AAC77="Handysize",Main!ACL77,AAC77="Supramax",ACE77,AAC77="Panamax",ABX77,AAC77="NeoPanamax",ABQ77,AAC77="Suezmax",ABJ77,AAC77="Capesize",ABC77,AAC77="VLOC",AAV77)))))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P77" s="75" t="e">
        <f t="array" aca="1" ref="AEP77" ca="1">INDEX(Canals!$AE$24:$AE$29,MATCH(2,1/((Canals!$F$24:$F$29&lt;=$C77)*(Canals!$G$24:$G$29=_xlfn.IFS(AAC77="Handysize",Main!ACL77,AAC77="Supramax",ACE77,AAC77="Panamax",ABX77,AAC77="NeoPanamax",ABQ77,AAC77="Suezmax",ABJ77,AAC77="Capesize",ABC77,AAC77="VLOC",AAV77)))))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Q77" s="75" t="e">
        <f t="array" aca="1" ref="AEQ77" ca="1">INDEX(Canals!$AF$24:$AF$29,MATCH(2,1/((Canals!$F$24:$F$29&lt;=$C77)*(Canals!$G$24:$G$29=_xlfn.IFS(AAC77="Handysize",Main!ACL77,AAC77="Supramax",ACE77,AAC77="Panamax",ABX77,AAC77="NeoPanamax",ABQ77,AAC77="Suezmax",ABJ77,AAC77="Capesize",ABC77,AAC77="VLOC",AAV77)))))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R77" s="75" t="e">
        <f t="array" aca="1" ref="AER77" ca="1">INDEX(Canals!$AG$24:$AG$29,MATCH(2,1/((Canals!$F$24:$F$29&lt;=$C77)*(Canals!$G$24:$G$29=_xlfn.IFS(AAC77="Handysize",Main!ACL77,AAC77="Supramax",ACE77,AAC77="Panamax",ABX77,AAC77="NeoPanamax",ABQ77,AAC77="Suezmax",ABJ77,AAC77="Capesize",ABC77,AAC77="VLOC",AAV77)))))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S77" s="75" t="e">
        <f t="array" aca="1" ref="AES77" ca="1">INDEX(Canals!$AH$24:$AH$29,MATCH(2,1/((Canals!$F$24:$F$29&lt;=$C77)*(Canals!$G$24:$G$29=_xlfn.IFS(AAC77="Handysize",Main!ACL77,AAC77="Supramax",ACE77,AAC77="Panamax",ABX77,AAC77="NeoPanamax",ABQ77,AAC77="Suezmax",ABJ77,AAC77="Capesize",ABC77,AAC77="VLOC",AAV77)))))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T77" s="75" t="e">
        <f t="array" aca="1" ref="AET77" ca="1">INDEX(Canals!$AI$24:$AI$29,MATCH(2,1/((Canals!$F$24:$F$29&lt;=$C77)*(Canals!$G$24:$G$29=_xlfn.IFS(AAC77="Handysize",Main!ACL77,AAC77="Supramax",ACE77,AAC77="Panamax",ABX77,AAC77="NeoPanamax",ABQ77,AAC77="Suezmax",ABJ77,AAC77="Capesize",ABC77,AAC77="VLOC",AAV77)))))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U77" s="75" t="e">
        <f t="array" aca="1" ref="AEU77" ca="1">INDEX(Canals!$AJ$24:$AJ$29,MATCH(2,1/((Canals!$F$24:$F$29&lt;=$C77)*(Canals!$G$24:$G$29=_xlfn.IFS(AAC77="Handysize",Main!ACL77,AAC77="Supramax",ACE77,AAC77="Panamax",ABX77,AAC77="NeoPanamax",ABQ77,AAC77="Suezmax",ABJ77,AAC77="Capesize",ABC77,AAC77="VLOC",AAV77)))))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V77" s="75" t="e">
        <f t="array" aca="1" ref="AEV77" ca="1">INDEX(Canals!$AK$24:$AK$29,MATCH(2,1/((Canals!$F$24:$F$29&lt;=$C77)*(Canals!$G$24:$G$29=_xlfn.IFS(AAC77="Handysize",Main!ACL77,AAC77="Supramax",ACE77,AAC77="Panamax",ABX77,AAC77="NeoPanamax",ABQ77,AAC77="Suezmax",ABJ77,AAC77="Capesize",ABC77,AAC77="VLOC",AAV77)))))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W77" s="136" t="e">
        <f t="array" aca="1" ref="AEW77" ca="1">INDEX(Canals!$AL$24:$AL$29,MATCH(2,1/((Canals!$F$24:$F$29&lt;=$C77)*(Canals!$G$24:$G$29=_xlfn.IFS(AAC77="Handysize",Main!ACL77,AAC77="Supramax",ACE77,AAC77="Panamax",ABX77,AAC77="NeoPanamax",ABQ77,AAC77="Suezmax",ABJ77,AAC77="Capesize",ABC77,AAC77="VLOC",AAV77)))))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X77" s="136" t="e">
        <f t="array" aca="1" ref="AEX77" ca="1">INDEX(Canals!$AM$24:$AM$29,MATCH(2,1/((Canals!$F$24:$F$29&lt;=$C77)*(Canals!$G$24:$G$29=_xlfn.IFS(AAC77="Handysize",Main!ACL77,AAC77="Supramax",ACE77,AAC77="Panamax",ABX77,AAC77="NeoPanamax",ABQ77,AAC77="Suezmax",ABJ77,AAC77="Capesize",ABC77,AAC77="VLOC",AAV77)))))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Y77" s="136" t="e">
        <f t="array" aca="1" ref="AEY77" ca="1">INDEX(Canals!$AN$24:$AN$29,MATCH(2,1/((Canals!$F$24:$F$29&lt;=$C77)*(Canals!$G$24:$G$29=_xlfn.IFS(AAC77="Handysize",Main!ACL77,AAC77="Supramax",ACE77,AAC77="Panamax",ABX77,AAC77="NeoPanamax",ABQ77,AAC77="Suezmax",ABJ77,AAC77="Capesize",ABC77,AAC77="VLOC",AAV77)))))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EZ77" s="136" t="e">
        <f t="array" aca="1" ref="AEZ77" ca="1">INDEX(Canals!$AO$24:$AO$29,MATCH(2,1/((Canals!$F$24:$F$29&lt;=$C77)*(Canals!$G$24:$G$29=_xlfn.IFS(AAC77="Handysize",Main!ACL77,AAC77="Supramax",ACE77,AAC77="Panamax",ABX77,AAC77="NeoPanamax",ABQ77,AAC77="Suezmax",ABJ77,AAC77="Capesize",ABC77,AAC77="VLOC",AAV77)))))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A77" s="136" t="e">
        <f t="array" aca="1" ref="AFA77" ca="1">INDEX(Canals!$AP$24:$AP$29,MATCH(2,1/((Canals!$F$24:$F$29&lt;=$C77)*(Canals!$G$24:$G$29=_xlfn.IFS(AAC77="Handysize",Main!ACL77,AAC77="Supramax",ACE77,AAC77="Panamax",ABX77,AAC77="NeoPanamax",ABQ77,AAC77="Suezmax",ABJ77,AAC77="Capesize",ABC77,AAC77="VLOC",AAV77)))))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B77" s="136" t="e">
        <f t="array" aca="1" ref="AFB77" ca="1">INDEX(Canals!$AQ$24:$AQ$29,MATCH(2,1/((Canals!$F$24:$F$29&lt;=$C77)*(Canals!$G$24:$G$29=_xlfn.IFS(AAC77="Handysize",Main!ACL77,AAC77="Supramax",ACE77,AAC77="Panamax",ABX77,AAC77="NeoPanamax",ABQ77,AAC77="Suezmax",ABJ77,AAC77="Capesize",ABC77,AAC77="VLOC",AAV77)))))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C77" s="136" t="e">
        <f t="array" aca="1" ref="AFC77" ca="1">INDEX(Canals!$AR$24:$AR$29,MATCH(2,1/((Canals!$F$24:$F$29&lt;=$C77)*(Canals!$G$24:$G$29=_xlfn.IFS(AAC77="Handysize",Main!ACL77,AAC77="Supramax",ACE77,AAC77="Panamax",ABX77,AAC77="NeoPanamax",ABQ77,AAC77="Suezmax",ABJ77,AAC77="Capesize",ABC77,AAC77="VLOC",AAV77)))))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D77" s="136" t="e">
        <f t="array" aca="1" ref="AFD77" ca="1">INDEX(Canals!$AS$24:$AS$29,MATCH(2,1/((Canals!$F$24:$F$29&lt;=$C77)*(Canals!$G$24:$G$29=_xlfn.IFS(AAC77="Handysize",Main!ACL77,AAC77="Supramax",ACE77,AAC77="Panamax",ABX77,AAC77="NeoPanamax",ABQ77,AAC77="Suezmax",ABJ77,AAC77="Capesize",ABC77,AAC77="VLOC",AAV77)))))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E77" s="136" t="e">
        <f t="array" aca="1" ref="AFE77" ca="1">INDEX(Canals!$AT$24:$AT$29,MATCH(2,1/((Canals!$F$24:$F$29&lt;=$C77)*(Canals!$G$24:$G$29=_xlfn.IFS(AAC77="Handysize",Main!ACL77,AAC77="Supramax",ACE77,AAC77="Panamax",ABX77,AAC77="NeoPanamax",ABQ77,AAC77="Suezmax",ABJ77,AAC77="Capesize",ABC77,AAC77="VLOC",AAV77)))))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F77" s="136" t="e">
        <f t="array" aca="1" ref="AFF77" ca="1">INDEX(Canals!$AU$24:$AU$29,MATCH(2,1/((Canals!$F$24:$F$29&lt;=$C77)*(Canals!$G$24:$G$29=_xlfn.IFS(AAC77="Handysize",Main!ACL77,AAC77="Supramax",ACE77,AAC77="Panamax",ABX77,AAC77="NeoPanamax",ABQ77,AAC77="Suezmax",ABJ77,AAC77="Capesize",ABC77,AAC77="VLOC",AAV77)))))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G77" s="136" t="e">
        <f t="array" aca="1" ref="AFG77" ca="1">INDEX(Canals!$AV$24:$AV$29,MATCH(2,1/((Canals!$F$24:$F$29&lt;=$C77)*(Canals!$G$24:$G$29=_xlfn.IFS(AAC77="Handysize",Main!ACL77,AAC77="Supramax",ACE77,AAC77="Panamax",ABX77,AAC77="NeoPanamax",ABQ77,AAC77="Suezmax",ABJ77,AAC77="Capesize",ABC77,AAC77="VLOC",AAV77)))))</f>
        <v>#N/A</v>
      </c>
      <c r="AFI77" s="75" t="e">
        <f t="array" aca="1" ref="AFI77" ca="1">_xlfn.IFS(ADT77="DWT",AAA77,ADT77="NRT",AAE77,ADT77="GRT",AAF77)</f>
        <v>#NAME?</v>
      </c>
      <c r="AFJ77" s="279" t="e">
        <f t="shared" ca="1" si="890"/>
        <v>#NAME?</v>
      </c>
      <c r="AFK77" s="280" t="e">
        <f t="shared" ca="1" si="891"/>
        <v>#NAME?</v>
      </c>
      <c r="AFL77" s="280" t="e">
        <f t="shared" ca="1" si="892"/>
        <v>#NAME?</v>
      </c>
      <c r="AFM77" s="280" t="e">
        <f t="shared" ca="1" si="893"/>
        <v>#NAME?</v>
      </c>
      <c r="AFN77" s="280" t="e">
        <f t="shared" ca="1" si="894"/>
        <v>#NAME?</v>
      </c>
      <c r="AFO77" s="280" t="e">
        <f t="shared" ca="1" si="895"/>
        <v>#NAME?</v>
      </c>
      <c r="AFP77" s="280" t="e">
        <f t="shared" ca="1" si="896"/>
        <v>#NAME?</v>
      </c>
      <c r="AFQ77" s="280" t="e">
        <f t="shared" ca="1" si="897"/>
        <v>#NAME?</v>
      </c>
      <c r="AFR77" s="280" t="e">
        <f t="shared" ca="1" si="898"/>
        <v>#NAME?</v>
      </c>
      <c r="AFS77" s="75">
        <f t="shared" si="899"/>
        <v>90588.23529411765</v>
      </c>
      <c r="AFT77" s="279" t="e">
        <f t="shared" ca="1" si="900"/>
        <v>#N/A</v>
      </c>
      <c r="AFU77" s="280" t="e">
        <f t="shared" ca="1" si="901"/>
        <v>#N/A</v>
      </c>
      <c r="AFV77" s="280" t="e">
        <f t="shared" ca="1" si="902"/>
        <v>#N/A</v>
      </c>
      <c r="AFW77" s="280" t="e">
        <f t="shared" ca="1" si="903"/>
        <v>#N/A</v>
      </c>
      <c r="AFX77" s="280" t="e">
        <f t="shared" ca="1" si="904"/>
        <v>#N/A</v>
      </c>
      <c r="AFY77" s="280" t="e">
        <f t="shared" ca="1" si="905"/>
        <v>#N/A</v>
      </c>
      <c r="AFZ77" s="280" t="e">
        <f t="shared" ca="1" si="906"/>
        <v>#N/A</v>
      </c>
      <c r="AGA77" s="280" t="e">
        <f t="shared" ca="1" si="907"/>
        <v>#N/A</v>
      </c>
      <c r="AGB77" s="280" t="e">
        <f t="shared" ca="1" si="908"/>
        <v>#N/A</v>
      </c>
      <c r="AGD77" s="75" t="e">
        <f t="array" aca="1" ref="AGD77" ca="1">_xlfn.IFS(AAC77="Handysize",Main!ACF77,AAC77="Supramax",ABY77,AAC77="Panamax",ABR77,AAC77="NeoPanamax",ABK77,AAC77="Suezmax",ABD77,AAC77="Capesize",AAW77,AAC77="VLOC",AAP77)*$JI77</f>
        <v>#NAME?</v>
      </c>
      <c r="AGE77" s="274" t="e">
        <f t="array" aca="1" ref="AGE77" ca="1">_xlfn.IFS(AAC77="Handysize",Main!ACG77,AAC77="Supramax",ABZ77,AAC77="Panamax",ABS77,AAC77="NeoPanamax",ABL77,AAC77="Suezmax",ABE77,AAC77="Capesize",AAX77,AAC77="VLOC",AAQ77)*$JI77</f>
        <v>#NAME?</v>
      </c>
      <c r="AGF77" s="71" t="e">
        <f t="array" aca="1" ref="AGF77" ca="1">_xlfn.IFS(AAC77="Handysize",Main!AAH77,AAC77="Supramax",AAI77,AAC77="Panamax",AAJ77,AAC77="NeoPanamax",AAK77,AAC77="Suezmax",AAL77,AAC77="Capesize",AAM77,AAC77="VLOC",AAN77)</f>
        <v>#NAME?</v>
      </c>
      <c r="AGG77" s="71" t="e">
        <f t="array" aca="1" ref="AGG77" ca="1">_xlfn.IFS(AAC77="Handysize",Main!ACT77,AAC77="Supramax",ACU77,AAC77="Panamax",ACV77,AAC77="NeoPanamax",ACW77,AAC77="Suezmax",ACX77,AAC77="Capesize",ACY77,AAC77="VLOC",ACZ77)</f>
        <v>#NAME?</v>
      </c>
      <c r="AGH77" s="70">
        <f t="array" ref="AGH77">INDEX('Ship Speeds'!$G$11:$G$1011,MATCH(2,1/(('Ship Speeds'!$E$11:$E$1011&lt;=Main!$C77)*('Ship Speeds'!$F$11:$F$1011=Main!AAB77))))</f>
        <v>11</v>
      </c>
      <c r="AGI77" s="403">
        <f t="shared" si="909"/>
        <v>23.70260984288554</v>
      </c>
      <c r="AGJ77" s="401">
        <f t="shared" si="910"/>
        <v>2.1922895927601811</v>
      </c>
      <c r="AGK77" s="70" t="e">
        <f t="shared" ca="1" si="911"/>
        <v>#NAME?</v>
      </c>
      <c r="AGL77" s="70" t="e">
        <f t="shared" ca="1" si="912"/>
        <v>#NAME?</v>
      </c>
      <c r="AGM77" s="70" t="e">
        <f t="shared" ca="1" si="913"/>
        <v>#NAME?</v>
      </c>
      <c r="AGN77" s="70" t="e">
        <f t="shared" ca="1" si="914"/>
        <v>#NAME?</v>
      </c>
      <c r="AGO77" s="72" t="e">
        <f t="shared" ca="1" si="915"/>
        <v>#N/A</v>
      </c>
      <c r="AGP77" s="70" t="e">
        <f t="shared" ca="1" si="916"/>
        <v>#NAME?</v>
      </c>
      <c r="AGQ77" s="70" t="e">
        <f t="array" aca="1" ref="AGQ77" ca="1">INDEX(ACN77:ACR77,MATCH(_xlfn.IFS(AAC77="Handysize",Main!ACJ77,AAC77="Supramax",ACC77,AAC77="Panamax",ABV77,AAC77="NeoPanamax",ABO77,AAC77="Suezmax",ABH77,AAC77="Capesize",ABA77,AAC77="VLOC",AAT77),$ACN$7:$ACR$7,0))</f>
        <v>#NAME?</v>
      </c>
      <c r="AGR77" s="70" t="e">
        <f t="array" aca="1" ref="AGR77" ca="1">INDEX(ACN77:ACR77,MATCH(_xlfn.IFS(AAC77="Handysize",Main!ACK77,AAC77="Supramax",ACD77,AAC77="Panamax",ABW77,AAC77="NeoPanamax",ABP77,AAC77="Suezmax",ABI77,AAC77="Capesize",ABB77,AAC77="VLOC",AAU77),$ACN$7:$ACR$7,0))</f>
        <v>#NAME?</v>
      </c>
      <c r="AGS77" s="71" t="e">
        <f t="shared" ca="1" si="917"/>
        <v>#NAME?</v>
      </c>
      <c r="AGT77" s="71" t="e">
        <f t="shared" ca="1" si="918"/>
        <v>#NAME?</v>
      </c>
      <c r="AGU77" s="281">
        <f t="shared" si="919"/>
        <v>7.0834199999999994</v>
      </c>
      <c r="AGV77" s="71">
        <f t="shared" si="920"/>
        <v>1742.3786814843679</v>
      </c>
      <c r="AGW77" s="71" t="e">
        <f t="shared" ca="1" si="921"/>
        <v>#NAME?</v>
      </c>
      <c r="AGX77" s="71" t="e">
        <f t="shared" ca="1" si="922"/>
        <v>#NAME?</v>
      </c>
      <c r="AGY77" s="71">
        <f t="shared" si="923"/>
        <v>33762.355073745537</v>
      </c>
      <c r="AGZ77" s="71" t="e">
        <f t="shared" ca="1" si="924"/>
        <v>#NAME?</v>
      </c>
      <c r="AHA77" s="71" t="e">
        <f t="shared" ca="1" si="925"/>
        <v>#NAME?</v>
      </c>
      <c r="AHB77" s="71">
        <f t="shared" si="926"/>
        <v>23969.461999406663</v>
      </c>
      <c r="AHC77" s="71" t="e">
        <f t="shared" ca="1" si="927"/>
        <v>#NAME?</v>
      </c>
      <c r="AHD77" s="71" t="e">
        <f t="shared" ca="1" si="928"/>
        <v>#NAME?</v>
      </c>
      <c r="AHE77" s="71">
        <f t="shared" si="929"/>
        <v>0</v>
      </c>
      <c r="AHF77" s="71" t="e">
        <f t="shared" ca="1" si="930"/>
        <v>#NAME?</v>
      </c>
      <c r="AHG77" s="71" t="e">
        <f t="shared" ca="1" si="931"/>
        <v>#NAME?</v>
      </c>
      <c r="AHH77" s="72">
        <f t="shared" si="932"/>
        <v>6313.2298390872393</v>
      </c>
      <c r="AHI77" s="72" t="e">
        <f t="shared" ca="1" si="933"/>
        <v>#NAME?</v>
      </c>
      <c r="AHJ77" s="71" t="e">
        <f t="shared" ca="1" si="934"/>
        <v>#NAME?</v>
      </c>
      <c r="AHK77" s="71" t="e">
        <f t="array" aca="1" ref="AHK77" ca="1">INDEX('Ship Time Charter Rates'!$H$22:$H$1021,MATCH(2,1/(('Ship Time Charter Rates'!$G$22:$G$1021=_xlfn.IFS(AAC77="Handysize",Main!ACH77,AAC77="Supramax",ACA77,AAC77="Panamax",ABT77,AAC77="NeoPanamax",ABM77,AAC77="Suezmax",ABF77,AAC77="Capesize",AAY77,AAC77="VLOC",AAR77))*('Ship Time Charter Rates'!$E$22:$E$1021&lt;=Main!$C77)*(NOT(ISBLANK('Ship Time Charter Rates'!$H$22:$H$1021))))))</f>
        <v>#N/A</v>
      </c>
      <c r="AHL77" s="71" t="e">
        <f t="shared" ca="1" si="935"/>
        <v>#NAME?</v>
      </c>
      <c r="AHM77" s="70" t="e">
        <f t="shared" ca="1" si="936"/>
        <v>#N/A</v>
      </c>
      <c r="AHN77" s="71" t="e">
        <f t="shared" ca="1" si="937"/>
        <v>#NAME?</v>
      </c>
      <c r="AHO77" s="71" t="e">
        <f t="shared" ca="1" si="938"/>
        <v>#NAME?</v>
      </c>
      <c r="AHP77" s="72" t="e">
        <f t="shared" ca="1" si="939"/>
        <v>#NAME?</v>
      </c>
      <c r="AHR77" s="25">
        <f t="shared" si="940"/>
        <v>0</v>
      </c>
      <c r="AHS77" s="4" t="str">
        <f>VLOOKUP(AHR77,'Ship Time Charter Rates'!$F$10:$G$17,2,TRUE)</f>
        <v>Handysize</v>
      </c>
      <c r="AHT77" s="4" t="str">
        <f>VLOOKUP(AHR77,Canals!$E$5:$F$12,2,TRUE)</f>
        <v>Handysize</v>
      </c>
      <c r="AHU77" s="25">
        <f t="shared" si="941"/>
        <v>145.88999999999999</v>
      </c>
      <c r="AHV77" s="25">
        <f t="shared" si="942"/>
        <v>0</v>
      </c>
      <c r="AHW77" s="25">
        <f t="shared" si="943"/>
        <v>4797</v>
      </c>
      <c r="AHY77" s="75">
        <f t="array" ref="AHY77">INDEX('Indices Mines Exporting Ports'!$R$20:$R$51,MATCH(2,1/(('Indices Mines Exporting Ports'!$D$20:$D$51&lt;=Main!$C77)*('Indices Mines Exporting Ports'!$Q$20:$Q$51=$AQ77))))</f>
        <v>0</v>
      </c>
      <c r="AHZ77" s="75">
        <f t="array" ref="AHZ77">INDEX('Indices Mines Exporting Ports'!$S$20:$S$51,MATCH(2,1/(('Indices Mines Exporting Ports'!$D$20:$D$51&lt;=Main!$C77)*('Indices Mines Exporting Ports'!$Q$20:$Q$51=$AQ77))))</f>
        <v>0</v>
      </c>
      <c r="AIA77" s="75">
        <f t="array" ref="AIA77">INDEX('Indices Mines Exporting Ports'!$T$20:$T$51,MATCH(2,1/(('Indices Mines Exporting Ports'!$D$20:$D$51&lt;=Main!$C77)*('Indices Mines Exporting Ports'!$Q$20:$Q$51=$AQ77))))</f>
        <v>0</v>
      </c>
      <c r="AIB77" s="75">
        <f t="array" ref="AIB77">INDEX('Indices Mines Exporting Ports'!$U$20:$U$51,MATCH(2,1/(('Indices Mines Exporting Ports'!$D$20:$D$51&lt;=Main!$C77)*('Indices Mines Exporting Ports'!$Q$20:$Q$51=$AQ77))))</f>
        <v>0</v>
      </c>
      <c r="AIC77" s="75">
        <f t="array" ref="AIC77">INDEX('Indices Mines Exporting Ports'!$V$20:$V$51,MATCH(2,1/(('Indices Mines Exporting Ports'!$D$20:$D$51&lt;=Main!$C77)*('Indices Mines Exporting Ports'!$Q$20:$Q$51=$AQ77))))</f>
        <v>0</v>
      </c>
      <c r="AID77" s="75">
        <f t="array" ref="AID77">INDEX('Indices Mines Exporting Ports'!$W$20:$W$51,MATCH(2,1/(('Indices Mines Exporting Ports'!$D$20:$D$51&lt;=Main!$C77)*('Indices Mines Exporting Ports'!$Q$20:$Q$51=$AQ77))))</f>
        <v>0</v>
      </c>
      <c r="AIE77" s="75">
        <f t="array" ref="AIE77">INDEX('Indices Mines Exporting Ports'!$X$20:$X$51,MATCH(2,1/(('Indices Mines Exporting Ports'!$D$20:$D$51&lt;=Main!$C77)*('Indices Mines Exporting Ports'!$Q$20:$Q$51=$AQ77))))</f>
        <v>0</v>
      </c>
      <c r="AIG77" s="75">
        <f t="array" ref="AIG77">INDEX('Port Linkages'!$E$18:$E$157,MATCH(2,1/(('Port Linkages'!$C$18:$C$157=$AQ77)*('Port Linkages'!$D$18:$D$157=IF($AO77="no",$AQ77,$KK77))*('Port Linkages'!$A$18:$A$157&lt;=$C77))))</f>
        <v>0</v>
      </c>
      <c r="AIH77" s="75">
        <f t="array" ref="AIH77">INDEX('Port Linkages'!$F$18:$F$157,MATCH(2,1/(('Port Linkages'!$C$18:$C$157=$AQ77)*('Port Linkages'!$D$18:$D$157=IF($AO77="no",$AQ77,$KK77))*('Port Linkages'!$A$18:$A$157&lt;=$C77))))</f>
        <v>0</v>
      </c>
      <c r="AII77" s="75">
        <f t="array" ref="AII77">INDEX('Port Linkages'!$G$18:$G$157,MATCH(2,1/(('Port Linkages'!$C$18:$C$157=$AQ77)*('Port Linkages'!$D$18:$D$157=IF($AO77="no",$AQ77,$KK77))*('Port Linkages'!$A$18:$A$157&lt;=$C77))))</f>
        <v>0</v>
      </c>
      <c r="AIJ77" s="75">
        <f t="array" ref="AIJ77">INDEX('Port Linkages'!$H$18:$H$157,MATCH(2,1/(('Port Linkages'!$C$18:$C$157=$AQ77)*('Port Linkages'!$D$18:$D$157=IF($AO77="no",$AQ77,$KK77))*('Port Linkages'!$A$18:$A$157&lt;=$C77))))</f>
        <v>0</v>
      </c>
      <c r="AIK77" s="75">
        <f t="array" ref="AIK77">INDEX('Port Linkages'!$I$18:$I$157,MATCH(2,1/(('Port Linkages'!$C$18:$C$157=$AQ77)*('Port Linkages'!$D$18:$D$157=IF($AO77="no",$AQ77,$KK77))*('Port Linkages'!$A$18:$A$157&lt;=$C77))))</f>
        <v>0</v>
      </c>
      <c r="AIL77" s="75">
        <f t="array" ref="AIL77">INDEX('Port Linkages'!$J$18:$J$157,MATCH(2,1/(('Port Linkages'!$C$18:$C$157=$AQ77)*('Port Linkages'!$D$18:$D$157=IF($AO77="no",$AQ77,$KK77))*('Port Linkages'!$A$18:$A$157&lt;=$C77))))</f>
        <v>0</v>
      </c>
      <c r="AIM77" s="75">
        <f t="array" ref="AIM77">INDEX('Port Linkages'!$K$18:$K$157,MATCH(2,1/(('Port Linkages'!$C$18:$C$157=$AQ77)*('Port Linkages'!$D$18:$D$157=IF($AO77="no",$AQ77,$KK77))*('Port Linkages'!$A$18:$A$157&lt;=$C77))))</f>
        <v>0</v>
      </c>
      <c r="AIN77" s="75">
        <f t="array" ref="AIN77">INDEX('Port Linkages'!$L$18:$L$157,MATCH(2,1/(('Port Linkages'!$C$18:$C$157=$AQ77)*('Port Linkages'!$D$18:$D$157=IF($AO77="no",$AQ77,$KK77))*('Port Linkages'!$A$18:$A$157&lt;=$C77))))</f>
        <v>0</v>
      </c>
      <c r="AIO77" s="75">
        <f t="array" ref="AIO77">INDEX('Port Linkages'!$M$18:$M$157,MATCH(2,1/(('Port Linkages'!$C$18:$C$157=$AQ77)*('Port Linkages'!$D$18:$D$157=IF($AO77="no",$AQ77,$KK77))*('Port Linkages'!$A$18:$A$157&lt;=$C77))))</f>
        <v>0</v>
      </c>
      <c r="AIP77" s="75">
        <f t="array" ref="AIP77">INDEX('Port Linkages'!$N$18:$N$157,MATCH(2,1/(('Port Linkages'!$C$18:$C$157=$AQ77)*('Port Linkages'!$D$18:$D$157=IF($AO77="no",$AQ77,$KK77))*('Port Linkages'!$A$18:$A$157&lt;=$C77))))</f>
        <v>0</v>
      </c>
      <c r="AIQ77" s="75">
        <f t="array" ref="AIQ77">INDEX('Port Linkages'!$O$18:$O$157,MATCH(2,1/(('Port Linkages'!$C$18:$C$157=$AQ77)*('Port Linkages'!$D$18:$D$157=IF($AO77="no",$AQ77,$KK77))*('Port Linkages'!$A$18:$A$157&lt;=$C77))))</f>
        <v>0</v>
      </c>
      <c r="AIR77" s="75">
        <f t="array" ref="AIR77">INDEX('Port Linkages'!$P$18:$P$157,MATCH(2,1/(('Port Linkages'!$C$18:$C$157=$AQ77)*('Port Linkages'!$D$18:$D$157=IF($AO77="no",$AQ77,$KK77))*('Port Linkages'!$A$18:$A$157&lt;=$C77))))</f>
        <v>0</v>
      </c>
      <c r="AIS77" s="75">
        <f t="array" ref="AIS77">INDEX('Port Linkages'!$Q$18:$Q$157,MATCH(2,1/(('Port Linkages'!$C$18:$C$157=$AQ77)*('Port Linkages'!$D$18:$D$157=IF($AO77="no",$AQ77,$KK77))*('Port Linkages'!$A$18:$A$157&lt;=$C77))))</f>
        <v>0</v>
      </c>
      <c r="AIT77" s="75">
        <f t="array" ref="AIT77">INDEX('Port Linkages'!$R$18:$R$157,MATCH(2,1/(('Port Linkages'!$C$18:$C$157=$AQ77)*('Port Linkages'!$D$18:$D$157=IF($AO77="no",$AQ77,$KK77))*('Port Linkages'!$A$18:$A$157&lt;=$C77))))</f>
        <v>0</v>
      </c>
      <c r="AIU77" s="75">
        <f t="array" ref="AIU77">INDEX('Port Linkages'!$S$18:$S$157,MATCH(2,1/(('Port Linkages'!$C$18:$C$157=$AQ77)*('Port Linkages'!$D$18:$D$157=IF($AO77="no",$AQ77,$KK77))*('Port Linkages'!$A$18:$A$157&lt;=$C77))))</f>
        <v>0</v>
      </c>
      <c r="AIV77" s="75">
        <f t="array" ref="AIV77">INDEX('Port Linkages'!$T$18:$T$157,MATCH(2,1/(('Port Linkages'!$C$18:$C$157=$AQ77)*('Port Linkages'!$D$18:$D$157=IF($AO77="no",$AQ77,$KK77))*('Port Linkages'!$A$18:$A$157&lt;=$C77))))</f>
        <v>0</v>
      </c>
      <c r="AIW77" s="75">
        <f t="array" ref="AIW77">INDEX('Port Linkages'!$U$18:$U$157,MATCH(2,1/(('Port Linkages'!$C$18:$C$157=$AQ77)*('Port Linkages'!$D$18:$D$157=IF($AO77="no",$AQ77,$KK77))*('Port Linkages'!$A$18:$A$157&lt;=$C77))))</f>
        <v>0</v>
      </c>
      <c r="AIX77" s="75">
        <f t="array" ref="AIX77">INDEX('Port Linkages'!$V$18:$V$157,MATCH(2,1/(('Port Linkages'!$C$18:$C$157=$AQ77)*('Port Linkages'!$D$18:$D$157=IF($AO77="no",$AQ77,$KK77))*('Port Linkages'!$A$18:$A$157&lt;=$C77))))</f>
        <v>0</v>
      </c>
      <c r="AIY77" s="75">
        <f t="array" ref="AIY77">INDEX('Port Linkages'!$W$18:$W$157,MATCH(2,1/(('Port Linkages'!$C$18:$C$157=$AQ77)*('Port Linkages'!$D$18:$D$157=IF($AO77="no",$AQ77,$KK77))*('Port Linkages'!$A$18:$A$157&lt;=$C77))))</f>
        <v>0</v>
      </c>
      <c r="AIZ77" s="75">
        <f t="array" ref="AIZ77">INDEX('Port Linkages'!$X$18:$X$157,MATCH(2,1/(('Port Linkages'!$C$18:$C$157=$AQ77)*('Port Linkages'!$D$18:$D$157=IF($AO77="no",$AQ77,$KK77))*('Port Linkages'!$A$18:$A$157&lt;=$C77))))</f>
        <v>0</v>
      </c>
      <c r="AJA77" s="75">
        <f t="array" ref="AJA77">INDEX('Port Linkages'!$Y$18:$Y$157,MATCH(2,1/(('Port Linkages'!$C$18:$C$157=$AQ77)*('Port Linkages'!$D$18:$D$157=IF($AO77="no",$AQ77,$KK77))*('Port Linkages'!$A$18:$A$157&lt;=$C77))))</f>
        <v>0</v>
      </c>
      <c r="AJB77" s="75">
        <f t="array" ref="AJB77">INDEX('Port Linkages'!$Z$18:$Z$157,MATCH(2,1/(('Port Linkages'!$C$18:$C$157=$AQ77)*('Port Linkages'!$D$18:$D$157=IF($AO77="no",$AQ77,$KK77))*('Port Linkages'!$A$18:$A$157&lt;=$C77))))</f>
        <v>0</v>
      </c>
      <c r="AJC77" s="75">
        <f t="array" ref="AJC77">INDEX('Port Linkages'!$AA$18:$AA$157,MATCH(2,1/(('Port Linkages'!$C$18:$C$157=$AQ77)*('Port Linkages'!$D$18:$D$157=IF($AO77="no",$AQ77,$KK77))*('Port Linkages'!$A$18:$A$157&lt;=$C77))))</f>
        <v>0</v>
      </c>
      <c r="AJD77" s="75">
        <f t="array" ref="AJD77">INDEX('Port Linkages'!$AB$18:$AB$157,MATCH(2,1/(('Port Linkages'!$C$18:$C$157=$AQ77)*('Port Linkages'!$D$18:$D$157=IF($AO77="no",$AQ77,$KK77))*('Port Linkages'!$A$18:$A$157&lt;=$C77))))</f>
        <v>0</v>
      </c>
      <c r="AJE77" s="75">
        <f t="array" ref="AJE77">INDEX('Port Linkages'!$AC$18:$AC$157,MATCH(2,1/(('Port Linkages'!$C$18:$C$157=$AQ77)*('Port Linkages'!$D$18:$D$157=IF($AO77="no",$AQ77,$KK77))*('Port Linkages'!$A$18:$A$157&lt;=$C77))))</f>
        <v>0</v>
      </c>
      <c r="AJF77" s="75">
        <f t="array" ref="AJF77">INDEX('Port Linkages'!$AD$18:$AD$157,MATCH(2,1/(('Port Linkages'!$C$18:$C$157=$AQ77)*('Port Linkages'!$D$18:$D$157=IF($AO77="no",$AQ77,$KK77))*('Port Linkages'!$A$18:$A$157&lt;=$C77))))</f>
        <v>0</v>
      </c>
      <c r="AJG77" s="75">
        <f t="array" ref="AJG77">INDEX('Port Linkages'!$AE$18:$AE$157,MATCH(2,1/(('Port Linkages'!$C$18:$C$157=$AQ77)*('Port Linkages'!$D$18:$D$157=IF($AO77="no",$AQ77,$KK77))*('Port Linkages'!$A$18:$A$157&lt;=$C77))))</f>
        <v>0</v>
      </c>
      <c r="AJH77" s="75">
        <f t="array" ref="AJH77">INDEX('Port Linkages'!$AF$18:$AF$157,MATCH(2,1/(('Port Linkages'!$C$18:$C$157=$AQ77)*('Port Linkages'!$D$18:$D$157=IF($AO77="no",$AQ77,$KK77))*('Port Linkages'!$A$18:$A$157&lt;=$C77))))</f>
        <v>0</v>
      </c>
      <c r="AJI77" s="75">
        <f t="array" ref="AJI77">INDEX('Port Linkages'!$AG$18:$AG$157,MATCH(2,1/(('Port Linkages'!$C$18:$C$157=$AQ77)*('Port Linkages'!$D$18:$D$157=IF($AO77="no",$AQ77,$KK77))*('Port Linkages'!$A$18:$A$157&lt;=$C77))))</f>
        <v>0</v>
      </c>
      <c r="AJJ77" s="75">
        <f t="array" ref="AJJ77">INDEX('Port Linkages'!$AH$18:$AH$157,MATCH(2,1/(('Port Linkages'!$C$18:$C$157=$AQ77)*('Port Linkages'!$D$18:$D$157=IF($AO77="no",$AQ77,$KK77))*('Port Linkages'!$A$18:$A$157&lt;=$C77))))</f>
        <v>0</v>
      </c>
      <c r="AJK77" s="75">
        <f t="array" ref="AJK77">INDEX('Port Linkages'!$AI$18:$AI$157,MATCH(2,1/(('Port Linkages'!$C$18:$C$157=$AQ77)*('Port Linkages'!$D$18:$D$157=IF($AO77="no",$AQ77,$KK77))*('Port Linkages'!$A$18:$A$157&lt;=$C77))))</f>
        <v>0</v>
      </c>
      <c r="AJL77" s="75">
        <f t="array" ref="AJL77">INDEX('Port Linkages'!$AJ$18:$AJ$157,MATCH(2,1/(('Port Linkages'!$C$18:$C$157=$AQ77)*('Port Linkages'!$D$18:$D$157=IF($AO77="no",$AQ77,$KK77))*('Port Linkages'!$A$18:$A$157&lt;=$C77))))</f>
        <v>0</v>
      </c>
      <c r="AJM77" s="75">
        <f t="array" ref="AJM77">INDEX('Port Linkages'!$AK$18:$AK$157,MATCH(2,1/(('Port Linkages'!$C$18:$C$157=$AQ77)*('Port Linkages'!$D$18:$D$157=IF($AO77="no",$AQ77,$KK77))*('Port Linkages'!$A$18:$A$157&lt;=$C77))))</f>
        <v>0</v>
      </c>
      <c r="AJN77" s="75">
        <f t="array" ref="AJN77">INDEX('Port Linkages'!$AL$18:$AL$157,MATCH(2,1/(('Port Linkages'!$C$18:$C$157=$AQ77)*('Port Linkages'!$D$18:$D$157=IF($AO77="no",$AQ77,$KK77))*('Port Linkages'!$A$18:$A$157&lt;=$C77))))</f>
        <v>0</v>
      </c>
      <c r="AJO77" s="75">
        <f t="array" ref="AJO77">INDEX('Port Linkages'!$AM$18:$AM$157,MATCH(2,1/(('Port Linkages'!$C$18:$C$157=$AQ77)*('Port Linkages'!$D$18:$D$157=IF($AO77="no",$AQ77,$KK77))*('Port Linkages'!$A$18:$A$157&lt;=$C77))))</f>
        <v>0</v>
      </c>
      <c r="AJP77" s="75">
        <f t="array" ref="AJP77">INDEX('Port Linkages'!$AN$18:$AN$157,MATCH(2,1/(('Port Linkages'!$C$18:$C$157=$AQ77)*('Port Linkages'!$D$18:$D$157=IF($AO77="no",$AQ77,$KK77))*('Port Linkages'!$A$18:$A$157&lt;=$C77))))</f>
        <v>0</v>
      </c>
      <c r="AJQ77" s="75">
        <f t="array" ref="AJQ77">INDEX('Port Linkages'!$AO$18:$AO$157,MATCH(2,1/(('Port Linkages'!$C$18:$C$157=$AQ77)*('Port Linkages'!$D$18:$D$157=IF($AO77="no",$AQ77,$KK77))*('Port Linkages'!$A$18:$A$157&lt;=$C77))))</f>
        <v>0</v>
      </c>
      <c r="AJR77" s="75">
        <f t="array" ref="AJR77">INDEX('Port Linkages'!$AP$18:$AP$157,MATCH(2,1/(('Port Linkages'!$C$18:$C$157=$AQ77)*('Port Linkages'!$D$18:$D$157=IF($AO77="no",$AQ77,$KK77))*('Port Linkages'!$A$18:$A$157&lt;=$C77))))</f>
        <v>0</v>
      </c>
      <c r="AJS77" s="75">
        <f t="array" ref="AJS77">INDEX('Port Linkages'!$AQ$18:$AQ$157,MATCH(2,1/(('Port Linkages'!$C$18:$C$157=$AQ77)*('Port Linkages'!$D$18:$D$157=IF($AO77="no",$AQ77,$KK77))*('Port Linkages'!$A$18:$A$157&lt;=$C77))))</f>
        <v>0</v>
      </c>
      <c r="AJT77" s="75">
        <f t="array" ref="AJT77">INDEX('Port Linkages'!$AR$18:$AR$157,MATCH(2,1/(('Port Linkages'!$C$18:$C$157=$AQ77)*('Port Linkages'!$D$18:$D$157=IF($AO77="no",$AQ77,$KK77))*('Port Linkages'!$A$18:$A$157&lt;=$C77))))</f>
        <v>0</v>
      </c>
      <c r="AJU77" s="75">
        <f t="array" ref="AJU77">INDEX('Port Linkages'!$AS$18:$AS$157,MATCH(2,1/(('Port Linkages'!$C$18:$C$157=$AQ77)*('Port Linkages'!$D$18:$D$157=IF($AO77="no",$AQ77,$KK77))*('Port Linkages'!$A$18:$A$157&lt;=$C77))))</f>
        <v>0</v>
      </c>
      <c r="AJV77" s="75">
        <f t="array" ref="AJV77">INDEX('Port Linkages'!$AT$18:$AT$157,MATCH(2,1/(('Port Linkages'!$C$18:$C$157=$AQ77)*('Port Linkages'!$D$18:$D$157=IF($AO77="no",$AQ77,$KK77))*('Port Linkages'!$A$18:$A$157&lt;=$C77))))</f>
        <v>0</v>
      </c>
      <c r="AJW77" s="75">
        <f t="array" ref="AJW77">INDEX('Port Linkages'!$AU$18:$AU$157,MATCH(2,1/(('Port Linkages'!$C$18:$C$157=$AQ77)*('Port Linkages'!$D$18:$D$157=IF($AO77="no",$AQ77,$KK77))*('Port Linkages'!$A$18:$A$157&lt;=$C77))))</f>
        <v>0</v>
      </c>
      <c r="AJX77" s="75">
        <f t="array" ref="AJX77">INDEX('Port Linkages'!$AV$18:$AV$157,MATCH(2,1/(('Port Linkages'!$C$18:$C$157=$AQ77)*('Port Linkages'!$D$18:$D$157=IF($AO77="no",$AQ77,$KK77))*('Port Linkages'!$A$18:$A$157&lt;=$C77))))</f>
        <v>0</v>
      </c>
      <c r="AJY77" s="75">
        <f t="array" ref="AJY77">INDEX('Port Linkages'!$AW$18:$AW$157,MATCH(2,1/(('Port Linkages'!$C$18:$C$157=$AQ77)*('Port Linkages'!$D$18:$D$157=IF($AO77="no",$AQ77,$KK77))*('Port Linkages'!$A$18:$A$157&lt;=$C77))))</f>
        <v>0</v>
      </c>
      <c r="AJZ77" s="75">
        <f t="array" ref="AJZ77">INDEX('Port Linkages'!$AX$18:$AX$157,MATCH(2,1/(('Port Linkages'!$C$18:$C$157=$AQ77)*('Port Linkages'!$D$18:$D$157=IF($AO77="no",$AQ77,$KK77))*('Port Linkages'!$A$18:$A$157&lt;=$C77))))</f>
        <v>0</v>
      </c>
      <c r="AKA77" s="75">
        <f t="array" ref="AKA77">INDEX('Port Linkages'!$AY$18:$AY$157,MATCH(2,1/(('Port Linkages'!$C$18:$C$157=$AQ77)*('Port Linkages'!$D$18:$D$157=IF($AO77="no",$AQ77,$KK77))*('Port Linkages'!$A$18:$A$157&lt;=$C77))))</f>
        <v>0</v>
      </c>
      <c r="AKB77" s="75">
        <f t="array" ref="AKB77">INDEX('Port Linkages'!$AZ$18:$AZ$157,MATCH(2,1/(('Port Linkages'!$C$18:$C$157=$AQ77)*('Port Linkages'!$D$18:$D$157=IF($AO77="no",$AQ77,$KK77))*('Port Linkages'!$A$18:$A$157&lt;=$C77))))</f>
        <v>0</v>
      </c>
      <c r="AKC77" s="75">
        <f t="array" ref="AKC77">INDEX('Port Linkages'!$BA$18:$BA$157,MATCH(2,1/(('Port Linkages'!$C$18:$C$157=$AQ77)*('Port Linkages'!$D$18:$D$157=IF($AO77="no",$AQ77,$KK77))*('Port Linkages'!$A$18:$A$157&lt;=$C77))))</f>
        <v>0</v>
      </c>
      <c r="AKE77" s="25" t="e">
        <f t="array" aca="1" ref="AKE77" ca="1">INDEX('Ship Fuel Prices'!$F$5:$F$1004,MATCH(2,1/(('Ship Fuel Prices'!$E$5:$E$1004=_xlfn.IFS(AHT77="Handysize",Main!AJZ77,AHT77="Supramax",AJS77,AHT77="Panamax",AJL77,AHT77="NeoPanamax",AJE77,AHT77="Suezmax",AIX77,AHT77="Capesize",AIQ77,AHT77="VLOC",AIJ77))*('Ship Fuel Prices'!$D$5:$D$1004&lt;=Main!$C77))))</f>
        <v>#N/A</v>
      </c>
      <c r="AKF77" s="25" t="e">
        <f t="array" aca="1" ref="AKF77" ca="1">INDEX('Ship Fuel Prices'!$G$5:$G$1004,MATCH(2,1/(('Ship Fuel Prices'!$E$5:$E$1004=_xlfn.IFS(AHT77="Handysize",Main!AJZ77,AHT77="Supramax",AJS77,AHT77="Panamax",AJL77,AHT77="NeoPanamax",AJE77,AHT77="Suezmax",AIX77,AHT77="Capesize",AIQ77,AHT77="VLOC",AIJ77))*('Ship Fuel Prices'!$D$5:$D$1004&lt;=Main!$C77))))</f>
        <v>#N/A</v>
      </c>
      <c r="AKG77" s="25" t="e">
        <f t="array" aca="1" ref="AKG77" ca="1">INDEX('Ship Fuel Prices'!$H$5:$H$1004,MATCH(2,1/(('Ship Fuel Prices'!$E$5:$E$1004=_xlfn.IFS(AHT77="Handysize",Main!AJZ77,AHT77="Supramax",AJS77,AHT77="Panamax",AJL77,AHT77="NeoPanamax",AJE77,AHT77="Suezmax",AIX77,AHT77="Capesize",AIQ77,AHT77="VLOC",AIJ77))*('Ship Fuel Prices'!$D$5:$D$1004&lt;=Main!$C77))))</f>
        <v>#N/A</v>
      </c>
      <c r="AKH77" s="25" t="e">
        <f t="array" aca="1" ref="AKH77" ca="1">INDEX('Ship Fuel Prices'!$I$5:$I$1004,MATCH(2,1/(('Ship Fuel Prices'!$E$5:$E$1004=_xlfn.IFS(AHT77="Handysize",Main!AJZ77,AHT77="Supramax",AJS77,AHT77="Panamax",AJL77,AHT77="NeoPanamax",AJE77,AHT77="Suezmax",AIX77,AHT77="Capesize",AIQ77,AHT77="VLOC",AIJ77))*('Ship Fuel Prices'!$D$5:$D$1004&lt;=Main!$C77))))</f>
        <v>#N/A</v>
      </c>
      <c r="AKI77" s="25" t="e">
        <f t="array" aca="1" ref="AKI77" ca="1">INDEX('Ship Fuel Prices'!$J$5:$J$1004,MATCH(2,1/(('Ship Fuel Prices'!$E$5:$E$1004=_xlfn.IFS(AHT77="Handysize",Main!AJZ77,AHT77="Supramax",AJS77,AHT77="Panamax",AJL77,AHT77="NeoPanamax",AJE77,AHT77="Suezmax",AIX77,AHT77="Capesize",AIQ77,AHT77="VLOC",AIJ77))*('Ship Fuel Prices'!$D$5:$D$1004&lt;=Main!$C77))))</f>
        <v>#N/A</v>
      </c>
      <c r="AKK77" s="75">
        <f t="array" ref="AKK77">INDEX('China n Importing Ports'!$E$20:$E$41,MATCH(2,1/(('China n Importing Ports'!$D$20:$D$41&lt;=$C77)*('China n Importing Ports'!$C$20:$C$41=IF($AO77="No",$AQ77,$KK77)))))</f>
        <v>0</v>
      </c>
      <c r="AKL77" s="75">
        <f t="array" ref="AKL77">INDEX('China n Importing Ports'!$F$20:$F$41,MATCH(2,1/(('China n Importing Ports'!$D$20:$D$41&lt;=$C77)*('China n Importing Ports'!$C$20:$C$41=IF($AO77="No",$AQ77,$KK77)))))</f>
        <v>0</v>
      </c>
      <c r="AKM77" s="75">
        <f t="array" ref="AKM77">INDEX('China n Importing Ports'!$G$20:$G$41,MATCH(2,1/(('China n Importing Ports'!$D$20:$D$41&lt;=$C77)*('China n Importing Ports'!$C$20:$C$41=IF($AO77="No",$AQ77,$KK77)))))</f>
        <v>0</v>
      </c>
      <c r="AKN77" s="75">
        <f t="array" ref="AKN77">INDEX('China n Importing Ports'!$H$20:$H$41,MATCH(2,1/(('China n Importing Ports'!$D$20:$D$41&lt;=$C77)*('China n Importing Ports'!$C$20:$C$41=IF($AO77="No",$AQ77,$KK77)))))</f>
        <v>0</v>
      </c>
      <c r="AKO77" s="75">
        <f t="array" ref="AKO77">INDEX('China n Importing Ports'!$I$20:$I$41,MATCH(2,1/(('China n Importing Ports'!$D$20:$D$41&lt;=$C77)*('China n Importing Ports'!$C$20:$C$41=IF($AO77="No",$AQ77,$KK77)))))</f>
        <v>0</v>
      </c>
      <c r="AKP77" s="75">
        <f t="array" ref="AKP77">INDEX('China n Importing Ports'!$J$20:$J$41,MATCH(2,1/(('China n Importing Ports'!$D$20:$D$41&lt;=$C77)*('China n Importing Ports'!$C$20:$C$41=IF($AO77="No",$AQ77,$KK77)))))</f>
        <v>0</v>
      </c>
      <c r="AKQ77" s="75">
        <f t="array" ref="AKQ77">INDEX('China n Importing Ports'!$K$20:$K$41,MATCH(2,1/(('China n Importing Ports'!$D$20:$D$41&lt;=$C77)*('China n Importing Ports'!$C$20:$C$41=IF($AO77="No",$AQ77,$KK77)))))</f>
        <v>0</v>
      </c>
      <c r="AKR77" s="75">
        <f t="array" ref="AKR77">INDEX('China n Importing Ports'!$L$20:$L$41,MATCH(2,1/(('China n Importing Ports'!$D$20:$D$41&lt;=$C77)*('China n Importing Ports'!$C$20:$C$41=IF($AO77="No",$AQ77,$KK77)))))</f>
        <v>0</v>
      </c>
      <c r="AKS77" s="75">
        <f t="array" ref="AKS77">INDEX('China n Importing Ports'!$M$20:$M$41,MATCH(2,1/(('China n Importing Ports'!$D$20:$D$41&lt;=$C77)*('China n Importing Ports'!$C$20:$C$41=IF($AO77="No",$AQ77,$KK77)))))</f>
        <v>0</v>
      </c>
      <c r="AKT77" s="75">
        <f t="array" ref="AKT77">INDEX('China n Importing Ports'!$N$20:$N$41,MATCH(2,1/(('China n Importing Ports'!$D$20:$D$41&lt;=$C77)*('China n Importing Ports'!$C$20:$C$41=IF($AO77="No",$AQ77,$KK77)))))</f>
        <v>0</v>
      </c>
      <c r="AKU77" s="75">
        <f t="array" ref="AKU77">INDEX('China n Importing Ports'!$O$20:$O$41,MATCH(2,1/(('China n Importing Ports'!$D$20:$D$41&lt;=$C77)*('China n Importing Ports'!$C$20:$C$41=IF($AO77="No",$AQ77,$KK77)))))</f>
        <v>0</v>
      </c>
      <c r="AKV77" s="136">
        <f t="array" ref="AKV77">INDEX('China n Importing Ports'!$P$20:$P$41,MATCH(2,1/(('China n Importing Ports'!$D$20:$D$41&lt;=$C77)*('China n Importing Ports'!$C$20:$C$41=IF($AO77="No",$AQ77,$KK77)))))</f>
        <v>0</v>
      </c>
      <c r="AKW77" s="136">
        <f t="array" ref="AKW77">INDEX('China n Importing Ports'!$Q$20:$Q$41,MATCH(2,1/(('China n Importing Ports'!$D$20:$D$41&lt;=$C77)*('China n Importing Ports'!$C$20:$C$41=IF($AO77="No",$AQ77,$KK77)))))</f>
        <v>0</v>
      </c>
      <c r="AKX77" s="136">
        <f t="array" ref="AKX77">INDEX('China n Importing Ports'!$R$20:$R$41,MATCH(2,1/(('China n Importing Ports'!$D$20:$D$41&lt;=$C77)*('China n Importing Ports'!$C$20:$C$41=IF($AO77="No",$AQ77,$KK77)))))</f>
        <v>0</v>
      </c>
      <c r="AKY77" s="136">
        <f t="array" ref="AKY77">INDEX('China n Importing Ports'!$S$20:$S$41,MATCH(2,1/(('China n Importing Ports'!$D$20:$D$41&lt;=$C77)*('China n Importing Ports'!$C$20:$C$41=IF($AO77="No",$AQ77,$KK77)))))</f>
        <v>0</v>
      </c>
      <c r="AKZ77" s="136">
        <f t="array" ref="AKZ77">INDEX('China n Importing Ports'!$T$20:$T$41,MATCH(2,1/(('China n Importing Ports'!$D$20:$D$41&lt;=$C77)*('China n Importing Ports'!$C$20:$C$41=IF($AO77="No",$AQ77,$KK77)))))</f>
        <v>0</v>
      </c>
      <c r="ALA77" s="136">
        <f t="array" ref="ALA77">INDEX('China n Importing Ports'!$U$20:$U$41,MATCH(2,1/(('China n Importing Ports'!$D$20:$D$41&lt;=$C77)*('China n Importing Ports'!$C$20:$C$41=IF($AO77="No",$AQ77,$KK77)))))</f>
        <v>0</v>
      </c>
      <c r="ALB77" s="136">
        <f t="array" ref="ALB77">INDEX('China n Importing Ports'!$V$20:$V$41,MATCH(2,1/(('China n Importing Ports'!$D$20:$D$41&lt;=$C77)*('China n Importing Ports'!$C$20:$C$41=IF($AO77="No",$AQ77,$KK77)))))</f>
        <v>0</v>
      </c>
      <c r="ALC77" s="136">
        <f t="array" ref="ALC77">INDEX('China n Importing Ports'!$W$20:$W$41,MATCH(2,1/(('China n Importing Ports'!$D$20:$D$41&lt;=$C77)*('China n Importing Ports'!$C$20:$C$41=IF($AO77="No",$AQ77,$KK77)))))</f>
        <v>0</v>
      </c>
      <c r="ALD77" s="136">
        <f t="array" ref="ALD77">INDEX('China n Importing Ports'!$X$20:$X$41,MATCH(2,1/(('China n Importing Ports'!$D$20:$D$41&lt;=$C77)*('China n Importing Ports'!$C$20:$C$41=IF($AO77="No",$AQ77,$KK77)))))</f>
        <v>0</v>
      </c>
      <c r="ALE77" s="136">
        <f t="array" ref="ALE77">INDEX('China n Importing Ports'!$Y$20:$Y$41,MATCH(2,1/(('China n Importing Ports'!$D$20:$D$41&lt;=$C77)*('China n Importing Ports'!$C$20:$C$41=IF($AO77="No",$AQ77,$KK77)))))</f>
        <v>0</v>
      </c>
      <c r="ALF77" s="136">
        <f t="array" ref="ALF77">INDEX('China n Importing Ports'!$Z$20:$Z$41,MATCH(2,1/(('China n Importing Ports'!$D$20:$D$41&lt;=$C77)*('China n Importing Ports'!$C$20:$C$41=IF($AO77="No",$AQ77,$KK77)))))</f>
        <v>0</v>
      </c>
      <c r="ALG77" s="136">
        <f t="array" ref="ALG77">INDEX('China n Importing Ports'!$AA$20:$AA$41,MATCH(2,1/(('China n Importing Ports'!$D$20:$D$41&lt;=$C77)*('China n Importing Ports'!$C$20:$C$41=IF($AO77="No",$AQ77,$KK77)))))</f>
        <v>0</v>
      </c>
      <c r="ALI77" s="75" t="e">
        <f t="array" aca="1" ref="ALI77" ca="1">INDEX(Canals!$G$24:$G$29,MATCH(2,1/((Canals!$F$24:$F$29&lt;=$C77)*(Canals!$G$24:$G$29=_xlfn.IFS(AHT77="Handysize",AKC77,AHT77="Supramax",AJV77,AHT77="Panamax",AJO77,AHT77="NeoPanamax",AJH77,AHT77="Suezmax",AJA77,AHT77="Capesize",AIT77,AHT77="VLOC",AIM77)))))</f>
        <v>#N/A</v>
      </c>
      <c r="ALJ77" s="75" t="e">
        <f t="array" aca="1" ref="ALJ77" ca="1">INDEX(Canals!$H$24:$H$29,MATCH(2,1/((Canals!$F$24:$F$29&lt;=$C77)*(Canals!$G$24:$G$29=_xlfn.IFS(AHT77="Handysize",AKC77,AHT77="Supramax",AJV77,AHT77="Panamax",AJO77,AHT77="NeoPanamax",AJH77,AHT77="Suezmax",AJA77,AHT77="Capesize",AIT77,AHT77="VLOC",AIM77)))))</f>
        <v>#N/A</v>
      </c>
      <c r="ALK77" s="75" t="e">
        <f t="array" aca="1" ref="ALK77" ca="1">INDEX(Canals!$I$24:$I$29,MATCH(2,1/((Canals!$F$24:$F$29&lt;=$C77)*(Canals!$G$24:$G$29=_xlfn.IFS(AHT77="Handysize",AKC77,AHT77="Supramax",AJV77,AHT77="Panamax",AJO77,AHT77="NeoPanamax",AJH77,AHT77="Suezmax",AJA77,AHT77="Capesize",AIT77,AHT77="VLOC",AIM77)))))</f>
        <v>#N/A</v>
      </c>
      <c r="ALL77" s="75" t="e">
        <f t="array" aca="1" ref="ALL77" ca="1">INDEX(Canals!$J$24:$J$29,MATCH(2,1/((Canals!$F$24:$F$29&lt;=$C77)*(Canals!$G$24:$G$29=_xlfn.IFS(AHT77="Handysize",Main!AKC77,AHT77="Supramax",AJV77,AHT77="Panamax",AJO77,AHT77="NeoPanamax",AJH77,AHT77="Suezmax",AJA77,AHT77="Capesize",AIT77,AHT77="VLOC",AIM77)))))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M77" s="75" t="e">
        <f t="array" aca="1" ref="ALM77" ca="1">INDEX(Canals!$K$24:$K$29,MATCH(2,1/((Canals!$F$24:$F$29&lt;=$C77)*(Canals!$G$24:$G$29=_xlfn.IFS(AHT77="Handysize",Main!AKC77,AHT77="Supramax",AJV77,AHT77="Panamax",AJO77,AHT77="NeoPanamax",AJH77,AHT77="Suezmax",AJA77,AHT77="Capesize",AIT77,AHT77="VLOC",AIM77)))))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N77" s="75" t="e">
        <f t="array" aca="1" ref="ALN77" ca="1">INDEX(Canals!$L$24:$L$29,MATCH(2,1/((Canals!$F$24:$F$29&lt;=$C77)*(Canals!$G$24:$G$29=_xlfn.IFS(AHT77="Handysize",Main!AKC77,AHT77="Supramax",AJV77,AHT77="Panamax",AJO77,AHT77="NeoPanamax",AJH77,AHT77="Suezmax",AJA77,AHT77="Capesize",AIT77,AHT77="VLOC",AIM77)))))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O77" s="75" t="e">
        <f t="array" aca="1" ref="ALO77" ca="1">INDEX(Canals!$M$24:$M$29,MATCH(2,1/((Canals!$F$24:$F$29&lt;=$C77)*(Canals!$G$24:$G$29=_xlfn.IFS(AHT77="Handysize",Main!AKC77,AHT77="Supramax",AJV77,AHT77="Panamax",AJO77,AHT77="NeoPanamax",AJH77,AHT77="Suezmax",AJA77,AHT77="Capesize",AIT77,AHT77="VLOC",AIM77)))))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P77" s="75" t="e">
        <f t="array" aca="1" ref="ALP77" ca="1">INDEX(Canals!$N$24:$N$29,MATCH(2,1/((Canals!$F$24:$F$29&lt;=$C77)*(Canals!$G$24:$G$29=_xlfn.IFS(AHT77="Handysize",Main!AKC77,AHT77="Supramax",AJV77,AHT77="Panamax",AJO77,AHT77="NeoPanamax",AJH77,AHT77="Suezmax",AJA77,AHT77="Capesize",AIT77,AHT77="VLOC",AIM77)))))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Q77" s="75" t="e">
        <f t="array" aca="1" ref="ALQ77" ca="1">INDEX(Canals!$O$24:$O$29,MATCH(2,1/((Canals!$F$24:$F$29&lt;=$C77)*(Canals!$G$24:$G$29=_xlfn.IFS(AHT77="Handysize",Main!AKC77,AHT77="Supramax",AJV77,AHT77="Panamax",AJO77,AHT77="NeoPanamax",AJH77,AHT77="Suezmax",AJA77,AHT77="Capesize",AIT77,AHT77="VLOC",AIM77)))))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R77" s="75" t="e">
        <f t="array" aca="1" ref="ALR77" ca="1">INDEX(Canals!$P$24:$P$29,MATCH(2,1/((Canals!$F$24:$F$29&lt;=$C77)*(Canals!$G$24:$G$29=_xlfn.IFS(AHT77="Handysize",Main!AKC77,AHT77="Supramax",AJV77,AHT77="Panamax",AJO77,AHT77="NeoPanamax",AJH77,AHT77="Suezmax",AJA77,AHT77="Capesize",AIT77,AHT77="VLOC",AIM77)))))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S77" s="75" t="e">
        <f t="array" aca="1" ref="ALS77" ca="1">INDEX(Canals!$Q$24:$Q$29,MATCH(2,1/((Canals!$F$24:$F$29&lt;=$C77)*(Canals!$G$24:$G$29=_xlfn.IFS(AHT77="Handysize",Main!AKC77,AHT77="Supramax",AJV77,AHT77="Panamax",AJO77,AHT77="NeoPanamax",AJH77,AHT77="Suezmax",AJA77,AHT77="Capesize",AIT77,AHT77="VLOC",AIM77)))))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T77" s="75" t="e">
        <f t="array" aca="1" ref="ALT77" ca="1">INDEX(Canals!$R$24:$R$29,MATCH(2,1/((Canals!$F$24:$F$29&lt;=$C77)*(Canals!$G$24:$G$29=_xlfn.IFS(AHT77="Handysize",Main!AKC77,AHT77="Supramax",AJV77,AHT77="Panamax",AJO77,AHT77="NeoPanamax",AJH77,AHT77="Suezmax",AJA77,AHT77="Capesize",AIT77,AHT77="VLOC",AIM77)))))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U77" s="136" t="e">
        <f t="array" aca="1" ref="ALU77" ca="1">INDEX(Canals!$S$24:$S$29,MATCH(2,1/((Canals!$F$24:$F$29&lt;=$C77)*(Canals!$G$24:$G$29=_xlfn.IFS(AHT77="Handysize",Main!AKC77,AHT77="Supramax",AJV77,AHT77="Panamax",AJO77,AHT77="NeoPanamax",AJH77,AHT77="Suezmax",AJA77,AHT77="Capesize",AIT77,AHT77="VLOC",AIM77)))))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V77" s="136" t="e">
        <f t="array" aca="1" ref="ALV77" ca="1">INDEX(Canals!$T$24:$T$29,MATCH(2,1/((Canals!$F$24:$F$29&lt;=$C77)*(Canals!$G$24:$G$29=_xlfn.IFS(AHT77="Handysize",Main!AKC77,AHT77="Supramax",AJV77,AHT77="Panamax",AJO77,AHT77="NeoPanamax",AJH77,AHT77="Suezmax",AJA77,AHT77="Capesize",AIT77,AHT77="VLOC",AIM77)))))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W77" s="136" t="e">
        <f t="array" aca="1" ref="ALW77" ca="1">INDEX(Canals!$U$24:$U$29,MATCH(2,1/((Canals!$F$24:$F$29&lt;=$C77)*(Canals!$G$24:$G$29=_xlfn.IFS(AHT77="Handysize",Main!AKC77,AHT77="Supramax",AJV77,AHT77="Panamax",AJO77,AHT77="NeoPanamax",AJH77,AHT77="Suezmax",AJA77,AHT77="Capesize",AIT77,AHT77="VLOC",AIM77)))))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X77" s="136" t="e">
        <f t="array" aca="1" ref="ALX77" ca="1">INDEX(Canals!$V$24:$V$29,MATCH(2,1/((Canals!$F$24:$F$29&lt;=$C77)*(Canals!$G$24:$G$29=_xlfn.IFS(AHT77="Handysize",Main!AKC77,AHT77="Supramax",AJV77,AHT77="Panamax",AJO77,AHT77="NeoPanamax",AJH77,AHT77="Suezmax",AJA77,AHT77="Capesize",AIT77,AHT77="VLOC",AIM77)))))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Y77" s="136" t="e">
        <f t="array" aca="1" ref="ALY77" ca="1">INDEX(Canals!$W$24:$W$29,MATCH(2,1/((Canals!$F$24:$F$29&lt;=$C77)*(Canals!$G$24:$G$29=_xlfn.IFS(AHT77="Handysize",Main!AKC77,AHT77="Supramax",AJV77,AHT77="Panamax",AJO77,AHT77="NeoPanamax",AJH77,AHT77="Suezmax",AJA77,AHT77="Capesize",AIT77,AHT77="VLOC",AIM77)))))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LZ77" s="136" t="e">
        <f t="array" aca="1" ref="ALZ77" ca="1">INDEX(Canals!$X$24:$X$29,MATCH(2,1/((Canals!$F$24:$F$29&lt;=$C77)*(Canals!$G$24:$G$29=_xlfn.IFS(AHT77="Handysize",Main!AKC77,AHT77="Supramax",AJV77,AHT77="Panamax",AJO77,AHT77="NeoPanamax",AJH77,AHT77="Suezmax",AJA77,AHT77="Capesize",AIT77,AHT77="VLOC",AIM77)))))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A77" s="136" t="e">
        <f t="array" aca="1" ref="AMA77" ca="1">INDEX(Canals!$Y$24:$Y$29,MATCH(2,1/((Canals!$F$24:$F$29&lt;=$C77)*(Canals!$G$24:$G$29=_xlfn.IFS(AHT77="Handysize",Main!AKC77,AHT77="Supramax",AJV77,AHT77="Panamax",AJO77,AHT77="NeoPanamax",AJH77,AHT77="Suezmax",AJA77,AHT77="Capesize",AIT77,AHT77="VLOC",AIM77)))))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B77" s="136" t="e">
        <f t="array" aca="1" ref="AMB77" ca="1">INDEX(Canals!$Z$24:$Z$29,MATCH(2,1/((Canals!$F$24:$F$29&lt;=$C77)*(Canals!$G$24:$G$29=_xlfn.IFS(AHT77="Handysize",Main!AKC77,AHT77="Supramax",AJV77,AHT77="Panamax",AJO77,AHT77="NeoPanamax",AJH77,AHT77="Suezmax",AJA77,AHT77="Capesize",AIT77,AHT77="VLOC",AIM77)))))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C77" s="136" t="e">
        <f t="array" aca="1" ref="AMC77" ca="1">INDEX(Canals!$AA$24:$AA$29,MATCH(2,1/((Canals!$F$24:$F$29&lt;=$C77)*(Canals!$G$24:$G$29=_xlfn.IFS(AHT77="Handysize",Main!AKC77,AHT77="Supramax",AJV77,AHT77="Panamax",AJO77,AHT77="NeoPanamax",AJH77,AHT77="Suezmax",AJA77,AHT77="Capesize",AIT77,AHT77="VLOC",AIM77)))))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D77" s="136" t="e">
        <f t="array" aca="1" ref="AMD77" ca="1">INDEX(Canals!$AB$24:$AB$29,MATCH(2,1/((Canals!$F$24:$F$29&lt;=$C77)*(Canals!$G$24:$G$29=_xlfn.IFS(AHT77="Handysize",Main!AKC77,AHT77="Supramax",AJV77,AHT77="Panamax",AJO77,AHT77="NeoPanamax",AJH77,AHT77="Suezmax",AJA77,AHT77="Capesize",AIT77,AHT77="VLOC",AIM77)))))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E77" s="75" t="e">
        <f t="array" aca="1" ref="AME77" ca="1">INDEX(Canals!$AC$24:$AC$29,MATCH(2,1/((Canals!$F$24:$F$29&lt;=$C77)*(Canals!$G$24:$G$29=_xlfn.IFS(AHT77="Handysize",Main!AKC77,AHT77="Supramax",AJV77,AHT77="Panamax",AJO77,AHT77="NeoPanamax",AJH77,AHT77="Suezmax",AJA77,AHT77="Capesize",AIT77,AHT77="VLOC",AIM77)))))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F77" s="75" t="e">
        <f t="array" aca="1" ref="AMF77" ca="1">INDEX(Canals!$AD$24:$AD$29,MATCH(2,1/((Canals!$F$24:$F$29&lt;=$C77)*(Canals!$G$24:$G$29=_xlfn.IFS(AHT77="Handysize",Main!AKC77,AHT77="Supramax",AJV77,AHT77="Panamax",AJO77,AHT77="NeoPanamax",AJH77,AHT77="Suezmax",AJA77,AHT77="Capesize",AIT77,AHT77="VLOC",AIM77)))))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G77" s="75" t="e">
        <f t="array" aca="1" ref="AMG77" ca="1">INDEX(Canals!$AE$24:$AE$29,MATCH(2,1/((Canals!$F$24:$F$29&lt;=$C77)*(Canals!$G$24:$G$29=_xlfn.IFS(AHT77="Handysize",Main!AKC77,AHT77="Supramax",AJV77,AHT77="Panamax",AJO77,AHT77="NeoPanamax",AJH77,AHT77="Suezmax",AJA77,AHT77="Capesize",AIT77,AHT77="VLOC",AIM77)))))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H77" s="75" t="e">
        <f t="array" aca="1" ref="AMH77" ca="1">INDEX(Canals!$AF$24:$AF$29,MATCH(2,1/((Canals!$F$24:$F$29&lt;=$C77)*(Canals!$G$24:$G$29=_xlfn.IFS(AHT77="Handysize",Main!AKC77,AHT77="Supramax",AJV77,AHT77="Panamax",AJO77,AHT77="NeoPanamax",AJH77,AHT77="Suezmax",AJA77,AHT77="Capesize",AIT77,AHT77="VLOC",AIM77)))))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I77" s="75" t="e">
        <f t="array" aca="1" ref="AMI77" ca="1">INDEX(Canals!$AG$24:$AG$29,MATCH(2,1/((Canals!$F$24:$F$29&lt;=$C77)*(Canals!$G$24:$G$29=_xlfn.IFS(AHT77="Handysize",Main!AKC77,AHT77="Supramax",AJV77,AHT77="Panamax",AJO77,AHT77="NeoPanamax",AJH77,AHT77="Suezmax",AJA77,AHT77="Capesize",AIT77,AHT77="VLOC",AIM77)))))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J77" s="75" t="e">
        <f t="array" aca="1" ref="AMJ77" ca="1">INDEX(Canals!$AH$24:$AH$29,MATCH(2,1/((Canals!$F$24:$F$29&lt;=$C77)*(Canals!$G$24:$G$29=_xlfn.IFS(AHT77="Handysize",Main!AKC77,AHT77="Supramax",AJV77,AHT77="Panamax",AJO77,AHT77="NeoPanamax",AJH77,AHT77="Suezmax",AJA77,AHT77="Capesize",AIT77,AHT77="VLOC",AIM77)))))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K77" s="75" t="e">
        <f t="array" aca="1" ref="AMK77" ca="1">INDEX(Canals!$AI$24:$AI$29,MATCH(2,1/((Canals!$F$24:$F$29&lt;=$C77)*(Canals!$G$24:$G$29=_xlfn.IFS(AHT77="Handysize",Main!AKC77,AHT77="Supramax",AJV77,AHT77="Panamax",AJO77,AHT77="NeoPanamax",AJH77,AHT77="Suezmax",AJA77,AHT77="Capesize",AIT77,AHT77="VLOC",AIM77)))))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L77" s="75" t="e">
        <f t="array" aca="1" ref="AML77" ca="1">INDEX(Canals!$AJ$24:$AJ$29,MATCH(2,1/((Canals!$F$24:$F$29&lt;=$C77)*(Canals!$G$24:$G$29=_xlfn.IFS(AHT77="Handysize",Main!AKC77,AHT77="Supramax",AJV77,AHT77="Panamax",AJO77,AHT77="NeoPanamax",AJH77,AHT77="Suezmax",AJA77,AHT77="Capesize",AIT77,AHT77="VLOC",AIM77)))))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M77" s="75" t="e">
        <f t="array" aca="1" ref="AMM77" ca="1">INDEX(Canals!$AK$24:$AK$29,MATCH(2,1/((Canals!$F$24:$F$29&lt;=$C77)*(Canals!$G$24:$G$29=_xlfn.IFS(AHT77="Handysize",Main!AKC77,AHT77="Supramax",AJV77,AHT77="Panamax",AJO77,AHT77="NeoPanamax",AJH77,AHT77="Suezmax",AJA77,AHT77="Capesize",AIT77,AHT77="VLOC",AIM77)))))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N77" s="136" t="e">
        <f t="array" aca="1" ref="AMN77" ca="1">INDEX(Canals!$AL$24:$AL$29,MATCH(2,1/((Canals!$F$24:$F$29&lt;=$C77)*(Canals!$G$24:$G$29=_xlfn.IFS(AHT77="Handysize",Main!AKC77,AHT77="Supramax",AJV77,AHT77="Panamax",AJO77,AHT77="NeoPanamax",AJH77,AHT77="Suezmax",AJA77,AHT77="Capesize",AIT77,AHT77="VLOC",AIM77)))))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O77" s="136" t="e">
        <f t="array" aca="1" ref="AMO77" ca="1">INDEX(Canals!$AM$24:$AM$29,MATCH(2,1/((Canals!$F$24:$F$29&lt;=$C77)*(Canals!$G$24:$G$29=_xlfn.IFS(AHT77="Handysize",Main!AKC77,AHT77="Supramax",AJV77,AHT77="Panamax",AJO77,AHT77="NeoPanamax",AJH77,AHT77="Suezmax",AJA77,AHT77="Capesize",AIT77,AHT77="VLOC",AIM77)))))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P77" s="136" t="e">
        <f t="array" aca="1" ref="AMP77" ca="1">INDEX(Canals!$AN$24:$AN$29,MATCH(2,1/((Canals!$F$24:$F$29&lt;=$C77)*(Canals!$G$24:$G$29=_xlfn.IFS(AHT77="Handysize",Main!AKC77,AHT77="Supramax",AJV77,AHT77="Panamax",AJO77,AHT77="NeoPanamax",AJH77,AHT77="Suezmax",AJA77,AHT77="Capesize",AIT77,AHT77="VLOC",AIM77)))))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Q77" s="136" t="e">
        <f t="array" aca="1" ref="AMQ77" ca="1">INDEX(Canals!$AO$24:$AO$29,MATCH(2,1/((Canals!$F$24:$F$29&lt;=$C77)*(Canals!$G$24:$G$29=_xlfn.IFS(AHT77="Handysize",Main!AKC77,AHT77="Supramax",AJV77,AHT77="Panamax",AJO77,AHT77="NeoPanamax",AJH77,AHT77="Suezmax",AJA77,AHT77="Capesize",AIT77,AHT77="VLOC",AIM77)))))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R77" s="136" t="e">
        <f t="array" aca="1" ref="AMR77" ca="1">INDEX(Canals!$AP$24:$AP$29,MATCH(2,1/((Canals!$F$24:$F$29&lt;=$C77)*(Canals!$G$24:$G$29=_xlfn.IFS(AHT77="Handysize",Main!AKC77,AHT77="Supramax",AJV77,AHT77="Panamax",AJO77,AHT77="NeoPanamax",AJH77,AHT77="Suezmax",AJA77,AHT77="Capesize",AIT77,AHT77="VLOC",AIM77)))))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S77" s="136" t="e">
        <f t="array" aca="1" ref="AMS77" ca="1">INDEX(Canals!$AQ$24:$AQ$29,MATCH(2,1/((Canals!$F$24:$F$29&lt;=$C77)*(Canals!$G$24:$G$29=_xlfn.IFS(AHT77="Handysize",Main!AKC77,AHT77="Supramax",AJV77,AHT77="Panamax",AJO77,AHT77="NeoPanamax",AJH77,AHT77="Suezmax",AJA77,AHT77="Capesize",AIT77,AHT77="VLOC",AIM77)))))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T77" s="136" t="e">
        <f t="array" aca="1" ref="AMT77" ca="1">INDEX(Canals!$AR$24:$AR$29,MATCH(2,1/((Canals!$F$24:$F$29&lt;=$C77)*(Canals!$G$24:$G$29=_xlfn.IFS(AHT77="Handysize",Main!AKC77,AHT77="Supramax",AJV77,AHT77="Panamax",AJO77,AHT77="NeoPanamax",AJH77,AHT77="Suezmax",AJA77,AHT77="Capesize",AIT77,AHT77="VLOC",AIM77)))))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U77" s="136" t="e">
        <f t="array" aca="1" ref="AMU77" ca="1">INDEX(Canals!$AS$24:$AS$29,MATCH(2,1/((Canals!$F$24:$F$29&lt;=$C77)*(Canals!$G$24:$G$29=_xlfn.IFS(AHT77="Handysize",Main!AKC77,AHT77="Supramax",AJV77,AHT77="Panamax",AJO77,AHT77="NeoPanamax",AJH77,AHT77="Suezmax",AJA77,AHT77="Capesize",AIT77,AHT77="VLOC",AIM77)))))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V77" s="136" t="e">
        <f t="array" aca="1" ref="AMV77" ca="1">INDEX(Canals!$AT$24:$AT$29,MATCH(2,1/((Canals!$F$24:$F$29&lt;=$C77)*(Canals!$G$24:$G$29=_xlfn.IFS(AHT77="Handysize",Main!AKC77,AHT77="Supramax",AJV77,AHT77="Panamax",AJO77,AHT77="NeoPanamax",AJH77,AHT77="Suezmax",AJA77,AHT77="Capesize",AIT77,AHT77="VLOC",AIM77)))))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W77" s="136" t="e">
        <f t="array" aca="1" ref="AMW77" ca="1">INDEX(Canals!$AU$24:$AU$29,MATCH(2,1/((Canals!$F$24:$F$29&lt;=$C77)*(Canals!$G$24:$G$29=_xlfn.IFS(AHT77="Handysize",Main!AKC77,AHT77="Supramax",AJV77,AHT77="Panamax",AJO77,AHT77="NeoPanamax",AJH77,AHT77="Suezmax",AJA77,AHT77="Capesize",AIT77,AHT77="VLOC",AIM77)))))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X77" s="136" t="e">
        <f t="array" aca="1" ref="AMX77" ca="1">INDEX(Canals!$AV$24:$AV$29,MATCH(2,1/((Canals!$F$24:$F$29&lt;=$C77)*(Canals!$G$24:$G$29=_xlfn.IFS(AHT77="Handysize",Main!AKC77,AHT77="Supramax",AJV77,AHT77="Panamax",AJO77,AHT77="NeoPanamax",AJH77,AHT77="Suezmax",AJA77,AHT77="Capesize",AIT77,AHT77="VLOC",AIM77)))))</f>
        <v>#N/A</v>
      </c>
      <c r="AMZ77" s="75" t="e">
        <f t="array" aca="1" ref="AMZ77" ca="1">_xlfn.IFS(ALK77="DWT",AHR77,ALK77="NRT",AHV77,ALK77="GRT",AHW77,ALK77=0,0)</f>
        <v>#NAME?</v>
      </c>
      <c r="ANA77" s="279" t="e">
        <f t="shared" ca="1" si="944"/>
        <v>#NAME?</v>
      </c>
      <c r="ANB77" s="280" t="e">
        <f t="shared" ca="1" si="945"/>
        <v>#NAME?</v>
      </c>
      <c r="ANC77" s="280" t="e">
        <f t="shared" ca="1" si="946"/>
        <v>#NAME?</v>
      </c>
      <c r="AND77" s="280" t="e">
        <f t="shared" ca="1" si="947"/>
        <v>#NAME?</v>
      </c>
      <c r="ANE77" s="280" t="e">
        <f t="shared" ca="1" si="948"/>
        <v>#NAME?</v>
      </c>
      <c r="ANF77" s="280" t="e">
        <f t="shared" ca="1" si="949"/>
        <v>#NAME?</v>
      </c>
      <c r="ANG77" s="280" t="e">
        <f t="shared" ca="1" si="950"/>
        <v>#NAME?</v>
      </c>
      <c r="ANH77" s="280" t="e">
        <f t="shared" ca="1" si="951"/>
        <v>#NAME?</v>
      </c>
      <c r="ANI77" s="280" t="e">
        <f t="shared" ca="1" si="952"/>
        <v>#NAME?</v>
      </c>
      <c r="ANJ77" s="75">
        <f t="shared" si="953"/>
        <v>0</v>
      </c>
      <c r="ANK77" s="279" t="e">
        <f t="shared" ca="1" si="954"/>
        <v>#N/A</v>
      </c>
      <c r="ANL77" s="280" t="e">
        <f t="shared" ca="1" si="955"/>
        <v>#N/A</v>
      </c>
      <c r="ANM77" s="280" t="e">
        <f t="shared" ca="1" si="956"/>
        <v>#N/A</v>
      </c>
      <c r="ANN77" s="280" t="e">
        <f t="shared" ca="1" si="957"/>
        <v>#N/A</v>
      </c>
      <c r="ANO77" s="280" t="e">
        <f t="shared" ca="1" si="958"/>
        <v>#N/A</v>
      </c>
      <c r="ANP77" s="280" t="e">
        <f t="shared" ca="1" si="959"/>
        <v>#N/A</v>
      </c>
      <c r="ANQ77" s="280" t="e">
        <f t="shared" ca="1" si="960"/>
        <v>#N/A</v>
      </c>
      <c r="ANR77" s="280" t="e">
        <f t="shared" ca="1" si="961"/>
        <v>#N/A</v>
      </c>
      <c r="ANS77" s="280" t="e">
        <f t="shared" ca="1" si="962"/>
        <v>#N/A</v>
      </c>
      <c r="ANU77" s="75" t="e">
        <f t="array" aca="1" ref="ANU77" ca="1">_xlfn.IFS(AHT77="Handysize",Main!AJW77,AHT77="Supramax",AJP77,AHT77="Panamax",AJI77,AHT77="NeoPanamax",AJB77,AHT77="Suezmax",AIU77,AHT77="Capesize",AIN77,AHT77="VLOC",AIG77)*$JI77</f>
        <v>#NAME?</v>
      </c>
      <c r="ANV77" s="274" t="e">
        <f t="array" aca="1" ref="ANV77" ca="1">_xlfn.IFS(AHT77="Handysize",Main!AJX77,AHT77="Supramax",AJQ77,AHT77="Panamax",AJJ77,AHT77="NeoPanamax",AJC77,AHT77="Suezmax",AIV77,AHT77="Capesize",AIO77,AHT77="VLOC",AIH77)*$JI77</f>
        <v>#NAME?</v>
      </c>
      <c r="ANW77" s="71" t="e">
        <f t="array" aca="1" ref="ANW77" ca="1">_xlfn.IFS(AHT77="Handysize",Main!AHY77,AHT77="Supramax",AHZ77,AHT77="Panamax",AIA77,AHT77="NeoPanamax",AIB77,AHT77="Suezmax",AIC77,AHT77="Capesize",AID77,AHT77="VLOC",AIE77)</f>
        <v>#NAME?</v>
      </c>
      <c r="ANX77" s="71" t="e">
        <f t="array" aca="1" ref="ANX77" ca="1">_xlfn.IFS(AHT77="Handysize",Main!AKK77,AHT77="Supramax",AKL77,AHT77="Panamax",AKM77,AHT77="NeoPanamax",AKN77,AHT77="Suezmax",AKO77,AHT77="Capesize",AKP77,AHT77="VLOC",AKQ77)</f>
        <v>#NAME?</v>
      </c>
      <c r="ANY77" s="70">
        <f t="array" ref="ANY77">INDEX('Ship Speeds'!$G$11:$G$1011,MATCH(2,1/(('Ship Speeds'!$E$11:$E$1011&lt;=Main!$C77)*('Ship Speeds'!$F$11:$F$1011=Main!AHS77))))</f>
        <v>11</v>
      </c>
      <c r="ANZ77" s="403">
        <f t="shared" si="963"/>
        <v>0</v>
      </c>
      <c r="AOA77" s="401">
        <f t="shared" si="964"/>
        <v>1.2</v>
      </c>
      <c r="AOB77" s="70" t="e">
        <f t="shared" ca="1" si="965"/>
        <v>#NAME?</v>
      </c>
      <c r="AOC77" s="70" t="e">
        <f t="shared" ca="1" si="966"/>
        <v>#NAME?</v>
      </c>
      <c r="AOD77" s="70" t="e">
        <f t="shared" ca="1" si="967"/>
        <v>#NAME?</v>
      </c>
      <c r="AOE77" s="70" t="e">
        <f t="shared" ca="1" si="968"/>
        <v>#NAME?</v>
      </c>
      <c r="AOF77" s="72" t="e">
        <f t="shared" ca="1" si="969"/>
        <v>#N/A</v>
      </c>
      <c r="AOG77" s="70" t="e">
        <f t="shared" ca="1" si="970"/>
        <v>#NAME?</v>
      </c>
      <c r="AOH77" s="70" t="e">
        <f t="array" aca="1" ref="AOH77" ca="1">IF(ANU77=0,0,INDEX(AKE77:AKI77,MATCH(_xlfn.IFS(AHT77="Handysize",Main!AKA77,AHT77="Supramax",AJT77,AHT77="Panamax",AJM77,AHT77="NeoPanamax",AJF77,AHT77="Suezmax",AIY77,AHT77="Capesize",AIR77,AHT77="VLOC",AIK77),$AKE$7:$AKI$7,0)))</f>
        <v>#NAME?</v>
      </c>
      <c r="AOI77" s="70" t="e">
        <f t="array" aca="1" ref="AOI77" ca="1">IF(ANU77=0,0,INDEX(AKE77:AKI77,MATCH(_xlfn.IFS(AHT77="Handysize",Main!AKB77,AHT77="Supramax",AJU77,AHT77="Panamax",AJN77,AHT77="NeoPanamax",AJG77,AHT77="Suezmax",AIZ77,AHT77="Capesize",AIS77,AHT77="VLOC",AIL77),$AKE$7:$AKI$7,0)))</f>
        <v>#NAME?</v>
      </c>
      <c r="AOJ77" s="71" t="e">
        <f t="shared" ca="1" si="971"/>
        <v>#NAME?</v>
      </c>
      <c r="AOK77" s="71" t="e">
        <f t="shared" ca="1" si="972"/>
        <v>#NAME?</v>
      </c>
      <c r="AOL77" s="281" t="e">
        <f t="shared" ca="1" si="973"/>
        <v>#NAME?</v>
      </c>
      <c r="AOM77" s="71" t="e">
        <f t="shared" ca="1" si="974"/>
        <v>#NAME?</v>
      </c>
      <c r="AON77" s="71" t="e">
        <f t="shared" ca="1" si="975"/>
        <v>#NAME?</v>
      </c>
      <c r="AOO77" s="71" t="e">
        <f t="shared" ca="1" si="976"/>
        <v>#NAME?</v>
      </c>
      <c r="AOP77" s="71" t="e">
        <f t="shared" ca="1" si="977"/>
        <v>#NAME?</v>
      </c>
      <c r="AOQ77" s="71" t="e">
        <f t="shared" ca="1" si="978"/>
        <v>#NAME?</v>
      </c>
      <c r="AOR77" s="71" t="e">
        <f t="shared" ca="1" si="979"/>
        <v>#NAME?</v>
      </c>
      <c r="AOS77" s="71" t="e">
        <f t="shared" ca="1" si="980"/>
        <v>#NAME?</v>
      </c>
      <c r="AOT77" s="71" t="e">
        <f t="shared" ca="1" si="981"/>
        <v>#NAME?</v>
      </c>
      <c r="AOU77" s="71" t="e">
        <f t="shared" ca="1" si="982"/>
        <v>#NAME?</v>
      </c>
      <c r="AOV77" s="71" t="e">
        <f t="shared" ca="1" si="983"/>
        <v>#NAME?</v>
      </c>
      <c r="AOW77" s="71" t="e">
        <f t="shared" ca="1" si="984"/>
        <v>#NAME?</v>
      </c>
      <c r="AOX77" s="71" t="e">
        <f t="shared" ca="1" si="985"/>
        <v>#NAME?</v>
      </c>
      <c r="AOY77" s="72" t="e">
        <f t="shared" ca="1" si="986"/>
        <v>#NAME?</v>
      </c>
      <c r="AOZ77" s="72" t="e">
        <f t="shared" ca="1" si="987"/>
        <v>#NAME?</v>
      </c>
      <c r="APA77" s="71" t="e">
        <f t="shared" ca="1" si="988"/>
        <v>#NAME?</v>
      </c>
      <c r="APB77" s="71" t="e">
        <f t="array" aca="1" ref="APB77" ca="1">IF(ANU77=0,0,INDEX('Ship Time Charter Rates'!$H$22:$H$1021,MATCH(2,1/(('Ship Time Charter Rates'!$G$22:$G$1021=_xlfn.IFS(AHT77="Handysize",Main!AJY77,AHT77="Supramax",AJR77,AHT77="Panamax",AJK77,AHT77="NeoPanamax",AJD77,AHT77="Suezmax",AIW77,AHT77="Capesize",AIP77,AHT77="VLOC",AII77))*('Ship Time Charter Rates'!$E$22:$E$1021&lt;=Main!$C77)*(NOT(ISBLANK('Ship Time Charter Rates'!$H$22:$H$1021)))))))</f>
        <v>#NAME?</v>
      </c>
      <c r="APC77" s="71" t="e">
        <f t="shared" ca="1" si="989"/>
        <v>#NAME?</v>
      </c>
      <c r="APD77" s="70" t="e">
        <f t="shared" ca="1" si="990"/>
        <v>#NAME?</v>
      </c>
      <c r="APE77" s="71" t="e">
        <f t="shared" ca="1" si="991"/>
        <v>#NAME?</v>
      </c>
      <c r="APF77" s="71" t="e">
        <f t="shared" ca="1" si="992"/>
        <v>#NAME?</v>
      </c>
      <c r="APG77" s="72" t="e">
        <f t="shared" ca="1" si="993"/>
        <v>#NAME?</v>
      </c>
      <c r="API77" s="287" t="s">
        <v>39</v>
      </c>
      <c r="APK77" s="289" t="e">
        <f t="shared" ca="1" si="994"/>
        <v>#NAME?</v>
      </c>
      <c r="APL77" s="289" t="e">
        <f t="shared" ca="1" si="995"/>
        <v>#NAME?</v>
      </c>
      <c r="APM77" s="289" t="e">
        <f t="shared" ca="1" si="996"/>
        <v>#NAME?</v>
      </c>
      <c r="APO77" s="287" t="s">
        <v>39</v>
      </c>
    </row>
    <row r="78" spans="1:1107">
      <c r="B78" s="445" t="e">
        <f t="shared" ca="1" si="997"/>
        <v>#NAME?</v>
      </c>
      <c r="C78" s="18">
        <f t="shared" si="674"/>
        <v>43934</v>
      </c>
      <c r="D78" s="7" t="s">
        <v>20</v>
      </c>
      <c r="E78" s="86" t="s">
        <v>156</v>
      </c>
      <c r="F78" s="6">
        <v>42.470502205620079</v>
      </c>
      <c r="G78" s="1" t="s">
        <v>4</v>
      </c>
      <c r="H78" s="1" t="s">
        <v>5</v>
      </c>
      <c r="I78" s="15"/>
      <c r="J78" s="16">
        <f>J$80-J$81</f>
        <v>0.37</v>
      </c>
      <c r="K78" s="15"/>
      <c r="L78" s="16">
        <f>L$80-L$81</f>
        <v>0.03</v>
      </c>
      <c r="M78" s="15"/>
      <c r="N78" s="15"/>
      <c r="O78" s="16">
        <f>O$80-O$81</f>
        <v>0.05</v>
      </c>
      <c r="P78" s="433">
        <v>77000</v>
      </c>
      <c r="Q78" s="98"/>
      <c r="R78" s="7" t="s">
        <v>95</v>
      </c>
      <c r="T78" s="287" t="s">
        <v>39</v>
      </c>
      <c r="V78" s="4"/>
      <c r="W78" s="16" t="str">
        <f t="shared" si="675"/>
        <v>not used yet</v>
      </c>
      <c r="X78" s="16" t="str">
        <f t="shared" si="675"/>
        <v>not used yet</v>
      </c>
      <c r="Y78" s="16" t="str">
        <f t="shared" si="675"/>
        <v>not used yet</v>
      </c>
      <c r="Z78" s="16" t="str">
        <f t="shared" si="675"/>
        <v>not used yet</v>
      </c>
      <c r="AA78" s="16" t="str">
        <f t="shared" si="675"/>
        <v>not used yet</v>
      </c>
      <c r="AB78" s="16" t="str">
        <f t="shared" si="675"/>
        <v>not used yet</v>
      </c>
      <c r="AC78" s="16" t="str">
        <f t="shared" si="675"/>
        <v>not used yet</v>
      </c>
      <c r="AE78" s="88" t="str">
        <f t="shared" si="676"/>
        <v>West Kalimantan Generic</v>
      </c>
      <c r="AF78" s="16">
        <f t="shared" si="677"/>
        <v>0.48</v>
      </c>
      <c r="AG78" s="16">
        <f t="shared" si="678"/>
        <v>0.37</v>
      </c>
      <c r="AH78" s="61">
        <f t="shared" si="679"/>
        <v>0.08</v>
      </c>
      <c r="AI78" s="61">
        <f t="shared" si="680"/>
        <v>0.03</v>
      </c>
      <c r="AJ78" s="61">
        <f t="shared" si="681"/>
        <v>4.4999999999999998E-2</v>
      </c>
      <c r="AK78" s="16">
        <f t="shared" si="682"/>
        <v>5.0000000000000001E-3</v>
      </c>
      <c r="AL78" s="16">
        <f t="shared" si="683"/>
        <v>0.05</v>
      </c>
      <c r="AM78" s="24" t="str">
        <f t="shared" si="684"/>
        <v>LT</v>
      </c>
      <c r="AN78" s="427">
        <f t="shared" si="685"/>
        <v>77000</v>
      </c>
      <c r="AO78" s="127" t="str">
        <f t="array" ref="AO78">IFERROR(IF(AND(AN78&gt;'Indices Mines Exporting Ports'!$D$11,MATCH(2,1/(('Indices Mines Exporting Ports'!$B$3:$B$10&lt;=C78)*('Indices Mines Exporting Ports'!$C$3:$C$10=E78)))),"Yes","No"),"No")</f>
        <v>No</v>
      </c>
      <c r="AP78" s="126" t="str">
        <f t="array" ref="AP78">IF(AO78="Yes",INDEX('Indices Mines Exporting Ports'!$D$3:$D$10,MATCH(2,1/(('Indices Mines Exporting Ports'!$B$3:$B$10&lt;=Main!C78)*('Indices Mines Exporting Ports'!$C$3:$C$10=Main!AE78)))),IF(NOT(ISBLANK(Q78)),Q78,IP78))</f>
        <v>West_Kal_Generic_Offshore</v>
      </c>
      <c r="AQ78" s="262">
        <f t="array" ref="AQ78">IF(AO78="no",0,INDEX('Indices Mines Exporting Ports'!$E$3:$E$10,MATCH(2,1/(('Indices Mines Exporting Ports'!$B$3:$B$10&lt;=Main!$C78)*('Indices Mines Exporting Ports'!$D$3:$D$10=Main!$AP78)))))</f>
        <v>0</v>
      </c>
      <c r="AR78" s="267">
        <f t="array" ref="AR78">IF(AO78="No",0,AN78/ROUND(AN78/INDEX('Indices Mines Exporting Ports'!$F$3:$F$10,MATCH(2,1/(('Indices Mines Exporting Ports'!$B$3:$B$10&lt;=Main!C78)*('Indices Mines Exporting Ports'!$C$3:$C$10=Main!AE78)))),0))</f>
        <v>0</v>
      </c>
      <c r="AS78" s="127" t="str">
        <f t="shared" si="686"/>
        <v>Qingdao</v>
      </c>
      <c r="AT78" s="100" t="str">
        <f t="shared" si="687"/>
        <v>Indonesian LT</v>
      </c>
      <c r="AU78" s="100" t="str">
        <f t="shared" si="688"/>
        <v>CBIX LT</v>
      </c>
      <c r="AV78" s="242" t="s">
        <v>4</v>
      </c>
      <c r="AW78" s="242" t="s">
        <v>5</v>
      </c>
      <c r="AX78" s="292" t="e">
        <f t="shared" ca="1" si="689"/>
        <v>#NAME?</v>
      </c>
      <c r="AY78" s="291" t="e">
        <f t="shared" ca="1" si="690"/>
        <v>#NAME?</v>
      </c>
      <c r="AZ78" s="292" t="e">
        <f t="shared" ca="1" si="691"/>
        <v>#NAME?</v>
      </c>
      <c r="BA78" s="102">
        <f t="shared" si="692"/>
        <v>0.33</v>
      </c>
      <c r="BB78" s="12"/>
      <c r="BC78" s="306" t="s">
        <v>403</v>
      </c>
      <c r="BD78" s="407">
        <f t="shared" si="693"/>
        <v>0</v>
      </c>
      <c r="BE78" s="407" t="e">
        <f t="shared" ca="1" si="693"/>
        <v>#NAME?</v>
      </c>
      <c r="BF78" s="407">
        <f t="shared" si="693"/>
        <v>0</v>
      </c>
      <c r="BG78" s="407" t="e">
        <f t="shared" ca="1" si="694"/>
        <v>#NAME?</v>
      </c>
      <c r="BH78" s="407">
        <f t="shared" si="695"/>
        <v>0</v>
      </c>
      <c r="BI78" s="263" t="e">
        <f t="shared" ca="1" si="696"/>
        <v>#NAME?</v>
      </c>
      <c r="BK78" s="287" t="s">
        <v>39</v>
      </c>
      <c r="BM78" s="291" t="e">
        <f t="shared" ca="1" si="697"/>
        <v>#NAME?</v>
      </c>
      <c r="BN78" s="298">
        <f t="shared" si="698"/>
        <v>0.48</v>
      </c>
      <c r="BO78" s="298">
        <f t="shared" si="699"/>
        <v>0.37</v>
      </c>
      <c r="BP78" s="298">
        <f t="shared" si="700"/>
        <v>0.08</v>
      </c>
      <c r="BQ78" s="298">
        <f t="shared" si="701"/>
        <v>0.03</v>
      </c>
      <c r="BR78" s="298">
        <f t="shared" si="702"/>
        <v>4.4999999999999998E-2</v>
      </c>
      <c r="BS78" s="298">
        <f t="shared" si="703"/>
        <v>5.0000000000000001E-3</v>
      </c>
      <c r="BT78" s="298">
        <f t="shared" si="704"/>
        <v>0.05</v>
      </c>
      <c r="BU78" s="307" t="str">
        <f t="shared" si="705"/>
        <v>LT</v>
      </c>
      <c r="BV78" s="291">
        <f t="shared" si="706"/>
        <v>0.33</v>
      </c>
      <c r="BX78" s="300">
        <f t="array" ref="BX78">INDEX('Processing Factors'!$D$8:$D$29,MATCH(2,1/(('Processing Factors'!$B$8:$B$29&lt;=Main!$C78)*('Processing Factors'!$C$8:$C$29=Main!BU78))))</f>
        <v>0</v>
      </c>
      <c r="BY78" s="299">
        <f t="array" ref="BY78">INDEX('Processing Factors'!$E$8:$E$29,MATCH(2,1/(('Processing Factors'!$B$8:$B$29&lt;=Main!$C78)*('Processing Factors'!$C$8:$C$29=Main!BU78))))</f>
        <v>1</v>
      </c>
      <c r="BZ78" s="299">
        <f t="array" ref="BZ78">INDEX('Processing Factors'!$F$8:$F$29,MATCH(2,1/(('Processing Factors'!$B$8:$B$29&lt;=Main!$C78)*('Processing Factors'!$C$8:$C$29=Main!BU78))))</f>
        <v>0.9</v>
      </c>
      <c r="CA78" s="299">
        <f t="array" ref="CA78">INDEX('Processing Factors'!$G$8:$G$29,MATCH(2,1/(('Processing Factors'!$B$8:$B$29&lt;=Main!$C78)*('Processing Factors'!$C$8:$C$29=Main!BU78))))</f>
        <v>3.5999999999999997E-2</v>
      </c>
      <c r="CB78" s="299">
        <f t="array" ref="CB78">INDEX('Processing Factors'!$H$8:$H$29,MATCH(2,1/(('Processing Factors'!$B$8:$B$29&lt;=Main!$C78)*('Processing Factors'!$C$8:$C$29=Main!BU78))))</f>
        <v>12.15</v>
      </c>
      <c r="CC78" s="300">
        <f t="array" ref="CC78">INDEX('Processing Factors'!$I$8:$I$29,MATCH(2,1/(('Processing Factors'!$B$8:$B$29&lt;=Main!$C78)*('Processing Factors'!$C$8:$C$29=Main!BU78))))</f>
        <v>0</v>
      </c>
      <c r="CD78" s="300">
        <f t="array" ref="CD78">INDEX('Processing Factors'!$J$8:$J$29,MATCH(2,1/(('Processing Factors'!$B$8:$B$29&lt;=Main!$C78)*('Processing Factors'!$C$8:$C$29=Main!BU78))))</f>
        <v>0.9</v>
      </c>
      <c r="CE78" s="299">
        <f t="array" ref="CE78">INDEX('Processing Factors'!$K$8:$K$29,MATCH(2,1/(('Processing Factors'!$B$8:$B$29&lt;=Main!$C78)*('Processing Factors'!$C$8:$C$29=Main!BU78))))</f>
        <v>3.5000000000000003E-2</v>
      </c>
      <c r="CG78" s="302">
        <f t="shared" si="707"/>
        <v>0.4</v>
      </c>
      <c r="CH78" s="302">
        <f t="shared" si="708"/>
        <v>0.03</v>
      </c>
      <c r="CI78" s="302">
        <f t="shared" si="709"/>
        <v>0.37</v>
      </c>
      <c r="CJ78" s="299">
        <f t="shared" si="710"/>
        <v>3.0030030030030028</v>
      </c>
      <c r="CK78" s="281" t="e">
        <f t="shared" ca="1" si="711"/>
        <v>#NAME?</v>
      </c>
      <c r="CL78" s="299">
        <f t="shared" si="712"/>
        <v>0.11608108108108108</v>
      </c>
      <c r="CM78" s="281">
        <f t="shared" si="713"/>
        <v>27.859118594949592</v>
      </c>
      <c r="CN78" s="281">
        <f t="shared" si="714"/>
        <v>50.321396655852695</v>
      </c>
      <c r="CO78" s="281">
        <f t="shared" si="715"/>
        <v>1.2197497818850218</v>
      </c>
      <c r="CP78" s="299">
        <f t="shared" si="716"/>
        <v>2.1550840840840841</v>
      </c>
      <c r="CQ78" s="281">
        <f t="shared" si="717"/>
        <v>9.1273032691161244</v>
      </c>
      <c r="CR78" s="281" t="e">
        <f t="shared" ca="1" si="718"/>
        <v>#NAME?</v>
      </c>
      <c r="CT78" s="287" t="s">
        <v>39</v>
      </c>
      <c r="CV78" s="305" t="e">
        <f t="shared" ca="1" si="719"/>
        <v>#NAME?</v>
      </c>
      <c r="CW78" s="61">
        <f t="array" ref="CW78">INDEX('Indices Mines Exporting Ports'!E$20:E$51, MATCH(2,1/(('Indices Mines Exporting Ports'!$C$20:$C$51=$AT78)*('Indices Mines Exporting Ports'!$D$20:$D$51&lt;=$C78))))</f>
        <v>0.48</v>
      </c>
      <c r="CX78" s="61">
        <f t="array" ref="CX78">INDEX('Indices Mines Exporting Ports'!F$20:F$51, MATCH(2,1/(('Indices Mines Exporting Ports'!$C$20:$C$51=$AT78)*('Indices Mines Exporting Ports'!$D$20:$D$51&lt;=$C78))))</f>
        <v>0.44</v>
      </c>
      <c r="CY78" s="61">
        <f t="array" ref="CY78">INDEX('Indices Mines Exporting Ports'!G$20:G$51, MATCH(2,1/(('Indices Mines Exporting Ports'!$C$20:$C$51=$AT78)*('Indices Mines Exporting Ports'!$D$20:$D$51&lt;=$C78))))</f>
        <v>0.08</v>
      </c>
      <c r="CZ78" s="61">
        <f t="array" ref="CZ78">INDEX('Indices Mines Exporting Ports'!H$20:H$51, MATCH(2,1/(('Indices Mines Exporting Ports'!$C$20:$C$51=$AT78)*('Indices Mines Exporting Ports'!$D$20:$D$51&lt;=$C78))))</f>
        <v>3.5000000000000003E-2</v>
      </c>
      <c r="DA78" s="61">
        <f t="array" ref="DA78">INDEX('Indices Mines Exporting Ports'!I$20:I$51, MATCH(2,1/(('Indices Mines Exporting Ports'!$C$20:$C$51=$AT78)*('Indices Mines Exporting Ports'!$D$20:$D$51&lt;=$C78))))</f>
        <v>4.4999999999999998E-2</v>
      </c>
      <c r="DB78" s="61">
        <f t="array" ref="DB78">INDEX('Indices Mines Exporting Ports'!J$20:J$51, MATCH(2,1/(('Indices Mines Exporting Ports'!$C$20:$C$51=$AT78)*('Indices Mines Exporting Ports'!$D$20:$D$51&lt;=$C78))))</f>
        <v>5.0000000000000001E-3</v>
      </c>
      <c r="DC78" s="61">
        <f t="array" ref="DC78">INDEX('Indices Mines Exporting Ports'!K$20:K$51, MATCH(2,1/(('Indices Mines Exporting Ports'!$C$20:$C$51=$AT78)*('Indices Mines Exporting Ports'!$D$20:$D$51&lt;=$C78))))</f>
        <v>0.15</v>
      </c>
      <c r="DD78" s="103" t="str">
        <f t="array" ref="DD78">INDEX('Indices Mines Exporting Ports'!L$20:L$51, MATCH(2,1/(('Indices Mines Exporting Ports'!$C$20:$C$51=$AT78)*('Indices Mines Exporting Ports'!$D$20:$D$51&lt;=$C78))))</f>
        <v>LT</v>
      </c>
      <c r="DE78" s="243">
        <f t="array" ref="DE78">INDEX('Indices Mines Exporting Ports'!M$20:M$51, MATCH(2,1/(('Indices Mines Exporting Ports'!$C$20:$C$51=$AT78)*('Indices Mines Exporting Ports'!$D$20:$D$51&lt;=$C78))))</f>
        <v>0.33</v>
      </c>
      <c r="DG78" s="300">
        <f t="array" ref="DG78">INDEX('Processing Factors'!$D$8:$D$29,MATCH(2,1/(('Processing Factors'!$B$8:$B$29&lt;=Main!$C78)*('Processing Factors'!$C$8:$C$29=Main!DD78))))</f>
        <v>0</v>
      </c>
      <c r="DH78" s="299">
        <f t="array" ref="DH78">INDEX('Processing Factors'!$E$8:$E$29,MATCH(2,1/(('Processing Factors'!$B$8:$B$29&lt;=Main!$C78)*('Processing Factors'!$C$8:$C$29=Main!DD78))))</f>
        <v>1</v>
      </c>
      <c r="DI78" s="299">
        <f t="array" ref="DI78">INDEX('Processing Factors'!$F$8:$F$29,MATCH(2,1/(('Processing Factors'!$B$8:$B$29&lt;=Main!$C78)*('Processing Factors'!$C$8:$C$29=Main!DD78))))</f>
        <v>0.9</v>
      </c>
      <c r="DJ78" s="299">
        <f t="array" ref="DJ78">INDEX('Processing Factors'!$G$8:$G$29,MATCH(2,1/(('Processing Factors'!$B$8:$B$29&lt;=Main!$C78)*('Processing Factors'!$C$8:$C$29=Main!DD78))))</f>
        <v>3.5999999999999997E-2</v>
      </c>
      <c r="DK78" s="299">
        <f t="array" ref="DK78">INDEX('Processing Factors'!$H$8:$H$29,MATCH(2,1/(('Processing Factors'!$B$8:$B$29&lt;=Main!$C78)*('Processing Factors'!$C$8:$C$29=Main!DD78))))</f>
        <v>12.15</v>
      </c>
      <c r="DL78" s="300">
        <f t="array" ref="DL78">INDEX('Processing Factors'!$I$8:$I$29,MATCH(2,1/(('Processing Factors'!$B$8:$B$29&lt;=Main!$C78)*('Processing Factors'!$C$8:$C$29=Main!DD78))))</f>
        <v>0</v>
      </c>
      <c r="DM78" s="300">
        <f t="array" ref="DM78">INDEX('Processing Factors'!$J$8:$J$29,MATCH(2,1/(('Processing Factors'!$B$8:$B$29&lt;=Main!$C78)*('Processing Factors'!$C$8:$C$29=Main!DD78))))</f>
        <v>0.9</v>
      </c>
      <c r="DN78" s="299">
        <f t="array" ref="DN78">INDEX('Processing Factors'!$K$8:$K$29,MATCH(2,1/(('Processing Factors'!$B$8:$B$29&lt;=Main!$C78)*('Processing Factors'!$C$8:$C$29=Main!DD78))))</f>
        <v>3.5000000000000003E-2</v>
      </c>
      <c r="DP78" s="302">
        <f t="shared" si="720"/>
        <v>0.47499999999999998</v>
      </c>
      <c r="DQ78" s="302">
        <f t="shared" si="721"/>
        <v>3.5000000000000003E-2</v>
      </c>
      <c r="DR78" s="302">
        <f t="shared" si="722"/>
        <v>0.43999999999999995</v>
      </c>
      <c r="DS78" s="299">
        <f t="shared" si="723"/>
        <v>2.5252525252525255</v>
      </c>
      <c r="DT78" s="304">
        <v>0</v>
      </c>
      <c r="DU78" s="299">
        <f t="shared" si="724"/>
        <v>0.11454545454545458</v>
      </c>
      <c r="DV78" s="281">
        <f t="shared" si="725"/>
        <v>27.490572735666216</v>
      </c>
      <c r="DW78" s="281">
        <f t="shared" si="726"/>
        <v>50.321396655852695</v>
      </c>
      <c r="DX78" s="281">
        <f t="shared" si="727"/>
        <v>1.2197497818850218</v>
      </c>
      <c r="DY78" s="299">
        <f t="shared" si="728"/>
        <v>1.6757979797979801</v>
      </c>
      <c r="DZ78" s="281">
        <f t="shared" si="729"/>
        <v>7.0974104872984247</v>
      </c>
      <c r="EA78" s="281">
        <f t="shared" si="730"/>
        <v>86.129129660702361</v>
      </c>
      <c r="EC78" s="287" t="s">
        <v>39</v>
      </c>
      <c r="EE78" s="305" t="e">
        <f t="shared" ca="1" si="731"/>
        <v>#NAME?</v>
      </c>
      <c r="EF78" s="16">
        <f t="array" ref="EF78">INDEX('Indices Mines Exporting Ports'!E$20:E$51, MATCH(2,1/(('Indices Mines Exporting Ports'!$C$20:$C$51=$AU78)*('Indices Mines Exporting Ports'!$D$20:$D$51&lt;=$C78))))</f>
        <v>0.5</v>
      </c>
      <c r="EG78" s="16">
        <f t="array" ref="EG78">INDEX('Indices Mines Exporting Ports'!F$20:F$51, MATCH(2,1/(('Indices Mines Exporting Ports'!$C$20:$C$51=$AU78)*('Indices Mines Exporting Ports'!$D$20:$D$51&lt;=$C78))))</f>
        <v>0.45</v>
      </c>
      <c r="EH78" s="16">
        <f t="array" ref="EH78">INDEX('Indices Mines Exporting Ports'!G$20:G$51, MATCH(2,1/(('Indices Mines Exporting Ports'!$C$20:$C$51=$AU78)*('Indices Mines Exporting Ports'!$D$20:$D$51&lt;=$C78))))</f>
        <v>0.05</v>
      </c>
      <c r="EI78" s="16">
        <f t="array" ref="EI78">INDEX('Indices Mines Exporting Ports'!H$20:H$51, MATCH(2,1/(('Indices Mines Exporting Ports'!$C$20:$C$51=$AU78)*('Indices Mines Exporting Ports'!$D$20:$D$51&lt;=$C78))))</f>
        <v>0.05</v>
      </c>
      <c r="EJ78" s="16">
        <f t="array" ref="EJ78">INDEX('Indices Mines Exporting Ports'!I$20:I$51, MATCH(2,1/(('Indices Mines Exporting Ports'!$C$20:$C$51=$AU78)*('Indices Mines Exporting Ports'!$D$20:$D$51&lt;=$C78))))</f>
        <v>0</v>
      </c>
      <c r="EK78" s="16">
        <f t="array" ref="EK78">INDEX('Indices Mines Exporting Ports'!J$20:J$51, MATCH(2,1/(('Indices Mines Exporting Ports'!$C$20:$C$51=$AU78)*('Indices Mines Exporting Ports'!$D$20:$D$51&lt;=$C78))))</f>
        <v>0</v>
      </c>
      <c r="EL78" s="16">
        <f t="array" ref="EL78">INDEX('Indices Mines Exporting Ports'!K$20:K$51, MATCH(2,1/(('Indices Mines Exporting Ports'!$C$20:$C$51=$AU78)*('Indices Mines Exporting Ports'!$D$20:$D$51&lt;=$C78))))</f>
        <v>0.1</v>
      </c>
      <c r="EM78" s="103" t="str">
        <f t="array" ref="EM78">INDEX('Indices Mines Exporting Ports'!L$20:L$51, MATCH(2,1/(('Indices Mines Exporting Ports'!$C$20:$C$51=$AU78)*('Indices Mines Exporting Ports'!$D$20:$D$51&lt;=$C78))))</f>
        <v>LT</v>
      </c>
      <c r="EN78" s="243">
        <f t="array" ref="EN78">INDEX('Indices Mines Exporting Ports'!M$20:M$51, MATCH(2,1/(('Indices Mines Exporting Ports'!$C$20:$C$51=$AU78)*('Indices Mines Exporting Ports'!$D$20:$D$51&lt;=$C78))))</f>
        <v>0</v>
      </c>
      <c r="EP78" s="300">
        <f t="array" ref="EP78">INDEX('Processing Factors'!$D$8:$D$29,MATCH(2,1/(('Processing Factors'!$B$8:$B$29&lt;=Main!$C78)*('Processing Factors'!$C$8:$C$29=Main!EM78))))</f>
        <v>0</v>
      </c>
      <c r="EQ78" s="299">
        <f t="array" ref="EQ78">INDEX('Processing Factors'!$E$8:$E$29,MATCH(2,1/(('Processing Factors'!$B$8:$B$29&lt;=Main!$C78)*('Processing Factors'!$C$8:$C$29=Main!EM78))))</f>
        <v>1</v>
      </c>
      <c r="ER78" s="299">
        <f t="array" ref="ER78">INDEX('Processing Factors'!$F$8:$F$29,MATCH(2,1/(('Processing Factors'!$B$8:$B$29&lt;=Main!$C78)*('Processing Factors'!$C$8:$C$29=Main!EM78))))</f>
        <v>0.9</v>
      </c>
      <c r="ES78" s="299">
        <f t="array" ref="ES78">INDEX('Processing Factors'!$G$8:$G$29,MATCH(2,1/(('Processing Factors'!$B$8:$B$29&lt;=Main!$C78)*('Processing Factors'!$C$8:$C$29=Main!EM78))))</f>
        <v>3.5999999999999997E-2</v>
      </c>
      <c r="ET78" s="299">
        <f t="array" ref="ET78">INDEX('Processing Factors'!$H$8:$H$29,MATCH(2,1/(('Processing Factors'!$B$8:$B$29&lt;=Main!$C78)*('Processing Factors'!$C$8:$C$29=Main!EM78))))</f>
        <v>12.15</v>
      </c>
      <c r="EU78" s="300">
        <f t="array" ref="EU78">INDEX('Processing Factors'!$I$8:$I$29,MATCH(2,1/(('Processing Factors'!$B$8:$B$29&lt;=Main!$C78)*('Processing Factors'!$C$8:$C$29=Main!EM78))))</f>
        <v>0</v>
      </c>
      <c r="EV78" s="300">
        <f t="array" ref="EV78">INDEX('Processing Factors'!$J$8:$J$29,MATCH(2,1/(('Processing Factors'!$B$8:$B$29&lt;=Main!$C78)*('Processing Factors'!$C$8:$C$29=Main!EM78))))</f>
        <v>0.9</v>
      </c>
      <c r="EW78" s="299">
        <f t="array" ref="EW78">INDEX('Processing Factors'!$K$8:$K$29,MATCH(2,1/(('Processing Factors'!$B$8:$B$29&lt;=Main!$C78)*('Processing Factors'!$C$8:$C$29=Main!EM78))))</f>
        <v>3.5000000000000003E-2</v>
      </c>
      <c r="EY78" s="302">
        <f t="shared" si="732"/>
        <v>0.5</v>
      </c>
      <c r="EZ78" s="302">
        <f t="shared" si="733"/>
        <v>0.05</v>
      </c>
      <c r="FA78" s="302">
        <f t="shared" si="734"/>
        <v>0.45</v>
      </c>
      <c r="FB78" s="299">
        <f t="shared" si="735"/>
        <v>2.4691358024691357</v>
      </c>
      <c r="FC78" s="304">
        <v>0</v>
      </c>
      <c r="FD78" s="299">
        <f t="shared" si="736"/>
        <v>0.14611111111111114</v>
      </c>
      <c r="FE78" s="281">
        <f t="shared" si="737"/>
        <v>35.06623762093578</v>
      </c>
      <c r="FF78" s="281">
        <f t="shared" si="738"/>
        <v>50.321396655852695</v>
      </c>
      <c r="FG78" s="281">
        <f t="shared" si="739"/>
        <v>1.2197497818850218</v>
      </c>
      <c r="FH78" s="299">
        <f t="shared" si="740"/>
        <v>1.6512469135802468</v>
      </c>
      <c r="FI78" s="281">
        <f t="shared" si="741"/>
        <v>6.9934307731868799</v>
      </c>
      <c r="FJ78" s="281">
        <f t="shared" si="742"/>
        <v>93.60081483186039</v>
      </c>
      <c r="FL78" s="287" t="s">
        <v>39</v>
      </c>
      <c r="FN78" s="315" t="e">
        <f t="shared" ca="1" si="743"/>
        <v>#NAME?</v>
      </c>
      <c r="FO78" s="316">
        <f t="shared" si="744"/>
        <v>0.48</v>
      </c>
      <c r="FP78" s="316">
        <f t="shared" si="745"/>
        <v>0.37</v>
      </c>
      <c r="FQ78" s="316">
        <f t="shared" si="746"/>
        <v>0.08</v>
      </c>
      <c r="FR78" s="316">
        <f t="shared" si="747"/>
        <v>0.03</v>
      </c>
      <c r="FS78" s="316">
        <f t="shared" si="748"/>
        <v>4.4999999999999998E-2</v>
      </c>
      <c r="FT78" s="316">
        <f t="shared" si="749"/>
        <v>5.0000000000000001E-3</v>
      </c>
      <c r="FU78" s="316">
        <f t="shared" si="750"/>
        <v>0.05</v>
      </c>
      <c r="FV78" s="317" t="str">
        <f t="shared" si="751"/>
        <v>LT</v>
      </c>
      <c r="FW78" s="318">
        <v>0</v>
      </c>
      <c r="FX78" s="237"/>
      <c r="FY78" s="319">
        <f t="array" ref="FY78">INDEX('Processing Factors'!$D$8:$D$29,MATCH(2,1/(('Processing Factors'!$B$8:$B$29&lt;=Main!$C78)*('Processing Factors'!$C$8:$C$29=Main!FV78))))</f>
        <v>0</v>
      </c>
      <c r="FZ78" s="320">
        <f t="array" ref="FZ78">INDEX('Processing Factors'!$E$8:$E$29,MATCH(2,1/(('Processing Factors'!$B$8:$B$29&lt;=Main!$C78)*('Processing Factors'!$C$8:$C$29=Main!FV78))))</f>
        <v>1</v>
      </c>
      <c r="GA78" s="320">
        <f t="array" ref="GA78">INDEX('Processing Factors'!$F$8:$F$29,MATCH(2,1/(('Processing Factors'!$B$8:$B$29&lt;=Main!$C78)*('Processing Factors'!$C$8:$C$29=Main!FV78))))</f>
        <v>0.9</v>
      </c>
      <c r="GB78" s="320">
        <f t="array" ref="GB78">INDEX('Processing Factors'!$G$8:$G$29,MATCH(2,1/(('Processing Factors'!$B$8:$B$29&lt;=Main!$C78)*('Processing Factors'!$C$8:$C$29=Main!FV78))))</f>
        <v>3.5999999999999997E-2</v>
      </c>
      <c r="GC78" s="320">
        <f t="array" ref="GC78">INDEX('Processing Factors'!$H$8:$H$29,MATCH(2,1/(('Processing Factors'!$B$8:$B$29&lt;=Main!$C78)*('Processing Factors'!$C$8:$C$29=Main!FV78))))</f>
        <v>12.15</v>
      </c>
      <c r="GD78" s="319">
        <f t="array" ref="GD78">INDEX('Processing Factors'!$I$8:$I$29,MATCH(2,1/(('Processing Factors'!$B$8:$B$29&lt;=Main!$C78)*('Processing Factors'!$C$8:$C$29=Main!FV78))))</f>
        <v>0</v>
      </c>
      <c r="GE78" s="321">
        <v>0.92</v>
      </c>
      <c r="GF78" s="320">
        <f t="array" ref="GF78">INDEX('Processing Factors'!$K$8:$K$29,MATCH(2,1/(('Processing Factors'!$B$8:$B$29&lt;=Main!$C78)*('Processing Factors'!$C$8:$C$29=Main!FV78))))</f>
        <v>3.5000000000000003E-2</v>
      </c>
      <c r="GG78" s="237"/>
      <c r="GH78" s="322">
        <f t="shared" si="752"/>
        <v>0.4</v>
      </c>
      <c r="GI78" s="322">
        <f t="shared" si="753"/>
        <v>0.03</v>
      </c>
      <c r="GJ78" s="322">
        <f t="shared" si="754"/>
        <v>0.37</v>
      </c>
      <c r="GK78" s="320">
        <f t="shared" si="755"/>
        <v>2.9377203290246765</v>
      </c>
      <c r="GL78" s="323" t="e">
        <f t="shared" ca="1" si="756"/>
        <v>#NAME?</v>
      </c>
      <c r="GM78" s="320">
        <f t="shared" si="757"/>
        <v>0.11431844888366627</v>
      </c>
      <c r="GN78" s="323">
        <f t="shared" si="758"/>
        <v>27.436092043424313</v>
      </c>
      <c r="GO78" s="323">
        <f t="shared" si="759"/>
        <v>50.321396655852695</v>
      </c>
      <c r="GP78" s="323">
        <f t="shared" si="760"/>
        <v>1.2197497818850218</v>
      </c>
      <c r="GQ78" s="320">
        <f t="shared" si="761"/>
        <v>2.0880387779083427</v>
      </c>
      <c r="GR78" s="323">
        <f t="shared" si="762"/>
        <v>8.8433501525040583</v>
      </c>
      <c r="GS78" s="323" t="e">
        <f t="shared" ca="1" si="763"/>
        <v>#NAME?</v>
      </c>
      <c r="GT78" s="237"/>
      <c r="GU78" s="324" t="e">
        <f t="shared" ca="1" si="764"/>
        <v>#NAME?</v>
      </c>
      <c r="GV78" s="325">
        <f t="array" ref="GV78">INDEX('Indices Mines Exporting Ports'!E$20:E$51, MATCH(2,1/(('Indices Mines Exporting Ports'!$C$20:$C$51=$BC78)*('Indices Mines Exporting Ports'!$D$20:$D$51&lt;=$C78))))</f>
        <v>0.5</v>
      </c>
      <c r="GW78" s="325">
        <f t="array" ref="GW78">INDEX('Indices Mines Exporting Ports'!F$20:F$51, MATCH(2,1/(('Indices Mines Exporting Ports'!$C$20:$C$51=$BC78)*('Indices Mines Exporting Ports'!$D$20:$D$51&lt;=$C78))))</f>
        <v>0.45</v>
      </c>
      <c r="GX78" s="325">
        <f t="array" ref="GX78">INDEX('Indices Mines Exporting Ports'!G$20:G$51, MATCH(2,1/(('Indices Mines Exporting Ports'!$C$20:$C$51=$BC78)*('Indices Mines Exporting Ports'!$D$20:$D$51&lt;=$C78))))</f>
        <v>0.05</v>
      </c>
      <c r="GY78" s="325">
        <f t="array" ref="GY78">INDEX('Indices Mines Exporting Ports'!H$20:H$51, MATCH(2,1/(('Indices Mines Exporting Ports'!$C$20:$C$51=$BC78)*('Indices Mines Exporting Ports'!$D$20:$D$51&lt;=$C78))))</f>
        <v>0.05</v>
      </c>
      <c r="GZ78" s="325">
        <f t="array" ref="GZ78">INDEX('Indices Mines Exporting Ports'!I$20:I$51, MATCH(2,1/(('Indices Mines Exporting Ports'!$C$20:$C$51=$BC78)*('Indices Mines Exporting Ports'!$D$20:$D$51&lt;=$C78))))</f>
        <v>0</v>
      </c>
      <c r="HA78" s="325">
        <f t="array" ref="HA78">INDEX('Indices Mines Exporting Ports'!J$20:J$51, MATCH(2,1/(('Indices Mines Exporting Ports'!$C$20:$C$51=$BC78)*('Indices Mines Exporting Ports'!$D$20:$D$51&lt;=$C78))))</f>
        <v>0</v>
      </c>
      <c r="HB78" s="325">
        <f t="array" ref="HB78">INDEX('Indices Mines Exporting Ports'!K$20:K$51, MATCH(2,1/(('Indices Mines Exporting Ports'!$C$20:$C$51=$BC78)*('Indices Mines Exporting Ports'!$D$20:$D$51&lt;=$C78))))</f>
        <v>0.1</v>
      </c>
      <c r="HC78" s="326" t="str">
        <f t="array" ref="HC78">INDEX('Indices Mines Exporting Ports'!L$20:L$51, MATCH(2,1/(('Indices Mines Exporting Ports'!$C$20:$C$51=$BC78)*('Indices Mines Exporting Ports'!$D$20:$D$51&lt;=$C78))))</f>
        <v>LT</v>
      </c>
      <c r="HD78" s="262">
        <f t="array" ref="HD78">INDEX('Indices Mines Exporting Ports'!M$20:M$51, MATCH(2,1/(('Indices Mines Exporting Ports'!$C$20:$C$51=$BC78)*('Indices Mines Exporting Ports'!$D$20:$D$51&lt;=$C78))))</f>
        <v>0</v>
      </c>
      <c r="HE78" s="237"/>
      <c r="HF78" s="319">
        <f t="array" ref="HF78">INDEX('Processing Factors'!$D$8:$D$29,MATCH(2,1/(('Processing Factors'!$B$8:$B$29&lt;=Main!$C78)*('Processing Factors'!$C$8:$C$29=Main!HC78))))</f>
        <v>0</v>
      </c>
      <c r="HG78" s="320">
        <f t="array" ref="HG78">INDEX('Processing Factors'!$E$8:$E$29,MATCH(2,1/(('Processing Factors'!$B$8:$B$29&lt;=Main!$C78)*('Processing Factors'!$C$8:$C$29=Main!HC78))))</f>
        <v>1</v>
      </c>
      <c r="HH78" s="320">
        <f t="array" ref="HH78">INDEX('Processing Factors'!$F$8:$F$29,MATCH(2,1/(('Processing Factors'!$B$8:$B$29&lt;=Main!$C78)*('Processing Factors'!$C$8:$C$29=Main!HC78))))</f>
        <v>0.9</v>
      </c>
      <c r="HI78" s="320">
        <f t="array" ref="HI78">INDEX('Processing Factors'!$G$8:$G$29,MATCH(2,1/(('Processing Factors'!$B$8:$B$29&lt;=Main!$C78)*('Processing Factors'!$C$8:$C$29=Main!HC78))))</f>
        <v>3.5999999999999997E-2</v>
      </c>
      <c r="HJ78" s="320">
        <f t="array" ref="HJ78">INDEX('Processing Factors'!$H$8:$H$29,MATCH(2,1/(('Processing Factors'!$B$8:$B$29&lt;=Main!$C78)*('Processing Factors'!$C$8:$C$29=Main!HC78))))</f>
        <v>12.15</v>
      </c>
      <c r="HK78" s="319">
        <f t="array" ref="HK78">INDEX('Processing Factors'!$I$8:$I$29,MATCH(2,1/(('Processing Factors'!$B$8:$B$29&lt;=Main!$C78)*('Processing Factors'!$C$8:$C$29=Main!HC78))))</f>
        <v>0</v>
      </c>
      <c r="HL78" s="321">
        <v>0.92</v>
      </c>
      <c r="HM78" s="320">
        <f t="array" ref="HM78">INDEX('Processing Factors'!$K$8:$K$29,MATCH(2,1/(('Processing Factors'!$B$8:$B$29&lt;=Main!$C78)*('Processing Factors'!$C$8:$C$29=Main!HC78))))</f>
        <v>3.5000000000000003E-2</v>
      </c>
      <c r="HN78" s="237"/>
      <c r="HO78" s="322">
        <f t="shared" si="765"/>
        <v>0.5</v>
      </c>
      <c r="HP78" s="322">
        <f t="shared" si="766"/>
        <v>0.05</v>
      </c>
      <c r="HQ78" s="322">
        <f t="shared" si="767"/>
        <v>0.45</v>
      </c>
      <c r="HR78" s="320">
        <f t="shared" si="768"/>
        <v>2.4154589371980677</v>
      </c>
      <c r="HS78" s="263">
        <v>0</v>
      </c>
      <c r="HT78" s="320">
        <f t="shared" si="769"/>
        <v>0.14369565217391306</v>
      </c>
      <c r="HU78" s="323">
        <f t="shared" si="770"/>
        <v>34.486534568845585</v>
      </c>
      <c r="HV78" s="323">
        <f t="shared" si="771"/>
        <v>50.321396655852695</v>
      </c>
      <c r="HW78" s="323">
        <f t="shared" si="772"/>
        <v>1.2197497818850218</v>
      </c>
      <c r="HX78" s="320">
        <f t="shared" si="773"/>
        <v>1.5951545893719807</v>
      </c>
      <c r="HY78" s="323">
        <f t="shared" si="774"/>
        <v>6.755866189095018</v>
      </c>
      <c r="HZ78" s="323">
        <f t="shared" si="775"/>
        <v>92.783547195678324</v>
      </c>
      <c r="IB78" s="287" t="s">
        <v>39</v>
      </c>
      <c r="ID78" s="89" t="str">
        <f t="shared" si="776"/>
        <v>West Kalimantan Generic</v>
      </c>
      <c r="IE78" s="18">
        <f t="shared" si="777"/>
        <v>43934</v>
      </c>
      <c r="IF78" s="94">
        <f t="array" ref="IF78">INDEX('Indices Mines Exporting Ports'!E$20:E$51, MATCH(2,1/(('Indices Mines Exporting Ports'!$C$20:$C$51=$ID78)*('Indices Mines Exporting Ports'!$D$20:$D$51&lt;=$IE78))))</f>
        <v>0.48</v>
      </c>
      <c r="IG78" s="94">
        <f t="array" ref="IG78">INDEX('Indices Mines Exporting Ports'!F$20:F$51, MATCH(2,1/(('Indices Mines Exporting Ports'!$C$20:$C$51=$ID78)*('Indices Mines Exporting Ports'!$D$20:$D$51&lt;=$IE78))))</f>
        <v>0.44</v>
      </c>
      <c r="IH78" s="95">
        <f t="array" ref="IH78">INDEX('Indices Mines Exporting Ports'!G$20:G$51, MATCH(2,1/(('Indices Mines Exporting Ports'!$C$20:$C$51=$ID78)*('Indices Mines Exporting Ports'!$D$20:$D$51&lt;=$IE78))))</f>
        <v>0.08</v>
      </c>
      <c r="II78" s="95">
        <f t="array" ref="II78">INDEX('Indices Mines Exporting Ports'!H$20:H$51, MATCH(2,1/(('Indices Mines Exporting Ports'!$C$20:$C$51=$ID78)*('Indices Mines Exporting Ports'!$D$20:$D$51&lt;=$IE78))))</f>
        <v>3.5000000000000003E-2</v>
      </c>
      <c r="IJ78" s="95">
        <f t="array" ref="IJ78">INDEX('Indices Mines Exporting Ports'!I$20:I$51, MATCH(2,1/(('Indices Mines Exporting Ports'!$C$20:$C$51=$ID78)*('Indices Mines Exporting Ports'!$D$20:$D$51&lt;=$IE78))))</f>
        <v>4.4999999999999998E-2</v>
      </c>
      <c r="IK78" s="94">
        <f t="array" ref="IK78">INDEX('Indices Mines Exporting Ports'!J$20:J$51, MATCH(2,1/(('Indices Mines Exporting Ports'!$C$20:$C$51=$ID78)*('Indices Mines Exporting Ports'!$D$20:$D$51&lt;=$IE78))))</f>
        <v>5.0000000000000001E-3</v>
      </c>
      <c r="IL78" s="94">
        <f t="array" ref="IL78">INDEX('Indices Mines Exporting Ports'!K$20:K$51, MATCH(2,1/(('Indices Mines Exporting Ports'!$C$20:$C$51=$ID78)*('Indices Mines Exporting Ports'!$D$20:$D$51&lt;=$IE78))))</f>
        <v>0.15</v>
      </c>
      <c r="IM78" s="93" t="str">
        <f t="array" ref="IM78">INDEX('Indices Mines Exporting Ports'!L$20:L$51, MATCH(2,1/(('Indices Mines Exporting Ports'!$C$20:$C$51=$ID78)*('Indices Mines Exporting Ports'!$D$20:$D$51&lt;=$IE78))))</f>
        <v>LT</v>
      </c>
      <c r="IN78" s="101">
        <f t="array" ref="IN78">INDEX('Indices Mines Exporting Ports'!M$20:M$51, MATCH(2,1/(('Indices Mines Exporting Ports'!$C$20:$C$51=$ID78)*('Indices Mines Exporting Ports'!$D$20:$D$51&lt;=$IE78))))</f>
        <v>0.33</v>
      </c>
      <c r="IO78" s="96">
        <f t="array" ref="IO78">INDEX('Indices Mines Exporting Ports'!N$20:N$51, MATCH(2,1/(('Indices Mines Exporting Ports'!$C$20:$C$51=$ID78)*('Indices Mines Exporting Ports'!$D$20:$D$51&lt;=$IE78))))</f>
        <v>57000</v>
      </c>
      <c r="IP78" s="95" t="str">
        <f t="array" ref="IP78">INDEX('Indices Mines Exporting Ports'!Q$20:Q$51, MATCH(2,1/(('Indices Mines Exporting Ports'!$C$20:$C$51=$ID78)*('Indices Mines Exporting Ports'!$D$20:$D$51&lt;=$IE78))))</f>
        <v>West_Kal_Generic_Offshore</v>
      </c>
      <c r="IQ78" s="95" t="str">
        <f t="array" ref="IQ78">INDEX('Indices Mines Exporting Ports'!O$20:O$51, MATCH(2,1/(('Indices Mines Exporting Ports'!$C$20:$C$51=$ID78)*('Indices Mines Exporting Ports'!$D$20:$D$51&lt;=$IE78))))</f>
        <v>Indonesian LT</v>
      </c>
      <c r="IR78" s="95" t="str">
        <f t="array" ref="IR78">INDEX('Indices Mines Exporting Ports'!P$20:P$51, MATCH(2,1/(('Indices Mines Exporting Ports'!$C$20:$C$51=$ID78)*('Indices Mines Exporting Ports'!$D$20:$D$51&lt;=$IE78))))</f>
        <v>CBIX LT</v>
      </c>
      <c r="IT78" s="287" t="s">
        <v>39</v>
      </c>
      <c r="IV78" s="292">
        <f>VLOOKUP($C78,'China Price Series'!$C$10:$D$1009,2,TRUE)/$JA78/(VLOOKUP($C78,'China Price Series'!$C$10:$E$1009,3,TRUE)*$JG78/$JF78)</f>
        <v>4.1416787371072177</v>
      </c>
      <c r="IW78" s="292">
        <f>VLOOKUP($C78,'China Price Series'!$G$10:$H$1009,2,TRUE)/$JA78/(VLOOKUP($C78,'China Price Series'!$G$10:$I$1009,3,TRUE))</f>
        <v>239.99706356533991</v>
      </c>
      <c r="IX78" s="292">
        <f>VLOOKUP($C78,'China Price Series'!$K$10:$L$1009,2,TRUE)/$JA78</f>
        <v>33.881938385695051</v>
      </c>
      <c r="IY78" s="292">
        <f>VLOOKUP($C78,'China Price Series'!$N$10:$O$1009,2,TRUE)/$JA78</f>
        <v>4.2352422982118814</v>
      </c>
      <c r="JA78" s="277">
        <f t="array" ref="JA78">INDEX('FX rates'!E$10:E$1009,MATCH(2,1/(('FX rates'!$D$10:$D$1009&lt;=Main!$C78)*(NOT(ISBLANK('FX rates'!E$10:E$1009))))))</f>
        <v>7.0834199999999994</v>
      </c>
      <c r="JB78" s="277">
        <f t="array" ref="JB78">INDEX('FX rates'!F$10:F$1009,MATCH(2,1/(('FX rates'!$D$10:$D$1009&lt;=Main!$C78)*(NOT(ISBLANK('FX rates'!F$10:F$1009))))))</f>
        <v>0.61160022139928016</v>
      </c>
      <c r="JC78" s="277">
        <f t="array" ref="JC78">INDEX('FX rates'!G$10:G$1009,MATCH(2,1/(('FX rates'!$D$10:$D$1009&lt;=Main!$C78)*(NOT(ISBLANK('FX rates'!G$10:G$1009))))))</f>
        <v>1</v>
      </c>
      <c r="JD78" s="277">
        <f t="array" ref="JD78">INDEX('FX rates'!H$10:H$1009,MATCH(2,1/(('FX rates'!$D$10:$D$1009&lt;=Main!$C78)*(NOT(ISBLANK('FX rates'!H$10:H$1009))))))</f>
        <v>1.35</v>
      </c>
      <c r="JF78" s="111">
        <f t="array" ref="JF78">INDEX('Global factors'!C$5:C$23,MATCH(2,1/(('Global factors'!$B$5:$B$23&lt;=Main!$C78)*(NOT(ISBLANK('Global factors'!C$5:C$23))))))</f>
        <v>239000</v>
      </c>
      <c r="JG78" s="112">
        <f t="array" ref="JG78">INDEX('Global factors'!D$5:D$23,MATCH(2,1/(('Global factors'!$B$5:$B$23&lt;=Main!$C78)*(NOT(ISBLANK('Global factors'!D$5:D$23))))))</f>
        <v>1000</v>
      </c>
      <c r="JH78" s="112">
        <f t="array" ref="JH78">INDEX('Global factors'!E$5:E$23,MATCH(2,1/(('Global factors'!$B$5:$B$23&lt;=Main!$C78)*(NOT(ISBLANK('Global factors'!E$5:E$23))))))</f>
        <v>24</v>
      </c>
      <c r="JI78" s="112">
        <f t="array" ref="JI78">INDEX('Global factors'!F$5:F$23,MATCH(2,1/(('Global factors'!$B$5:$B$23&lt;=Main!$C78)*(NOT(ISBLANK('Global factors'!F$5:F$23))))))</f>
        <v>2</v>
      </c>
      <c r="JJ78" s="117">
        <f t="array" ref="JJ78">INDEX('Global factors'!G$5:G$23,MATCH(2,1/(('Global factors'!$B$5:$B$23&lt;=Main!$C78)*(NOT(ISBLANK('Global factors'!G$5:G$23))))))</f>
        <v>0.08</v>
      </c>
      <c r="JK78" s="113">
        <f t="array" ref="JK78">INDEX('Global factors'!H$5:H$23,MATCH(2,1/(('Global factors'!$B$5:$B$23&lt;=Main!$C78)*(NOT(ISBLANK('Global factors'!H$5:H$23))))))</f>
        <v>101.96</v>
      </c>
      <c r="JL78" s="113">
        <f t="array" ref="JL78">INDEX('Global factors'!I$5:I$23,MATCH(2,1/(('Global factors'!$B$5:$B$23&lt;=Main!$C78)*(NOT(ISBLANK('Global factors'!I$5:I$23))))))</f>
        <v>60.08</v>
      </c>
      <c r="JM78" s="114">
        <f t="array" ref="JM78">INDEX('Global factors'!J$5:J$23,MATCH(2,1/(('Global factors'!$B$5:$B$23&lt;=Main!$C78)*(NOT(ISBLANK('Global factors'!J$5:J$23))))))</f>
        <v>0.84853528628495334</v>
      </c>
      <c r="JN78" s="115">
        <f t="array" ref="JN78">INDEX('Global factors'!K$5:K$23,MATCH(2,1/(('Global factors'!$B$5:$B$23&lt;=Main!$C78)*(NOT(ISBLANK('Global factors'!K$5:K$23))))))</f>
        <v>0.97499999999999998</v>
      </c>
      <c r="JO78" s="116">
        <f t="array" ref="JO78">INDEX('Global factors'!L$5:L$23,MATCH(2,1/(('Global factors'!$B$5:$B$23&lt;=Main!$C78)*(NOT(ISBLANK('Global factors'!L$5:L$23))))))</f>
        <v>8.7299999999999997E-4</v>
      </c>
      <c r="JP78" s="116">
        <f t="array" ref="JP78">INDEX('Global factors'!M$5:M$23,MATCH(2,1/(('Global factors'!$B$5:$B$23&lt;=Main!$C78)*(NOT(ISBLANK('Global factors'!M$5:M$23))))))</f>
        <v>145.88999999999999</v>
      </c>
      <c r="JQ78" s="116">
        <f t="array" ref="JQ78">INDEX('Global factors'!N$5:N$23,MATCH(2,1/(('Global factors'!$B$5:$B$23&lt;=Main!$C78)*(NOT(ISBLANK('Global factors'!N$5:N$23))))))</f>
        <v>0.40339999999999998</v>
      </c>
      <c r="JR78" s="116">
        <f t="array" ref="JR78">INDEX('Global factors'!O$5:O$23,MATCH(2,1/(('Global factors'!$B$5:$B$23&lt;=Main!$C78)*(NOT(ISBLANK('Global factors'!O$5:O$23))))))</f>
        <v>0</v>
      </c>
      <c r="JS78" s="116">
        <f t="array" ref="JS78">INDEX('Global factors'!P$5:P$23,MATCH(2,1/(('Global factors'!$B$5:$B$23&lt;=Main!$C78)*(NOT(ISBLANK('Global factors'!P$5:P$23))))))</f>
        <v>0.51890000000000003</v>
      </c>
      <c r="JT78" s="116">
        <f t="array" ref="JT78">INDEX('Global factors'!Q$5:Q$23,MATCH(2,1/(('Global factors'!$B$5:$B$23&lt;=Main!$C78)*(NOT(ISBLANK('Global factors'!Q$5:Q$23))))))</f>
        <v>4797</v>
      </c>
      <c r="JU78" s="116">
        <f t="array" ref="JU78">INDEX('Global factors'!R$5:R$23,MATCH(2,1/(('Global factors'!$B$5:$B$23&lt;=Main!$C78)*(NOT(ISBLANK('Global factors'!R$5:R$23))))))</f>
        <v>7</v>
      </c>
      <c r="JV78" s="115">
        <f t="array" ref="JV78">INDEX('Global factors'!S$5:S$23,MATCH(2,1/(('Global factors'!$B$5:$B$23&lt;=Main!$C78)*(NOT(ISBLANK('Global factors'!S$5:S$23))))))</f>
        <v>0.12</v>
      </c>
      <c r="JW78" s="115">
        <f t="array" ref="JW78">INDEX('Global factors'!T$5:T$23,MATCH(2,1/(('Global factors'!$B$5:$B$23&lt;=Main!$C78)*(NOT(ISBLANK('Global factors'!T$5:T$23))))))</f>
        <v>0.5</v>
      </c>
      <c r="JX78" s="116">
        <f t="array" ref="JX78">INDEX('Global factors'!U$5:U$23,MATCH(2,1/(('Global factors'!$B$5:$B$23&lt;=Main!$C78)*(NOT(ISBLANK('Global factors'!U$5:U$23))))))</f>
        <v>0.5</v>
      </c>
      <c r="JY78" s="116">
        <f t="array" ref="JY78">INDEX('Global factors'!V$5:V$23,MATCH(2,1/(('Global factors'!$B$5:$B$23&lt;=Main!$C78)*(NOT(ISBLANK('Global factors'!V$5:V$23))))))</f>
        <v>10000</v>
      </c>
      <c r="JZ78" s="116">
        <f t="array" ref="JZ78">INDEX('Global factors'!W$5:W$23,MATCH(2,1/(('Global factors'!$B$5:$B$23&lt;=Main!$C78)*(NOT(ISBLANK('Global factors'!W$5:W$23))))))</f>
        <v>0.10680000000000001</v>
      </c>
      <c r="KA78" s="116">
        <f t="array" ref="KA78">INDEX('Global factors'!X$5:X$23,MATCH(2,1/(('Global factors'!$B$5:$B$23&lt;=Main!$C78)*(NOT(ISBLANK('Global factors'!X$5:X$23))))))</f>
        <v>1.2</v>
      </c>
      <c r="KB78" s="116">
        <v>0</v>
      </c>
      <c r="KC78" s="272">
        <f t="array" ref="KC78">INDEX('Global factors'!Y$5:Y$23,MATCH(2,1/(('Global factors'!$B$5:$B$23&lt;=Main!$C78)*(NOT(ISBLANK('Global factors'!Y$5:Y$23))))))</f>
        <v>23643.7088248818</v>
      </c>
      <c r="KD78" s="273">
        <f t="array" ref="KD78">INDEX('Global factors'!Z$5:Z$23,MATCH(2,1/(('Global factors'!$B$5:$B$23&lt;=Main!$C78)*(NOT(ISBLANK('Global factors'!Z$5:Z$23))))))</f>
        <v>0.62802869915581405</v>
      </c>
      <c r="KE78" s="273">
        <v>0</v>
      </c>
      <c r="KF78" s="273">
        <v>0</v>
      </c>
      <c r="KG78" s="116">
        <v>0</v>
      </c>
      <c r="KH78" s="116">
        <f t="array" ref="KH78">INDEX('Global factors'!AB$5:AB$23,MATCH(2,1/(('Global factors'!$B$5:$B$23&lt;=Main!$C78)*(NOT(ISBLANK('Global factors'!AB$5:AB$23))))))</f>
        <v>6.2556361557795204E-2</v>
      </c>
      <c r="KI78" s="116">
        <f t="array" ref="KI78">INDEX('Global factors'!AC$5:AC$23,MATCH(2,1/(('Global factors'!$B$5:$B$23&lt;=Main!$C78)*(NOT(ISBLANK('Global factors'!AC$5:AC$23))))))</f>
        <v>8.6923129044225601E-4</v>
      </c>
      <c r="KJ78" s="116">
        <f t="array" ref="KJ78">INDEX('Global factors'!AD$5:AD$23,MATCH(2,1/(('Global factors'!$B$5:$B$23&lt;=Main!$C78)*(NOT(ISBLANK('Global factors'!AD$5:AD$23))))))</f>
        <v>1.1499999999999999</v>
      </c>
      <c r="KK78" s="116" t="str">
        <f t="array" ref="KK78">INDEX('Global factors'!AE$5:AE$23,MATCH(2,1/(('Global factors'!$B$5:$B$23&lt;=Main!$C78)*(NOT(ISBLANK('Global factors'!AE$5:AE$23))))))</f>
        <v>Qingdao</v>
      </c>
      <c r="KL78" s="290">
        <f t="array" ref="KL78">INDEX('Global factors'!AF$5:AF$23,MATCH(2,1/(('Global factors'!$B$5:$B$23&lt;=Main!$C78)*(NOT(ISBLANK('Global factors'!AF$5:AF$23))))))</f>
        <v>3.0000000000000001E-3</v>
      </c>
      <c r="KM78" s="290"/>
      <c r="KO78" s="287" t="s">
        <v>39</v>
      </c>
      <c r="KQ78" s="25">
        <f t="shared" si="778"/>
        <v>83130.904183535764</v>
      </c>
      <c r="KR78" s="4" t="str">
        <f>VLOOKUP(KQ78,'Ship Time Charter Rates'!$F$10:$G$17,2,TRUE)</f>
        <v>Panamax</v>
      </c>
      <c r="KS78" s="4" t="str">
        <f>VLOOKUP(KQ78,Canals!$E$5:$F$12,2,TRUE)</f>
        <v>Panamax</v>
      </c>
      <c r="KT78" s="25">
        <f t="shared" si="779"/>
        <v>218.46327935222672</v>
      </c>
      <c r="KU78" s="25">
        <f t="shared" si="780"/>
        <v>33535.006747638326</v>
      </c>
      <c r="KV78" s="25">
        <f t="shared" si="781"/>
        <v>47933.626180836713</v>
      </c>
      <c r="KX78" s="75">
        <f t="array" ref="KX78">INDEX('Indices Mines Exporting Ports'!$R$20:$R$51,MATCH(2,1/(('Indices Mines Exporting Ports'!$D$20:$D$51&lt;=Main!$C78)*('Indices Mines Exporting Ports'!$Q$20:$Q$51=$AP78))))</f>
        <v>15000</v>
      </c>
      <c r="KY78" s="75">
        <f t="array" ref="KY78">INDEX('Indices Mines Exporting Ports'!$S$20:$S$51,MATCH(2,1/(('Indices Mines Exporting Ports'!$D$20:$D$51&lt;=Main!$C78)*('Indices Mines Exporting Ports'!$Q$20:$Q$51=$AP78))))</f>
        <v>15000</v>
      </c>
      <c r="KZ78" s="75">
        <f t="array" ref="KZ78">INDEX('Indices Mines Exporting Ports'!$T$20:$T$51,MATCH(2,1/(('Indices Mines Exporting Ports'!$D$20:$D$51&lt;=Main!$C78)*('Indices Mines Exporting Ports'!$Q$20:$Q$51=$AP78))))</f>
        <v>15000</v>
      </c>
      <c r="LA78" s="75">
        <f t="array" ref="LA78">INDEX('Indices Mines Exporting Ports'!$U$20:$U$51,MATCH(2,1/(('Indices Mines Exporting Ports'!$D$20:$D$51&lt;=Main!$C78)*('Indices Mines Exporting Ports'!$Q$20:$Q$51=$AP78))))</f>
        <v>15000</v>
      </c>
      <c r="LB78" s="75">
        <f t="array" ref="LB78">INDEX('Indices Mines Exporting Ports'!$V$20:$V$51,MATCH(2,1/(('Indices Mines Exporting Ports'!$D$20:$D$51&lt;=Main!$C78)*('Indices Mines Exporting Ports'!$Q$20:$Q$51=$AP78))))</f>
        <v>15000</v>
      </c>
      <c r="LC78" s="75">
        <f t="array" ref="LC78">INDEX('Indices Mines Exporting Ports'!$W$20:$W$51,MATCH(2,1/(('Indices Mines Exporting Ports'!$D$20:$D$51&lt;=Main!$C78)*('Indices Mines Exporting Ports'!$Q$20:$Q$51=$AP78))))</f>
        <v>15000</v>
      </c>
      <c r="LD78" s="75">
        <f t="array" ref="LD78">INDEX('Indices Mines Exporting Ports'!$X$20:$X$51,MATCH(2,1/(('Indices Mines Exporting Ports'!$D$20:$D$51&lt;=Main!$C78)*('Indices Mines Exporting Ports'!$Q$20:$Q$51=$AP78))))</f>
        <v>15000</v>
      </c>
      <c r="LF78" s="75">
        <f t="array" ref="LF78">INDEX('Port Linkages'!$E$18:$E$157,MATCH(2,1/(('Port Linkages'!$C$18:$C$157=$AP78)*('Port Linkages'!$D$18:$D$157=IF($AO78="Yes",$AQ78,$AS78))*('Port Linkages'!$A$18:$A$157&lt;=$C78))))</f>
        <v>2326</v>
      </c>
      <c r="LG78" s="75">
        <f t="array" ref="LG78">INDEX('Port Linkages'!$F$18:$F$157,MATCH(2,1/(('Port Linkages'!$C$18:$C$157=$AP78)*('Port Linkages'!$D$18:$D$157=IF($AO78="Yes",$AQ78,$AS78))*('Port Linkages'!$A$18:$A$157&lt;=$C78))))</f>
        <v>0</v>
      </c>
      <c r="LH78" s="75" t="str">
        <f t="array" ref="LH78">INDEX('Port Linkages'!$G$18:$G$157,MATCH(2,1/(('Port Linkages'!$C$18:$C$157=$AP78)*('Port Linkages'!$D$18:$D$157=IF($AO78="Yes",$AQ78,$AS78))*('Port Linkages'!$A$18:$A$157&lt;=$C78))))</f>
        <v>VLOC_General</v>
      </c>
      <c r="LI78" s="75" t="str">
        <f t="array" ref="LI78">INDEX('Port Linkages'!$H$18:$H$157,MATCH(2,1/(('Port Linkages'!$C$18:$C$157=$AP78)*('Port Linkages'!$D$18:$D$157=IF($AO78="Yes",$AQ78,$AS78))*('Port Linkages'!$A$18:$A$157&lt;=$C78))))</f>
        <v>Singapore</v>
      </c>
      <c r="LJ78" s="75" t="str">
        <f t="array" ref="LJ78">INDEX('Port Linkages'!$I$18:$I$157,MATCH(2,1/(('Port Linkages'!$C$18:$C$157=$AP78)*('Port Linkages'!$D$18:$D$157=IF($AO78="Yes",$AQ78,$AS78))*('Port Linkages'!$A$18:$A$157&lt;=$C78))))</f>
        <v>VLSFO</v>
      </c>
      <c r="LK78" s="75" t="str">
        <f t="array" ref="LK78">INDEX('Port Linkages'!$J$18:$J$157,MATCH(2,1/(('Port Linkages'!$C$18:$C$157=$AP78)*('Port Linkages'!$D$18:$D$157=IF($AO78="Yes",$AQ78,$AS78))*('Port Linkages'!$A$18:$A$157&lt;=$C78))))</f>
        <v>MGO_Regular</v>
      </c>
      <c r="LL78" s="75" t="str">
        <f t="array" ref="LL78">INDEX('Port Linkages'!$K$18:$K$157,MATCH(2,1/(('Port Linkages'!$C$18:$C$157=$AP78)*('Port Linkages'!$D$18:$D$157=IF($AO78="Yes",$AQ78,$AS78))*('Port Linkages'!$A$18:$A$157&lt;=$C78))))</f>
        <v>none</v>
      </c>
      <c r="LM78" s="75">
        <f t="array" ref="LM78">INDEX('Port Linkages'!$L$18:$L$157,MATCH(2,1/(('Port Linkages'!$C$18:$C$157=$AP78)*('Port Linkages'!$D$18:$D$157=IF($AO78="Yes",$AQ78,$AS78))*('Port Linkages'!$A$18:$A$157&lt;=$C78))))</f>
        <v>2326</v>
      </c>
      <c r="LN78" s="75">
        <f t="array" ref="LN78">INDEX('Port Linkages'!$M$18:$M$157,MATCH(2,1/(('Port Linkages'!$C$18:$C$157=$AP78)*('Port Linkages'!$D$18:$D$157=IF($AO78="Yes",$AQ78,$AS78))*('Port Linkages'!$A$18:$A$157&lt;=$C78))))</f>
        <v>0</v>
      </c>
      <c r="LO78" s="75" t="str">
        <f t="array" ref="LO78">INDEX('Port Linkages'!$N$18:$N$157,MATCH(2,1/(('Port Linkages'!$C$18:$C$157=$AP78)*('Port Linkages'!$D$18:$D$157=IF($AO78="Yes",$AQ78,$AS78))*('Port Linkages'!$A$18:$A$157&lt;=$C78))))</f>
        <v>Capesize_General</v>
      </c>
      <c r="LP78" s="75" t="str">
        <f t="array" ref="LP78">INDEX('Port Linkages'!$O$18:$O$157,MATCH(2,1/(('Port Linkages'!$C$18:$C$157=$AP78)*('Port Linkages'!$D$18:$D$157=IF($AO78="Yes",$AQ78,$AS78))*('Port Linkages'!$A$18:$A$157&lt;=$C78))))</f>
        <v>Singapore</v>
      </c>
      <c r="LQ78" s="75" t="str">
        <f t="array" ref="LQ78">INDEX('Port Linkages'!$P$18:$P$157,MATCH(2,1/(('Port Linkages'!$C$18:$C$157=$AP78)*('Port Linkages'!$D$18:$D$157=IF($AO78="Yes",$AQ78,$AS78))*('Port Linkages'!$A$18:$A$157&lt;=$C78))))</f>
        <v>VLSFO</v>
      </c>
      <c r="LR78" s="75" t="str">
        <f t="array" ref="LR78">INDEX('Port Linkages'!$Q$18:$Q$157,MATCH(2,1/(('Port Linkages'!$C$18:$C$157=$AP78)*('Port Linkages'!$D$18:$D$157=IF($AO78="Yes",$AQ78,$AS78))*('Port Linkages'!$A$18:$A$157&lt;=$C78))))</f>
        <v>MGO_Regular</v>
      </c>
      <c r="LS78" s="75" t="str">
        <f t="array" ref="LS78">INDEX('Port Linkages'!$R$18:$R$157,MATCH(2,1/(('Port Linkages'!$C$18:$C$157=$AP78)*('Port Linkages'!$D$18:$D$157=IF($AO78="Yes",$AQ78,$AS78))*('Port Linkages'!$A$18:$A$157&lt;=$C78))))</f>
        <v>none</v>
      </c>
      <c r="LT78" s="75">
        <f t="array" ref="LT78">INDEX('Port Linkages'!$S$18:$S$157,MATCH(2,1/(('Port Linkages'!$C$18:$C$157=$AP78)*('Port Linkages'!$D$18:$D$157=IF($AO78="Yes",$AQ78,$AS78))*('Port Linkages'!$A$18:$A$157&lt;=$C78))))</f>
        <v>2326</v>
      </c>
      <c r="LU78" s="75">
        <f t="array" ref="LU78">INDEX('Port Linkages'!$T$18:$T$157,MATCH(2,1/(('Port Linkages'!$C$18:$C$157=$AP78)*('Port Linkages'!$D$18:$D$157=IF($AO78="Yes",$AQ78,$AS78))*('Port Linkages'!$A$18:$A$157&lt;=$C78))))</f>
        <v>0</v>
      </c>
      <c r="LV78" s="75" t="str">
        <f t="array" ref="LV78">INDEX('Port Linkages'!$U$18:$U$157,MATCH(2,1/(('Port Linkages'!$C$18:$C$157=$AP78)*('Port Linkages'!$D$18:$D$157=IF($AO78="Yes",$AQ78,$AS78))*('Port Linkages'!$A$18:$A$157&lt;=$C78))))</f>
        <v>Capesize_General</v>
      </c>
      <c r="LW78" s="75" t="str">
        <f t="array" ref="LW78">INDEX('Port Linkages'!$V$18:$V$157,MATCH(2,1/(('Port Linkages'!$C$18:$C$157=$AP78)*('Port Linkages'!$D$18:$D$157=IF($AO78="Yes",$AQ78,$AS78))*('Port Linkages'!$A$18:$A$157&lt;=$C78))))</f>
        <v>Singapore</v>
      </c>
      <c r="LX78" s="75" t="str">
        <f t="array" ref="LX78">INDEX('Port Linkages'!$W$18:$W$157,MATCH(2,1/(('Port Linkages'!$C$18:$C$157=$AP78)*('Port Linkages'!$D$18:$D$157=IF($AO78="Yes",$AQ78,$AS78))*('Port Linkages'!$A$18:$A$157&lt;=$C78))))</f>
        <v>VLSFO</v>
      </c>
      <c r="LY78" s="75" t="str">
        <f t="array" ref="LY78">INDEX('Port Linkages'!$X$18:$X$157,MATCH(2,1/(('Port Linkages'!$C$18:$C$157=$AP78)*('Port Linkages'!$D$18:$D$157=IF($AO78="Yes",$AQ78,$AS78))*('Port Linkages'!$A$18:$A$157&lt;=$C78))))</f>
        <v>MGO_Regular</v>
      </c>
      <c r="LZ78" s="75" t="str">
        <f t="array" ref="LZ78">INDEX('Port Linkages'!$Y$18:$Y$157,MATCH(2,1/(('Port Linkages'!$C$18:$C$157=$AP78)*('Port Linkages'!$D$18:$D$157=IF($AO78="Yes",$AQ78,$AS78))*('Port Linkages'!$A$18:$A$157&lt;=$C78))))</f>
        <v>none</v>
      </c>
      <c r="MA78" s="75">
        <f t="array" ref="MA78">INDEX('Port Linkages'!$Z$18:$Z$157,MATCH(2,1/(('Port Linkages'!$C$18:$C$157=$AP78)*('Port Linkages'!$D$18:$D$157=IF($AO78="Yes",$AQ78,$AS78))*('Port Linkages'!$A$18:$A$157&lt;=$C78))))</f>
        <v>2326</v>
      </c>
      <c r="MB78" s="75">
        <f t="array" ref="MB78">INDEX('Port Linkages'!$AA$18:$AA$157,MATCH(2,1/(('Port Linkages'!$C$18:$C$157=$AP78)*('Port Linkages'!$D$18:$D$157=IF($AO78="Yes",$AQ78,$AS78))*('Port Linkages'!$A$18:$A$157&lt;=$C78))))</f>
        <v>0</v>
      </c>
      <c r="MC78" s="75" t="str">
        <f t="array" ref="MC78">INDEX('Port Linkages'!$AB$18:$AB$157,MATCH(2,1/(('Port Linkages'!$C$18:$C$157=$AP78)*('Port Linkages'!$D$18:$D$157=IF($AO78="Yes",$AQ78,$AS78))*('Port Linkages'!$A$18:$A$157&lt;=$C78))))</f>
        <v>Capesize_General</v>
      </c>
      <c r="MD78" s="75" t="str">
        <f t="array" ref="MD78">INDEX('Port Linkages'!$AC$18:$AC$157,MATCH(2,1/(('Port Linkages'!$C$18:$C$157=$AP78)*('Port Linkages'!$D$18:$D$157=IF($AO78="Yes",$AQ78,$AS78))*('Port Linkages'!$A$18:$A$157&lt;=$C78))))</f>
        <v>Singapore</v>
      </c>
      <c r="ME78" s="75" t="str">
        <f t="array" ref="ME78">INDEX('Port Linkages'!$AD$18:$AD$157,MATCH(2,1/(('Port Linkages'!$C$18:$C$157=$AP78)*('Port Linkages'!$D$18:$D$157=IF($AO78="Yes",$AQ78,$AS78))*('Port Linkages'!$A$18:$A$157&lt;=$C78))))</f>
        <v>VLSFO</v>
      </c>
      <c r="MF78" s="75" t="str">
        <f t="array" ref="MF78">INDEX('Port Linkages'!$AE$18:$AE$157,MATCH(2,1/(('Port Linkages'!$C$18:$C$157=$AP78)*('Port Linkages'!$D$18:$D$157=IF($AO78="Yes",$AQ78,$AS78))*('Port Linkages'!$A$18:$A$157&lt;=$C78))))</f>
        <v>MGO_Regular</v>
      </c>
      <c r="MG78" s="75" t="str">
        <f t="array" ref="MG78">INDEX('Port Linkages'!$AF$18:$AF$157,MATCH(2,1/(('Port Linkages'!$C$18:$C$157=$AP78)*('Port Linkages'!$D$18:$D$157=IF($AO78="Yes",$AQ78,$AS78))*('Port Linkages'!$A$18:$A$157&lt;=$C78))))</f>
        <v>none</v>
      </c>
      <c r="MH78" s="75">
        <f t="array" ref="MH78">INDEX('Port Linkages'!$AG$18:$AG$157,MATCH(2,1/(('Port Linkages'!$C$18:$C$157=$AP78)*('Port Linkages'!$D$18:$D$157=IF($AO78="Yes",$AQ78,$AS78))*('Port Linkages'!$A$18:$A$157&lt;=$C78))))</f>
        <v>2326</v>
      </c>
      <c r="MI78" s="75">
        <f t="array" ref="MI78">INDEX('Port Linkages'!$AH$18:$AH$157,MATCH(2,1/(('Port Linkages'!$C$18:$C$157=$AP78)*('Port Linkages'!$D$18:$D$157=IF($AO78="Yes",$AQ78,$AS78))*('Port Linkages'!$A$18:$A$157&lt;=$C78))))</f>
        <v>0</v>
      </c>
      <c r="MJ78" s="75" t="str">
        <f t="array" ref="MJ78">INDEX('Port Linkages'!$AI$18:$AI$157,MATCH(2,1/(('Port Linkages'!$C$18:$C$157=$AP78)*('Port Linkages'!$D$18:$D$157=IF($AO78="Yes",$AQ78,$AS78))*('Port Linkages'!$A$18:$A$157&lt;=$C78))))</f>
        <v>Panamax_General</v>
      </c>
      <c r="MK78" s="75" t="str">
        <f t="array" ref="MK78">INDEX('Port Linkages'!$AJ$18:$AJ$157,MATCH(2,1/(('Port Linkages'!$C$18:$C$157=$AP78)*('Port Linkages'!$D$18:$D$157=IF($AO78="Yes",$AQ78,$AS78))*('Port Linkages'!$A$18:$A$157&lt;=$C78))))</f>
        <v>Singapore</v>
      </c>
      <c r="ML78" s="75" t="str">
        <f t="array" ref="ML78">INDEX('Port Linkages'!$AK$18:$AK$157,MATCH(2,1/(('Port Linkages'!$C$18:$C$157=$AP78)*('Port Linkages'!$D$18:$D$157=IF($AO78="Yes",$AQ78,$AS78))*('Port Linkages'!$A$18:$A$157&lt;=$C78))))</f>
        <v>VLSFO</v>
      </c>
      <c r="MM78" s="75" t="str">
        <f t="array" ref="MM78">INDEX('Port Linkages'!$AL$18:$AL$157,MATCH(2,1/(('Port Linkages'!$C$18:$C$157=$AP78)*('Port Linkages'!$D$18:$D$157=IF($AO78="Yes",$AQ78,$AS78))*('Port Linkages'!$A$18:$A$157&lt;=$C78))))</f>
        <v>MGO_Regular</v>
      </c>
      <c r="MN78" s="75" t="str">
        <f t="array" ref="MN78">INDEX('Port Linkages'!$AM$18:$AM$157,MATCH(2,1/(('Port Linkages'!$C$18:$C$157=$AP78)*('Port Linkages'!$D$18:$D$157=IF($AO78="Yes",$AQ78,$AS78))*('Port Linkages'!$A$18:$A$157&lt;=$C78))))</f>
        <v>none</v>
      </c>
      <c r="MO78" s="75">
        <f t="array" ref="MO78">INDEX('Port Linkages'!$AN$18:$AN$157,MATCH(2,1/(('Port Linkages'!$C$18:$C$157=$AP78)*('Port Linkages'!$D$18:$D$157=IF($AO78="Yes",$AQ78,$AS78))*('Port Linkages'!$A$18:$A$157&lt;=$C78))))</f>
        <v>2326</v>
      </c>
      <c r="MP78" s="75">
        <f t="array" ref="MP78">INDEX('Port Linkages'!$AO$18:$AO$157,MATCH(2,1/(('Port Linkages'!$C$18:$C$157=$AP78)*('Port Linkages'!$D$18:$D$157=IF($AO78="Yes",$AQ78,$AS78))*('Port Linkages'!$A$18:$A$157&lt;=$C78))))</f>
        <v>0</v>
      </c>
      <c r="MQ78" s="75" t="str">
        <f t="array" ref="MQ78">INDEX('Port Linkages'!$AP$18:$AP$157,MATCH(2,1/(('Port Linkages'!$C$18:$C$157=$AP78)*('Port Linkages'!$D$18:$D$157=IF($AO78="Yes",$AQ78,$AS78))*('Port Linkages'!$A$18:$A$157&lt;=$C78))))</f>
        <v>Supramax_General</v>
      </c>
      <c r="MR78" s="75" t="str">
        <f t="array" ref="MR78">INDEX('Port Linkages'!$AQ$18:$AQ$157,MATCH(2,1/(('Port Linkages'!$C$18:$C$157=$AP78)*('Port Linkages'!$D$18:$D$157=IF($AO78="Yes",$AQ78,$AS78))*('Port Linkages'!$A$18:$A$157&lt;=$C78))))</f>
        <v>Singapore</v>
      </c>
      <c r="MS78" s="75" t="str">
        <f t="array" ref="MS78">INDEX('Port Linkages'!$AR$18:$AR$157,MATCH(2,1/(('Port Linkages'!$C$18:$C$157=$AP78)*('Port Linkages'!$D$18:$D$157=IF($AO78="Yes",$AQ78,$AS78))*('Port Linkages'!$A$18:$A$157&lt;=$C78))))</f>
        <v>VLSFO</v>
      </c>
      <c r="MT78" s="75" t="str">
        <f t="array" ref="MT78">INDEX('Port Linkages'!$AS$18:$AS$157,MATCH(2,1/(('Port Linkages'!$C$18:$C$157=$AP78)*('Port Linkages'!$D$18:$D$157=IF($AO78="Yes",$AQ78,$AS78))*('Port Linkages'!$A$18:$A$157&lt;=$C78))))</f>
        <v>MGO_Regular</v>
      </c>
      <c r="MU78" s="75" t="str">
        <f t="array" ref="MU78">INDEX('Port Linkages'!$AT$18:$AT$157,MATCH(2,1/(('Port Linkages'!$C$18:$C$157=$AP78)*('Port Linkages'!$D$18:$D$157=IF($AO78="Yes",$AQ78,$AS78))*('Port Linkages'!$A$18:$A$157&lt;=$C78))))</f>
        <v>none</v>
      </c>
      <c r="MV78" s="75">
        <f t="array" ref="MV78">INDEX('Port Linkages'!$AU$18:$AU$157,MATCH(2,1/(('Port Linkages'!$C$18:$C$157=$AP78)*('Port Linkages'!$D$18:$D$157=IF($AO78="Yes",$AQ78,$AS78))*('Port Linkages'!$A$18:$A$157&lt;=$C78))))</f>
        <v>2326</v>
      </c>
      <c r="MW78" s="75">
        <f t="array" ref="MW78">INDEX('Port Linkages'!$AV$18:$AV$157,MATCH(2,1/(('Port Linkages'!$C$18:$C$157=$AP78)*('Port Linkages'!$D$18:$D$157=IF($AO78="Yes",$AQ78,$AS78))*('Port Linkages'!$A$18:$A$157&lt;=$C78))))</f>
        <v>0</v>
      </c>
      <c r="MX78" s="75" t="str">
        <f t="array" ref="MX78">INDEX('Port Linkages'!$AW$18:$AW$157,MATCH(2,1/(('Port Linkages'!$C$18:$C$157=$AP78)*('Port Linkages'!$D$18:$D$157=IF($AO78="Yes",$AQ78,$AS78))*('Port Linkages'!$A$18:$A$157&lt;=$C78))))</f>
        <v>Handysize_General</v>
      </c>
      <c r="MY78" s="75" t="str">
        <f t="array" ref="MY78">INDEX('Port Linkages'!$AX$18:$AX$157,MATCH(2,1/(('Port Linkages'!$C$18:$C$157=$AP78)*('Port Linkages'!$D$18:$D$157=IF($AO78="Yes",$AQ78,$AS78))*('Port Linkages'!$A$18:$A$157&lt;=$C78))))</f>
        <v>Singapore</v>
      </c>
      <c r="MZ78" s="75" t="str">
        <f t="array" ref="MZ78">INDEX('Port Linkages'!$AY$18:$AY$157,MATCH(2,1/(('Port Linkages'!$C$18:$C$157=$AP78)*('Port Linkages'!$D$18:$D$157=IF($AO78="Yes",$AQ78,$AS78))*('Port Linkages'!$A$18:$A$157&lt;=$C78))))</f>
        <v>VLSFO</v>
      </c>
      <c r="NA78" s="75" t="str">
        <f t="array" ref="NA78">INDEX('Port Linkages'!$AZ$18:$AZ$157,MATCH(2,1/(('Port Linkages'!$C$18:$C$157=$AP78)*('Port Linkages'!$D$18:$D$157=IF($AO78="Yes",$AQ78,$AS78))*('Port Linkages'!$A$18:$A$157&lt;=$C78))))</f>
        <v>MGO_Regular</v>
      </c>
      <c r="NB78" s="75" t="str">
        <f t="array" ref="NB78">INDEX('Port Linkages'!$BA$18:$BA$157,MATCH(2,1/(('Port Linkages'!$C$18:$C$157=$AP78)*('Port Linkages'!$D$18:$D$157=IF($AO78="Yes",$AQ78,$AS78))*('Port Linkages'!$A$18:$A$157&lt;=$C78))))</f>
        <v>none</v>
      </c>
      <c r="ND78" s="25" t="e">
        <f t="array" aca="1" ref="ND78" ca="1">INDEX('Ship Fuel Prices'!$F$5:$F$1004,MATCH(2,1/(('Ship Fuel Prices'!$E$5:$E$1004=_xlfn.IFS(KS78="Handysize",Main!MY78,KS78="Supramax",MR78,KS78="Panamax",MK78,KS78="NeoPanamax",MD78,KS78="Suezmax",LW78,KS78="Capesize",LP78,KS78="VLOC",LI78))*('Ship Fuel Prices'!$D$5:$D$1004&lt;=Main!$C78))))</f>
        <v>#N/A</v>
      </c>
      <c r="NE78" s="25" t="e">
        <f t="array" aca="1" ref="NE78" ca="1">INDEX('Ship Fuel Prices'!$G$5:$G$1004,MATCH(2,1/(('Ship Fuel Prices'!$E$5:$E$1004=_xlfn.IFS(KS78="Handysize",Main!MY78,KS78="Supramax",MR78,KS78="Panamax",MK78,KS78="NeoPanamax",MD78,KS78="Suezmax",LW78,KS78="Capesize",LP78,KS78="VLOC",LI78))*('Ship Fuel Prices'!$D$5:$D$1004&lt;=Main!$C78))))</f>
        <v>#N/A</v>
      </c>
      <c r="NF78" s="25" t="e">
        <f t="array" aca="1" ref="NF78" ca="1">INDEX('Ship Fuel Prices'!$H$5:$H$1004,MATCH(2,1/(('Ship Fuel Prices'!$E$5:$E$1004=_xlfn.IFS(KS78="Handysize",Main!MY78,KS78="Supramax",MR78,KS78="Panamax",MK78,KS78="NeoPanamax",MD78,KS78="Suezmax",LW78,KS78="Capesize",LP78,KS78="VLOC",LI78))*('Ship Fuel Prices'!$D$5:$D$1004&lt;=Main!$C78))))</f>
        <v>#N/A</v>
      </c>
      <c r="NG78" s="25" t="e">
        <f t="array" aca="1" ref="NG78" ca="1">INDEX('Ship Fuel Prices'!$I$5:$I$1004,MATCH(2,1/(('Ship Fuel Prices'!$E$5:$E$1004=_xlfn.IFS(KS78="Handysize",Main!MY78,KS78="Supramax",MR78,KS78="Panamax",MK78,KS78="NeoPanamax",MD78,KS78="Suezmax",LW78,KS78="Capesize",LP78,KS78="VLOC",LI78))*('Ship Fuel Prices'!$D$5:$D$1004&lt;=Main!$C78))))</f>
        <v>#N/A</v>
      </c>
      <c r="NH78" s="25" t="e">
        <f t="array" aca="1" ref="NH78" ca="1">INDEX('Ship Fuel Prices'!$J$5:$J$1004,MATCH(2,1/(('Ship Fuel Prices'!$E$5:$E$1004=_xlfn.IFS(KS78="Handysize",Main!MY78,KS78="Supramax",MR78,KS78="Panamax",MK78,KS78="NeoPanamax",MD78,KS78="Suezmax",LW78,KS78="Capesize",LP78,KS78="VLOC",LI78))*('Ship Fuel Prices'!$D$5:$D$1004&lt;=Main!$C78))))</f>
        <v>#N/A</v>
      </c>
      <c r="NJ78" s="75">
        <f t="array" ref="NJ78">INDEX('China n Importing Ports'!$E$20:$E$41,MATCH(2,1/(('China n Importing Ports'!$D$20:$D$41&lt;=$C78)*('China n Importing Ports'!$C$20:$C$41=IF($AO78="Yes",$AQ78,$AS78)))))</f>
        <v>42500</v>
      </c>
      <c r="NK78" s="75">
        <f t="array" ref="NK78">INDEX('China n Importing Ports'!$F$20:$F$41,MATCH(2,1/(('China n Importing Ports'!$D$20:$D$41&lt;=$C78)*('China n Importing Ports'!$C$20:$C$41=IF($AO78="Yes",$AQ78,$AS78)))))</f>
        <v>42500</v>
      </c>
      <c r="NL78" s="75">
        <f t="array" ref="NL78">INDEX('China n Importing Ports'!$G$20:$G$41,MATCH(2,1/(('China n Importing Ports'!$D$20:$D$41&lt;=$C78)*('China n Importing Ports'!$C$20:$C$41=IF($AO78="Yes",$AQ78,$AS78)))))</f>
        <v>42500</v>
      </c>
      <c r="NM78" s="75">
        <f t="array" ref="NM78">INDEX('China n Importing Ports'!$H$20:$H$41,MATCH(2,1/(('China n Importing Ports'!$D$20:$D$41&lt;=$C78)*('China n Importing Ports'!$C$20:$C$41=IF($AO78="Yes",$AQ78,$AS78)))))</f>
        <v>42500</v>
      </c>
      <c r="NN78" s="75">
        <f t="array" ref="NN78">INDEX('China n Importing Ports'!$I$20:$I$41,MATCH(2,1/(('China n Importing Ports'!$D$20:$D$41&lt;=$C78)*('China n Importing Ports'!$C$20:$C$41=IF($AO78="Yes",$AQ78,$AS78)))))</f>
        <v>42500</v>
      </c>
      <c r="NO78" s="75">
        <f t="array" ref="NO78">INDEX('China n Importing Ports'!$J$20:$J$41,MATCH(2,1/(('China n Importing Ports'!$D$20:$D$41&lt;=$C78)*('China n Importing Ports'!$C$20:$C$41=IF($AO78="Yes",$AQ78,$AS78)))))</f>
        <v>42500</v>
      </c>
      <c r="NP78" s="75">
        <f t="array" ref="NP78">INDEX('China n Importing Ports'!$K$20:$K$41,MATCH(2,1/(('China n Importing Ports'!$D$20:$D$41&lt;=$C78)*('China n Importing Ports'!$C$20:$C$41=IF($AO78="Yes",$AQ78,$AS78)))))</f>
        <v>42500</v>
      </c>
      <c r="NQ78" s="75" t="str">
        <f t="array" ref="NQ78">INDEX('China n Importing Ports'!$L$20:$L$41,MATCH(2,1/(('China n Importing Ports'!$D$20:$D$41&lt;=$C78)*('China n Importing Ports'!$C$20:$C$41=IF($AO78="Yes",$AQ78,$AS78)))))</f>
        <v>RMB</v>
      </c>
      <c r="NR78" s="75">
        <f t="array" ref="NR78">INDEX('China n Importing Ports'!$M$20:$M$41,MATCH(2,1/(('China n Importing Ports'!$D$20:$D$41&lt;=$C78)*('China n Importing Ports'!$C$20:$C$41=IF($AO78="Yes",$AQ78,$AS78)))))</f>
        <v>12342</v>
      </c>
      <c r="NS78" s="75">
        <f t="array" ref="NS78">INDEX('China n Importing Ports'!$N$20:$N$41,MATCH(2,1/(('China n Importing Ports'!$D$20:$D$41&lt;=$C78)*('China n Importing Ports'!$C$20:$C$41=IF($AO78="Yes",$AQ78,$AS78)))))</f>
        <v>0</v>
      </c>
      <c r="NT78" s="75">
        <f t="array" ref="NT78">INDEX('China n Importing Ports'!$O$20:$O$41,MATCH(2,1/(('China n Importing Ports'!$D$20:$D$41&lt;=$C78)*('China n Importing Ports'!$C$20:$C$41=IF($AO78="Yes",$AQ78,$AS78)))))</f>
        <v>0</v>
      </c>
      <c r="NU78" s="136">
        <f t="array" ref="NU78">INDEX('China n Importing Ports'!$P$20:$P$41,MATCH(2,1/(('China n Importing Ports'!$D$20:$D$41&lt;=$C78)*('China n Importing Ports'!$C$20:$C$41=IF($AO78="Yes",$AQ78,$AS78)))))</f>
        <v>2.64</v>
      </c>
      <c r="NV78" s="136">
        <f t="array" ref="NV78">INDEX('China n Importing Ports'!$Q$20:$Q$41,MATCH(2,1/(('China n Importing Ports'!$D$20:$D$41&lt;=$C78)*('China n Importing Ports'!$C$20:$C$41=IF($AO78="Yes",$AQ78,$AS78)))))</f>
        <v>0</v>
      </c>
      <c r="NW78" s="136">
        <f t="array" ref="NW78">INDEX('China n Importing Ports'!$R$20:$R$41,MATCH(2,1/(('China n Importing Ports'!$D$20:$D$41&lt;=$C78)*('China n Importing Ports'!$C$20:$C$41=IF($AO78="Yes",$AQ78,$AS78)))))</f>
        <v>0</v>
      </c>
      <c r="NX78" s="136">
        <f t="array" ref="NX78">INDEX('China n Importing Ports'!$S$20:$S$41,MATCH(2,1/(('China n Importing Ports'!$D$20:$D$41&lt;=$C78)*('China n Importing Ports'!$C$20:$C$41=IF($AO78="Yes",$AQ78,$AS78)))))</f>
        <v>4.53</v>
      </c>
      <c r="NY78" s="136">
        <f t="array" ref="NY78">INDEX('China n Importing Ports'!$T$20:$T$41,MATCH(2,1/(('China n Importing Ports'!$D$20:$D$41&lt;=$C78)*('China n Importing Ports'!$C$20:$C$41=IF($AO78="Yes",$AQ78,$AS78)))))</f>
        <v>0.36699999999999999</v>
      </c>
      <c r="NZ78" s="136">
        <f t="array" ref="NZ78">INDEX('China n Importing Ports'!$U$20:$U$41,MATCH(2,1/(('China n Importing Ports'!$D$20:$D$41&lt;=$C78)*('China n Importing Ports'!$C$20:$C$41=IF($AO78="Yes",$AQ78,$AS78)))))</f>
        <v>0.05</v>
      </c>
      <c r="OA78" s="136">
        <f t="array" ref="OA78">INDEX('China n Importing Ports'!$V$20:$V$41,MATCH(2,1/(('China n Importing Ports'!$D$20:$D$41&lt;=$C78)*('China n Importing Ports'!$C$20:$C$41=IF($AO78="Yes",$AQ78,$AS78)))))</f>
        <v>0</v>
      </c>
      <c r="OB78" s="136">
        <f t="array" ref="OB78">INDEX('China n Importing Ports'!$W$20:$W$41,MATCH(2,1/(('China n Importing Ports'!$D$20:$D$41&lt;=$C78)*('China n Importing Ports'!$C$20:$C$41=IF($AO78="Yes",$AQ78,$AS78)))))</f>
        <v>0</v>
      </c>
      <c r="OC78" s="136">
        <f t="array" ref="OC78">INDEX('China n Importing Ports'!$X$20:$X$41,MATCH(2,1/(('China n Importing Ports'!$D$20:$D$41&lt;=$C78)*('China n Importing Ports'!$C$20:$C$41=IF($AO78="Yes",$AQ78,$AS78)))))</f>
        <v>0</v>
      </c>
      <c r="OD78" s="136">
        <f t="array" ref="OD78">INDEX('China n Importing Ports'!$Y$20:$Y$41,MATCH(2,1/(('China n Importing Ports'!$D$20:$D$41&lt;=$C78)*('China n Importing Ports'!$C$20:$C$41=IF($AO78="Yes",$AQ78,$AS78)))))</f>
        <v>197</v>
      </c>
      <c r="OE78" s="136">
        <f t="array" ref="OE78">INDEX('China n Importing Ports'!$Z$20:$Z$41,MATCH(2,1/(('China n Importing Ports'!$D$20:$D$41&lt;=$C78)*('China n Importing Ports'!$C$20:$C$41=IF($AO78="Yes",$AQ78,$AS78)))))</f>
        <v>0</v>
      </c>
      <c r="OF78" s="136">
        <f t="array" ref="OF78">INDEX('China n Importing Ports'!$AA$20:$AA$41,MATCH(2,1/(('China n Importing Ports'!$D$20:$D$41&lt;=$C78)*('China n Importing Ports'!$C$20:$C$41=IF($AO78="Yes",$AQ78,$AS78)))))</f>
        <v>0</v>
      </c>
      <c r="OH78" s="75" t="e">
        <f t="array" aca="1" ref="OH78" ca="1">INDEX(Canals!$G$24:$G$29,MATCH(2,1/((Canals!$F$24:$F$29&lt;=$C78)*(Canals!$G$24:$G$29=_xlfn.IFS(KS78="Handysize",Main!NB78,KS78="Supramax",MU78,KS78="Panamax",MN78,KS78="NeoPanamax",MG78,KS78="Suezmax",LZ78,KS78="Capesize",LS78,KS78="VLOC",LL78)))))</f>
        <v>#N/A</v>
      </c>
      <c r="OI78" s="75" t="e">
        <f t="array" aca="1" ref="OI78" ca="1">INDEX(Canals!$H$24:$H$29,MATCH(2,1/((Canals!$F$24:$F$29&lt;=$C78)*(Canals!$G$24:$G$29=_xlfn.IFS(KS78="Handysize",Main!NB78,KS78="Supramax",MU78,KS78="Panamax",MN78,KS78="NeoPanamax",MG78,KS78="Suezmax",LZ78,KS78="Capesize",LS78,KS78="VLOC",LL78)))))</f>
        <v>#N/A</v>
      </c>
      <c r="OJ78" s="75" t="e">
        <f t="array" aca="1" ref="OJ78" ca="1">INDEX(Canals!$I$24:$I$29,MATCH(2,1/((Canals!$F$24:$F$29&lt;=$C78)*(Canals!$G$24:$G$29=_xlfn.IFS(KS78="Handysize",Main!NB78,KS78="Supramax",MU78,KS78="Panamax",MN78,KS78="NeoPanamax",MG78,KS78="Suezmax",LZ78,KS78="Capesize",LS78,KS78="VLOC",LL78)))))</f>
        <v>#N/A</v>
      </c>
      <c r="OK78" s="75" t="e">
        <f t="array" aca="1" ref="OK78" ca="1">INDEX(Canals!$J$24:$J$29,MATCH(2,1/((Canals!$F$24:$F$29&lt;=$C78)*(Canals!$G$24:$G$29=_xlfn.IFS(KS78="Handysize",Main!NB78,KS78="Supramax",MU78,KS78="Panamax",MN78,KS78="NeoPanamax",MG78,KS78="Suezmax",LZ78,KS78="Capesize",LS78,KS78="VLOC",LL78)))))</f>
        <v>#N/A</v>
      </c>
      <c r="OL78" s="75" t="e">
        <f t="array" aca="1" ref="OL78" ca="1">INDEX(Canals!$K$24:$K$29,MATCH(2,1/((Canals!$F$24:$F$29&lt;=$C78)*(Canals!$G$24:$G$29=_xlfn.IFS(KS78="Handysize",Main!NB78,KS78="Supramax",MU78,KS78="Panamax",MN78,KS78="NeoPanamax",MG78,KS78="Suezmax",LZ78,KS78="Capesize",LS78,KS78="VLOC",LL78)))))</f>
        <v>#N/A</v>
      </c>
      <c r="OM78" s="75" t="e">
        <f t="array" aca="1" ref="OM78" ca="1">INDEX(Canals!$L$24:$L$29,MATCH(2,1/((Canals!$F$24:$F$29&lt;=$C78)*(Canals!$G$24:$G$29=_xlfn.IFS(KS78="Handysize",Main!NB78,KS78="Supramax",MU78,KS78="Panamax",MN78,KS78="NeoPanamax",MG78,KS78="Suezmax",LZ78,KS78="Capesize",LS78,KS78="VLOC",LL78)))))</f>
        <v>#N/A</v>
      </c>
      <c r="ON78" s="75" t="e">
        <f t="array" aca="1" ref="ON78" ca="1">INDEX(Canals!$M$24:$M$29,MATCH(2,1/((Canals!$F$24:$F$29&lt;=$C78)*(Canals!$G$24:$G$29=_xlfn.IFS(KS78="Handysize",Main!NB78,KS78="Supramax",MU78,KS78="Panamax",MN78,KS78="NeoPanamax",MG78,KS78="Suezmax",LZ78,KS78="Capesize",LS78,KS78="VLOC",LL78)))))</f>
        <v>#N/A</v>
      </c>
      <c r="OO78" s="75" t="e">
        <f t="array" aca="1" ref="OO78" ca="1">INDEX(Canals!$N$24:$N$29,MATCH(2,1/((Canals!$F$24:$F$29&lt;=$C78)*(Canals!$G$24:$G$29=_xlfn.IFS(KS78="Handysize",Main!NB78,KS78="Supramax",MU78,KS78="Panamax",MN78,KS78="NeoPanamax",MG78,KS78="Suezmax",LZ78,KS78="Capesize",LS78,KS78="VLOC",LL78)))))</f>
        <v>#N/A</v>
      </c>
      <c r="OP78" s="75" t="e">
        <f t="array" aca="1" ref="OP78" ca="1">INDEX(Canals!$O$24:$O$29,MATCH(2,1/((Canals!$F$24:$F$29&lt;=$C78)*(Canals!$G$24:$G$29=_xlfn.IFS(KS78="Handysize",Main!NB78,KS78="Supramax",MU78,KS78="Panamax",MN78,KS78="NeoPanamax",MG78,KS78="Suezmax",LZ78,KS78="Capesize",LS78,KS78="VLOC",LL78)))))</f>
        <v>#N/A</v>
      </c>
      <c r="OQ78" s="75" t="e">
        <f t="array" aca="1" ref="OQ78" ca="1">INDEX(Canals!$P$24:$P$29,MATCH(2,1/((Canals!$F$24:$F$29&lt;=$C78)*(Canals!$G$24:$G$29=_xlfn.IFS(KS78="Handysize",Main!NB78,KS78="Supramax",MU78,KS78="Panamax",MN78,KS78="NeoPanamax",MG78,KS78="Suezmax",LZ78,KS78="Capesize",LS78,KS78="VLOC",LL78)))))</f>
        <v>#N/A</v>
      </c>
      <c r="OR78" s="75" t="e">
        <f t="array" aca="1" ref="OR78" ca="1">INDEX(Canals!$Q$24:$Q$29,MATCH(2,1/((Canals!$F$24:$F$29&lt;=$C78)*(Canals!$G$24:$G$29=_xlfn.IFS(KS78="Handysize",Main!NB78,KS78="Supramax",MU78,KS78="Panamax",MN78,KS78="NeoPanamax",MG78,KS78="Suezmax",LZ78,KS78="Capesize",LS78,KS78="VLOC",LL78)))))</f>
        <v>#N/A</v>
      </c>
      <c r="OS78" s="75" t="e">
        <f t="array" aca="1" ref="OS78" ca="1">INDEX(Canals!$R$24:$R$29,MATCH(2,1/((Canals!$F$24:$F$29&lt;=$C78)*(Canals!$G$24:$G$29=_xlfn.IFS(KS78="Handysize",Main!NB78,KS78="Supramax",MU78,KS78="Panamax",MN78,KS78="NeoPanamax",MG78,KS78="Suezmax",LZ78,KS78="Capesize",LS78,KS78="VLOC",LL78)))))</f>
        <v>#N/A</v>
      </c>
      <c r="OT78" s="136" t="e">
        <f t="array" aca="1" ref="OT78" ca="1">INDEX(Canals!$S$24:$S$29,MATCH(2,1/((Canals!$F$24:$F$29&lt;=$C78)*(Canals!$G$24:$G$29=_xlfn.IFS(KS78="Handysize",Main!NB78,KS78="Supramax",MU78,KS78="Panamax",MN78,KS78="NeoPanamax",MG78,KS78="Suezmax",LZ78,KS78="Capesize",LS78,KS78="VLOC",LL78)))))</f>
        <v>#N/A</v>
      </c>
      <c r="OU78" s="136" t="e">
        <f t="array" aca="1" ref="OU78" ca="1">INDEX(Canals!$T$24:$T$29,MATCH(2,1/((Canals!$F$24:$F$29&lt;=$C78)*(Canals!$G$24:$G$29=_xlfn.IFS(KS78="Handysize",Main!NB78,KS78="Supramax",MU78,KS78="Panamax",MN78,KS78="NeoPanamax",MG78,KS78="Suezmax",LZ78,KS78="Capesize",LS78,KS78="VLOC",LL78)))))</f>
        <v>#N/A</v>
      </c>
      <c r="OV78" s="136" t="e">
        <f t="array" aca="1" ref="OV78" ca="1">INDEX(Canals!$U$24:$U$29,MATCH(2,1/((Canals!$F$24:$F$29&lt;=$C78)*(Canals!$G$24:$G$29=_xlfn.IFS(KS78="Handysize",Main!NB78,KS78="Supramax",MU78,KS78="Panamax",MN78,KS78="NeoPanamax",MG78,KS78="Suezmax",LZ78,KS78="Capesize",LS78,KS78="VLOC",LL78)))))</f>
        <v>#N/A</v>
      </c>
      <c r="OW78" s="136" t="e">
        <f t="array" aca="1" ref="OW78" ca="1">INDEX(Canals!$V$24:$V$29,MATCH(2,1/((Canals!$F$24:$F$29&lt;=$C78)*(Canals!$G$24:$G$29=_xlfn.IFS(KS78="Handysize",Main!NB78,KS78="Supramax",MU78,KS78="Panamax",MN78,KS78="NeoPanamax",MG78,KS78="Suezmax",LZ78,KS78="Capesize",LS78,KS78="VLOC",LL78)))))</f>
        <v>#N/A</v>
      </c>
      <c r="OX78" s="136" t="e">
        <f t="array" aca="1" ref="OX78" ca="1">INDEX(Canals!$W$24:$W$29,MATCH(2,1/((Canals!$F$24:$F$29&lt;=$C78)*(Canals!$G$24:$G$29=_xlfn.IFS(KS78="Handysize",Main!NB78,KS78="Supramax",MU78,KS78="Panamax",MN78,KS78="NeoPanamax",MG78,KS78="Suezmax",LZ78,KS78="Capesize",LS78,KS78="VLOC",LL78)))))</f>
        <v>#N/A</v>
      </c>
      <c r="OY78" s="136" t="e">
        <f t="array" aca="1" ref="OY78" ca="1">INDEX(Canals!$X$24:$X$29,MATCH(2,1/((Canals!$F$24:$F$29&lt;=$C78)*(Canals!$G$24:$G$29=_xlfn.IFS(KS78="Handysize",Main!NB78,KS78="Supramax",MU78,KS78="Panamax",MN78,KS78="NeoPanamax",MG78,KS78="Suezmax",LZ78,KS78="Capesize",LS78,KS78="VLOC",LL78)))))</f>
        <v>#N/A</v>
      </c>
      <c r="OZ78" s="136" t="e">
        <f t="array" aca="1" ref="OZ78" ca="1">INDEX(Canals!$Y$24:$Y$29,MATCH(2,1/((Canals!$F$24:$F$29&lt;=$C78)*(Canals!$G$24:$G$29=_xlfn.IFS(KS78="Handysize",Main!NB78,KS78="Supramax",MU78,KS78="Panamax",MN78,KS78="NeoPanamax",MG78,KS78="Suezmax",LZ78,KS78="Capesize",LS78,KS78="VLOC",LL78)))))</f>
        <v>#N/A</v>
      </c>
      <c r="PA78" s="136" t="e">
        <f t="array" aca="1" ref="PA78" ca="1">INDEX(Canals!$Z$24:$Z$29,MATCH(2,1/((Canals!$F$24:$F$29&lt;=$C78)*(Canals!$G$24:$G$29=_xlfn.IFS(KS78="Handysize",Main!NB78,KS78="Supramax",MU78,KS78="Panamax",MN78,KS78="NeoPanamax",MG78,KS78="Suezmax",LZ78,KS78="Capesize",LS78,KS78="VLOC",LL78)))))</f>
        <v>#N/A</v>
      </c>
      <c r="PB78" s="136" t="e">
        <f t="array" aca="1" ref="PB78" ca="1">INDEX(Canals!$AA$24:$AA$29,MATCH(2,1/((Canals!$F$24:$F$29&lt;=$C78)*(Canals!$G$24:$G$29=_xlfn.IFS(KS78="Handysize",Main!NB78,KS78="Supramax",MU78,KS78="Panamax",MN78,KS78="NeoPanamax",MG78,KS78="Suezmax",LZ78,KS78="Capesize",LS78,KS78="VLOC",LL78)))))</f>
        <v>#N/A</v>
      </c>
      <c r="PC78" s="136" t="e">
        <f t="array" aca="1" ref="PC78" ca="1">INDEX(Canals!$AB$24:$AB$29,MATCH(2,1/((Canals!$F$24:$F$29&lt;=$C78)*(Canals!$G$24:$G$29=_xlfn.IFS(KS78="Handysize",Main!NB78,KS78="Supramax",MU78,KS78="Panamax",MN78,KS78="NeoPanamax",MG78,KS78="Suezmax",LZ78,KS78="Capesize",LS78,KS78="VLOC",LL78)))))</f>
        <v>#N/A</v>
      </c>
      <c r="PD78" s="75" t="e">
        <f t="array" aca="1" ref="PD78" ca="1">INDEX(Canals!$AC$24:$AC$29,MATCH(2,1/((Canals!$F$24:$F$29&lt;=$C78)*(Canals!$G$24:$G$29=_xlfn.IFS(KS78="Handysize",Main!NB78,KS78="Supramax",MU78,KS78="Panamax",MN78,KS78="NeoPanamax",MG78,KS78="Suezmax",LZ78,KS78="Capesize",LS78,KS78="VLOC",LL78)))))</f>
        <v>#N/A</v>
      </c>
      <c r="PE78" s="75" t="e">
        <f t="array" aca="1" ref="PE78" ca="1">INDEX(Canals!$AD$24:$AD$29,MATCH(2,1/((Canals!$F$24:$F$29&lt;=$C78)*(Canals!$G$24:$G$29=_xlfn.IFS(KS78="Handysize",Main!NB78,KS78="Supramax",MU78,KS78="Panamax",MN78,KS78="NeoPanamax",MG78,KS78="Suezmax",LZ78,KS78="Capesize",LS78,KS78="VLOC",LL78)))))</f>
        <v>#N/A</v>
      </c>
      <c r="PF78" s="75" t="e">
        <f t="array" aca="1" ref="PF78" ca="1">INDEX(Canals!$AE$24:$AE$29,MATCH(2,1/((Canals!$F$24:$F$29&lt;=$C78)*(Canals!$G$24:$G$29=_xlfn.IFS(KS78="Handysize",Main!NB78,KS78="Supramax",MU78,KS78="Panamax",MN78,KS78="NeoPanamax",MG78,KS78="Suezmax",LZ78,KS78="Capesize",LS78,KS78="VLOC",LL78)))))</f>
        <v>#N/A</v>
      </c>
      <c r="PG78" s="75" t="e">
        <f t="array" aca="1" ref="PG78" ca="1">INDEX(Canals!$AF$24:$AF$29,MATCH(2,1/((Canals!$F$24:$F$29&lt;=$C78)*(Canals!$G$24:$G$29=_xlfn.IFS(KS78="Handysize",Main!NB78,KS78="Supramax",MU78,KS78="Panamax",MN78,KS78="NeoPanamax",MG78,KS78="Suezmax",LZ78,KS78="Capesize",LS78,KS78="VLOC",LL78)))))</f>
        <v>#N/A</v>
      </c>
      <c r="PH78" s="75" t="e">
        <f t="array" aca="1" ref="PH78" ca="1">INDEX(Canals!$AG$24:$AG$29,MATCH(2,1/((Canals!$F$24:$F$29&lt;=$C78)*(Canals!$G$24:$G$29=_xlfn.IFS(KS78="Handysize",Main!NB78,KS78="Supramax",MU78,KS78="Panamax",MN78,KS78="NeoPanamax",MG78,KS78="Suezmax",LZ78,KS78="Capesize",LS78,KS78="VLOC",LL78)))))</f>
        <v>#N/A</v>
      </c>
      <c r="PI78" s="75" t="e">
        <f t="array" aca="1" ref="PI78" ca="1">INDEX(Canals!$AH$24:$AH$29,MATCH(2,1/((Canals!$F$24:$F$29&lt;=$C78)*(Canals!$G$24:$G$29=_xlfn.IFS(KS78="Handysize",Main!NB78,KS78="Supramax",MU78,KS78="Panamax",MN78,KS78="NeoPanamax",MG78,KS78="Suezmax",LZ78,KS78="Capesize",LS78,KS78="VLOC",LL78)))))</f>
        <v>#N/A</v>
      </c>
      <c r="PJ78" s="75" t="e">
        <f t="array" aca="1" ref="PJ78" ca="1">INDEX(Canals!$AI$24:$AI$29,MATCH(2,1/((Canals!$F$24:$F$29&lt;=$C78)*(Canals!$G$24:$G$29=_xlfn.IFS(KS78="Handysize",Main!NB78,KS78="Supramax",MU78,KS78="Panamax",MN78,KS78="NeoPanamax",MG78,KS78="Suezmax",LZ78,KS78="Capesize",LS78,KS78="VLOC",LL78)))))</f>
        <v>#N/A</v>
      </c>
      <c r="PK78" s="75" t="e">
        <f t="array" aca="1" ref="PK78" ca="1">INDEX(Canals!$AJ$24:$AJ$29,MATCH(2,1/((Canals!$F$24:$F$29&lt;=$C78)*(Canals!$G$24:$G$29=_xlfn.IFS(KS78="Handysize",Main!NB78,KS78="Supramax",MU78,KS78="Panamax",MN78,KS78="NeoPanamax",MG78,KS78="Suezmax",LZ78,KS78="Capesize",LS78,KS78="VLOC",LL78)))))</f>
        <v>#N/A</v>
      </c>
      <c r="PL78" s="75" t="e">
        <f t="array" aca="1" ref="PL78" ca="1">INDEX(Canals!$AK$24:$AK$29,MATCH(2,1/((Canals!$F$24:$F$29&lt;=$C78)*(Canals!$G$24:$G$29=_xlfn.IFS(KS78="Handysize",Main!NB78,KS78="Supramax",MU78,KS78="Panamax",MN78,KS78="NeoPanamax",MG78,KS78="Suezmax",LZ78,KS78="Capesize",LS78,KS78="VLOC",LL78)))))</f>
        <v>#N/A</v>
      </c>
      <c r="PM78" s="136" t="e">
        <f t="array" aca="1" ref="PM78" ca="1">INDEX(Canals!$AL$24:$AL$29,MATCH(2,1/((Canals!$F$24:$F$29&lt;=$C78)*(Canals!$G$24:$G$29=_xlfn.IFS(KS78="Handysize",Main!NB78,KS78="Supramax",MU78,KS78="Panamax",MN78,KS78="NeoPanamax",MG78,KS78="Suezmax",LZ78,KS78="Capesize",LS78,KS78="VLOC",LL78)))))</f>
        <v>#N/A</v>
      </c>
      <c r="PN78" s="136" t="e">
        <f t="array" aca="1" ref="PN78" ca="1">INDEX(Canals!$AM$24:$AM$29,MATCH(2,1/((Canals!$F$24:$F$29&lt;=$C78)*(Canals!$G$24:$G$29=_xlfn.IFS(KS78="Handysize",Main!NB78,KS78="Supramax",MU78,KS78="Panamax",MN78,KS78="NeoPanamax",MG78,KS78="Suezmax",LZ78,KS78="Capesize",LS78,KS78="VLOC",LL78)))))</f>
        <v>#N/A</v>
      </c>
      <c r="PO78" s="136" t="e">
        <f t="array" aca="1" ref="PO78" ca="1">INDEX(Canals!$AN$24:$AN$29,MATCH(2,1/((Canals!$F$24:$F$29&lt;=$C78)*(Canals!$G$24:$G$29=_xlfn.IFS(KS78="Handysize",Main!NB78,KS78="Supramax",MU78,KS78="Panamax",MN78,KS78="NeoPanamax",MG78,KS78="Suezmax",LZ78,KS78="Capesize",LS78,KS78="VLOC",LL78)))))</f>
        <v>#N/A</v>
      </c>
      <c r="PP78" s="136" t="e">
        <f t="array" aca="1" ref="PP78" ca="1">INDEX(Canals!$AO$24:$AO$29,MATCH(2,1/((Canals!$F$24:$F$29&lt;=$C78)*(Canals!$G$24:$G$29=_xlfn.IFS(KS78="Handysize",Main!NB78,KS78="Supramax",MU78,KS78="Panamax",MN78,KS78="NeoPanamax",MG78,KS78="Suezmax",LZ78,KS78="Capesize",LS78,KS78="VLOC",LL78)))))</f>
        <v>#N/A</v>
      </c>
      <c r="PQ78" s="136" t="e">
        <f t="array" aca="1" ref="PQ78" ca="1">INDEX(Canals!$AP$24:$AP$29,MATCH(2,1/((Canals!$F$24:$F$29&lt;=$C78)*(Canals!$G$24:$G$29=_xlfn.IFS(KS78="Handysize",Main!NB78,KS78="Supramax",MU78,KS78="Panamax",MN78,KS78="NeoPanamax",MG78,KS78="Suezmax",LZ78,KS78="Capesize",LS78,KS78="VLOC",LL78)))))</f>
        <v>#N/A</v>
      </c>
      <c r="PR78" s="136" t="e">
        <f t="array" aca="1" ref="PR78" ca="1">INDEX(Canals!$AQ$24:$AQ$29,MATCH(2,1/((Canals!$F$24:$F$29&lt;=$C78)*(Canals!$G$24:$G$29=_xlfn.IFS(KS78="Handysize",Main!NB78,KS78="Supramax",MU78,KS78="Panamax",MN78,KS78="NeoPanamax",MG78,KS78="Suezmax",LZ78,KS78="Capesize",LS78,KS78="VLOC",LL78)))))</f>
        <v>#N/A</v>
      </c>
      <c r="PS78" s="136" t="e">
        <f t="array" aca="1" ref="PS78" ca="1">INDEX(Canals!$AR$24:$AR$29,MATCH(2,1/((Canals!$F$24:$F$29&lt;=$C78)*(Canals!$G$24:$G$29=_xlfn.IFS(KS78="Handysize",Main!NB78,KS78="Supramax",MU78,KS78="Panamax",MN78,KS78="NeoPanamax",MG78,KS78="Suezmax",LZ78,KS78="Capesize",LS78,KS78="VLOC",LL78)))))</f>
        <v>#N/A</v>
      </c>
      <c r="PT78" s="136" t="e">
        <f t="array" aca="1" ref="PT78" ca="1">INDEX(Canals!$AS$24:$AS$29,MATCH(2,1/((Canals!$F$24:$F$29&lt;=$C78)*(Canals!$G$24:$G$29=_xlfn.IFS(KS78="Handysize",Main!NB78,KS78="Supramax",MU78,KS78="Panamax",MN78,KS78="NeoPanamax",MG78,KS78="Suezmax",LZ78,KS78="Capesize",LS78,KS78="VLOC",LL78)))))</f>
        <v>#N/A</v>
      </c>
      <c r="PU78" s="136" t="e">
        <f t="array" aca="1" ref="PU78" ca="1">INDEX(Canals!$AT$24:$AT$29,MATCH(2,1/((Canals!$F$24:$F$29&lt;=$C78)*(Canals!$G$24:$G$29=_xlfn.IFS(KS78="Handysize",Main!NB78,KS78="Supramax",MU78,KS78="Panamax",MN78,KS78="NeoPanamax",MG78,KS78="Suezmax",LZ78,KS78="Capesize",LS78,KS78="VLOC",LL78)))))</f>
        <v>#N/A</v>
      </c>
      <c r="PV78" s="136" t="e">
        <f t="array" aca="1" ref="PV78" ca="1">INDEX(Canals!$AU$24:$AU$29,MATCH(2,1/((Canals!$F$24:$F$29&lt;=$C78)*(Canals!$G$24:$G$29=_xlfn.IFS(KS78="Handysize",Main!NB78,KS78="Supramax",MU78,KS78="Panamax",MN78,KS78="NeoPanamax",MG78,KS78="Suezmax",LZ78,KS78="Capesize",LS78,KS78="VLOC",LL78)))))</f>
        <v>#N/A</v>
      </c>
      <c r="PW78" s="136" t="e">
        <f t="array" aca="1" ref="PW78" ca="1">INDEX(Canals!$AV$24:$AV$29,MATCH(2,1/((Canals!$F$24:$F$29&lt;=$C78)*(Canals!$G$24:$G$29=_xlfn.IFS(KS78="Handysize",Main!NB78,KS78="Supramax",MU78,KS78="Panamax",MN78,KS78="NeoPanamax",MG78,KS78="Suezmax",LZ78,KS78="Capesize",LS78,KS78="VLOC",LL78)))))</f>
        <v>#N/A</v>
      </c>
      <c r="PY78" s="75" t="e">
        <f t="array" aca="1" ref="PY78" ca="1">_xlfn.IFS(OJ78="DWT",KQ78,OJ78="NRT",KU78,OJ78="GRT",KV78)</f>
        <v>#NAME?</v>
      </c>
      <c r="PZ78" s="279" t="e">
        <f t="shared" ca="1" si="782"/>
        <v>#NAME?</v>
      </c>
      <c r="QA78" s="280" t="e">
        <f t="shared" ca="1" si="783"/>
        <v>#NAME?</v>
      </c>
      <c r="QB78" s="280" t="e">
        <f t="shared" ca="1" si="784"/>
        <v>#NAME?</v>
      </c>
      <c r="QC78" s="280" t="e">
        <f t="shared" ca="1" si="785"/>
        <v>#NAME?</v>
      </c>
      <c r="QD78" s="280" t="e">
        <f t="shared" ca="1" si="786"/>
        <v>#NAME?</v>
      </c>
      <c r="QE78" s="280" t="e">
        <f t="shared" ca="1" si="787"/>
        <v>#NAME?</v>
      </c>
      <c r="QF78" s="280" t="e">
        <f t="shared" ca="1" si="788"/>
        <v>#NAME?</v>
      </c>
      <c r="QG78" s="280" t="e">
        <f t="shared" ca="1" si="789"/>
        <v>#NAME?</v>
      </c>
      <c r="QH78" s="280" t="e">
        <f t="shared" ca="1" si="790"/>
        <v>#NAME?</v>
      </c>
      <c r="QI78" s="75">
        <f t="shared" si="791"/>
        <v>81052.631578947374</v>
      </c>
      <c r="QJ78" s="279" t="e">
        <f t="shared" ca="1" si="792"/>
        <v>#N/A</v>
      </c>
      <c r="QK78" s="280" t="e">
        <f t="shared" ca="1" si="793"/>
        <v>#N/A</v>
      </c>
      <c r="QL78" s="280" t="e">
        <f t="shared" ca="1" si="794"/>
        <v>#N/A</v>
      </c>
      <c r="QM78" s="280" t="e">
        <f t="shared" ca="1" si="795"/>
        <v>#N/A</v>
      </c>
      <c r="QN78" s="280" t="e">
        <f t="shared" ca="1" si="796"/>
        <v>#N/A</v>
      </c>
      <c r="QO78" s="280" t="e">
        <f t="shared" ca="1" si="797"/>
        <v>#N/A</v>
      </c>
      <c r="QP78" s="280" t="e">
        <f t="shared" ca="1" si="798"/>
        <v>#N/A</v>
      </c>
      <c r="QQ78" s="280" t="e">
        <f t="shared" ca="1" si="799"/>
        <v>#N/A</v>
      </c>
      <c r="QR78" s="280" t="e">
        <f t="shared" ca="1" si="800"/>
        <v>#N/A</v>
      </c>
      <c r="QT78" s="75" t="e">
        <f t="array" aca="1" ref="QT78" ca="1">_xlfn.IFS(KS78="Handysize",Main!MV78,KS78="Supramax",MO78,KS78="Panamax",MH78,KS78="NeoPanamax",MA78,KS78="Suezmax",LT78,KS78="Capesize",LM78,KS78="VLOC",LF78)*$JI78</f>
        <v>#NAME?</v>
      </c>
      <c r="QU78" s="274" t="e">
        <f t="array" aca="1" ref="QU78" ca="1">_xlfn.IFS(KS78="Handysize",Main!MW78,KS78="Supramax",MP78,KS78="Panamax",MI78,KS78="NeoPanamax",MB78,KS78="Suezmax",LU78,KS78="Capesize",LN78,KS78="VLOC",LG78)*$JI78</f>
        <v>#NAME?</v>
      </c>
      <c r="QV78" s="71" t="e">
        <f t="array" aca="1" ref="QV78" ca="1">_xlfn.IFS(KS78="Handysize",Main!KX78,KS78="Supramax",KY78,KS78="Panamax",KZ78,KS78="NeoPanamax",LA78,KS78="Suezmax",LB78,KS78="Capesize",LC78,KS78="VLOC",LD78)</f>
        <v>#NAME?</v>
      </c>
      <c r="QW78" s="71" t="e">
        <f t="array" aca="1" ref="QW78" ca="1">_xlfn.IFS(KS78="Handysize",Main!NJ78,KS78="Supramax",NK78,KS78="Panamax",NL78,KS78="NeoPanamax",NM78,KS78="Suezmax",NN78,KS78="Capesize",NO78,KS78="VLOC",NP78)</f>
        <v>#NAME?</v>
      </c>
      <c r="QX78" s="70">
        <f t="array" ref="QX78">INDEX('Ship Speeds'!$G$11:$G$1011,MATCH(2,1/(('Ship Speeds'!$E$11:$E$1011&lt;=Main!$C78)*('Ship Speeds'!$F$11:$F$1011=Main!KR78))))</f>
        <v>11</v>
      </c>
      <c r="QY78" s="403">
        <f t="shared" si="801"/>
        <v>22.103418307276918</v>
      </c>
      <c r="QZ78" s="401">
        <f t="shared" si="802"/>
        <v>2.087838056680162</v>
      </c>
      <c r="RA78" s="70" t="e">
        <f t="shared" ca="1" si="803"/>
        <v>#NAME?</v>
      </c>
      <c r="RB78" s="70" t="e">
        <f t="shared" ca="1" si="804"/>
        <v>#NAME?</v>
      </c>
      <c r="RC78" s="70" t="e">
        <f t="shared" ca="1" si="805"/>
        <v>#NAME?</v>
      </c>
      <c r="RD78" s="70" t="e">
        <f t="shared" ca="1" si="806"/>
        <v>#NAME?</v>
      </c>
      <c r="RE78" s="72" t="e">
        <f t="shared" ca="1" si="807"/>
        <v>#N/A</v>
      </c>
      <c r="RF78" s="70" t="e">
        <f t="shared" ca="1" si="808"/>
        <v>#NAME?</v>
      </c>
      <c r="RG78" s="70" t="e">
        <f t="array" aca="1" ref="RG78" ca="1">INDEX(ND78:NH78,MATCH(_xlfn.IFS(KS78="Handysize",Main!MZ78,KS78="Supramax",MS78,KS78="Panamax",ML78,KS78="NeoPanamax",ME78,KS78="Suezmax",LX78,KS78="Capesize",LQ78,KS78="VLOC",LJ78),$ND$7:$NH$7,0))</f>
        <v>#NAME?</v>
      </c>
      <c r="RH78" s="70" t="e">
        <f t="array" aca="1" ref="RH78" ca="1">INDEX(ND78:NH78,MATCH(_xlfn.IFS(KS78="Handysize",Main!NA78,KS78="Supramax",MT78,KS78="Panamax",MM78,KS78="NeoPanamax",MF78,KS78="Suezmax",LY78,KS78="Capesize",LR78,KS78="VLOC",LK78),$ND$7:$NH$7,0))</f>
        <v>#NAME?</v>
      </c>
      <c r="RI78" s="71" t="e">
        <f t="shared" ca="1" si="809"/>
        <v>#NAME?</v>
      </c>
      <c r="RJ78" s="71" t="e">
        <f t="shared" ca="1" si="810"/>
        <v>#NAME?</v>
      </c>
      <c r="RK78" s="281">
        <f t="shared" si="811"/>
        <v>7.0834199999999994</v>
      </c>
      <c r="RL78" s="71">
        <f t="shared" si="812"/>
        <v>1742.3786814843679</v>
      </c>
      <c r="RM78" s="71" t="e">
        <f t="shared" ca="1" si="813"/>
        <v>#NAME?</v>
      </c>
      <c r="RN78" s="71" t="e">
        <f t="shared" ca="1" si="814"/>
        <v>#NAME?</v>
      </c>
      <c r="RO78" s="71">
        <f t="shared" si="815"/>
        <v>30208.422960719694</v>
      </c>
      <c r="RP78" s="71" t="e">
        <f t="shared" ca="1" si="816"/>
        <v>#NAME?</v>
      </c>
      <c r="RQ78" s="71" t="e">
        <f t="shared" ca="1" si="817"/>
        <v>#NAME?</v>
      </c>
      <c r="RR78" s="71">
        <f t="shared" si="818"/>
        <v>21446.360736311224</v>
      </c>
      <c r="RS78" s="71" t="e">
        <f t="shared" ca="1" si="819"/>
        <v>#NAME?</v>
      </c>
      <c r="RT78" s="71" t="e">
        <f t="shared" ca="1" si="820"/>
        <v>#NAME?</v>
      </c>
      <c r="RU78" s="71">
        <f t="shared" si="821"/>
        <v>0</v>
      </c>
      <c r="RV78" s="71" t="e">
        <f t="shared" ca="1" si="822"/>
        <v>#NAME?</v>
      </c>
      <c r="RW78" s="71" t="e">
        <f t="shared" ca="1" si="823"/>
        <v>#NAME?</v>
      </c>
      <c r="RX78" s="72">
        <f t="shared" si="824"/>
        <v>6075.774983325663</v>
      </c>
      <c r="RY78" s="72" t="e">
        <f t="shared" ca="1" si="825"/>
        <v>#NAME?</v>
      </c>
      <c r="RZ78" s="71" t="e">
        <f t="shared" ca="1" si="826"/>
        <v>#NAME?</v>
      </c>
      <c r="SA78" s="71" t="e">
        <f t="array" aca="1" ref="SA78" ca="1">INDEX('Ship Time Charter Rates'!$H$22:$H$1021,MATCH(2,1/(('Ship Time Charter Rates'!$G$22:$G$1021=_xlfn.IFS(KS78="Handysize",Main!MX78,KS78="Supramax",MQ78,KS78="Panamax",MJ78,KS78="NeoPanamax",MC78,KS78="Suezmax",LV78,KS78="Capesize",LO78,KS78="VLOC",LH78))*('Ship Time Charter Rates'!$E$22:$E$1021&lt;=Main!$C78)*(NOT(ISBLANK('Ship Time Charter Rates'!$H$22:$H$1021))))))</f>
        <v>#N/A</v>
      </c>
      <c r="SB78" s="71" t="e">
        <f t="shared" ca="1" si="827"/>
        <v>#NAME?</v>
      </c>
      <c r="SC78" s="70" t="e">
        <f t="shared" ca="1" si="828"/>
        <v>#N/A</v>
      </c>
      <c r="SD78" s="71" t="e">
        <f t="shared" ca="1" si="829"/>
        <v>#NAME?</v>
      </c>
      <c r="SE78" s="71" t="e">
        <f t="shared" ca="1" si="830"/>
        <v>#NAME?</v>
      </c>
      <c r="SF78" s="72" t="e">
        <f t="shared" ca="1" si="831"/>
        <v>#NAME?</v>
      </c>
      <c r="SH78" s="25">
        <f t="shared" si="832"/>
        <v>0</v>
      </c>
      <c r="SI78" s="4" t="str">
        <f>VLOOKUP(SH78,'Ship Time Charter Rates'!$F$10:$G$17,2,TRUE)</f>
        <v>Handysize</v>
      </c>
      <c r="SJ78" s="4" t="str">
        <f>VLOOKUP(SH78,Canals!$E$5:$F$12,2,TRUE)</f>
        <v>Handysize</v>
      </c>
      <c r="SK78" s="25">
        <f t="shared" si="833"/>
        <v>145.88999999999999</v>
      </c>
      <c r="SL78" s="25">
        <f t="shared" si="834"/>
        <v>0</v>
      </c>
      <c r="SM78" s="25">
        <f t="shared" si="835"/>
        <v>4797</v>
      </c>
      <c r="SO78" s="75">
        <f t="array" ref="SO78">INDEX('Indices Mines Exporting Ports'!$R$20:$R$51,MATCH(2,1/(('Indices Mines Exporting Ports'!$D$20:$D$51&lt;=Main!$C78)*('Indices Mines Exporting Ports'!$Q$20:$Q$51=$AQ78))))</f>
        <v>0</v>
      </c>
      <c r="SP78" s="75">
        <f t="array" ref="SP78">INDEX('Indices Mines Exporting Ports'!$S$20:$S$51,MATCH(2,1/(('Indices Mines Exporting Ports'!$D$20:$D$51&lt;=Main!$C78)*('Indices Mines Exporting Ports'!$Q$20:$Q$51=$AQ78))))</f>
        <v>0</v>
      </c>
      <c r="SQ78" s="75">
        <f t="array" ref="SQ78">INDEX('Indices Mines Exporting Ports'!$T$20:$T$51,MATCH(2,1/(('Indices Mines Exporting Ports'!$D$20:$D$51&lt;=Main!$C78)*('Indices Mines Exporting Ports'!$Q$20:$Q$51=$AQ78))))</f>
        <v>0</v>
      </c>
      <c r="SR78" s="75">
        <f t="array" ref="SR78">INDEX('Indices Mines Exporting Ports'!$U$20:$U$51,MATCH(2,1/(('Indices Mines Exporting Ports'!$D$20:$D$51&lt;=Main!$C78)*('Indices Mines Exporting Ports'!$Q$20:$Q$51=$AQ78))))</f>
        <v>0</v>
      </c>
      <c r="SS78" s="75">
        <f t="array" ref="SS78">INDEX('Indices Mines Exporting Ports'!$V$20:$V$51,MATCH(2,1/(('Indices Mines Exporting Ports'!$D$20:$D$51&lt;=Main!$C78)*('Indices Mines Exporting Ports'!$Q$20:$Q$51=$AQ78))))</f>
        <v>0</v>
      </c>
      <c r="ST78" s="75">
        <f t="array" ref="ST78">INDEX('Indices Mines Exporting Ports'!$W$20:$W$51,MATCH(2,1/(('Indices Mines Exporting Ports'!$D$20:$D$51&lt;=Main!$C78)*('Indices Mines Exporting Ports'!$Q$20:$Q$51=$AQ78))))</f>
        <v>0</v>
      </c>
      <c r="SU78" s="75">
        <f t="array" ref="SU78">INDEX('Indices Mines Exporting Ports'!$X$20:$X$51,MATCH(2,1/(('Indices Mines Exporting Ports'!$D$20:$D$51&lt;=Main!$C78)*('Indices Mines Exporting Ports'!$Q$20:$Q$51=$AQ78))))</f>
        <v>0</v>
      </c>
      <c r="SW78" s="75">
        <f t="array" ref="SW78">INDEX('Port Linkages'!$E$18:$E$157,MATCH(2,1/(('Port Linkages'!$C$18:$C$157=$AQ78)*('Port Linkages'!$D$18:$D$157=IF($AO78="no",$AQ78,$AS78))*('Port Linkages'!$A$18:$A$157&lt;=$C78))))</f>
        <v>0</v>
      </c>
      <c r="SX78" s="75">
        <f t="array" ref="SX78">INDEX('Port Linkages'!$F$18:$F$157,MATCH(2,1/(('Port Linkages'!$C$18:$C$157=$AQ78)*('Port Linkages'!$D$18:$D$157=IF($AO78="no",$AQ78,$AS78))*('Port Linkages'!$A$18:$A$157&lt;=$C78))))</f>
        <v>0</v>
      </c>
      <c r="SY78" s="75">
        <f t="array" ref="SY78">INDEX('Port Linkages'!$G$18:$G$157,MATCH(2,1/(('Port Linkages'!$C$18:$C$157=$AQ78)*('Port Linkages'!$D$18:$D$157=IF($AO78="no",$AQ78,$AS78))*('Port Linkages'!$A$18:$A$157&lt;=$C78))))</f>
        <v>0</v>
      </c>
      <c r="SZ78" s="75">
        <f t="array" ref="SZ78">INDEX('Port Linkages'!$H$18:$H$157,MATCH(2,1/(('Port Linkages'!$C$18:$C$157=$AQ78)*('Port Linkages'!$D$18:$D$157=IF($AO78="no",$AQ78,$AS78))*('Port Linkages'!$A$18:$A$157&lt;=$C78))))</f>
        <v>0</v>
      </c>
      <c r="TA78" s="75">
        <f t="array" ref="TA78">INDEX('Port Linkages'!$I$18:$I$157,MATCH(2,1/(('Port Linkages'!$C$18:$C$157=$AQ78)*('Port Linkages'!$D$18:$D$157=IF($AO78="no",$AQ78,$AS78))*('Port Linkages'!$A$18:$A$157&lt;=$C78))))</f>
        <v>0</v>
      </c>
      <c r="TB78" s="75">
        <f t="array" ref="TB78">INDEX('Port Linkages'!$J$18:$J$157,MATCH(2,1/(('Port Linkages'!$C$18:$C$157=$AQ78)*('Port Linkages'!$D$18:$D$157=IF($AO78="no",$AQ78,$AS78))*('Port Linkages'!$A$18:$A$157&lt;=$C78))))</f>
        <v>0</v>
      </c>
      <c r="TC78" s="75">
        <f t="array" ref="TC78">INDEX('Port Linkages'!$K$18:$K$157,MATCH(2,1/(('Port Linkages'!$C$18:$C$157=$AQ78)*('Port Linkages'!$D$18:$D$157=IF($AO78="no",$AQ78,$AS78))*('Port Linkages'!$A$18:$A$157&lt;=$C78))))</f>
        <v>0</v>
      </c>
      <c r="TD78" s="75">
        <f t="array" ref="TD78">INDEX('Port Linkages'!$L$18:$L$157,MATCH(2,1/(('Port Linkages'!$C$18:$C$157=$AQ78)*('Port Linkages'!$D$18:$D$157=IF($AO78="no",$AQ78,$AS78))*('Port Linkages'!$A$18:$A$157&lt;=$C78))))</f>
        <v>0</v>
      </c>
      <c r="TE78" s="75">
        <f t="array" ref="TE78">INDEX('Port Linkages'!$M$18:$M$157,MATCH(2,1/(('Port Linkages'!$C$18:$C$157=$AQ78)*('Port Linkages'!$D$18:$D$157=IF($AO78="no",$AQ78,$AS78))*('Port Linkages'!$A$18:$A$157&lt;=$C78))))</f>
        <v>0</v>
      </c>
      <c r="TF78" s="75">
        <f t="array" ref="TF78">INDEX('Port Linkages'!$N$18:$N$157,MATCH(2,1/(('Port Linkages'!$C$18:$C$157=$AQ78)*('Port Linkages'!$D$18:$D$157=IF($AO78="no",$AQ78,$AS78))*('Port Linkages'!$A$18:$A$157&lt;=$C78))))</f>
        <v>0</v>
      </c>
      <c r="TG78" s="75">
        <f t="array" ref="TG78">INDEX('Port Linkages'!$O$18:$O$157,MATCH(2,1/(('Port Linkages'!$C$18:$C$157=$AQ78)*('Port Linkages'!$D$18:$D$157=IF($AO78="no",$AQ78,$AS78))*('Port Linkages'!$A$18:$A$157&lt;=$C78))))</f>
        <v>0</v>
      </c>
      <c r="TH78" s="75">
        <f t="array" ref="TH78">INDEX('Port Linkages'!$P$18:$P$157,MATCH(2,1/(('Port Linkages'!$C$18:$C$157=$AQ78)*('Port Linkages'!$D$18:$D$157=IF($AO78="no",$AQ78,$AS78))*('Port Linkages'!$A$18:$A$157&lt;=$C78))))</f>
        <v>0</v>
      </c>
      <c r="TI78" s="75">
        <f t="array" ref="TI78">INDEX('Port Linkages'!$Q$18:$Q$157,MATCH(2,1/(('Port Linkages'!$C$18:$C$157=$AQ78)*('Port Linkages'!$D$18:$D$157=IF($AO78="no",$AQ78,$AS78))*('Port Linkages'!$A$18:$A$157&lt;=$C78))))</f>
        <v>0</v>
      </c>
      <c r="TJ78" s="75">
        <f t="array" ref="TJ78">INDEX('Port Linkages'!$R$18:$R$157,MATCH(2,1/(('Port Linkages'!$C$18:$C$157=$AQ78)*('Port Linkages'!$D$18:$D$157=IF($AO78="no",$AQ78,$AS78))*('Port Linkages'!$A$18:$A$157&lt;=$C78))))</f>
        <v>0</v>
      </c>
      <c r="TK78" s="75">
        <f t="array" ref="TK78">INDEX('Port Linkages'!$S$18:$S$157,MATCH(2,1/(('Port Linkages'!$C$18:$C$157=$AQ78)*('Port Linkages'!$D$18:$D$157=IF($AO78="no",$AQ78,$AS78))*('Port Linkages'!$A$18:$A$157&lt;=$C78))))</f>
        <v>0</v>
      </c>
      <c r="TL78" s="75">
        <f t="array" ref="TL78">INDEX('Port Linkages'!$T$18:$T$157,MATCH(2,1/(('Port Linkages'!$C$18:$C$157=$AQ78)*('Port Linkages'!$D$18:$D$157=IF($AO78="no",$AQ78,$AS78))*('Port Linkages'!$A$18:$A$157&lt;=$C78))))</f>
        <v>0</v>
      </c>
      <c r="TM78" s="75">
        <f t="array" ref="TM78">INDEX('Port Linkages'!$U$18:$U$157,MATCH(2,1/(('Port Linkages'!$C$18:$C$157=$AQ78)*('Port Linkages'!$D$18:$D$157=IF($AO78="no",$AQ78,$AS78))*('Port Linkages'!$A$18:$A$157&lt;=$C78))))</f>
        <v>0</v>
      </c>
      <c r="TN78" s="75">
        <f t="array" ref="TN78">INDEX('Port Linkages'!$V$18:$V$157,MATCH(2,1/(('Port Linkages'!$C$18:$C$157=$AQ78)*('Port Linkages'!$D$18:$D$157=IF($AO78="no",$AQ78,$AS78))*('Port Linkages'!$A$18:$A$157&lt;=$C78))))</f>
        <v>0</v>
      </c>
      <c r="TO78" s="75">
        <f t="array" ref="TO78">INDEX('Port Linkages'!$W$18:$W$157,MATCH(2,1/(('Port Linkages'!$C$18:$C$157=$AQ78)*('Port Linkages'!$D$18:$D$157=IF($AO78="no",$AQ78,$AS78))*('Port Linkages'!$A$18:$A$157&lt;=$C78))))</f>
        <v>0</v>
      </c>
      <c r="TP78" s="75">
        <f t="array" ref="TP78">INDEX('Port Linkages'!$X$18:$X$157,MATCH(2,1/(('Port Linkages'!$C$18:$C$157=$AQ78)*('Port Linkages'!$D$18:$D$157=IF($AO78="no",$AQ78,$AS78))*('Port Linkages'!$A$18:$A$157&lt;=$C78))))</f>
        <v>0</v>
      </c>
      <c r="TQ78" s="75">
        <f t="array" ref="TQ78">INDEX('Port Linkages'!$Y$18:$Y$157,MATCH(2,1/(('Port Linkages'!$C$18:$C$157=$AQ78)*('Port Linkages'!$D$18:$D$157=IF($AO78="no",$AQ78,$AS78))*('Port Linkages'!$A$18:$A$157&lt;=$C78))))</f>
        <v>0</v>
      </c>
      <c r="TR78" s="75">
        <f t="array" ref="TR78">INDEX('Port Linkages'!$Z$18:$Z$157,MATCH(2,1/(('Port Linkages'!$C$18:$C$157=$AQ78)*('Port Linkages'!$D$18:$D$157=IF($AO78="no",$AQ78,$AS78))*('Port Linkages'!$A$18:$A$157&lt;=$C78))))</f>
        <v>0</v>
      </c>
      <c r="TS78" s="75">
        <f t="array" ref="TS78">INDEX('Port Linkages'!$AA$18:$AA$157,MATCH(2,1/(('Port Linkages'!$C$18:$C$157=$AQ78)*('Port Linkages'!$D$18:$D$157=IF($AO78="no",$AQ78,$AS78))*('Port Linkages'!$A$18:$A$157&lt;=$C78))))</f>
        <v>0</v>
      </c>
      <c r="TT78" s="75">
        <f t="array" ref="TT78">INDEX('Port Linkages'!$AB$18:$AB$157,MATCH(2,1/(('Port Linkages'!$C$18:$C$157=$AQ78)*('Port Linkages'!$D$18:$D$157=IF($AO78="no",$AQ78,$AS78))*('Port Linkages'!$A$18:$A$157&lt;=$C78))))</f>
        <v>0</v>
      </c>
      <c r="TU78" s="75">
        <f t="array" ref="TU78">INDEX('Port Linkages'!$AC$18:$AC$157,MATCH(2,1/(('Port Linkages'!$C$18:$C$157=$AQ78)*('Port Linkages'!$D$18:$D$157=IF($AO78="no",$AQ78,$AS78))*('Port Linkages'!$A$18:$A$157&lt;=$C78))))</f>
        <v>0</v>
      </c>
      <c r="TV78" s="75">
        <f t="array" ref="TV78">INDEX('Port Linkages'!$AD$18:$AD$157,MATCH(2,1/(('Port Linkages'!$C$18:$C$157=$AQ78)*('Port Linkages'!$D$18:$D$157=IF($AO78="no",$AQ78,$AS78))*('Port Linkages'!$A$18:$A$157&lt;=$C78))))</f>
        <v>0</v>
      </c>
      <c r="TW78" s="75">
        <f t="array" ref="TW78">INDEX('Port Linkages'!$AE$18:$AE$157,MATCH(2,1/(('Port Linkages'!$C$18:$C$157=$AQ78)*('Port Linkages'!$D$18:$D$157=IF($AO78="no",$AQ78,$AS78))*('Port Linkages'!$A$18:$A$157&lt;=$C78))))</f>
        <v>0</v>
      </c>
      <c r="TX78" s="75">
        <f t="array" ref="TX78">INDEX('Port Linkages'!$AF$18:$AF$157,MATCH(2,1/(('Port Linkages'!$C$18:$C$157=$AQ78)*('Port Linkages'!$D$18:$D$157=IF($AO78="no",$AQ78,$AS78))*('Port Linkages'!$A$18:$A$157&lt;=$C78))))</f>
        <v>0</v>
      </c>
      <c r="TY78" s="75">
        <f t="array" ref="TY78">INDEX('Port Linkages'!$AG$18:$AG$157,MATCH(2,1/(('Port Linkages'!$C$18:$C$157=$AQ78)*('Port Linkages'!$D$18:$D$157=IF($AO78="no",$AQ78,$AS78))*('Port Linkages'!$A$18:$A$157&lt;=$C78))))</f>
        <v>0</v>
      </c>
      <c r="TZ78" s="75">
        <f t="array" ref="TZ78">INDEX('Port Linkages'!$AH$18:$AH$157,MATCH(2,1/(('Port Linkages'!$C$18:$C$157=$AQ78)*('Port Linkages'!$D$18:$D$157=IF($AO78="no",$AQ78,$AS78))*('Port Linkages'!$A$18:$A$157&lt;=$C78))))</f>
        <v>0</v>
      </c>
      <c r="UA78" s="75">
        <f t="array" ref="UA78">INDEX('Port Linkages'!$AI$18:$AI$157,MATCH(2,1/(('Port Linkages'!$C$18:$C$157=$AQ78)*('Port Linkages'!$D$18:$D$157=IF($AO78="no",$AQ78,$AS78))*('Port Linkages'!$A$18:$A$157&lt;=$C78))))</f>
        <v>0</v>
      </c>
      <c r="UB78" s="75">
        <f t="array" ref="UB78">INDEX('Port Linkages'!$AJ$18:$AJ$157,MATCH(2,1/(('Port Linkages'!$C$18:$C$157=$AQ78)*('Port Linkages'!$D$18:$D$157=IF($AO78="no",$AQ78,$AS78))*('Port Linkages'!$A$18:$A$157&lt;=$C78))))</f>
        <v>0</v>
      </c>
      <c r="UC78" s="75">
        <f t="array" ref="UC78">INDEX('Port Linkages'!$AK$18:$AK$157,MATCH(2,1/(('Port Linkages'!$C$18:$C$157=$AQ78)*('Port Linkages'!$D$18:$D$157=IF($AO78="no",$AQ78,$AS78))*('Port Linkages'!$A$18:$A$157&lt;=$C78))))</f>
        <v>0</v>
      </c>
      <c r="UD78" s="75">
        <f t="array" ref="UD78">INDEX('Port Linkages'!$AL$18:$AL$157,MATCH(2,1/(('Port Linkages'!$C$18:$C$157=$AQ78)*('Port Linkages'!$D$18:$D$157=IF($AO78="no",$AQ78,$AS78))*('Port Linkages'!$A$18:$A$157&lt;=$C78))))</f>
        <v>0</v>
      </c>
      <c r="UE78" s="75">
        <f t="array" ref="UE78">INDEX('Port Linkages'!$AM$18:$AM$157,MATCH(2,1/(('Port Linkages'!$C$18:$C$157=$AQ78)*('Port Linkages'!$D$18:$D$157=IF($AO78="no",$AQ78,$AS78))*('Port Linkages'!$A$18:$A$157&lt;=$C78))))</f>
        <v>0</v>
      </c>
      <c r="UF78" s="75">
        <f t="array" ref="UF78">INDEX('Port Linkages'!$AN$18:$AN$157,MATCH(2,1/(('Port Linkages'!$C$18:$C$157=$AQ78)*('Port Linkages'!$D$18:$D$157=IF($AO78="no",$AQ78,$AS78))*('Port Linkages'!$A$18:$A$157&lt;=$C78))))</f>
        <v>0</v>
      </c>
      <c r="UG78" s="75">
        <f t="array" ref="UG78">INDEX('Port Linkages'!$AO$18:$AO$157,MATCH(2,1/(('Port Linkages'!$C$18:$C$157=$AQ78)*('Port Linkages'!$D$18:$D$157=IF($AO78="no",$AQ78,$AS78))*('Port Linkages'!$A$18:$A$157&lt;=$C78))))</f>
        <v>0</v>
      </c>
      <c r="UH78" s="75">
        <f t="array" ref="UH78">INDEX('Port Linkages'!$AP$18:$AP$157,MATCH(2,1/(('Port Linkages'!$C$18:$C$157=$AQ78)*('Port Linkages'!$D$18:$D$157=IF($AO78="no",$AQ78,$AS78))*('Port Linkages'!$A$18:$A$157&lt;=$C78))))</f>
        <v>0</v>
      </c>
      <c r="UI78" s="75">
        <f t="array" ref="UI78">INDEX('Port Linkages'!$AQ$18:$AQ$157,MATCH(2,1/(('Port Linkages'!$C$18:$C$157=$AQ78)*('Port Linkages'!$D$18:$D$157=IF($AO78="no",$AQ78,$AS78))*('Port Linkages'!$A$18:$A$157&lt;=$C78))))</f>
        <v>0</v>
      </c>
      <c r="UJ78" s="75">
        <f t="array" ref="UJ78">INDEX('Port Linkages'!$AR$18:$AR$157,MATCH(2,1/(('Port Linkages'!$C$18:$C$157=$AQ78)*('Port Linkages'!$D$18:$D$157=IF($AO78="no",$AQ78,$AS78))*('Port Linkages'!$A$18:$A$157&lt;=$C78))))</f>
        <v>0</v>
      </c>
      <c r="UK78" s="75">
        <f t="array" ref="UK78">INDEX('Port Linkages'!$AS$18:$AS$157,MATCH(2,1/(('Port Linkages'!$C$18:$C$157=$AQ78)*('Port Linkages'!$D$18:$D$157=IF($AO78="no",$AQ78,$AS78))*('Port Linkages'!$A$18:$A$157&lt;=$C78))))</f>
        <v>0</v>
      </c>
      <c r="UL78" s="75">
        <f t="array" ref="UL78">INDEX('Port Linkages'!$AT$18:$AT$157,MATCH(2,1/(('Port Linkages'!$C$18:$C$157=$AQ78)*('Port Linkages'!$D$18:$D$157=IF($AO78="no",$AQ78,$AS78))*('Port Linkages'!$A$18:$A$157&lt;=$C78))))</f>
        <v>0</v>
      </c>
      <c r="UM78" s="75">
        <f t="array" ref="UM78">INDEX('Port Linkages'!$AU$18:$AU$157,MATCH(2,1/(('Port Linkages'!$C$18:$C$157=$AQ78)*('Port Linkages'!$D$18:$D$157=IF($AO78="no",$AQ78,$AS78))*('Port Linkages'!$A$18:$A$157&lt;=$C78))))</f>
        <v>0</v>
      </c>
      <c r="UN78" s="75">
        <f t="array" ref="UN78">INDEX('Port Linkages'!$AV$18:$AV$157,MATCH(2,1/(('Port Linkages'!$C$18:$C$157=$AQ78)*('Port Linkages'!$D$18:$D$157=IF($AO78="no",$AQ78,$AS78))*('Port Linkages'!$A$18:$A$157&lt;=$C78))))</f>
        <v>0</v>
      </c>
      <c r="UO78" s="75">
        <f t="array" ref="UO78">INDEX('Port Linkages'!$AW$18:$AW$157,MATCH(2,1/(('Port Linkages'!$C$18:$C$157=$AQ78)*('Port Linkages'!$D$18:$D$157=IF($AO78="no",$AQ78,$AS78))*('Port Linkages'!$A$18:$A$157&lt;=$C78))))</f>
        <v>0</v>
      </c>
      <c r="UP78" s="75">
        <f t="array" ref="UP78">INDEX('Port Linkages'!$AX$18:$AX$157,MATCH(2,1/(('Port Linkages'!$C$18:$C$157=$AQ78)*('Port Linkages'!$D$18:$D$157=IF($AO78="no",$AQ78,$AS78))*('Port Linkages'!$A$18:$A$157&lt;=$C78))))</f>
        <v>0</v>
      </c>
      <c r="UQ78" s="75">
        <f t="array" ref="UQ78">INDEX('Port Linkages'!$AY$18:$AY$157,MATCH(2,1/(('Port Linkages'!$C$18:$C$157=$AQ78)*('Port Linkages'!$D$18:$D$157=IF($AO78="no",$AQ78,$AS78))*('Port Linkages'!$A$18:$A$157&lt;=$C78))))</f>
        <v>0</v>
      </c>
      <c r="UR78" s="75">
        <f t="array" ref="UR78">INDEX('Port Linkages'!$AZ$18:$AZ$157,MATCH(2,1/(('Port Linkages'!$C$18:$C$157=$AQ78)*('Port Linkages'!$D$18:$D$157=IF($AO78="no",$AQ78,$AS78))*('Port Linkages'!$A$18:$A$157&lt;=$C78))))</f>
        <v>0</v>
      </c>
      <c r="US78" s="75">
        <f t="array" ref="US78">INDEX('Port Linkages'!$BA$18:$BA$157,MATCH(2,1/(('Port Linkages'!$C$18:$C$157=$AQ78)*('Port Linkages'!$D$18:$D$157=IF($AO78="no",$AQ78,$AS78))*('Port Linkages'!$A$18:$A$157&lt;=$C78))))</f>
        <v>0</v>
      </c>
      <c r="UU78" s="25" t="e">
        <f t="array" aca="1" ref="UU78" ca="1">INDEX('Ship Fuel Prices'!$F$5:$F$1004,MATCH(2,1/(('Ship Fuel Prices'!$E$5:$E$1004=_xlfn.IFS(SJ78="Handysize",Main!UP78,SJ78="Supramax",UI78,SJ78="Panamax",UB78,SJ78="NeoPanamax",TU78,SJ78="Suezmax",TN78,SJ78="Capesize",TG78,SJ78="VLOC",SZ78))*('Ship Fuel Prices'!$D$5:$D$1004&lt;=Main!$C78))))</f>
        <v>#N/A</v>
      </c>
      <c r="UV78" s="25" t="e">
        <f t="array" aca="1" ref="UV78" ca="1">INDEX('Ship Fuel Prices'!$G$5:$G$1004,MATCH(2,1/(('Ship Fuel Prices'!$E$5:$E$1004=_xlfn.IFS(SJ78="Handysize",Main!UP78,SJ78="Supramax",UI78,SJ78="Panamax",UB78,SJ78="NeoPanamax",TU78,SJ78="Suezmax",TN78,SJ78="Capesize",TG78,SJ78="VLOC",SZ78))*('Ship Fuel Prices'!$D$5:$D$1004&lt;=Main!$C78))))</f>
        <v>#N/A</v>
      </c>
      <c r="UW78" s="25" t="e">
        <f t="array" aca="1" ref="UW78" ca="1">INDEX('Ship Fuel Prices'!$H$5:$H$1004,MATCH(2,1/(('Ship Fuel Prices'!$E$5:$E$1004=_xlfn.IFS(SJ78="Handysize",Main!UP78,SJ78="Supramax",UI78,SJ78="Panamax",UB78,SJ78="NeoPanamax",TU78,SJ78="Suezmax",TN78,SJ78="Capesize",TG78,SJ78="VLOC",SZ78))*('Ship Fuel Prices'!$D$5:$D$1004&lt;=Main!$C78))))</f>
        <v>#N/A</v>
      </c>
      <c r="UX78" s="25" t="e">
        <f t="array" aca="1" ref="UX78" ca="1">INDEX('Ship Fuel Prices'!$I$5:$I$1004,MATCH(2,1/(('Ship Fuel Prices'!$E$5:$E$1004=_xlfn.IFS(SJ78="Handysize",Main!UP78,SJ78="Supramax",UI78,SJ78="Panamax",UB78,SJ78="NeoPanamax",TU78,SJ78="Suezmax",TN78,SJ78="Capesize",TG78,SJ78="VLOC",SZ78))*('Ship Fuel Prices'!$D$5:$D$1004&lt;=Main!$C78))))</f>
        <v>#N/A</v>
      </c>
      <c r="UY78" s="25" t="e">
        <f t="array" aca="1" ref="UY78" ca="1">INDEX('Ship Fuel Prices'!$J$5:$J$1004,MATCH(2,1/(('Ship Fuel Prices'!$E$5:$E$1004=_xlfn.IFS(SJ78="Handysize",Main!UP78,SJ78="Supramax",UI78,SJ78="Panamax",UB78,SJ78="NeoPanamax",TU78,SJ78="Suezmax",TN78,SJ78="Capesize",TG78,SJ78="VLOC",SZ78))*('Ship Fuel Prices'!$D$5:$D$1004&lt;=Main!$C78))))</f>
        <v>#N/A</v>
      </c>
      <c r="VA78" s="75">
        <f t="array" ref="VA78">INDEX('China n Importing Ports'!$E$20:$E$41,MATCH(2,1/(('China n Importing Ports'!$D$20:$D$41&lt;=$C78)*('China n Importing Ports'!$C$20:$C$41=IF($AO78="No",$AQ78,$AS78)))))</f>
        <v>0</v>
      </c>
      <c r="VB78" s="75">
        <f t="array" ref="VB78">INDEX('China n Importing Ports'!$F$20:$F$41,MATCH(2,1/(('China n Importing Ports'!$D$20:$D$41&lt;=$C78)*('China n Importing Ports'!$C$20:$C$41=IF($AO78="No",$AQ78,$AS78)))))</f>
        <v>0</v>
      </c>
      <c r="VC78" s="75">
        <f t="array" ref="VC78">INDEX('China n Importing Ports'!$G$20:$G$41,MATCH(2,1/(('China n Importing Ports'!$D$20:$D$41&lt;=$C78)*('China n Importing Ports'!$C$20:$C$41=IF($AO78="No",$AQ78,$AS78)))))</f>
        <v>0</v>
      </c>
      <c r="VD78" s="75">
        <f t="array" ref="VD78">INDEX('China n Importing Ports'!$H$20:$H$41,MATCH(2,1/(('China n Importing Ports'!$D$20:$D$41&lt;=$C78)*('China n Importing Ports'!$C$20:$C$41=IF($AO78="No",$AQ78,$AS78)))))</f>
        <v>0</v>
      </c>
      <c r="VE78" s="75">
        <f t="array" ref="VE78">INDEX('China n Importing Ports'!$I$20:$I$41,MATCH(2,1/(('China n Importing Ports'!$D$20:$D$41&lt;=$C78)*('China n Importing Ports'!$C$20:$C$41=IF($AO78="No",$AQ78,$AS78)))))</f>
        <v>0</v>
      </c>
      <c r="VF78" s="75">
        <f t="array" ref="VF78">INDEX('China n Importing Ports'!$J$20:$J$41,MATCH(2,1/(('China n Importing Ports'!$D$20:$D$41&lt;=$C78)*('China n Importing Ports'!$C$20:$C$41=IF($AO78="No",$AQ78,$AS78)))))</f>
        <v>0</v>
      </c>
      <c r="VG78" s="75">
        <f t="array" ref="VG78">INDEX('China n Importing Ports'!$K$20:$K$41,MATCH(2,1/(('China n Importing Ports'!$D$20:$D$41&lt;=$C78)*('China n Importing Ports'!$C$20:$C$41=IF($AO78="No",$AQ78,$AS78)))))</f>
        <v>0</v>
      </c>
      <c r="VH78" s="75">
        <f t="array" ref="VH78">INDEX('China n Importing Ports'!$L$20:$L$41,MATCH(2,1/(('China n Importing Ports'!$D$20:$D$41&lt;=$C78)*('China n Importing Ports'!$C$20:$C$41=IF($AO78="No",$AQ78,$AS78)))))</f>
        <v>0</v>
      </c>
      <c r="VI78" s="75">
        <f t="array" ref="VI78">INDEX('China n Importing Ports'!$M$20:$M$41,MATCH(2,1/(('China n Importing Ports'!$D$20:$D$41&lt;=$C78)*('China n Importing Ports'!$C$20:$C$41=IF($AO78="No",$AQ78,$AS78)))))</f>
        <v>0</v>
      </c>
      <c r="VJ78" s="75">
        <f t="array" ref="VJ78">INDEX('China n Importing Ports'!$N$20:$N$41,MATCH(2,1/(('China n Importing Ports'!$D$20:$D$41&lt;=$C78)*('China n Importing Ports'!$C$20:$C$41=IF($AO78="No",$AQ78,$AS78)))))</f>
        <v>0</v>
      </c>
      <c r="VK78" s="75">
        <f t="array" ref="VK78">INDEX('China n Importing Ports'!$O$20:$O$41,MATCH(2,1/(('China n Importing Ports'!$D$20:$D$41&lt;=$C78)*('China n Importing Ports'!$C$20:$C$41=IF($AO78="No",$AQ78,$AS78)))))</f>
        <v>0</v>
      </c>
      <c r="VL78" s="136">
        <f t="array" ref="VL78">INDEX('China n Importing Ports'!$P$20:$P$41,MATCH(2,1/(('China n Importing Ports'!$D$20:$D$41&lt;=$C78)*('China n Importing Ports'!$C$20:$C$41=IF($AO78="No",$AQ78,$AS78)))))</f>
        <v>0</v>
      </c>
      <c r="VM78" s="136">
        <f t="array" ref="VM78">INDEX('China n Importing Ports'!$Q$20:$Q$41,MATCH(2,1/(('China n Importing Ports'!$D$20:$D$41&lt;=$C78)*('China n Importing Ports'!$C$20:$C$41=IF($AO78="No",$AQ78,$AS78)))))</f>
        <v>0</v>
      </c>
      <c r="VN78" s="136">
        <f t="array" ref="VN78">INDEX('China n Importing Ports'!$R$20:$R$41,MATCH(2,1/(('China n Importing Ports'!$D$20:$D$41&lt;=$C78)*('China n Importing Ports'!$C$20:$C$41=IF($AO78="No",$AQ78,$AS78)))))</f>
        <v>0</v>
      </c>
      <c r="VO78" s="136">
        <f t="array" ref="VO78">INDEX('China n Importing Ports'!$S$20:$S$41,MATCH(2,1/(('China n Importing Ports'!$D$20:$D$41&lt;=$C78)*('China n Importing Ports'!$C$20:$C$41=IF($AO78="No",$AQ78,$AS78)))))</f>
        <v>0</v>
      </c>
      <c r="VP78" s="136">
        <f t="array" ref="VP78">INDEX('China n Importing Ports'!$T$20:$T$41,MATCH(2,1/(('China n Importing Ports'!$D$20:$D$41&lt;=$C78)*('China n Importing Ports'!$C$20:$C$41=IF($AO78="No",$AQ78,$AS78)))))</f>
        <v>0</v>
      </c>
      <c r="VQ78" s="136">
        <f t="array" ref="VQ78">INDEX('China n Importing Ports'!$U$20:$U$41,MATCH(2,1/(('China n Importing Ports'!$D$20:$D$41&lt;=$C78)*('China n Importing Ports'!$C$20:$C$41=IF($AO78="No",$AQ78,$AS78)))))</f>
        <v>0</v>
      </c>
      <c r="VR78" s="136">
        <f t="array" ref="VR78">INDEX('China n Importing Ports'!$V$20:$V$41,MATCH(2,1/(('China n Importing Ports'!$D$20:$D$41&lt;=$C78)*('China n Importing Ports'!$C$20:$C$41=IF($AO78="No",$AQ78,$AS78)))))</f>
        <v>0</v>
      </c>
      <c r="VS78" s="136">
        <f t="array" ref="VS78">INDEX('China n Importing Ports'!$W$20:$W$41,MATCH(2,1/(('China n Importing Ports'!$D$20:$D$41&lt;=$C78)*('China n Importing Ports'!$C$20:$C$41=IF($AO78="No",$AQ78,$AS78)))))</f>
        <v>0</v>
      </c>
      <c r="VT78" s="136">
        <f t="array" ref="VT78">INDEX('China n Importing Ports'!$X$20:$X$41,MATCH(2,1/(('China n Importing Ports'!$D$20:$D$41&lt;=$C78)*('China n Importing Ports'!$C$20:$C$41=IF($AO78="No",$AQ78,$AS78)))))</f>
        <v>0</v>
      </c>
      <c r="VU78" s="136">
        <f t="array" ref="VU78">INDEX('China n Importing Ports'!$Y$20:$Y$41,MATCH(2,1/(('China n Importing Ports'!$D$20:$D$41&lt;=$C78)*('China n Importing Ports'!$C$20:$C$41=IF($AO78="No",$AQ78,$AS78)))))</f>
        <v>0</v>
      </c>
      <c r="VV78" s="136">
        <f t="array" ref="VV78">INDEX('China n Importing Ports'!$Z$20:$Z$41,MATCH(2,1/(('China n Importing Ports'!$D$20:$D$41&lt;=$C78)*('China n Importing Ports'!$C$20:$C$41=IF($AO78="No",$AQ78,$AS78)))))</f>
        <v>0</v>
      </c>
      <c r="VW78" s="136">
        <f t="array" ref="VW78">INDEX('China n Importing Ports'!$AA$20:$AA$41,MATCH(2,1/(('China n Importing Ports'!$D$20:$D$41&lt;=$C78)*('China n Importing Ports'!$C$20:$C$41=IF($AO78="No",$AQ78,$AS78)))))</f>
        <v>0</v>
      </c>
      <c r="VY78" s="75" t="e">
        <f t="array" aca="1" ref="VY78" ca="1">INDEX(Canals!$G$24:$G$29,MATCH(2,1/((Canals!$F$24:$F$29&lt;=$C78)*(Canals!$G$24:$G$29=_xlfn.IFS(SJ78="Handysize",US78,SJ78="Supramax",UL78,SJ78="Panamax",UE78,SJ78="NeoPanamax",TX78,SJ78="Suezmax",TQ78,SJ78="Capesize",TJ78,SJ78="VLOC",TC78)))))</f>
        <v>#N/A</v>
      </c>
      <c r="VZ78" s="75" t="e">
        <f t="array" aca="1" ref="VZ78" ca="1">INDEX(Canals!$H$24:$H$29,MATCH(2,1/((Canals!$F$24:$F$29&lt;=$C78)*(Canals!$G$24:$G$29=_xlfn.IFS(SJ78="Handysize",US78,SJ78="Supramax",UL78,SJ78="Panamax",UE78,SJ78="NeoPanamax",TX78,SJ78="Suezmax",TQ78,SJ78="Capesize",TJ78,SJ78="VLOC",TC78)))))</f>
        <v>#N/A</v>
      </c>
      <c r="WA78" s="75" t="e">
        <f t="array" aca="1" ref="WA78" ca="1">INDEX(Canals!$I$24:$I$29,MATCH(2,1/((Canals!$F$24:$F$29&lt;=$C78)*(Canals!$G$24:$G$29=_xlfn.IFS(SJ78="Handysize",US78,SJ78="Supramax",UL78,SJ78="Panamax",UE78,SJ78="NeoPanamax",TX78,SJ78="Suezmax",TQ78,SJ78="Capesize",TJ78,SJ78="VLOC",TC78)))))</f>
        <v>#N/A</v>
      </c>
      <c r="WB78" s="75" t="e">
        <f t="array" aca="1" ref="WB78" ca="1">INDEX(Canals!$J$24:$J$29,MATCH(2,1/((Canals!$F$24:$F$29&lt;=$C78)*(Canals!$G$24:$G$29=_xlfn.IFS(SJ78="Handysize",Main!US78,SJ78="Supramax",UL78,SJ78="Panamax",UE78,SJ78="NeoPanamax",TX78,SJ78="Suezmax",TQ78,SJ78="Capesize",TJ78,SJ78="VLOC",TC78)))))</f>
        <v>#N/A</v>
      </c>
      <c r="WC78" s="75" t="e">
        <f t="array" aca="1" ref="WC78" ca="1">INDEX(Canals!$K$24:$K$29,MATCH(2,1/((Canals!$F$24:$F$29&lt;=$C78)*(Canals!$G$24:$G$29=_xlfn.IFS(SJ78="Handysize",Main!US78,SJ78="Supramax",UL78,SJ78="Panamax",UE78,SJ78="NeoPanamax",TX78,SJ78="Suezmax",TQ78,SJ78="Capesize",TJ78,SJ78="VLOC",TC78)))))</f>
        <v>#N/A</v>
      </c>
      <c r="WD78" s="75" t="e">
        <f t="array" aca="1" ref="WD78" ca="1">INDEX(Canals!$L$24:$L$29,MATCH(2,1/((Canals!$F$24:$F$29&lt;=$C78)*(Canals!$G$24:$G$29=_xlfn.IFS(SJ78="Handysize",Main!US78,SJ78="Supramax",UL78,SJ78="Panamax",UE78,SJ78="NeoPanamax",TX78,SJ78="Suezmax",TQ78,SJ78="Capesize",TJ78,SJ78="VLOC",TC78)))))</f>
        <v>#N/A</v>
      </c>
      <c r="WE78" s="75" t="e">
        <f t="array" aca="1" ref="WE78" ca="1">INDEX(Canals!$M$24:$M$29,MATCH(2,1/((Canals!$F$24:$F$29&lt;=$C78)*(Canals!$G$24:$G$29=_xlfn.IFS(SJ78="Handysize",Main!US78,SJ78="Supramax",UL78,SJ78="Panamax",UE78,SJ78="NeoPanamax",TX78,SJ78="Suezmax",TQ78,SJ78="Capesize",TJ78,SJ78="VLOC",TC78)))))</f>
        <v>#N/A</v>
      </c>
      <c r="WF78" s="75" t="e">
        <f t="array" aca="1" ref="WF78" ca="1">INDEX(Canals!$N$24:$N$29,MATCH(2,1/((Canals!$F$24:$F$29&lt;=$C78)*(Canals!$G$24:$G$29=_xlfn.IFS(SJ78="Handysize",Main!US78,SJ78="Supramax",UL78,SJ78="Panamax",UE78,SJ78="NeoPanamax",TX78,SJ78="Suezmax",TQ78,SJ78="Capesize",TJ78,SJ78="VLOC",TC78)))))</f>
        <v>#N/A</v>
      </c>
      <c r="WG78" s="75" t="e">
        <f t="array" aca="1" ref="WG78" ca="1">INDEX(Canals!$O$24:$O$29,MATCH(2,1/((Canals!$F$24:$F$29&lt;=$C78)*(Canals!$G$24:$G$29=_xlfn.IFS(SJ78="Handysize",Main!US78,SJ78="Supramax",UL78,SJ78="Panamax",UE78,SJ78="NeoPanamax",TX78,SJ78="Suezmax",TQ78,SJ78="Capesize",TJ78,SJ78="VLOC",TC78)))))</f>
        <v>#N/A</v>
      </c>
      <c r="WH78" s="75" t="e">
        <f t="array" aca="1" ref="WH78" ca="1">INDEX(Canals!$P$24:$P$29,MATCH(2,1/((Canals!$F$24:$F$29&lt;=$C78)*(Canals!$G$24:$G$29=_xlfn.IFS(SJ78="Handysize",Main!US78,SJ78="Supramax",UL78,SJ78="Panamax",UE78,SJ78="NeoPanamax",TX78,SJ78="Suezmax",TQ78,SJ78="Capesize",TJ78,SJ78="VLOC",TC78)))))</f>
        <v>#N/A</v>
      </c>
      <c r="WI78" s="75" t="e">
        <f t="array" aca="1" ref="WI78" ca="1">INDEX(Canals!$Q$24:$Q$29,MATCH(2,1/((Canals!$F$24:$F$29&lt;=$C78)*(Canals!$G$24:$G$29=_xlfn.IFS(SJ78="Handysize",Main!US78,SJ78="Supramax",UL78,SJ78="Panamax",UE78,SJ78="NeoPanamax",TX78,SJ78="Suezmax",TQ78,SJ78="Capesize",TJ78,SJ78="VLOC",TC78)))))</f>
        <v>#N/A</v>
      </c>
      <c r="WJ78" s="75" t="e">
        <f t="array" aca="1" ref="WJ78" ca="1">INDEX(Canals!$R$24:$R$29,MATCH(2,1/((Canals!$F$24:$F$29&lt;=$C78)*(Canals!$G$24:$G$29=_xlfn.IFS(SJ78="Handysize",Main!US78,SJ78="Supramax",UL78,SJ78="Panamax",UE78,SJ78="NeoPanamax",TX78,SJ78="Suezmax",TQ78,SJ78="Capesize",TJ78,SJ78="VLOC",TC78)))))</f>
        <v>#N/A</v>
      </c>
      <c r="WK78" s="136" t="e">
        <f t="array" aca="1" ref="WK78" ca="1">INDEX(Canals!$S$24:$S$29,MATCH(2,1/((Canals!$F$24:$F$29&lt;=$C78)*(Canals!$G$24:$G$29=_xlfn.IFS(SJ78="Handysize",Main!US78,SJ78="Supramax",UL78,SJ78="Panamax",UE78,SJ78="NeoPanamax",TX78,SJ78="Suezmax",TQ78,SJ78="Capesize",TJ78,SJ78="VLOC",TC78)))))</f>
        <v>#N/A</v>
      </c>
      <c r="WL78" s="136" t="e">
        <f t="array" aca="1" ref="WL78" ca="1">INDEX(Canals!$T$24:$T$29,MATCH(2,1/((Canals!$F$24:$F$29&lt;=$C78)*(Canals!$G$24:$G$29=_xlfn.IFS(SJ78="Handysize",Main!US78,SJ78="Supramax",UL78,SJ78="Panamax",UE78,SJ78="NeoPanamax",TX78,SJ78="Suezmax",TQ78,SJ78="Capesize",TJ78,SJ78="VLOC",TC78)))))</f>
        <v>#N/A</v>
      </c>
      <c r="WM78" s="136" t="e">
        <f t="array" aca="1" ref="WM78" ca="1">INDEX(Canals!$U$24:$U$29,MATCH(2,1/((Canals!$F$24:$F$29&lt;=$C78)*(Canals!$G$24:$G$29=_xlfn.IFS(SJ78="Handysize",Main!US78,SJ78="Supramax",UL78,SJ78="Panamax",UE78,SJ78="NeoPanamax",TX78,SJ78="Suezmax",TQ78,SJ78="Capesize",TJ78,SJ78="VLOC",TC78)))))</f>
        <v>#N/A</v>
      </c>
      <c r="WN78" s="136" t="e">
        <f t="array" aca="1" ref="WN78" ca="1">INDEX(Canals!$V$24:$V$29,MATCH(2,1/((Canals!$F$24:$F$29&lt;=$C78)*(Canals!$G$24:$G$29=_xlfn.IFS(SJ78="Handysize",Main!US78,SJ78="Supramax",UL78,SJ78="Panamax",UE78,SJ78="NeoPanamax",TX78,SJ78="Suezmax",TQ78,SJ78="Capesize",TJ78,SJ78="VLOC",TC78)))))</f>
        <v>#N/A</v>
      </c>
      <c r="WO78" s="136" t="e">
        <f t="array" aca="1" ref="WO78" ca="1">INDEX(Canals!$W$24:$W$29,MATCH(2,1/((Canals!$F$24:$F$29&lt;=$C78)*(Canals!$G$24:$G$29=_xlfn.IFS(SJ78="Handysize",Main!US78,SJ78="Supramax",UL78,SJ78="Panamax",UE78,SJ78="NeoPanamax",TX78,SJ78="Suezmax",TQ78,SJ78="Capesize",TJ78,SJ78="VLOC",TC78)))))</f>
        <v>#N/A</v>
      </c>
      <c r="WP78" s="136" t="e">
        <f t="array" aca="1" ref="WP78" ca="1">INDEX(Canals!$X$24:$X$29,MATCH(2,1/((Canals!$F$24:$F$29&lt;=$C78)*(Canals!$G$24:$G$29=_xlfn.IFS(SJ78="Handysize",Main!US78,SJ78="Supramax",UL78,SJ78="Panamax",UE78,SJ78="NeoPanamax",TX78,SJ78="Suezmax",TQ78,SJ78="Capesize",TJ78,SJ78="VLOC",TC78)))))</f>
        <v>#N/A</v>
      </c>
      <c r="WQ78" s="136" t="e">
        <f t="array" aca="1" ref="WQ78" ca="1">INDEX(Canals!$Y$24:$Y$29,MATCH(2,1/((Canals!$F$24:$F$29&lt;=$C78)*(Canals!$G$24:$G$29=_xlfn.IFS(SJ78="Handysize",Main!US78,SJ78="Supramax",UL78,SJ78="Panamax",UE78,SJ78="NeoPanamax",TX78,SJ78="Suezmax",TQ78,SJ78="Capesize",TJ78,SJ78="VLOC",TC78)))))</f>
        <v>#N/A</v>
      </c>
      <c r="WR78" s="136" t="e">
        <f t="array" aca="1" ref="WR78" ca="1">INDEX(Canals!$Z$24:$Z$29,MATCH(2,1/((Canals!$F$24:$F$29&lt;=$C78)*(Canals!$G$24:$G$29=_xlfn.IFS(SJ78="Handysize",Main!US78,SJ78="Supramax",UL78,SJ78="Panamax",UE78,SJ78="NeoPanamax",TX78,SJ78="Suezmax",TQ78,SJ78="Capesize",TJ78,SJ78="VLOC",TC78)))))</f>
        <v>#N/A</v>
      </c>
      <c r="WS78" s="136" t="e">
        <f t="array" aca="1" ref="WS78" ca="1">INDEX(Canals!$AA$24:$AA$29,MATCH(2,1/((Canals!$F$24:$F$29&lt;=$C78)*(Canals!$G$24:$G$29=_xlfn.IFS(SJ78="Handysize",Main!US78,SJ78="Supramax",UL78,SJ78="Panamax",UE78,SJ78="NeoPanamax",TX78,SJ78="Suezmax",TQ78,SJ78="Capesize",TJ78,SJ78="VLOC",TC78)))))</f>
        <v>#N/A</v>
      </c>
      <c r="WT78" s="136" t="e">
        <f t="array" aca="1" ref="WT78" ca="1">INDEX(Canals!$AB$24:$AB$29,MATCH(2,1/((Canals!$F$24:$F$29&lt;=$C78)*(Canals!$G$24:$G$29=_xlfn.IFS(SJ78="Handysize",Main!US78,SJ78="Supramax",UL78,SJ78="Panamax",UE78,SJ78="NeoPanamax",TX78,SJ78="Suezmax",TQ78,SJ78="Capesize",TJ78,SJ78="VLOC",TC78)))))</f>
        <v>#N/A</v>
      </c>
      <c r="WU78" s="75" t="e">
        <f t="array" aca="1" ref="WU78" ca="1">INDEX(Canals!$AC$24:$AC$29,MATCH(2,1/((Canals!$F$24:$F$29&lt;=$C78)*(Canals!$G$24:$G$29=_xlfn.IFS(SJ78="Handysize",Main!US78,SJ78="Supramax",UL78,SJ78="Panamax",UE78,SJ78="NeoPanamax",TX78,SJ78="Suezmax",TQ78,SJ78="Capesize",TJ78,SJ78="VLOC",TC78)))))</f>
        <v>#N/A</v>
      </c>
      <c r="WV78" s="75" t="e">
        <f t="array" aca="1" ref="WV78" ca="1">INDEX(Canals!$AD$24:$AD$29,MATCH(2,1/((Canals!$F$24:$F$29&lt;=$C78)*(Canals!$G$24:$G$29=_xlfn.IFS(SJ78="Handysize",Main!US78,SJ78="Supramax",UL78,SJ78="Panamax",UE78,SJ78="NeoPanamax",TX78,SJ78="Suezmax",TQ78,SJ78="Capesize",TJ78,SJ78="VLOC",TC78)))))</f>
        <v>#N/A</v>
      </c>
      <c r="WW78" s="75" t="e">
        <f t="array" aca="1" ref="WW78" ca="1">INDEX(Canals!$AE$24:$AE$29,MATCH(2,1/((Canals!$F$24:$F$29&lt;=$C78)*(Canals!$G$24:$G$29=_xlfn.IFS(SJ78="Handysize",Main!US78,SJ78="Supramax",UL78,SJ78="Panamax",UE78,SJ78="NeoPanamax",TX78,SJ78="Suezmax",TQ78,SJ78="Capesize",TJ78,SJ78="VLOC",TC78)))))</f>
        <v>#N/A</v>
      </c>
      <c r="WX78" s="75" t="e">
        <f t="array" aca="1" ref="WX78" ca="1">INDEX(Canals!$AF$24:$AF$29,MATCH(2,1/((Canals!$F$24:$F$29&lt;=$C78)*(Canals!$G$24:$G$29=_xlfn.IFS(SJ78="Handysize",Main!US78,SJ78="Supramax",UL78,SJ78="Panamax",UE78,SJ78="NeoPanamax",TX78,SJ78="Suezmax",TQ78,SJ78="Capesize",TJ78,SJ78="VLOC",TC78)))))</f>
        <v>#N/A</v>
      </c>
      <c r="WY78" s="75" t="e">
        <f t="array" aca="1" ref="WY78" ca="1">INDEX(Canals!$AG$24:$AG$29,MATCH(2,1/((Canals!$F$24:$F$29&lt;=$C78)*(Canals!$G$24:$G$29=_xlfn.IFS(SJ78="Handysize",Main!US78,SJ78="Supramax",UL78,SJ78="Panamax",UE78,SJ78="NeoPanamax",TX78,SJ78="Suezmax",TQ78,SJ78="Capesize",TJ78,SJ78="VLOC",TC78)))))</f>
        <v>#N/A</v>
      </c>
      <c r="WZ78" s="75" t="e">
        <f t="array" aca="1" ref="WZ78" ca="1">INDEX(Canals!$AH$24:$AH$29,MATCH(2,1/((Canals!$F$24:$F$29&lt;=$C78)*(Canals!$G$24:$G$29=_xlfn.IFS(SJ78="Handysize",Main!US78,SJ78="Supramax",UL78,SJ78="Panamax",UE78,SJ78="NeoPanamax",TX78,SJ78="Suezmax",TQ78,SJ78="Capesize",TJ78,SJ78="VLOC",TC78)))))</f>
        <v>#N/A</v>
      </c>
      <c r="XA78" s="75" t="e">
        <f t="array" aca="1" ref="XA78" ca="1">INDEX(Canals!$AI$24:$AI$29,MATCH(2,1/((Canals!$F$24:$F$29&lt;=$C78)*(Canals!$G$24:$G$29=_xlfn.IFS(SJ78="Handysize",Main!US78,SJ78="Supramax",UL78,SJ78="Panamax",UE78,SJ78="NeoPanamax",TX78,SJ78="Suezmax",TQ78,SJ78="Capesize",TJ78,SJ78="VLOC",TC78)))))</f>
        <v>#N/A</v>
      </c>
      <c r="XB78" s="75" t="e">
        <f t="array" aca="1" ref="XB78" ca="1">INDEX(Canals!$AJ$24:$AJ$29,MATCH(2,1/((Canals!$F$24:$F$29&lt;=$C78)*(Canals!$G$24:$G$29=_xlfn.IFS(SJ78="Handysize",Main!US78,SJ78="Supramax",UL78,SJ78="Panamax",UE78,SJ78="NeoPanamax",TX78,SJ78="Suezmax",TQ78,SJ78="Capesize",TJ78,SJ78="VLOC",TC78)))))</f>
        <v>#N/A</v>
      </c>
      <c r="XC78" s="75" t="e">
        <f t="array" aca="1" ref="XC78" ca="1">INDEX(Canals!$AK$24:$AK$29,MATCH(2,1/((Canals!$F$24:$F$29&lt;=$C78)*(Canals!$G$24:$G$29=_xlfn.IFS(SJ78="Handysize",Main!US78,SJ78="Supramax",UL78,SJ78="Panamax",UE78,SJ78="NeoPanamax",TX78,SJ78="Suezmax",TQ78,SJ78="Capesize",TJ78,SJ78="VLOC",TC78)))))</f>
        <v>#N/A</v>
      </c>
      <c r="XD78" s="136" t="e">
        <f t="array" aca="1" ref="XD78" ca="1">INDEX(Canals!$AL$24:$AL$29,MATCH(2,1/((Canals!$F$24:$F$29&lt;=$C78)*(Canals!$G$24:$G$29=_xlfn.IFS(SJ78="Handysize",Main!US78,SJ78="Supramax",UL78,SJ78="Panamax",UE78,SJ78="NeoPanamax",TX78,SJ78="Suezmax",TQ78,SJ78="Capesize",TJ78,SJ78="VLOC",TC78)))))</f>
        <v>#N/A</v>
      </c>
      <c r="XE78" s="136" t="e">
        <f t="array" aca="1" ref="XE78" ca="1">INDEX(Canals!$AM$24:$AM$29,MATCH(2,1/((Canals!$F$24:$F$29&lt;=$C78)*(Canals!$G$24:$G$29=_xlfn.IFS(SJ78="Handysize",Main!US78,SJ78="Supramax",UL78,SJ78="Panamax",UE78,SJ78="NeoPanamax",TX78,SJ78="Suezmax",TQ78,SJ78="Capesize",TJ78,SJ78="VLOC",TC78)))))</f>
        <v>#N/A</v>
      </c>
      <c r="XF78" s="136" t="e">
        <f t="array" aca="1" ref="XF78" ca="1">INDEX(Canals!$AN$24:$AN$29,MATCH(2,1/((Canals!$F$24:$F$29&lt;=$C78)*(Canals!$G$24:$G$29=_xlfn.IFS(SJ78="Handysize",Main!US78,SJ78="Supramax",UL78,SJ78="Panamax",UE78,SJ78="NeoPanamax",TX78,SJ78="Suezmax",TQ78,SJ78="Capesize",TJ78,SJ78="VLOC",TC78)))))</f>
        <v>#N/A</v>
      </c>
      <c r="XG78" s="136" t="e">
        <f t="array" aca="1" ref="XG78" ca="1">INDEX(Canals!$AO$24:$AO$29,MATCH(2,1/((Canals!$F$24:$F$29&lt;=$C78)*(Canals!$G$24:$G$29=_xlfn.IFS(SJ78="Handysize",Main!US78,SJ78="Supramax",UL78,SJ78="Panamax",UE78,SJ78="NeoPanamax",TX78,SJ78="Suezmax",TQ78,SJ78="Capesize",TJ78,SJ78="VLOC",TC78)))))</f>
        <v>#N/A</v>
      </c>
      <c r="XH78" s="136" t="e">
        <f t="array" aca="1" ref="XH78" ca="1">INDEX(Canals!$AP$24:$AP$29,MATCH(2,1/((Canals!$F$24:$F$29&lt;=$C78)*(Canals!$G$24:$G$29=_xlfn.IFS(SJ78="Handysize",Main!US78,SJ78="Supramax",UL78,SJ78="Panamax",UE78,SJ78="NeoPanamax",TX78,SJ78="Suezmax",TQ78,SJ78="Capesize",TJ78,SJ78="VLOC",TC78)))))</f>
        <v>#N/A</v>
      </c>
      <c r="XI78" s="136" t="e">
        <f t="array" aca="1" ref="XI78" ca="1">INDEX(Canals!$AQ$24:$AQ$29,MATCH(2,1/((Canals!$F$24:$F$29&lt;=$C78)*(Canals!$G$24:$G$29=_xlfn.IFS(SJ78="Handysize",Main!US78,SJ78="Supramax",UL78,SJ78="Panamax",UE78,SJ78="NeoPanamax",TX78,SJ78="Suezmax",TQ78,SJ78="Capesize",TJ78,SJ78="VLOC",TC78)))))</f>
        <v>#N/A</v>
      </c>
      <c r="XJ78" s="136" t="e">
        <f t="array" aca="1" ref="XJ78" ca="1">INDEX(Canals!$AR$24:$AR$29,MATCH(2,1/((Canals!$F$24:$F$29&lt;=$C78)*(Canals!$G$24:$G$29=_xlfn.IFS(SJ78="Handysize",Main!US78,SJ78="Supramax",UL78,SJ78="Panamax",UE78,SJ78="NeoPanamax",TX78,SJ78="Suezmax",TQ78,SJ78="Capesize",TJ78,SJ78="VLOC",TC78)))))</f>
        <v>#N/A</v>
      </c>
      <c r="XK78" s="136" t="e">
        <f t="array" aca="1" ref="XK78" ca="1">INDEX(Canals!$AS$24:$AS$29,MATCH(2,1/((Canals!$F$24:$F$29&lt;=$C78)*(Canals!$G$24:$G$29=_xlfn.IFS(SJ78="Handysize",Main!US78,SJ78="Supramax",UL78,SJ78="Panamax",UE78,SJ78="NeoPanamax",TX78,SJ78="Suezmax",TQ78,SJ78="Capesize",TJ78,SJ78="VLOC",TC78)))))</f>
        <v>#N/A</v>
      </c>
      <c r="XL78" s="136" t="e">
        <f t="array" aca="1" ref="XL78" ca="1">INDEX(Canals!$AT$24:$AT$29,MATCH(2,1/((Canals!$F$24:$F$29&lt;=$C78)*(Canals!$G$24:$G$29=_xlfn.IFS(SJ78="Handysize",Main!US78,SJ78="Supramax",UL78,SJ78="Panamax",UE78,SJ78="NeoPanamax",TX78,SJ78="Suezmax",TQ78,SJ78="Capesize",TJ78,SJ78="VLOC",TC78)))))</f>
        <v>#N/A</v>
      </c>
      <c r="XM78" s="136" t="e">
        <f t="array" aca="1" ref="XM78" ca="1">INDEX(Canals!$AU$24:$AU$29,MATCH(2,1/((Canals!$F$24:$F$29&lt;=$C78)*(Canals!$G$24:$G$29=_xlfn.IFS(SJ78="Handysize",Main!US78,SJ78="Supramax",UL78,SJ78="Panamax",UE78,SJ78="NeoPanamax",TX78,SJ78="Suezmax",TQ78,SJ78="Capesize",TJ78,SJ78="VLOC",TC78)))))</f>
        <v>#N/A</v>
      </c>
      <c r="XN78" s="136" t="e">
        <f t="array" aca="1" ref="XN78" ca="1">INDEX(Canals!$AV$24:$AV$29,MATCH(2,1/((Canals!$F$24:$F$29&lt;=$C78)*(Canals!$G$24:$G$29=_xlfn.IFS(SJ78="Handysize",Main!US78,SJ78="Supramax",UL78,SJ78="Panamax",UE78,SJ78="NeoPanamax",TX78,SJ78="Suezmax",TQ78,SJ78="Capesize",TJ78,SJ78="VLOC",TC78)))))</f>
        <v>#N/A</v>
      </c>
      <c r="XP78" s="75" t="e">
        <f t="array" aca="1" ref="XP78" ca="1">_xlfn.IFS(WA78="DWT",SH78,WA78="NRT",SL78,WA78="GRT",SM78,WA78=0,0)</f>
        <v>#NAME?</v>
      </c>
      <c r="XQ78" s="279" t="e">
        <f t="shared" ca="1" si="836"/>
        <v>#NAME?</v>
      </c>
      <c r="XR78" s="280" t="e">
        <f t="shared" ca="1" si="837"/>
        <v>#NAME?</v>
      </c>
      <c r="XS78" s="280" t="e">
        <f t="shared" ca="1" si="838"/>
        <v>#NAME?</v>
      </c>
      <c r="XT78" s="280" t="e">
        <f t="shared" ca="1" si="839"/>
        <v>#NAME?</v>
      </c>
      <c r="XU78" s="280" t="e">
        <f t="shared" ca="1" si="840"/>
        <v>#NAME?</v>
      </c>
      <c r="XV78" s="280" t="e">
        <f t="shared" ca="1" si="841"/>
        <v>#NAME?</v>
      </c>
      <c r="XW78" s="280" t="e">
        <f t="shared" ca="1" si="842"/>
        <v>#NAME?</v>
      </c>
      <c r="XX78" s="280" t="e">
        <f t="shared" ca="1" si="843"/>
        <v>#NAME?</v>
      </c>
      <c r="XY78" s="280" t="e">
        <f t="shared" ca="1" si="844"/>
        <v>#NAME?</v>
      </c>
      <c r="XZ78" s="75">
        <f t="shared" si="845"/>
        <v>0</v>
      </c>
      <c r="YA78" s="279" t="e">
        <f t="shared" ca="1" si="846"/>
        <v>#N/A</v>
      </c>
      <c r="YB78" s="280" t="e">
        <f t="shared" ca="1" si="847"/>
        <v>#N/A</v>
      </c>
      <c r="YC78" s="280" t="e">
        <f t="shared" ca="1" si="848"/>
        <v>#N/A</v>
      </c>
      <c r="YD78" s="280" t="e">
        <f t="shared" ca="1" si="849"/>
        <v>#N/A</v>
      </c>
      <c r="YE78" s="280" t="e">
        <f t="shared" ca="1" si="850"/>
        <v>#N/A</v>
      </c>
      <c r="YF78" s="280" t="e">
        <f t="shared" ca="1" si="851"/>
        <v>#N/A</v>
      </c>
      <c r="YG78" s="280" t="e">
        <f t="shared" ca="1" si="852"/>
        <v>#N/A</v>
      </c>
      <c r="YH78" s="280" t="e">
        <f t="shared" ca="1" si="853"/>
        <v>#N/A</v>
      </c>
      <c r="YI78" s="280" t="e">
        <f t="shared" ca="1" si="854"/>
        <v>#N/A</v>
      </c>
      <c r="YK78" s="75" t="e">
        <f t="array" aca="1" ref="YK78" ca="1">_xlfn.IFS(SJ78="Handysize",Main!UM78,SJ78="Supramax",UF78,SJ78="Panamax",TY78,SJ78="NeoPanamax",TR78,SJ78="Suezmax",TK78,SJ78="Capesize",TD78,SJ78="VLOC",SW78)*$JI78</f>
        <v>#NAME?</v>
      </c>
      <c r="YL78" s="274" t="e">
        <f t="array" aca="1" ref="YL78" ca="1">_xlfn.IFS(SJ78="Handysize",Main!UN78,SJ78="Supramax",UG78,SJ78="Panamax",TZ78,SJ78="NeoPanamax",TS78,SJ78="Suezmax",TL78,SJ78="Capesize",TE78,SJ78="VLOC",SX78)*$JI78</f>
        <v>#NAME?</v>
      </c>
      <c r="YM78" s="71" t="e">
        <f t="array" aca="1" ref="YM78" ca="1">_xlfn.IFS(SJ78="Handysize",Main!SO78,SJ78="Supramax",SP78,SJ78="Panamax",SQ78,SJ78="NeoPanamax",SR78,SJ78="Suezmax",SS78,SJ78="Capesize",ST78,SJ78="VLOC",SU78)</f>
        <v>#NAME?</v>
      </c>
      <c r="YN78" s="71" t="e">
        <f t="array" aca="1" ref="YN78" ca="1">_xlfn.IFS(SJ78="Handysize",Main!VA78,SJ78="Supramax",VB78,SJ78="Panamax",VC78,SJ78="NeoPanamax",VD78,SJ78="Suezmax",VE78,SJ78="Capesize",VF78,SJ78="VLOC",VG78)</f>
        <v>#NAME?</v>
      </c>
      <c r="YO78" s="70">
        <f t="array" ref="YO78">INDEX('Ship Speeds'!$G$11:$G$1011,MATCH(2,1/(('Ship Speeds'!$E$11:$E$1011&lt;=Main!$C78)*('Ship Speeds'!$F$11:$F$1011=Main!SI78))))</f>
        <v>11</v>
      </c>
      <c r="YP78" s="403">
        <f t="shared" si="855"/>
        <v>0</v>
      </c>
      <c r="YQ78" s="401">
        <f t="shared" si="856"/>
        <v>1.2</v>
      </c>
      <c r="YR78" s="70" t="e">
        <f t="shared" ca="1" si="857"/>
        <v>#NAME?</v>
      </c>
      <c r="YS78" s="70" t="e">
        <f t="shared" ca="1" si="858"/>
        <v>#NAME?</v>
      </c>
      <c r="YT78" s="70" t="e">
        <f t="shared" ca="1" si="859"/>
        <v>#NAME?</v>
      </c>
      <c r="YU78" s="70" t="e">
        <f t="shared" ca="1" si="860"/>
        <v>#NAME?</v>
      </c>
      <c r="YV78" s="72" t="e">
        <f t="shared" ca="1" si="861"/>
        <v>#N/A</v>
      </c>
      <c r="YW78" s="70" t="e">
        <f t="shared" ca="1" si="862"/>
        <v>#NAME?</v>
      </c>
      <c r="YX78" s="70" t="e">
        <f t="array" aca="1" ref="YX78" ca="1">IF(YK78=0,0,INDEX(UU78:UY78,MATCH(_xlfn.IFS(SJ78="Handysize",Main!UQ78,SJ78="Supramax",UJ78,SJ78="Panamax",UC78,SJ78="NeoPanamax",TV78,SJ78="Suezmax",TO78,SJ78="Capesize",TH78,SJ78="VLOC",TA78),$UU$7:$UY$7,0)))</f>
        <v>#NAME?</v>
      </c>
      <c r="YY78" s="70" t="e">
        <f t="array" aca="1" ref="YY78" ca="1">IF(YK78=0,0,INDEX(UU78:UY78,MATCH(_xlfn.IFS(SJ78="Handysize",Main!UR78,SJ78="Supramax",UK78,SJ78="Panamax",UD78,SJ78="NeoPanamax",TW78,SJ78="Suezmax",TP78,SJ78="Capesize",TI78,SJ78="VLOC",TB78),$UU$7:$UY$7,0)))</f>
        <v>#NAME?</v>
      </c>
      <c r="YZ78" s="71" t="e">
        <f t="shared" ca="1" si="863"/>
        <v>#NAME?</v>
      </c>
      <c r="ZA78" s="71" t="e">
        <f t="shared" ca="1" si="864"/>
        <v>#NAME?</v>
      </c>
      <c r="ZB78" s="281" t="e">
        <f t="shared" ca="1" si="865"/>
        <v>#NAME?</v>
      </c>
      <c r="ZC78" s="71" t="e">
        <f t="shared" ca="1" si="866"/>
        <v>#NAME?</v>
      </c>
      <c r="ZD78" s="71" t="e">
        <f t="shared" ca="1" si="867"/>
        <v>#NAME?</v>
      </c>
      <c r="ZE78" s="71" t="e">
        <f t="shared" ca="1" si="868"/>
        <v>#NAME?</v>
      </c>
      <c r="ZF78" s="71" t="e">
        <f t="shared" ca="1" si="869"/>
        <v>#NAME?</v>
      </c>
      <c r="ZG78" s="71" t="e">
        <f t="shared" ca="1" si="870"/>
        <v>#NAME?</v>
      </c>
      <c r="ZH78" s="71" t="e">
        <f t="shared" ca="1" si="871"/>
        <v>#NAME?</v>
      </c>
      <c r="ZI78" s="71" t="e">
        <f t="shared" ca="1" si="872"/>
        <v>#NAME?</v>
      </c>
      <c r="ZJ78" s="71" t="e">
        <f t="shared" ca="1" si="873"/>
        <v>#NAME?</v>
      </c>
      <c r="ZK78" s="71" t="e">
        <f t="shared" ca="1" si="874"/>
        <v>#NAME?</v>
      </c>
      <c r="ZL78" s="71" t="e">
        <f t="shared" ca="1" si="875"/>
        <v>#NAME?</v>
      </c>
      <c r="ZM78" s="71" t="e">
        <f t="shared" ca="1" si="876"/>
        <v>#NAME?</v>
      </c>
      <c r="ZN78" s="71" t="e">
        <f t="shared" ca="1" si="877"/>
        <v>#NAME?</v>
      </c>
      <c r="ZO78" s="72" t="e">
        <f t="shared" ca="1" si="878"/>
        <v>#NAME?</v>
      </c>
      <c r="ZP78" s="72" t="e">
        <f t="shared" ca="1" si="879"/>
        <v>#NAME?</v>
      </c>
      <c r="ZQ78" s="71" t="e">
        <f t="shared" ca="1" si="880"/>
        <v>#NAME?</v>
      </c>
      <c r="ZR78" s="71" t="e">
        <f t="array" aca="1" ref="ZR78" ca="1">IF(YK78=0,0,INDEX('Ship Time Charter Rates'!$H$22:$H$1021,MATCH(2,1/(('Ship Time Charter Rates'!$G$22:$G$1021=_xlfn.IFS(SJ78="Handysize",Main!UO78,SJ78="Supramax",UH78,SJ78="Panamax",UA78,SJ78="NeoPanamax",TT78,SJ78="Suezmax",TM78,SJ78="Capesize",TF78,SJ78="VLOC",SY78))*('Ship Time Charter Rates'!$E$22:$E$1021&lt;=Main!$C78)*(NOT(ISBLANK('Ship Time Charter Rates'!$H$22:$H$1021)))))))</f>
        <v>#NAME?</v>
      </c>
      <c r="ZS78" s="71" t="e">
        <f t="shared" ca="1" si="881"/>
        <v>#NAME?</v>
      </c>
      <c r="ZT78" s="70" t="e">
        <f t="shared" ca="1" si="882"/>
        <v>#NAME?</v>
      </c>
      <c r="ZU78" s="71" t="e">
        <f t="shared" ca="1" si="883"/>
        <v>#NAME?</v>
      </c>
      <c r="ZV78" s="71" t="e">
        <f t="shared" ca="1" si="884"/>
        <v>#NAME?</v>
      </c>
      <c r="ZW78" s="72" t="e">
        <f t="shared" ca="1" si="885"/>
        <v>#NAME?</v>
      </c>
      <c r="ZY78" s="287" t="s">
        <v>39</v>
      </c>
      <c r="AAA78" s="25">
        <f t="shared" si="886"/>
        <v>83130.904183535764</v>
      </c>
      <c r="AAB78" s="4" t="str">
        <f>VLOOKUP(AAA78,'Ship Time Charter Rates'!$F$10:$G$17,2,TRUE)</f>
        <v>Panamax</v>
      </c>
      <c r="AAC78" s="4" t="str">
        <f>VLOOKUP(AAA78,Canals!$E$5:$F$12,2,TRUE)</f>
        <v>Panamax</v>
      </c>
      <c r="AAD78" s="25">
        <f t="shared" si="887"/>
        <v>218.46327935222672</v>
      </c>
      <c r="AAE78" s="25">
        <f t="shared" si="888"/>
        <v>33535.006747638326</v>
      </c>
      <c r="AAF78" s="25">
        <f t="shared" si="889"/>
        <v>47933.626180836713</v>
      </c>
      <c r="AAH78" s="75">
        <f t="array" ref="AAH78">INDEX('Indices Mines Exporting Ports'!$R$20:$R$51,MATCH(2,1/(('Indices Mines Exporting Ports'!$D$20:$D$51&lt;=Main!$C78)*('Indices Mines Exporting Ports'!$Q$20:$Q$51=$AP78))))</f>
        <v>15000</v>
      </c>
      <c r="AAI78" s="75">
        <f t="array" ref="AAI78">INDEX('Indices Mines Exporting Ports'!$S$20:$S$51,MATCH(2,1/(('Indices Mines Exporting Ports'!$D$20:$D$51&lt;=Main!$C78)*('Indices Mines Exporting Ports'!$Q$20:$Q$51=$AP78))))</f>
        <v>15000</v>
      </c>
      <c r="AAJ78" s="75">
        <f t="array" ref="AAJ78">INDEX('Indices Mines Exporting Ports'!$T$20:$T$51,MATCH(2,1/(('Indices Mines Exporting Ports'!$D$20:$D$51&lt;=Main!$C78)*('Indices Mines Exporting Ports'!$Q$20:$Q$51=$AP78))))</f>
        <v>15000</v>
      </c>
      <c r="AAK78" s="75">
        <f t="array" ref="AAK78">INDEX('Indices Mines Exporting Ports'!$U$20:$U$51,MATCH(2,1/(('Indices Mines Exporting Ports'!$D$20:$D$51&lt;=Main!$C78)*('Indices Mines Exporting Ports'!$Q$20:$Q$51=$AP78))))</f>
        <v>15000</v>
      </c>
      <c r="AAL78" s="75">
        <f t="array" ref="AAL78">INDEX('Indices Mines Exporting Ports'!$V$20:$V$51,MATCH(2,1/(('Indices Mines Exporting Ports'!$D$20:$D$51&lt;=Main!$C78)*('Indices Mines Exporting Ports'!$Q$20:$Q$51=$AP78))))</f>
        <v>15000</v>
      </c>
      <c r="AAM78" s="75">
        <f t="array" ref="AAM78">INDEX('Indices Mines Exporting Ports'!$W$20:$W$51,MATCH(2,1/(('Indices Mines Exporting Ports'!$D$20:$D$51&lt;=Main!$C78)*('Indices Mines Exporting Ports'!$Q$20:$Q$51=$AP78))))</f>
        <v>15000</v>
      </c>
      <c r="AAN78" s="75">
        <f t="array" ref="AAN78">INDEX('Indices Mines Exporting Ports'!$X$20:$X$51,MATCH(2,1/(('Indices Mines Exporting Ports'!$D$20:$D$51&lt;=Main!$C78)*('Indices Mines Exporting Ports'!$Q$20:$Q$51=$AP78))))</f>
        <v>15000</v>
      </c>
      <c r="AAP78" s="75">
        <f t="array" ref="AAP78">INDEX('Port Linkages'!$E$18:$E$157,MATCH(2,1/(('Port Linkages'!$C$18:$C$157=$AP78)*('Port Linkages'!$D$18:$D$157=IF($AO78="Yes",$AQ78,$KK78))*('Port Linkages'!$A$18:$A$157&lt;=$C78))))</f>
        <v>2326</v>
      </c>
      <c r="AAQ78" s="75">
        <f t="array" ref="AAQ78">INDEX('Port Linkages'!$F$18:$F$157,MATCH(2,1/(('Port Linkages'!$C$18:$C$157=$AP78)*('Port Linkages'!$D$18:$D$157=IF($AO78="Yes",$AQ78,$KK78))*('Port Linkages'!$A$18:$A$157&lt;=$C78))))</f>
        <v>0</v>
      </c>
      <c r="AAR78" s="75" t="str">
        <f t="array" ref="AAR78">INDEX('Port Linkages'!$G$18:$G$157,MATCH(2,1/(('Port Linkages'!$C$18:$C$157=$AP78)*('Port Linkages'!$D$18:$D$157=IF($AO78="Yes",$AQ78,$KK78))*('Port Linkages'!$A$18:$A$157&lt;=$C78))))</f>
        <v>VLOC_General</v>
      </c>
      <c r="AAS78" s="75" t="str">
        <f t="array" ref="AAS78">INDEX('Port Linkages'!$H$18:$H$157,MATCH(2,1/(('Port Linkages'!$C$18:$C$157=$AP78)*('Port Linkages'!$D$18:$D$157=IF($AO78="Yes",$AQ78,$KK78))*('Port Linkages'!$A$18:$A$157&lt;=$C78))))</f>
        <v>Singapore</v>
      </c>
      <c r="AAT78" s="75" t="str">
        <f t="array" ref="AAT78">INDEX('Port Linkages'!$I$18:$I$157,MATCH(2,1/(('Port Linkages'!$C$18:$C$157=$AP78)*('Port Linkages'!$D$18:$D$157=IF($AO78="Yes",$AQ78,$KK78))*('Port Linkages'!$A$18:$A$157&lt;=$C78))))</f>
        <v>VLSFO</v>
      </c>
      <c r="AAU78" s="75" t="str">
        <f t="array" ref="AAU78">INDEX('Port Linkages'!$J$18:$J$157,MATCH(2,1/(('Port Linkages'!$C$18:$C$157=$AP78)*('Port Linkages'!$D$18:$D$157=IF($AO78="Yes",$AQ78,$KK78))*('Port Linkages'!$A$18:$A$157&lt;=$C78))))</f>
        <v>MGO_Regular</v>
      </c>
      <c r="AAV78" s="75" t="str">
        <f t="array" ref="AAV78">INDEX('Port Linkages'!$K$18:$K$157,MATCH(2,1/(('Port Linkages'!$C$18:$C$157=$AP78)*('Port Linkages'!$D$18:$D$157=IF($AO78="Yes",$AQ78,$KK78))*('Port Linkages'!$A$18:$A$157&lt;=$C78))))</f>
        <v>none</v>
      </c>
      <c r="AAW78" s="75">
        <f t="array" ref="AAW78">INDEX('Port Linkages'!$L$18:$L$157,MATCH(2,1/(('Port Linkages'!$C$18:$C$157=$AP78)*('Port Linkages'!$D$18:$D$157=IF($AO78="Yes",$AQ78,$KK78))*('Port Linkages'!$A$18:$A$157&lt;=$C78))))</f>
        <v>2326</v>
      </c>
      <c r="AAX78" s="75">
        <f t="array" ref="AAX78">INDEX('Port Linkages'!$M$18:$M$157,MATCH(2,1/(('Port Linkages'!$C$18:$C$157=$AP78)*('Port Linkages'!$D$18:$D$157=IF($AO78="Yes",$AQ78,$KK78))*('Port Linkages'!$A$18:$A$157&lt;=$C78))))</f>
        <v>0</v>
      </c>
      <c r="AAY78" s="75" t="str">
        <f t="array" ref="AAY78">INDEX('Port Linkages'!$N$18:$N$157,MATCH(2,1/(('Port Linkages'!$C$18:$C$157=$AP78)*('Port Linkages'!$D$18:$D$157=IF($AO78="Yes",$AQ78,$KK78))*('Port Linkages'!$A$18:$A$157&lt;=$C78))))</f>
        <v>Capesize_General</v>
      </c>
      <c r="AAZ78" s="75" t="str">
        <f t="array" ref="AAZ78">INDEX('Port Linkages'!$O$18:$O$157,MATCH(2,1/(('Port Linkages'!$C$18:$C$157=$AP78)*('Port Linkages'!$D$18:$D$157=IF($AO78="Yes",$AQ78,$KK78))*('Port Linkages'!$A$18:$A$157&lt;=$C78))))</f>
        <v>Singapore</v>
      </c>
      <c r="ABA78" s="75" t="str">
        <f t="array" ref="ABA78">INDEX('Port Linkages'!$P$18:$P$157,MATCH(2,1/(('Port Linkages'!$C$18:$C$157=$AP78)*('Port Linkages'!$D$18:$D$157=IF($AO78="Yes",$AQ78,$KK78))*('Port Linkages'!$A$18:$A$157&lt;=$C78))))</f>
        <v>VLSFO</v>
      </c>
      <c r="ABB78" s="75" t="str">
        <f t="array" ref="ABB78">INDEX('Port Linkages'!$Q$18:$Q$157,MATCH(2,1/(('Port Linkages'!$C$18:$C$157=$AP78)*('Port Linkages'!$D$18:$D$157=IF($AO78="Yes",$AQ78,$KK78))*('Port Linkages'!$A$18:$A$157&lt;=$C78))))</f>
        <v>MGO_Regular</v>
      </c>
      <c r="ABC78" s="75" t="str">
        <f t="array" ref="ABC78">INDEX('Port Linkages'!$R$18:$R$157,MATCH(2,1/(('Port Linkages'!$C$18:$C$157=$AP78)*('Port Linkages'!$D$18:$D$157=IF($AO78="Yes",$AQ78,$KK78))*('Port Linkages'!$A$18:$A$157&lt;=$C78))))</f>
        <v>none</v>
      </c>
      <c r="ABD78" s="75">
        <f t="array" ref="ABD78">INDEX('Port Linkages'!$S$18:$S$157,MATCH(2,1/(('Port Linkages'!$C$18:$C$157=$AP78)*('Port Linkages'!$D$18:$D$157=IF($AO78="Yes",$AQ78,$KK78))*('Port Linkages'!$A$18:$A$157&lt;=$C78))))</f>
        <v>2326</v>
      </c>
      <c r="ABE78" s="75">
        <f t="array" ref="ABE78">INDEX('Port Linkages'!$T$18:$T$157,MATCH(2,1/(('Port Linkages'!$C$18:$C$157=$AP78)*('Port Linkages'!$D$18:$D$157=IF($AO78="Yes",$AQ78,$KK78))*('Port Linkages'!$A$18:$A$157&lt;=$C78))))</f>
        <v>0</v>
      </c>
      <c r="ABF78" s="75" t="str">
        <f t="array" ref="ABF78">INDEX('Port Linkages'!$U$18:$U$157,MATCH(2,1/(('Port Linkages'!$C$18:$C$157=$AP78)*('Port Linkages'!$D$18:$D$157=IF($AO78="Yes",$AQ78,$KK78))*('Port Linkages'!$A$18:$A$157&lt;=$C78))))</f>
        <v>Capesize_General</v>
      </c>
      <c r="ABG78" s="75" t="str">
        <f t="array" ref="ABG78">INDEX('Port Linkages'!$V$18:$V$157,MATCH(2,1/(('Port Linkages'!$C$18:$C$157=$AP78)*('Port Linkages'!$D$18:$D$157=IF($AO78="Yes",$AQ78,$KK78))*('Port Linkages'!$A$18:$A$157&lt;=$C78))))</f>
        <v>Singapore</v>
      </c>
      <c r="ABH78" s="75" t="str">
        <f t="array" ref="ABH78">INDEX('Port Linkages'!$W$18:$W$157,MATCH(2,1/(('Port Linkages'!$C$18:$C$157=$AP78)*('Port Linkages'!$D$18:$D$157=IF($AO78="Yes",$AQ78,$KK78))*('Port Linkages'!$A$18:$A$157&lt;=$C78))))</f>
        <v>VLSFO</v>
      </c>
      <c r="ABI78" s="75" t="str">
        <f t="array" ref="ABI78">INDEX('Port Linkages'!$X$18:$X$157,MATCH(2,1/(('Port Linkages'!$C$18:$C$157=$AP78)*('Port Linkages'!$D$18:$D$157=IF($AO78="Yes",$AQ78,$KK78))*('Port Linkages'!$A$18:$A$157&lt;=$C78))))</f>
        <v>MGO_Regular</v>
      </c>
      <c r="ABJ78" s="75" t="str">
        <f t="array" ref="ABJ78">INDEX('Port Linkages'!$Y$18:$Y$157,MATCH(2,1/(('Port Linkages'!$C$18:$C$157=$AP78)*('Port Linkages'!$D$18:$D$157=IF($AO78="Yes",$AQ78,$KK78))*('Port Linkages'!$A$18:$A$157&lt;=$C78))))</f>
        <v>none</v>
      </c>
      <c r="ABK78" s="75">
        <f t="array" ref="ABK78">INDEX('Port Linkages'!$Z$18:$Z$157,MATCH(2,1/(('Port Linkages'!$C$18:$C$157=$AP78)*('Port Linkages'!$D$18:$D$157=IF($AO78="Yes",$AQ78,$KK78))*('Port Linkages'!$A$18:$A$157&lt;=$C78))))</f>
        <v>2326</v>
      </c>
      <c r="ABL78" s="75">
        <f t="array" ref="ABL78">INDEX('Port Linkages'!$AA$18:$AA$157,MATCH(2,1/(('Port Linkages'!$C$18:$C$157=$AP78)*('Port Linkages'!$D$18:$D$157=IF($AO78="Yes",$AQ78,$KK78))*('Port Linkages'!$A$18:$A$157&lt;=$C78))))</f>
        <v>0</v>
      </c>
      <c r="ABM78" s="75" t="str">
        <f t="array" ref="ABM78">INDEX('Port Linkages'!$AB$18:$AB$157,MATCH(2,1/(('Port Linkages'!$C$18:$C$157=$AP78)*('Port Linkages'!$D$18:$D$157=IF($AO78="Yes",$AQ78,$KK78))*('Port Linkages'!$A$18:$A$157&lt;=$C78))))</f>
        <v>Capesize_General</v>
      </c>
      <c r="ABN78" s="75" t="str">
        <f t="array" ref="ABN78">INDEX('Port Linkages'!$AC$18:$AC$157,MATCH(2,1/(('Port Linkages'!$C$18:$C$157=$AP78)*('Port Linkages'!$D$18:$D$157=IF($AO78="Yes",$AQ78,$KK78))*('Port Linkages'!$A$18:$A$157&lt;=$C78))))</f>
        <v>Singapore</v>
      </c>
      <c r="ABO78" s="75" t="str">
        <f t="array" ref="ABO78">INDEX('Port Linkages'!$AD$18:$AD$157,MATCH(2,1/(('Port Linkages'!$C$18:$C$157=$AP78)*('Port Linkages'!$D$18:$D$157=IF($AO78="Yes",$AQ78,$KK78))*('Port Linkages'!$A$18:$A$157&lt;=$C78))))</f>
        <v>VLSFO</v>
      </c>
      <c r="ABP78" s="75" t="str">
        <f t="array" ref="ABP78">INDEX('Port Linkages'!$AE$18:$AE$157,MATCH(2,1/(('Port Linkages'!$C$18:$C$157=$AP78)*('Port Linkages'!$D$18:$D$157=IF($AO78="Yes",$AQ78,$KK78))*('Port Linkages'!$A$18:$A$157&lt;=$C78))))</f>
        <v>MGO_Regular</v>
      </c>
      <c r="ABQ78" s="75" t="str">
        <f t="array" ref="ABQ78">INDEX('Port Linkages'!$AF$18:$AF$157,MATCH(2,1/(('Port Linkages'!$C$18:$C$157=$AP78)*('Port Linkages'!$D$18:$D$157=IF($AO78="Yes",$AQ78,$KK78))*('Port Linkages'!$A$18:$A$157&lt;=$C78))))</f>
        <v>none</v>
      </c>
      <c r="ABR78" s="75">
        <f t="array" ref="ABR78">INDEX('Port Linkages'!$AG$18:$AG$157,MATCH(2,1/(('Port Linkages'!$C$18:$C$157=$AP78)*('Port Linkages'!$D$18:$D$157=IF($AO78="Yes",$AQ78,$KK78))*('Port Linkages'!$A$18:$A$157&lt;=$C78))))</f>
        <v>2326</v>
      </c>
      <c r="ABS78" s="75">
        <f t="array" ref="ABS78">INDEX('Port Linkages'!$AH$18:$AH$157,MATCH(2,1/(('Port Linkages'!$C$18:$C$157=$AP78)*('Port Linkages'!$D$18:$D$157=IF($AO78="Yes",$AQ78,$KK78))*('Port Linkages'!$A$18:$A$157&lt;=$C78))))</f>
        <v>0</v>
      </c>
      <c r="ABT78" s="75" t="str">
        <f t="array" ref="ABT78">INDEX('Port Linkages'!$AI$18:$AI$157,MATCH(2,1/(('Port Linkages'!$C$18:$C$157=$AP78)*('Port Linkages'!$D$18:$D$157=IF($AO78="Yes",$AQ78,$KK78))*('Port Linkages'!$A$18:$A$157&lt;=$C78))))</f>
        <v>Panamax_General</v>
      </c>
      <c r="ABU78" s="75" t="str">
        <f t="array" ref="ABU78">INDEX('Port Linkages'!$AJ$18:$AJ$157,MATCH(2,1/(('Port Linkages'!$C$18:$C$157=$AP78)*('Port Linkages'!$D$18:$D$157=IF($AO78="Yes",$AQ78,$KK78))*('Port Linkages'!$A$18:$A$157&lt;=$C78))))</f>
        <v>Singapore</v>
      </c>
      <c r="ABV78" s="75" t="str">
        <f t="array" ref="ABV78">INDEX('Port Linkages'!$AK$18:$AK$157,MATCH(2,1/(('Port Linkages'!$C$18:$C$157=$AP78)*('Port Linkages'!$D$18:$D$157=IF($AO78="Yes",$AQ78,$KK78))*('Port Linkages'!$A$18:$A$157&lt;=$C78))))</f>
        <v>VLSFO</v>
      </c>
      <c r="ABW78" s="75" t="str">
        <f t="array" ref="ABW78">INDEX('Port Linkages'!$AL$18:$AL$157,MATCH(2,1/(('Port Linkages'!$C$18:$C$157=$AP78)*('Port Linkages'!$D$18:$D$157=IF($AO78="Yes",$AQ78,$KK78))*('Port Linkages'!$A$18:$A$157&lt;=$C78))))</f>
        <v>MGO_Regular</v>
      </c>
      <c r="ABX78" s="75" t="str">
        <f t="array" ref="ABX78">INDEX('Port Linkages'!$AM$18:$AM$157,MATCH(2,1/(('Port Linkages'!$C$18:$C$157=$AP78)*('Port Linkages'!$D$18:$D$157=IF($AO78="Yes",$AQ78,$KK78))*('Port Linkages'!$A$18:$A$157&lt;=$C78))))</f>
        <v>none</v>
      </c>
      <c r="ABY78" s="75">
        <f t="array" ref="ABY78">INDEX('Port Linkages'!$AN$18:$AN$157,MATCH(2,1/(('Port Linkages'!$C$18:$C$157=$AP78)*('Port Linkages'!$D$18:$D$157=IF($AO78="Yes",$AQ78,$KK78))*('Port Linkages'!$A$18:$A$157&lt;=$C78))))</f>
        <v>2326</v>
      </c>
      <c r="ABZ78" s="75">
        <f t="array" ref="ABZ78">INDEX('Port Linkages'!$AO$18:$AO$157,MATCH(2,1/(('Port Linkages'!$C$18:$C$157=$AP78)*('Port Linkages'!$D$18:$D$157=IF($AO78="Yes",$AQ78,$KK78))*('Port Linkages'!$A$18:$A$157&lt;=$C78))))</f>
        <v>0</v>
      </c>
      <c r="ACA78" s="75" t="str">
        <f t="array" ref="ACA78">INDEX('Port Linkages'!$AP$18:$AP$157,MATCH(2,1/(('Port Linkages'!$C$18:$C$157=$AP78)*('Port Linkages'!$D$18:$D$157=IF($AO78="Yes",$AQ78,$KK78))*('Port Linkages'!$A$18:$A$157&lt;=$C78))))</f>
        <v>Supramax_General</v>
      </c>
      <c r="ACB78" s="75" t="str">
        <f t="array" ref="ACB78">INDEX('Port Linkages'!$AQ$18:$AQ$157,MATCH(2,1/(('Port Linkages'!$C$18:$C$157=$AP78)*('Port Linkages'!$D$18:$D$157=IF($AO78="Yes",$AQ78,$KK78))*('Port Linkages'!$A$18:$A$157&lt;=$C78))))</f>
        <v>Singapore</v>
      </c>
      <c r="ACC78" s="75" t="str">
        <f t="array" ref="ACC78">INDEX('Port Linkages'!$AR$18:$AR$157,MATCH(2,1/(('Port Linkages'!$C$18:$C$157=$AP78)*('Port Linkages'!$D$18:$D$157=IF($AO78="Yes",$AQ78,$KK78))*('Port Linkages'!$A$18:$A$157&lt;=$C78))))</f>
        <v>VLSFO</v>
      </c>
      <c r="ACD78" s="75" t="str">
        <f t="array" ref="ACD78">INDEX('Port Linkages'!$AS$18:$AS$157,MATCH(2,1/(('Port Linkages'!$C$18:$C$157=$AP78)*('Port Linkages'!$D$18:$D$157=IF($AO78="Yes",$AQ78,$KK78))*('Port Linkages'!$A$18:$A$157&lt;=$C78))))</f>
        <v>MGO_Regular</v>
      </c>
      <c r="ACE78" s="75" t="str">
        <f t="array" ref="ACE78">INDEX('Port Linkages'!$AT$18:$AT$157,MATCH(2,1/(('Port Linkages'!$C$18:$C$157=$AP78)*('Port Linkages'!$D$18:$D$157=IF($AO78="Yes",$AQ78,$KK78))*('Port Linkages'!$A$18:$A$157&lt;=$C78))))</f>
        <v>none</v>
      </c>
      <c r="ACF78" s="75">
        <f t="array" ref="ACF78">INDEX('Port Linkages'!$AU$18:$AU$157,MATCH(2,1/(('Port Linkages'!$C$18:$C$157=$AP78)*('Port Linkages'!$D$18:$D$157=IF($AO78="Yes",$AQ78,$KK78))*('Port Linkages'!$A$18:$A$157&lt;=$C78))))</f>
        <v>2326</v>
      </c>
      <c r="ACG78" s="75">
        <f t="array" ref="ACG78">INDEX('Port Linkages'!$AV$18:$AV$157,MATCH(2,1/(('Port Linkages'!$C$18:$C$157=$AP78)*('Port Linkages'!$D$18:$D$157=IF($AO78="Yes",$AQ78,$KK78))*('Port Linkages'!$A$18:$A$157&lt;=$C78))))</f>
        <v>0</v>
      </c>
      <c r="ACH78" s="75" t="str">
        <f t="array" ref="ACH78">INDEX('Port Linkages'!$AW$18:$AW$157,MATCH(2,1/(('Port Linkages'!$C$18:$C$157=$AP78)*('Port Linkages'!$D$18:$D$157=IF($AO78="Yes",$AQ78,$KK78))*('Port Linkages'!$A$18:$A$157&lt;=$C78))))</f>
        <v>Handysize_General</v>
      </c>
      <c r="ACI78" s="75" t="str">
        <f t="array" ref="ACI78">INDEX('Port Linkages'!$AX$18:$AX$157,MATCH(2,1/(('Port Linkages'!$C$18:$C$157=$AP78)*('Port Linkages'!$D$18:$D$157=IF($AO78="Yes",$AQ78,$KK78))*('Port Linkages'!$A$18:$A$157&lt;=$C78))))</f>
        <v>Singapore</v>
      </c>
      <c r="ACJ78" s="75" t="str">
        <f t="array" ref="ACJ78">INDEX('Port Linkages'!$AY$18:$AY$157,MATCH(2,1/(('Port Linkages'!$C$18:$C$157=$AP78)*('Port Linkages'!$D$18:$D$157=IF($AO78="Yes",$AQ78,$KK78))*('Port Linkages'!$A$18:$A$157&lt;=$C78))))</f>
        <v>VLSFO</v>
      </c>
      <c r="ACK78" s="75" t="str">
        <f t="array" ref="ACK78">INDEX('Port Linkages'!$AZ$18:$AZ$157,MATCH(2,1/(('Port Linkages'!$C$18:$C$157=$AP78)*('Port Linkages'!$D$18:$D$157=IF($AO78="Yes",$AQ78,$KK78))*('Port Linkages'!$A$18:$A$157&lt;=$C78))))</f>
        <v>MGO_Regular</v>
      </c>
      <c r="ACL78" s="75" t="str">
        <f t="array" ref="ACL78">INDEX('Port Linkages'!$BA$18:$BA$157,MATCH(2,1/(('Port Linkages'!$C$18:$C$157=$AP78)*('Port Linkages'!$D$18:$D$157=IF($AO78="Yes",$AQ78,$KK78))*('Port Linkages'!$A$18:$A$157&lt;=$C78))))</f>
        <v>none</v>
      </c>
      <c r="ACN78" s="25" t="e">
        <f t="array" aca="1" ref="ACN78" ca="1">INDEX('Ship Fuel Prices'!$F$5:$F$1004,MATCH(2,1/(('Ship Fuel Prices'!$E$5:$E$1004=_xlfn.IFS(AAC78="Handysize",Main!ACI78,AAC78="Supramax",ACB78,AAC78="Panamax",ABU78,AAC78="NeoPanamax",ABN78,AAC78="Suezmax",ABG78,AAC78="Capesize",AAZ78,AAC78="VLOC",AAS78))*('Ship Fuel Prices'!$D$5:$D$1004&lt;=Main!$C78))))</f>
        <v>#N/A</v>
      </c>
      <c r="ACO78" s="25" t="e">
        <f t="array" aca="1" ref="ACO78" ca="1">INDEX('Ship Fuel Prices'!$G$5:$G$1004,MATCH(2,1/(('Ship Fuel Prices'!$E$5:$E$1004=_xlfn.IFS(AAC78="Handysize",Main!ACI78,AAC78="Supramax",ACB78,AAC78="Panamax",ABU78,AAC78="NeoPanamax",ABN78,AAC78="Suezmax",ABG78,AAC78="Capesize",AAZ78,AAC78="VLOC",AAS78))*('Ship Fuel Prices'!$D$5:$D$1004&lt;=Main!$C78))))</f>
        <v>#N/A</v>
      </c>
      <c r="ACP78" s="25" t="e">
        <f t="array" aca="1" ref="ACP78" ca="1">INDEX('Ship Fuel Prices'!$H$5:$H$1004,MATCH(2,1/(('Ship Fuel Prices'!$E$5:$E$1004=_xlfn.IFS(AAC78="Handysize",Main!ACI78,AAC78="Supramax",ACB78,AAC78="Panamax",ABU78,AAC78="NeoPanamax",ABN78,AAC78="Suezmax",ABG78,AAC78="Capesize",AAZ78,AAC78="VLOC",AAS78))*('Ship Fuel Prices'!$D$5:$D$1004&lt;=Main!$C78))))</f>
        <v>#N/A</v>
      </c>
      <c r="ACQ78" s="25" t="e">
        <f t="array" aca="1" ref="ACQ78" ca="1">INDEX('Ship Fuel Prices'!$I$5:$I$1004,MATCH(2,1/(('Ship Fuel Prices'!$E$5:$E$1004=_xlfn.IFS(AAC78="Handysize",Main!ACI78,AAC78="Supramax",ACB78,AAC78="Panamax",ABU78,AAC78="NeoPanamax",ABN78,AAC78="Suezmax",ABG78,AAC78="Capesize",AAZ78,AAC78="VLOC",AAS78))*('Ship Fuel Prices'!$D$5:$D$1004&lt;=Main!$C78))))</f>
        <v>#N/A</v>
      </c>
      <c r="ACR78" s="25" t="e">
        <f t="array" aca="1" ref="ACR78" ca="1">INDEX('Ship Fuel Prices'!$J$5:$J$1004,MATCH(2,1/(('Ship Fuel Prices'!$E$5:$E$1004=_xlfn.IFS(AAC78="Handysize",Main!ACI78,AAC78="Supramax",ACB78,AAC78="Panamax",ABU78,AAC78="NeoPanamax",ABN78,AAC78="Suezmax",ABG78,AAC78="Capesize",AAZ78,AAC78="VLOC",AAS78))*('Ship Fuel Prices'!$D$5:$D$1004&lt;=Main!$C78))))</f>
        <v>#N/A</v>
      </c>
      <c r="ACT78" s="75">
        <f t="array" ref="ACT78">INDEX('China n Importing Ports'!$E$20:$E$41,MATCH(2,1/(('China n Importing Ports'!$D$20:$D$41&lt;=$C78)*('China n Importing Ports'!$C$20:$C$41=IF($AO78="Yes",$AQ78,$KK78)))))</f>
        <v>42500</v>
      </c>
      <c r="ACU78" s="75">
        <f t="array" ref="ACU78">INDEX('China n Importing Ports'!$F$20:$F$41,MATCH(2,1/(('China n Importing Ports'!$D$20:$D$41&lt;=$C78)*('China n Importing Ports'!$C$20:$C$41=IF($AO78="Yes",$AQ78,$KK78)))))</f>
        <v>42500</v>
      </c>
      <c r="ACV78" s="75">
        <f t="array" ref="ACV78">INDEX('China n Importing Ports'!$G$20:$G$41,MATCH(2,1/(('China n Importing Ports'!$D$20:$D$41&lt;=$C78)*('China n Importing Ports'!$C$20:$C$41=IF($AO78="Yes",$AQ78,$KK78)))))</f>
        <v>42500</v>
      </c>
      <c r="ACW78" s="75">
        <f t="array" ref="ACW78">INDEX('China n Importing Ports'!$H$20:$H$41,MATCH(2,1/(('China n Importing Ports'!$D$20:$D$41&lt;=$C78)*('China n Importing Ports'!$C$20:$C$41=IF($AO78="Yes",$AQ78,$KK78)))))</f>
        <v>42500</v>
      </c>
      <c r="ACX78" s="75">
        <f t="array" ref="ACX78">INDEX('China n Importing Ports'!$I$20:$I$41,MATCH(2,1/(('China n Importing Ports'!$D$20:$D$41&lt;=$C78)*('China n Importing Ports'!$C$20:$C$41=IF($AO78="Yes",$AQ78,$KK78)))))</f>
        <v>42500</v>
      </c>
      <c r="ACY78" s="75">
        <f t="array" ref="ACY78">INDEX('China n Importing Ports'!$J$20:$J$41,MATCH(2,1/(('China n Importing Ports'!$D$20:$D$41&lt;=$C78)*('China n Importing Ports'!$C$20:$C$41=IF($AO78="Yes",$AQ78,$KK78)))))</f>
        <v>42500</v>
      </c>
      <c r="ACZ78" s="75">
        <f t="array" ref="ACZ78">INDEX('China n Importing Ports'!$K$20:$K$41,MATCH(2,1/(('China n Importing Ports'!$D$20:$D$41&lt;=$C78)*('China n Importing Ports'!$C$20:$C$41=IF($AO78="Yes",$AQ78,$KK78)))))</f>
        <v>42500</v>
      </c>
      <c r="ADA78" s="75" t="str">
        <f t="array" ref="ADA78">INDEX('China n Importing Ports'!$L$20:$L$41,MATCH(2,1/(('China n Importing Ports'!$D$20:$D$41&lt;=$C78)*('China n Importing Ports'!$C$20:$C$41=IF($AO78="Yes",$AQ78,$KK78)))))</f>
        <v>RMB</v>
      </c>
      <c r="ADB78" s="75">
        <f t="array" ref="ADB78">INDEX('China n Importing Ports'!$M$20:$M$41,MATCH(2,1/(('China n Importing Ports'!$D$20:$D$41&lt;=$C78)*('China n Importing Ports'!$C$20:$C$41=IF($AO78="Yes",$AQ78,$KK78)))))</f>
        <v>12342</v>
      </c>
      <c r="ADC78" s="75">
        <f t="array" ref="ADC78">INDEX('China n Importing Ports'!$N$20:$N$41,MATCH(2,1/(('China n Importing Ports'!$D$20:$D$41&lt;=$C78)*('China n Importing Ports'!$C$20:$C$41=IF($AO78="Yes",$AQ78,$KK78)))))</f>
        <v>0</v>
      </c>
      <c r="ADD78" s="75">
        <f t="array" ref="ADD78">INDEX('China n Importing Ports'!$O$20:$O$41,MATCH(2,1/(('China n Importing Ports'!$D$20:$D$41&lt;=$C78)*('China n Importing Ports'!$C$20:$C$41=IF($AO78="Yes",$AQ78,$KK78)))))</f>
        <v>0</v>
      </c>
      <c r="ADE78" s="136">
        <f t="array" ref="ADE78">INDEX('China n Importing Ports'!$P$20:$P$41,MATCH(2,1/(('China n Importing Ports'!$D$20:$D$41&lt;=$C78)*('China n Importing Ports'!$C$20:$C$41=IF($AO78="Yes",$AQ78,$KK78)))))</f>
        <v>2.64</v>
      </c>
      <c r="ADF78" s="136">
        <f t="array" ref="ADF78">INDEX('China n Importing Ports'!$Q$20:$Q$41,MATCH(2,1/(('China n Importing Ports'!$D$20:$D$41&lt;=$C78)*('China n Importing Ports'!$C$20:$C$41=IF($AO78="Yes",$AQ78,$KK78)))))</f>
        <v>0</v>
      </c>
      <c r="ADG78" s="136">
        <f t="array" ref="ADG78">INDEX('China n Importing Ports'!$R$20:$R$41,MATCH(2,1/(('China n Importing Ports'!$D$20:$D$41&lt;=$C78)*('China n Importing Ports'!$C$20:$C$41=IF($AO78="Yes",$AQ78,$KK78)))))</f>
        <v>0</v>
      </c>
      <c r="ADH78" s="136">
        <f t="array" ref="ADH78">INDEX('China n Importing Ports'!$S$20:$S$41,MATCH(2,1/(('China n Importing Ports'!$D$20:$D$41&lt;=$C78)*('China n Importing Ports'!$C$20:$C$41=IF($AO78="Yes",$AQ78,$KK78)))))</f>
        <v>4.53</v>
      </c>
      <c r="ADI78" s="136">
        <f t="array" ref="ADI78">INDEX('China n Importing Ports'!$T$20:$T$41,MATCH(2,1/(('China n Importing Ports'!$D$20:$D$41&lt;=$C78)*('China n Importing Ports'!$C$20:$C$41=IF($AO78="Yes",$AQ78,$KK78)))))</f>
        <v>0.36699999999999999</v>
      </c>
      <c r="ADJ78" s="136">
        <f t="array" ref="ADJ78">INDEX('China n Importing Ports'!$U$20:$U$41,MATCH(2,1/(('China n Importing Ports'!$D$20:$D$41&lt;=$C78)*('China n Importing Ports'!$C$20:$C$41=IF($AO78="Yes",$AQ78,$KK78)))))</f>
        <v>0.05</v>
      </c>
      <c r="ADK78" s="136">
        <f t="array" ref="ADK78">INDEX('China n Importing Ports'!$V$20:$V$41,MATCH(2,1/(('China n Importing Ports'!$D$20:$D$41&lt;=$C78)*('China n Importing Ports'!$C$20:$C$41=IF($AO78="Yes",$AQ78,$KK78)))))</f>
        <v>0</v>
      </c>
      <c r="ADL78" s="136">
        <f t="array" ref="ADL78">INDEX('China n Importing Ports'!$W$20:$W$41,MATCH(2,1/(('China n Importing Ports'!$D$20:$D$41&lt;=$C78)*('China n Importing Ports'!$C$20:$C$41=IF($AO78="Yes",$AQ78,$KK78)))))</f>
        <v>0</v>
      </c>
      <c r="ADM78" s="136">
        <f t="array" ref="ADM78">INDEX('China n Importing Ports'!$X$20:$X$41,MATCH(2,1/(('China n Importing Ports'!$D$20:$D$41&lt;=$C78)*('China n Importing Ports'!$C$20:$C$41=IF($AO78="Yes",$AQ78,$KK78)))))</f>
        <v>0</v>
      </c>
      <c r="ADN78" s="136">
        <f t="array" ref="ADN78">INDEX('China n Importing Ports'!$Y$20:$Y$41,MATCH(2,1/(('China n Importing Ports'!$D$20:$D$41&lt;=$C78)*('China n Importing Ports'!$C$20:$C$41=IF($AO78="Yes",$AQ78,$KK78)))))</f>
        <v>197</v>
      </c>
      <c r="ADO78" s="136">
        <f t="array" ref="ADO78">INDEX('China n Importing Ports'!$Z$20:$Z$41,MATCH(2,1/(('China n Importing Ports'!$D$20:$D$41&lt;=$C78)*('China n Importing Ports'!$C$20:$C$41=IF($AO78="Yes",$AQ78,$KK78)))))</f>
        <v>0</v>
      </c>
      <c r="ADP78" s="136">
        <f t="array" ref="ADP78">INDEX('China n Importing Ports'!$AA$20:$AA$41,MATCH(2,1/(('China n Importing Ports'!$D$20:$D$41&lt;=$C78)*('China n Importing Ports'!$C$20:$C$41=IF($AO78="Yes",$AQ78,$KK78)))))</f>
        <v>0</v>
      </c>
      <c r="ADR78" s="75" t="e">
        <f t="array" aca="1" ref="ADR78" ca="1">INDEX(Canals!$G$24:$G$29,MATCH(2,1/((Canals!$F$24:$F$29&lt;=$C78)*(Canals!$G$24:$G$29=_xlfn.IFS(AAC78="Handysize",Main!ACL78,AAC78="Supramax",ACE78,AAC78="Panamax",ABX78,AAC78="NeoPanamax",ABQ78,AAC78="Suezmax",ABJ78,AAC78="Capesize",ABC78,AAC78="VLOC",AAV78)))))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S78" s="75" t="e">
        <f t="array" aca="1" ref="ADS78" ca="1">INDEX(Canals!$H$24:$H$29,MATCH(2,1/((Canals!$F$24:$F$29&lt;=$C78)*(Canals!$G$24:$G$29=_xlfn.IFS(AAC78="Handysize",Main!ACL78,AAC78="Supramax",ACE78,AAC78="Panamax",ABX78,AAC78="NeoPanamax",ABQ78,AAC78="Suezmax",ABJ78,AAC78="Capesize",ABC78,AAC78="VLOC",AAV78)))))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T78" s="75" t="e">
        <f t="array" aca="1" ref="ADT78" ca="1">INDEX(Canals!$I$24:$I$29,MATCH(2,1/((Canals!$F$24:$F$29&lt;=$C78)*(Canals!$G$24:$G$29=_xlfn.IFS(AAC78="Handysize",Main!ACL78,AAC78="Supramax",ACE78,AAC78="Panamax",ABX78,AAC78="NeoPanamax",ABQ78,AAC78="Suezmax",ABJ78,AAC78="Capesize",ABC78,AAC78="VLOC",AAV78)))))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U78" s="75" t="e">
        <f t="array" aca="1" ref="ADU78" ca="1">INDEX(Canals!$J$24:$J$29,MATCH(2,1/((Canals!$F$24:$F$29&lt;=$C78)*(Canals!$G$24:$G$29=_xlfn.IFS(AAC78="Handysize",Main!ACL78,AAC78="Supramax",ACE78,AAC78="Panamax",ABX78,AAC78="NeoPanamax",ABQ78,AAC78="Suezmax",ABJ78,AAC78="Capesize",ABC78,AAC78="VLOC",AAV78)))))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V78" s="75" t="e">
        <f t="array" aca="1" ref="ADV78" ca="1">INDEX(Canals!$K$24:$K$29,MATCH(2,1/((Canals!$F$24:$F$29&lt;=$C78)*(Canals!$G$24:$G$29=_xlfn.IFS(AAC78="Handysize",Main!ACL78,AAC78="Supramax",ACE78,AAC78="Panamax",ABX78,AAC78="NeoPanamax",ABQ78,AAC78="Suezmax",ABJ78,AAC78="Capesize",ABC78,AAC78="VLOC",AAV78)))))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W78" s="75" t="e">
        <f t="array" aca="1" ref="ADW78" ca="1">INDEX(Canals!$L$24:$L$29,MATCH(2,1/((Canals!$F$24:$F$29&lt;=$C78)*(Canals!$G$24:$G$29=_xlfn.IFS(AAC78="Handysize",Main!ACL78,AAC78="Supramax",ACE78,AAC78="Panamax",ABX78,AAC78="NeoPanamax",ABQ78,AAC78="Suezmax",ABJ78,AAC78="Capesize",ABC78,AAC78="VLOC",AAV78)))))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X78" s="75" t="e">
        <f t="array" aca="1" ref="ADX78" ca="1">INDEX(Canals!$M$24:$M$29,MATCH(2,1/((Canals!$F$24:$F$29&lt;=$C78)*(Canals!$G$24:$G$29=_xlfn.IFS(AAC78="Handysize",Main!ACL78,AAC78="Supramax",ACE78,AAC78="Panamax",ABX78,AAC78="NeoPanamax",ABQ78,AAC78="Suezmax",ABJ78,AAC78="Capesize",ABC78,AAC78="VLOC",AAV78)))))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Y78" s="75" t="e">
        <f t="array" aca="1" ref="ADY78" ca="1">INDEX(Canals!$N$24:$N$29,MATCH(2,1/((Canals!$F$24:$F$29&lt;=$C78)*(Canals!$G$24:$G$29=_xlfn.IFS(AAC78="Handysize",Main!ACL78,AAC78="Supramax",ACE78,AAC78="Panamax",ABX78,AAC78="NeoPanamax",ABQ78,AAC78="Suezmax",ABJ78,AAC78="Capesize",ABC78,AAC78="VLOC",AAV78)))))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DZ78" s="75" t="e">
        <f t="array" aca="1" ref="ADZ78" ca="1">INDEX(Canals!$O$24:$O$29,MATCH(2,1/((Canals!$F$24:$F$29&lt;=$C78)*(Canals!$G$24:$G$29=_xlfn.IFS(AAC78="Handysize",Main!ACL78,AAC78="Supramax",ACE78,AAC78="Panamax",ABX78,AAC78="NeoPanamax",ABQ78,AAC78="Suezmax",ABJ78,AAC78="Capesize",ABC78,AAC78="VLOC",AAV78)))))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A78" s="75" t="e">
        <f t="array" aca="1" ref="AEA78" ca="1">INDEX(Canals!$P$24:$P$29,MATCH(2,1/((Canals!$F$24:$F$29&lt;=$C78)*(Canals!$G$24:$G$29=_xlfn.IFS(AAC78="Handysize",Main!ACL78,AAC78="Supramax",ACE78,AAC78="Panamax",ABX78,AAC78="NeoPanamax",ABQ78,AAC78="Suezmax",ABJ78,AAC78="Capesize",ABC78,AAC78="VLOC",AAV78)))))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B78" s="75" t="e">
        <f t="array" aca="1" ref="AEB78" ca="1">INDEX(Canals!$Q$24:$Q$29,MATCH(2,1/((Canals!$F$24:$F$29&lt;=$C78)*(Canals!$G$24:$G$29=_xlfn.IFS(AAC78="Handysize",Main!ACL78,AAC78="Supramax",ACE78,AAC78="Panamax",ABX78,AAC78="NeoPanamax",ABQ78,AAC78="Suezmax",ABJ78,AAC78="Capesize",ABC78,AAC78="VLOC",AAV78)))))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C78" s="75" t="e">
        <f t="array" aca="1" ref="AEC78" ca="1">INDEX(Canals!$R$24:$R$29,MATCH(2,1/((Canals!$F$24:$F$29&lt;=$C78)*(Canals!$G$24:$G$29=_xlfn.IFS(AAC78="Handysize",Main!ACL78,AAC78="Supramax",ACE78,AAC78="Panamax",ABX78,AAC78="NeoPanamax",ABQ78,AAC78="Suezmax",ABJ78,AAC78="Capesize",ABC78,AAC78="VLOC",AAV78)))))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D78" s="136" t="e">
        <f t="array" aca="1" ref="AED78" ca="1">INDEX(Canals!$S$24:$S$29,MATCH(2,1/((Canals!$F$24:$F$29&lt;=$C78)*(Canals!$G$24:$G$29=_xlfn.IFS(AAC78="Handysize",Main!ACL78,AAC78="Supramax",ACE78,AAC78="Panamax",ABX78,AAC78="NeoPanamax",ABQ78,AAC78="Suezmax",ABJ78,AAC78="Capesize",ABC78,AAC78="VLOC",AAV78)))))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E78" s="136" t="e">
        <f t="array" aca="1" ref="AEE78" ca="1">INDEX(Canals!$T$24:$T$29,MATCH(2,1/((Canals!$F$24:$F$29&lt;=$C78)*(Canals!$G$24:$G$29=_xlfn.IFS(AAC78="Handysize",Main!ACL78,AAC78="Supramax",ACE78,AAC78="Panamax",ABX78,AAC78="NeoPanamax",ABQ78,AAC78="Suezmax",ABJ78,AAC78="Capesize",ABC78,AAC78="VLOC",AAV78)))))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F78" s="136" t="e">
        <f t="array" aca="1" ref="AEF78" ca="1">INDEX(Canals!$U$24:$U$29,MATCH(2,1/((Canals!$F$24:$F$29&lt;=$C78)*(Canals!$G$24:$G$29=_xlfn.IFS(AAC78="Handysize",Main!ACL78,AAC78="Supramax",ACE78,AAC78="Panamax",ABX78,AAC78="NeoPanamax",ABQ78,AAC78="Suezmax",ABJ78,AAC78="Capesize",ABC78,AAC78="VLOC",AAV78)))))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G78" s="136" t="e">
        <f t="array" aca="1" ref="AEG78" ca="1">INDEX(Canals!$V$24:$V$29,MATCH(2,1/((Canals!$F$24:$F$29&lt;=$C78)*(Canals!$G$24:$G$29=_xlfn.IFS(AAC78="Handysize",Main!ACL78,AAC78="Supramax",ACE78,AAC78="Panamax",ABX78,AAC78="NeoPanamax",ABQ78,AAC78="Suezmax",ABJ78,AAC78="Capesize",ABC78,AAC78="VLOC",AAV78)))))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H78" s="136" t="e">
        <f t="array" aca="1" ref="AEH78" ca="1">INDEX(Canals!$W$24:$W$29,MATCH(2,1/((Canals!$F$24:$F$29&lt;=$C78)*(Canals!$G$24:$G$29=_xlfn.IFS(AAC78="Handysize",Main!ACL78,AAC78="Supramax",ACE78,AAC78="Panamax",ABX78,AAC78="NeoPanamax",ABQ78,AAC78="Suezmax",ABJ78,AAC78="Capesize",ABC78,AAC78="VLOC",AAV78)))))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I78" s="136" t="e">
        <f t="array" aca="1" ref="AEI78" ca="1">INDEX(Canals!$X$24:$X$29,MATCH(2,1/((Canals!$F$24:$F$29&lt;=$C78)*(Canals!$G$24:$G$29=_xlfn.IFS(AAC78="Handysize",Main!ACL78,AAC78="Supramax",ACE78,AAC78="Panamax",ABX78,AAC78="NeoPanamax",ABQ78,AAC78="Suezmax",ABJ78,AAC78="Capesize",ABC78,AAC78="VLOC",AAV78)))))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J78" s="136" t="e">
        <f t="array" aca="1" ref="AEJ78" ca="1">INDEX(Canals!$Y$24:$Y$29,MATCH(2,1/((Canals!$F$24:$F$29&lt;=$C78)*(Canals!$G$24:$G$29=_xlfn.IFS(AAC78="Handysize",Main!ACL78,AAC78="Supramax",ACE78,AAC78="Panamax",ABX78,AAC78="NeoPanamax",ABQ78,AAC78="Suezmax",ABJ78,AAC78="Capesize",ABC78,AAC78="VLOC",AAV78)))))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K78" s="136" t="e">
        <f t="array" aca="1" ref="AEK78" ca="1">INDEX(Canals!$Z$24:$Z$29,MATCH(2,1/((Canals!$F$24:$F$29&lt;=$C78)*(Canals!$G$24:$G$29=_xlfn.IFS(AAC78="Handysize",Main!ACL78,AAC78="Supramax",ACE78,AAC78="Panamax",ABX78,AAC78="NeoPanamax",ABQ78,AAC78="Suezmax",ABJ78,AAC78="Capesize",ABC78,AAC78="VLOC",AAV78)))))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L78" s="136" t="e">
        <f t="array" aca="1" ref="AEL78" ca="1">INDEX(Canals!$AA$24:$AA$29,MATCH(2,1/((Canals!$F$24:$F$29&lt;=$C78)*(Canals!$G$24:$G$29=_xlfn.IFS(AAC78="Handysize",Main!ACL78,AAC78="Supramax",ACE78,AAC78="Panamax",ABX78,AAC78="NeoPanamax",ABQ78,AAC78="Suezmax",ABJ78,AAC78="Capesize",ABC78,AAC78="VLOC",AAV78)))))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M78" s="136" t="e">
        <f t="array" aca="1" ref="AEM78" ca="1">INDEX(Canals!$AB$24:$AB$29,MATCH(2,1/((Canals!$F$24:$F$29&lt;=$C78)*(Canals!$G$24:$G$29=_xlfn.IFS(AAC78="Handysize",Main!ACL78,AAC78="Supramax",ACE78,AAC78="Panamax",ABX78,AAC78="NeoPanamax",ABQ78,AAC78="Suezmax",ABJ78,AAC78="Capesize",ABC78,AAC78="VLOC",AAV78)))))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N78" s="75" t="e">
        <f t="array" aca="1" ref="AEN78" ca="1">INDEX(Canals!$AC$24:$AC$29,MATCH(2,1/((Canals!$F$24:$F$29&lt;=$C78)*(Canals!$G$24:$G$29=_xlfn.IFS(AAC78="Handysize",Main!ACL78,AAC78="Supramax",ACE78,AAC78="Panamax",ABX78,AAC78="NeoPanamax",ABQ78,AAC78="Suezmax",ABJ78,AAC78="Capesize",ABC78,AAC78="VLOC",AAV78)))))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O78" s="75" t="e">
        <f t="array" aca="1" ref="AEO78" ca="1">INDEX(Canals!$AD$24:$AD$29,MATCH(2,1/((Canals!$F$24:$F$29&lt;=$C78)*(Canals!$G$24:$G$29=_xlfn.IFS(AAC78="Handysize",Main!ACL78,AAC78="Supramax",ACE78,AAC78="Panamax",ABX78,AAC78="NeoPanamax",ABQ78,AAC78="Suezmax",ABJ78,AAC78="Capesize",ABC78,AAC78="VLOC",AAV78)))))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P78" s="75" t="e">
        <f t="array" aca="1" ref="AEP78" ca="1">INDEX(Canals!$AE$24:$AE$29,MATCH(2,1/((Canals!$F$24:$F$29&lt;=$C78)*(Canals!$G$24:$G$29=_xlfn.IFS(AAC78="Handysize",Main!ACL78,AAC78="Supramax",ACE78,AAC78="Panamax",ABX78,AAC78="NeoPanamax",ABQ78,AAC78="Suezmax",ABJ78,AAC78="Capesize",ABC78,AAC78="VLOC",AAV78)))))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Q78" s="75" t="e">
        <f t="array" aca="1" ref="AEQ78" ca="1">INDEX(Canals!$AF$24:$AF$29,MATCH(2,1/((Canals!$F$24:$F$29&lt;=$C78)*(Canals!$G$24:$G$29=_xlfn.IFS(AAC78="Handysize",Main!ACL78,AAC78="Supramax",ACE78,AAC78="Panamax",ABX78,AAC78="NeoPanamax",ABQ78,AAC78="Suezmax",ABJ78,AAC78="Capesize",ABC78,AAC78="VLOC",AAV78)))))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R78" s="75" t="e">
        <f t="array" aca="1" ref="AER78" ca="1">INDEX(Canals!$AG$24:$AG$29,MATCH(2,1/((Canals!$F$24:$F$29&lt;=$C78)*(Canals!$G$24:$G$29=_xlfn.IFS(AAC78="Handysize",Main!ACL78,AAC78="Supramax",ACE78,AAC78="Panamax",ABX78,AAC78="NeoPanamax",ABQ78,AAC78="Suezmax",ABJ78,AAC78="Capesize",ABC78,AAC78="VLOC",AAV78)))))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S78" s="75" t="e">
        <f t="array" aca="1" ref="AES78" ca="1">INDEX(Canals!$AH$24:$AH$29,MATCH(2,1/((Canals!$F$24:$F$29&lt;=$C78)*(Canals!$G$24:$G$29=_xlfn.IFS(AAC78="Handysize",Main!ACL78,AAC78="Supramax",ACE78,AAC78="Panamax",ABX78,AAC78="NeoPanamax",ABQ78,AAC78="Suezmax",ABJ78,AAC78="Capesize",ABC78,AAC78="VLOC",AAV78)))))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T78" s="75" t="e">
        <f t="array" aca="1" ref="AET78" ca="1">INDEX(Canals!$AI$24:$AI$29,MATCH(2,1/((Canals!$F$24:$F$29&lt;=$C78)*(Canals!$G$24:$G$29=_xlfn.IFS(AAC78="Handysize",Main!ACL78,AAC78="Supramax",ACE78,AAC78="Panamax",ABX78,AAC78="NeoPanamax",ABQ78,AAC78="Suezmax",ABJ78,AAC78="Capesize",ABC78,AAC78="VLOC",AAV78)))))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U78" s="75" t="e">
        <f t="array" aca="1" ref="AEU78" ca="1">INDEX(Canals!$AJ$24:$AJ$29,MATCH(2,1/((Canals!$F$24:$F$29&lt;=$C78)*(Canals!$G$24:$G$29=_xlfn.IFS(AAC78="Handysize",Main!ACL78,AAC78="Supramax",ACE78,AAC78="Panamax",ABX78,AAC78="NeoPanamax",ABQ78,AAC78="Suezmax",ABJ78,AAC78="Capesize",ABC78,AAC78="VLOC",AAV78)))))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V78" s="75" t="e">
        <f t="array" aca="1" ref="AEV78" ca="1">INDEX(Canals!$AK$24:$AK$29,MATCH(2,1/((Canals!$F$24:$F$29&lt;=$C78)*(Canals!$G$24:$G$29=_xlfn.IFS(AAC78="Handysize",Main!ACL78,AAC78="Supramax",ACE78,AAC78="Panamax",ABX78,AAC78="NeoPanamax",ABQ78,AAC78="Suezmax",ABJ78,AAC78="Capesize",ABC78,AAC78="VLOC",AAV78)))))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W78" s="136" t="e">
        <f t="array" aca="1" ref="AEW78" ca="1">INDEX(Canals!$AL$24:$AL$29,MATCH(2,1/((Canals!$F$24:$F$29&lt;=$C78)*(Canals!$G$24:$G$29=_xlfn.IFS(AAC78="Handysize",Main!ACL78,AAC78="Supramax",ACE78,AAC78="Panamax",ABX78,AAC78="NeoPanamax",ABQ78,AAC78="Suezmax",ABJ78,AAC78="Capesize",ABC78,AAC78="VLOC",AAV78)))))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X78" s="136" t="e">
        <f t="array" aca="1" ref="AEX78" ca="1">INDEX(Canals!$AM$24:$AM$29,MATCH(2,1/((Canals!$F$24:$F$29&lt;=$C78)*(Canals!$G$24:$G$29=_xlfn.IFS(AAC78="Handysize",Main!ACL78,AAC78="Supramax",ACE78,AAC78="Panamax",ABX78,AAC78="NeoPanamax",ABQ78,AAC78="Suezmax",ABJ78,AAC78="Capesize",ABC78,AAC78="VLOC",AAV78)))))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Y78" s="136" t="e">
        <f t="array" aca="1" ref="AEY78" ca="1">INDEX(Canals!$AN$24:$AN$29,MATCH(2,1/((Canals!$F$24:$F$29&lt;=$C78)*(Canals!$G$24:$G$29=_xlfn.IFS(AAC78="Handysize",Main!ACL78,AAC78="Supramax",ACE78,AAC78="Panamax",ABX78,AAC78="NeoPanamax",ABQ78,AAC78="Suezmax",ABJ78,AAC78="Capesize",ABC78,AAC78="VLOC",AAV78)))))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EZ78" s="136" t="e">
        <f t="array" aca="1" ref="AEZ78" ca="1">INDEX(Canals!$AO$24:$AO$29,MATCH(2,1/((Canals!$F$24:$F$29&lt;=$C78)*(Canals!$G$24:$G$29=_xlfn.IFS(AAC78="Handysize",Main!ACL78,AAC78="Supramax",ACE78,AAC78="Panamax",ABX78,AAC78="NeoPanamax",ABQ78,AAC78="Suezmax",ABJ78,AAC78="Capesize",ABC78,AAC78="VLOC",AAV78)))))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A78" s="136" t="e">
        <f t="array" aca="1" ref="AFA78" ca="1">INDEX(Canals!$AP$24:$AP$29,MATCH(2,1/((Canals!$F$24:$F$29&lt;=$C78)*(Canals!$G$24:$G$29=_xlfn.IFS(AAC78="Handysize",Main!ACL78,AAC78="Supramax",ACE78,AAC78="Panamax",ABX78,AAC78="NeoPanamax",ABQ78,AAC78="Suezmax",ABJ78,AAC78="Capesize",ABC78,AAC78="VLOC",AAV78)))))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B78" s="136" t="e">
        <f t="array" aca="1" ref="AFB78" ca="1">INDEX(Canals!$AQ$24:$AQ$29,MATCH(2,1/((Canals!$F$24:$F$29&lt;=$C78)*(Canals!$G$24:$G$29=_xlfn.IFS(AAC78="Handysize",Main!ACL78,AAC78="Supramax",ACE78,AAC78="Panamax",ABX78,AAC78="NeoPanamax",ABQ78,AAC78="Suezmax",ABJ78,AAC78="Capesize",ABC78,AAC78="VLOC",AAV78)))))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C78" s="136" t="e">
        <f t="array" aca="1" ref="AFC78" ca="1">INDEX(Canals!$AR$24:$AR$29,MATCH(2,1/((Canals!$F$24:$F$29&lt;=$C78)*(Canals!$G$24:$G$29=_xlfn.IFS(AAC78="Handysize",Main!ACL78,AAC78="Supramax",ACE78,AAC78="Panamax",ABX78,AAC78="NeoPanamax",ABQ78,AAC78="Suezmax",ABJ78,AAC78="Capesize",ABC78,AAC78="VLOC",AAV78)))))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D78" s="136" t="e">
        <f t="array" aca="1" ref="AFD78" ca="1">INDEX(Canals!$AS$24:$AS$29,MATCH(2,1/((Canals!$F$24:$F$29&lt;=$C78)*(Canals!$G$24:$G$29=_xlfn.IFS(AAC78="Handysize",Main!ACL78,AAC78="Supramax",ACE78,AAC78="Panamax",ABX78,AAC78="NeoPanamax",ABQ78,AAC78="Suezmax",ABJ78,AAC78="Capesize",ABC78,AAC78="VLOC",AAV78)))))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E78" s="136" t="e">
        <f t="array" aca="1" ref="AFE78" ca="1">INDEX(Canals!$AT$24:$AT$29,MATCH(2,1/((Canals!$F$24:$F$29&lt;=$C78)*(Canals!$G$24:$G$29=_xlfn.IFS(AAC78="Handysize",Main!ACL78,AAC78="Supramax",ACE78,AAC78="Panamax",ABX78,AAC78="NeoPanamax",ABQ78,AAC78="Suezmax",ABJ78,AAC78="Capesize",ABC78,AAC78="VLOC",AAV78)))))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F78" s="136" t="e">
        <f t="array" aca="1" ref="AFF78" ca="1">INDEX(Canals!$AU$24:$AU$29,MATCH(2,1/((Canals!$F$24:$F$29&lt;=$C78)*(Canals!$G$24:$G$29=_xlfn.IFS(AAC78="Handysize",Main!ACL78,AAC78="Supramax",ACE78,AAC78="Panamax",ABX78,AAC78="NeoPanamax",ABQ78,AAC78="Suezmax",ABJ78,AAC78="Capesize",ABC78,AAC78="VLOC",AAV78)))))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G78" s="136" t="e">
        <f t="array" aca="1" ref="AFG78" ca="1">INDEX(Canals!$AV$24:$AV$29,MATCH(2,1/((Canals!$F$24:$F$29&lt;=$C78)*(Canals!$G$24:$G$29=_xlfn.IFS(AAC78="Handysize",Main!ACL78,AAC78="Supramax",ACE78,AAC78="Panamax",ABX78,AAC78="NeoPanamax",ABQ78,AAC78="Suezmax",ABJ78,AAC78="Capesize",ABC78,AAC78="VLOC",AAV78)))))</f>
        <v>#N/A</v>
      </c>
      <c r="AFI78" s="75" t="e">
        <f t="array" aca="1" ref="AFI78" ca="1">_xlfn.IFS(ADT78="DWT",AAA78,ADT78="NRT",AAE78,ADT78="GRT",AAF78)</f>
        <v>#NAME?</v>
      </c>
      <c r="AFJ78" s="279" t="e">
        <f t="shared" ca="1" si="890"/>
        <v>#NAME?</v>
      </c>
      <c r="AFK78" s="280" t="e">
        <f t="shared" ca="1" si="891"/>
        <v>#NAME?</v>
      </c>
      <c r="AFL78" s="280" t="e">
        <f t="shared" ca="1" si="892"/>
        <v>#NAME?</v>
      </c>
      <c r="AFM78" s="280" t="e">
        <f t="shared" ca="1" si="893"/>
        <v>#NAME?</v>
      </c>
      <c r="AFN78" s="280" t="e">
        <f t="shared" ca="1" si="894"/>
        <v>#NAME?</v>
      </c>
      <c r="AFO78" s="280" t="e">
        <f t="shared" ca="1" si="895"/>
        <v>#NAME?</v>
      </c>
      <c r="AFP78" s="280" t="e">
        <f t="shared" ca="1" si="896"/>
        <v>#NAME?</v>
      </c>
      <c r="AFQ78" s="280" t="e">
        <f t="shared" ca="1" si="897"/>
        <v>#NAME?</v>
      </c>
      <c r="AFR78" s="280" t="e">
        <f t="shared" ca="1" si="898"/>
        <v>#NAME?</v>
      </c>
      <c r="AFS78" s="75">
        <f t="shared" si="899"/>
        <v>81052.631578947374</v>
      </c>
      <c r="AFT78" s="279" t="e">
        <f t="shared" ca="1" si="900"/>
        <v>#N/A</v>
      </c>
      <c r="AFU78" s="280" t="e">
        <f t="shared" ca="1" si="901"/>
        <v>#N/A</v>
      </c>
      <c r="AFV78" s="280" t="e">
        <f t="shared" ca="1" si="902"/>
        <v>#N/A</v>
      </c>
      <c r="AFW78" s="280" t="e">
        <f t="shared" ca="1" si="903"/>
        <v>#N/A</v>
      </c>
      <c r="AFX78" s="280" t="e">
        <f t="shared" ca="1" si="904"/>
        <v>#N/A</v>
      </c>
      <c r="AFY78" s="280" t="e">
        <f t="shared" ca="1" si="905"/>
        <v>#N/A</v>
      </c>
      <c r="AFZ78" s="280" t="e">
        <f t="shared" ca="1" si="906"/>
        <v>#N/A</v>
      </c>
      <c r="AGA78" s="280" t="e">
        <f t="shared" ca="1" si="907"/>
        <v>#N/A</v>
      </c>
      <c r="AGB78" s="280" t="e">
        <f t="shared" ca="1" si="908"/>
        <v>#N/A</v>
      </c>
      <c r="AGD78" s="75" t="e">
        <f t="array" aca="1" ref="AGD78" ca="1">_xlfn.IFS(AAC78="Handysize",Main!ACF78,AAC78="Supramax",ABY78,AAC78="Panamax",ABR78,AAC78="NeoPanamax",ABK78,AAC78="Suezmax",ABD78,AAC78="Capesize",AAW78,AAC78="VLOC",AAP78)*$JI78</f>
        <v>#NAME?</v>
      </c>
      <c r="AGE78" s="274" t="e">
        <f t="array" aca="1" ref="AGE78" ca="1">_xlfn.IFS(AAC78="Handysize",Main!ACG78,AAC78="Supramax",ABZ78,AAC78="Panamax",ABS78,AAC78="NeoPanamax",ABL78,AAC78="Suezmax",ABE78,AAC78="Capesize",AAX78,AAC78="VLOC",AAQ78)*$JI78</f>
        <v>#NAME?</v>
      </c>
      <c r="AGF78" s="71" t="e">
        <f t="array" aca="1" ref="AGF78" ca="1">_xlfn.IFS(AAC78="Handysize",Main!AAH78,AAC78="Supramax",AAI78,AAC78="Panamax",AAJ78,AAC78="NeoPanamax",AAK78,AAC78="Suezmax",AAL78,AAC78="Capesize",AAM78,AAC78="VLOC",AAN78)</f>
        <v>#NAME?</v>
      </c>
      <c r="AGG78" s="71" t="e">
        <f t="array" aca="1" ref="AGG78" ca="1">_xlfn.IFS(AAC78="Handysize",Main!ACT78,AAC78="Supramax",ACU78,AAC78="Panamax",ACV78,AAC78="NeoPanamax",ACW78,AAC78="Suezmax",ACX78,AAC78="Capesize",ACY78,AAC78="VLOC",ACZ78)</f>
        <v>#NAME?</v>
      </c>
      <c r="AGH78" s="70">
        <f t="array" ref="AGH78">INDEX('Ship Speeds'!$G$11:$G$1011,MATCH(2,1/(('Ship Speeds'!$E$11:$E$1011&lt;=Main!$C78)*('Ship Speeds'!$F$11:$F$1011=Main!AAB78))))</f>
        <v>11</v>
      </c>
      <c r="AGI78" s="403">
        <f t="shared" si="909"/>
        <v>22.103418307276918</v>
      </c>
      <c r="AGJ78" s="401">
        <f t="shared" si="910"/>
        <v>2.087838056680162</v>
      </c>
      <c r="AGK78" s="70" t="e">
        <f t="shared" ca="1" si="911"/>
        <v>#NAME?</v>
      </c>
      <c r="AGL78" s="70" t="e">
        <f t="shared" ca="1" si="912"/>
        <v>#NAME?</v>
      </c>
      <c r="AGM78" s="70" t="e">
        <f t="shared" ca="1" si="913"/>
        <v>#NAME?</v>
      </c>
      <c r="AGN78" s="70" t="e">
        <f t="shared" ca="1" si="914"/>
        <v>#NAME?</v>
      </c>
      <c r="AGO78" s="72" t="e">
        <f t="shared" ca="1" si="915"/>
        <v>#N/A</v>
      </c>
      <c r="AGP78" s="70" t="e">
        <f t="shared" ca="1" si="916"/>
        <v>#NAME?</v>
      </c>
      <c r="AGQ78" s="70" t="e">
        <f t="array" aca="1" ref="AGQ78" ca="1">INDEX(ACN78:ACR78,MATCH(_xlfn.IFS(AAC78="Handysize",Main!ACJ78,AAC78="Supramax",ACC78,AAC78="Panamax",ABV78,AAC78="NeoPanamax",ABO78,AAC78="Suezmax",ABH78,AAC78="Capesize",ABA78,AAC78="VLOC",AAT78),$ACN$7:$ACR$7,0))</f>
        <v>#NAME?</v>
      </c>
      <c r="AGR78" s="70" t="e">
        <f t="array" aca="1" ref="AGR78" ca="1">INDEX(ACN78:ACR78,MATCH(_xlfn.IFS(AAC78="Handysize",Main!ACK78,AAC78="Supramax",ACD78,AAC78="Panamax",ABW78,AAC78="NeoPanamax",ABP78,AAC78="Suezmax",ABI78,AAC78="Capesize",ABB78,AAC78="VLOC",AAU78),$ACN$7:$ACR$7,0))</f>
        <v>#NAME?</v>
      </c>
      <c r="AGS78" s="71" t="e">
        <f t="shared" ca="1" si="917"/>
        <v>#NAME?</v>
      </c>
      <c r="AGT78" s="71" t="e">
        <f t="shared" ca="1" si="918"/>
        <v>#NAME?</v>
      </c>
      <c r="AGU78" s="281">
        <f t="shared" si="919"/>
        <v>7.0834199999999994</v>
      </c>
      <c r="AGV78" s="71">
        <f t="shared" si="920"/>
        <v>1742.3786814843679</v>
      </c>
      <c r="AGW78" s="71" t="e">
        <f t="shared" ca="1" si="921"/>
        <v>#NAME?</v>
      </c>
      <c r="AGX78" s="71" t="e">
        <f t="shared" ca="1" si="922"/>
        <v>#NAME?</v>
      </c>
      <c r="AGY78" s="71">
        <f t="shared" si="923"/>
        <v>30208.422960719694</v>
      </c>
      <c r="AGZ78" s="71" t="e">
        <f t="shared" ca="1" si="924"/>
        <v>#NAME?</v>
      </c>
      <c r="AHA78" s="71" t="e">
        <f t="shared" ca="1" si="925"/>
        <v>#NAME?</v>
      </c>
      <c r="AHB78" s="71">
        <f t="shared" si="926"/>
        <v>21446.360736311224</v>
      </c>
      <c r="AHC78" s="71" t="e">
        <f t="shared" ca="1" si="927"/>
        <v>#NAME?</v>
      </c>
      <c r="AHD78" s="71" t="e">
        <f t="shared" ca="1" si="928"/>
        <v>#NAME?</v>
      </c>
      <c r="AHE78" s="71">
        <f t="shared" si="929"/>
        <v>0</v>
      </c>
      <c r="AHF78" s="71" t="e">
        <f t="shared" ca="1" si="930"/>
        <v>#NAME?</v>
      </c>
      <c r="AHG78" s="71" t="e">
        <f t="shared" ca="1" si="931"/>
        <v>#NAME?</v>
      </c>
      <c r="AHH78" s="72">
        <f t="shared" si="932"/>
        <v>6075.774983325663</v>
      </c>
      <c r="AHI78" s="72" t="e">
        <f t="shared" ca="1" si="933"/>
        <v>#NAME?</v>
      </c>
      <c r="AHJ78" s="71" t="e">
        <f t="shared" ca="1" si="934"/>
        <v>#NAME?</v>
      </c>
      <c r="AHK78" s="71" t="e">
        <f t="array" aca="1" ref="AHK78" ca="1">INDEX('Ship Time Charter Rates'!$H$22:$H$1021,MATCH(2,1/(('Ship Time Charter Rates'!$G$22:$G$1021=_xlfn.IFS(AAC78="Handysize",Main!ACH78,AAC78="Supramax",ACA78,AAC78="Panamax",ABT78,AAC78="NeoPanamax",ABM78,AAC78="Suezmax",ABF78,AAC78="Capesize",AAY78,AAC78="VLOC",AAR78))*('Ship Time Charter Rates'!$E$22:$E$1021&lt;=Main!$C78)*(NOT(ISBLANK('Ship Time Charter Rates'!$H$22:$H$1021))))))</f>
        <v>#N/A</v>
      </c>
      <c r="AHL78" s="71" t="e">
        <f t="shared" ca="1" si="935"/>
        <v>#NAME?</v>
      </c>
      <c r="AHM78" s="70" t="e">
        <f t="shared" ca="1" si="936"/>
        <v>#N/A</v>
      </c>
      <c r="AHN78" s="71" t="e">
        <f t="shared" ca="1" si="937"/>
        <v>#NAME?</v>
      </c>
      <c r="AHO78" s="71" t="e">
        <f t="shared" ca="1" si="938"/>
        <v>#NAME?</v>
      </c>
      <c r="AHP78" s="72" t="e">
        <f t="shared" ca="1" si="939"/>
        <v>#NAME?</v>
      </c>
      <c r="AHR78" s="25">
        <f t="shared" si="940"/>
        <v>0</v>
      </c>
      <c r="AHS78" s="4" t="str">
        <f>VLOOKUP(AHR78,'Ship Time Charter Rates'!$F$10:$G$17,2,TRUE)</f>
        <v>Handysize</v>
      </c>
      <c r="AHT78" s="4" t="str">
        <f>VLOOKUP(AHR78,Canals!$E$5:$F$12,2,TRUE)</f>
        <v>Handysize</v>
      </c>
      <c r="AHU78" s="25">
        <f t="shared" si="941"/>
        <v>145.88999999999999</v>
      </c>
      <c r="AHV78" s="25">
        <f t="shared" si="942"/>
        <v>0</v>
      </c>
      <c r="AHW78" s="25">
        <f t="shared" si="943"/>
        <v>4797</v>
      </c>
      <c r="AHY78" s="75">
        <f t="array" ref="AHY78">INDEX('Indices Mines Exporting Ports'!$R$20:$R$51,MATCH(2,1/(('Indices Mines Exporting Ports'!$D$20:$D$51&lt;=Main!$C78)*('Indices Mines Exporting Ports'!$Q$20:$Q$51=$AQ78))))</f>
        <v>0</v>
      </c>
      <c r="AHZ78" s="75">
        <f t="array" ref="AHZ78">INDEX('Indices Mines Exporting Ports'!$S$20:$S$51,MATCH(2,1/(('Indices Mines Exporting Ports'!$D$20:$D$51&lt;=Main!$C78)*('Indices Mines Exporting Ports'!$Q$20:$Q$51=$AQ78))))</f>
        <v>0</v>
      </c>
      <c r="AIA78" s="75">
        <f t="array" ref="AIA78">INDEX('Indices Mines Exporting Ports'!$T$20:$T$51,MATCH(2,1/(('Indices Mines Exporting Ports'!$D$20:$D$51&lt;=Main!$C78)*('Indices Mines Exporting Ports'!$Q$20:$Q$51=$AQ78))))</f>
        <v>0</v>
      </c>
      <c r="AIB78" s="75">
        <f t="array" ref="AIB78">INDEX('Indices Mines Exporting Ports'!$U$20:$U$51,MATCH(2,1/(('Indices Mines Exporting Ports'!$D$20:$D$51&lt;=Main!$C78)*('Indices Mines Exporting Ports'!$Q$20:$Q$51=$AQ78))))</f>
        <v>0</v>
      </c>
      <c r="AIC78" s="75">
        <f t="array" ref="AIC78">INDEX('Indices Mines Exporting Ports'!$V$20:$V$51,MATCH(2,1/(('Indices Mines Exporting Ports'!$D$20:$D$51&lt;=Main!$C78)*('Indices Mines Exporting Ports'!$Q$20:$Q$51=$AQ78))))</f>
        <v>0</v>
      </c>
      <c r="AID78" s="75">
        <f t="array" ref="AID78">INDEX('Indices Mines Exporting Ports'!$W$20:$W$51,MATCH(2,1/(('Indices Mines Exporting Ports'!$D$20:$D$51&lt;=Main!$C78)*('Indices Mines Exporting Ports'!$Q$20:$Q$51=$AQ78))))</f>
        <v>0</v>
      </c>
      <c r="AIE78" s="75">
        <f t="array" ref="AIE78">INDEX('Indices Mines Exporting Ports'!$X$20:$X$51,MATCH(2,1/(('Indices Mines Exporting Ports'!$D$20:$D$51&lt;=Main!$C78)*('Indices Mines Exporting Ports'!$Q$20:$Q$51=$AQ78))))</f>
        <v>0</v>
      </c>
      <c r="AIG78" s="75">
        <f t="array" ref="AIG78">INDEX('Port Linkages'!$E$18:$E$157,MATCH(2,1/(('Port Linkages'!$C$18:$C$157=$AQ78)*('Port Linkages'!$D$18:$D$157=IF($AO78="no",$AQ78,$KK78))*('Port Linkages'!$A$18:$A$157&lt;=$C78))))</f>
        <v>0</v>
      </c>
      <c r="AIH78" s="75">
        <f t="array" ref="AIH78">INDEX('Port Linkages'!$F$18:$F$157,MATCH(2,1/(('Port Linkages'!$C$18:$C$157=$AQ78)*('Port Linkages'!$D$18:$D$157=IF($AO78="no",$AQ78,$KK78))*('Port Linkages'!$A$18:$A$157&lt;=$C78))))</f>
        <v>0</v>
      </c>
      <c r="AII78" s="75">
        <f t="array" ref="AII78">INDEX('Port Linkages'!$G$18:$G$157,MATCH(2,1/(('Port Linkages'!$C$18:$C$157=$AQ78)*('Port Linkages'!$D$18:$D$157=IF($AO78="no",$AQ78,$KK78))*('Port Linkages'!$A$18:$A$157&lt;=$C78))))</f>
        <v>0</v>
      </c>
      <c r="AIJ78" s="75">
        <f t="array" ref="AIJ78">INDEX('Port Linkages'!$H$18:$H$157,MATCH(2,1/(('Port Linkages'!$C$18:$C$157=$AQ78)*('Port Linkages'!$D$18:$D$157=IF($AO78="no",$AQ78,$KK78))*('Port Linkages'!$A$18:$A$157&lt;=$C78))))</f>
        <v>0</v>
      </c>
      <c r="AIK78" s="75">
        <f t="array" ref="AIK78">INDEX('Port Linkages'!$I$18:$I$157,MATCH(2,1/(('Port Linkages'!$C$18:$C$157=$AQ78)*('Port Linkages'!$D$18:$D$157=IF($AO78="no",$AQ78,$KK78))*('Port Linkages'!$A$18:$A$157&lt;=$C78))))</f>
        <v>0</v>
      </c>
      <c r="AIL78" s="75">
        <f t="array" ref="AIL78">INDEX('Port Linkages'!$J$18:$J$157,MATCH(2,1/(('Port Linkages'!$C$18:$C$157=$AQ78)*('Port Linkages'!$D$18:$D$157=IF($AO78="no",$AQ78,$KK78))*('Port Linkages'!$A$18:$A$157&lt;=$C78))))</f>
        <v>0</v>
      </c>
      <c r="AIM78" s="75">
        <f t="array" ref="AIM78">INDEX('Port Linkages'!$K$18:$K$157,MATCH(2,1/(('Port Linkages'!$C$18:$C$157=$AQ78)*('Port Linkages'!$D$18:$D$157=IF($AO78="no",$AQ78,$KK78))*('Port Linkages'!$A$18:$A$157&lt;=$C78))))</f>
        <v>0</v>
      </c>
      <c r="AIN78" s="75">
        <f t="array" ref="AIN78">INDEX('Port Linkages'!$L$18:$L$157,MATCH(2,1/(('Port Linkages'!$C$18:$C$157=$AQ78)*('Port Linkages'!$D$18:$D$157=IF($AO78="no",$AQ78,$KK78))*('Port Linkages'!$A$18:$A$157&lt;=$C78))))</f>
        <v>0</v>
      </c>
      <c r="AIO78" s="75">
        <f t="array" ref="AIO78">INDEX('Port Linkages'!$M$18:$M$157,MATCH(2,1/(('Port Linkages'!$C$18:$C$157=$AQ78)*('Port Linkages'!$D$18:$D$157=IF($AO78="no",$AQ78,$KK78))*('Port Linkages'!$A$18:$A$157&lt;=$C78))))</f>
        <v>0</v>
      </c>
      <c r="AIP78" s="75">
        <f t="array" ref="AIP78">INDEX('Port Linkages'!$N$18:$N$157,MATCH(2,1/(('Port Linkages'!$C$18:$C$157=$AQ78)*('Port Linkages'!$D$18:$D$157=IF($AO78="no",$AQ78,$KK78))*('Port Linkages'!$A$18:$A$157&lt;=$C78))))</f>
        <v>0</v>
      </c>
      <c r="AIQ78" s="75">
        <f t="array" ref="AIQ78">INDEX('Port Linkages'!$O$18:$O$157,MATCH(2,1/(('Port Linkages'!$C$18:$C$157=$AQ78)*('Port Linkages'!$D$18:$D$157=IF($AO78="no",$AQ78,$KK78))*('Port Linkages'!$A$18:$A$157&lt;=$C78))))</f>
        <v>0</v>
      </c>
      <c r="AIR78" s="75">
        <f t="array" ref="AIR78">INDEX('Port Linkages'!$P$18:$P$157,MATCH(2,1/(('Port Linkages'!$C$18:$C$157=$AQ78)*('Port Linkages'!$D$18:$D$157=IF($AO78="no",$AQ78,$KK78))*('Port Linkages'!$A$18:$A$157&lt;=$C78))))</f>
        <v>0</v>
      </c>
      <c r="AIS78" s="75">
        <f t="array" ref="AIS78">INDEX('Port Linkages'!$Q$18:$Q$157,MATCH(2,1/(('Port Linkages'!$C$18:$C$157=$AQ78)*('Port Linkages'!$D$18:$D$157=IF($AO78="no",$AQ78,$KK78))*('Port Linkages'!$A$18:$A$157&lt;=$C78))))</f>
        <v>0</v>
      </c>
      <c r="AIT78" s="75">
        <f t="array" ref="AIT78">INDEX('Port Linkages'!$R$18:$R$157,MATCH(2,1/(('Port Linkages'!$C$18:$C$157=$AQ78)*('Port Linkages'!$D$18:$D$157=IF($AO78="no",$AQ78,$KK78))*('Port Linkages'!$A$18:$A$157&lt;=$C78))))</f>
        <v>0</v>
      </c>
      <c r="AIU78" s="75">
        <f t="array" ref="AIU78">INDEX('Port Linkages'!$S$18:$S$157,MATCH(2,1/(('Port Linkages'!$C$18:$C$157=$AQ78)*('Port Linkages'!$D$18:$D$157=IF($AO78="no",$AQ78,$KK78))*('Port Linkages'!$A$18:$A$157&lt;=$C78))))</f>
        <v>0</v>
      </c>
      <c r="AIV78" s="75">
        <f t="array" ref="AIV78">INDEX('Port Linkages'!$T$18:$T$157,MATCH(2,1/(('Port Linkages'!$C$18:$C$157=$AQ78)*('Port Linkages'!$D$18:$D$157=IF($AO78="no",$AQ78,$KK78))*('Port Linkages'!$A$18:$A$157&lt;=$C78))))</f>
        <v>0</v>
      </c>
      <c r="AIW78" s="75">
        <f t="array" ref="AIW78">INDEX('Port Linkages'!$U$18:$U$157,MATCH(2,1/(('Port Linkages'!$C$18:$C$157=$AQ78)*('Port Linkages'!$D$18:$D$157=IF($AO78="no",$AQ78,$KK78))*('Port Linkages'!$A$18:$A$157&lt;=$C78))))</f>
        <v>0</v>
      </c>
      <c r="AIX78" s="75">
        <f t="array" ref="AIX78">INDEX('Port Linkages'!$V$18:$V$157,MATCH(2,1/(('Port Linkages'!$C$18:$C$157=$AQ78)*('Port Linkages'!$D$18:$D$157=IF($AO78="no",$AQ78,$KK78))*('Port Linkages'!$A$18:$A$157&lt;=$C78))))</f>
        <v>0</v>
      </c>
      <c r="AIY78" s="75">
        <f t="array" ref="AIY78">INDEX('Port Linkages'!$W$18:$W$157,MATCH(2,1/(('Port Linkages'!$C$18:$C$157=$AQ78)*('Port Linkages'!$D$18:$D$157=IF($AO78="no",$AQ78,$KK78))*('Port Linkages'!$A$18:$A$157&lt;=$C78))))</f>
        <v>0</v>
      </c>
      <c r="AIZ78" s="75">
        <f t="array" ref="AIZ78">INDEX('Port Linkages'!$X$18:$X$157,MATCH(2,1/(('Port Linkages'!$C$18:$C$157=$AQ78)*('Port Linkages'!$D$18:$D$157=IF($AO78="no",$AQ78,$KK78))*('Port Linkages'!$A$18:$A$157&lt;=$C78))))</f>
        <v>0</v>
      </c>
      <c r="AJA78" s="75">
        <f t="array" ref="AJA78">INDEX('Port Linkages'!$Y$18:$Y$157,MATCH(2,1/(('Port Linkages'!$C$18:$C$157=$AQ78)*('Port Linkages'!$D$18:$D$157=IF($AO78="no",$AQ78,$KK78))*('Port Linkages'!$A$18:$A$157&lt;=$C78))))</f>
        <v>0</v>
      </c>
      <c r="AJB78" s="75">
        <f t="array" ref="AJB78">INDEX('Port Linkages'!$Z$18:$Z$157,MATCH(2,1/(('Port Linkages'!$C$18:$C$157=$AQ78)*('Port Linkages'!$D$18:$D$157=IF($AO78="no",$AQ78,$KK78))*('Port Linkages'!$A$18:$A$157&lt;=$C78))))</f>
        <v>0</v>
      </c>
      <c r="AJC78" s="75">
        <f t="array" ref="AJC78">INDEX('Port Linkages'!$AA$18:$AA$157,MATCH(2,1/(('Port Linkages'!$C$18:$C$157=$AQ78)*('Port Linkages'!$D$18:$D$157=IF($AO78="no",$AQ78,$KK78))*('Port Linkages'!$A$18:$A$157&lt;=$C78))))</f>
        <v>0</v>
      </c>
      <c r="AJD78" s="75">
        <f t="array" ref="AJD78">INDEX('Port Linkages'!$AB$18:$AB$157,MATCH(2,1/(('Port Linkages'!$C$18:$C$157=$AQ78)*('Port Linkages'!$D$18:$D$157=IF($AO78="no",$AQ78,$KK78))*('Port Linkages'!$A$18:$A$157&lt;=$C78))))</f>
        <v>0</v>
      </c>
      <c r="AJE78" s="75">
        <f t="array" ref="AJE78">INDEX('Port Linkages'!$AC$18:$AC$157,MATCH(2,1/(('Port Linkages'!$C$18:$C$157=$AQ78)*('Port Linkages'!$D$18:$D$157=IF($AO78="no",$AQ78,$KK78))*('Port Linkages'!$A$18:$A$157&lt;=$C78))))</f>
        <v>0</v>
      </c>
      <c r="AJF78" s="75">
        <f t="array" ref="AJF78">INDEX('Port Linkages'!$AD$18:$AD$157,MATCH(2,1/(('Port Linkages'!$C$18:$C$157=$AQ78)*('Port Linkages'!$D$18:$D$157=IF($AO78="no",$AQ78,$KK78))*('Port Linkages'!$A$18:$A$157&lt;=$C78))))</f>
        <v>0</v>
      </c>
      <c r="AJG78" s="75">
        <f t="array" ref="AJG78">INDEX('Port Linkages'!$AE$18:$AE$157,MATCH(2,1/(('Port Linkages'!$C$18:$C$157=$AQ78)*('Port Linkages'!$D$18:$D$157=IF($AO78="no",$AQ78,$KK78))*('Port Linkages'!$A$18:$A$157&lt;=$C78))))</f>
        <v>0</v>
      </c>
      <c r="AJH78" s="75">
        <f t="array" ref="AJH78">INDEX('Port Linkages'!$AF$18:$AF$157,MATCH(2,1/(('Port Linkages'!$C$18:$C$157=$AQ78)*('Port Linkages'!$D$18:$D$157=IF($AO78="no",$AQ78,$KK78))*('Port Linkages'!$A$18:$A$157&lt;=$C78))))</f>
        <v>0</v>
      </c>
      <c r="AJI78" s="75">
        <f t="array" ref="AJI78">INDEX('Port Linkages'!$AG$18:$AG$157,MATCH(2,1/(('Port Linkages'!$C$18:$C$157=$AQ78)*('Port Linkages'!$D$18:$D$157=IF($AO78="no",$AQ78,$KK78))*('Port Linkages'!$A$18:$A$157&lt;=$C78))))</f>
        <v>0</v>
      </c>
      <c r="AJJ78" s="75">
        <f t="array" ref="AJJ78">INDEX('Port Linkages'!$AH$18:$AH$157,MATCH(2,1/(('Port Linkages'!$C$18:$C$157=$AQ78)*('Port Linkages'!$D$18:$D$157=IF($AO78="no",$AQ78,$KK78))*('Port Linkages'!$A$18:$A$157&lt;=$C78))))</f>
        <v>0</v>
      </c>
      <c r="AJK78" s="75">
        <f t="array" ref="AJK78">INDEX('Port Linkages'!$AI$18:$AI$157,MATCH(2,1/(('Port Linkages'!$C$18:$C$157=$AQ78)*('Port Linkages'!$D$18:$D$157=IF($AO78="no",$AQ78,$KK78))*('Port Linkages'!$A$18:$A$157&lt;=$C78))))</f>
        <v>0</v>
      </c>
      <c r="AJL78" s="75">
        <f t="array" ref="AJL78">INDEX('Port Linkages'!$AJ$18:$AJ$157,MATCH(2,1/(('Port Linkages'!$C$18:$C$157=$AQ78)*('Port Linkages'!$D$18:$D$157=IF($AO78="no",$AQ78,$KK78))*('Port Linkages'!$A$18:$A$157&lt;=$C78))))</f>
        <v>0</v>
      </c>
      <c r="AJM78" s="75">
        <f t="array" ref="AJM78">INDEX('Port Linkages'!$AK$18:$AK$157,MATCH(2,1/(('Port Linkages'!$C$18:$C$157=$AQ78)*('Port Linkages'!$D$18:$D$157=IF($AO78="no",$AQ78,$KK78))*('Port Linkages'!$A$18:$A$157&lt;=$C78))))</f>
        <v>0</v>
      </c>
      <c r="AJN78" s="75">
        <f t="array" ref="AJN78">INDEX('Port Linkages'!$AL$18:$AL$157,MATCH(2,1/(('Port Linkages'!$C$18:$C$157=$AQ78)*('Port Linkages'!$D$18:$D$157=IF($AO78="no",$AQ78,$KK78))*('Port Linkages'!$A$18:$A$157&lt;=$C78))))</f>
        <v>0</v>
      </c>
      <c r="AJO78" s="75">
        <f t="array" ref="AJO78">INDEX('Port Linkages'!$AM$18:$AM$157,MATCH(2,1/(('Port Linkages'!$C$18:$C$157=$AQ78)*('Port Linkages'!$D$18:$D$157=IF($AO78="no",$AQ78,$KK78))*('Port Linkages'!$A$18:$A$157&lt;=$C78))))</f>
        <v>0</v>
      </c>
      <c r="AJP78" s="75">
        <f t="array" ref="AJP78">INDEX('Port Linkages'!$AN$18:$AN$157,MATCH(2,1/(('Port Linkages'!$C$18:$C$157=$AQ78)*('Port Linkages'!$D$18:$D$157=IF($AO78="no",$AQ78,$KK78))*('Port Linkages'!$A$18:$A$157&lt;=$C78))))</f>
        <v>0</v>
      </c>
      <c r="AJQ78" s="75">
        <f t="array" ref="AJQ78">INDEX('Port Linkages'!$AO$18:$AO$157,MATCH(2,1/(('Port Linkages'!$C$18:$C$157=$AQ78)*('Port Linkages'!$D$18:$D$157=IF($AO78="no",$AQ78,$KK78))*('Port Linkages'!$A$18:$A$157&lt;=$C78))))</f>
        <v>0</v>
      </c>
      <c r="AJR78" s="75">
        <f t="array" ref="AJR78">INDEX('Port Linkages'!$AP$18:$AP$157,MATCH(2,1/(('Port Linkages'!$C$18:$C$157=$AQ78)*('Port Linkages'!$D$18:$D$157=IF($AO78="no",$AQ78,$KK78))*('Port Linkages'!$A$18:$A$157&lt;=$C78))))</f>
        <v>0</v>
      </c>
      <c r="AJS78" s="75">
        <f t="array" ref="AJS78">INDEX('Port Linkages'!$AQ$18:$AQ$157,MATCH(2,1/(('Port Linkages'!$C$18:$C$157=$AQ78)*('Port Linkages'!$D$18:$D$157=IF($AO78="no",$AQ78,$KK78))*('Port Linkages'!$A$18:$A$157&lt;=$C78))))</f>
        <v>0</v>
      </c>
      <c r="AJT78" s="75">
        <f t="array" ref="AJT78">INDEX('Port Linkages'!$AR$18:$AR$157,MATCH(2,1/(('Port Linkages'!$C$18:$C$157=$AQ78)*('Port Linkages'!$D$18:$D$157=IF($AO78="no",$AQ78,$KK78))*('Port Linkages'!$A$18:$A$157&lt;=$C78))))</f>
        <v>0</v>
      </c>
      <c r="AJU78" s="75">
        <f t="array" ref="AJU78">INDEX('Port Linkages'!$AS$18:$AS$157,MATCH(2,1/(('Port Linkages'!$C$18:$C$157=$AQ78)*('Port Linkages'!$D$18:$D$157=IF($AO78="no",$AQ78,$KK78))*('Port Linkages'!$A$18:$A$157&lt;=$C78))))</f>
        <v>0</v>
      </c>
      <c r="AJV78" s="75">
        <f t="array" ref="AJV78">INDEX('Port Linkages'!$AT$18:$AT$157,MATCH(2,1/(('Port Linkages'!$C$18:$C$157=$AQ78)*('Port Linkages'!$D$18:$D$157=IF($AO78="no",$AQ78,$KK78))*('Port Linkages'!$A$18:$A$157&lt;=$C78))))</f>
        <v>0</v>
      </c>
      <c r="AJW78" s="75">
        <f t="array" ref="AJW78">INDEX('Port Linkages'!$AU$18:$AU$157,MATCH(2,1/(('Port Linkages'!$C$18:$C$157=$AQ78)*('Port Linkages'!$D$18:$D$157=IF($AO78="no",$AQ78,$KK78))*('Port Linkages'!$A$18:$A$157&lt;=$C78))))</f>
        <v>0</v>
      </c>
      <c r="AJX78" s="75">
        <f t="array" ref="AJX78">INDEX('Port Linkages'!$AV$18:$AV$157,MATCH(2,1/(('Port Linkages'!$C$18:$C$157=$AQ78)*('Port Linkages'!$D$18:$D$157=IF($AO78="no",$AQ78,$KK78))*('Port Linkages'!$A$18:$A$157&lt;=$C78))))</f>
        <v>0</v>
      </c>
      <c r="AJY78" s="75">
        <f t="array" ref="AJY78">INDEX('Port Linkages'!$AW$18:$AW$157,MATCH(2,1/(('Port Linkages'!$C$18:$C$157=$AQ78)*('Port Linkages'!$D$18:$D$157=IF($AO78="no",$AQ78,$KK78))*('Port Linkages'!$A$18:$A$157&lt;=$C78))))</f>
        <v>0</v>
      </c>
      <c r="AJZ78" s="75">
        <f t="array" ref="AJZ78">INDEX('Port Linkages'!$AX$18:$AX$157,MATCH(2,1/(('Port Linkages'!$C$18:$C$157=$AQ78)*('Port Linkages'!$D$18:$D$157=IF($AO78="no",$AQ78,$KK78))*('Port Linkages'!$A$18:$A$157&lt;=$C78))))</f>
        <v>0</v>
      </c>
      <c r="AKA78" s="75">
        <f t="array" ref="AKA78">INDEX('Port Linkages'!$AY$18:$AY$157,MATCH(2,1/(('Port Linkages'!$C$18:$C$157=$AQ78)*('Port Linkages'!$D$18:$D$157=IF($AO78="no",$AQ78,$KK78))*('Port Linkages'!$A$18:$A$157&lt;=$C78))))</f>
        <v>0</v>
      </c>
      <c r="AKB78" s="75">
        <f t="array" ref="AKB78">INDEX('Port Linkages'!$AZ$18:$AZ$157,MATCH(2,1/(('Port Linkages'!$C$18:$C$157=$AQ78)*('Port Linkages'!$D$18:$D$157=IF($AO78="no",$AQ78,$KK78))*('Port Linkages'!$A$18:$A$157&lt;=$C78))))</f>
        <v>0</v>
      </c>
      <c r="AKC78" s="75">
        <f t="array" ref="AKC78">INDEX('Port Linkages'!$BA$18:$BA$157,MATCH(2,1/(('Port Linkages'!$C$18:$C$157=$AQ78)*('Port Linkages'!$D$18:$D$157=IF($AO78="no",$AQ78,$KK78))*('Port Linkages'!$A$18:$A$157&lt;=$C78))))</f>
        <v>0</v>
      </c>
      <c r="AKE78" s="25" t="e">
        <f t="array" aca="1" ref="AKE78" ca="1">INDEX('Ship Fuel Prices'!$F$5:$F$1004,MATCH(2,1/(('Ship Fuel Prices'!$E$5:$E$1004=_xlfn.IFS(AHT78="Handysize",Main!AJZ78,AHT78="Supramax",AJS78,AHT78="Panamax",AJL78,AHT78="NeoPanamax",AJE78,AHT78="Suezmax",AIX78,AHT78="Capesize",AIQ78,AHT78="VLOC",AIJ78))*('Ship Fuel Prices'!$D$5:$D$1004&lt;=Main!$C78))))</f>
        <v>#N/A</v>
      </c>
      <c r="AKF78" s="25" t="e">
        <f t="array" aca="1" ref="AKF78" ca="1">INDEX('Ship Fuel Prices'!$G$5:$G$1004,MATCH(2,1/(('Ship Fuel Prices'!$E$5:$E$1004=_xlfn.IFS(AHT78="Handysize",Main!AJZ78,AHT78="Supramax",AJS78,AHT78="Panamax",AJL78,AHT78="NeoPanamax",AJE78,AHT78="Suezmax",AIX78,AHT78="Capesize",AIQ78,AHT78="VLOC",AIJ78))*('Ship Fuel Prices'!$D$5:$D$1004&lt;=Main!$C78))))</f>
        <v>#N/A</v>
      </c>
      <c r="AKG78" s="25" t="e">
        <f t="array" aca="1" ref="AKG78" ca="1">INDEX('Ship Fuel Prices'!$H$5:$H$1004,MATCH(2,1/(('Ship Fuel Prices'!$E$5:$E$1004=_xlfn.IFS(AHT78="Handysize",Main!AJZ78,AHT78="Supramax",AJS78,AHT78="Panamax",AJL78,AHT78="NeoPanamax",AJE78,AHT78="Suezmax",AIX78,AHT78="Capesize",AIQ78,AHT78="VLOC",AIJ78))*('Ship Fuel Prices'!$D$5:$D$1004&lt;=Main!$C78))))</f>
        <v>#N/A</v>
      </c>
      <c r="AKH78" s="25" t="e">
        <f t="array" aca="1" ref="AKH78" ca="1">INDEX('Ship Fuel Prices'!$I$5:$I$1004,MATCH(2,1/(('Ship Fuel Prices'!$E$5:$E$1004=_xlfn.IFS(AHT78="Handysize",Main!AJZ78,AHT78="Supramax",AJS78,AHT78="Panamax",AJL78,AHT78="NeoPanamax",AJE78,AHT78="Suezmax",AIX78,AHT78="Capesize",AIQ78,AHT78="VLOC",AIJ78))*('Ship Fuel Prices'!$D$5:$D$1004&lt;=Main!$C78))))</f>
        <v>#N/A</v>
      </c>
      <c r="AKI78" s="25" t="e">
        <f t="array" aca="1" ref="AKI78" ca="1">INDEX('Ship Fuel Prices'!$J$5:$J$1004,MATCH(2,1/(('Ship Fuel Prices'!$E$5:$E$1004=_xlfn.IFS(AHT78="Handysize",Main!AJZ78,AHT78="Supramax",AJS78,AHT78="Panamax",AJL78,AHT78="NeoPanamax",AJE78,AHT78="Suezmax",AIX78,AHT78="Capesize",AIQ78,AHT78="VLOC",AIJ78))*('Ship Fuel Prices'!$D$5:$D$1004&lt;=Main!$C78))))</f>
        <v>#N/A</v>
      </c>
      <c r="AKK78" s="75">
        <f t="array" ref="AKK78">INDEX('China n Importing Ports'!$E$20:$E$41,MATCH(2,1/(('China n Importing Ports'!$D$20:$D$41&lt;=$C78)*('China n Importing Ports'!$C$20:$C$41=IF($AO78="No",$AQ78,$KK78)))))</f>
        <v>0</v>
      </c>
      <c r="AKL78" s="75">
        <f t="array" ref="AKL78">INDEX('China n Importing Ports'!$F$20:$F$41,MATCH(2,1/(('China n Importing Ports'!$D$20:$D$41&lt;=$C78)*('China n Importing Ports'!$C$20:$C$41=IF($AO78="No",$AQ78,$KK78)))))</f>
        <v>0</v>
      </c>
      <c r="AKM78" s="75">
        <f t="array" ref="AKM78">INDEX('China n Importing Ports'!$G$20:$G$41,MATCH(2,1/(('China n Importing Ports'!$D$20:$D$41&lt;=$C78)*('China n Importing Ports'!$C$20:$C$41=IF($AO78="No",$AQ78,$KK78)))))</f>
        <v>0</v>
      </c>
      <c r="AKN78" s="75">
        <f t="array" ref="AKN78">INDEX('China n Importing Ports'!$H$20:$H$41,MATCH(2,1/(('China n Importing Ports'!$D$20:$D$41&lt;=$C78)*('China n Importing Ports'!$C$20:$C$41=IF($AO78="No",$AQ78,$KK78)))))</f>
        <v>0</v>
      </c>
      <c r="AKO78" s="75">
        <f t="array" ref="AKO78">INDEX('China n Importing Ports'!$I$20:$I$41,MATCH(2,1/(('China n Importing Ports'!$D$20:$D$41&lt;=$C78)*('China n Importing Ports'!$C$20:$C$41=IF($AO78="No",$AQ78,$KK78)))))</f>
        <v>0</v>
      </c>
      <c r="AKP78" s="75">
        <f t="array" ref="AKP78">INDEX('China n Importing Ports'!$J$20:$J$41,MATCH(2,1/(('China n Importing Ports'!$D$20:$D$41&lt;=$C78)*('China n Importing Ports'!$C$20:$C$41=IF($AO78="No",$AQ78,$KK78)))))</f>
        <v>0</v>
      </c>
      <c r="AKQ78" s="75">
        <f t="array" ref="AKQ78">INDEX('China n Importing Ports'!$K$20:$K$41,MATCH(2,1/(('China n Importing Ports'!$D$20:$D$41&lt;=$C78)*('China n Importing Ports'!$C$20:$C$41=IF($AO78="No",$AQ78,$KK78)))))</f>
        <v>0</v>
      </c>
      <c r="AKR78" s="75">
        <f t="array" ref="AKR78">INDEX('China n Importing Ports'!$L$20:$L$41,MATCH(2,1/(('China n Importing Ports'!$D$20:$D$41&lt;=$C78)*('China n Importing Ports'!$C$20:$C$41=IF($AO78="No",$AQ78,$KK78)))))</f>
        <v>0</v>
      </c>
      <c r="AKS78" s="75">
        <f t="array" ref="AKS78">INDEX('China n Importing Ports'!$M$20:$M$41,MATCH(2,1/(('China n Importing Ports'!$D$20:$D$41&lt;=$C78)*('China n Importing Ports'!$C$20:$C$41=IF($AO78="No",$AQ78,$KK78)))))</f>
        <v>0</v>
      </c>
      <c r="AKT78" s="75">
        <f t="array" ref="AKT78">INDEX('China n Importing Ports'!$N$20:$N$41,MATCH(2,1/(('China n Importing Ports'!$D$20:$D$41&lt;=$C78)*('China n Importing Ports'!$C$20:$C$41=IF($AO78="No",$AQ78,$KK78)))))</f>
        <v>0</v>
      </c>
      <c r="AKU78" s="75">
        <f t="array" ref="AKU78">INDEX('China n Importing Ports'!$O$20:$O$41,MATCH(2,1/(('China n Importing Ports'!$D$20:$D$41&lt;=$C78)*('China n Importing Ports'!$C$20:$C$41=IF($AO78="No",$AQ78,$KK78)))))</f>
        <v>0</v>
      </c>
      <c r="AKV78" s="136">
        <f t="array" ref="AKV78">INDEX('China n Importing Ports'!$P$20:$P$41,MATCH(2,1/(('China n Importing Ports'!$D$20:$D$41&lt;=$C78)*('China n Importing Ports'!$C$20:$C$41=IF($AO78="No",$AQ78,$KK78)))))</f>
        <v>0</v>
      </c>
      <c r="AKW78" s="136">
        <f t="array" ref="AKW78">INDEX('China n Importing Ports'!$Q$20:$Q$41,MATCH(2,1/(('China n Importing Ports'!$D$20:$D$41&lt;=$C78)*('China n Importing Ports'!$C$20:$C$41=IF($AO78="No",$AQ78,$KK78)))))</f>
        <v>0</v>
      </c>
      <c r="AKX78" s="136">
        <f t="array" ref="AKX78">INDEX('China n Importing Ports'!$R$20:$R$41,MATCH(2,1/(('China n Importing Ports'!$D$20:$D$41&lt;=$C78)*('China n Importing Ports'!$C$20:$C$41=IF($AO78="No",$AQ78,$KK78)))))</f>
        <v>0</v>
      </c>
      <c r="AKY78" s="136">
        <f t="array" ref="AKY78">INDEX('China n Importing Ports'!$S$20:$S$41,MATCH(2,1/(('China n Importing Ports'!$D$20:$D$41&lt;=$C78)*('China n Importing Ports'!$C$20:$C$41=IF($AO78="No",$AQ78,$KK78)))))</f>
        <v>0</v>
      </c>
      <c r="AKZ78" s="136">
        <f t="array" ref="AKZ78">INDEX('China n Importing Ports'!$T$20:$T$41,MATCH(2,1/(('China n Importing Ports'!$D$20:$D$41&lt;=$C78)*('China n Importing Ports'!$C$20:$C$41=IF($AO78="No",$AQ78,$KK78)))))</f>
        <v>0</v>
      </c>
      <c r="ALA78" s="136">
        <f t="array" ref="ALA78">INDEX('China n Importing Ports'!$U$20:$U$41,MATCH(2,1/(('China n Importing Ports'!$D$20:$D$41&lt;=$C78)*('China n Importing Ports'!$C$20:$C$41=IF($AO78="No",$AQ78,$KK78)))))</f>
        <v>0</v>
      </c>
      <c r="ALB78" s="136">
        <f t="array" ref="ALB78">INDEX('China n Importing Ports'!$V$20:$V$41,MATCH(2,1/(('China n Importing Ports'!$D$20:$D$41&lt;=$C78)*('China n Importing Ports'!$C$20:$C$41=IF($AO78="No",$AQ78,$KK78)))))</f>
        <v>0</v>
      </c>
      <c r="ALC78" s="136">
        <f t="array" ref="ALC78">INDEX('China n Importing Ports'!$W$20:$W$41,MATCH(2,1/(('China n Importing Ports'!$D$20:$D$41&lt;=$C78)*('China n Importing Ports'!$C$20:$C$41=IF($AO78="No",$AQ78,$KK78)))))</f>
        <v>0</v>
      </c>
      <c r="ALD78" s="136">
        <f t="array" ref="ALD78">INDEX('China n Importing Ports'!$X$20:$X$41,MATCH(2,1/(('China n Importing Ports'!$D$20:$D$41&lt;=$C78)*('China n Importing Ports'!$C$20:$C$41=IF($AO78="No",$AQ78,$KK78)))))</f>
        <v>0</v>
      </c>
      <c r="ALE78" s="136">
        <f t="array" ref="ALE78">INDEX('China n Importing Ports'!$Y$20:$Y$41,MATCH(2,1/(('China n Importing Ports'!$D$20:$D$41&lt;=$C78)*('China n Importing Ports'!$C$20:$C$41=IF($AO78="No",$AQ78,$KK78)))))</f>
        <v>0</v>
      </c>
      <c r="ALF78" s="136">
        <f t="array" ref="ALF78">INDEX('China n Importing Ports'!$Z$20:$Z$41,MATCH(2,1/(('China n Importing Ports'!$D$20:$D$41&lt;=$C78)*('China n Importing Ports'!$C$20:$C$41=IF($AO78="No",$AQ78,$KK78)))))</f>
        <v>0</v>
      </c>
      <c r="ALG78" s="136">
        <f t="array" ref="ALG78">INDEX('China n Importing Ports'!$AA$20:$AA$41,MATCH(2,1/(('China n Importing Ports'!$D$20:$D$41&lt;=$C78)*('China n Importing Ports'!$C$20:$C$41=IF($AO78="No",$AQ78,$KK78)))))</f>
        <v>0</v>
      </c>
      <c r="ALI78" s="75" t="e">
        <f t="array" aca="1" ref="ALI78" ca="1">INDEX(Canals!$G$24:$G$29,MATCH(2,1/((Canals!$F$24:$F$29&lt;=$C78)*(Canals!$G$24:$G$29=_xlfn.IFS(AHT78="Handysize",AKC78,AHT78="Supramax",AJV78,AHT78="Panamax",AJO78,AHT78="NeoPanamax",AJH78,AHT78="Suezmax",AJA78,AHT78="Capesize",AIT78,AHT78="VLOC",AIM78)))))</f>
        <v>#N/A</v>
      </c>
      <c r="ALJ78" s="75" t="e">
        <f t="array" aca="1" ref="ALJ78" ca="1">INDEX(Canals!$H$24:$H$29,MATCH(2,1/((Canals!$F$24:$F$29&lt;=$C78)*(Canals!$G$24:$G$29=_xlfn.IFS(AHT78="Handysize",AKC78,AHT78="Supramax",AJV78,AHT78="Panamax",AJO78,AHT78="NeoPanamax",AJH78,AHT78="Suezmax",AJA78,AHT78="Capesize",AIT78,AHT78="VLOC",AIM78)))))</f>
        <v>#N/A</v>
      </c>
      <c r="ALK78" s="75" t="e">
        <f t="array" aca="1" ref="ALK78" ca="1">INDEX(Canals!$I$24:$I$29,MATCH(2,1/((Canals!$F$24:$F$29&lt;=$C78)*(Canals!$G$24:$G$29=_xlfn.IFS(AHT78="Handysize",AKC78,AHT78="Supramax",AJV78,AHT78="Panamax",AJO78,AHT78="NeoPanamax",AJH78,AHT78="Suezmax",AJA78,AHT78="Capesize",AIT78,AHT78="VLOC",AIM78)))))</f>
        <v>#N/A</v>
      </c>
      <c r="ALL78" s="75" t="e">
        <f t="array" aca="1" ref="ALL78" ca="1">INDEX(Canals!$J$24:$J$29,MATCH(2,1/((Canals!$F$24:$F$29&lt;=$C78)*(Canals!$G$24:$G$29=_xlfn.IFS(AHT78="Handysize",Main!AKC78,AHT78="Supramax",AJV78,AHT78="Panamax",AJO78,AHT78="NeoPanamax",AJH78,AHT78="Suezmax",AJA78,AHT78="Capesize",AIT78,AHT78="VLOC",AIM78)))))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M78" s="75" t="e">
        <f t="array" aca="1" ref="ALM78" ca="1">INDEX(Canals!$K$24:$K$29,MATCH(2,1/((Canals!$F$24:$F$29&lt;=$C78)*(Canals!$G$24:$G$29=_xlfn.IFS(AHT78="Handysize",Main!AKC78,AHT78="Supramax",AJV78,AHT78="Panamax",AJO78,AHT78="NeoPanamax",AJH78,AHT78="Suezmax",AJA78,AHT78="Capesize",AIT78,AHT78="VLOC",AIM78)))))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N78" s="75" t="e">
        <f t="array" aca="1" ref="ALN78" ca="1">INDEX(Canals!$L$24:$L$29,MATCH(2,1/((Canals!$F$24:$F$29&lt;=$C78)*(Canals!$G$24:$G$29=_xlfn.IFS(AHT78="Handysize",Main!AKC78,AHT78="Supramax",AJV78,AHT78="Panamax",AJO78,AHT78="NeoPanamax",AJH78,AHT78="Suezmax",AJA78,AHT78="Capesize",AIT78,AHT78="VLOC",AIM78)))))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O78" s="75" t="e">
        <f t="array" aca="1" ref="ALO78" ca="1">INDEX(Canals!$M$24:$M$29,MATCH(2,1/((Canals!$F$24:$F$29&lt;=$C78)*(Canals!$G$24:$G$29=_xlfn.IFS(AHT78="Handysize",Main!AKC78,AHT78="Supramax",AJV78,AHT78="Panamax",AJO78,AHT78="NeoPanamax",AJH78,AHT78="Suezmax",AJA78,AHT78="Capesize",AIT78,AHT78="VLOC",AIM78)))))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P78" s="75" t="e">
        <f t="array" aca="1" ref="ALP78" ca="1">INDEX(Canals!$N$24:$N$29,MATCH(2,1/((Canals!$F$24:$F$29&lt;=$C78)*(Canals!$G$24:$G$29=_xlfn.IFS(AHT78="Handysize",Main!AKC78,AHT78="Supramax",AJV78,AHT78="Panamax",AJO78,AHT78="NeoPanamax",AJH78,AHT78="Suezmax",AJA78,AHT78="Capesize",AIT78,AHT78="VLOC",AIM78)))))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Q78" s="75" t="e">
        <f t="array" aca="1" ref="ALQ78" ca="1">INDEX(Canals!$O$24:$O$29,MATCH(2,1/((Canals!$F$24:$F$29&lt;=$C78)*(Canals!$G$24:$G$29=_xlfn.IFS(AHT78="Handysize",Main!AKC78,AHT78="Supramax",AJV78,AHT78="Panamax",AJO78,AHT78="NeoPanamax",AJH78,AHT78="Suezmax",AJA78,AHT78="Capesize",AIT78,AHT78="VLOC",AIM78)))))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R78" s="75" t="e">
        <f t="array" aca="1" ref="ALR78" ca="1">INDEX(Canals!$P$24:$P$29,MATCH(2,1/((Canals!$F$24:$F$29&lt;=$C78)*(Canals!$G$24:$G$29=_xlfn.IFS(AHT78="Handysize",Main!AKC78,AHT78="Supramax",AJV78,AHT78="Panamax",AJO78,AHT78="NeoPanamax",AJH78,AHT78="Suezmax",AJA78,AHT78="Capesize",AIT78,AHT78="VLOC",AIM78)))))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S78" s="75" t="e">
        <f t="array" aca="1" ref="ALS78" ca="1">INDEX(Canals!$Q$24:$Q$29,MATCH(2,1/((Canals!$F$24:$F$29&lt;=$C78)*(Canals!$G$24:$G$29=_xlfn.IFS(AHT78="Handysize",Main!AKC78,AHT78="Supramax",AJV78,AHT78="Panamax",AJO78,AHT78="NeoPanamax",AJH78,AHT78="Suezmax",AJA78,AHT78="Capesize",AIT78,AHT78="VLOC",AIM78)))))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T78" s="75" t="e">
        <f t="array" aca="1" ref="ALT78" ca="1">INDEX(Canals!$R$24:$R$29,MATCH(2,1/((Canals!$F$24:$F$29&lt;=$C78)*(Canals!$G$24:$G$29=_xlfn.IFS(AHT78="Handysize",Main!AKC78,AHT78="Supramax",AJV78,AHT78="Panamax",AJO78,AHT78="NeoPanamax",AJH78,AHT78="Suezmax",AJA78,AHT78="Capesize",AIT78,AHT78="VLOC",AIM78)))))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U78" s="136" t="e">
        <f t="array" aca="1" ref="ALU78" ca="1">INDEX(Canals!$S$24:$S$29,MATCH(2,1/((Canals!$F$24:$F$29&lt;=$C78)*(Canals!$G$24:$G$29=_xlfn.IFS(AHT78="Handysize",Main!AKC78,AHT78="Supramax",AJV78,AHT78="Panamax",AJO78,AHT78="NeoPanamax",AJH78,AHT78="Suezmax",AJA78,AHT78="Capesize",AIT78,AHT78="VLOC",AIM78)))))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V78" s="136" t="e">
        <f t="array" aca="1" ref="ALV78" ca="1">INDEX(Canals!$T$24:$T$29,MATCH(2,1/((Canals!$F$24:$F$29&lt;=$C78)*(Canals!$G$24:$G$29=_xlfn.IFS(AHT78="Handysize",Main!AKC78,AHT78="Supramax",AJV78,AHT78="Panamax",AJO78,AHT78="NeoPanamax",AJH78,AHT78="Suezmax",AJA78,AHT78="Capesize",AIT78,AHT78="VLOC",AIM78)))))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W78" s="136" t="e">
        <f t="array" aca="1" ref="ALW78" ca="1">INDEX(Canals!$U$24:$U$29,MATCH(2,1/((Canals!$F$24:$F$29&lt;=$C78)*(Canals!$G$24:$G$29=_xlfn.IFS(AHT78="Handysize",Main!AKC78,AHT78="Supramax",AJV78,AHT78="Panamax",AJO78,AHT78="NeoPanamax",AJH78,AHT78="Suezmax",AJA78,AHT78="Capesize",AIT78,AHT78="VLOC",AIM78)))))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X78" s="136" t="e">
        <f t="array" aca="1" ref="ALX78" ca="1">INDEX(Canals!$V$24:$V$29,MATCH(2,1/((Canals!$F$24:$F$29&lt;=$C78)*(Canals!$G$24:$G$29=_xlfn.IFS(AHT78="Handysize",Main!AKC78,AHT78="Supramax",AJV78,AHT78="Panamax",AJO78,AHT78="NeoPanamax",AJH78,AHT78="Suezmax",AJA78,AHT78="Capesize",AIT78,AHT78="VLOC",AIM78)))))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Y78" s="136" t="e">
        <f t="array" aca="1" ref="ALY78" ca="1">INDEX(Canals!$W$24:$W$29,MATCH(2,1/((Canals!$F$24:$F$29&lt;=$C78)*(Canals!$G$24:$G$29=_xlfn.IFS(AHT78="Handysize",Main!AKC78,AHT78="Supramax",AJV78,AHT78="Panamax",AJO78,AHT78="NeoPanamax",AJH78,AHT78="Suezmax",AJA78,AHT78="Capesize",AIT78,AHT78="VLOC",AIM78)))))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LZ78" s="136" t="e">
        <f t="array" aca="1" ref="ALZ78" ca="1">INDEX(Canals!$X$24:$X$29,MATCH(2,1/((Canals!$F$24:$F$29&lt;=$C78)*(Canals!$G$24:$G$29=_xlfn.IFS(AHT78="Handysize",Main!AKC78,AHT78="Supramax",AJV78,AHT78="Panamax",AJO78,AHT78="NeoPanamax",AJH78,AHT78="Suezmax",AJA78,AHT78="Capesize",AIT78,AHT78="VLOC",AIM78)))))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A78" s="136" t="e">
        <f t="array" aca="1" ref="AMA78" ca="1">INDEX(Canals!$Y$24:$Y$29,MATCH(2,1/((Canals!$F$24:$F$29&lt;=$C78)*(Canals!$G$24:$G$29=_xlfn.IFS(AHT78="Handysize",Main!AKC78,AHT78="Supramax",AJV78,AHT78="Panamax",AJO78,AHT78="NeoPanamax",AJH78,AHT78="Suezmax",AJA78,AHT78="Capesize",AIT78,AHT78="VLOC",AIM78)))))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B78" s="136" t="e">
        <f t="array" aca="1" ref="AMB78" ca="1">INDEX(Canals!$Z$24:$Z$29,MATCH(2,1/((Canals!$F$24:$F$29&lt;=$C78)*(Canals!$G$24:$G$29=_xlfn.IFS(AHT78="Handysize",Main!AKC78,AHT78="Supramax",AJV78,AHT78="Panamax",AJO78,AHT78="NeoPanamax",AJH78,AHT78="Suezmax",AJA78,AHT78="Capesize",AIT78,AHT78="VLOC",AIM78)))))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C78" s="136" t="e">
        <f t="array" aca="1" ref="AMC78" ca="1">INDEX(Canals!$AA$24:$AA$29,MATCH(2,1/((Canals!$F$24:$F$29&lt;=$C78)*(Canals!$G$24:$G$29=_xlfn.IFS(AHT78="Handysize",Main!AKC78,AHT78="Supramax",AJV78,AHT78="Panamax",AJO78,AHT78="NeoPanamax",AJH78,AHT78="Suezmax",AJA78,AHT78="Capesize",AIT78,AHT78="VLOC",AIM78)))))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D78" s="136" t="e">
        <f t="array" aca="1" ref="AMD78" ca="1">INDEX(Canals!$AB$24:$AB$29,MATCH(2,1/((Canals!$F$24:$F$29&lt;=$C78)*(Canals!$G$24:$G$29=_xlfn.IFS(AHT78="Handysize",Main!AKC78,AHT78="Supramax",AJV78,AHT78="Panamax",AJO78,AHT78="NeoPanamax",AJH78,AHT78="Suezmax",AJA78,AHT78="Capesize",AIT78,AHT78="VLOC",AIM78)))))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E78" s="75" t="e">
        <f t="array" aca="1" ref="AME78" ca="1">INDEX(Canals!$AC$24:$AC$29,MATCH(2,1/((Canals!$F$24:$F$29&lt;=$C78)*(Canals!$G$24:$G$29=_xlfn.IFS(AHT78="Handysize",Main!AKC78,AHT78="Supramax",AJV78,AHT78="Panamax",AJO78,AHT78="NeoPanamax",AJH78,AHT78="Suezmax",AJA78,AHT78="Capesize",AIT78,AHT78="VLOC",AIM78)))))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F78" s="75" t="e">
        <f t="array" aca="1" ref="AMF78" ca="1">INDEX(Canals!$AD$24:$AD$29,MATCH(2,1/((Canals!$F$24:$F$29&lt;=$C78)*(Canals!$G$24:$G$29=_xlfn.IFS(AHT78="Handysize",Main!AKC78,AHT78="Supramax",AJV78,AHT78="Panamax",AJO78,AHT78="NeoPanamax",AJH78,AHT78="Suezmax",AJA78,AHT78="Capesize",AIT78,AHT78="VLOC",AIM78)))))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G78" s="75" t="e">
        <f t="array" aca="1" ref="AMG78" ca="1">INDEX(Canals!$AE$24:$AE$29,MATCH(2,1/((Canals!$F$24:$F$29&lt;=$C78)*(Canals!$G$24:$G$29=_xlfn.IFS(AHT78="Handysize",Main!AKC78,AHT78="Supramax",AJV78,AHT78="Panamax",AJO78,AHT78="NeoPanamax",AJH78,AHT78="Suezmax",AJA78,AHT78="Capesize",AIT78,AHT78="VLOC",AIM78)))))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H78" s="75" t="e">
        <f t="array" aca="1" ref="AMH78" ca="1">INDEX(Canals!$AF$24:$AF$29,MATCH(2,1/((Canals!$F$24:$F$29&lt;=$C78)*(Canals!$G$24:$G$29=_xlfn.IFS(AHT78="Handysize",Main!AKC78,AHT78="Supramax",AJV78,AHT78="Panamax",AJO78,AHT78="NeoPanamax",AJH78,AHT78="Suezmax",AJA78,AHT78="Capesize",AIT78,AHT78="VLOC",AIM78)))))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I78" s="75" t="e">
        <f t="array" aca="1" ref="AMI78" ca="1">INDEX(Canals!$AG$24:$AG$29,MATCH(2,1/((Canals!$F$24:$F$29&lt;=$C78)*(Canals!$G$24:$G$29=_xlfn.IFS(AHT78="Handysize",Main!AKC78,AHT78="Supramax",AJV78,AHT78="Panamax",AJO78,AHT78="NeoPanamax",AJH78,AHT78="Suezmax",AJA78,AHT78="Capesize",AIT78,AHT78="VLOC",AIM78)))))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J78" s="75" t="e">
        <f t="array" aca="1" ref="AMJ78" ca="1">INDEX(Canals!$AH$24:$AH$29,MATCH(2,1/((Canals!$F$24:$F$29&lt;=$C78)*(Canals!$G$24:$G$29=_xlfn.IFS(AHT78="Handysize",Main!AKC78,AHT78="Supramax",AJV78,AHT78="Panamax",AJO78,AHT78="NeoPanamax",AJH78,AHT78="Suezmax",AJA78,AHT78="Capesize",AIT78,AHT78="VLOC",AIM78)))))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K78" s="75" t="e">
        <f t="array" aca="1" ref="AMK78" ca="1">INDEX(Canals!$AI$24:$AI$29,MATCH(2,1/((Canals!$F$24:$F$29&lt;=$C78)*(Canals!$G$24:$G$29=_xlfn.IFS(AHT78="Handysize",Main!AKC78,AHT78="Supramax",AJV78,AHT78="Panamax",AJO78,AHT78="NeoPanamax",AJH78,AHT78="Suezmax",AJA78,AHT78="Capesize",AIT78,AHT78="VLOC",AIM78)))))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L78" s="75" t="e">
        <f t="array" aca="1" ref="AML78" ca="1">INDEX(Canals!$AJ$24:$AJ$29,MATCH(2,1/((Canals!$F$24:$F$29&lt;=$C78)*(Canals!$G$24:$G$29=_xlfn.IFS(AHT78="Handysize",Main!AKC78,AHT78="Supramax",AJV78,AHT78="Panamax",AJO78,AHT78="NeoPanamax",AJH78,AHT78="Suezmax",AJA78,AHT78="Capesize",AIT78,AHT78="VLOC",AIM78)))))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M78" s="75" t="e">
        <f t="array" aca="1" ref="AMM78" ca="1">INDEX(Canals!$AK$24:$AK$29,MATCH(2,1/((Canals!$F$24:$F$29&lt;=$C78)*(Canals!$G$24:$G$29=_xlfn.IFS(AHT78="Handysize",Main!AKC78,AHT78="Supramax",AJV78,AHT78="Panamax",AJO78,AHT78="NeoPanamax",AJH78,AHT78="Suezmax",AJA78,AHT78="Capesize",AIT78,AHT78="VLOC",AIM78)))))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N78" s="136" t="e">
        <f t="array" aca="1" ref="AMN78" ca="1">INDEX(Canals!$AL$24:$AL$29,MATCH(2,1/((Canals!$F$24:$F$29&lt;=$C78)*(Canals!$G$24:$G$29=_xlfn.IFS(AHT78="Handysize",Main!AKC78,AHT78="Supramax",AJV78,AHT78="Panamax",AJO78,AHT78="NeoPanamax",AJH78,AHT78="Suezmax",AJA78,AHT78="Capesize",AIT78,AHT78="VLOC",AIM78)))))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O78" s="136" t="e">
        <f t="array" aca="1" ref="AMO78" ca="1">INDEX(Canals!$AM$24:$AM$29,MATCH(2,1/((Canals!$F$24:$F$29&lt;=$C78)*(Canals!$G$24:$G$29=_xlfn.IFS(AHT78="Handysize",Main!AKC78,AHT78="Supramax",AJV78,AHT78="Panamax",AJO78,AHT78="NeoPanamax",AJH78,AHT78="Suezmax",AJA78,AHT78="Capesize",AIT78,AHT78="VLOC",AIM78)))))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P78" s="136" t="e">
        <f t="array" aca="1" ref="AMP78" ca="1">INDEX(Canals!$AN$24:$AN$29,MATCH(2,1/((Canals!$F$24:$F$29&lt;=$C78)*(Canals!$G$24:$G$29=_xlfn.IFS(AHT78="Handysize",Main!AKC78,AHT78="Supramax",AJV78,AHT78="Panamax",AJO78,AHT78="NeoPanamax",AJH78,AHT78="Suezmax",AJA78,AHT78="Capesize",AIT78,AHT78="VLOC",AIM78)))))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Q78" s="136" t="e">
        <f t="array" aca="1" ref="AMQ78" ca="1">INDEX(Canals!$AO$24:$AO$29,MATCH(2,1/((Canals!$F$24:$F$29&lt;=$C78)*(Canals!$G$24:$G$29=_xlfn.IFS(AHT78="Handysize",Main!AKC78,AHT78="Supramax",AJV78,AHT78="Panamax",AJO78,AHT78="NeoPanamax",AJH78,AHT78="Suezmax",AJA78,AHT78="Capesize",AIT78,AHT78="VLOC",AIM78)))))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R78" s="136" t="e">
        <f t="array" aca="1" ref="AMR78" ca="1">INDEX(Canals!$AP$24:$AP$29,MATCH(2,1/((Canals!$F$24:$F$29&lt;=$C78)*(Canals!$G$24:$G$29=_xlfn.IFS(AHT78="Handysize",Main!AKC78,AHT78="Supramax",AJV78,AHT78="Panamax",AJO78,AHT78="NeoPanamax",AJH78,AHT78="Suezmax",AJA78,AHT78="Capesize",AIT78,AHT78="VLOC",AIM78)))))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S78" s="136" t="e">
        <f t="array" aca="1" ref="AMS78" ca="1">INDEX(Canals!$AQ$24:$AQ$29,MATCH(2,1/((Canals!$F$24:$F$29&lt;=$C78)*(Canals!$G$24:$G$29=_xlfn.IFS(AHT78="Handysize",Main!AKC78,AHT78="Supramax",AJV78,AHT78="Panamax",AJO78,AHT78="NeoPanamax",AJH78,AHT78="Suezmax",AJA78,AHT78="Capesize",AIT78,AHT78="VLOC",AIM78)))))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T78" s="136" t="e">
        <f t="array" aca="1" ref="AMT78" ca="1">INDEX(Canals!$AR$24:$AR$29,MATCH(2,1/((Canals!$F$24:$F$29&lt;=$C78)*(Canals!$G$24:$G$29=_xlfn.IFS(AHT78="Handysize",Main!AKC78,AHT78="Supramax",AJV78,AHT78="Panamax",AJO78,AHT78="NeoPanamax",AJH78,AHT78="Suezmax",AJA78,AHT78="Capesize",AIT78,AHT78="VLOC",AIM78)))))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U78" s="136" t="e">
        <f t="array" aca="1" ref="AMU78" ca="1">INDEX(Canals!$AS$24:$AS$29,MATCH(2,1/((Canals!$F$24:$F$29&lt;=$C78)*(Canals!$G$24:$G$29=_xlfn.IFS(AHT78="Handysize",Main!AKC78,AHT78="Supramax",AJV78,AHT78="Panamax",AJO78,AHT78="NeoPanamax",AJH78,AHT78="Suezmax",AJA78,AHT78="Capesize",AIT78,AHT78="VLOC",AIM78)))))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V78" s="136" t="e">
        <f t="array" aca="1" ref="AMV78" ca="1">INDEX(Canals!$AT$24:$AT$29,MATCH(2,1/((Canals!$F$24:$F$29&lt;=$C78)*(Canals!$G$24:$G$29=_xlfn.IFS(AHT78="Handysize",Main!AKC78,AHT78="Supramax",AJV78,AHT78="Panamax",AJO78,AHT78="NeoPanamax",AJH78,AHT78="Suezmax",AJA78,AHT78="Capesize",AIT78,AHT78="VLOC",AIM78)))))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W78" s="136" t="e">
        <f t="array" aca="1" ref="AMW78" ca="1">INDEX(Canals!$AU$24:$AU$29,MATCH(2,1/((Canals!$F$24:$F$29&lt;=$C78)*(Canals!$G$24:$G$29=_xlfn.IFS(AHT78="Handysize",Main!AKC78,AHT78="Supramax",AJV78,AHT78="Panamax",AJO78,AHT78="NeoPanamax",AJH78,AHT78="Suezmax",AJA78,AHT78="Capesize",AIT78,AHT78="VLOC",AIM78)))))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X78" s="136" t="e">
        <f t="array" aca="1" ref="AMX78" ca="1">INDEX(Canals!$AV$24:$AV$29,MATCH(2,1/((Canals!$F$24:$F$29&lt;=$C78)*(Canals!$G$24:$G$29=_xlfn.IFS(AHT78="Handysize",Main!AKC78,AHT78="Supramax",AJV78,AHT78="Panamax",AJO78,AHT78="NeoPanamax",AJH78,AHT78="Suezmax",AJA78,AHT78="Capesize",AIT78,AHT78="VLOC",AIM78)))))</f>
        <v>#N/A</v>
      </c>
      <c r="AMZ78" s="75" t="e">
        <f t="array" aca="1" ref="AMZ78" ca="1">_xlfn.IFS(ALK78="DWT",AHR78,ALK78="NRT",AHV78,ALK78="GRT",AHW78,ALK78=0,0)</f>
        <v>#NAME?</v>
      </c>
      <c r="ANA78" s="279" t="e">
        <f t="shared" ca="1" si="944"/>
        <v>#NAME?</v>
      </c>
      <c r="ANB78" s="280" t="e">
        <f t="shared" ca="1" si="945"/>
        <v>#NAME?</v>
      </c>
      <c r="ANC78" s="280" t="e">
        <f t="shared" ca="1" si="946"/>
        <v>#NAME?</v>
      </c>
      <c r="AND78" s="280" t="e">
        <f t="shared" ca="1" si="947"/>
        <v>#NAME?</v>
      </c>
      <c r="ANE78" s="280" t="e">
        <f t="shared" ca="1" si="948"/>
        <v>#NAME?</v>
      </c>
      <c r="ANF78" s="280" t="e">
        <f t="shared" ca="1" si="949"/>
        <v>#NAME?</v>
      </c>
      <c r="ANG78" s="280" t="e">
        <f t="shared" ca="1" si="950"/>
        <v>#NAME?</v>
      </c>
      <c r="ANH78" s="280" t="e">
        <f t="shared" ca="1" si="951"/>
        <v>#NAME?</v>
      </c>
      <c r="ANI78" s="280" t="e">
        <f t="shared" ca="1" si="952"/>
        <v>#NAME?</v>
      </c>
      <c r="ANJ78" s="75">
        <f t="shared" si="953"/>
        <v>0</v>
      </c>
      <c r="ANK78" s="279" t="e">
        <f t="shared" ca="1" si="954"/>
        <v>#N/A</v>
      </c>
      <c r="ANL78" s="280" t="e">
        <f t="shared" ca="1" si="955"/>
        <v>#N/A</v>
      </c>
      <c r="ANM78" s="280" t="e">
        <f t="shared" ca="1" si="956"/>
        <v>#N/A</v>
      </c>
      <c r="ANN78" s="280" t="e">
        <f t="shared" ca="1" si="957"/>
        <v>#N/A</v>
      </c>
      <c r="ANO78" s="280" t="e">
        <f t="shared" ca="1" si="958"/>
        <v>#N/A</v>
      </c>
      <c r="ANP78" s="280" t="e">
        <f t="shared" ca="1" si="959"/>
        <v>#N/A</v>
      </c>
      <c r="ANQ78" s="280" t="e">
        <f t="shared" ca="1" si="960"/>
        <v>#N/A</v>
      </c>
      <c r="ANR78" s="280" t="e">
        <f t="shared" ca="1" si="961"/>
        <v>#N/A</v>
      </c>
      <c r="ANS78" s="280" t="e">
        <f t="shared" ca="1" si="962"/>
        <v>#N/A</v>
      </c>
      <c r="ANU78" s="75" t="e">
        <f t="array" aca="1" ref="ANU78" ca="1">_xlfn.IFS(AHT78="Handysize",Main!AJW78,AHT78="Supramax",AJP78,AHT78="Panamax",AJI78,AHT78="NeoPanamax",AJB78,AHT78="Suezmax",AIU78,AHT78="Capesize",AIN78,AHT78="VLOC",AIG78)*$JI78</f>
        <v>#NAME?</v>
      </c>
      <c r="ANV78" s="274" t="e">
        <f t="array" aca="1" ref="ANV78" ca="1">_xlfn.IFS(AHT78="Handysize",Main!AJX78,AHT78="Supramax",AJQ78,AHT78="Panamax",AJJ78,AHT78="NeoPanamax",AJC78,AHT78="Suezmax",AIV78,AHT78="Capesize",AIO78,AHT78="VLOC",AIH78)*$JI78</f>
        <v>#NAME?</v>
      </c>
      <c r="ANW78" s="71" t="e">
        <f t="array" aca="1" ref="ANW78" ca="1">_xlfn.IFS(AHT78="Handysize",Main!AHY78,AHT78="Supramax",AHZ78,AHT78="Panamax",AIA78,AHT78="NeoPanamax",AIB78,AHT78="Suezmax",AIC78,AHT78="Capesize",AID78,AHT78="VLOC",AIE78)</f>
        <v>#NAME?</v>
      </c>
      <c r="ANX78" s="71" t="e">
        <f t="array" aca="1" ref="ANX78" ca="1">_xlfn.IFS(AHT78="Handysize",Main!AKK78,AHT78="Supramax",AKL78,AHT78="Panamax",AKM78,AHT78="NeoPanamax",AKN78,AHT78="Suezmax",AKO78,AHT78="Capesize",AKP78,AHT78="VLOC",AKQ78)</f>
        <v>#NAME?</v>
      </c>
      <c r="ANY78" s="70">
        <f t="array" ref="ANY78">INDEX('Ship Speeds'!$G$11:$G$1011,MATCH(2,1/(('Ship Speeds'!$E$11:$E$1011&lt;=Main!$C78)*('Ship Speeds'!$F$11:$F$1011=Main!AHS78))))</f>
        <v>11</v>
      </c>
      <c r="ANZ78" s="403">
        <f t="shared" si="963"/>
        <v>0</v>
      </c>
      <c r="AOA78" s="401">
        <f t="shared" si="964"/>
        <v>1.2</v>
      </c>
      <c r="AOB78" s="70" t="e">
        <f t="shared" ca="1" si="965"/>
        <v>#NAME?</v>
      </c>
      <c r="AOC78" s="70" t="e">
        <f t="shared" ca="1" si="966"/>
        <v>#NAME?</v>
      </c>
      <c r="AOD78" s="70" t="e">
        <f t="shared" ca="1" si="967"/>
        <v>#NAME?</v>
      </c>
      <c r="AOE78" s="70" t="e">
        <f t="shared" ca="1" si="968"/>
        <v>#NAME?</v>
      </c>
      <c r="AOF78" s="72" t="e">
        <f t="shared" ca="1" si="969"/>
        <v>#N/A</v>
      </c>
      <c r="AOG78" s="70" t="e">
        <f t="shared" ca="1" si="970"/>
        <v>#NAME?</v>
      </c>
      <c r="AOH78" s="70" t="e">
        <f t="array" aca="1" ref="AOH78" ca="1">IF(ANU78=0,0,INDEX(AKE78:AKI78,MATCH(_xlfn.IFS(AHT78="Handysize",Main!AKA78,AHT78="Supramax",AJT78,AHT78="Panamax",AJM78,AHT78="NeoPanamax",AJF78,AHT78="Suezmax",AIY78,AHT78="Capesize",AIR78,AHT78="VLOC",AIK78),$AKE$7:$AKI$7,0)))</f>
        <v>#NAME?</v>
      </c>
      <c r="AOI78" s="70" t="e">
        <f t="array" aca="1" ref="AOI78" ca="1">IF(ANU78=0,0,INDEX(AKE78:AKI78,MATCH(_xlfn.IFS(AHT78="Handysize",Main!AKB78,AHT78="Supramax",AJU78,AHT78="Panamax",AJN78,AHT78="NeoPanamax",AJG78,AHT78="Suezmax",AIZ78,AHT78="Capesize",AIS78,AHT78="VLOC",AIL78),$AKE$7:$AKI$7,0)))</f>
        <v>#NAME?</v>
      </c>
      <c r="AOJ78" s="71" t="e">
        <f t="shared" ca="1" si="971"/>
        <v>#NAME?</v>
      </c>
      <c r="AOK78" s="71" t="e">
        <f t="shared" ca="1" si="972"/>
        <v>#NAME?</v>
      </c>
      <c r="AOL78" s="281" t="e">
        <f t="shared" ca="1" si="973"/>
        <v>#NAME?</v>
      </c>
      <c r="AOM78" s="71" t="e">
        <f t="shared" ca="1" si="974"/>
        <v>#NAME?</v>
      </c>
      <c r="AON78" s="71" t="e">
        <f t="shared" ca="1" si="975"/>
        <v>#NAME?</v>
      </c>
      <c r="AOO78" s="71" t="e">
        <f t="shared" ca="1" si="976"/>
        <v>#NAME?</v>
      </c>
      <c r="AOP78" s="71" t="e">
        <f t="shared" ca="1" si="977"/>
        <v>#NAME?</v>
      </c>
      <c r="AOQ78" s="71" t="e">
        <f t="shared" ca="1" si="978"/>
        <v>#NAME?</v>
      </c>
      <c r="AOR78" s="71" t="e">
        <f t="shared" ca="1" si="979"/>
        <v>#NAME?</v>
      </c>
      <c r="AOS78" s="71" t="e">
        <f t="shared" ca="1" si="980"/>
        <v>#NAME?</v>
      </c>
      <c r="AOT78" s="71" t="e">
        <f t="shared" ca="1" si="981"/>
        <v>#NAME?</v>
      </c>
      <c r="AOU78" s="71" t="e">
        <f t="shared" ca="1" si="982"/>
        <v>#NAME?</v>
      </c>
      <c r="AOV78" s="71" t="e">
        <f t="shared" ca="1" si="983"/>
        <v>#NAME?</v>
      </c>
      <c r="AOW78" s="71" t="e">
        <f t="shared" ca="1" si="984"/>
        <v>#NAME?</v>
      </c>
      <c r="AOX78" s="71" t="e">
        <f t="shared" ca="1" si="985"/>
        <v>#NAME?</v>
      </c>
      <c r="AOY78" s="72" t="e">
        <f t="shared" ca="1" si="986"/>
        <v>#NAME?</v>
      </c>
      <c r="AOZ78" s="72" t="e">
        <f t="shared" ca="1" si="987"/>
        <v>#NAME?</v>
      </c>
      <c r="APA78" s="71" t="e">
        <f t="shared" ca="1" si="988"/>
        <v>#NAME?</v>
      </c>
      <c r="APB78" s="71" t="e">
        <f t="array" aca="1" ref="APB78" ca="1">IF(ANU78=0,0,INDEX('Ship Time Charter Rates'!$H$22:$H$1021,MATCH(2,1/(('Ship Time Charter Rates'!$G$22:$G$1021=_xlfn.IFS(AHT78="Handysize",Main!AJY78,AHT78="Supramax",AJR78,AHT78="Panamax",AJK78,AHT78="NeoPanamax",AJD78,AHT78="Suezmax",AIW78,AHT78="Capesize",AIP78,AHT78="VLOC",AII78))*('Ship Time Charter Rates'!$E$22:$E$1021&lt;=Main!$C78)*(NOT(ISBLANK('Ship Time Charter Rates'!$H$22:$H$1021)))))))</f>
        <v>#NAME?</v>
      </c>
      <c r="APC78" s="71" t="e">
        <f t="shared" ca="1" si="989"/>
        <v>#NAME?</v>
      </c>
      <c r="APD78" s="70" t="e">
        <f t="shared" ca="1" si="990"/>
        <v>#NAME?</v>
      </c>
      <c r="APE78" s="71" t="e">
        <f t="shared" ca="1" si="991"/>
        <v>#NAME?</v>
      </c>
      <c r="APF78" s="71" t="e">
        <f t="shared" ca="1" si="992"/>
        <v>#NAME?</v>
      </c>
      <c r="APG78" s="72" t="e">
        <f t="shared" ca="1" si="993"/>
        <v>#NAME?</v>
      </c>
      <c r="API78" s="287" t="s">
        <v>39</v>
      </c>
      <c r="APK78" s="289" t="e">
        <f t="shared" ca="1" si="994"/>
        <v>#NAME?</v>
      </c>
      <c r="APL78" s="289" t="e">
        <f t="shared" ca="1" si="995"/>
        <v>#NAME?</v>
      </c>
      <c r="APM78" s="289" t="e">
        <f t="shared" ca="1" si="996"/>
        <v>#NAME?</v>
      </c>
      <c r="APO78" s="287" t="s">
        <v>39</v>
      </c>
    </row>
    <row r="80" spans="1:1107">
      <c r="D80" s="435" t="s">
        <v>465</v>
      </c>
      <c r="E80" s="435"/>
      <c r="F80" s="435"/>
      <c r="G80" s="435"/>
      <c r="H80" s="435"/>
      <c r="I80" s="436"/>
      <c r="J80" s="438">
        <v>0.42</v>
      </c>
      <c r="K80" s="12"/>
      <c r="L80" s="438">
        <v>0.06</v>
      </c>
      <c r="M80" s="436"/>
      <c r="N80" s="12"/>
      <c r="O80" s="438">
        <v>0.1</v>
      </c>
    </row>
    <row r="81" spans="4:15">
      <c r="D81" s="437" t="s">
        <v>466</v>
      </c>
      <c r="E81" s="435"/>
      <c r="F81" s="435"/>
      <c r="G81" s="435"/>
      <c r="H81" s="435"/>
      <c r="I81" s="436"/>
      <c r="J81" s="438">
        <v>0.05</v>
      </c>
      <c r="K81" s="12"/>
      <c r="L81" s="438">
        <v>0.03</v>
      </c>
      <c r="M81" s="436"/>
      <c r="N81" s="12"/>
      <c r="O81" s="438">
        <v>0.05</v>
      </c>
    </row>
    <row r="82" spans="4:15">
      <c r="E82" s="439" t="s">
        <v>468</v>
      </c>
      <c r="F82" s="439" t="s">
        <v>469</v>
      </c>
      <c r="G82" s="440"/>
    </row>
    <row r="83" spans="4:15">
      <c r="E83" s="441" t="s">
        <v>470</v>
      </c>
      <c r="F83" s="442">
        <f>AVERAGE(F71:F78)</f>
        <v>43.123529509756594</v>
      </c>
      <c r="G83" s="440"/>
    </row>
    <row r="84" spans="4:15">
      <c r="E84" s="441" t="s">
        <v>471</v>
      </c>
      <c r="F84" s="442">
        <f>(AVERAGE(F71:F74)-AVERAGE(F75:F78))/(2*J81)</f>
        <v>144.94599124904823</v>
      </c>
      <c r="G84" s="440"/>
    </row>
    <row r="85" spans="4:15">
      <c r="E85" s="441" t="s">
        <v>472</v>
      </c>
      <c r="F85" s="442">
        <f>(AVERAGE(F71:F72,F75:F76)-AVERAGE(F73:F74,F77:F78))/(2*L81)</f>
        <v>-219.80907527719646</v>
      </c>
      <c r="G85" s="440"/>
    </row>
    <row r="86" spans="4:15">
      <c r="E86" s="441" t="s">
        <v>473</v>
      </c>
      <c r="F86" s="444">
        <v>-0.1</v>
      </c>
    </row>
    <row r="87" spans="4:15">
      <c r="E87" s="441" t="s">
        <v>475</v>
      </c>
      <c r="F87" s="443">
        <f>(AVERAGE(F71,F73,F75,F77)-AVERAGE(F72,F74,F76,F78))/(2*O81)</f>
        <v>0</v>
      </c>
    </row>
  </sheetData>
  <mergeCells count="28">
    <mergeCell ref="AJW7:AKC7"/>
    <mergeCell ref="AIN7:AIT7"/>
    <mergeCell ref="AIU7:AJA7"/>
    <mergeCell ref="AJB7:AJH7"/>
    <mergeCell ref="AJI7:AJO7"/>
    <mergeCell ref="AJP7:AJV7"/>
    <mergeCell ref="ABK7:ABQ7"/>
    <mergeCell ref="ABR7:ABX7"/>
    <mergeCell ref="ABY7:ACE7"/>
    <mergeCell ref="ACF7:ACL7"/>
    <mergeCell ref="AIG7:AIM7"/>
    <mergeCell ref="UF7:UL7"/>
    <mergeCell ref="UM7:US7"/>
    <mergeCell ref="AAP7:AAV7"/>
    <mergeCell ref="AAW7:ABC7"/>
    <mergeCell ref="ABD7:ABJ7"/>
    <mergeCell ref="SW7:TC7"/>
    <mergeCell ref="TD7:TJ7"/>
    <mergeCell ref="TK7:TQ7"/>
    <mergeCell ref="TR7:TX7"/>
    <mergeCell ref="TY7:UE7"/>
    <mergeCell ref="MV7:NB7"/>
    <mergeCell ref="MA7:MG7"/>
    <mergeCell ref="LF7:LL7"/>
    <mergeCell ref="LM7:LS7"/>
    <mergeCell ref="LT7:LZ7"/>
    <mergeCell ref="MH7:MN7"/>
    <mergeCell ref="MO7:MU7"/>
  </mergeCells>
  <conditionalFormatting sqref="AU11:AU13 AU19:AU22">
    <cfRule type="expression" dxfId="15" priority="18">
      <formula>AND(AT11="Australia HT",NOT(AU11="CBIX HT"))</formula>
    </cfRule>
  </conditionalFormatting>
  <conditionalFormatting sqref="AM10:AM13 AM19:AM22">
    <cfRule type="expression" dxfId="14" priority="17">
      <formula>AND(AT10="Australia HT",NOT(LEFT(AM10,2)="HT"))</formula>
    </cfRule>
  </conditionalFormatting>
  <conditionalFormatting sqref="AU26">
    <cfRule type="expression" dxfId="13" priority="16">
      <formula>AND(AT26="Australia HT",NOT(AU26="CBIX HT"))</formula>
    </cfRule>
  </conditionalFormatting>
  <conditionalFormatting sqref="AM26">
    <cfRule type="expression" dxfId="12" priority="15">
      <formula>AND(AT26="Australia HT",NOT(LEFT(AM26,2)="HT"))</formula>
    </cfRule>
  </conditionalFormatting>
  <conditionalFormatting sqref="AU14:AU18">
    <cfRule type="expression" dxfId="11" priority="14">
      <formula>AND(AT14="Australia HT",NOT(AU14="CBIX HT"))</formula>
    </cfRule>
  </conditionalFormatting>
  <conditionalFormatting sqref="AM14:AM18">
    <cfRule type="expression" dxfId="10" priority="13">
      <formula>AND(AT14="Australia HT",NOT(LEFT(AM14,2)="HT"))</formula>
    </cfRule>
  </conditionalFormatting>
  <conditionalFormatting sqref="AU23">
    <cfRule type="expression" dxfId="9" priority="10">
      <formula>AND(AT23="Australia HT",NOT(AU23="CBIX HT"))</formula>
    </cfRule>
  </conditionalFormatting>
  <conditionalFormatting sqref="AM23">
    <cfRule type="expression" dxfId="8" priority="9">
      <formula>AND(AT23="Australia HT",NOT(LEFT(AM23,2)="HT"))</formula>
    </cfRule>
  </conditionalFormatting>
  <conditionalFormatting sqref="AU55 AU63 AU57">
    <cfRule type="expression" dxfId="7" priority="8">
      <formula>AND(AT55="Australia HT",NOT(AU55="CBIX HT"))</formula>
    </cfRule>
  </conditionalFormatting>
  <conditionalFormatting sqref="AM55 AM63 AM57">
    <cfRule type="expression" dxfId="6" priority="7">
      <formula>AND(AT55="Australia HT",NOT(LEFT(AM55,2)="HT"))</formula>
    </cfRule>
  </conditionalFormatting>
  <conditionalFormatting sqref="AU58:AU62">
    <cfRule type="expression" dxfId="5" priority="6">
      <formula>AND(AT58="Australia HT",NOT(AU58="CBIX HT"))</formula>
    </cfRule>
  </conditionalFormatting>
  <conditionalFormatting sqref="AM58:AM62">
    <cfRule type="expression" dxfId="4" priority="5">
      <formula>AND(AT58="Australia HT",NOT(LEFT(AM58,2)="HT"))</formula>
    </cfRule>
  </conditionalFormatting>
  <conditionalFormatting sqref="AU56">
    <cfRule type="expression" dxfId="3" priority="4">
      <formula>AND(AT56="Australia HT",NOT(AU56="CBIX HT"))</formula>
    </cfRule>
  </conditionalFormatting>
  <conditionalFormatting sqref="AM56">
    <cfRule type="expression" dxfId="2" priority="3">
      <formula>AND(AT56="Australia HT",NOT(LEFT(AM56,2)="HT"))</formula>
    </cfRule>
  </conditionalFormatting>
  <conditionalFormatting sqref="AU71:AU78">
    <cfRule type="expression" dxfId="1" priority="2">
      <formula>AND(AT71="Australia HT",NOT(AU71="CBIX HT"))</formula>
    </cfRule>
  </conditionalFormatting>
  <conditionalFormatting sqref="AM71:AM78">
    <cfRule type="expression" dxfId="0" priority="1">
      <formula>AND(AT71="Australia HT",NOT(LEFT(AM71,2)="HT"))</formula>
    </cfRule>
  </conditionalFormatting>
  <dataValidations count="8">
    <dataValidation type="list" allowBlank="1" showInputMessage="1" showErrorMessage="1" sqref="G10:G23 G26 G55:G63 G71:G78">
      <formula1>"FOB,CFR,CIF"</formula1>
    </dataValidation>
    <dataValidation type="list" allowBlank="1" showInputMessage="1" showErrorMessage="1" sqref="H10:H23 H26 H55:H63 H71:H78">
      <formula1>"dmt,wmt"</formula1>
    </dataValidation>
    <dataValidation type="decimal" allowBlank="1" showInputMessage="1" showErrorMessage="1" sqref="I10:O23 I26:O26 I55:O63 I71:O78">
      <formula1>0</formula1>
      <formula2>1</formula2>
    </dataValidation>
    <dataValidation type="decimal" allowBlank="1" showInputMessage="1" showErrorMessage="1" sqref="P10:P23 P26 P55:P63 P71:P78">
      <formula1>0</formula1>
      <formula2>500000</formula2>
    </dataValidation>
    <dataValidation type="list" allowBlank="1" showInputMessage="1" showErrorMessage="1" sqref="AT10:AU23 AT26:AU26 AT55:AU63 AT71:AU78">
      <formula1>"Guinea 45/3 LT,Indonesian LT,Australia HT"</formula1>
    </dataValidation>
    <dataValidation type="list" allowBlank="1" showInputMessage="1" showErrorMessage="1" sqref="AV10:AV23 AV26 AV55:AV63 AV71:AV78">
      <formula1>"CIF"</formula1>
    </dataValidation>
    <dataValidation type="list" allowBlank="1" showInputMessage="1" showErrorMessage="1" sqref="AW10:AW23 AW26 AW55:AW63 AW71:AW78">
      <formula1>"dmt"</formula1>
    </dataValidation>
    <dataValidation type="list" allowBlank="1" showInputMessage="1" showErrorMessage="1" sqref="AO26 AO10:AO23 AO55:AO63 AO71:AO78">
      <formula1>"Yes,No"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'China n Importing Ports'!$C$20:$C$41</xm:f>
          </x14:formula1>
          <xm:sqref>AS10:AS23 R26 AS26 R10:R23 R55:R63 AS55:AS63 R71:R78 AS71:AS78</xm:sqref>
        </x14:dataValidation>
        <x14:dataValidation type="list" allowBlank="1" showInputMessage="1" showErrorMessage="1">
          <x14:formula1>
            <xm:f>'Indices Mines Exporting Ports'!$C$26:$C$51</xm:f>
          </x14:formula1>
          <xm:sqref>AE10:AE23 AE55:AE63 E10:E23 ID55:ID63 ID26 E26 AE26 ID10:ID23 E55:E63 AE71:AE78 ID71:ID78 E71:E78</xm:sqref>
        </x14:dataValidation>
        <x14:dataValidation type="list" allowBlank="1" showInputMessage="1" showErrorMessage="1">
          <x14:formula1>
            <xm:f>'Indices Mines Exporting Ports'!$Q$26:$Q$51</xm:f>
          </x14:formula1>
          <xm:sqref>Q26 Q55:Q63 AP55:AP63 AP10:AP23 AP26 Q10:Q23 Q71:Q78 AP71:AP78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H52"/>
  <sheetViews>
    <sheetView workbookViewId="0">
      <selection activeCell="D41" sqref="D41"/>
    </sheetView>
  </sheetViews>
  <sheetFormatPr defaultColWidth="11" defaultRowHeight="15.75"/>
  <cols>
    <col min="1" max="1" width="10.875" customWidth="1"/>
    <col min="3" max="3" width="44.875" bestFit="1" customWidth="1"/>
    <col min="4" max="4" width="11.5" bestFit="1" customWidth="1"/>
    <col min="5" max="5" width="8" bestFit="1" customWidth="1"/>
    <col min="6" max="12" width="10.875" customWidth="1"/>
    <col min="13" max="13" width="12.125" customWidth="1"/>
    <col min="14" max="14" width="10.875" customWidth="1"/>
    <col min="15" max="15" width="13.625" bestFit="1" customWidth="1"/>
    <col min="16" max="16" width="10.875" customWidth="1"/>
    <col min="17" max="17" width="27.625" customWidth="1"/>
    <col min="18" max="20" width="10.875" customWidth="1"/>
    <col min="21" max="21" width="12.125" customWidth="1"/>
    <col min="22" max="25" width="10.875" customWidth="1"/>
    <col min="26" max="26" width="13.625" bestFit="1" customWidth="1"/>
    <col min="27" max="34" width="10.875" customWidth="1"/>
  </cols>
  <sheetData>
    <row r="1" spans="1:34">
      <c r="B1" s="257" t="s">
        <v>301</v>
      </c>
      <c r="C1" s="258"/>
      <c r="D1" s="258"/>
      <c r="E1" s="258"/>
      <c r="F1" s="12"/>
      <c r="G1" s="78" t="s">
        <v>39</v>
      </c>
      <c r="AH1" s="79" t="s">
        <v>39</v>
      </c>
    </row>
    <row r="2" spans="1:34" ht="78.75">
      <c r="B2" s="254" t="s">
        <v>0</v>
      </c>
      <c r="C2" s="254" t="s">
        <v>1</v>
      </c>
      <c r="D2" s="454" t="s">
        <v>294</v>
      </c>
      <c r="E2" s="454"/>
      <c r="F2" s="293" t="s">
        <v>357</v>
      </c>
      <c r="G2" s="78" t="s">
        <v>39</v>
      </c>
      <c r="AH2" s="79" t="s">
        <v>39</v>
      </c>
    </row>
    <row r="3" spans="1:34">
      <c r="B3" s="255">
        <v>43831</v>
      </c>
      <c r="C3" s="217" t="s">
        <v>296</v>
      </c>
      <c r="D3" s="20" t="s">
        <v>298</v>
      </c>
      <c r="E3" s="217" t="s">
        <v>302</v>
      </c>
      <c r="F3" s="66">
        <v>48000</v>
      </c>
      <c r="G3" s="78" t="s">
        <v>39</v>
      </c>
      <c r="AH3" s="79" t="s">
        <v>39</v>
      </c>
    </row>
    <row r="4" spans="1:34">
      <c r="B4" s="255">
        <v>43831</v>
      </c>
      <c r="C4" s="217" t="s">
        <v>297</v>
      </c>
      <c r="D4" s="20" t="s">
        <v>299</v>
      </c>
      <c r="E4" s="217" t="s">
        <v>302</v>
      </c>
      <c r="F4" s="66">
        <v>48000</v>
      </c>
      <c r="G4" s="78" t="s">
        <v>39</v>
      </c>
      <c r="AH4" s="79" t="s">
        <v>39</v>
      </c>
    </row>
    <row r="5" spans="1:34">
      <c r="B5" s="217"/>
      <c r="C5" s="217"/>
      <c r="D5" s="217"/>
      <c r="E5" s="217"/>
      <c r="F5" s="66"/>
      <c r="G5" s="78" t="s">
        <v>39</v>
      </c>
      <c r="AH5" s="79" t="s">
        <v>39</v>
      </c>
    </row>
    <row r="6" spans="1:34">
      <c r="B6" s="217"/>
      <c r="C6" s="217"/>
      <c r="D6" s="217"/>
      <c r="E6" s="217"/>
      <c r="F6" s="66"/>
      <c r="G6" s="78" t="s">
        <v>39</v>
      </c>
      <c r="AH6" s="79" t="s">
        <v>39</v>
      </c>
    </row>
    <row r="7" spans="1:34">
      <c r="B7" s="217"/>
      <c r="C7" s="217"/>
      <c r="D7" s="217"/>
      <c r="E7" s="217"/>
      <c r="F7" s="66"/>
      <c r="G7" s="78" t="s">
        <v>39</v>
      </c>
      <c r="AH7" s="79" t="s">
        <v>39</v>
      </c>
    </row>
    <row r="8" spans="1:34">
      <c r="B8" s="217"/>
      <c r="C8" s="217"/>
      <c r="D8" s="217"/>
      <c r="E8" s="217"/>
      <c r="F8" s="66"/>
      <c r="G8" s="78" t="s">
        <v>39</v>
      </c>
      <c r="AH8" s="79" t="s">
        <v>39</v>
      </c>
    </row>
    <row r="9" spans="1:34">
      <c r="B9" s="217"/>
      <c r="C9" s="217"/>
      <c r="D9" s="217"/>
      <c r="E9" s="217"/>
      <c r="F9" s="66"/>
      <c r="G9" s="78" t="s">
        <v>39</v>
      </c>
      <c r="AH9" s="79" t="s">
        <v>39</v>
      </c>
    </row>
    <row r="10" spans="1:34">
      <c r="B10" s="80" t="s">
        <v>164</v>
      </c>
      <c r="C10" s="80"/>
      <c r="D10" s="80"/>
      <c r="E10" s="80"/>
      <c r="F10" s="80"/>
      <c r="G10" s="78" t="s">
        <v>39</v>
      </c>
      <c r="AH10" s="79" t="s">
        <v>39</v>
      </c>
    </row>
    <row r="11" spans="1:34">
      <c r="C11" s="12" t="s">
        <v>304</v>
      </c>
      <c r="D11" s="147">
        <v>65000</v>
      </c>
      <c r="G11" s="78" t="s">
        <v>39</v>
      </c>
      <c r="AH11" s="79" t="s">
        <v>39</v>
      </c>
    </row>
    <row r="12" spans="1:34">
      <c r="A12" s="78" t="s">
        <v>39</v>
      </c>
      <c r="B12" s="78" t="s">
        <v>39</v>
      </c>
      <c r="C12" s="78" t="s">
        <v>39</v>
      </c>
      <c r="D12" s="78" t="s">
        <v>39</v>
      </c>
      <c r="E12" s="78" t="s">
        <v>39</v>
      </c>
      <c r="F12" s="78" t="s">
        <v>39</v>
      </c>
      <c r="G12" s="78" t="s">
        <v>39</v>
      </c>
      <c r="AH12" s="79" t="s">
        <v>39</v>
      </c>
    </row>
    <row r="13" spans="1:34">
      <c r="C13" s="182" t="s">
        <v>270</v>
      </c>
      <c r="AH13" s="79" t="s">
        <v>39</v>
      </c>
    </row>
    <row r="14" spans="1:34">
      <c r="AH14" s="79" t="s">
        <v>39</v>
      </c>
    </row>
    <row r="15" spans="1:34" s="135" customFormat="1">
      <c r="A15"/>
      <c r="B15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14</v>
      </c>
      <c r="P15" s="1">
        <v>15</v>
      </c>
      <c r="Q15" s="1">
        <v>13</v>
      </c>
      <c r="R15" s="1">
        <v>16</v>
      </c>
      <c r="S15" s="1">
        <v>17</v>
      </c>
      <c r="T15" s="1">
        <v>18</v>
      </c>
      <c r="U15" s="1"/>
      <c r="V15" s="1">
        <v>19</v>
      </c>
      <c r="W15" s="1">
        <v>20</v>
      </c>
      <c r="X15" s="1">
        <v>21</v>
      </c>
      <c r="Y15" s="1">
        <v>22</v>
      </c>
      <c r="Z15" s="1">
        <v>23</v>
      </c>
      <c r="AA15" s="1">
        <v>24</v>
      </c>
      <c r="AB15" s="1">
        <v>25</v>
      </c>
      <c r="AC15" s="1">
        <v>26</v>
      </c>
      <c r="AD15" s="1">
        <v>27</v>
      </c>
      <c r="AE15" s="1">
        <v>28</v>
      </c>
      <c r="AF15" s="1">
        <v>29</v>
      </c>
      <c r="AG15" s="1">
        <v>30</v>
      </c>
      <c r="AH15" s="79" t="s">
        <v>39</v>
      </c>
    </row>
    <row r="16" spans="1:34" s="135" customFormat="1">
      <c r="A16"/>
      <c r="B16"/>
      <c r="C16" s="167" t="s">
        <v>239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67" t="s">
        <v>238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79" t="s">
        <v>39</v>
      </c>
    </row>
    <row r="17" spans="1:34" s="135" customFormat="1">
      <c r="A17"/>
      <c r="B17"/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79" t="s">
        <v>39</v>
      </c>
    </row>
    <row r="18" spans="1:34" s="135" customFormat="1" ht="47.25">
      <c r="A18"/>
      <c r="B18"/>
      <c r="C18" s="13" t="s">
        <v>166</v>
      </c>
      <c r="D18" s="13" t="s">
        <v>0</v>
      </c>
      <c r="E18" s="13" t="s">
        <v>8</v>
      </c>
      <c r="F18" s="13" t="s">
        <v>9</v>
      </c>
      <c r="G18" s="13" t="s">
        <v>10</v>
      </c>
      <c r="H18" s="13" t="s">
        <v>11</v>
      </c>
      <c r="I18" s="13" t="s">
        <v>32</v>
      </c>
      <c r="J18" s="13" t="s">
        <v>31</v>
      </c>
      <c r="K18" s="13" t="s">
        <v>16</v>
      </c>
      <c r="L18" s="13" t="s">
        <v>17</v>
      </c>
      <c r="M18" s="168" t="s">
        <v>397</v>
      </c>
      <c r="N18" s="13" t="s">
        <v>103</v>
      </c>
      <c r="O18" s="13" t="s">
        <v>157</v>
      </c>
      <c r="P18" s="13" t="s">
        <v>158</v>
      </c>
      <c r="Q18" s="13" t="s">
        <v>28</v>
      </c>
      <c r="R18" s="13" t="s">
        <v>57</v>
      </c>
      <c r="S18" s="13" t="s">
        <v>256</v>
      </c>
      <c r="T18" s="13" t="s">
        <v>33</v>
      </c>
      <c r="U18" s="13" t="s">
        <v>216</v>
      </c>
      <c r="V18" s="13" t="s">
        <v>215</v>
      </c>
      <c r="W18" s="13" t="s">
        <v>34</v>
      </c>
      <c r="X18" s="13" t="s">
        <v>206</v>
      </c>
      <c r="Y18" s="13" t="s">
        <v>21</v>
      </c>
      <c r="Z18" s="13" t="s">
        <v>21</v>
      </c>
      <c r="AA18" s="13" t="s">
        <v>21</v>
      </c>
      <c r="AB18" s="13" t="s">
        <v>21</v>
      </c>
      <c r="AC18" s="13" t="s">
        <v>21</v>
      </c>
      <c r="AD18" s="13" t="s">
        <v>21</v>
      </c>
      <c r="AE18" s="13" t="s">
        <v>21</v>
      </c>
      <c r="AF18" s="13" t="s">
        <v>21</v>
      </c>
      <c r="AG18" s="13" t="s">
        <v>21</v>
      </c>
      <c r="AH18" s="79" t="s">
        <v>39</v>
      </c>
    </row>
    <row r="19" spans="1:34" s="135" customFormat="1" ht="32.25" thickBot="1">
      <c r="A19"/>
      <c r="B19"/>
      <c r="C19" s="14" t="s">
        <v>29</v>
      </c>
      <c r="D19" s="14" t="s">
        <v>101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  <c r="K19" s="14" t="s">
        <v>12</v>
      </c>
      <c r="L19" s="85" t="s">
        <v>22</v>
      </c>
      <c r="M19" s="26" t="s">
        <v>398</v>
      </c>
      <c r="N19" s="14" t="s">
        <v>104</v>
      </c>
      <c r="O19" s="14" t="s">
        <v>102</v>
      </c>
      <c r="P19" s="14" t="s">
        <v>102</v>
      </c>
      <c r="Q19" s="14" t="s">
        <v>29</v>
      </c>
      <c r="R19" s="14" t="s">
        <v>26</v>
      </c>
      <c r="S19" s="14" t="s">
        <v>26</v>
      </c>
      <c r="T19" s="14" t="s">
        <v>26</v>
      </c>
      <c r="U19" s="14" t="s">
        <v>26</v>
      </c>
      <c r="V19" s="14" t="s">
        <v>26</v>
      </c>
      <c r="W19" s="14" t="s">
        <v>26</v>
      </c>
      <c r="X19" s="14" t="s">
        <v>26</v>
      </c>
      <c r="Y19" s="14" t="s">
        <v>27</v>
      </c>
      <c r="Z19" s="14" t="s">
        <v>27</v>
      </c>
      <c r="AA19" s="14" t="s">
        <v>27</v>
      </c>
      <c r="AB19" s="14" t="s">
        <v>27</v>
      </c>
      <c r="AC19" s="14" t="s">
        <v>27</v>
      </c>
      <c r="AD19" s="14" t="s">
        <v>27</v>
      </c>
      <c r="AE19" s="14" t="s">
        <v>27</v>
      </c>
      <c r="AF19" s="14" t="s">
        <v>27</v>
      </c>
      <c r="AG19" s="14" t="s">
        <v>27</v>
      </c>
      <c r="AH19" s="79" t="s">
        <v>39</v>
      </c>
    </row>
    <row r="20" spans="1:34" s="135" customFormat="1">
      <c r="A20"/>
      <c r="B20" s="63" t="s">
        <v>163</v>
      </c>
      <c r="C20" s="81" t="s">
        <v>92</v>
      </c>
      <c r="D20" s="81">
        <v>43831</v>
      </c>
      <c r="E20" s="90">
        <v>0.45</v>
      </c>
      <c r="F20" s="90">
        <v>0.40250000000000002</v>
      </c>
      <c r="G20" s="90">
        <v>0.03</v>
      </c>
      <c r="H20" s="90">
        <v>1.2500000000000001E-2</v>
      </c>
      <c r="I20" s="90">
        <v>1.7499999999999998E-2</v>
      </c>
      <c r="J20" s="90">
        <v>3.5000000000000003E-2</v>
      </c>
      <c r="K20" s="90">
        <v>0.1</v>
      </c>
      <c r="L20" s="91" t="s">
        <v>30</v>
      </c>
      <c r="M20" s="169">
        <v>0.33</v>
      </c>
      <c r="N20" s="92"/>
      <c r="O20" s="62" t="s">
        <v>92</v>
      </c>
      <c r="P20" s="62" t="s">
        <v>89</v>
      </c>
      <c r="Q20" s="62"/>
      <c r="R20" s="92"/>
      <c r="S20" s="92"/>
      <c r="T20" s="92"/>
      <c r="U20" s="92"/>
      <c r="V20" s="92"/>
      <c r="W20" s="92"/>
      <c r="X20" s="92"/>
      <c r="Y20" s="62"/>
      <c r="Z20" s="62"/>
      <c r="AA20" s="62"/>
      <c r="AB20" s="62"/>
      <c r="AC20" s="62"/>
      <c r="AD20" s="62"/>
      <c r="AE20" s="62"/>
      <c r="AF20" s="62"/>
      <c r="AG20" s="62"/>
      <c r="AH20" s="79" t="s">
        <v>39</v>
      </c>
    </row>
    <row r="21" spans="1:34" s="135" customFormat="1">
      <c r="A21"/>
      <c r="B21" s="63" t="s">
        <v>163</v>
      </c>
      <c r="C21" s="81" t="s">
        <v>91</v>
      </c>
      <c r="D21" s="81">
        <v>43831</v>
      </c>
      <c r="E21" s="90">
        <v>0.54</v>
      </c>
      <c r="F21" s="90">
        <v>0.37250000000000005</v>
      </c>
      <c r="G21" s="90">
        <v>0.09</v>
      </c>
      <c r="H21" s="90">
        <v>6.7500000000000004E-2</v>
      </c>
      <c r="I21" s="90">
        <v>2.2499999999999992E-2</v>
      </c>
      <c r="J21" s="90">
        <v>0.1</v>
      </c>
      <c r="K21" s="90">
        <v>0.125</v>
      </c>
      <c r="L21" s="91" t="s">
        <v>77</v>
      </c>
      <c r="M21" s="169">
        <v>0.67</v>
      </c>
      <c r="N21" s="92"/>
      <c r="O21" s="62" t="s">
        <v>91</v>
      </c>
      <c r="P21" s="62" t="s">
        <v>90</v>
      </c>
      <c r="Q21" s="62"/>
      <c r="R21" s="92"/>
      <c r="S21" s="92"/>
      <c r="T21" s="92"/>
      <c r="U21" s="92"/>
      <c r="V21" s="92"/>
      <c r="W21" s="92"/>
      <c r="X21" s="92"/>
      <c r="Y21" s="62"/>
      <c r="Z21" s="62"/>
      <c r="AA21" s="62"/>
      <c r="AB21" s="62"/>
      <c r="AC21" s="62"/>
      <c r="AD21" s="62"/>
      <c r="AE21" s="62"/>
      <c r="AF21" s="62"/>
      <c r="AG21" s="62"/>
      <c r="AH21" s="79" t="s">
        <v>39</v>
      </c>
    </row>
    <row r="22" spans="1:34" s="135" customFormat="1">
      <c r="A22"/>
      <c r="B22" s="63" t="s">
        <v>163</v>
      </c>
      <c r="C22" s="81" t="s">
        <v>88</v>
      </c>
      <c r="D22" s="81">
        <v>43831</v>
      </c>
      <c r="E22" s="90">
        <v>0.48</v>
      </c>
      <c r="F22" s="90">
        <v>0.44</v>
      </c>
      <c r="G22" s="90">
        <v>0.08</v>
      </c>
      <c r="H22" s="90">
        <v>3.5000000000000003E-2</v>
      </c>
      <c r="I22" s="90">
        <v>4.4999999999999998E-2</v>
      </c>
      <c r="J22" s="90">
        <v>5.0000000000000001E-3</v>
      </c>
      <c r="K22" s="90">
        <v>0.15</v>
      </c>
      <c r="L22" s="91" t="s">
        <v>30</v>
      </c>
      <c r="M22" s="169">
        <v>0.33</v>
      </c>
      <c r="N22" s="92"/>
      <c r="O22" s="62" t="s">
        <v>88</v>
      </c>
      <c r="P22" s="62" t="s">
        <v>89</v>
      </c>
      <c r="Q22" s="62"/>
      <c r="R22" s="92"/>
      <c r="S22" s="92"/>
      <c r="T22" s="92"/>
      <c r="U22" s="92"/>
      <c r="V22" s="92"/>
      <c r="W22" s="92"/>
      <c r="X22" s="92"/>
      <c r="Y22" s="62"/>
      <c r="Z22" s="62"/>
      <c r="AA22" s="62"/>
      <c r="AB22" s="62"/>
      <c r="AC22" s="62"/>
      <c r="AD22" s="62"/>
      <c r="AE22" s="62"/>
      <c r="AF22" s="62"/>
      <c r="AG22" s="62"/>
      <c r="AH22" s="79" t="s">
        <v>39</v>
      </c>
    </row>
    <row r="23" spans="1:34" s="135" customFormat="1">
      <c r="A23"/>
      <c r="B23" s="63" t="s">
        <v>163</v>
      </c>
      <c r="C23" s="81" t="s">
        <v>89</v>
      </c>
      <c r="D23" s="81">
        <v>43831</v>
      </c>
      <c r="E23" s="90">
        <v>0.5</v>
      </c>
      <c r="F23" s="90">
        <v>0.45</v>
      </c>
      <c r="G23" s="90">
        <v>0.05</v>
      </c>
      <c r="H23" s="90">
        <v>0.05</v>
      </c>
      <c r="I23" s="90">
        <v>0</v>
      </c>
      <c r="J23" s="90">
        <v>0</v>
      </c>
      <c r="K23" s="90">
        <v>0.1</v>
      </c>
      <c r="L23" s="91" t="s">
        <v>30</v>
      </c>
      <c r="M23" s="169">
        <v>0</v>
      </c>
      <c r="N23" s="92"/>
      <c r="O23" s="62" t="s">
        <v>89</v>
      </c>
      <c r="P23" s="62" t="s">
        <v>89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79" t="s">
        <v>39</v>
      </c>
    </row>
    <row r="24" spans="1:34" s="135" customFormat="1">
      <c r="A24"/>
      <c r="B24" s="63" t="s">
        <v>163</v>
      </c>
      <c r="C24" s="81" t="s">
        <v>90</v>
      </c>
      <c r="D24" s="81">
        <v>43831</v>
      </c>
      <c r="E24" s="90">
        <v>0.5</v>
      </c>
      <c r="F24" s="90">
        <v>0.45</v>
      </c>
      <c r="G24" s="90">
        <v>0.05</v>
      </c>
      <c r="H24" s="90">
        <v>0.05</v>
      </c>
      <c r="I24" s="90">
        <v>0</v>
      </c>
      <c r="J24" s="90">
        <v>0</v>
      </c>
      <c r="K24" s="90">
        <v>0.1</v>
      </c>
      <c r="L24" s="91" t="s">
        <v>30</v>
      </c>
      <c r="M24" s="169">
        <v>0</v>
      </c>
      <c r="N24" s="92"/>
      <c r="O24" s="62" t="s">
        <v>90</v>
      </c>
      <c r="P24" s="62" t="s">
        <v>90</v>
      </c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79" t="s">
        <v>39</v>
      </c>
    </row>
    <row r="25" spans="1:34" s="135" customFormat="1">
      <c r="A25"/>
      <c r="B25" s="63" t="s">
        <v>163</v>
      </c>
      <c r="C25" s="81" t="s">
        <v>403</v>
      </c>
      <c r="D25" s="81">
        <v>43831</v>
      </c>
      <c r="E25" s="90">
        <v>0.5</v>
      </c>
      <c r="F25" s="90">
        <v>0.45</v>
      </c>
      <c r="G25" s="90">
        <v>0.05</v>
      </c>
      <c r="H25" s="90">
        <v>0.05</v>
      </c>
      <c r="I25" s="90">
        <v>0</v>
      </c>
      <c r="J25" s="90">
        <v>0</v>
      </c>
      <c r="K25" s="90">
        <v>0.1</v>
      </c>
      <c r="L25" s="91" t="s">
        <v>30</v>
      </c>
      <c r="M25" s="169">
        <v>0</v>
      </c>
      <c r="N25" s="92"/>
      <c r="O25" s="62" t="s">
        <v>403</v>
      </c>
      <c r="P25" s="62" t="s">
        <v>403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79" t="s">
        <v>39</v>
      </c>
    </row>
    <row r="26" spans="1:34" s="135" customFormat="1">
      <c r="A26"/>
      <c r="B26" s="82" t="s">
        <v>1</v>
      </c>
      <c r="C26" s="39" t="s">
        <v>35</v>
      </c>
      <c r="D26" s="39">
        <v>43831</v>
      </c>
      <c r="E26" s="84">
        <v>0.44800000000000001</v>
      </c>
      <c r="F26" s="84">
        <v>0.4</v>
      </c>
      <c r="G26" s="84">
        <v>2.3E-2</v>
      </c>
      <c r="H26" s="83">
        <v>1.2999999999999999E-2</v>
      </c>
      <c r="I26" s="84">
        <v>0.01</v>
      </c>
      <c r="J26" s="84">
        <v>3.5000000000000003E-2</v>
      </c>
      <c r="K26" s="84">
        <v>0.1</v>
      </c>
      <c r="L26" s="76" t="s">
        <v>30</v>
      </c>
      <c r="M26" s="170">
        <v>0.33</v>
      </c>
      <c r="N26" s="66">
        <v>180000</v>
      </c>
      <c r="O26" s="20" t="s">
        <v>92</v>
      </c>
      <c r="P26" s="20" t="s">
        <v>89</v>
      </c>
      <c r="Q26" s="20" t="s">
        <v>191</v>
      </c>
      <c r="R26" s="66">
        <v>30000</v>
      </c>
      <c r="S26" s="66">
        <v>30000</v>
      </c>
      <c r="T26" s="66">
        <v>30000</v>
      </c>
      <c r="U26" s="66">
        <v>30000</v>
      </c>
      <c r="V26" s="66">
        <v>30000</v>
      </c>
      <c r="W26" s="66">
        <v>30000</v>
      </c>
      <c r="X26" s="66">
        <v>30000</v>
      </c>
      <c r="Y26" s="20"/>
      <c r="Z26" s="20"/>
      <c r="AA26" s="20"/>
      <c r="AB26" s="20"/>
      <c r="AC26" s="20"/>
      <c r="AD26" s="20"/>
      <c r="AE26" s="20"/>
      <c r="AF26" s="20"/>
      <c r="AG26" s="20"/>
      <c r="AH26" s="79" t="s">
        <v>39</v>
      </c>
    </row>
    <row r="27" spans="1:34" s="135" customFormat="1">
      <c r="A27"/>
      <c r="B27" s="82" t="s">
        <v>1</v>
      </c>
      <c r="C27" s="39" t="s">
        <v>36</v>
      </c>
      <c r="D27" s="39">
        <v>43831</v>
      </c>
      <c r="E27" s="84">
        <v>0.46</v>
      </c>
      <c r="F27" s="84">
        <v>0.40500000000000003</v>
      </c>
      <c r="G27" s="84">
        <v>4.8000000000000001E-2</v>
      </c>
      <c r="H27" s="84">
        <v>1.7000000000000001E-2</v>
      </c>
      <c r="I27" s="84">
        <v>3.1E-2</v>
      </c>
      <c r="J27" s="84">
        <v>3.7999999999999992E-2</v>
      </c>
      <c r="K27" s="84">
        <v>0.10100000000000001</v>
      </c>
      <c r="L27" s="76" t="s">
        <v>30</v>
      </c>
      <c r="M27" s="170">
        <v>0.33</v>
      </c>
      <c r="N27" s="66">
        <v>180000</v>
      </c>
      <c r="O27" s="20" t="s">
        <v>92</v>
      </c>
      <c r="P27" s="20" t="s">
        <v>89</v>
      </c>
      <c r="Q27" s="20" t="s">
        <v>193</v>
      </c>
      <c r="R27" s="66">
        <v>18000</v>
      </c>
      <c r="S27" s="66">
        <v>18000</v>
      </c>
      <c r="T27" s="66">
        <v>18000</v>
      </c>
      <c r="U27" s="66">
        <v>18000</v>
      </c>
      <c r="V27" s="66">
        <v>18000</v>
      </c>
      <c r="W27" s="66">
        <v>18000</v>
      </c>
      <c r="X27" s="66">
        <v>18000</v>
      </c>
      <c r="Y27" s="20"/>
      <c r="Z27" s="20"/>
      <c r="AA27" s="20"/>
      <c r="AB27" s="20"/>
      <c r="AC27" s="20"/>
      <c r="AD27" s="20"/>
      <c r="AE27" s="20"/>
      <c r="AF27" s="20"/>
      <c r="AG27" s="20"/>
      <c r="AH27" s="79" t="s">
        <v>39</v>
      </c>
    </row>
    <row r="28" spans="1:34" s="135" customFormat="1">
      <c r="A28"/>
      <c r="B28" s="82" t="s">
        <v>1</v>
      </c>
      <c r="C28" s="39" t="s">
        <v>37</v>
      </c>
      <c r="D28" s="39">
        <v>43831</v>
      </c>
      <c r="E28" s="84">
        <v>0.48699999999999999</v>
      </c>
      <c r="F28" s="84">
        <v>0.43299999999999994</v>
      </c>
      <c r="G28" s="84">
        <v>2.1999999999999999E-2</v>
      </c>
      <c r="H28" s="84">
        <v>1.9E-2</v>
      </c>
      <c r="I28" s="84">
        <v>2.9999999999999992E-3</v>
      </c>
      <c r="J28" s="84">
        <v>3.5000000000000003E-2</v>
      </c>
      <c r="K28" s="84">
        <v>7.0999999999999994E-2</v>
      </c>
      <c r="L28" s="76" t="s">
        <v>30</v>
      </c>
      <c r="M28" s="170">
        <v>0.33</v>
      </c>
      <c r="N28" s="66">
        <v>66000</v>
      </c>
      <c r="O28" s="20" t="s">
        <v>92</v>
      </c>
      <c r="P28" s="20" t="s">
        <v>89</v>
      </c>
      <c r="Q28" s="20" t="s">
        <v>196</v>
      </c>
      <c r="R28" s="66">
        <v>30000</v>
      </c>
      <c r="S28" s="66">
        <v>30000</v>
      </c>
      <c r="T28" s="66">
        <v>30000</v>
      </c>
      <c r="U28" s="66">
        <v>30000</v>
      </c>
      <c r="V28" s="66">
        <v>30000</v>
      </c>
      <c r="W28" s="66">
        <v>20000</v>
      </c>
      <c r="X28" s="66">
        <v>20000</v>
      </c>
      <c r="Y28" s="20"/>
      <c r="Z28" s="20"/>
      <c r="AA28" s="20"/>
      <c r="AB28" s="20"/>
      <c r="AC28" s="20"/>
      <c r="AD28" s="20"/>
      <c r="AE28" s="20"/>
      <c r="AF28" s="20"/>
      <c r="AG28" s="20"/>
      <c r="AH28" s="79" t="s">
        <v>39</v>
      </c>
    </row>
    <row r="29" spans="1:34" s="135" customFormat="1">
      <c r="A29"/>
      <c r="B29" s="82" t="s">
        <v>1</v>
      </c>
      <c r="C29" s="39" t="s">
        <v>38</v>
      </c>
      <c r="D29" s="39">
        <v>43831</v>
      </c>
      <c r="E29" s="84">
        <v>0.47</v>
      </c>
      <c r="F29" s="83">
        <v>0.41</v>
      </c>
      <c r="G29" s="83">
        <v>0.02</v>
      </c>
      <c r="H29" s="83">
        <v>0.01</v>
      </c>
      <c r="I29" s="83">
        <v>0.01</v>
      </c>
      <c r="J29" s="83">
        <v>3.9E-2</v>
      </c>
      <c r="K29" s="83">
        <v>8.7999999999999995E-2</v>
      </c>
      <c r="L29" s="76" t="s">
        <v>30</v>
      </c>
      <c r="M29" s="170">
        <v>0.33</v>
      </c>
      <c r="N29" s="66">
        <v>180000</v>
      </c>
      <c r="O29" s="20" t="s">
        <v>92</v>
      </c>
      <c r="P29" s="20" t="s">
        <v>89</v>
      </c>
      <c r="Q29" s="20" t="s">
        <v>197</v>
      </c>
      <c r="R29" s="66">
        <v>30000</v>
      </c>
      <c r="S29" s="66">
        <v>30000</v>
      </c>
      <c r="T29" s="66">
        <v>30000</v>
      </c>
      <c r="U29" s="66">
        <v>30000</v>
      </c>
      <c r="V29" s="66">
        <v>30000</v>
      </c>
      <c r="W29" s="66">
        <v>30000</v>
      </c>
      <c r="X29" s="66">
        <v>30000</v>
      </c>
      <c r="Y29" s="20"/>
      <c r="Z29" s="20"/>
      <c r="AA29" s="20"/>
      <c r="AB29" s="20"/>
      <c r="AC29" s="20"/>
      <c r="AD29" s="20"/>
      <c r="AE29" s="20"/>
      <c r="AF29" s="20"/>
      <c r="AG29" s="20"/>
      <c r="AH29" s="79" t="s">
        <v>39</v>
      </c>
    </row>
    <row r="30" spans="1:34" s="135" customFormat="1">
      <c r="A30"/>
      <c r="B30" s="87" t="s">
        <v>1</v>
      </c>
      <c r="C30" s="39" t="s">
        <v>165</v>
      </c>
      <c r="D30" s="39">
        <v>43831</v>
      </c>
      <c r="E30" s="83">
        <v>0.53</v>
      </c>
      <c r="F30" s="83">
        <v>0.36250000000000004</v>
      </c>
      <c r="G30" s="83">
        <v>0.09</v>
      </c>
      <c r="H30" s="83">
        <v>6.7500000000000004E-2</v>
      </c>
      <c r="I30" s="83">
        <v>2.2499999999999999E-2</v>
      </c>
      <c r="J30" s="83">
        <v>0.1</v>
      </c>
      <c r="K30" s="83">
        <v>0.13</v>
      </c>
      <c r="L30" s="76" t="s">
        <v>77</v>
      </c>
      <c r="M30" s="170">
        <v>0.67</v>
      </c>
      <c r="N30" s="66">
        <v>76000</v>
      </c>
      <c r="O30" s="20" t="s">
        <v>91</v>
      </c>
      <c r="P30" s="20" t="s">
        <v>90</v>
      </c>
      <c r="Q30" s="20" t="s">
        <v>178</v>
      </c>
      <c r="R30" s="66">
        <v>80000</v>
      </c>
      <c r="S30" s="66">
        <v>80000</v>
      </c>
      <c r="T30" s="66">
        <v>80000</v>
      </c>
      <c r="U30" s="66">
        <v>80000</v>
      </c>
      <c r="V30" s="66">
        <v>80000</v>
      </c>
      <c r="W30" s="66">
        <v>40000</v>
      </c>
      <c r="X30" s="66">
        <v>40000</v>
      </c>
      <c r="Y30" s="20"/>
      <c r="Z30" s="20"/>
      <c r="AA30" s="20"/>
      <c r="AB30" s="20"/>
      <c r="AC30" s="20"/>
      <c r="AD30" s="20"/>
      <c r="AE30" s="20"/>
      <c r="AF30" s="20"/>
      <c r="AG30" s="20"/>
      <c r="AH30" s="79" t="s">
        <v>39</v>
      </c>
    </row>
    <row r="31" spans="1:34" s="135" customFormat="1">
      <c r="A31"/>
      <c r="B31" s="82" t="s">
        <v>1</v>
      </c>
      <c r="C31" s="39" t="s">
        <v>156</v>
      </c>
      <c r="D31" s="39">
        <v>43831</v>
      </c>
      <c r="E31" s="83">
        <v>0.48</v>
      </c>
      <c r="F31" s="83">
        <v>0.44</v>
      </c>
      <c r="G31" s="83">
        <v>0.08</v>
      </c>
      <c r="H31" s="83">
        <v>3.5000000000000003E-2</v>
      </c>
      <c r="I31" s="83">
        <v>4.4999999999999998E-2</v>
      </c>
      <c r="J31" s="83">
        <v>5.0000000000000001E-3</v>
      </c>
      <c r="K31" s="83">
        <v>0.15</v>
      </c>
      <c r="L31" s="76" t="s">
        <v>30</v>
      </c>
      <c r="M31" s="170">
        <v>0.33</v>
      </c>
      <c r="N31" s="66">
        <v>57000</v>
      </c>
      <c r="O31" s="20" t="s">
        <v>88</v>
      </c>
      <c r="P31" s="20" t="s">
        <v>89</v>
      </c>
      <c r="Q31" s="20" t="s">
        <v>192</v>
      </c>
      <c r="R31" s="66">
        <v>15000</v>
      </c>
      <c r="S31" s="66">
        <v>15000</v>
      </c>
      <c r="T31" s="66">
        <v>15000</v>
      </c>
      <c r="U31" s="66">
        <v>15000</v>
      </c>
      <c r="V31" s="66">
        <v>15000</v>
      </c>
      <c r="W31" s="66">
        <v>15000</v>
      </c>
      <c r="X31" s="66">
        <v>15000</v>
      </c>
      <c r="Y31" s="20"/>
      <c r="Z31" s="20"/>
      <c r="AA31" s="20"/>
      <c r="AB31" s="20"/>
      <c r="AC31" s="20"/>
      <c r="AD31" s="20"/>
      <c r="AE31" s="20"/>
      <c r="AF31" s="20"/>
      <c r="AG31" s="20"/>
      <c r="AH31" s="79" t="s">
        <v>39</v>
      </c>
    </row>
    <row r="32" spans="1:34" s="135" customFormat="1">
      <c r="A32" s="118"/>
      <c r="B32" s="82" t="s">
        <v>1</v>
      </c>
      <c r="C32" s="39" t="s">
        <v>296</v>
      </c>
      <c r="D32" s="39">
        <v>43831</v>
      </c>
      <c r="E32" s="83">
        <v>0.55000000000000004</v>
      </c>
      <c r="F32" s="83">
        <v>0.49</v>
      </c>
      <c r="G32" s="83">
        <v>0.06</v>
      </c>
      <c r="H32" s="83">
        <v>5.5E-2</v>
      </c>
      <c r="I32" s="83">
        <v>4.9999999999999975E-3</v>
      </c>
      <c r="J32" s="84">
        <v>5.000000000000053E-3</v>
      </c>
      <c r="K32" s="83">
        <v>0.12</v>
      </c>
      <c r="L32" s="76" t="s">
        <v>30</v>
      </c>
      <c r="M32" s="170">
        <v>0</v>
      </c>
      <c r="N32" s="66">
        <v>180000</v>
      </c>
      <c r="O32" s="20" t="s">
        <v>89</v>
      </c>
      <c r="P32" s="20" t="s">
        <v>89</v>
      </c>
      <c r="Q32" s="20" t="s">
        <v>302</v>
      </c>
      <c r="R32" s="66">
        <v>30000</v>
      </c>
      <c r="S32" s="66">
        <v>30000</v>
      </c>
      <c r="T32" s="66">
        <v>30000</v>
      </c>
      <c r="U32" s="66">
        <v>30000</v>
      </c>
      <c r="V32" s="66">
        <v>30000</v>
      </c>
      <c r="W32" s="66">
        <v>30000</v>
      </c>
      <c r="X32" s="66">
        <v>30000</v>
      </c>
      <c r="Y32" s="20"/>
      <c r="Z32" s="20"/>
      <c r="AA32" s="20"/>
      <c r="AB32" s="20"/>
      <c r="AC32" s="20"/>
      <c r="AD32" s="20"/>
      <c r="AE32" s="20"/>
      <c r="AF32" s="20"/>
      <c r="AG32" s="20"/>
      <c r="AH32" s="79" t="s">
        <v>39</v>
      </c>
    </row>
    <row r="33" spans="1:34" s="135" customFormat="1">
      <c r="A33" s="118"/>
      <c r="B33" s="82" t="s">
        <v>1</v>
      </c>
      <c r="C33" s="39" t="s">
        <v>297</v>
      </c>
      <c r="D33" s="39">
        <v>43831</v>
      </c>
      <c r="E33" s="83">
        <v>0.52</v>
      </c>
      <c r="F33" s="83">
        <v>0.47499999999999998</v>
      </c>
      <c r="G33" s="83">
        <v>4.4999999999999998E-2</v>
      </c>
      <c r="H33" s="83">
        <v>4.1000000000000002E-2</v>
      </c>
      <c r="I33" s="83">
        <v>3.9999999999999966E-3</v>
      </c>
      <c r="J33" s="84">
        <v>4.0000000000000382E-3</v>
      </c>
      <c r="K33" s="83">
        <v>0.12</v>
      </c>
      <c r="L33" s="76" t="s">
        <v>30</v>
      </c>
      <c r="M33" s="170">
        <v>0</v>
      </c>
      <c r="N33" s="66">
        <v>180000</v>
      </c>
      <c r="O33" s="20" t="s">
        <v>89</v>
      </c>
      <c r="P33" s="20" t="s">
        <v>89</v>
      </c>
      <c r="Q33" s="20" t="s">
        <v>302</v>
      </c>
      <c r="R33" s="66">
        <v>30000</v>
      </c>
      <c r="S33" s="66">
        <v>30000</v>
      </c>
      <c r="T33" s="66">
        <v>30000</v>
      </c>
      <c r="U33" s="66">
        <v>30000</v>
      </c>
      <c r="V33" s="66">
        <v>30000</v>
      </c>
      <c r="W33" s="66">
        <v>30000</v>
      </c>
      <c r="X33" s="66">
        <v>30000</v>
      </c>
      <c r="Y33" s="20"/>
      <c r="Z33" s="20"/>
      <c r="AA33" s="20"/>
      <c r="AB33" s="20"/>
      <c r="AC33" s="20"/>
      <c r="AD33" s="20"/>
      <c r="AE33" s="20"/>
      <c r="AF33" s="20"/>
      <c r="AG33" s="20"/>
      <c r="AH33" s="79"/>
    </row>
    <row r="34" spans="1:34" s="135" customFormat="1">
      <c r="A34"/>
      <c r="B34" s="82" t="s">
        <v>1</v>
      </c>
      <c r="C34" s="39" t="s">
        <v>296</v>
      </c>
      <c r="D34" s="39">
        <v>43831</v>
      </c>
      <c r="E34" s="83">
        <v>0.55000000000000004</v>
      </c>
      <c r="F34" s="83">
        <v>0.49</v>
      </c>
      <c r="G34" s="83">
        <v>0.06</v>
      </c>
      <c r="H34" s="83">
        <v>5.5E-2</v>
      </c>
      <c r="I34" s="83">
        <v>4.9999999999999975E-3</v>
      </c>
      <c r="J34" s="84">
        <v>5.000000000000053E-3</v>
      </c>
      <c r="K34" s="83">
        <v>0.12</v>
      </c>
      <c r="L34" s="76" t="s">
        <v>30</v>
      </c>
      <c r="M34" s="170">
        <v>0</v>
      </c>
      <c r="N34" s="66">
        <v>57000</v>
      </c>
      <c r="O34" s="20" t="s">
        <v>89</v>
      </c>
      <c r="P34" s="20" t="s">
        <v>89</v>
      </c>
      <c r="Q34" s="20" t="s">
        <v>298</v>
      </c>
      <c r="R34" s="66">
        <v>30000</v>
      </c>
      <c r="S34" s="66">
        <v>30000</v>
      </c>
      <c r="T34" s="66">
        <v>30000</v>
      </c>
      <c r="U34" s="66">
        <v>30000</v>
      </c>
      <c r="V34" s="66">
        <v>30000</v>
      </c>
      <c r="W34" s="66">
        <v>30000</v>
      </c>
      <c r="X34" s="66">
        <v>30000</v>
      </c>
      <c r="Y34" s="20"/>
      <c r="Z34" s="20"/>
      <c r="AA34" s="20"/>
      <c r="AB34" s="20"/>
      <c r="AC34" s="20"/>
      <c r="AD34" s="20"/>
      <c r="AE34" s="20"/>
      <c r="AF34" s="20"/>
      <c r="AG34" s="20"/>
      <c r="AH34" s="79" t="s">
        <v>39</v>
      </c>
    </row>
    <row r="35" spans="1:34" s="135" customFormat="1">
      <c r="A35"/>
      <c r="B35" s="82" t="s">
        <v>1</v>
      </c>
      <c r="C35" s="39" t="s">
        <v>297</v>
      </c>
      <c r="D35" s="39">
        <v>43831</v>
      </c>
      <c r="E35" s="83">
        <v>0.52</v>
      </c>
      <c r="F35" s="83">
        <v>0.47499999999999998</v>
      </c>
      <c r="G35" s="83">
        <v>4.4999999999999998E-2</v>
      </c>
      <c r="H35" s="83">
        <v>4.1000000000000002E-2</v>
      </c>
      <c r="I35" s="83">
        <v>3.9999999999999966E-3</v>
      </c>
      <c r="J35" s="84">
        <v>4.0000000000000382E-3</v>
      </c>
      <c r="K35" s="83">
        <v>0.12</v>
      </c>
      <c r="L35" s="76" t="s">
        <v>30</v>
      </c>
      <c r="M35" s="170">
        <v>0</v>
      </c>
      <c r="N35" s="66">
        <v>57000</v>
      </c>
      <c r="O35" s="20" t="s">
        <v>89</v>
      </c>
      <c r="P35" s="20" t="s">
        <v>89</v>
      </c>
      <c r="Q35" s="20" t="s">
        <v>299</v>
      </c>
      <c r="R35" s="66">
        <v>30000</v>
      </c>
      <c r="S35" s="66">
        <v>30000</v>
      </c>
      <c r="T35" s="66">
        <v>30000</v>
      </c>
      <c r="U35" s="66">
        <v>30000</v>
      </c>
      <c r="V35" s="66">
        <v>30000</v>
      </c>
      <c r="W35" s="66">
        <v>30000</v>
      </c>
      <c r="X35" s="66">
        <v>30000</v>
      </c>
      <c r="Y35" s="20"/>
      <c r="Z35" s="20"/>
      <c r="AA35" s="20"/>
      <c r="AB35" s="20"/>
      <c r="AC35" s="20"/>
      <c r="AD35" s="20"/>
      <c r="AE35" s="20"/>
      <c r="AF35" s="20"/>
      <c r="AG35" s="20"/>
      <c r="AH35" s="79" t="s">
        <v>39</v>
      </c>
    </row>
    <row r="36" spans="1:34" s="135" customFormat="1">
      <c r="A36"/>
      <c r="B36" s="82" t="s">
        <v>1</v>
      </c>
      <c r="C36" s="39" t="s">
        <v>432</v>
      </c>
      <c r="D36" s="39">
        <v>43831</v>
      </c>
      <c r="E36" s="83">
        <v>0.495</v>
      </c>
      <c r="F36" s="83">
        <v>0.42499999999999999</v>
      </c>
      <c r="G36" s="83">
        <v>0.05</v>
      </c>
      <c r="H36" s="83">
        <v>4.2000000000000003E-2</v>
      </c>
      <c r="I36" s="83">
        <v>8.0000000000000002E-3</v>
      </c>
      <c r="J36" s="84">
        <v>2.8000000000000004E-2</v>
      </c>
      <c r="K36" s="83">
        <v>9.5000000000000001E-2</v>
      </c>
      <c r="L36" s="76" t="s">
        <v>30</v>
      </c>
      <c r="M36" s="170">
        <v>0.67</v>
      </c>
      <c r="N36" s="66">
        <v>95000</v>
      </c>
      <c r="O36" s="20" t="s">
        <v>89</v>
      </c>
      <c r="P36" s="20" t="s">
        <v>89</v>
      </c>
      <c r="Q36" s="20" t="s">
        <v>445</v>
      </c>
      <c r="R36" s="66">
        <v>80000</v>
      </c>
      <c r="S36" s="66">
        <v>80000</v>
      </c>
      <c r="T36" s="66">
        <v>80000</v>
      </c>
      <c r="U36" s="66">
        <v>80000</v>
      </c>
      <c r="V36" s="66">
        <v>80000</v>
      </c>
      <c r="W36" s="66">
        <v>40000</v>
      </c>
      <c r="X36" s="66">
        <v>40000</v>
      </c>
      <c r="Y36" s="20"/>
      <c r="Z36" s="20"/>
      <c r="AA36" s="20"/>
      <c r="AB36" s="20"/>
      <c r="AC36" s="20"/>
      <c r="AD36" s="20"/>
      <c r="AE36" s="20"/>
      <c r="AF36" s="20"/>
      <c r="AG36" s="20"/>
      <c r="AH36" s="79" t="s">
        <v>39</v>
      </c>
    </row>
    <row r="37" spans="1:34" s="135" customFormat="1">
      <c r="A37"/>
      <c r="B37" s="82" t="s">
        <v>1</v>
      </c>
      <c r="C37" s="39" t="s">
        <v>443</v>
      </c>
      <c r="D37" s="39">
        <v>43831</v>
      </c>
      <c r="E37" s="83">
        <v>0.48</v>
      </c>
      <c r="F37" s="83">
        <v>0.44</v>
      </c>
      <c r="G37" s="83">
        <v>0.08</v>
      </c>
      <c r="H37" s="83">
        <v>3.5000000000000003E-2</v>
      </c>
      <c r="I37" s="83">
        <v>4.4999999999999998E-2</v>
      </c>
      <c r="J37" s="83">
        <v>5.0000000000000001E-3</v>
      </c>
      <c r="K37" s="83">
        <v>0.15</v>
      </c>
      <c r="L37" s="76" t="s">
        <v>30</v>
      </c>
      <c r="M37" s="170">
        <v>0.33</v>
      </c>
      <c r="N37" s="66">
        <v>57000</v>
      </c>
      <c r="O37" s="20" t="s">
        <v>88</v>
      </c>
      <c r="P37" s="20" t="s">
        <v>89</v>
      </c>
      <c r="Q37" s="20" t="s">
        <v>450</v>
      </c>
      <c r="R37" s="66">
        <v>15000</v>
      </c>
      <c r="S37" s="66">
        <v>15000</v>
      </c>
      <c r="T37" s="66">
        <v>15000</v>
      </c>
      <c r="U37" s="66">
        <v>15000</v>
      </c>
      <c r="V37" s="66">
        <v>15000</v>
      </c>
      <c r="W37" s="66">
        <v>15000</v>
      </c>
      <c r="X37" s="66">
        <v>15000</v>
      </c>
      <c r="Y37" s="20"/>
      <c r="Z37" s="20"/>
      <c r="AA37" s="20"/>
      <c r="AB37" s="20"/>
      <c r="AC37" s="20"/>
      <c r="AD37" s="20"/>
      <c r="AE37" s="20"/>
      <c r="AF37" s="20"/>
      <c r="AG37" s="20"/>
      <c r="AH37" s="79"/>
    </row>
    <row r="38" spans="1:34" s="135" customFormat="1">
      <c r="A38"/>
      <c r="B38" s="82" t="s">
        <v>1</v>
      </c>
      <c r="C38" s="39" t="s">
        <v>444</v>
      </c>
      <c r="D38" s="39">
        <v>43831</v>
      </c>
      <c r="E38" s="83">
        <v>0.35</v>
      </c>
      <c r="F38" s="83">
        <v>0.33</v>
      </c>
      <c r="G38" s="83">
        <v>0.2</v>
      </c>
      <c r="H38" s="83">
        <v>1.0999999999999999E-2</v>
      </c>
      <c r="I38" s="83">
        <v>0.189</v>
      </c>
      <c r="J38" s="84">
        <v>8.9999999999999629E-3</v>
      </c>
      <c r="K38" s="83">
        <v>0.08</v>
      </c>
      <c r="L38" s="76" t="s">
        <v>30</v>
      </c>
      <c r="M38" s="170">
        <v>1</v>
      </c>
      <c r="N38" s="66">
        <v>47500</v>
      </c>
      <c r="O38" s="20" t="s">
        <v>89</v>
      </c>
      <c r="P38" s="20" t="s">
        <v>89</v>
      </c>
      <c r="Q38" s="20" t="s">
        <v>446</v>
      </c>
      <c r="R38" s="66">
        <v>30000</v>
      </c>
      <c r="S38" s="66">
        <v>30000</v>
      </c>
      <c r="T38" s="66">
        <v>30000</v>
      </c>
      <c r="U38" s="66">
        <v>30000</v>
      </c>
      <c r="V38" s="66">
        <v>30000</v>
      </c>
      <c r="W38" s="66">
        <v>30000</v>
      </c>
      <c r="X38" s="66">
        <v>30000</v>
      </c>
      <c r="Y38" s="20"/>
      <c r="Z38" s="20"/>
      <c r="AA38" s="20"/>
      <c r="AB38" s="20"/>
      <c r="AC38" s="20"/>
      <c r="AD38" s="20"/>
      <c r="AE38" s="20"/>
      <c r="AF38" s="20"/>
      <c r="AG38" s="20"/>
      <c r="AH38" s="79"/>
    </row>
    <row r="39" spans="1:34" s="135" customFormat="1">
      <c r="A39"/>
      <c r="B39" s="82" t="s">
        <v>1</v>
      </c>
      <c r="C39" s="39" t="s">
        <v>437</v>
      </c>
      <c r="D39" s="39">
        <v>43831</v>
      </c>
      <c r="E39" s="83">
        <v>0.56200000000000006</v>
      </c>
      <c r="F39" s="83">
        <v>0.45</v>
      </c>
      <c r="G39" s="83">
        <v>8.2000000000000003E-2</v>
      </c>
      <c r="H39" s="83">
        <v>0.05</v>
      </c>
      <c r="I39" s="83">
        <v>3.2000000000000001E-2</v>
      </c>
      <c r="J39" s="83">
        <v>6.2000000000000041E-2</v>
      </c>
      <c r="K39" s="83">
        <v>0.05</v>
      </c>
      <c r="L39" s="76" t="s">
        <v>77</v>
      </c>
      <c r="M39" s="170">
        <v>0</v>
      </c>
      <c r="N39" s="66">
        <v>84000</v>
      </c>
      <c r="O39" s="20" t="s">
        <v>90</v>
      </c>
      <c r="P39" s="20" t="s">
        <v>90</v>
      </c>
      <c r="Q39" s="20" t="s">
        <v>437</v>
      </c>
      <c r="R39" s="66">
        <v>30000</v>
      </c>
      <c r="S39" s="66">
        <v>30000</v>
      </c>
      <c r="T39" s="66">
        <v>30000</v>
      </c>
      <c r="U39" s="66">
        <v>30000</v>
      </c>
      <c r="V39" s="66">
        <v>30000</v>
      </c>
      <c r="W39" s="66">
        <v>30000</v>
      </c>
      <c r="X39" s="66">
        <v>30000</v>
      </c>
      <c r="Y39" s="20"/>
      <c r="Z39" s="20"/>
      <c r="AA39" s="20"/>
      <c r="AB39" s="20"/>
      <c r="AC39" s="20"/>
      <c r="AD39" s="20"/>
      <c r="AE39" s="20"/>
      <c r="AF39" s="20"/>
      <c r="AG39" s="20"/>
      <c r="AH39" s="79"/>
    </row>
    <row r="40" spans="1:34" s="135" customFormat="1">
      <c r="A40"/>
      <c r="B40" s="82" t="s">
        <v>1</v>
      </c>
      <c r="C40" s="39" t="s">
        <v>438</v>
      </c>
      <c r="D40" s="39">
        <v>43831</v>
      </c>
      <c r="E40" s="83">
        <v>0.51300000000000001</v>
      </c>
      <c r="F40" s="83">
        <v>0.40500000000000003</v>
      </c>
      <c r="G40" s="83">
        <v>9.5000000000000001E-2</v>
      </c>
      <c r="H40" s="83">
        <v>5.0999999999999997E-2</v>
      </c>
      <c r="I40" s="83">
        <v>4.4000000000000004E-2</v>
      </c>
      <c r="J40" s="84">
        <v>5.6999999999999988E-2</v>
      </c>
      <c r="K40" s="83">
        <v>0.1</v>
      </c>
      <c r="L40" s="76" t="s">
        <v>77</v>
      </c>
      <c r="M40" s="170">
        <v>0.67</v>
      </c>
      <c r="N40" s="66">
        <v>63500</v>
      </c>
      <c r="O40" s="20" t="s">
        <v>91</v>
      </c>
      <c r="P40" s="20" t="s">
        <v>90</v>
      </c>
      <c r="Q40" s="20" t="s">
        <v>447</v>
      </c>
      <c r="R40" s="66">
        <v>15000</v>
      </c>
      <c r="S40" s="66">
        <v>15000</v>
      </c>
      <c r="T40" s="66">
        <v>15000</v>
      </c>
      <c r="U40" s="66">
        <v>15000</v>
      </c>
      <c r="V40" s="66">
        <v>15000</v>
      </c>
      <c r="W40" s="66">
        <v>15000</v>
      </c>
      <c r="X40" s="66">
        <v>15000</v>
      </c>
      <c r="Y40" s="20"/>
      <c r="Z40" s="20"/>
      <c r="AA40" s="20"/>
      <c r="AB40" s="20"/>
      <c r="AC40" s="20"/>
      <c r="AD40" s="20"/>
      <c r="AE40" s="20"/>
      <c r="AF40" s="20"/>
      <c r="AG40" s="20"/>
      <c r="AH40" s="79"/>
    </row>
    <row r="41" spans="1:34" s="135" customFormat="1">
      <c r="A41"/>
      <c r="B41" s="82" t="s">
        <v>1</v>
      </c>
      <c r="C41" s="39" t="s">
        <v>439</v>
      </c>
      <c r="D41" s="39">
        <v>43831</v>
      </c>
      <c r="E41" s="83">
        <v>0.42</v>
      </c>
      <c r="F41" s="83">
        <v>0.371</v>
      </c>
      <c r="G41" s="83">
        <v>1.9E-2</v>
      </c>
      <c r="H41" s="83">
        <v>1.4E-2</v>
      </c>
      <c r="I41" s="83">
        <v>4.9999999999999992E-3</v>
      </c>
      <c r="J41" s="83">
        <v>3.5000000000000003E-2</v>
      </c>
      <c r="K41" s="83">
        <v>0.1</v>
      </c>
      <c r="L41" s="76" t="s">
        <v>30</v>
      </c>
      <c r="M41" s="170">
        <v>0.33</v>
      </c>
      <c r="N41" s="66">
        <v>180000</v>
      </c>
      <c r="O41" s="20" t="s">
        <v>92</v>
      </c>
      <c r="P41" s="20" t="s">
        <v>89</v>
      </c>
      <c r="Q41" s="20" t="s">
        <v>451</v>
      </c>
      <c r="R41" s="66">
        <v>30000</v>
      </c>
      <c r="S41" s="66">
        <v>30000</v>
      </c>
      <c r="T41" s="66">
        <v>30000</v>
      </c>
      <c r="U41" s="66">
        <v>30000</v>
      </c>
      <c r="V41" s="66">
        <v>30000</v>
      </c>
      <c r="W41" s="66">
        <v>30000</v>
      </c>
      <c r="X41" s="66">
        <v>30000</v>
      </c>
      <c r="Y41" s="20"/>
      <c r="Z41" s="20"/>
      <c r="AA41" s="20"/>
      <c r="AB41" s="20"/>
      <c r="AC41" s="20"/>
      <c r="AD41" s="20"/>
      <c r="AE41" s="20"/>
      <c r="AF41" s="20"/>
      <c r="AG41" s="20"/>
      <c r="AH41" s="79"/>
    </row>
    <row r="42" spans="1:34" s="135" customFormat="1">
      <c r="A42"/>
      <c r="B42" s="82" t="s">
        <v>1</v>
      </c>
      <c r="C42" s="39" t="s">
        <v>440</v>
      </c>
      <c r="D42" s="39">
        <v>43831</v>
      </c>
      <c r="E42" s="83">
        <v>0.48</v>
      </c>
      <c r="F42" s="83">
        <v>0.47</v>
      </c>
      <c r="G42" s="83">
        <v>1.0999999999999999E-2</v>
      </c>
      <c r="H42" s="83">
        <v>0.01</v>
      </c>
      <c r="I42" s="83">
        <v>9.9999999999999915E-4</v>
      </c>
      <c r="J42" s="84">
        <v>0</v>
      </c>
      <c r="K42" s="83">
        <v>0.15</v>
      </c>
      <c r="L42" s="76" t="s">
        <v>77</v>
      </c>
      <c r="M42" s="170">
        <v>2.5</v>
      </c>
      <c r="N42" s="66">
        <v>72000</v>
      </c>
      <c r="O42" s="20" t="s">
        <v>90</v>
      </c>
      <c r="P42" s="20" t="s">
        <v>90</v>
      </c>
      <c r="Q42" s="20" t="s">
        <v>448</v>
      </c>
      <c r="R42" s="66">
        <v>15000</v>
      </c>
      <c r="S42" s="66">
        <v>15000</v>
      </c>
      <c r="T42" s="66">
        <v>15000</v>
      </c>
      <c r="U42" s="66">
        <v>15000</v>
      </c>
      <c r="V42" s="66">
        <v>15000</v>
      </c>
      <c r="W42" s="66">
        <v>15000</v>
      </c>
      <c r="X42" s="66">
        <v>15000</v>
      </c>
      <c r="Y42" s="20"/>
      <c r="Z42" s="20"/>
      <c r="AA42" s="20"/>
      <c r="AB42" s="20"/>
      <c r="AC42" s="20"/>
      <c r="AD42" s="20"/>
      <c r="AE42" s="20"/>
      <c r="AF42" s="20"/>
      <c r="AG42" s="20"/>
      <c r="AH42" s="79"/>
    </row>
    <row r="43" spans="1:34" s="135" customFormat="1">
      <c r="A43"/>
      <c r="B43" s="82" t="s">
        <v>1</v>
      </c>
      <c r="C43" s="39" t="s">
        <v>441</v>
      </c>
      <c r="D43" s="39">
        <v>43831</v>
      </c>
      <c r="E43" s="83">
        <v>0.49</v>
      </c>
      <c r="F43" s="83">
        <v>0.43</v>
      </c>
      <c r="G43" s="83">
        <v>1.4999999999999999E-2</v>
      </c>
      <c r="H43" s="83">
        <v>0.01</v>
      </c>
      <c r="I43" s="83">
        <v>4.9999999999999992E-3</v>
      </c>
      <c r="J43" s="84">
        <v>4.9999999999999996E-2</v>
      </c>
      <c r="K43" s="83">
        <v>0.17</v>
      </c>
      <c r="L43" s="76" t="s">
        <v>77</v>
      </c>
      <c r="M43" s="170">
        <v>0.83000000000000007</v>
      </c>
      <c r="N43" s="66">
        <v>60000</v>
      </c>
      <c r="O43" s="20" t="s">
        <v>90</v>
      </c>
      <c r="P43" s="20" t="s">
        <v>90</v>
      </c>
      <c r="Q43" s="20" t="s">
        <v>449</v>
      </c>
      <c r="R43" s="66">
        <v>30000</v>
      </c>
      <c r="S43" s="66">
        <v>30000</v>
      </c>
      <c r="T43" s="66">
        <v>30000</v>
      </c>
      <c r="U43" s="66">
        <v>30000</v>
      </c>
      <c r="V43" s="66">
        <v>30000</v>
      </c>
      <c r="W43" s="66">
        <v>30000</v>
      </c>
      <c r="X43" s="66">
        <v>30000</v>
      </c>
      <c r="Y43" s="20"/>
      <c r="Z43" s="20"/>
      <c r="AA43" s="20"/>
      <c r="AB43" s="20"/>
      <c r="AC43" s="20"/>
      <c r="AD43" s="20"/>
      <c r="AE43" s="20"/>
      <c r="AF43" s="20"/>
      <c r="AG43" s="20"/>
      <c r="AH43" s="79"/>
    </row>
    <row r="44" spans="1:34" s="135" customFormat="1">
      <c r="A44"/>
      <c r="B44" s="82" t="s">
        <v>1</v>
      </c>
      <c r="C44" s="39" t="s">
        <v>456</v>
      </c>
      <c r="D44" s="39">
        <v>43831</v>
      </c>
      <c r="E44" s="83">
        <v>0.43</v>
      </c>
      <c r="F44" s="83">
        <v>0.38800000000000001</v>
      </c>
      <c r="G44" s="83">
        <v>4.2000000000000003E-2</v>
      </c>
      <c r="H44" s="83">
        <v>3.6999999999999998E-2</v>
      </c>
      <c r="I44" s="83">
        <v>5.0000000000000044E-3</v>
      </c>
      <c r="J44" s="84">
        <v>4.9999999999999836E-3</v>
      </c>
      <c r="K44" s="83">
        <v>0.17</v>
      </c>
      <c r="L44" s="76" t="s">
        <v>30</v>
      </c>
      <c r="M44" s="170">
        <v>1.17</v>
      </c>
      <c r="N44" s="66">
        <v>55000</v>
      </c>
      <c r="O44" s="20" t="s">
        <v>89</v>
      </c>
      <c r="P44" s="20" t="s">
        <v>89</v>
      </c>
      <c r="Q44" s="20" t="s">
        <v>458</v>
      </c>
      <c r="R44" s="66">
        <v>30000</v>
      </c>
      <c r="S44" s="66">
        <v>30000</v>
      </c>
      <c r="T44" s="66">
        <v>30000</v>
      </c>
      <c r="U44" s="66">
        <v>30000</v>
      </c>
      <c r="V44" s="66">
        <v>30000</v>
      </c>
      <c r="W44" s="66">
        <v>30000</v>
      </c>
      <c r="X44" s="66">
        <v>30000</v>
      </c>
      <c r="Y44" s="20"/>
      <c r="Z44" s="20"/>
      <c r="AA44" s="20"/>
      <c r="AB44" s="20"/>
      <c r="AC44" s="20"/>
      <c r="AD44" s="20"/>
      <c r="AE44" s="20"/>
      <c r="AF44" s="20"/>
      <c r="AG44" s="20"/>
      <c r="AH44" s="79"/>
    </row>
    <row r="45" spans="1:34" s="135" customFormat="1">
      <c r="A45"/>
      <c r="B45" s="82" t="s">
        <v>1</v>
      </c>
      <c r="C45" s="39" t="s">
        <v>455</v>
      </c>
      <c r="D45" s="39">
        <v>43831</v>
      </c>
      <c r="E45" s="83">
        <v>0.48</v>
      </c>
      <c r="F45" s="83">
        <v>0.40500000000000003</v>
      </c>
      <c r="G45" s="83">
        <v>7.0000000000000007E-2</v>
      </c>
      <c r="H45" s="83">
        <v>5.2499999999999998E-2</v>
      </c>
      <c r="I45" s="83">
        <v>1.7500000000000009E-2</v>
      </c>
      <c r="J45" s="84">
        <v>2.2499999999999958E-2</v>
      </c>
      <c r="K45" s="83">
        <v>7.0000000000000007E-2</v>
      </c>
      <c r="L45" s="76" t="s">
        <v>30</v>
      </c>
      <c r="M45" s="170">
        <v>0.83000000000000007</v>
      </c>
      <c r="N45" s="66">
        <v>60000</v>
      </c>
      <c r="O45" s="20" t="s">
        <v>89</v>
      </c>
      <c r="P45" s="20" t="s">
        <v>89</v>
      </c>
      <c r="Q45" s="20" t="s">
        <v>457</v>
      </c>
      <c r="R45" s="66">
        <v>30000</v>
      </c>
      <c r="S45" s="66">
        <v>30000</v>
      </c>
      <c r="T45" s="66">
        <v>30000</v>
      </c>
      <c r="U45" s="66">
        <v>30000</v>
      </c>
      <c r="V45" s="66">
        <v>30000</v>
      </c>
      <c r="W45" s="66">
        <v>30000</v>
      </c>
      <c r="X45" s="66">
        <v>30000</v>
      </c>
      <c r="Y45" s="20"/>
      <c r="Z45" s="20"/>
      <c r="AA45" s="20"/>
      <c r="AB45" s="20"/>
      <c r="AC45" s="20"/>
      <c r="AD45" s="20"/>
      <c r="AE45" s="20"/>
      <c r="AF45" s="20"/>
      <c r="AG45" s="20"/>
      <c r="AH45" s="79"/>
    </row>
    <row r="46" spans="1:34" s="135" customFormat="1">
      <c r="A46"/>
      <c r="B46" s="82" t="s">
        <v>1</v>
      </c>
      <c r="C46" s="39"/>
      <c r="D46" s="39"/>
      <c r="E46" s="83"/>
      <c r="F46" s="83"/>
      <c r="G46" s="83"/>
      <c r="H46" s="83"/>
      <c r="I46" s="83"/>
      <c r="J46" s="83"/>
      <c r="K46" s="83"/>
      <c r="L46" s="76"/>
      <c r="M46" s="170"/>
      <c r="N46" s="66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79"/>
    </row>
    <row r="47" spans="1:34" s="135" customFormat="1">
      <c r="A47"/>
      <c r="B47" s="82" t="s">
        <v>1</v>
      </c>
      <c r="C47" s="39"/>
      <c r="D47" s="39"/>
      <c r="E47" s="83"/>
      <c r="F47" s="83"/>
      <c r="G47" s="83"/>
      <c r="H47" s="83"/>
      <c r="I47" s="83"/>
      <c r="J47" s="83"/>
      <c r="K47" s="83"/>
      <c r="L47" s="76"/>
      <c r="M47" s="170"/>
      <c r="N47" s="66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79"/>
    </row>
    <row r="48" spans="1:34" s="135" customFormat="1">
      <c r="A48"/>
      <c r="B48" s="82" t="s">
        <v>1</v>
      </c>
      <c r="C48" s="39"/>
      <c r="D48" s="39"/>
      <c r="E48" s="83"/>
      <c r="F48" s="83"/>
      <c r="G48" s="83"/>
      <c r="H48" s="83"/>
      <c r="I48" s="83"/>
      <c r="J48" s="83"/>
      <c r="K48" s="83"/>
      <c r="L48" s="76"/>
      <c r="M48" s="170"/>
      <c r="N48" s="66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79"/>
    </row>
    <row r="49" spans="1:34">
      <c r="B49" s="82" t="s">
        <v>1</v>
      </c>
      <c r="C49" s="39"/>
      <c r="D49" s="39"/>
      <c r="E49" s="83"/>
      <c r="F49" s="83"/>
      <c r="G49" s="83"/>
      <c r="H49" s="83"/>
      <c r="I49" s="83"/>
      <c r="J49" s="83"/>
      <c r="K49" s="83"/>
      <c r="L49" s="76"/>
      <c r="M49" s="170"/>
      <c r="N49" s="66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79" t="s">
        <v>39</v>
      </c>
    </row>
    <row r="50" spans="1:34">
      <c r="B50" s="82" t="s">
        <v>1</v>
      </c>
      <c r="C50" s="39"/>
      <c r="D50" s="39"/>
      <c r="E50" s="83"/>
      <c r="F50" s="83"/>
      <c r="G50" s="83"/>
      <c r="H50" s="83"/>
      <c r="I50" s="83"/>
      <c r="J50" s="83"/>
      <c r="K50" s="83"/>
      <c r="L50" s="76"/>
      <c r="M50" s="170"/>
      <c r="N50" s="66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79" t="s">
        <v>39</v>
      </c>
    </row>
    <row r="51" spans="1:34">
      <c r="B51" s="80" t="s">
        <v>164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253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79" t="s">
        <v>39</v>
      </c>
    </row>
    <row r="52" spans="1:34">
      <c r="A52" s="78" t="s">
        <v>39</v>
      </c>
      <c r="B52" s="78" t="s">
        <v>39</v>
      </c>
      <c r="C52" s="78" t="s">
        <v>39</v>
      </c>
      <c r="D52" s="78" t="s">
        <v>39</v>
      </c>
      <c r="E52" s="78" t="s">
        <v>39</v>
      </c>
      <c r="F52" s="78" t="s">
        <v>39</v>
      </c>
      <c r="G52" s="78" t="s">
        <v>39</v>
      </c>
      <c r="H52" s="78" t="s">
        <v>39</v>
      </c>
      <c r="I52" s="78" t="s">
        <v>39</v>
      </c>
      <c r="J52" s="78" t="s">
        <v>39</v>
      </c>
      <c r="K52" s="78" t="s">
        <v>39</v>
      </c>
      <c r="L52" s="78" t="s">
        <v>39</v>
      </c>
      <c r="M52" s="78" t="s">
        <v>39</v>
      </c>
      <c r="N52" s="78" t="s">
        <v>39</v>
      </c>
      <c r="O52" s="78" t="s">
        <v>39</v>
      </c>
      <c r="P52" s="78" t="s">
        <v>39</v>
      </c>
      <c r="Q52" s="78" t="s">
        <v>39</v>
      </c>
      <c r="R52" s="78" t="s">
        <v>39</v>
      </c>
      <c r="S52" s="78" t="s">
        <v>39</v>
      </c>
      <c r="T52" s="78" t="s">
        <v>39</v>
      </c>
      <c r="U52" s="78" t="s">
        <v>39</v>
      </c>
      <c r="V52" s="78" t="s">
        <v>39</v>
      </c>
      <c r="W52" s="78" t="s">
        <v>39</v>
      </c>
      <c r="X52" s="78" t="s">
        <v>39</v>
      </c>
      <c r="Y52" s="78" t="s">
        <v>39</v>
      </c>
      <c r="Z52" s="78" t="s">
        <v>39</v>
      </c>
      <c r="AA52" s="78" t="s">
        <v>39</v>
      </c>
      <c r="AB52" s="78" t="s">
        <v>39</v>
      </c>
      <c r="AC52" s="78" t="s">
        <v>39</v>
      </c>
      <c r="AD52" s="78" t="s">
        <v>39</v>
      </c>
      <c r="AE52" s="78" t="s">
        <v>39</v>
      </c>
      <c r="AF52" s="78" t="s">
        <v>39</v>
      </c>
      <c r="AG52" s="78" t="s">
        <v>39</v>
      </c>
      <c r="AH52" s="79" t="s">
        <v>39</v>
      </c>
    </row>
  </sheetData>
  <mergeCells count="1">
    <mergeCell ref="D2:E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M30"/>
  <sheetViews>
    <sheetView zoomScale="90" zoomScaleNormal="90" zoomScalePageLayoutView="90" workbookViewId="0">
      <selection activeCell="B7" sqref="B7:L10"/>
    </sheetView>
  </sheetViews>
  <sheetFormatPr defaultColWidth="11" defaultRowHeight="12.75"/>
  <cols>
    <col min="1" max="1" width="11" style="43"/>
    <col min="2" max="2" width="12.375" style="43" bestFit="1" customWidth="1"/>
    <col min="3" max="4" width="12.375" style="43" customWidth="1"/>
    <col min="5" max="5" width="17.875" style="43" customWidth="1"/>
    <col min="6" max="6" width="18.125" style="43" customWidth="1"/>
    <col min="7" max="7" width="16.625" style="43" bestFit="1" customWidth="1"/>
    <col min="8" max="8" width="11.125" style="43" customWidth="1"/>
    <col min="9" max="9" width="9.375" style="43" bestFit="1" customWidth="1"/>
    <col min="10" max="10" width="10" style="43" bestFit="1" customWidth="1"/>
    <col min="11" max="11" width="15.625" style="43" customWidth="1"/>
    <col min="12" max="12" width="10.875" style="43" customWidth="1"/>
    <col min="13" max="16384" width="11" style="43"/>
  </cols>
  <sheetData>
    <row r="1" spans="2:13">
      <c r="M1" s="301" t="s">
        <v>39</v>
      </c>
    </row>
    <row r="2" spans="2:13">
      <c r="M2" s="301" t="s">
        <v>39</v>
      </c>
    </row>
    <row r="3" spans="2:13">
      <c r="M3" s="301" t="s">
        <v>39</v>
      </c>
    </row>
    <row r="4" spans="2:13">
      <c r="M4" s="301" t="s">
        <v>39</v>
      </c>
    </row>
    <row r="5" spans="2:13">
      <c r="M5" s="301" t="s">
        <v>39</v>
      </c>
    </row>
    <row r="6" spans="2:13">
      <c r="B6" s="47" t="s">
        <v>358</v>
      </c>
      <c r="C6" s="294"/>
      <c r="D6" s="294"/>
      <c r="E6" s="48"/>
      <c r="F6" s="48"/>
      <c r="G6" s="48"/>
      <c r="H6" s="48"/>
      <c r="I6" s="49"/>
      <c r="J6" s="49"/>
      <c r="K6" s="48"/>
      <c r="L6" s="48"/>
      <c r="M6" s="301" t="s">
        <v>39</v>
      </c>
    </row>
    <row r="7" spans="2:13" ht="38.25">
      <c r="B7" s="56" t="s">
        <v>46</v>
      </c>
      <c r="C7" s="56" t="s">
        <v>374</v>
      </c>
      <c r="D7" s="56" t="s">
        <v>379</v>
      </c>
      <c r="E7" s="56" t="s">
        <v>83</v>
      </c>
      <c r="F7" s="56" t="s">
        <v>84</v>
      </c>
      <c r="G7" s="56" t="s">
        <v>375</v>
      </c>
      <c r="H7" s="56" t="s">
        <v>85</v>
      </c>
      <c r="I7" s="56" t="s">
        <v>87</v>
      </c>
      <c r="J7" s="56" t="s">
        <v>75</v>
      </c>
      <c r="K7" s="56" t="s">
        <v>76</v>
      </c>
      <c r="L7" s="56" t="s">
        <v>359</v>
      </c>
      <c r="M7" s="301" t="s">
        <v>39</v>
      </c>
    </row>
    <row r="8" spans="2:13" ht="15.75">
      <c r="B8" s="44">
        <v>43831</v>
      </c>
      <c r="C8" s="295" t="s">
        <v>77</v>
      </c>
      <c r="D8" s="60">
        <v>1</v>
      </c>
      <c r="E8" s="57">
        <v>1.23</v>
      </c>
      <c r="F8" s="57">
        <v>0.6</v>
      </c>
      <c r="G8" s="57">
        <v>0.22</v>
      </c>
      <c r="H8" s="57">
        <v>13.5</v>
      </c>
      <c r="I8" s="60">
        <v>1</v>
      </c>
      <c r="J8" s="58">
        <v>0.9</v>
      </c>
      <c r="K8" s="57">
        <v>3.5000000000000003E-2</v>
      </c>
      <c r="L8" s="57"/>
      <c r="M8" s="301" t="s">
        <v>39</v>
      </c>
    </row>
    <row r="9" spans="2:13" ht="15.75">
      <c r="B9" s="44">
        <v>43831</v>
      </c>
      <c r="C9" s="296" t="s">
        <v>78</v>
      </c>
      <c r="D9" s="60">
        <v>1</v>
      </c>
      <c r="E9" s="57">
        <v>1</v>
      </c>
      <c r="F9" s="57">
        <v>0.9</v>
      </c>
      <c r="G9" s="57">
        <v>3.5999999999999997E-2</v>
      </c>
      <c r="H9" s="57">
        <v>13.5</v>
      </c>
      <c r="I9" s="60">
        <v>0.5</v>
      </c>
      <c r="J9" s="58">
        <v>0.9</v>
      </c>
      <c r="K9" s="57">
        <v>3.5000000000000003E-2</v>
      </c>
      <c r="L9" s="57"/>
      <c r="M9" s="301" t="s">
        <v>39</v>
      </c>
    </row>
    <row r="10" spans="2:13" ht="15.75">
      <c r="B10" s="44">
        <v>43831</v>
      </c>
      <c r="C10" s="296" t="s">
        <v>30</v>
      </c>
      <c r="D10" s="60">
        <v>0</v>
      </c>
      <c r="E10" s="57">
        <v>1</v>
      </c>
      <c r="F10" s="57">
        <v>0.9</v>
      </c>
      <c r="G10" s="57">
        <v>3.5999999999999997E-2</v>
      </c>
      <c r="H10" s="57">
        <v>12.15</v>
      </c>
      <c r="I10" s="60">
        <v>0</v>
      </c>
      <c r="J10" s="58">
        <v>0.9</v>
      </c>
      <c r="K10" s="57">
        <v>3.5000000000000003E-2</v>
      </c>
      <c r="L10" s="57"/>
      <c r="M10" s="301" t="s">
        <v>39</v>
      </c>
    </row>
    <row r="11" spans="2:13" ht="15.75">
      <c r="B11" s="44"/>
      <c r="C11" s="296"/>
      <c r="D11" s="296"/>
      <c r="E11" s="57"/>
      <c r="F11" s="57"/>
      <c r="G11" s="57"/>
      <c r="H11" s="57"/>
      <c r="I11" s="60"/>
      <c r="J11" s="58"/>
      <c r="K11" s="57"/>
      <c r="L11" s="57"/>
      <c r="M11" s="301" t="s">
        <v>39</v>
      </c>
    </row>
    <row r="12" spans="2:13" ht="15.75">
      <c r="B12" s="44"/>
      <c r="C12" s="296"/>
      <c r="D12" s="296"/>
      <c r="E12" s="33"/>
      <c r="F12" s="33"/>
      <c r="G12" s="33"/>
      <c r="H12" s="33"/>
      <c r="I12" s="60"/>
      <c r="J12" s="33"/>
      <c r="K12" s="33"/>
      <c r="L12" s="57"/>
      <c r="M12" s="301" t="s">
        <v>39</v>
      </c>
    </row>
    <row r="13" spans="2:13" ht="15.75">
      <c r="B13" s="44"/>
      <c r="C13" s="296"/>
      <c r="D13" s="296"/>
      <c r="E13" s="33"/>
      <c r="F13" s="33"/>
      <c r="G13" s="33"/>
      <c r="H13" s="33"/>
      <c r="I13" s="60"/>
      <c r="J13" s="33"/>
      <c r="K13" s="33"/>
      <c r="L13" s="57"/>
      <c r="M13" s="301" t="s">
        <v>39</v>
      </c>
    </row>
    <row r="14" spans="2:13" ht="15.75">
      <c r="B14" s="44"/>
      <c r="C14" s="296"/>
      <c r="D14" s="296"/>
      <c r="E14" s="33"/>
      <c r="F14" s="33"/>
      <c r="G14" s="33"/>
      <c r="H14" s="33"/>
      <c r="I14" s="60"/>
      <c r="J14" s="33"/>
      <c r="K14" s="33"/>
      <c r="L14" s="57"/>
      <c r="M14" s="301" t="s">
        <v>39</v>
      </c>
    </row>
    <row r="15" spans="2:13" ht="15.75">
      <c r="B15" s="44"/>
      <c r="C15" s="296"/>
      <c r="D15" s="296"/>
      <c r="E15" s="33"/>
      <c r="F15" s="33"/>
      <c r="G15" s="33"/>
      <c r="H15" s="33"/>
      <c r="I15" s="60"/>
      <c r="J15" s="33"/>
      <c r="K15" s="33"/>
      <c r="L15" s="57"/>
      <c r="M15" s="301" t="s">
        <v>39</v>
      </c>
    </row>
    <row r="16" spans="2:13" ht="15.75">
      <c r="B16" s="44"/>
      <c r="C16" s="296"/>
      <c r="D16" s="296"/>
      <c r="E16" s="33"/>
      <c r="F16" s="33"/>
      <c r="G16" s="33"/>
      <c r="H16" s="33"/>
      <c r="I16" s="60"/>
      <c r="J16" s="33"/>
      <c r="K16" s="33"/>
      <c r="L16" s="57"/>
      <c r="M16" s="301" t="s">
        <v>39</v>
      </c>
    </row>
    <row r="17" spans="1:13" ht="15.75">
      <c r="B17" s="44"/>
      <c r="C17" s="296"/>
      <c r="D17" s="296"/>
      <c r="E17" s="33"/>
      <c r="F17" s="33"/>
      <c r="G17" s="33"/>
      <c r="H17" s="33"/>
      <c r="I17" s="60"/>
      <c r="J17" s="33"/>
      <c r="K17" s="33"/>
      <c r="L17" s="57"/>
      <c r="M17" s="301" t="s">
        <v>39</v>
      </c>
    </row>
    <row r="18" spans="1:13" ht="15.75">
      <c r="B18" s="44"/>
      <c r="C18" s="296"/>
      <c r="D18" s="296"/>
      <c r="E18" s="33"/>
      <c r="F18" s="33"/>
      <c r="G18" s="33"/>
      <c r="H18" s="33"/>
      <c r="I18" s="60"/>
      <c r="J18" s="33"/>
      <c r="K18" s="33"/>
      <c r="L18" s="57"/>
      <c r="M18" s="301" t="s">
        <v>39</v>
      </c>
    </row>
    <row r="19" spans="1:13" ht="15.75">
      <c r="B19" s="44"/>
      <c r="C19" s="296"/>
      <c r="D19" s="296"/>
      <c r="E19" s="33"/>
      <c r="F19" s="33"/>
      <c r="G19" s="33"/>
      <c r="H19" s="33"/>
      <c r="I19" s="60"/>
      <c r="J19" s="33"/>
      <c r="K19" s="33"/>
      <c r="L19" s="57"/>
      <c r="M19" s="301" t="s">
        <v>39</v>
      </c>
    </row>
    <row r="20" spans="1:13" ht="15.75">
      <c r="B20" s="44"/>
      <c r="C20" s="296"/>
      <c r="D20" s="296"/>
      <c r="E20" s="33"/>
      <c r="F20" s="33"/>
      <c r="G20" s="33"/>
      <c r="H20" s="33"/>
      <c r="I20" s="60"/>
      <c r="J20" s="33"/>
      <c r="K20" s="33"/>
      <c r="L20" s="57"/>
      <c r="M20" s="301" t="s">
        <v>39</v>
      </c>
    </row>
    <row r="21" spans="1:13" ht="15.75">
      <c r="B21" s="44"/>
      <c r="C21" s="296"/>
      <c r="D21" s="296"/>
      <c r="E21" s="33"/>
      <c r="F21" s="33"/>
      <c r="G21" s="33"/>
      <c r="H21" s="33"/>
      <c r="I21" s="60"/>
      <c r="J21" s="33"/>
      <c r="K21" s="33"/>
      <c r="L21" s="57"/>
      <c r="M21" s="301" t="s">
        <v>39</v>
      </c>
    </row>
    <row r="22" spans="1:13" ht="15.75">
      <c r="B22" s="44"/>
      <c r="C22" s="296"/>
      <c r="D22" s="296"/>
      <c r="E22" s="33"/>
      <c r="F22" s="33"/>
      <c r="G22" s="33"/>
      <c r="H22" s="33"/>
      <c r="I22" s="60"/>
      <c r="J22" s="33"/>
      <c r="K22" s="33"/>
      <c r="L22" s="57"/>
      <c r="M22" s="301" t="s">
        <v>39</v>
      </c>
    </row>
    <row r="23" spans="1:13" ht="15.75">
      <c r="B23" s="44"/>
      <c r="C23" s="296"/>
      <c r="D23" s="296"/>
      <c r="E23" s="33"/>
      <c r="F23" s="33"/>
      <c r="G23" s="33"/>
      <c r="H23" s="33"/>
      <c r="I23" s="60"/>
      <c r="J23" s="33"/>
      <c r="K23" s="33"/>
      <c r="L23" s="57"/>
      <c r="M23" s="301" t="s">
        <v>39</v>
      </c>
    </row>
    <row r="24" spans="1:13" ht="15.75">
      <c r="B24" s="44"/>
      <c r="C24" s="296"/>
      <c r="D24" s="296"/>
      <c r="E24" s="33"/>
      <c r="F24" s="33"/>
      <c r="G24" s="33"/>
      <c r="H24" s="33"/>
      <c r="I24" s="60"/>
      <c r="J24" s="33"/>
      <c r="K24" s="33"/>
      <c r="L24" s="57"/>
      <c r="M24" s="301" t="s">
        <v>39</v>
      </c>
    </row>
    <row r="25" spans="1:13" ht="15.75">
      <c r="B25" s="44"/>
      <c r="C25" s="296"/>
      <c r="D25" s="296"/>
      <c r="E25" s="33"/>
      <c r="F25" s="33"/>
      <c r="G25" s="33"/>
      <c r="H25" s="33"/>
      <c r="I25" s="60"/>
      <c r="J25" s="33"/>
      <c r="K25" s="33"/>
      <c r="L25" s="57"/>
      <c r="M25" s="301" t="s">
        <v>39</v>
      </c>
    </row>
    <row r="26" spans="1:13" ht="15.75">
      <c r="B26" s="44"/>
      <c r="C26" s="296"/>
      <c r="D26" s="296"/>
      <c r="E26" s="33"/>
      <c r="F26" s="33"/>
      <c r="G26" s="33"/>
      <c r="H26" s="33"/>
      <c r="I26" s="60"/>
      <c r="J26" s="33"/>
      <c r="K26" s="33"/>
      <c r="L26" s="57"/>
      <c r="M26" s="301" t="s">
        <v>39</v>
      </c>
    </row>
    <row r="27" spans="1:13" ht="15.75">
      <c r="B27" s="44"/>
      <c r="C27" s="296"/>
      <c r="D27" s="296"/>
      <c r="E27" s="33"/>
      <c r="F27" s="33"/>
      <c r="G27" s="33"/>
      <c r="H27" s="33"/>
      <c r="I27" s="60"/>
      <c r="J27" s="33"/>
      <c r="K27" s="33"/>
      <c r="L27" s="57"/>
      <c r="M27" s="301" t="s">
        <v>39</v>
      </c>
    </row>
    <row r="28" spans="1:13" ht="15.75">
      <c r="B28" s="44"/>
      <c r="C28" s="296"/>
      <c r="D28" s="296"/>
      <c r="E28" s="33"/>
      <c r="F28" s="33"/>
      <c r="G28" s="33"/>
      <c r="H28" s="33"/>
      <c r="I28" s="60"/>
      <c r="J28" s="33"/>
      <c r="K28" s="33"/>
      <c r="L28" s="57"/>
      <c r="M28" s="301" t="s">
        <v>39</v>
      </c>
    </row>
    <row r="29" spans="1:13" ht="15.75">
      <c r="B29" s="44"/>
      <c r="C29" s="296"/>
      <c r="D29" s="296"/>
      <c r="E29" s="33"/>
      <c r="F29" s="33"/>
      <c r="G29" s="33"/>
      <c r="H29" s="33"/>
      <c r="I29" s="60"/>
      <c r="J29" s="33"/>
      <c r="K29" s="33"/>
      <c r="L29" s="57"/>
      <c r="M29" s="301" t="s">
        <v>39</v>
      </c>
    </row>
    <row r="30" spans="1:13">
      <c r="A30" s="301" t="s">
        <v>39</v>
      </c>
      <c r="B30" s="301" t="s">
        <v>39</v>
      </c>
      <c r="C30" s="301" t="s">
        <v>39</v>
      </c>
      <c r="D30" s="301"/>
      <c r="E30" s="301" t="s">
        <v>39</v>
      </c>
      <c r="F30" s="301" t="s">
        <v>39</v>
      </c>
      <c r="G30" s="301" t="s">
        <v>39</v>
      </c>
      <c r="H30" s="301" t="s">
        <v>39</v>
      </c>
      <c r="I30" s="301" t="s">
        <v>39</v>
      </c>
      <c r="J30" s="301" t="s">
        <v>39</v>
      </c>
      <c r="K30" s="301" t="s">
        <v>39</v>
      </c>
      <c r="L30" s="301" t="s">
        <v>39</v>
      </c>
      <c r="M30" s="301" t="s">
        <v>39</v>
      </c>
    </row>
  </sheetData>
  <dataConsolidate/>
  <phoneticPr fontId="7" type="noConversion"/>
  <pageMargins left="0.75000000000000011" right="0.75000000000000011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P1010"/>
  <sheetViews>
    <sheetView topLeftCell="B1" zoomScale="85" zoomScaleNormal="85" zoomScalePageLayoutView="90" workbookViewId="0">
      <pane ySplit="9" topLeftCell="A10" activePane="bottomLeft" state="frozen"/>
      <selection pane="bottomLeft" activeCell="H9" sqref="H9"/>
    </sheetView>
  </sheetViews>
  <sheetFormatPr defaultColWidth="11" defaultRowHeight="12.75"/>
  <cols>
    <col min="1" max="2" width="11" style="43"/>
    <col min="3" max="3" width="13.875" style="43" customWidth="1"/>
    <col min="4" max="4" width="12.5" style="43" bestFit="1" customWidth="1"/>
    <col min="5" max="5" width="16.875" style="43" bestFit="1" customWidth="1"/>
    <col min="6" max="6" width="11" style="43"/>
    <col min="7" max="7" width="14.375" style="43" customWidth="1"/>
    <col min="8" max="8" width="10.875" style="43" bestFit="1" customWidth="1"/>
    <col min="9" max="9" width="15.125" style="43" bestFit="1" customWidth="1"/>
    <col min="10" max="10" width="11" style="43"/>
    <col min="11" max="12" width="18.875" style="43" customWidth="1"/>
    <col min="13" max="13" width="11" style="43"/>
    <col min="14" max="14" width="13.375" style="43" customWidth="1"/>
    <col min="15" max="15" width="21.5" style="43" bestFit="1" customWidth="1"/>
    <col min="16" max="16384" width="11" style="43"/>
  </cols>
  <sheetData>
    <row r="1" spans="2:16">
      <c r="P1" s="43" t="s">
        <v>39</v>
      </c>
    </row>
    <row r="2" spans="2:16">
      <c r="P2" s="43" t="s">
        <v>39</v>
      </c>
    </row>
    <row r="3" spans="2:16">
      <c r="P3" s="43" t="s">
        <v>39</v>
      </c>
    </row>
    <row r="4" spans="2:16">
      <c r="C4" s="297" t="s">
        <v>51</v>
      </c>
      <c r="P4" s="43" t="s">
        <v>39</v>
      </c>
    </row>
    <row r="5" spans="2:16">
      <c r="P5" s="43" t="s">
        <v>39</v>
      </c>
    </row>
    <row r="6" spans="2:16">
      <c r="P6" s="43" t="s">
        <v>39</v>
      </c>
    </row>
    <row r="7" spans="2:16">
      <c r="P7" s="43" t="s">
        <v>39</v>
      </c>
    </row>
    <row r="8" spans="2:16">
      <c r="C8" s="47" t="s">
        <v>65</v>
      </c>
      <c r="D8" s="48"/>
      <c r="E8" s="49"/>
      <c r="G8" s="47" t="s">
        <v>66</v>
      </c>
      <c r="H8" s="48"/>
      <c r="I8" s="49"/>
      <c r="K8" s="47" t="s">
        <v>67</v>
      </c>
      <c r="L8" s="49"/>
      <c r="N8" s="47" t="s">
        <v>68</v>
      </c>
      <c r="O8" s="49"/>
      <c r="P8" s="43" t="s">
        <v>39</v>
      </c>
    </row>
    <row r="9" spans="2:16" ht="38.25">
      <c r="C9" s="50" t="s">
        <v>46</v>
      </c>
      <c r="D9" s="51" t="s">
        <v>60</v>
      </c>
      <c r="E9" s="51" t="s">
        <v>61</v>
      </c>
      <c r="G9" s="50" t="s">
        <v>46</v>
      </c>
      <c r="H9" s="51" t="s">
        <v>60</v>
      </c>
      <c r="I9" s="50" t="s">
        <v>62</v>
      </c>
      <c r="K9" s="50" t="s">
        <v>46</v>
      </c>
      <c r="L9" s="51" t="s">
        <v>63</v>
      </c>
      <c r="N9" s="50" t="s">
        <v>46</v>
      </c>
      <c r="O9" s="51" t="s">
        <v>64</v>
      </c>
      <c r="P9" s="43" t="s">
        <v>39</v>
      </c>
    </row>
    <row r="10" spans="2:16" ht="15.75">
      <c r="B10" s="43">
        <v>1</v>
      </c>
      <c r="C10" s="44">
        <v>40724</v>
      </c>
      <c r="D10" s="45">
        <v>632.47863247863256</v>
      </c>
      <c r="E10" s="45">
        <v>4000</v>
      </c>
      <c r="G10" s="44">
        <v>40724</v>
      </c>
      <c r="H10" s="45">
        <v>2386.1</v>
      </c>
      <c r="I10" s="46">
        <v>1</v>
      </c>
      <c r="K10" s="44">
        <v>40724</v>
      </c>
      <c r="L10" s="50">
        <v>300</v>
      </c>
      <c r="N10" s="44">
        <v>40724</v>
      </c>
      <c r="O10" s="50">
        <v>20</v>
      </c>
      <c r="P10" s="43" t="s">
        <v>39</v>
      </c>
    </row>
    <row r="11" spans="2:16" ht="15.75">
      <c r="B11" s="43">
        <v>2</v>
      </c>
      <c r="C11" s="44">
        <v>40755</v>
      </c>
      <c r="D11" s="45">
        <v>658.1196581196582</v>
      </c>
      <c r="E11" s="45">
        <v>4000</v>
      </c>
      <c r="G11" s="44">
        <v>40755</v>
      </c>
      <c r="H11" s="45">
        <v>2365.4</v>
      </c>
      <c r="I11" s="46">
        <v>1</v>
      </c>
      <c r="K11" s="44">
        <v>41090</v>
      </c>
      <c r="L11" s="50">
        <v>300</v>
      </c>
      <c r="N11" s="44">
        <v>41090</v>
      </c>
      <c r="O11" s="50">
        <v>20</v>
      </c>
      <c r="P11" s="43" t="s">
        <v>39</v>
      </c>
    </row>
    <row r="12" spans="2:16" ht="15.75">
      <c r="B12" s="43">
        <v>3</v>
      </c>
      <c r="C12" s="44">
        <v>40786</v>
      </c>
      <c r="D12" s="45">
        <v>658.1196581196582</v>
      </c>
      <c r="E12" s="45">
        <v>4000</v>
      </c>
      <c r="G12" s="44">
        <v>40786</v>
      </c>
      <c r="H12" s="45">
        <v>2257.8000000000002</v>
      </c>
      <c r="I12" s="46">
        <v>1</v>
      </c>
      <c r="K12" s="44">
        <v>41764</v>
      </c>
      <c r="L12" s="50">
        <v>340</v>
      </c>
      <c r="N12" s="44">
        <v>41764</v>
      </c>
      <c r="O12" s="54">
        <v>22</v>
      </c>
      <c r="P12" s="43" t="s">
        <v>39</v>
      </c>
    </row>
    <row r="13" spans="2:16" ht="15.75">
      <c r="B13" s="43">
        <v>4</v>
      </c>
      <c r="C13" s="44">
        <v>40816</v>
      </c>
      <c r="D13" s="45">
        <v>658.1196581196582</v>
      </c>
      <c r="E13" s="45">
        <v>4000</v>
      </c>
      <c r="G13" s="44">
        <v>40816</v>
      </c>
      <c r="H13" s="45">
        <v>2402.8000000000002</v>
      </c>
      <c r="I13" s="46">
        <v>1</v>
      </c>
      <c r="K13" s="44">
        <v>42049</v>
      </c>
      <c r="L13" s="50">
        <v>240</v>
      </c>
      <c r="N13" s="44">
        <v>43253</v>
      </c>
      <c r="O13" s="50">
        <v>30</v>
      </c>
      <c r="P13" s="43" t="s">
        <v>39</v>
      </c>
    </row>
    <row r="14" spans="2:16" ht="15.75">
      <c r="B14" s="43">
        <v>5</v>
      </c>
      <c r="C14" s="44">
        <v>40847</v>
      </c>
      <c r="D14" s="45">
        <v>658.1196581196582</v>
      </c>
      <c r="E14" s="45">
        <v>4000</v>
      </c>
      <c r="G14" s="44">
        <v>40847</v>
      </c>
      <c r="H14" s="45">
        <v>2498.5</v>
      </c>
      <c r="I14" s="46">
        <v>1</v>
      </c>
      <c r="K14" s="44">
        <v>42073</v>
      </c>
      <c r="L14" s="50">
        <v>240</v>
      </c>
      <c r="N14" s="44"/>
      <c r="O14" s="50"/>
      <c r="P14" s="43" t="s">
        <v>39</v>
      </c>
    </row>
    <row r="15" spans="2:16" ht="15.75">
      <c r="B15" s="43">
        <v>6</v>
      </c>
      <c r="C15" s="44">
        <v>40877</v>
      </c>
      <c r="D15" s="45">
        <v>658.1196581196582</v>
      </c>
      <c r="E15" s="52">
        <v>4000</v>
      </c>
      <c r="G15" s="44">
        <v>40877</v>
      </c>
      <c r="H15" s="45">
        <v>2636.1</v>
      </c>
      <c r="I15" s="46">
        <v>1</v>
      </c>
      <c r="K15" s="44">
        <v>42103</v>
      </c>
      <c r="L15" s="50">
        <v>240</v>
      </c>
      <c r="N15" s="44"/>
      <c r="O15" s="50"/>
      <c r="P15" s="43" t="s">
        <v>39</v>
      </c>
    </row>
    <row r="16" spans="2:16" ht="15.75">
      <c r="B16" s="43">
        <v>7</v>
      </c>
      <c r="C16" s="44">
        <v>40908</v>
      </c>
      <c r="D16" s="45">
        <v>658.1196581196582</v>
      </c>
      <c r="E16" s="52">
        <v>4000</v>
      </c>
      <c r="G16" s="44">
        <v>40908</v>
      </c>
      <c r="H16" s="45">
        <v>2700</v>
      </c>
      <c r="I16" s="46">
        <v>1</v>
      </c>
      <c r="K16" s="44">
        <v>42136</v>
      </c>
      <c r="L16" s="50">
        <v>240</v>
      </c>
      <c r="N16" s="44"/>
      <c r="O16" s="50"/>
      <c r="P16" s="43" t="s">
        <v>39</v>
      </c>
    </row>
    <row r="17" spans="2:16" ht="15.75">
      <c r="B17" s="43">
        <v>8</v>
      </c>
      <c r="C17" s="44">
        <v>40939</v>
      </c>
      <c r="D17" s="45">
        <v>692.30769230769238</v>
      </c>
      <c r="E17" s="52">
        <v>4000</v>
      </c>
      <c r="G17" s="44">
        <v>40939</v>
      </c>
      <c r="H17" s="45">
        <v>2640.5</v>
      </c>
      <c r="I17" s="46">
        <v>1</v>
      </c>
      <c r="K17" s="44">
        <v>42153</v>
      </c>
      <c r="L17" s="50">
        <v>240</v>
      </c>
      <c r="N17" s="44"/>
      <c r="O17" s="50"/>
      <c r="P17" s="43" t="s">
        <v>39</v>
      </c>
    </row>
    <row r="18" spans="2:16" ht="15.75">
      <c r="B18" s="43">
        <v>9</v>
      </c>
      <c r="C18" s="44">
        <v>40968</v>
      </c>
      <c r="D18" s="45">
        <v>685.79487179487182</v>
      </c>
      <c r="E18" s="52">
        <v>4000</v>
      </c>
      <c r="G18" s="44">
        <v>40968</v>
      </c>
      <c r="H18" s="45">
        <v>2494.6</v>
      </c>
      <c r="I18" s="46">
        <v>1</v>
      </c>
      <c r="K18" s="44">
        <v>42219</v>
      </c>
      <c r="L18" s="50">
        <v>240</v>
      </c>
      <c r="N18" s="44"/>
      <c r="O18" s="50"/>
      <c r="P18" s="43" t="s">
        <v>39</v>
      </c>
    </row>
    <row r="19" spans="2:16" ht="15.75">
      <c r="B19" s="43">
        <v>10</v>
      </c>
      <c r="C19" s="44">
        <v>40999</v>
      </c>
      <c r="D19" s="45">
        <v>683.76068376068383</v>
      </c>
      <c r="E19" s="52">
        <v>4000</v>
      </c>
      <c r="G19" s="44">
        <v>40999</v>
      </c>
      <c r="H19" s="45">
        <v>2256</v>
      </c>
      <c r="I19" s="46">
        <v>1</v>
      </c>
      <c r="K19" s="44">
        <v>42277</v>
      </c>
      <c r="L19" s="50">
        <v>241</v>
      </c>
      <c r="N19" s="44"/>
      <c r="O19" s="50"/>
      <c r="P19" s="43" t="s">
        <v>39</v>
      </c>
    </row>
    <row r="20" spans="2:16" ht="15.75">
      <c r="B20" s="43">
        <v>11</v>
      </c>
      <c r="C20" s="44">
        <v>41029</v>
      </c>
      <c r="D20" s="45">
        <v>683.76068376068383</v>
      </c>
      <c r="E20" s="52">
        <v>4000</v>
      </c>
      <c r="G20" s="44">
        <v>41029</v>
      </c>
      <c r="H20" s="45">
        <v>2593.9</v>
      </c>
      <c r="I20" s="46">
        <v>1</v>
      </c>
      <c r="K20" s="44">
        <v>42310</v>
      </c>
      <c r="L20" s="50">
        <v>240</v>
      </c>
      <c r="N20" s="44"/>
      <c r="O20" s="50"/>
      <c r="P20" s="43" t="s">
        <v>39</v>
      </c>
    </row>
    <row r="21" spans="2:16" ht="15.75">
      <c r="B21" s="43">
        <v>12</v>
      </c>
      <c r="C21" s="44">
        <v>41060</v>
      </c>
      <c r="D21" s="45">
        <v>786.73504273504284</v>
      </c>
      <c r="E21" s="52">
        <v>4000</v>
      </c>
      <c r="G21" s="44">
        <v>41060</v>
      </c>
      <c r="H21" s="45">
        <v>2698</v>
      </c>
      <c r="I21" s="46">
        <v>1</v>
      </c>
      <c r="K21" s="44">
        <v>42341</v>
      </c>
      <c r="L21" s="50">
        <v>240</v>
      </c>
      <c r="N21" s="44"/>
      <c r="O21" s="50"/>
      <c r="P21" s="43" t="s">
        <v>39</v>
      </c>
    </row>
    <row r="22" spans="2:16" ht="15.75">
      <c r="B22" s="43">
        <v>13</v>
      </c>
      <c r="C22" s="44">
        <v>41090</v>
      </c>
      <c r="D22" s="45">
        <v>676.0683760683761</v>
      </c>
      <c r="E22" s="52">
        <v>4000</v>
      </c>
      <c r="G22" s="44">
        <v>41090</v>
      </c>
      <c r="H22" s="45">
        <v>2729.1</v>
      </c>
      <c r="I22" s="46">
        <v>1</v>
      </c>
      <c r="K22" s="44">
        <v>42373</v>
      </c>
      <c r="L22" s="50">
        <v>240</v>
      </c>
      <c r="N22" s="44"/>
      <c r="O22" s="50"/>
      <c r="P22" s="43" t="s">
        <v>39</v>
      </c>
    </row>
    <row r="23" spans="2:16" ht="15.75">
      <c r="B23" s="43">
        <v>14</v>
      </c>
      <c r="C23" s="44">
        <v>41121</v>
      </c>
      <c r="D23" s="45">
        <v>658.1196581196582</v>
      </c>
      <c r="E23" s="52">
        <v>4000</v>
      </c>
      <c r="G23" s="44">
        <v>41121</v>
      </c>
      <c r="H23" s="45">
        <v>2812.8</v>
      </c>
      <c r="I23" s="46">
        <v>1</v>
      </c>
      <c r="K23" s="44">
        <v>42406</v>
      </c>
      <c r="L23" s="50">
        <v>240</v>
      </c>
      <c r="N23" s="44"/>
      <c r="O23" s="50"/>
      <c r="P23" s="43" t="s">
        <v>39</v>
      </c>
    </row>
    <row r="24" spans="2:16" ht="15.75">
      <c r="B24" s="43">
        <v>15</v>
      </c>
      <c r="C24" s="44">
        <v>41152</v>
      </c>
      <c r="D24" s="45">
        <v>610.55555555555566</v>
      </c>
      <c r="E24" s="52">
        <v>4000</v>
      </c>
      <c r="G24" s="44">
        <v>41152</v>
      </c>
      <c r="H24" s="45">
        <v>2828.6</v>
      </c>
      <c r="I24" s="46">
        <v>1</v>
      </c>
      <c r="K24" s="44">
        <v>42433</v>
      </c>
      <c r="L24" s="50">
        <v>240</v>
      </c>
      <c r="N24" s="44"/>
      <c r="O24" s="50"/>
      <c r="P24" s="43" t="s">
        <v>39</v>
      </c>
    </row>
    <row r="25" spans="2:16" ht="15.75">
      <c r="B25" s="43">
        <v>16</v>
      </c>
      <c r="C25" s="44">
        <v>41182</v>
      </c>
      <c r="D25" s="45">
        <v>384.61538461538464</v>
      </c>
      <c r="E25" s="52">
        <v>4000</v>
      </c>
      <c r="G25" s="44">
        <v>41182</v>
      </c>
      <c r="H25" s="45">
        <v>2800</v>
      </c>
      <c r="I25" s="46">
        <v>1</v>
      </c>
      <c r="K25" s="44">
        <v>42584</v>
      </c>
      <c r="L25" s="50">
        <v>240</v>
      </c>
      <c r="N25" s="44"/>
      <c r="O25" s="50"/>
      <c r="P25" s="43" t="s">
        <v>39</v>
      </c>
    </row>
    <row r="26" spans="2:16" ht="15.75">
      <c r="B26" s="43">
        <v>17</v>
      </c>
      <c r="C26" s="44">
        <v>41213</v>
      </c>
      <c r="D26" s="45">
        <v>384.61538461538464</v>
      </c>
      <c r="E26" s="52">
        <v>4000</v>
      </c>
      <c r="G26" s="44">
        <v>41213</v>
      </c>
      <c r="H26" s="45">
        <v>2600.6999999999998</v>
      </c>
      <c r="I26" s="46">
        <v>1</v>
      </c>
      <c r="K26" s="44">
        <v>42616</v>
      </c>
      <c r="L26" s="50">
        <v>240</v>
      </c>
      <c r="N26" s="44"/>
      <c r="O26" s="50"/>
      <c r="P26" s="43" t="s">
        <v>39</v>
      </c>
    </row>
    <row r="27" spans="2:16" ht="15.75">
      <c r="B27" s="43">
        <v>18</v>
      </c>
      <c r="C27" s="44">
        <v>41243</v>
      </c>
      <c r="D27" s="45">
        <v>384.61538461538464</v>
      </c>
      <c r="E27" s="52">
        <v>4000</v>
      </c>
      <c r="G27" s="44">
        <v>41243</v>
      </c>
      <c r="H27" s="45">
        <v>2286.6</v>
      </c>
      <c r="I27" s="46">
        <v>1</v>
      </c>
      <c r="K27" s="44">
        <v>42658</v>
      </c>
      <c r="L27" s="50">
        <v>240</v>
      </c>
      <c r="N27" s="44"/>
      <c r="O27" s="50"/>
      <c r="P27" s="43" t="s">
        <v>39</v>
      </c>
    </row>
    <row r="28" spans="2:16" ht="15.75">
      <c r="B28" s="43">
        <v>19</v>
      </c>
      <c r="C28" s="44">
        <v>41274</v>
      </c>
      <c r="D28" s="45">
        <v>384.61538461538464</v>
      </c>
      <c r="E28" s="52">
        <v>4000</v>
      </c>
      <c r="G28" s="44">
        <v>41274</v>
      </c>
      <c r="H28" s="45">
        <v>2226.5</v>
      </c>
      <c r="I28" s="46">
        <v>1</v>
      </c>
      <c r="K28" s="53">
        <v>42679</v>
      </c>
      <c r="L28" s="50">
        <v>240</v>
      </c>
      <c r="N28" s="44"/>
      <c r="O28" s="50"/>
      <c r="P28" s="43" t="s">
        <v>39</v>
      </c>
    </row>
    <row r="29" spans="2:16" ht="15.75">
      <c r="B29" s="43">
        <v>20</v>
      </c>
      <c r="C29" s="44">
        <v>41304</v>
      </c>
      <c r="D29" s="45">
        <v>405.982905982906</v>
      </c>
      <c r="E29" s="52">
        <v>4000</v>
      </c>
      <c r="G29" s="44">
        <v>41304</v>
      </c>
      <c r="H29" s="45">
        <v>2035.7</v>
      </c>
      <c r="I29" s="46">
        <v>1</v>
      </c>
      <c r="K29" s="44">
        <v>42700</v>
      </c>
      <c r="L29" s="50">
        <v>240</v>
      </c>
      <c r="N29" s="44"/>
      <c r="O29" s="50"/>
      <c r="P29" s="43" t="s">
        <v>39</v>
      </c>
    </row>
    <row r="30" spans="2:16" ht="15.75">
      <c r="B30" s="43">
        <v>21</v>
      </c>
      <c r="C30" s="44">
        <v>41333</v>
      </c>
      <c r="D30" s="45">
        <v>405.982905982906</v>
      </c>
      <c r="E30" s="52">
        <v>4000</v>
      </c>
      <c r="G30" s="44">
        <v>41333</v>
      </c>
      <c r="H30" s="45">
        <v>2016.3</v>
      </c>
      <c r="I30" s="46">
        <v>1</v>
      </c>
      <c r="K30" s="44">
        <v>42735</v>
      </c>
      <c r="L30" s="50">
        <v>240</v>
      </c>
      <c r="N30" s="44"/>
      <c r="O30" s="50"/>
      <c r="P30" s="43" t="s">
        <v>39</v>
      </c>
    </row>
    <row r="31" spans="2:16" ht="15.75">
      <c r="B31" s="43">
        <v>22</v>
      </c>
      <c r="C31" s="44">
        <v>41364</v>
      </c>
      <c r="D31" s="45">
        <v>405.982905982906</v>
      </c>
      <c r="E31" s="52">
        <v>4000</v>
      </c>
      <c r="G31" s="44">
        <v>41364</v>
      </c>
      <c r="H31" s="45">
        <v>1925.7</v>
      </c>
      <c r="I31" s="46">
        <v>1</v>
      </c>
      <c r="K31" s="44">
        <v>42770</v>
      </c>
      <c r="L31" s="50">
        <v>240</v>
      </c>
      <c r="N31" s="44"/>
      <c r="O31" s="50"/>
      <c r="P31" s="43" t="s">
        <v>39</v>
      </c>
    </row>
    <row r="32" spans="2:16" ht="15.75">
      <c r="B32" s="43">
        <v>23</v>
      </c>
      <c r="C32" s="44">
        <v>41394</v>
      </c>
      <c r="D32" s="45">
        <v>406</v>
      </c>
      <c r="E32" s="52">
        <v>4000</v>
      </c>
      <c r="G32" s="44">
        <v>41394</v>
      </c>
      <c r="H32" s="45">
        <v>1954</v>
      </c>
      <c r="I32" s="46">
        <v>1</v>
      </c>
      <c r="K32" s="44">
        <v>42798</v>
      </c>
      <c r="L32" s="50">
        <v>240</v>
      </c>
      <c r="N32" s="44"/>
      <c r="O32" s="50"/>
      <c r="P32" s="43" t="s">
        <v>39</v>
      </c>
    </row>
    <row r="33" spans="2:16" ht="15.75">
      <c r="B33" s="43">
        <v>24</v>
      </c>
      <c r="C33" s="44">
        <v>41425</v>
      </c>
      <c r="D33" s="45">
        <v>406</v>
      </c>
      <c r="E33" s="52">
        <v>4000</v>
      </c>
      <c r="G33" s="44">
        <v>41425</v>
      </c>
      <c r="H33" s="45">
        <v>1972</v>
      </c>
      <c r="I33" s="46">
        <v>1</v>
      </c>
      <c r="K33" s="44">
        <v>42833</v>
      </c>
      <c r="L33" s="50">
        <v>240</v>
      </c>
      <c r="N33" s="44"/>
      <c r="O33" s="50"/>
      <c r="P33" s="43" t="s">
        <v>39</v>
      </c>
    </row>
    <row r="34" spans="2:16" ht="15.75">
      <c r="B34" s="43">
        <v>25</v>
      </c>
      <c r="C34" s="44">
        <v>41455</v>
      </c>
      <c r="D34" s="45">
        <v>406</v>
      </c>
      <c r="E34" s="52">
        <v>4000</v>
      </c>
      <c r="G34" s="44">
        <v>41455</v>
      </c>
      <c r="H34" s="45">
        <v>1885</v>
      </c>
      <c r="I34" s="46">
        <v>1</v>
      </c>
      <c r="K34" s="44">
        <v>42854</v>
      </c>
      <c r="L34" s="50">
        <v>240</v>
      </c>
      <c r="N34" s="44"/>
      <c r="O34" s="50"/>
      <c r="P34" s="43" t="s">
        <v>39</v>
      </c>
    </row>
    <row r="35" spans="2:16" ht="15.75">
      <c r="B35" s="43">
        <v>26</v>
      </c>
      <c r="C35" s="44">
        <v>41486</v>
      </c>
      <c r="D35" s="45">
        <v>393.16239316239319</v>
      </c>
      <c r="E35" s="52">
        <v>4000</v>
      </c>
      <c r="G35" s="44">
        <v>41486</v>
      </c>
      <c r="H35" s="45">
        <v>1902.7</v>
      </c>
      <c r="I35" s="46">
        <v>1</v>
      </c>
      <c r="K35" s="44">
        <v>42882</v>
      </c>
      <c r="L35" s="50">
        <v>240</v>
      </c>
      <c r="N35" s="44"/>
      <c r="O35" s="50"/>
      <c r="P35" s="43" t="s">
        <v>39</v>
      </c>
    </row>
    <row r="36" spans="2:16" ht="15.75">
      <c r="B36" s="43">
        <v>27</v>
      </c>
      <c r="C36" s="44">
        <v>41517</v>
      </c>
      <c r="D36" s="45">
        <v>393.16239316239319</v>
      </c>
      <c r="E36" s="52">
        <v>4000</v>
      </c>
      <c r="G36" s="44">
        <v>41517</v>
      </c>
      <c r="H36" s="45">
        <v>1825.8</v>
      </c>
      <c r="I36" s="46">
        <v>1</v>
      </c>
      <c r="K36" s="44"/>
      <c r="L36" s="50"/>
      <c r="N36" s="44"/>
      <c r="O36" s="50"/>
      <c r="P36" s="43" t="s">
        <v>39</v>
      </c>
    </row>
    <row r="37" spans="2:16" ht="15.75">
      <c r="B37" s="43">
        <v>28</v>
      </c>
      <c r="C37" s="44">
        <v>41552</v>
      </c>
      <c r="D37" s="45">
        <v>393</v>
      </c>
      <c r="E37" s="52">
        <v>4000</v>
      </c>
      <c r="G37" s="44">
        <v>41552</v>
      </c>
      <c r="H37" s="45">
        <v>1753</v>
      </c>
      <c r="I37" s="46">
        <v>1</v>
      </c>
      <c r="K37" s="44"/>
      <c r="L37" s="50"/>
      <c r="N37" s="44"/>
      <c r="O37" s="50"/>
      <c r="P37" s="43" t="s">
        <v>39</v>
      </c>
    </row>
    <row r="38" spans="2:16" ht="15.75">
      <c r="B38" s="43">
        <v>29</v>
      </c>
      <c r="C38" s="44">
        <v>41587</v>
      </c>
      <c r="D38" s="45">
        <v>393</v>
      </c>
      <c r="E38" s="52">
        <v>4000</v>
      </c>
      <c r="G38" s="44">
        <v>41587</v>
      </c>
      <c r="H38" s="45">
        <v>1844</v>
      </c>
      <c r="I38" s="46">
        <v>1</v>
      </c>
      <c r="K38" s="44"/>
      <c r="L38" s="50"/>
      <c r="N38" s="44"/>
      <c r="O38" s="50"/>
      <c r="P38" s="43" t="s">
        <v>39</v>
      </c>
    </row>
    <row r="39" spans="2:16" ht="15.75">
      <c r="B39" s="43">
        <v>30</v>
      </c>
      <c r="C39" s="44">
        <v>41610</v>
      </c>
      <c r="D39" s="45">
        <v>393</v>
      </c>
      <c r="E39" s="52">
        <v>4000</v>
      </c>
      <c r="G39" s="44">
        <v>41610</v>
      </c>
      <c r="H39" s="45">
        <v>1950</v>
      </c>
      <c r="I39" s="46">
        <v>1</v>
      </c>
      <c r="K39" s="44"/>
      <c r="L39" s="50"/>
      <c r="N39" s="44"/>
      <c r="O39" s="50"/>
      <c r="P39" s="43" t="s">
        <v>39</v>
      </c>
    </row>
    <row r="40" spans="2:16" ht="15.75">
      <c r="B40" s="43">
        <v>31</v>
      </c>
      <c r="C40" s="44">
        <v>41678</v>
      </c>
      <c r="D40" s="45">
        <v>393</v>
      </c>
      <c r="E40" s="52">
        <v>4000</v>
      </c>
      <c r="G40" s="44">
        <v>41678</v>
      </c>
      <c r="H40" s="45">
        <v>2112.8000000000002</v>
      </c>
      <c r="I40" s="46">
        <v>1</v>
      </c>
      <c r="K40" s="44"/>
      <c r="L40" s="50"/>
      <c r="N40" s="44"/>
      <c r="O40" s="50"/>
      <c r="P40" s="43" t="s">
        <v>39</v>
      </c>
    </row>
    <row r="41" spans="2:16" ht="15.75">
      <c r="B41" s="43">
        <v>32</v>
      </c>
      <c r="C41" s="44">
        <v>41707</v>
      </c>
      <c r="D41" s="45">
        <v>460</v>
      </c>
      <c r="E41" s="52">
        <v>4000</v>
      </c>
      <c r="G41" s="44">
        <v>41707</v>
      </c>
      <c r="H41" s="45">
        <v>2112.8000000000002</v>
      </c>
      <c r="I41" s="46">
        <v>1</v>
      </c>
      <c r="K41" s="44"/>
      <c r="L41" s="50"/>
      <c r="N41" s="44"/>
      <c r="O41" s="50"/>
      <c r="P41" s="43" t="s">
        <v>39</v>
      </c>
    </row>
    <row r="42" spans="2:16" ht="15.75">
      <c r="B42" s="43">
        <v>33</v>
      </c>
      <c r="C42" s="44">
        <v>41726</v>
      </c>
      <c r="D42" s="45">
        <v>393</v>
      </c>
      <c r="E42" s="52">
        <v>4000</v>
      </c>
      <c r="G42" s="44">
        <v>41726</v>
      </c>
      <c r="H42" s="45">
        <v>1795.9</v>
      </c>
      <c r="I42" s="46">
        <v>1</v>
      </c>
      <c r="K42" s="44"/>
      <c r="L42" s="50"/>
      <c r="N42" s="44"/>
      <c r="O42" s="50"/>
      <c r="P42" s="43" t="s">
        <v>39</v>
      </c>
    </row>
    <row r="43" spans="2:16" ht="15.75">
      <c r="B43" s="43">
        <v>34</v>
      </c>
      <c r="C43" s="44">
        <v>41764</v>
      </c>
      <c r="D43" s="45">
        <v>376</v>
      </c>
      <c r="E43" s="52">
        <v>4000</v>
      </c>
      <c r="G43" s="44">
        <v>41764</v>
      </c>
      <c r="H43" s="45">
        <v>1769</v>
      </c>
      <c r="I43" s="46">
        <v>1</v>
      </c>
      <c r="K43" s="44"/>
      <c r="L43" s="50"/>
      <c r="N43" s="44"/>
      <c r="O43" s="50"/>
      <c r="P43" s="43" t="s">
        <v>39</v>
      </c>
    </row>
    <row r="44" spans="2:16" ht="15.75">
      <c r="B44" s="43">
        <v>35</v>
      </c>
      <c r="C44" s="44">
        <v>41841</v>
      </c>
      <c r="D44" s="45">
        <v>385</v>
      </c>
      <c r="E44" s="52">
        <v>4000</v>
      </c>
      <c r="G44" s="44">
        <v>41841</v>
      </c>
      <c r="H44" s="45">
        <v>1600</v>
      </c>
      <c r="I44" s="46">
        <v>1</v>
      </c>
      <c r="K44" s="44"/>
      <c r="L44" s="50"/>
      <c r="N44" s="44"/>
      <c r="O44" s="50"/>
      <c r="P44" s="43" t="s">
        <v>39</v>
      </c>
    </row>
    <row r="45" spans="2:16" ht="15.75">
      <c r="B45" s="43">
        <v>36</v>
      </c>
      <c r="C45" s="44">
        <v>41883</v>
      </c>
      <c r="D45" s="45">
        <v>355</v>
      </c>
      <c r="E45" s="52">
        <v>4000</v>
      </c>
      <c r="G45" s="44">
        <v>41883</v>
      </c>
      <c r="H45" s="45">
        <v>1595</v>
      </c>
      <c r="I45" s="46">
        <v>1</v>
      </c>
      <c r="K45" s="44"/>
      <c r="L45" s="50"/>
      <c r="N45" s="44"/>
      <c r="O45" s="50"/>
      <c r="P45" s="43" t="s">
        <v>39</v>
      </c>
    </row>
    <row r="46" spans="2:16" ht="15.75">
      <c r="B46" s="43">
        <v>37</v>
      </c>
      <c r="C46" s="44">
        <v>41909</v>
      </c>
      <c r="D46" s="45">
        <v>355</v>
      </c>
      <c r="E46" s="52">
        <v>4000</v>
      </c>
      <c r="G46" s="44">
        <v>41909</v>
      </c>
      <c r="H46" s="45">
        <v>1635</v>
      </c>
      <c r="I46" s="46">
        <v>1</v>
      </c>
      <c r="K46" s="44"/>
      <c r="L46" s="50"/>
      <c r="N46" s="44"/>
      <c r="O46" s="50"/>
      <c r="P46" s="43" t="s">
        <v>39</v>
      </c>
    </row>
    <row r="47" spans="2:16" ht="15.75">
      <c r="B47" s="43">
        <v>38</v>
      </c>
      <c r="C47" s="44">
        <v>41944</v>
      </c>
      <c r="D47" s="45">
        <v>355</v>
      </c>
      <c r="E47" s="52">
        <v>4000</v>
      </c>
      <c r="G47" s="44">
        <v>41944</v>
      </c>
      <c r="H47" s="45">
        <v>1756</v>
      </c>
      <c r="I47" s="46">
        <v>1</v>
      </c>
      <c r="K47" s="44"/>
      <c r="L47" s="50"/>
      <c r="N47" s="44"/>
      <c r="O47" s="50"/>
      <c r="P47" s="43" t="s">
        <v>39</v>
      </c>
    </row>
    <row r="48" spans="2:16" ht="15.75">
      <c r="B48" s="43">
        <v>39</v>
      </c>
      <c r="C48" s="44">
        <v>41980</v>
      </c>
      <c r="D48" s="45">
        <v>355</v>
      </c>
      <c r="E48" s="52">
        <v>4000</v>
      </c>
      <c r="G48" s="44">
        <v>41980</v>
      </c>
      <c r="H48" s="45">
        <v>1812</v>
      </c>
      <c r="I48" s="46">
        <v>1</v>
      </c>
      <c r="K48" s="44"/>
      <c r="L48" s="50"/>
      <c r="N48" s="44"/>
      <c r="O48" s="50"/>
      <c r="P48" s="43" t="s">
        <v>39</v>
      </c>
    </row>
    <row r="49" spans="2:16" ht="15.75">
      <c r="B49" s="43">
        <v>40</v>
      </c>
      <c r="C49" s="44">
        <v>42006</v>
      </c>
      <c r="D49" s="45">
        <v>359</v>
      </c>
      <c r="E49" s="52">
        <v>4000</v>
      </c>
      <c r="G49" s="44">
        <v>42006</v>
      </c>
      <c r="H49" s="45">
        <v>1700</v>
      </c>
      <c r="I49" s="46">
        <v>1</v>
      </c>
      <c r="K49" s="44"/>
      <c r="L49" s="50"/>
      <c r="N49" s="44"/>
      <c r="O49" s="50"/>
      <c r="P49" s="43" t="s">
        <v>39</v>
      </c>
    </row>
    <row r="50" spans="2:16" ht="15.75">
      <c r="B50" s="43">
        <v>41</v>
      </c>
      <c r="C50" s="44">
        <v>42049</v>
      </c>
      <c r="D50" s="45">
        <v>359</v>
      </c>
      <c r="E50" s="52">
        <v>4000</v>
      </c>
      <c r="G50" s="44">
        <v>42049</v>
      </c>
      <c r="H50" s="45">
        <v>1598</v>
      </c>
      <c r="I50" s="46">
        <v>1</v>
      </c>
      <c r="K50" s="44"/>
      <c r="L50" s="50"/>
      <c r="N50" s="44"/>
      <c r="O50" s="50"/>
      <c r="P50" s="43" t="s">
        <v>39</v>
      </c>
    </row>
    <row r="51" spans="2:16" ht="15.75">
      <c r="B51" s="43">
        <v>42</v>
      </c>
      <c r="C51" s="44">
        <v>42073</v>
      </c>
      <c r="D51" s="45">
        <v>359</v>
      </c>
      <c r="E51" s="52">
        <v>4000</v>
      </c>
      <c r="G51" s="44">
        <v>42073</v>
      </c>
      <c r="H51" s="45">
        <v>1575.9</v>
      </c>
      <c r="I51" s="46">
        <v>1</v>
      </c>
      <c r="K51" s="44"/>
      <c r="L51" s="50"/>
      <c r="N51" s="44"/>
      <c r="O51" s="50"/>
      <c r="P51" s="43" t="s">
        <v>39</v>
      </c>
    </row>
    <row r="52" spans="2:16" ht="15.75">
      <c r="B52" s="43">
        <v>43</v>
      </c>
      <c r="C52" s="44">
        <v>42103</v>
      </c>
      <c r="D52" s="45">
        <v>359</v>
      </c>
      <c r="E52" s="52">
        <v>4000</v>
      </c>
      <c r="G52" s="44">
        <v>42103</v>
      </c>
      <c r="H52" s="45">
        <v>1651</v>
      </c>
      <c r="I52" s="46">
        <v>1</v>
      </c>
      <c r="K52" s="44"/>
      <c r="L52" s="50"/>
      <c r="N52" s="44"/>
      <c r="O52" s="50"/>
      <c r="P52" s="43" t="s">
        <v>39</v>
      </c>
    </row>
    <row r="53" spans="2:16" ht="15.75">
      <c r="B53" s="43">
        <v>44</v>
      </c>
      <c r="C53" s="44">
        <v>42136</v>
      </c>
      <c r="D53" s="45">
        <v>322</v>
      </c>
      <c r="E53" s="52">
        <v>4000</v>
      </c>
      <c r="G53" s="44">
        <v>42136</v>
      </c>
      <c r="H53" s="45">
        <v>1738.375</v>
      </c>
      <c r="I53" s="46">
        <v>1</v>
      </c>
      <c r="K53" s="44"/>
      <c r="L53" s="50"/>
      <c r="N53" s="44"/>
      <c r="O53" s="50"/>
      <c r="P53" s="43" t="s">
        <v>39</v>
      </c>
    </row>
    <row r="54" spans="2:16" ht="15.75">
      <c r="B54" s="43">
        <v>45</v>
      </c>
      <c r="C54" s="44">
        <v>42153</v>
      </c>
      <c r="D54" s="45">
        <v>316</v>
      </c>
      <c r="E54" s="52">
        <v>4000</v>
      </c>
      <c r="G54" s="44">
        <v>42153</v>
      </c>
      <c r="H54" s="45">
        <v>1760</v>
      </c>
      <c r="I54" s="46">
        <v>1</v>
      </c>
      <c r="K54" s="44"/>
      <c r="L54" s="50"/>
      <c r="N54" s="44"/>
      <c r="O54" s="50"/>
      <c r="P54" s="43" t="s">
        <v>39</v>
      </c>
    </row>
    <row r="55" spans="2:16" ht="15.75">
      <c r="B55" s="43">
        <v>46</v>
      </c>
      <c r="C55" s="44">
        <v>42186</v>
      </c>
      <c r="D55" s="45">
        <v>316.23931623931628</v>
      </c>
      <c r="E55" s="52">
        <v>4000</v>
      </c>
      <c r="G55" s="44">
        <v>42186</v>
      </c>
      <c r="H55" s="45">
        <v>1858.4</v>
      </c>
      <c r="I55" s="46">
        <v>1</v>
      </c>
      <c r="K55" s="44"/>
      <c r="L55" s="50"/>
      <c r="N55" s="44"/>
      <c r="O55" s="50"/>
      <c r="P55" s="43" t="s">
        <v>39</v>
      </c>
    </row>
    <row r="56" spans="2:16" ht="15.75">
      <c r="B56" s="43">
        <v>47</v>
      </c>
      <c r="C56" s="44">
        <v>42219</v>
      </c>
      <c r="D56" s="45">
        <v>316.23931623931628</v>
      </c>
      <c r="E56" s="52">
        <v>4000</v>
      </c>
      <c r="G56" s="44">
        <v>42219</v>
      </c>
      <c r="H56" s="45">
        <v>1827</v>
      </c>
      <c r="I56" s="46">
        <v>1</v>
      </c>
      <c r="K56" s="44"/>
      <c r="L56" s="50"/>
      <c r="N56" s="44"/>
      <c r="O56" s="50"/>
      <c r="P56" s="43" t="s">
        <v>39</v>
      </c>
    </row>
    <row r="57" spans="2:16" ht="15.75">
      <c r="B57" s="43">
        <v>48</v>
      </c>
      <c r="C57" s="44">
        <v>42247</v>
      </c>
      <c r="D57" s="45">
        <v>316.23931623931628</v>
      </c>
      <c r="E57" s="52">
        <v>4000</v>
      </c>
      <c r="G57" s="44">
        <v>42247</v>
      </c>
      <c r="H57" s="45">
        <v>1837</v>
      </c>
      <c r="I57" s="46">
        <v>1</v>
      </c>
      <c r="K57" s="44"/>
      <c r="L57" s="50"/>
      <c r="N57" s="44"/>
      <c r="O57" s="50"/>
      <c r="P57" s="43" t="s">
        <v>39</v>
      </c>
    </row>
    <row r="58" spans="2:16" ht="15.75">
      <c r="B58" s="43">
        <v>49</v>
      </c>
      <c r="C58" s="44">
        <v>42277</v>
      </c>
      <c r="D58" s="45">
        <v>316</v>
      </c>
      <c r="E58" s="52">
        <v>4000</v>
      </c>
      <c r="G58" s="44">
        <v>42277</v>
      </c>
      <c r="H58" s="45">
        <v>2034</v>
      </c>
      <c r="I58" s="46">
        <v>1</v>
      </c>
      <c r="K58" s="44"/>
      <c r="L58" s="50"/>
      <c r="N58" s="44"/>
      <c r="O58" s="50"/>
      <c r="P58" s="43" t="s">
        <v>39</v>
      </c>
    </row>
    <row r="59" spans="2:16" ht="15.75">
      <c r="B59" s="43">
        <v>50</v>
      </c>
      <c r="C59" s="44">
        <v>42310</v>
      </c>
      <c r="D59" s="45">
        <v>314</v>
      </c>
      <c r="E59" s="52">
        <v>4000</v>
      </c>
      <c r="G59" s="44">
        <v>42310</v>
      </c>
      <c r="H59" s="45">
        <v>2027</v>
      </c>
      <c r="I59" s="46">
        <v>1</v>
      </c>
      <c r="K59" s="44"/>
      <c r="L59" s="50"/>
      <c r="N59" s="44"/>
      <c r="O59" s="50"/>
      <c r="P59" s="43" t="s">
        <v>39</v>
      </c>
    </row>
    <row r="60" spans="2:16" ht="15.75">
      <c r="B60" s="43">
        <v>51</v>
      </c>
      <c r="C60" s="44">
        <v>42341</v>
      </c>
      <c r="D60" s="45">
        <v>308</v>
      </c>
      <c r="E60" s="52">
        <v>4000</v>
      </c>
      <c r="G60" s="44">
        <v>42341</v>
      </c>
      <c r="H60" s="45">
        <v>1960</v>
      </c>
      <c r="I60" s="46">
        <v>1</v>
      </c>
      <c r="K60" s="44"/>
      <c r="L60" s="50"/>
      <c r="N60" s="44"/>
      <c r="O60" s="50"/>
      <c r="P60" s="43" t="s">
        <v>39</v>
      </c>
    </row>
    <row r="61" spans="2:16" ht="15.75">
      <c r="B61" s="43">
        <v>52</v>
      </c>
      <c r="C61" s="44">
        <v>42373</v>
      </c>
      <c r="D61" s="45">
        <v>308</v>
      </c>
      <c r="E61" s="52">
        <v>4000</v>
      </c>
      <c r="G61" s="44">
        <v>42373</v>
      </c>
      <c r="H61" s="45">
        <v>1805</v>
      </c>
      <c r="I61" s="46">
        <v>1</v>
      </c>
      <c r="K61" s="44"/>
      <c r="L61" s="50"/>
      <c r="N61" s="44"/>
      <c r="O61" s="50"/>
      <c r="P61" s="43" t="s">
        <v>39</v>
      </c>
    </row>
    <row r="62" spans="2:16" ht="15.75">
      <c r="B62" s="43">
        <v>53</v>
      </c>
      <c r="C62" s="44">
        <v>42406</v>
      </c>
      <c r="D62" s="45">
        <v>309</v>
      </c>
      <c r="E62" s="52">
        <v>4000</v>
      </c>
      <c r="G62" s="44">
        <v>42406</v>
      </c>
      <c r="H62" s="45">
        <v>1540</v>
      </c>
      <c r="I62" s="46">
        <v>1</v>
      </c>
      <c r="K62" s="44"/>
      <c r="L62" s="50"/>
      <c r="N62" s="44"/>
      <c r="O62" s="50"/>
      <c r="P62" s="43" t="s">
        <v>39</v>
      </c>
    </row>
    <row r="63" spans="2:16" ht="15.75">
      <c r="B63" s="43">
        <v>54</v>
      </c>
      <c r="C63" s="44">
        <v>42433</v>
      </c>
      <c r="D63" s="45">
        <v>316</v>
      </c>
      <c r="E63" s="52">
        <v>4000</v>
      </c>
      <c r="G63" s="44">
        <v>42433</v>
      </c>
      <c r="H63" s="45">
        <v>1588.3</v>
      </c>
      <c r="I63" s="46">
        <v>1</v>
      </c>
      <c r="K63" s="44"/>
      <c r="L63" s="50"/>
      <c r="N63" s="44"/>
      <c r="O63" s="50"/>
      <c r="P63" s="43" t="s">
        <v>39</v>
      </c>
    </row>
    <row r="64" spans="2:16" ht="15.75">
      <c r="B64" s="43">
        <v>55</v>
      </c>
      <c r="C64" s="44">
        <v>42466</v>
      </c>
      <c r="D64" s="45">
        <v>317</v>
      </c>
      <c r="E64" s="52">
        <v>4000</v>
      </c>
      <c r="G64" s="44">
        <v>42466</v>
      </c>
      <c r="H64" s="45">
        <v>1582</v>
      </c>
      <c r="I64" s="46">
        <v>1</v>
      </c>
      <c r="K64" s="44"/>
      <c r="L64" s="50"/>
      <c r="N64" s="44"/>
      <c r="O64" s="50"/>
      <c r="P64" s="43" t="s">
        <v>39</v>
      </c>
    </row>
    <row r="65" spans="2:16" ht="15.75">
      <c r="B65" s="43">
        <v>56</v>
      </c>
      <c r="C65" s="44">
        <v>42584</v>
      </c>
      <c r="D65" s="45">
        <v>333.33</v>
      </c>
      <c r="E65" s="52">
        <v>4000</v>
      </c>
      <c r="G65" s="44">
        <v>42584</v>
      </c>
      <c r="H65" s="45">
        <v>1785.7</v>
      </c>
      <c r="I65" s="46">
        <v>1</v>
      </c>
      <c r="K65" s="44"/>
      <c r="L65" s="50"/>
      <c r="N65" s="44"/>
      <c r="O65" s="50"/>
      <c r="P65" s="43" t="s">
        <v>39</v>
      </c>
    </row>
    <row r="66" spans="2:16" ht="15.75">
      <c r="B66" s="43">
        <v>57</v>
      </c>
      <c r="C66" s="44">
        <v>42616</v>
      </c>
      <c r="D66" s="45">
        <v>345.22222222222229</v>
      </c>
      <c r="E66" s="52">
        <v>4000</v>
      </c>
      <c r="G66" s="44">
        <v>42616</v>
      </c>
      <c r="H66" s="45">
        <v>1734</v>
      </c>
      <c r="I66" s="46">
        <v>1</v>
      </c>
      <c r="K66" s="44"/>
      <c r="L66" s="50"/>
      <c r="N66" s="44"/>
      <c r="O66" s="50"/>
      <c r="P66" s="43" t="s">
        <v>39</v>
      </c>
    </row>
    <row r="67" spans="2:16" ht="15.75">
      <c r="B67" s="43">
        <v>58</v>
      </c>
      <c r="C67" s="44">
        <v>42658</v>
      </c>
      <c r="D67" s="45">
        <v>370.77777777777783</v>
      </c>
      <c r="E67" s="52">
        <v>4000</v>
      </c>
      <c r="G67" s="44">
        <v>42658</v>
      </c>
      <c r="H67" s="45">
        <v>2002.1</v>
      </c>
      <c r="I67" s="46">
        <v>1</v>
      </c>
      <c r="K67" s="44"/>
      <c r="L67" s="50"/>
      <c r="N67" s="44"/>
      <c r="O67" s="50"/>
      <c r="P67" s="43" t="s">
        <v>39</v>
      </c>
    </row>
    <row r="68" spans="2:16" ht="15.75">
      <c r="B68" s="43">
        <v>59</v>
      </c>
      <c r="C68" s="44">
        <v>42679</v>
      </c>
      <c r="D68" s="45">
        <v>410.73504273504278</v>
      </c>
      <c r="E68" s="52">
        <v>4000</v>
      </c>
      <c r="G68" s="44">
        <v>42679</v>
      </c>
      <c r="H68" s="45">
        <v>2548.5</v>
      </c>
      <c r="I68" s="46">
        <v>1</v>
      </c>
      <c r="K68" s="44"/>
      <c r="L68" s="50"/>
      <c r="N68" s="44"/>
      <c r="O68" s="50"/>
      <c r="P68" s="43" t="s">
        <v>39</v>
      </c>
    </row>
    <row r="69" spans="2:16" ht="15.75">
      <c r="B69" s="43">
        <v>60</v>
      </c>
      <c r="C69" s="44">
        <v>42700</v>
      </c>
      <c r="D69" s="45">
        <v>421.91452991452991</v>
      </c>
      <c r="E69" s="52">
        <v>4000</v>
      </c>
      <c r="G69" s="44">
        <v>42700</v>
      </c>
      <c r="H69" s="45">
        <v>2864</v>
      </c>
      <c r="I69" s="46">
        <v>1</v>
      </c>
      <c r="K69" s="44"/>
      <c r="L69" s="50"/>
      <c r="N69" s="44"/>
      <c r="O69" s="50"/>
      <c r="P69" s="43" t="s">
        <v>39</v>
      </c>
    </row>
    <row r="70" spans="2:16" ht="15.75">
      <c r="B70" s="43">
        <v>61</v>
      </c>
      <c r="C70" s="44">
        <v>42735</v>
      </c>
      <c r="D70" s="45">
        <v>410.25641025641028</v>
      </c>
      <c r="E70" s="52">
        <v>4000</v>
      </c>
      <c r="G70" s="44">
        <v>42735</v>
      </c>
      <c r="H70" s="45">
        <v>2880.859375</v>
      </c>
      <c r="I70" s="46">
        <v>1</v>
      </c>
      <c r="K70" s="44"/>
      <c r="L70" s="50"/>
      <c r="N70" s="44"/>
      <c r="O70" s="50"/>
      <c r="P70" s="43" t="s">
        <v>39</v>
      </c>
    </row>
    <row r="71" spans="2:16" ht="15.75">
      <c r="B71" s="43">
        <v>62</v>
      </c>
      <c r="C71" s="44">
        <v>42770</v>
      </c>
      <c r="D71" s="45">
        <v>410.25641025641028</v>
      </c>
      <c r="E71" s="52">
        <v>4000</v>
      </c>
      <c r="G71" s="44">
        <v>42770</v>
      </c>
      <c r="H71" s="45">
        <v>2825.8928571428573</v>
      </c>
      <c r="I71" s="46">
        <v>1</v>
      </c>
      <c r="K71" s="44"/>
      <c r="L71" s="50"/>
      <c r="N71" s="44"/>
      <c r="O71" s="50"/>
      <c r="P71" s="43" t="s">
        <v>39</v>
      </c>
    </row>
    <row r="72" spans="2:16" ht="15.75">
      <c r="B72" s="43">
        <v>63</v>
      </c>
      <c r="C72" s="44">
        <v>42798</v>
      </c>
      <c r="D72" s="45">
        <v>410.25641025641028</v>
      </c>
      <c r="E72" s="52">
        <v>4000</v>
      </c>
      <c r="G72" s="44">
        <v>42798</v>
      </c>
      <c r="H72" s="45">
        <v>2818</v>
      </c>
      <c r="I72" s="46">
        <v>1</v>
      </c>
      <c r="K72" s="44"/>
      <c r="L72" s="50"/>
      <c r="N72" s="44"/>
      <c r="O72" s="50"/>
      <c r="P72" s="43" t="s">
        <v>39</v>
      </c>
    </row>
    <row r="73" spans="2:16" ht="15.75">
      <c r="B73" s="43">
        <v>64</v>
      </c>
      <c r="C73" s="44">
        <v>42833</v>
      </c>
      <c r="D73" s="45">
        <v>410.25641025641028</v>
      </c>
      <c r="E73" s="52">
        <v>4000</v>
      </c>
      <c r="G73" s="44">
        <v>42833</v>
      </c>
      <c r="H73" s="45">
        <v>2939.0625</v>
      </c>
      <c r="I73" s="46">
        <v>1</v>
      </c>
      <c r="K73" s="44"/>
      <c r="L73" s="50"/>
      <c r="N73" s="44"/>
      <c r="O73" s="50"/>
      <c r="P73" s="43" t="s">
        <v>39</v>
      </c>
    </row>
    <row r="74" spans="2:16" ht="15.75">
      <c r="B74" s="43">
        <v>65</v>
      </c>
      <c r="C74" s="44">
        <v>42854</v>
      </c>
      <c r="D74" s="45">
        <v>435</v>
      </c>
      <c r="E74" s="52">
        <v>4000</v>
      </c>
      <c r="G74" s="44">
        <v>42854</v>
      </c>
      <c r="H74" s="45">
        <v>2961</v>
      </c>
      <c r="I74" s="46">
        <v>1</v>
      </c>
      <c r="K74" s="44"/>
      <c r="L74" s="50"/>
      <c r="N74" s="44"/>
      <c r="O74" s="50"/>
      <c r="P74" s="43" t="s">
        <v>39</v>
      </c>
    </row>
    <row r="75" spans="2:16" ht="15.75">
      <c r="B75" s="43">
        <v>66</v>
      </c>
      <c r="C75" s="44">
        <v>42882</v>
      </c>
      <c r="D75" s="45">
        <v>435.89743589743591</v>
      </c>
      <c r="E75" s="52">
        <v>4000</v>
      </c>
      <c r="G75" s="44">
        <v>42882</v>
      </c>
      <c r="H75" s="45">
        <v>2961</v>
      </c>
      <c r="I75" s="46">
        <v>1</v>
      </c>
      <c r="K75" s="44"/>
      <c r="L75" s="50"/>
      <c r="N75" s="44"/>
      <c r="O75" s="50"/>
      <c r="P75" s="43" t="s">
        <v>39</v>
      </c>
    </row>
    <row r="76" spans="2:16" ht="15.75">
      <c r="B76" s="43">
        <v>67</v>
      </c>
      <c r="C76" s="44">
        <v>42924</v>
      </c>
      <c r="D76" s="45">
        <v>435.89743589743591</v>
      </c>
      <c r="E76" s="52">
        <v>4000</v>
      </c>
      <c r="G76" s="44">
        <v>42924</v>
      </c>
      <c r="H76" s="45">
        <v>3109</v>
      </c>
      <c r="I76" s="46">
        <v>1</v>
      </c>
      <c r="K76" s="44"/>
      <c r="L76" s="50"/>
      <c r="N76" s="44"/>
      <c r="O76" s="50"/>
      <c r="P76" s="43" t="s">
        <v>39</v>
      </c>
    </row>
    <row r="77" spans="2:16" ht="15.75">
      <c r="B77" s="43">
        <v>68</v>
      </c>
      <c r="C77" s="44">
        <v>42952</v>
      </c>
      <c r="D77" s="45">
        <v>435.89743589743603</v>
      </c>
      <c r="E77" s="52">
        <v>4000</v>
      </c>
      <c r="G77" s="44">
        <v>42952</v>
      </c>
      <c r="H77" s="45">
        <v>3175</v>
      </c>
      <c r="I77" s="46">
        <v>1</v>
      </c>
      <c r="K77" s="44"/>
      <c r="L77" s="50"/>
      <c r="N77" s="44"/>
      <c r="O77" s="50"/>
      <c r="P77" s="43" t="s">
        <v>39</v>
      </c>
    </row>
    <row r="78" spans="2:16" ht="15.75">
      <c r="B78" s="43">
        <v>69</v>
      </c>
      <c r="C78" s="44">
        <v>42980</v>
      </c>
      <c r="D78" s="45">
        <v>435.89743589743603</v>
      </c>
      <c r="E78" s="52">
        <v>4000</v>
      </c>
      <c r="G78" s="44">
        <v>42980</v>
      </c>
      <c r="H78" s="45">
        <v>3300</v>
      </c>
      <c r="I78" s="46">
        <v>1</v>
      </c>
      <c r="K78" s="44"/>
      <c r="L78" s="50"/>
      <c r="N78" s="44"/>
      <c r="O78" s="50"/>
      <c r="P78" s="43" t="s">
        <v>39</v>
      </c>
    </row>
    <row r="79" spans="2:16" ht="15.75">
      <c r="B79" s="43">
        <v>70</v>
      </c>
      <c r="C79" s="44">
        <v>43015</v>
      </c>
      <c r="D79" s="45">
        <v>435.89743589743603</v>
      </c>
      <c r="E79" s="52">
        <v>4000</v>
      </c>
      <c r="G79" s="44">
        <v>43015</v>
      </c>
      <c r="H79" s="45">
        <v>3750</v>
      </c>
      <c r="I79" s="46">
        <v>1</v>
      </c>
      <c r="K79" s="44"/>
      <c r="L79" s="50"/>
      <c r="N79" s="44"/>
      <c r="O79" s="50"/>
      <c r="P79" s="43" t="s">
        <v>39</v>
      </c>
    </row>
    <row r="80" spans="2:16" ht="15.75">
      <c r="B80" s="43">
        <v>71</v>
      </c>
      <c r="C80" s="44">
        <v>43022</v>
      </c>
      <c r="D80" s="45">
        <v>435.89743589743603</v>
      </c>
      <c r="E80" s="52">
        <v>4000</v>
      </c>
      <c r="G80" s="44">
        <v>43022</v>
      </c>
      <c r="H80" s="45">
        <v>4100</v>
      </c>
      <c r="I80" s="46">
        <v>1</v>
      </c>
      <c r="K80" s="44"/>
      <c r="L80" s="50"/>
      <c r="N80" s="44"/>
      <c r="O80" s="50"/>
      <c r="P80" s="43" t="s">
        <v>39</v>
      </c>
    </row>
    <row r="81" spans="2:16" ht="15.75">
      <c r="B81" s="43">
        <v>72</v>
      </c>
      <c r="C81" s="44">
        <v>43043</v>
      </c>
      <c r="D81" s="45">
        <v>435.89743589743603</v>
      </c>
      <c r="E81" s="52">
        <v>4000</v>
      </c>
      <c r="G81" s="44">
        <v>43043</v>
      </c>
      <c r="H81" s="45">
        <v>4300</v>
      </c>
      <c r="I81" s="46">
        <v>1</v>
      </c>
      <c r="K81" s="44"/>
      <c r="L81" s="50"/>
      <c r="N81" s="44"/>
      <c r="O81" s="50"/>
      <c r="P81" s="43" t="s">
        <v>39</v>
      </c>
    </row>
    <row r="82" spans="2:16" ht="15.75">
      <c r="B82" s="43">
        <v>73</v>
      </c>
      <c r="C82" s="44">
        <v>43064</v>
      </c>
      <c r="D82" s="45">
        <v>435.89743589743603</v>
      </c>
      <c r="E82" s="52">
        <v>4000</v>
      </c>
      <c r="G82" s="44">
        <v>43064</v>
      </c>
      <c r="H82" s="45">
        <v>3250</v>
      </c>
      <c r="I82" s="46">
        <v>1</v>
      </c>
      <c r="K82" s="44"/>
      <c r="L82" s="50"/>
      <c r="N82" s="44"/>
      <c r="O82" s="50"/>
      <c r="P82" s="43" t="s">
        <v>39</v>
      </c>
    </row>
    <row r="83" spans="2:16" ht="15.75">
      <c r="B83" s="43">
        <v>74</v>
      </c>
      <c r="C83" s="44">
        <v>43099</v>
      </c>
      <c r="D83" s="45">
        <v>435.89743589743603</v>
      </c>
      <c r="E83" s="52">
        <v>4000</v>
      </c>
      <c r="G83" s="44">
        <v>43099</v>
      </c>
      <c r="H83" s="45">
        <v>3300</v>
      </c>
      <c r="I83" s="46">
        <v>1</v>
      </c>
      <c r="K83" s="44"/>
      <c r="L83" s="50"/>
      <c r="N83" s="44"/>
      <c r="O83" s="50"/>
      <c r="P83" s="43" t="s">
        <v>39</v>
      </c>
    </row>
    <row r="84" spans="2:16" ht="15.75">
      <c r="B84" s="43">
        <v>75</v>
      </c>
      <c r="C84" s="44">
        <v>43120</v>
      </c>
      <c r="D84" s="45">
        <v>435.89743589743603</v>
      </c>
      <c r="E84" s="52">
        <v>4000</v>
      </c>
      <c r="G84" s="44">
        <v>43120</v>
      </c>
      <c r="H84" s="45">
        <v>2350</v>
      </c>
      <c r="I84" s="46">
        <v>1</v>
      </c>
      <c r="K84" s="44"/>
      <c r="L84" s="50"/>
      <c r="N84" s="44"/>
      <c r="O84" s="50"/>
      <c r="P84" s="43" t="s">
        <v>39</v>
      </c>
    </row>
    <row r="85" spans="2:16" ht="15.75">
      <c r="B85" s="43">
        <v>76</v>
      </c>
      <c r="C85" s="44">
        <v>43154</v>
      </c>
      <c r="D85" s="45">
        <v>435.89743589743603</v>
      </c>
      <c r="E85" s="52">
        <v>4000</v>
      </c>
      <c r="G85" s="44">
        <v>43154</v>
      </c>
      <c r="H85" s="45">
        <v>2650</v>
      </c>
      <c r="I85" s="46">
        <v>1</v>
      </c>
      <c r="K85" s="44"/>
      <c r="L85" s="50"/>
      <c r="N85" s="44"/>
      <c r="O85" s="50"/>
      <c r="P85" s="43" t="s">
        <v>39</v>
      </c>
    </row>
    <row r="86" spans="2:16" ht="15.75">
      <c r="B86" s="43">
        <v>77</v>
      </c>
      <c r="C86" s="44">
        <v>43162</v>
      </c>
      <c r="D86" s="45">
        <v>435.89743589743603</v>
      </c>
      <c r="E86" s="52">
        <v>4000</v>
      </c>
      <c r="G86" s="44">
        <v>43162</v>
      </c>
      <c r="H86" s="45">
        <v>2850</v>
      </c>
      <c r="I86" s="46">
        <v>1</v>
      </c>
      <c r="K86" s="44"/>
      <c r="L86" s="50"/>
      <c r="N86" s="44"/>
      <c r="O86" s="50"/>
      <c r="P86" s="43" t="s">
        <v>39</v>
      </c>
    </row>
    <row r="87" spans="2:16" ht="15.75">
      <c r="B87" s="43">
        <v>78</v>
      </c>
      <c r="C87" s="44">
        <v>43169</v>
      </c>
      <c r="D87" s="45">
        <v>435.89743589743603</v>
      </c>
      <c r="E87" s="52">
        <v>4000</v>
      </c>
      <c r="G87" s="44">
        <v>43169</v>
      </c>
      <c r="H87" s="45">
        <v>3000</v>
      </c>
      <c r="I87" s="46">
        <v>1</v>
      </c>
      <c r="K87" s="44"/>
      <c r="L87" s="50"/>
      <c r="N87" s="44"/>
      <c r="O87" s="50"/>
      <c r="P87" s="43" t="s">
        <v>39</v>
      </c>
    </row>
    <row r="88" spans="2:16" ht="15.75">
      <c r="B88" s="43">
        <v>79</v>
      </c>
      <c r="C88" s="44">
        <v>43176</v>
      </c>
      <c r="D88" s="45">
        <v>435.89743589743603</v>
      </c>
      <c r="E88" s="52">
        <v>4000</v>
      </c>
      <c r="G88" s="44">
        <v>43176</v>
      </c>
      <c r="H88" s="45">
        <v>2950</v>
      </c>
      <c r="I88" s="46">
        <v>1</v>
      </c>
      <c r="K88" s="44"/>
      <c r="L88" s="50"/>
      <c r="N88" s="44"/>
      <c r="O88" s="50"/>
      <c r="P88" s="43" t="s">
        <v>39</v>
      </c>
    </row>
    <row r="89" spans="2:16" ht="15.75">
      <c r="B89" s="43">
        <v>80</v>
      </c>
      <c r="C89" s="44">
        <v>43190</v>
      </c>
      <c r="D89" s="45">
        <v>435.89743589743603</v>
      </c>
      <c r="E89" s="52">
        <v>4000</v>
      </c>
      <c r="G89" s="44">
        <v>43190</v>
      </c>
      <c r="H89" s="45">
        <v>2900</v>
      </c>
      <c r="I89" s="46">
        <v>1</v>
      </c>
      <c r="K89" s="44"/>
      <c r="L89" s="50"/>
      <c r="N89" s="44"/>
      <c r="O89" s="50"/>
      <c r="P89" s="43" t="s">
        <v>39</v>
      </c>
    </row>
    <row r="90" spans="2:16" ht="15.75">
      <c r="B90" s="43">
        <v>81</v>
      </c>
      <c r="C90" s="44">
        <v>43197</v>
      </c>
      <c r="D90" s="45">
        <v>464</v>
      </c>
      <c r="E90" s="52">
        <v>4000</v>
      </c>
      <c r="G90" s="44">
        <v>43219</v>
      </c>
      <c r="H90" s="45">
        <v>2800</v>
      </c>
      <c r="I90" s="46">
        <v>1</v>
      </c>
      <c r="K90" s="44"/>
      <c r="L90" s="50"/>
      <c r="N90" s="44"/>
      <c r="O90" s="50"/>
      <c r="P90" s="43" t="s">
        <v>39</v>
      </c>
    </row>
    <row r="91" spans="2:16" ht="15.75">
      <c r="B91" s="43">
        <v>82</v>
      </c>
      <c r="C91" s="44">
        <v>43232</v>
      </c>
      <c r="D91" s="45">
        <v>470.51282051282055</v>
      </c>
      <c r="E91" s="52">
        <v>4000</v>
      </c>
      <c r="G91" s="44">
        <v>43232</v>
      </c>
      <c r="H91" s="45">
        <v>2750</v>
      </c>
      <c r="I91" s="46">
        <v>1</v>
      </c>
      <c r="K91" s="44"/>
      <c r="L91" s="50"/>
      <c r="N91" s="44"/>
      <c r="O91" s="50"/>
      <c r="P91" s="43" t="s">
        <v>39</v>
      </c>
    </row>
    <row r="92" spans="2:16" ht="15.75">
      <c r="B92" s="43">
        <v>83</v>
      </c>
      <c r="C92" s="44">
        <v>43301</v>
      </c>
      <c r="D92" s="45">
        <v>482.75862068965523</v>
      </c>
      <c r="E92" s="52">
        <v>4000</v>
      </c>
      <c r="G92" s="44">
        <v>43261</v>
      </c>
      <c r="H92" s="45">
        <v>2600</v>
      </c>
      <c r="I92" s="46">
        <v>1</v>
      </c>
      <c r="K92" s="44"/>
      <c r="L92" s="50"/>
      <c r="N92" s="44"/>
      <c r="O92" s="50"/>
      <c r="P92" s="43" t="s">
        <v>39</v>
      </c>
    </row>
    <row r="93" spans="2:16" ht="15.75">
      <c r="B93" s="43">
        <v>84</v>
      </c>
      <c r="C93" s="44">
        <v>43332</v>
      </c>
      <c r="D93" s="45">
        <v>482.75862068965523</v>
      </c>
      <c r="E93" s="52">
        <v>4000</v>
      </c>
      <c r="G93" s="44">
        <v>43332</v>
      </c>
      <c r="H93" s="45">
        <v>2600</v>
      </c>
      <c r="I93" s="46">
        <v>1</v>
      </c>
      <c r="K93" s="44"/>
      <c r="L93" s="50"/>
      <c r="N93" s="44"/>
      <c r="O93" s="50"/>
      <c r="P93" s="43" t="s">
        <v>39</v>
      </c>
    </row>
    <row r="94" spans="2:16" ht="15.75">
      <c r="B94" s="43">
        <v>85</v>
      </c>
      <c r="C94" s="44">
        <v>43374</v>
      </c>
      <c r="D94" s="45">
        <v>486</v>
      </c>
      <c r="E94" s="52">
        <v>4000</v>
      </c>
      <c r="G94" s="44">
        <v>43337</v>
      </c>
      <c r="H94" s="45">
        <v>2700</v>
      </c>
      <c r="I94" s="46">
        <v>1</v>
      </c>
      <c r="K94" s="44"/>
      <c r="L94" s="50"/>
      <c r="N94" s="44"/>
      <c r="O94" s="50"/>
      <c r="P94" s="43" t="s">
        <v>39</v>
      </c>
    </row>
    <row r="95" spans="2:16" ht="15.75">
      <c r="B95" s="43">
        <v>86</v>
      </c>
      <c r="C95" s="44">
        <v>43406</v>
      </c>
      <c r="D95" s="45">
        <v>486</v>
      </c>
      <c r="E95" s="52">
        <v>4000</v>
      </c>
      <c r="G95" s="44">
        <v>43406</v>
      </c>
      <c r="H95" s="45">
        <v>2700</v>
      </c>
      <c r="I95" s="46">
        <v>1</v>
      </c>
      <c r="K95" s="44"/>
      <c r="L95" s="50"/>
      <c r="N95" s="44"/>
      <c r="O95" s="50"/>
      <c r="P95" s="43" t="s">
        <v>39</v>
      </c>
    </row>
    <row r="96" spans="2:16" ht="15.75">
      <c r="B96" s="43">
        <v>87</v>
      </c>
      <c r="C96" s="44">
        <v>43436</v>
      </c>
      <c r="D96" s="45">
        <v>486</v>
      </c>
      <c r="E96" s="52">
        <v>4000</v>
      </c>
      <c r="G96" s="44">
        <v>43436</v>
      </c>
      <c r="H96" s="45">
        <v>2700</v>
      </c>
      <c r="I96" s="46">
        <v>1</v>
      </c>
      <c r="K96" s="44"/>
      <c r="L96" s="50"/>
      <c r="N96" s="44"/>
      <c r="O96" s="50"/>
      <c r="P96" s="43" t="s">
        <v>39</v>
      </c>
    </row>
    <row r="97" spans="2:16" ht="15.75">
      <c r="B97" s="43">
        <v>88</v>
      </c>
      <c r="C97" s="44">
        <v>43466</v>
      </c>
      <c r="D97" s="45">
        <v>486</v>
      </c>
      <c r="E97" s="52">
        <v>4000</v>
      </c>
      <c r="G97" s="44">
        <v>43473</v>
      </c>
      <c r="H97" s="45">
        <v>2600</v>
      </c>
      <c r="I97" s="46">
        <v>1</v>
      </c>
      <c r="K97" s="44"/>
      <c r="L97" s="50"/>
      <c r="N97" s="44"/>
      <c r="O97" s="50"/>
      <c r="P97" s="43" t="s">
        <v>39</v>
      </c>
    </row>
    <row r="98" spans="2:16" ht="15.75">
      <c r="B98" s="43">
        <v>89</v>
      </c>
      <c r="C98" s="44">
        <v>43547</v>
      </c>
      <c r="D98" s="45">
        <v>513</v>
      </c>
      <c r="E98" s="52">
        <v>4000</v>
      </c>
      <c r="G98" s="44">
        <v>43484</v>
      </c>
      <c r="H98" s="45">
        <v>2500</v>
      </c>
      <c r="I98" s="46">
        <v>1</v>
      </c>
      <c r="K98" s="44"/>
      <c r="L98" s="50"/>
      <c r="N98" s="44"/>
      <c r="O98" s="50"/>
      <c r="P98" s="43" t="s">
        <v>39</v>
      </c>
    </row>
    <row r="99" spans="2:16" ht="15.75">
      <c r="B99" s="43">
        <v>90</v>
      </c>
      <c r="C99" s="44">
        <v>43564</v>
      </c>
      <c r="D99" s="45">
        <v>491</v>
      </c>
      <c r="E99" s="52">
        <v>4000</v>
      </c>
      <c r="G99" s="44">
        <v>43547</v>
      </c>
      <c r="H99" s="45">
        <v>2450</v>
      </c>
      <c r="I99" s="46">
        <v>1</v>
      </c>
      <c r="K99" s="44"/>
      <c r="L99" s="50"/>
      <c r="N99" s="44"/>
      <c r="O99" s="50"/>
      <c r="P99" s="43" t="s">
        <v>39</v>
      </c>
    </row>
    <row r="100" spans="2:16" ht="15.75">
      <c r="B100" s="43">
        <v>91</v>
      </c>
      <c r="C100" s="44">
        <v>43596</v>
      </c>
      <c r="D100" s="45">
        <v>499.6</v>
      </c>
      <c r="E100" s="52">
        <v>4000</v>
      </c>
      <c r="G100" s="44">
        <v>43564</v>
      </c>
      <c r="H100" s="45">
        <v>2350</v>
      </c>
      <c r="I100" s="46">
        <v>1</v>
      </c>
      <c r="K100" s="44"/>
      <c r="L100" s="50"/>
      <c r="N100" s="44"/>
      <c r="O100" s="50"/>
      <c r="P100" s="43" t="s">
        <v>39</v>
      </c>
    </row>
    <row r="101" spans="2:16" ht="15.75">
      <c r="B101" s="43">
        <v>92</v>
      </c>
      <c r="C101" s="44">
        <v>43645</v>
      </c>
      <c r="D101" s="45">
        <v>491</v>
      </c>
      <c r="E101" s="52">
        <v>4000</v>
      </c>
      <c r="G101" s="44">
        <v>43722</v>
      </c>
      <c r="H101" s="45">
        <v>2500</v>
      </c>
      <c r="I101" s="46">
        <v>1</v>
      </c>
      <c r="K101" s="44"/>
      <c r="L101" s="50"/>
      <c r="N101" s="44"/>
      <c r="O101" s="50"/>
      <c r="P101" s="43" t="s">
        <v>39</v>
      </c>
    </row>
    <row r="102" spans="2:16" ht="15.75">
      <c r="B102" s="43">
        <v>93</v>
      </c>
      <c r="C102" s="44"/>
      <c r="D102" s="50"/>
      <c r="E102" s="50"/>
      <c r="G102" s="44">
        <v>43764</v>
      </c>
      <c r="H102" s="45">
        <v>2450</v>
      </c>
      <c r="I102" s="46">
        <v>1</v>
      </c>
      <c r="K102" s="44"/>
      <c r="L102" s="50"/>
      <c r="N102" s="44"/>
      <c r="O102" s="50"/>
      <c r="P102" s="43" t="s">
        <v>39</v>
      </c>
    </row>
    <row r="103" spans="2:16" ht="15.75">
      <c r="B103" s="43">
        <v>94</v>
      </c>
      <c r="C103" s="44"/>
      <c r="D103" s="50"/>
      <c r="E103" s="50"/>
      <c r="G103" s="44">
        <v>43771</v>
      </c>
      <c r="H103" s="45">
        <v>2250</v>
      </c>
      <c r="I103" s="46">
        <v>1</v>
      </c>
      <c r="K103" s="44"/>
      <c r="L103" s="50"/>
      <c r="N103" s="44"/>
      <c r="O103" s="50"/>
      <c r="P103" s="43" t="s">
        <v>39</v>
      </c>
    </row>
    <row r="104" spans="2:16" ht="15.75">
      <c r="B104" s="43">
        <v>95</v>
      </c>
      <c r="C104" s="44"/>
      <c r="D104" s="50"/>
      <c r="E104" s="50"/>
      <c r="G104" s="44">
        <v>43778</v>
      </c>
      <c r="H104" s="45">
        <v>2230</v>
      </c>
      <c r="I104" s="46">
        <v>1</v>
      </c>
      <c r="K104" s="44"/>
      <c r="L104" s="50"/>
      <c r="N104" s="44"/>
      <c r="O104" s="50"/>
      <c r="P104" s="43" t="s">
        <v>39</v>
      </c>
    </row>
    <row r="105" spans="2:16" ht="15.75">
      <c r="B105" s="43">
        <v>96</v>
      </c>
      <c r="C105" s="44"/>
      <c r="D105" s="50"/>
      <c r="E105" s="50"/>
      <c r="G105" s="44">
        <v>43785</v>
      </c>
      <c r="H105" s="45">
        <v>2200</v>
      </c>
      <c r="I105" s="46">
        <v>1</v>
      </c>
      <c r="K105" s="44"/>
      <c r="L105" s="50"/>
      <c r="N105" s="44"/>
      <c r="O105" s="50"/>
      <c r="P105" s="43" t="s">
        <v>39</v>
      </c>
    </row>
    <row r="106" spans="2:16" ht="15.75">
      <c r="B106" s="43">
        <v>97</v>
      </c>
      <c r="C106" s="44"/>
      <c r="D106" s="50"/>
      <c r="E106" s="50"/>
      <c r="G106" s="44">
        <v>43806</v>
      </c>
      <c r="H106" s="45">
        <v>2100</v>
      </c>
      <c r="I106" s="46">
        <v>1</v>
      </c>
      <c r="K106" s="44"/>
      <c r="L106" s="50"/>
      <c r="N106" s="44"/>
      <c r="O106" s="50"/>
      <c r="P106" s="43" t="s">
        <v>39</v>
      </c>
    </row>
    <row r="107" spans="2:16" ht="15.75">
      <c r="B107" s="43">
        <v>98</v>
      </c>
      <c r="C107" s="44"/>
      <c r="D107" s="50"/>
      <c r="E107" s="50"/>
      <c r="G107" s="44">
        <v>43819</v>
      </c>
      <c r="H107" s="45">
        <v>1900</v>
      </c>
      <c r="I107" s="46">
        <v>1</v>
      </c>
      <c r="K107" s="44"/>
      <c r="L107" s="50"/>
      <c r="N107" s="44"/>
      <c r="O107" s="50"/>
      <c r="P107" s="43" t="s">
        <v>39</v>
      </c>
    </row>
    <row r="108" spans="2:16" ht="15.75">
      <c r="B108" s="43">
        <v>99</v>
      </c>
      <c r="C108" s="44"/>
      <c r="D108" s="50"/>
      <c r="E108" s="50"/>
      <c r="G108" s="44">
        <v>43834</v>
      </c>
      <c r="H108" s="45">
        <v>1850</v>
      </c>
      <c r="I108" s="46">
        <v>1</v>
      </c>
      <c r="K108" s="44"/>
      <c r="L108" s="50"/>
      <c r="N108" s="44"/>
      <c r="O108" s="50"/>
      <c r="P108" s="43" t="s">
        <v>39</v>
      </c>
    </row>
    <row r="109" spans="2:16" ht="15.75">
      <c r="B109" s="43">
        <v>100</v>
      </c>
      <c r="C109" s="44"/>
      <c r="D109" s="50"/>
      <c r="E109" s="50"/>
      <c r="G109" s="44">
        <v>43843</v>
      </c>
      <c r="H109" s="45">
        <v>1850</v>
      </c>
      <c r="I109" s="46">
        <v>1</v>
      </c>
      <c r="K109" s="44"/>
      <c r="L109" s="50"/>
      <c r="N109" s="44"/>
      <c r="O109" s="50"/>
      <c r="P109" s="43" t="s">
        <v>39</v>
      </c>
    </row>
    <row r="110" spans="2:16" ht="15.75">
      <c r="B110" s="43">
        <v>101</v>
      </c>
      <c r="C110" s="44"/>
      <c r="D110" s="50"/>
      <c r="E110" s="50"/>
      <c r="G110" s="44">
        <v>43847</v>
      </c>
      <c r="H110" s="45">
        <v>1850</v>
      </c>
      <c r="I110" s="46">
        <v>1</v>
      </c>
      <c r="K110" s="44"/>
      <c r="L110" s="50"/>
      <c r="N110" s="44"/>
      <c r="O110" s="50"/>
      <c r="P110" s="43" t="s">
        <v>39</v>
      </c>
    </row>
    <row r="111" spans="2:16" ht="15.75">
      <c r="B111" s="43">
        <v>102</v>
      </c>
      <c r="C111" s="44"/>
      <c r="D111" s="50"/>
      <c r="E111" s="50"/>
      <c r="G111" s="44">
        <v>43868</v>
      </c>
      <c r="H111" s="45">
        <v>1850</v>
      </c>
      <c r="I111" s="46">
        <v>1</v>
      </c>
      <c r="K111" s="44"/>
      <c r="L111" s="50"/>
      <c r="N111" s="44"/>
      <c r="O111" s="50"/>
      <c r="P111" s="43" t="s">
        <v>39</v>
      </c>
    </row>
    <row r="112" spans="2:16" ht="15.75">
      <c r="B112" s="43">
        <v>103</v>
      </c>
      <c r="C112" s="44"/>
      <c r="D112" s="50"/>
      <c r="E112" s="50"/>
      <c r="G112" s="44">
        <v>43875</v>
      </c>
      <c r="H112" s="45">
        <v>1850</v>
      </c>
      <c r="I112" s="46">
        <v>1</v>
      </c>
      <c r="K112" s="44"/>
      <c r="L112" s="50"/>
      <c r="N112" s="44"/>
      <c r="O112" s="50"/>
      <c r="P112" s="43" t="s">
        <v>39</v>
      </c>
    </row>
    <row r="113" spans="2:16" ht="15.75">
      <c r="B113" s="43">
        <v>104</v>
      </c>
      <c r="C113" s="44"/>
      <c r="D113" s="50"/>
      <c r="E113" s="50"/>
      <c r="G113" s="44">
        <v>43897</v>
      </c>
      <c r="H113" s="45">
        <v>1750</v>
      </c>
      <c r="I113" s="404">
        <v>1</v>
      </c>
      <c r="K113" s="44"/>
      <c r="L113" s="50"/>
      <c r="N113" s="44"/>
      <c r="O113" s="50"/>
      <c r="P113" s="43" t="s">
        <v>39</v>
      </c>
    </row>
    <row r="114" spans="2:16" ht="15.75">
      <c r="B114" s="43">
        <v>105</v>
      </c>
      <c r="C114" s="44"/>
      <c r="D114" s="50"/>
      <c r="E114" s="50"/>
      <c r="G114" s="44">
        <v>43904</v>
      </c>
      <c r="H114" s="45">
        <v>1700</v>
      </c>
      <c r="I114" s="404">
        <v>1</v>
      </c>
      <c r="K114" s="44"/>
      <c r="L114" s="50"/>
      <c r="N114" s="44"/>
      <c r="O114" s="50"/>
      <c r="P114" s="43" t="s">
        <v>39</v>
      </c>
    </row>
    <row r="115" spans="2:16">
      <c r="B115" s="43">
        <v>106</v>
      </c>
      <c r="C115" s="44"/>
      <c r="D115" s="50"/>
      <c r="E115" s="50"/>
      <c r="G115" s="44"/>
      <c r="H115" s="50"/>
      <c r="I115" s="50"/>
      <c r="K115" s="44"/>
      <c r="L115" s="50"/>
      <c r="N115" s="44"/>
      <c r="O115" s="50"/>
      <c r="P115" s="43" t="s">
        <v>39</v>
      </c>
    </row>
    <row r="116" spans="2:16">
      <c r="B116" s="43">
        <v>107</v>
      </c>
      <c r="C116" s="44"/>
      <c r="D116" s="50"/>
      <c r="E116" s="50"/>
      <c r="G116" s="44"/>
      <c r="H116" s="50"/>
      <c r="I116" s="50"/>
      <c r="K116" s="44"/>
      <c r="L116" s="50"/>
      <c r="N116" s="44"/>
      <c r="O116" s="50"/>
      <c r="P116" s="43" t="s">
        <v>39</v>
      </c>
    </row>
    <row r="117" spans="2:16">
      <c r="B117" s="43">
        <v>108</v>
      </c>
      <c r="C117" s="44"/>
      <c r="D117" s="50"/>
      <c r="E117" s="50"/>
      <c r="G117" s="44"/>
      <c r="H117" s="50"/>
      <c r="I117" s="50"/>
      <c r="K117" s="44"/>
      <c r="L117" s="50"/>
      <c r="N117" s="44"/>
      <c r="O117" s="50"/>
      <c r="P117" s="43" t="s">
        <v>39</v>
      </c>
    </row>
    <row r="118" spans="2:16">
      <c r="B118" s="43">
        <v>109</v>
      </c>
      <c r="C118" s="44"/>
      <c r="D118" s="50"/>
      <c r="E118" s="50"/>
      <c r="G118" s="44"/>
      <c r="H118" s="50"/>
      <c r="I118" s="50"/>
      <c r="K118" s="44"/>
      <c r="L118" s="50"/>
      <c r="N118" s="44"/>
      <c r="O118" s="50"/>
      <c r="P118" s="43" t="s">
        <v>39</v>
      </c>
    </row>
    <row r="119" spans="2:16">
      <c r="B119" s="43">
        <v>110</v>
      </c>
      <c r="C119" s="44"/>
      <c r="D119" s="50"/>
      <c r="E119" s="50"/>
      <c r="G119" s="44"/>
      <c r="H119" s="50"/>
      <c r="I119" s="50"/>
      <c r="K119" s="44"/>
      <c r="L119" s="50"/>
      <c r="N119" s="44"/>
      <c r="O119" s="50"/>
      <c r="P119" s="43" t="s">
        <v>39</v>
      </c>
    </row>
    <row r="120" spans="2:16">
      <c r="B120" s="43">
        <v>111</v>
      </c>
      <c r="C120" s="44"/>
      <c r="D120" s="50"/>
      <c r="E120" s="50"/>
      <c r="G120" s="44"/>
      <c r="H120" s="50"/>
      <c r="I120" s="50"/>
      <c r="K120" s="44"/>
      <c r="L120" s="50"/>
      <c r="N120" s="44"/>
      <c r="O120" s="50"/>
      <c r="P120" s="43" t="s">
        <v>39</v>
      </c>
    </row>
    <row r="121" spans="2:16">
      <c r="B121" s="43">
        <v>112</v>
      </c>
      <c r="C121" s="44"/>
      <c r="D121" s="50"/>
      <c r="E121" s="50"/>
      <c r="G121" s="44"/>
      <c r="H121" s="50"/>
      <c r="I121" s="50"/>
      <c r="K121" s="44"/>
      <c r="L121" s="50"/>
      <c r="N121" s="44"/>
      <c r="O121" s="50"/>
      <c r="P121" s="43" t="s">
        <v>39</v>
      </c>
    </row>
    <row r="122" spans="2:16">
      <c r="B122" s="43">
        <v>113</v>
      </c>
      <c r="C122" s="44"/>
      <c r="D122" s="50"/>
      <c r="E122" s="50"/>
      <c r="G122" s="44"/>
      <c r="H122" s="50"/>
      <c r="I122" s="50"/>
      <c r="K122" s="44"/>
      <c r="L122" s="50"/>
      <c r="N122" s="44"/>
      <c r="O122" s="50"/>
      <c r="P122" s="43" t="s">
        <v>39</v>
      </c>
    </row>
    <row r="123" spans="2:16">
      <c r="B123" s="43">
        <v>114</v>
      </c>
      <c r="C123" s="44"/>
      <c r="D123" s="50"/>
      <c r="E123" s="50"/>
      <c r="G123" s="44"/>
      <c r="H123" s="50"/>
      <c r="I123" s="50"/>
      <c r="K123" s="44"/>
      <c r="L123" s="50"/>
      <c r="N123" s="44"/>
      <c r="O123" s="50"/>
      <c r="P123" s="43" t="s">
        <v>39</v>
      </c>
    </row>
    <row r="124" spans="2:16">
      <c r="B124" s="43">
        <v>115</v>
      </c>
      <c r="C124" s="44"/>
      <c r="D124" s="50"/>
      <c r="E124" s="50"/>
      <c r="G124" s="44"/>
      <c r="H124" s="50"/>
      <c r="I124" s="50"/>
      <c r="K124" s="44"/>
      <c r="L124" s="50"/>
      <c r="N124" s="44"/>
      <c r="O124" s="50"/>
      <c r="P124" s="43" t="s">
        <v>39</v>
      </c>
    </row>
    <row r="125" spans="2:16">
      <c r="B125" s="43">
        <v>116</v>
      </c>
      <c r="C125" s="44"/>
      <c r="D125" s="50"/>
      <c r="E125" s="50"/>
      <c r="G125" s="44"/>
      <c r="H125" s="50"/>
      <c r="I125" s="50"/>
      <c r="K125" s="44"/>
      <c r="L125" s="50"/>
      <c r="N125" s="44"/>
      <c r="O125" s="50"/>
      <c r="P125" s="43" t="s">
        <v>39</v>
      </c>
    </row>
    <row r="126" spans="2:16">
      <c r="B126" s="43">
        <v>117</v>
      </c>
      <c r="C126" s="44"/>
      <c r="D126" s="50"/>
      <c r="E126" s="50"/>
      <c r="G126" s="44"/>
      <c r="H126" s="50"/>
      <c r="I126" s="50"/>
      <c r="K126" s="44"/>
      <c r="L126" s="50"/>
      <c r="N126" s="44"/>
      <c r="O126" s="50"/>
      <c r="P126" s="43" t="s">
        <v>39</v>
      </c>
    </row>
    <row r="127" spans="2:16">
      <c r="B127" s="43">
        <v>118</v>
      </c>
      <c r="C127" s="44"/>
      <c r="D127" s="50"/>
      <c r="E127" s="50"/>
      <c r="G127" s="44"/>
      <c r="H127" s="50"/>
      <c r="I127" s="50"/>
      <c r="K127" s="44"/>
      <c r="L127" s="50"/>
      <c r="N127" s="44"/>
      <c r="O127" s="50"/>
      <c r="P127" s="43" t="s">
        <v>39</v>
      </c>
    </row>
    <row r="128" spans="2:16">
      <c r="B128" s="43">
        <v>119</v>
      </c>
      <c r="C128" s="44"/>
      <c r="D128" s="50"/>
      <c r="E128" s="50"/>
      <c r="G128" s="44"/>
      <c r="H128" s="50"/>
      <c r="I128" s="50"/>
      <c r="K128" s="44"/>
      <c r="L128" s="50"/>
      <c r="N128" s="44"/>
      <c r="O128" s="50"/>
      <c r="P128" s="43" t="s">
        <v>39</v>
      </c>
    </row>
    <row r="129" spans="2:16">
      <c r="B129" s="43">
        <v>120</v>
      </c>
      <c r="C129" s="44"/>
      <c r="D129" s="50"/>
      <c r="E129" s="50"/>
      <c r="G129" s="44"/>
      <c r="H129" s="50"/>
      <c r="I129" s="50"/>
      <c r="K129" s="44"/>
      <c r="L129" s="50"/>
      <c r="N129" s="44"/>
      <c r="O129" s="50"/>
      <c r="P129" s="43" t="s">
        <v>39</v>
      </c>
    </row>
    <row r="130" spans="2:16">
      <c r="B130" s="43">
        <v>121</v>
      </c>
      <c r="C130" s="44"/>
      <c r="D130" s="50"/>
      <c r="E130" s="50"/>
      <c r="G130" s="44"/>
      <c r="H130" s="50"/>
      <c r="I130" s="50"/>
      <c r="K130" s="44"/>
      <c r="L130" s="50"/>
      <c r="N130" s="44"/>
      <c r="O130" s="50"/>
      <c r="P130" s="43" t="s">
        <v>39</v>
      </c>
    </row>
    <row r="131" spans="2:16">
      <c r="B131" s="43">
        <v>122</v>
      </c>
      <c r="C131" s="44"/>
      <c r="D131" s="50"/>
      <c r="E131" s="50"/>
      <c r="G131" s="44"/>
      <c r="H131" s="50"/>
      <c r="I131" s="50"/>
      <c r="K131" s="44"/>
      <c r="L131" s="50"/>
      <c r="N131" s="44"/>
      <c r="O131" s="50"/>
      <c r="P131" s="43" t="s">
        <v>39</v>
      </c>
    </row>
    <row r="132" spans="2:16">
      <c r="B132" s="43">
        <v>123</v>
      </c>
      <c r="C132" s="44"/>
      <c r="D132" s="50"/>
      <c r="E132" s="50"/>
      <c r="G132" s="44"/>
      <c r="H132" s="50"/>
      <c r="I132" s="50"/>
      <c r="K132" s="44"/>
      <c r="L132" s="50"/>
      <c r="N132" s="44"/>
      <c r="O132" s="50"/>
      <c r="P132" s="43" t="s">
        <v>39</v>
      </c>
    </row>
    <row r="133" spans="2:16">
      <c r="B133" s="43">
        <v>124</v>
      </c>
      <c r="C133" s="44"/>
      <c r="D133" s="50"/>
      <c r="E133" s="50"/>
      <c r="G133" s="44"/>
      <c r="H133" s="50"/>
      <c r="I133" s="50"/>
      <c r="K133" s="44"/>
      <c r="L133" s="50"/>
      <c r="N133" s="44"/>
      <c r="O133" s="50"/>
      <c r="P133" s="43" t="s">
        <v>39</v>
      </c>
    </row>
    <row r="134" spans="2:16">
      <c r="B134" s="43">
        <v>125</v>
      </c>
      <c r="C134" s="44"/>
      <c r="D134" s="50"/>
      <c r="E134" s="50"/>
      <c r="G134" s="44"/>
      <c r="H134" s="50"/>
      <c r="I134" s="50"/>
      <c r="K134" s="44"/>
      <c r="L134" s="50"/>
      <c r="N134" s="44"/>
      <c r="O134" s="50"/>
      <c r="P134" s="43" t="s">
        <v>39</v>
      </c>
    </row>
    <row r="135" spans="2:16">
      <c r="B135" s="43">
        <v>126</v>
      </c>
      <c r="C135" s="44"/>
      <c r="D135" s="50"/>
      <c r="E135" s="50"/>
      <c r="G135" s="44"/>
      <c r="H135" s="50"/>
      <c r="I135" s="50"/>
      <c r="K135" s="44"/>
      <c r="L135" s="50"/>
      <c r="N135" s="44"/>
      <c r="O135" s="50"/>
      <c r="P135" s="43" t="s">
        <v>39</v>
      </c>
    </row>
    <row r="136" spans="2:16">
      <c r="B136" s="43">
        <v>127</v>
      </c>
      <c r="C136" s="44"/>
      <c r="D136" s="50"/>
      <c r="E136" s="50"/>
      <c r="G136" s="44"/>
      <c r="H136" s="50"/>
      <c r="I136" s="50"/>
      <c r="K136" s="44"/>
      <c r="L136" s="50"/>
      <c r="N136" s="44"/>
      <c r="O136" s="50"/>
      <c r="P136" s="43" t="s">
        <v>39</v>
      </c>
    </row>
    <row r="137" spans="2:16">
      <c r="B137" s="43">
        <v>128</v>
      </c>
      <c r="C137" s="44"/>
      <c r="D137" s="50"/>
      <c r="E137" s="50"/>
      <c r="G137" s="44"/>
      <c r="H137" s="50"/>
      <c r="I137" s="50"/>
      <c r="K137" s="44"/>
      <c r="L137" s="50"/>
      <c r="N137" s="44"/>
      <c r="O137" s="50"/>
      <c r="P137" s="43" t="s">
        <v>39</v>
      </c>
    </row>
    <row r="138" spans="2:16">
      <c r="B138" s="43">
        <v>129</v>
      </c>
      <c r="C138" s="44"/>
      <c r="D138" s="50"/>
      <c r="E138" s="50"/>
      <c r="G138" s="44"/>
      <c r="H138" s="50"/>
      <c r="I138" s="50"/>
      <c r="K138" s="44"/>
      <c r="L138" s="50"/>
      <c r="N138" s="44"/>
      <c r="O138" s="50"/>
      <c r="P138" s="43" t="s">
        <v>39</v>
      </c>
    </row>
    <row r="139" spans="2:16">
      <c r="B139" s="43">
        <v>130</v>
      </c>
      <c r="C139" s="44"/>
      <c r="D139" s="50"/>
      <c r="E139" s="50"/>
      <c r="G139" s="44"/>
      <c r="H139" s="50"/>
      <c r="I139" s="50"/>
      <c r="K139" s="44"/>
      <c r="L139" s="50"/>
      <c r="N139" s="44"/>
      <c r="O139" s="50"/>
      <c r="P139" s="43" t="s">
        <v>39</v>
      </c>
    </row>
    <row r="140" spans="2:16">
      <c r="B140" s="43">
        <v>131</v>
      </c>
      <c r="C140" s="44"/>
      <c r="D140" s="50"/>
      <c r="E140" s="50"/>
      <c r="G140" s="44"/>
      <c r="H140" s="50"/>
      <c r="I140" s="50"/>
      <c r="K140" s="44"/>
      <c r="L140" s="50"/>
      <c r="N140" s="44"/>
      <c r="O140" s="50"/>
      <c r="P140" s="43" t="s">
        <v>39</v>
      </c>
    </row>
    <row r="141" spans="2:16">
      <c r="B141" s="43">
        <v>132</v>
      </c>
      <c r="C141" s="44"/>
      <c r="D141" s="50"/>
      <c r="E141" s="50"/>
      <c r="G141" s="44"/>
      <c r="H141" s="50"/>
      <c r="I141" s="50"/>
      <c r="K141" s="44"/>
      <c r="L141" s="50"/>
      <c r="N141" s="44"/>
      <c r="O141" s="50"/>
      <c r="P141" s="43" t="s">
        <v>39</v>
      </c>
    </row>
    <row r="142" spans="2:16">
      <c r="B142" s="43">
        <v>133</v>
      </c>
      <c r="C142" s="44"/>
      <c r="D142" s="50"/>
      <c r="E142" s="50"/>
      <c r="G142" s="44"/>
      <c r="H142" s="50"/>
      <c r="I142" s="50"/>
      <c r="K142" s="44"/>
      <c r="L142" s="50"/>
      <c r="N142" s="44"/>
      <c r="O142" s="50"/>
      <c r="P142" s="43" t="s">
        <v>39</v>
      </c>
    </row>
    <row r="143" spans="2:16">
      <c r="B143" s="43">
        <v>134</v>
      </c>
      <c r="C143" s="44"/>
      <c r="D143" s="50"/>
      <c r="E143" s="50"/>
      <c r="G143" s="44"/>
      <c r="H143" s="50"/>
      <c r="I143" s="50"/>
      <c r="K143" s="44"/>
      <c r="L143" s="50"/>
      <c r="N143" s="44"/>
      <c r="O143" s="50"/>
      <c r="P143" s="43" t="s">
        <v>39</v>
      </c>
    </row>
    <row r="144" spans="2:16">
      <c r="B144" s="43">
        <v>135</v>
      </c>
      <c r="C144" s="44"/>
      <c r="D144" s="50"/>
      <c r="E144" s="50"/>
      <c r="G144" s="44"/>
      <c r="H144" s="50"/>
      <c r="I144" s="50"/>
      <c r="K144" s="44"/>
      <c r="L144" s="50"/>
      <c r="N144" s="44"/>
      <c r="O144" s="50"/>
      <c r="P144" s="43" t="s">
        <v>39</v>
      </c>
    </row>
    <row r="145" spans="2:16">
      <c r="B145" s="43">
        <v>136</v>
      </c>
      <c r="C145" s="44"/>
      <c r="D145" s="50"/>
      <c r="E145" s="50"/>
      <c r="G145" s="44"/>
      <c r="H145" s="50"/>
      <c r="I145" s="50"/>
      <c r="K145" s="44"/>
      <c r="L145" s="50"/>
      <c r="N145" s="44"/>
      <c r="O145" s="50"/>
      <c r="P145" s="43" t="s">
        <v>39</v>
      </c>
    </row>
    <row r="146" spans="2:16">
      <c r="B146" s="43">
        <v>137</v>
      </c>
      <c r="C146" s="44"/>
      <c r="D146" s="50"/>
      <c r="E146" s="50"/>
      <c r="G146" s="44"/>
      <c r="H146" s="50"/>
      <c r="I146" s="50"/>
      <c r="K146" s="44"/>
      <c r="L146" s="50"/>
      <c r="N146" s="44"/>
      <c r="O146" s="50"/>
      <c r="P146" s="43" t="s">
        <v>39</v>
      </c>
    </row>
    <row r="147" spans="2:16">
      <c r="B147" s="43">
        <v>138</v>
      </c>
      <c r="C147" s="44"/>
      <c r="D147" s="50"/>
      <c r="E147" s="50"/>
      <c r="G147" s="44"/>
      <c r="H147" s="50"/>
      <c r="I147" s="50"/>
      <c r="K147" s="44"/>
      <c r="L147" s="50"/>
      <c r="N147" s="44"/>
      <c r="O147" s="50"/>
      <c r="P147" s="43" t="s">
        <v>39</v>
      </c>
    </row>
    <row r="148" spans="2:16">
      <c r="B148" s="43">
        <v>139</v>
      </c>
      <c r="C148" s="44"/>
      <c r="D148" s="50"/>
      <c r="E148" s="50"/>
      <c r="G148" s="44"/>
      <c r="H148" s="50"/>
      <c r="I148" s="50"/>
      <c r="K148" s="44"/>
      <c r="L148" s="50"/>
      <c r="N148" s="44"/>
      <c r="O148" s="50"/>
      <c r="P148" s="43" t="s">
        <v>39</v>
      </c>
    </row>
    <row r="149" spans="2:16">
      <c r="B149" s="43">
        <v>140</v>
      </c>
      <c r="C149" s="44"/>
      <c r="D149" s="50"/>
      <c r="E149" s="50"/>
      <c r="G149" s="44"/>
      <c r="H149" s="50"/>
      <c r="I149" s="50"/>
      <c r="K149" s="44"/>
      <c r="L149" s="50"/>
      <c r="N149" s="44"/>
      <c r="O149" s="50"/>
      <c r="P149" s="43" t="s">
        <v>39</v>
      </c>
    </row>
    <row r="150" spans="2:16">
      <c r="B150" s="43">
        <v>141</v>
      </c>
      <c r="C150" s="44"/>
      <c r="D150" s="50"/>
      <c r="E150" s="50"/>
      <c r="G150" s="44"/>
      <c r="H150" s="50"/>
      <c r="I150" s="50"/>
      <c r="K150" s="44"/>
      <c r="L150" s="50"/>
      <c r="N150" s="44"/>
      <c r="O150" s="50"/>
      <c r="P150" s="43" t="s">
        <v>39</v>
      </c>
    </row>
    <row r="151" spans="2:16">
      <c r="B151" s="43">
        <v>142</v>
      </c>
      <c r="C151" s="44"/>
      <c r="D151" s="50"/>
      <c r="E151" s="50"/>
      <c r="G151" s="44"/>
      <c r="H151" s="50"/>
      <c r="I151" s="50"/>
      <c r="K151" s="44"/>
      <c r="L151" s="50"/>
      <c r="N151" s="44"/>
      <c r="O151" s="50"/>
      <c r="P151" s="43" t="s">
        <v>39</v>
      </c>
    </row>
    <row r="152" spans="2:16">
      <c r="B152" s="43">
        <v>143</v>
      </c>
      <c r="C152" s="44"/>
      <c r="D152" s="50"/>
      <c r="E152" s="50"/>
      <c r="G152" s="44"/>
      <c r="H152" s="50"/>
      <c r="I152" s="50"/>
      <c r="K152" s="44"/>
      <c r="L152" s="50"/>
      <c r="N152" s="44"/>
      <c r="O152" s="50"/>
      <c r="P152" s="43" t="s">
        <v>39</v>
      </c>
    </row>
    <row r="153" spans="2:16">
      <c r="B153" s="43">
        <v>144</v>
      </c>
      <c r="C153" s="44"/>
      <c r="D153" s="50"/>
      <c r="E153" s="50"/>
      <c r="G153" s="44"/>
      <c r="H153" s="50"/>
      <c r="I153" s="50"/>
      <c r="K153" s="44"/>
      <c r="L153" s="50"/>
      <c r="N153" s="44"/>
      <c r="O153" s="50"/>
      <c r="P153" s="43" t="s">
        <v>39</v>
      </c>
    </row>
    <row r="154" spans="2:16">
      <c r="B154" s="43">
        <v>145</v>
      </c>
      <c r="C154" s="44"/>
      <c r="D154" s="50"/>
      <c r="E154" s="50"/>
      <c r="G154" s="44"/>
      <c r="H154" s="50"/>
      <c r="I154" s="50"/>
      <c r="K154" s="44"/>
      <c r="L154" s="50"/>
      <c r="N154" s="44"/>
      <c r="O154" s="50"/>
      <c r="P154" s="43" t="s">
        <v>39</v>
      </c>
    </row>
    <row r="155" spans="2:16">
      <c r="B155" s="43">
        <v>146</v>
      </c>
      <c r="C155" s="44"/>
      <c r="D155" s="50"/>
      <c r="E155" s="50"/>
      <c r="G155" s="44"/>
      <c r="H155" s="50"/>
      <c r="I155" s="50"/>
      <c r="K155" s="44"/>
      <c r="L155" s="50"/>
      <c r="N155" s="44"/>
      <c r="O155" s="50"/>
      <c r="P155" s="43" t="s">
        <v>39</v>
      </c>
    </row>
    <row r="156" spans="2:16">
      <c r="B156" s="43">
        <v>147</v>
      </c>
      <c r="C156" s="44"/>
      <c r="D156" s="50"/>
      <c r="E156" s="50"/>
      <c r="G156" s="44"/>
      <c r="H156" s="50"/>
      <c r="I156" s="50"/>
      <c r="K156" s="44"/>
      <c r="L156" s="50"/>
      <c r="N156" s="44"/>
      <c r="O156" s="50"/>
      <c r="P156" s="43" t="s">
        <v>39</v>
      </c>
    </row>
    <row r="157" spans="2:16">
      <c r="B157" s="43">
        <v>148</v>
      </c>
      <c r="C157" s="44"/>
      <c r="D157" s="50"/>
      <c r="E157" s="50"/>
      <c r="G157" s="44"/>
      <c r="H157" s="50"/>
      <c r="I157" s="50"/>
      <c r="K157" s="44"/>
      <c r="L157" s="50"/>
      <c r="N157" s="44"/>
      <c r="O157" s="50"/>
      <c r="P157" s="43" t="s">
        <v>39</v>
      </c>
    </row>
    <row r="158" spans="2:16">
      <c r="B158" s="43">
        <v>149</v>
      </c>
      <c r="C158" s="44"/>
      <c r="D158" s="50"/>
      <c r="E158" s="50"/>
      <c r="G158" s="44"/>
      <c r="H158" s="50"/>
      <c r="I158" s="50"/>
      <c r="K158" s="44"/>
      <c r="L158" s="50"/>
      <c r="N158" s="44"/>
      <c r="O158" s="50"/>
      <c r="P158" s="43" t="s">
        <v>39</v>
      </c>
    </row>
    <row r="159" spans="2:16">
      <c r="B159" s="43">
        <v>150</v>
      </c>
      <c r="C159" s="44"/>
      <c r="D159" s="50"/>
      <c r="E159" s="50"/>
      <c r="G159" s="44"/>
      <c r="H159" s="50"/>
      <c r="I159" s="50"/>
      <c r="K159" s="44"/>
      <c r="L159" s="50"/>
      <c r="N159" s="44"/>
      <c r="O159" s="50"/>
      <c r="P159" s="43" t="s">
        <v>39</v>
      </c>
    </row>
    <row r="160" spans="2:16">
      <c r="B160" s="43">
        <v>151</v>
      </c>
      <c r="C160" s="44"/>
      <c r="D160" s="50"/>
      <c r="E160" s="50"/>
      <c r="G160" s="44"/>
      <c r="H160" s="50"/>
      <c r="I160" s="50"/>
      <c r="K160" s="44"/>
      <c r="L160" s="50"/>
      <c r="N160" s="44"/>
      <c r="O160" s="50"/>
      <c r="P160" s="43" t="s">
        <v>39</v>
      </c>
    </row>
    <row r="161" spans="2:16">
      <c r="B161" s="43">
        <v>152</v>
      </c>
      <c r="C161" s="44"/>
      <c r="D161" s="50"/>
      <c r="E161" s="50"/>
      <c r="G161" s="44"/>
      <c r="H161" s="50"/>
      <c r="I161" s="50"/>
      <c r="K161" s="44"/>
      <c r="L161" s="50"/>
      <c r="N161" s="44"/>
      <c r="O161" s="50"/>
      <c r="P161" s="43" t="s">
        <v>39</v>
      </c>
    </row>
    <row r="162" spans="2:16">
      <c r="B162" s="43">
        <v>153</v>
      </c>
      <c r="C162" s="44"/>
      <c r="D162" s="50"/>
      <c r="E162" s="50"/>
      <c r="G162" s="44"/>
      <c r="H162" s="50"/>
      <c r="I162" s="50"/>
      <c r="K162" s="44"/>
      <c r="L162" s="50"/>
      <c r="N162" s="44"/>
      <c r="O162" s="50"/>
      <c r="P162" s="43" t="s">
        <v>39</v>
      </c>
    </row>
    <row r="163" spans="2:16">
      <c r="B163" s="43">
        <v>154</v>
      </c>
      <c r="C163" s="44"/>
      <c r="D163" s="50"/>
      <c r="E163" s="50"/>
      <c r="G163" s="44"/>
      <c r="H163" s="50"/>
      <c r="I163" s="50"/>
      <c r="K163" s="44"/>
      <c r="L163" s="50"/>
      <c r="N163" s="44"/>
      <c r="O163" s="50"/>
      <c r="P163" s="43" t="s">
        <v>39</v>
      </c>
    </row>
    <row r="164" spans="2:16">
      <c r="B164" s="43">
        <v>155</v>
      </c>
      <c r="C164" s="44"/>
      <c r="D164" s="50"/>
      <c r="E164" s="50"/>
      <c r="G164" s="44"/>
      <c r="H164" s="50"/>
      <c r="I164" s="50"/>
      <c r="K164" s="44"/>
      <c r="L164" s="50"/>
      <c r="N164" s="44"/>
      <c r="O164" s="50"/>
      <c r="P164" s="43" t="s">
        <v>39</v>
      </c>
    </row>
    <row r="165" spans="2:16">
      <c r="B165" s="43">
        <v>156</v>
      </c>
      <c r="C165" s="44"/>
      <c r="D165" s="50"/>
      <c r="E165" s="50"/>
      <c r="G165" s="44"/>
      <c r="H165" s="50"/>
      <c r="I165" s="50"/>
      <c r="K165" s="44"/>
      <c r="L165" s="50"/>
      <c r="N165" s="44"/>
      <c r="O165" s="50"/>
      <c r="P165" s="43" t="s">
        <v>39</v>
      </c>
    </row>
    <row r="166" spans="2:16">
      <c r="B166" s="43">
        <v>157</v>
      </c>
      <c r="C166" s="44"/>
      <c r="D166" s="50"/>
      <c r="E166" s="50"/>
      <c r="G166" s="44"/>
      <c r="H166" s="50"/>
      <c r="I166" s="50"/>
      <c r="K166" s="44"/>
      <c r="L166" s="50"/>
      <c r="N166" s="44"/>
      <c r="O166" s="50"/>
      <c r="P166" s="43" t="s">
        <v>39</v>
      </c>
    </row>
    <row r="167" spans="2:16">
      <c r="B167" s="43">
        <v>158</v>
      </c>
      <c r="C167" s="44"/>
      <c r="D167" s="50"/>
      <c r="E167" s="50"/>
      <c r="G167" s="44"/>
      <c r="H167" s="50"/>
      <c r="I167" s="50"/>
      <c r="K167" s="44"/>
      <c r="L167" s="50"/>
      <c r="N167" s="44"/>
      <c r="O167" s="50"/>
      <c r="P167" s="43" t="s">
        <v>39</v>
      </c>
    </row>
    <row r="168" spans="2:16">
      <c r="B168" s="43">
        <v>159</v>
      </c>
      <c r="C168" s="44"/>
      <c r="D168" s="50"/>
      <c r="E168" s="50"/>
      <c r="G168" s="44"/>
      <c r="H168" s="50"/>
      <c r="I168" s="50"/>
      <c r="K168" s="44"/>
      <c r="L168" s="50"/>
      <c r="N168" s="44"/>
      <c r="O168" s="50"/>
      <c r="P168" s="43" t="s">
        <v>39</v>
      </c>
    </row>
    <row r="169" spans="2:16">
      <c r="B169" s="43">
        <v>160</v>
      </c>
      <c r="C169" s="44"/>
      <c r="D169" s="50"/>
      <c r="E169" s="50"/>
      <c r="G169" s="44"/>
      <c r="H169" s="50"/>
      <c r="I169" s="50"/>
      <c r="K169" s="44"/>
      <c r="L169" s="50"/>
      <c r="N169" s="44"/>
      <c r="O169" s="50"/>
      <c r="P169" s="43" t="s">
        <v>39</v>
      </c>
    </row>
    <row r="170" spans="2:16">
      <c r="B170" s="43">
        <v>161</v>
      </c>
      <c r="C170" s="44"/>
      <c r="D170" s="50"/>
      <c r="E170" s="50"/>
      <c r="G170" s="44"/>
      <c r="H170" s="50"/>
      <c r="I170" s="50"/>
      <c r="K170" s="44"/>
      <c r="L170" s="50"/>
      <c r="N170" s="44"/>
      <c r="O170" s="50"/>
      <c r="P170" s="43" t="s">
        <v>39</v>
      </c>
    </row>
    <row r="171" spans="2:16">
      <c r="B171" s="43">
        <v>162</v>
      </c>
      <c r="C171" s="44"/>
      <c r="D171" s="50"/>
      <c r="E171" s="50"/>
      <c r="G171" s="44"/>
      <c r="H171" s="50"/>
      <c r="I171" s="50"/>
      <c r="K171" s="44"/>
      <c r="L171" s="50"/>
      <c r="N171" s="44"/>
      <c r="O171" s="50"/>
      <c r="P171" s="43" t="s">
        <v>39</v>
      </c>
    </row>
    <row r="172" spans="2:16">
      <c r="B172" s="43">
        <v>163</v>
      </c>
      <c r="C172" s="44"/>
      <c r="D172" s="50"/>
      <c r="E172" s="50"/>
      <c r="G172" s="44"/>
      <c r="H172" s="50"/>
      <c r="I172" s="50"/>
      <c r="K172" s="44"/>
      <c r="L172" s="50"/>
      <c r="N172" s="44"/>
      <c r="O172" s="50"/>
      <c r="P172" s="43" t="s">
        <v>39</v>
      </c>
    </row>
    <row r="173" spans="2:16">
      <c r="B173" s="43">
        <v>164</v>
      </c>
      <c r="C173" s="44"/>
      <c r="D173" s="50"/>
      <c r="E173" s="50"/>
      <c r="G173" s="44"/>
      <c r="H173" s="50"/>
      <c r="I173" s="50"/>
      <c r="K173" s="44"/>
      <c r="L173" s="50"/>
      <c r="N173" s="44"/>
      <c r="O173" s="50"/>
      <c r="P173" s="43" t="s">
        <v>39</v>
      </c>
    </row>
    <row r="174" spans="2:16">
      <c r="B174" s="43">
        <v>165</v>
      </c>
      <c r="C174" s="44"/>
      <c r="D174" s="50"/>
      <c r="E174" s="50"/>
      <c r="G174" s="44"/>
      <c r="H174" s="50"/>
      <c r="I174" s="50"/>
      <c r="K174" s="44"/>
      <c r="L174" s="50"/>
      <c r="N174" s="44"/>
      <c r="O174" s="50"/>
      <c r="P174" s="43" t="s">
        <v>39</v>
      </c>
    </row>
    <row r="175" spans="2:16">
      <c r="B175" s="43">
        <v>166</v>
      </c>
      <c r="C175" s="44"/>
      <c r="D175" s="50"/>
      <c r="E175" s="50"/>
      <c r="G175" s="44"/>
      <c r="H175" s="50"/>
      <c r="I175" s="50"/>
      <c r="K175" s="44"/>
      <c r="L175" s="50"/>
      <c r="N175" s="44"/>
      <c r="O175" s="50"/>
      <c r="P175" s="43" t="s">
        <v>39</v>
      </c>
    </row>
    <row r="176" spans="2:16">
      <c r="B176" s="43">
        <v>167</v>
      </c>
      <c r="C176" s="44"/>
      <c r="D176" s="50"/>
      <c r="E176" s="50"/>
      <c r="G176" s="44"/>
      <c r="H176" s="50"/>
      <c r="I176" s="50"/>
      <c r="K176" s="44"/>
      <c r="L176" s="50"/>
      <c r="N176" s="44"/>
      <c r="O176" s="50"/>
      <c r="P176" s="43" t="s">
        <v>39</v>
      </c>
    </row>
    <row r="177" spans="2:16">
      <c r="B177" s="43">
        <v>168</v>
      </c>
      <c r="C177" s="44"/>
      <c r="D177" s="50"/>
      <c r="E177" s="50"/>
      <c r="G177" s="44"/>
      <c r="H177" s="50"/>
      <c r="I177" s="50"/>
      <c r="K177" s="44"/>
      <c r="L177" s="50"/>
      <c r="N177" s="44"/>
      <c r="O177" s="50"/>
      <c r="P177" s="43" t="s">
        <v>39</v>
      </c>
    </row>
    <row r="178" spans="2:16">
      <c r="B178" s="43">
        <v>169</v>
      </c>
      <c r="C178" s="44"/>
      <c r="D178" s="50"/>
      <c r="E178" s="50"/>
      <c r="G178" s="44"/>
      <c r="H178" s="50"/>
      <c r="I178" s="50"/>
      <c r="K178" s="44"/>
      <c r="L178" s="50"/>
      <c r="N178" s="44"/>
      <c r="O178" s="50"/>
      <c r="P178" s="43" t="s">
        <v>39</v>
      </c>
    </row>
    <row r="179" spans="2:16">
      <c r="B179" s="43">
        <v>170</v>
      </c>
      <c r="C179" s="44"/>
      <c r="D179" s="50"/>
      <c r="E179" s="50"/>
      <c r="G179" s="44"/>
      <c r="H179" s="50"/>
      <c r="I179" s="50"/>
      <c r="K179" s="44"/>
      <c r="L179" s="50"/>
      <c r="N179" s="44"/>
      <c r="O179" s="50"/>
      <c r="P179" s="43" t="s">
        <v>39</v>
      </c>
    </row>
    <row r="180" spans="2:16">
      <c r="B180" s="43">
        <v>171</v>
      </c>
      <c r="C180" s="44"/>
      <c r="D180" s="50"/>
      <c r="E180" s="50"/>
      <c r="G180" s="44"/>
      <c r="H180" s="50"/>
      <c r="I180" s="50"/>
      <c r="K180" s="44"/>
      <c r="L180" s="50"/>
      <c r="N180" s="44"/>
      <c r="O180" s="50"/>
      <c r="P180" s="43" t="s">
        <v>39</v>
      </c>
    </row>
    <row r="181" spans="2:16">
      <c r="B181" s="43">
        <v>172</v>
      </c>
      <c r="C181" s="44"/>
      <c r="D181" s="50"/>
      <c r="E181" s="50"/>
      <c r="G181" s="44"/>
      <c r="H181" s="50"/>
      <c r="I181" s="50"/>
      <c r="K181" s="44"/>
      <c r="L181" s="50"/>
      <c r="N181" s="44"/>
      <c r="O181" s="50"/>
      <c r="P181" s="43" t="s">
        <v>39</v>
      </c>
    </row>
    <row r="182" spans="2:16">
      <c r="B182" s="43">
        <v>173</v>
      </c>
      <c r="C182" s="44"/>
      <c r="D182" s="50"/>
      <c r="E182" s="50"/>
      <c r="G182" s="44"/>
      <c r="H182" s="50"/>
      <c r="I182" s="50"/>
      <c r="K182" s="44"/>
      <c r="L182" s="50"/>
      <c r="N182" s="44"/>
      <c r="O182" s="50"/>
      <c r="P182" s="43" t="s">
        <v>39</v>
      </c>
    </row>
    <row r="183" spans="2:16">
      <c r="B183" s="43">
        <v>174</v>
      </c>
      <c r="C183" s="44"/>
      <c r="D183" s="50"/>
      <c r="E183" s="50"/>
      <c r="G183" s="44"/>
      <c r="H183" s="50"/>
      <c r="I183" s="50"/>
      <c r="K183" s="44"/>
      <c r="L183" s="50"/>
      <c r="N183" s="44"/>
      <c r="O183" s="50"/>
      <c r="P183" s="43" t="s">
        <v>39</v>
      </c>
    </row>
    <row r="184" spans="2:16">
      <c r="B184" s="43">
        <v>175</v>
      </c>
      <c r="C184" s="44"/>
      <c r="D184" s="50"/>
      <c r="E184" s="50"/>
      <c r="G184" s="44"/>
      <c r="H184" s="50"/>
      <c r="I184" s="50"/>
      <c r="K184" s="44"/>
      <c r="L184" s="50"/>
      <c r="N184" s="44"/>
      <c r="O184" s="50"/>
      <c r="P184" s="43" t="s">
        <v>39</v>
      </c>
    </row>
    <row r="185" spans="2:16">
      <c r="B185" s="43">
        <v>176</v>
      </c>
      <c r="C185" s="44"/>
      <c r="D185" s="50"/>
      <c r="E185" s="50"/>
      <c r="G185" s="44"/>
      <c r="H185" s="50"/>
      <c r="I185" s="50"/>
      <c r="K185" s="44"/>
      <c r="L185" s="50"/>
      <c r="N185" s="44"/>
      <c r="O185" s="50"/>
      <c r="P185" s="43" t="s">
        <v>39</v>
      </c>
    </row>
    <row r="186" spans="2:16">
      <c r="B186" s="43">
        <v>177</v>
      </c>
      <c r="C186" s="44"/>
      <c r="D186" s="50"/>
      <c r="E186" s="50"/>
      <c r="G186" s="44"/>
      <c r="H186" s="50"/>
      <c r="I186" s="50"/>
      <c r="K186" s="44"/>
      <c r="L186" s="50"/>
      <c r="N186" s="44"/>
      <c r="O186" s="50"/>
      <c r="P186" s="43" t="s">
        <v>39</v>
      </c>
    </row>
    <row r="187" spans="2:16">
      <c r="B187" s="43">
        <v>178</v>
      </c>
      <c r="C187" s="44"/>
      <c r="D187" s="50"/>
      <c r="E187" s="50"/>
      <c r="G187" s="44"/>
      <c r="H187" s="50"/>
      <c r="I187" s="50"/>
      <c r="K187" s="44"/>
      <c r="L187" s="50"/>
      <c r="N187" s="44"/>
      <c r="O187" s="50"/>
      <c r="P187" s="43" t="s">
        <v>39</v>
      </c>
    </row>
    <row r="188" spans="2:16">
      <c r="B188" s="43">
        <v>179</v>
      </c>
      <c r="C188" s="44"/>
      <c r="D188" s="50"/>
      <c r="E188" s="50"/>
      <c r="G188" s="44"/>
      <c r="H188" s="50"/>
      <c r="I188" s="50"/>
      <c r="K188" s="44"/>
      <c r="L188" s="50"/>
      <c r="N188" s="44"/>
      <c r="O188" s="50"/>
      <c r="P188" s="43" t="s">
        <v>39</v>
      </c>
    </row>
    <row r="189" spans="2:16">
      <c r="B189" s="43">
        <v>180</v>
      </c>
      <c r="C189" s="44"/>
      <c r="D189" s="50"/>
      <c r="E189" s="50"/>
      <c r="G189" s="44"/>
      <c r="H189" s="50"/>
      <c r="I189" s="50"/>
      <c r="K189" s="44"/>
      <c r="L189" s="50"/>
      <c r="N189" s="44"/>
      <c r="O189" s="50"/>
      <c r="P189" s="43" t="s">
        <v>39</v>
      </c>
    </row>
    <row r="190" spans="2:16">
      <c r="B190" s="43">
        <v>181</v>
      </c>
      <c r="C190" s="44"/>
      <c r="D190" s="50"/>
      <c r="E190" s="50"/>
      <c r="G190" s="44"/>
      <c r="H190" s="50"/>
      <c r="I190" s="50"/>
      <c r="K190" s="44"/>
      <c r="L190" s="50"/>
      <c r="N190" s="44"/>
      <c r="O190" s="50"/>
      <c r="P190" s="43" t="s">
        <v>39</v>
      </c>
    </row>
    <row r="191" spans="2:16">
      <c r="B191" s="43">
        <v>182</v>
      </c>
      <c r="C191" s="44"/>
      <c r="D191" s="50"/>
      <c r="E191" s="50"/>
      <c r="G191" s="44"/>
      <c r="H191" s="50"/>
      <c r="I191" s="50"/>
      <c r="K191" s="44"/>
      <c r="L191" s="50"/>
      <c r="N191" s="44"/>
      <c r="O191" s="50"/>
      <c r="P191" s="43" t="s">
        <v>39</v>
      </c>
    </row>
    <row r="192" spans="2:16">
      <c r="B192" s="43">
        <v>183</v>
      </c>
      <c r="C192" s="44"/>
      <c r="D192" s="50"/>
      <c r="E192" s="50"/>
      <c r="G192" s="44"/>
      <c r="H192" s="50"/>
      <c r="I192" s="50"/>
      <c r="K192" s="44"/>
      <c r="L192" s="50"/>
      <c r="N192" s="44"/>
      <c r="O192" s="50"/>
      <c r="P192" s="43" t="s">
        <v>39</v>
      </c>
    </row>
    <row r="193" spans="2:16">
      <c r="B193" s="43">
        <v>184</v>
      </c>
      <c r="C193" s="44"/>
      <c r="D193" s="50"/>
      <c r="E193" s="50"/>
      <c r="G193" s="44"/>
      <c r="H193" s="50"/>
      <c r="I193" s="50"/>
      <c r="K193" s="44"/>
      <c r="L193" s="50"/>
      <c r="N193" s="44"/>
      <c r="O193" s="50"/>
      <c r="P193" s="43" t="s">
        <v>39</v>
      </c>
    </row>
    <row r="194" spans="2:16">
      <c r="B194" s="43">
        <v>185</v>
      </c>
      <c r="C194" s="44"/>
      <c r="D194" s="50"/>
      <c r="E194" s="50"/>
      <c r="G194" s="44"/>
      <c r="H194" s="50"/>
      <c r="I194" s="50"/>
      <c r="K194" s="44"/>
      <c r="L194" s="50"/>
      <c r="N194" s="44"/>
      <c r="O194" s="50"/>
      <c r="P194" s="43" t="s">
        <v>39</v>
      </c>
    </row>
    <row r="195" spans="2:16">
      <c r="B195" s="43">
        <v>186</v>
      </c>
      <c r="C195" s="44"/>
      <c r="D195" s="50"/>
      <c r="E195" s="50"/>
      <c r="G195" s="44"/>
      <c r="H195" s="50"/>
      <c r="I195" s="50"/>
      <c r="K195" s="44"/>
      <c r="L195" s="50"/>
      <c r="N195" s="44"/>
      <c r="O195" s="50"/>
      <c r="P195" s="43" t="s">
        <v>39</v>
      </c>
    </row>
    <row r="196" spans="2:16">
      <c r="B196" s="43">
        <v>187</v>
      </c>
      <c r="C196" s="44"/>
      <c r="D196" s="50"/>
      <c r="E196" s="50"/>
      <c r="G196" s="44"/>
      <c r="H196" s="50"/>
      <c r="I196" s="50"/>
      <c r="K196" s="44"/>
      <c r="L196" s="50"/>
      <c r="N196" s="44"/>
      <c r="O196" s="50"/>
      <c r="P196" s="43" t="s">
        <v>39</v>
      </c>
    </row>
    <row r="197" spans="2:16">
      <c r="B197" s="43">
        <v>188</v>
      </c>
      <c r="C197" s="44"/>
      <c r="D197" s="50"/>
      <c r="E197" s="50"/>
      <c r="G197" s="44"/>
      <c r="H197" s="50"/>
      <c r="I197" s="50"/>
      <c r="K197" s="44"/>
      <c r="L197" s="50"/>
      <c r="N197" s="44"/>
      <c r="O197" s="50"/>
      <c r="P197" s="43" t="s">
        <v>39</v>
      </c>
    </row>
    <row r="198" spans="2:16">
      <c r="B198" s="43">
        <v>189</v>
      </c>
      <c r="C198" s="44"/>
      <c r="D198" s="50"/>
      <c r="E198" s="50"/>
      <c r="G198" s="44"/>
      <c r="H198" s="50"/>
      <c r="I198" s="50"/>
      <c r="K198" s="44"/>
      <c r="L198" s="50"/>
      <c r="N198" s="44"/>
      <c r="O198" s="50"/>
      <c r="P198" s="43" t="s">
        <v>39</v>
      </c>
    </row>
    <row r="199" spans="2:16">
      <c r="B199" s="43">
        <v>190</v>
      </c>
      <c r="C199" s="44"/>
      <c r="D199" s="50"/>
      <c r="E199" s="50"/>
      <c r="G199" s="44"/>
      <c r="H199" s="50"/>
      <c r="I199" s="50"/>
      <c r="K199" s="44"/>
      <c r="L199" s="50"/>
      <c r="N199" s="44"/>
      <c r="O199" s="50"/>
      <c r="P199" s="43" t="s">
        <v>39</v>
      </c>
    </row>
    <row r="200" spans="2:16">
      <c r="B200" s="43">
        <v>191</v>
      </c>
      <c r="C200" s="44"/>
      <c r="D200" s="50"/>
      <c r="E200" s="50"/>
      <c r="G200" s="44"/>
      <c r="H200" s="50"/>
      <c r="I200" s="50"/>
      <c r="K200" s="44"/>
      <c r="L200" s="50"/>
      <c r="N200" s="44"/>
      <c r="O200" s="50"/>
      <c r="P200" s="43" t="s">
        <v>39</v>
      </c>
    </row>
    <row r="201" spans="2:16">
      <c r="B201" s="43">
        <v>192</v>
      </c>
      <c r="C201" s="44"/>
      <c r="D201" s="50"/>
      <c r="E201" s="50"/>
      <c r="G201" s="44"/>
      <c r="H201" s="50"/>
      <c r="I201" s="50"/>
      <c r="K201" s="44"/>
      <c r="L201" s="50"/>
      <c r="N201" s="44"/>
      <c r="O201" s="50"/>
      <c r="P201" s="43" t="s">
        <v>39</v>
      </c>
    </row>
    <row r="202" spans="2:16">
      <c r="B202" s="43">
        <v>193</v>
      </c>
      <c r="C202" s="44"/>
      <c r="D202" s="50"/>
      <c r="E202" s="50"/>
      <c r="G202" s="44"/>
      <c r="H202" s="50"/>
      <c r="I202" s="50"/>
      <c r="K202" s="44"/>
      <c r="L202" s="50"/>
      <c r="N202" s="44"/>
      <c r="O202" s="50"/>
      <c r="P202" s="43" t="s">
        <v>39</v>
      </c>
    </row>
    <row r="203" spans="2:16">
      <c r="B203" s="43">
        <v>194</v>
      </c>
      <c r="C203" s="44"/>
      <c r="D203" s="50"/>
      <c r="E203" s="50"/>
      <c r="G203" s="44"/>
      <c r="H203" s="50"/>
      <c r="I203" s="50"/>
      <c r="K203" s="44"/>
      <c r="L203" s="50"/>
      <c r="N203" s="44"/>
      <c r="O203" s="50"/>
      <c r="P203" s="43" t="s">
        <v>39</v>
      </c>
    </row>
    <row r="204" spans="2:16">
      <c r="B204" s="43">
        <v>195</v>
      </c>
      <c r="C204" s="44"/>
      <c r="D204" s="50"/>
      <c r="E204" s="50"/>
      <c r="G204" s="44"/>
      <c r="H204" s="50"/>
      <c r="I204" s="50"/>
      <c r="K204" s="44"/>
      <c r="L204" s="50"/>
      <c r="N204" s="44"/>
      <c r="O204" s="50"/>
      <c r="P204" s="43" t="s">
        <v>39</v>
      </c>
    </row>
    <row r="205" spans="2:16">
      <c r="B205" s="43">
        <v>196</v>
      </c>
      <c r="C205" s="44"/>
      <c r="D205" s="50"/>
      <c r="E205" s="50"/>
      <c r="G205" s="44"/>
      <c r="H205" s="50"/>
      <c r="I205" s="50"/>
      <c r="K205" s="44"/>
      <c r="L205" s="50"/>
      <c r="N205" s="44"/>
      <c r="O205" s="50"/>
      <c r="P205" s="43" t="s">
        <v>39</v>
      </c>
    </row>
    <row r="206" spans="2:16">
      <c r="B206" s="43">
        <v>197</v>
      </c>
      <c r="C206" s="44"/>
      <c r="D206" s="50"/>
      <c r="E206" s="50"/>
      <c r="G206" s="44"/>
      <c r="H206" s="50"/>
      <c r="I206" s="50"/>
      <c r="K206" s="44"/>
      <c r="L206" s="50"/>
      <c r="N206" s="44"/>
      <c r="O206" s="50"/>
      <c r="P206" s="43" t="s">
        <v>39</v>
      </c>
    </row>
    <row r="207" spans="2:16">
      <c r="B207" s="43">
        <v>198</v>
      </c>
      <c r="C207" s="44"/>
      <c r="D207" s="50"/>
      <c r="E207" s="50"/>
      <c r="G207" s="44"/>
      <c r="H207" s="50"/>
      <c r="I207" s="50"/>
      <c r="K207" s="44"/>
      <c r="L207" s="50"/>
      <c r="N207" s="44"/>
      <c r="O207" s="50"/>
      <c r="P207" s="43" t="s">
        <v>39</v>
      </c>
    </row>
    <row r="208" spans="2:16">
      <c r="B208" s="43">
        <v>199</v>
      </c>
      <c r="C208" s="44"/>
      <c r="D208" s="50"/>
      <c r="E208" s="50"/>
      <c r="G208" s="44"/>
      <c r="H208" s="50"/>
      <c r="I208" s="50"/>
      <c r="K208" s="44"/>
      <c r="L208" s="50"/>
      <c r="N208" s="44"/>
      <c r="O208" s="50"/>
      <c r="P208" s="43" t="s">
        <v>39</v>
      </c>
    </row>
    <row r="209" spans="2:16">
      <c r="B209" s="43">
        <v>200</v>
      </c>
      <c r="C209" s="44"/>
      <c r="D209" s="50"/>
      <c r="E209" s="50"/>
      <c r="G209" s="44"/>
      <c r="H209" s="50"/>
      <c r="I209" s="50"/>
      <c r="K209" s="44"/>
      <c r="L209" s="50"/>
      <c r="N209" s="44"/>
      <c r="O209" s="50"/>
      <c r="P209" s="43" t="s">
        <v>39</v>
      </c>
    </row>
    <row r="210" spans="2:16">
      <c r="B210" s="43">
        <v>201</v>
      </c>
      <c r="C210" s="44"/>
      <c r="D210" s="50"/>
      <c r="E210" s="50"/>
      <c r="G210" s="44"/>
      <c r="H210" s="50"/>
      <c r="I210" s="50"/>
      <c r="K210" s="44"/>
      <c r="L210" s="50"/>
      <c r="N210" s="44"/>
      <c r="O210" s="50"/>
      <c r="P210" s="43" t="s">
        <v>39</v>
      </c>
    </row>
    <row r="211" spans="2:16">
      <c r="B211" s="43">
        <v>202</v>
      </c>
      <c r="C211" s="44"/>
      <c r="D211" s="50"/>
      <c r="E211" s="50"/>
      <c r="G211" s="44"/>
      <c r="H211" s="50"/>
      <c r="I211" s="50"/>
      <c r="K211" s="44"/>
      <c r="L211" s="50"/>
      <c r="N211" s="44"/>
      <c r="O211" s="50"/>
      <c r="P211" s="43" t="s">
        <v>39</v>
      </c>
    </row>
    <row r="212" spans="2:16">
      <c r="B212" s="43">
        <v>203</v>
      </c>
      <c r="C212" s="44"/>
      <c r="D212" s="50"/>
      <c r="E212" s="50"/>
      <c r="G212" s="44"/>
      <c r="H212" s="50"/>
      <c r="I212" s="50"/>
      <c r="K212" s="44"/>
      <c r="L212" s="50"/>
      <c r="N212" s="44"/>
      <c r="O212" s="50"/>
      <c r="P212" s="43" t="s">
        <v>39</v>
      </c>
    </row>
    <row r="213" spans="2:16">
      <c r="B213" s="43">
        <v>204</v>
      </c>
      <c r="C213" s="44"/>
      <c r="D213" s="50"/>
      <c r="E213" s="50"/>
      <c r="G213" s="44"/>
      <c r="H213" s="50"/>
      <c r="I213" s="50"/>
      <c r="K213" s="44"/>
      <c r="L213" s="50"/>
      <c r="N213" s="44"/>
      <c r="O213" s="50"/>
      <c r="P213" s="43" t="s">
        <v>39</v>
      </c>
    </row>
    <row r="214" spans="2:16">
      <c r="B214" s="43">
        <v>205</v>
      </c>
      <c r="C214" s="44"/>
      <c r="D214" s="50"/>
      <c r="E214" s="50"/>
      <c r="G214" s="44"/>
      <c r="H214" s="50"/>
      <c r="I214" s="50"/>
      <c r="K214" s="44"/>
      <c r="L214" s="50"/>
      <c r="N214" s="44"/>
      <c r="O214" s="50"/>
      <c r="P214" s="43" t="s">
        <v>39</v>
      </c>
    </row>
    <row r="215" spans="2:16">
      <c r="B215" s="43">
        <v>206</v>
      </c>
      <c r="C215" s="44"/>
      <c r="D215" s="50"/>
      <c r="E215" s="50"/>
      <c r="G215" s="44"/>
      <c r="H215" s="50"/>
      <c r="I215" s="50"/>
      <c r="K215" s="44"/>
      <c r="L215" s="50"/>
      <c r="N215" s="44"/>
      <c r="O215" s="50"/>
      <c r="P215" s="43" t="s">
        <v>39</v>
      </c>
    </row>
    <row r="216" spans="2:16">
      <c r="B216" s="43">
        <v>207</v>
      </c>
      <c r="C216" s="44"/>
      <c r="D216" s="50"/>
      <c r="E216" s="50"/>
      <c r="G216" s="44"/>
      <c r="H216" s="50"/>
      <c r="I216" s="50"/>
      <c r="K216" s="44"/>
      <c r="L216" s="50"/>
      <c r="N216" s="44"/>
      <c r="O216" s="50"/>
      <c r="P216" s="43" t="s">
        <v>39</v>
      </c>
    </row>
    <row r="217" spans="2:16">
      <c r="B217" s="43">
        <v>208</v>
      </c>
      <c r="C217" s="44"/>
      <c r="D217" s="50"/>
      <c r="E217" s="50"/>
      <c r="G217" s="44"/>
      <c r="H217" s="50"/>
      <c r="I217" s="50"/>
      <c r="K217" s="44"/>
      <c r="L217" s="50"/>
      <c r="N217" s="44"/>
      <c r="O217" s="50"/>
      <c r="P217" s="43" t="s">
        <v>39</v>
      </c>
    </row>
    <row r="218" spans="2:16">
      <c r="B218" s="43">
        <v>209</v>
      </c>
      <c r="C218" s="44"/>
      <c r="D218" s="50"/>
      <c r="E218" s="50"/>
      <c r="G218" s="44"/>
      <c r="H218" s="50"/>
      <c r="I218" s="50"/>
      <c r="K218" s="44"/>
      <c r="L218" s="50"/>
      <c r="N218" s="44"/>
      <c r="O218" s="50"/>
      <c r="P218" s="43" t="s">
        <v>39</v>
      </c>
    </row>
    <row r="219" spans="2:16">
      <c r="B219" s="43">
        <v>210</v>
      </c>
      <c r="C219" s="44"/>
      <c r="D219" s="50"/>
      <c r="E219" s="50"/>
      <c r="G219" s="44"/>
      <c r="H219" s="50"/>
      <c r="I219" s="50"/>
      <c r="K219" s="44"/>
      <c r="L219" s="50"/>
      <c r="N219" s="44"/>
      <c r="O219" s="50"/>
      <c r="P219" s="43" t="s">
        <v>39</v>
      </c>
    </row>
    <row r="220" spans="2:16">
      <c r="B220" s="43">
        <v>211</v>
      </c>
      <c r="C220" s="44"/>
      <c r="D220" s="50"/>
      <c r="E220" s="50"/>
      <c r="G220" s="44"/>
      <c r="H220" s="50"/>
      <c r="I220" s="50"/>
      <c r="K220" s="44"/>
      <c r="L220" s="50"/>
      <c r="N220" s="44"/>
      <c r="O220" s="50"/>
      <c r="P220" s="43" t="s">
        <v>39</v>
      </c>
    </row>
    <row r="221" spans="2:16">
      <c r="B221" s="43">
        <v>212</v>
      </c>
      <c r="C221" s="44"/>
      <c r="D221" s="50"/>
      <c r="E221" s="50"/>
      <c r="G221" s="44"/>
      <c r="H221" s="50"/>
      <c r="I221" s="50"/>
      <c r="K221" s="44"/>
      <c r="L221" s="50"/>
      <c r="N221" s="44"/>
      <c r="O221" s="50"/>
      <c r="P221" s="43" t="s">
        <v>39</v>
      </c>
    </row>
    <row r="222" spans="2:16">
      <c r="B222" s="43">
        <v>213</v>
      </c>
      <c r="C222" s="44"/>
      <c r="D222" s="50"/>
      <c r="E222" s="50"/>
      <c r="G222" s="44"/>
      <c r="H222" s="50"/>
      <c r="I222" s="50"/>
      <c r="K222" s="44"/>
      <c r="L222" s="50"/>
      <c r="N222" s="44"/>
      <c r="O222" s="50"/>
      <c r="P222" s="43" t="s">
        <v>39</v>
      </c>
    </row>
    <row r="223" spans="2:16">
      <c r="B223" s="43">
        <v>214</v>
      </c>
      <c r="C223" s="44"/>
      <c r="D223" s="50"/>
      <c r="E223" s="50"/>
      <c r="G223" s="44"/>
      <c r="H223" s="50"/>
      <c r="I223" s="50"/>
      <c r="K223" s="44"/>
      <c r="L223" s="50"/>
      <c r="N223" s="44"/>
      <c r="O223" s="50"/>
      <c r="P223" s="43" t="s">
        <v>39</v>
      </c>
    </row>
    <row r="224" spans="2:16">
      <c r="B224" s="43">
        <v>215</v>
      </c>
      <c r="C224" s="44"/>
      <c r="D224" s="50"/>
      <c r="E224" s="50"/>
      <c r="G224" s="44"/>
      <c r="H224" s="50"/>
      <c r="I224" s="50"/>
      <c r="K224" s="44"/>
      <c r="L224" s="50"/>
      <c r="N224" s="44"/>
      <c r="O224" s="50"/>
      <c r="P224" s="43" t="s">
        <v>39</v>
      </c>
    </row>
    <row r="225" spans="2:16">
      <c r="B225" s="43">
        <v>216</v>
      </c>
      <c r="C225" s="44"/>
      <c r="D225" s="50"/>
      <c r="E225" s="50"/>
      <c r="G225" s="44"/>
      <c r="H225" s="50"/>
      <c r="I225" s="50"/>
      <c r="K225" s="44"/>
      <c r="L225" s="50"/>
      <c r="N225" s="44"/>
      <c r="O225" s="50"/>
      <c r="P225" s="43" t="s">
        <v>39</v>
      </c>
    </row>
    <row r="226" spans="2:16">
      <c r="B226" s="43">
        <v>217</v>
      </c>
      <c r="C226" s="44"/>
      <c r="D226" s="50"/>
      <c r="E226" s="50"/>
      <c r="G226" s="44"/>
      <c r="H226" s="50"/>
      <c r="I226" s="50"/>
      <c r="K226" s="44"/>
      <c r="L226" s="50"/>
      <c r="N226" s="44"/>
      <c r="O226" s="50"/>
      <c r="P226" s="43" t="s">
        <v>39</v>
      </c>
    </row>
    <row r="227" spans="2:16">
      <c r="B227" s="43">
        <v>218</v>
      </c>
      <c r="C227" s="44"/>
      <c r="D227" s="50"/>
      <c r="E227" s="50"/>
      <c r="G227" s="44"/>
      <c r="H227" s="50"/>
      <c r="I227" s="50"/>
      <c r="K227" s="44"/>
      <c r="L227" s="50"/>
      <c r="N227" s="44"/>
      <c r="O227" s="50"/>
      <c r="P227" s="43" t="s">
        <v>39</v>
      </c>
    </row>
    <row r="228" spans="2:16">
      <c r="B228" s="43">
        <v>219</v>
      </c>
      <c r="C228" s="44"/>
      <c r="D228" s="50"/>
      <c r="E228" s="50"/>
      <c r="G228" s="44"/>
      <c r="H228" s="50"/>
      <c r="I228" s="50"/>
      <c r="K228" s="44"/>
      <c r="L228" s="50"/>
      <c r="N228" s="44"/>
      <c r="O228" s="50"/>
      <c r="P228" s="43" t="s">
        <v>39</v>
      </c>
    </row>
    <row r="229" spans="2:16">
      <c r="B229" s="43">
        <v>220</v>
      </c>
      <c r="C229" s="44"/>
      <c r="D229" s="50"/>
      <c r="E229" s="50"/>
      <c r="G229" s="44"/>
      <c r="H229" s="50"/>
      <c r="I229" s="50"/>
      <c r="K229" s="44"/>
      <c r="L229" s="50"/>
      <c r="N229" s="44"/>
      <c r="O229" s="50"/>
      <c r="P229" s="43" t="s">
        <v>39</v>
      </c>
    </row>
    <row r="230" spans="2:16">
      <c r="B230" s="43">
        <v>221</v>
      </c>
      <c r="C230" s="44"/>
      <c r="D230" s="50"/>
      <c r="E230" s="50"/>
      <c r="G230" s="44"/>
      <c r="H230" s="50"/>
      <c r="I230" s="50"/>
      <c r="K230" s="44"/>
      <c r="L230" s="50"/>
      <c r="N230" s="44"/>
      <c r="O230" s="50"/>
      <c r="P230" s="43" t="s">
        <v>39</v>
      </c>
    </row>
    <row r="231" spans="2:16">
      <c r="B231" s="43">
        <v>222</v>
      </c>
      <c r="C231" s="44"/>
      <c r="D231" s="50"/>
      <c r="E231" s="50"/>
      <c r="G231" s="44"/>
      <c r="H231" s="50"/>
      <c r="I231" s="50"/>
      <c r="K231" s="44"/>
      <c r="L231" s="50"/>
      <c r="N231" s="44"/>
      <c r="O231" s="50"/>
      <c r="P231" s="43" t="s">
        <v>39</v>
      </c>
    </row>
    <row r="232" spans="2:16">
      <c r="B232" s="43">
        <v>223</v>
      </c>
      <c r="C232" s="44"/>
      <c r="D232" s="50"/>
      <c r="E232" s="50"/>
      <c r="G232" s="44"/>
      <c r="H232" s="50"/>
      <c r="I232" s="50"/>
      <c r="K232" s="44"/>
      <c r="L232" s="50"/>
      <c r="N232" s="44"/>
      <c r="O232" s="50"/>
      <c r="P232" s="43" t="s">
        <v>39</v>
      </c>
    </row>
    <row r="233" spans="2:16">
      <c r="B233" s="43">
        <v>224</v>
      </c>
      <c r="C233" s="44"/>
      <c r="D233" s="50"/>
      <c r="E233" s="50"/>
      <c r="G233" s="44"/>
      <c r="H233" s="50"/>
      <c r="I233" s="50"/>
      <c r="K233" s="44"/>
      <c r="L233" s="50"/>
      <c r="N233" s="44"/>
      <c r="O233" s="50"/>
      <c r="P233" s="43" t="s">
        <v>39</v>
      </c>
    </row>
    <row r="234" spans="2:16">
      <c r="B234" s="43">
        <v>225</v>
      </c>
      <c r="C234" s="44"/>
      <c r="D234" s="50"/>
      <c r="E234" s="50"/>
      <c r="G234" s="44"/>
      <c r="H234" s="50"/>
      <c r="I234" s="50"/>
      <c r="K234" s="44"/>
      <c r="L234" s="50"/>
      <c r="N234" s="44"/>
      <c r="O234" s="50"/>
      <c r="P234" s="43" t="s">
        <v>39</v>
      </c>
    </row>
    <row r="235" spans="2:16">
      <c r="B235" s="43">
        <v>226</v>
      </c>
      <c r="C235" s="44"/>
      <c r="D235" s="50"/>
      <c r="E235" s="50"/>
      <c r="G235" s="44"/>
      <c r="H235" s="50"/>
      <c r="I235" s="50"/>
      <c r="K235" s="44"/>
      <c r="L235" s="50"/>
      <c r="N235" s="44"/>
      <c r="O235" s="50"/>
      <c r="P235" s="43" t="s">
        <v>39</v>
      </c>
    </row>
    <row r="236" spans="2:16">
      <c r="B236" s="43">
        <v>227</v>
      </c>
      <c r="C236" s="44"/>
      <c r="D236" s="50"/>
      <c r="E236" s="50"/>
      <c r="G236" s="44"/>
      <c r="H236" s="50"/>
      <c r="I236" s="50"/>
      <c r="K236" s="44"/>
      <c r="L236" s="50"/>
      <c r="N236" s="44"/>
      <c r="O236" s="50"/>
      <c r="P236" s="43" t="s">
        <v>39</v>
      </c>
    </row>
    <row r="237" spans="2:16">
      <c r="B237" s="43">
        <v>228</v>
      </c>
      <c r="C237" s="44"/>
      <c r="D237" s="50"/>
      <c r="E237" s="50"/>
      <c r="G237" s="44"/>
      <c r="H237" s="50"/>
      <c r="I237" s="50"/>
      <c r="K237" s="44"/>
      <c r="L237" s="50"/>
      <c r="N237" s="44"/>
      <c r="O237" s="50"/>
      <c r="P237" s="43" t="s">
        <v>39</v>
      </c>
    </row>
    <row r="238" spans="2:16">
      <c r="B238" s="43">
        <v>229</v>
      </c>
      <c r="C238" s="44"/>
      <c r="D238" s="50"/>
      <c r="E238" s="50"/>
      <c r="G238" s="44"/>
      <c r="H238" s="50"/>
      <c r="I238" s="50"/>
      <c r="K238" s="44"/>
      <c r="L238" s="50"/>
      <c r="N238" s="44"/>
      <c r="O238" s="50"/>
      <c r="P238" s="43" t="s">
        <v>39</v>
      </c>
    </row>
    <row r="239" spans="2:16">
      <c r="B239" s="43">
        <v>230</v>
      </c>
      <c r="C239" s="44"/>
      <c r="D239" s="50"/>
      <c r="E239" s="50"/>
      <c r="G239" s="44"/>
      <c r="H239" s="50"/>
      <c r="I239" s="50"/>
      <c r="K239" s="44"/>
      <c r="L239" s="50"/>
      <c r="N239" s="44"/>
      <c r="O239" s="50"/>
      <c r="P239" s="43" t="s">
        <v>39</v>
      </c>
    </row>
    <row r="240" spans="2:16">
      <c r="B240" s="43">
        <v>231</v>
      </c>
      <c r="C240" s="44"/>
      <c r="D240" s="50"/>
      <c r="E240" s="50"/>
      <c r="G240" s="44"/>
      <c r="H240" s="50"/>
      <c r="I240" s="50"/>
      <c r="K240" s="44"/>
      <c r="L240" s="50"/>
      <c r="N240" s="44"/>
      <c r="O240" s="50"/>
      <c r="P240" s="43" t="s">
        <v>39</v>
      </c>
    </row>
    <row r="241" spans="2:16">
      <c r="B241" s="43">
        <v>232</v>
      </c>
      <c r="C241" s="44"/>
      <c r="D241" s="50"/>
      <c r="E241" s="50"/>
      <c r="G241" s="44"/>
      <c r="H241" s="50"/>
      <c r="I241" s="50"/>
      <c r="K241" s="44"/>
      <c r="L241" s="50"/>
      <c r="N241" s="44"/>
      <c r="O241" s="50"/>
      <c r="P241" s="43" t="s">
        <v>39</v>
      </c>
    </row>
    <row r="242" spans="2:16">
      <c r="B242" s="43">
        <v>233</v>
      </c>
      <c r="C242" s="44"/>
      <c r="D242" s="50"/>
      <c r="E242" s="50"/>
      <c r="G242" s="44"/>
      <c r="H242" s="50"/>
      <c r="I242" s="50"/>
      <c r="K242" s="44"/>
      <c r="L242" s="50"/>
      <c r="N242" s="44"/>
      <c r="O242" s="50"/>
      <c r="P242" s="43" t="s">
        <v>39</v>
      </c>
    </row>
    <row r="243" spans="2:16">
      <c r="B243" s="43">
        <v>234</v>
      </c>
      <c r="C243" s="44"/>
      <c r="D243" s="50"/>
      <c r="E243" s="50"/>
      <c r="G243" s="44"/>
      <c r="H243" s="50"/>
      <c r="I243" s="50"/>
      <c r="K243" s="44"/>
      <c r="L243" s="50"/>
      <c r="N243" s="44"/>
      <c r="O243" s="50"/>
      <c r="P243" s="43" t="s">
        <v>39</v>
      </c>
    </row>
    <row r="244" spans="2:16">
      <c r="B244" s="43">
        <v>235</v>
      </c>
      <c r="C244" s="44"/>
      <c r="D244" s="50"/>
      <c r="E244" s="50"/>
      <c r="G244" s="44"/>
      <c r="H244" s="50"/>
      <c r="I244" s="50"/>
      <c r="K244" s="44"/>
      <c r="L244" s="50"/>
      <c r="N244" s="44"/>
      <c r="O244" s="50"/>
      <c r="P244" s="43" t="s">
        <v>39</v>
      </c>
    </row>
    <row r="245" spans="2:16">
      <c r="B245" s="43">
        <v>236</v>
      </c>
      <c r="C245" s="44"/>
      <c r="D245" s="50"/>
      <c r="E245" s="50"/>
      <c r="G245" s="44"/>
      <c r="H245" s="50"/>
      <c r="I245" s="50"/>
      <c r="K245" s="44"/>
      <c r="L245" s="50"/>
      <c r="N245" s="44"/>
      <c r="O245" s="50"/>
      <c r="P245" s="43" t="s">
        <v>39</v>
      </c>
    </row>
    <row r="246" spans="2:16">
      <c r="B246" s="43">
        <v>237</v>
      </c>
      <c r="C246" s="44"/>
      <c r="D246" s="50"/>
      <c r="E246" s="50"/>
      <c r="G246" s="44"/>
      <c r="H246" s="50"/>
      <c r="I246" s="50"/>
      <c r="K246" s="44"/>
      <c r="L246" s="50"/>
      <c r="N246" s="44"/>
      <c r="O246" s="50"/>
      <c r="P246" s="43" t="s">
        <v>39</v>
      </c>
    </row>
    <row r="247" spans="2:16">
      <c r="B247" s="43">
        <v>238</v>
      </c>
      <c r="C247" s="44"/>
      <c r="D247" s="50"/>
      <c r="E247" s="50"/>
      <c r="G247" s="44"/>
      <c r="H247" s="50"/>
      <c r="I247" s="50"/>
      <c r="K247" s="44"/>
      <c r="L247" s="50"/>
      <c r="N247" s="44"/>
      <c r="O247" s="50"/>
      <c r="P247" s="43" t="s">
        <v>39</v>
      </c>
    </row>
    <row r="248" spans="2:16">
      <c r="B248" s="43">
        <v>239</v>
      </c>
      <c r="C248" s="44"/>
      <c r="D248" s="50"/>
      <c r="E248" s="50"/>
      <c r="G248" s="44"/>
      <c r="H248" s="50"/>
      <c r="I248" s="50"/>
      <c r="K248" s="44"/>
      <c r="L248" s="50"/>
      <c r="N248" s="44"/>
      <c r="O248" s="50"/>
      <c r="P248" s="43" t="s">
        <v>39</v>
      </c>
    </row>
    <row r="249" spans="2:16">
      <c r="B249" s="43">
        <v>240</v>
      </c>
      <c r="C249" s="44"/>
      <c r="D249" s="50"/>
      <c r="E249" s="50"/>
      <c r="G249" s="44"/>
      <c r="H249" s="50"/>
      <c r="I249" s="50"/>
      <c r="K249" s="44"/>
      <c r="L249" s="50"/>
      <c r="N249" s="44"/>
      <c r="O249" s="50"/>
      <c r="P249" s="43" t="s">
        <v>39</v>
      </c>
    </row>
    <row r="250" spans="2:16">
      <c r="B250" s="43">
        <v>241</v>
      </c>
      <c r="C250" s="44"/>
      <c r="D250" s="50"/>
      <c r="E250" s="50"/>
      <c r="G250" s="44"/>
      <c r="H250" s="50"/>
      <c r="I250" s="50"/>
      <c r="K250" s="44"/>
      <c r="L250" s="50"/>
      <c r="N250" s="44"/>
      <c r="O250" s="50"/>
      <c r="P250" s="43" t="s">
        <v>39</v>
      </c>
    </row>
    <row r="251" spans="2:16">
      <c r="B251" s="43">
        <v>242</v>
      </c>
      <c r="C251" s="44"/>
      <c r="D251" s="50"/>
      <c r="E251" s="50"/>
      <c r="G251" s="44"/>
      <c r="H251" s="50"/>
      <c r="I251" s="50"/>
      <c r="K251" s="44"/>
      <c r="L251" s="50"/>
      <c r="N251" s="44"/>
      <c r="O251" s="50"/>
      <c r="P251" s="43" t="s">
        <v>39</v>
      </c>
    </row>
    <row r="252" spans="2:16">
      <c r="B252" s="43">
        <v>243</v>
      </c>
      <c r="C252" s="44"/>
      <c r="D252" s="50"/>
      <c r="E252" s="50"/>
      <c r="G252" s="44"/>
      <c r="H252" s="50"/>
      <c r="I252" s="50"/>
      <c r="K252" s="44"/>
      <c r="L252" s="50"/>
      <c r="N252" s="44"/>
      <c r="O252" s="50"/>
      <c r="P252" s="43" t="s">
        <v>39</v>
      </c>
    </row>
    <row r="253" spans="2:16">
      <c r="B253" s="43">
        <v>244</v>
      </c>
      <c r="C253" s="44"/>
      <c r="D253" s="50"/>
      <c r="E253" s="50"/>
      <c r="G253" s="44"/>
      <c r="H253" s="50"/>
      <c r="I253" s="50"/>
      <c r="K253" s="44"/>
      <c r="L253" s="50"/>
      <c r="N253" s="44"/>
      <c r="O253" s="50"/>
      <c r="P253" s="43" t="s">
        <v>39</v>
      </c>
    </row>
    <row r="254" spans="2:16">
      <c r="B254" s="43">
        <v>245</v>
      </c>
      <c r="C254" s="44"/>
      <c r="D254" s="50"/>
      <c r="E254" s="50"/>
      <c r="G254" s="44"/>
      <c r="H254" s="50"/>
      <c r="I254" s="50"/>
      <c r="K254" s="44"/>
      <c r="L254" s="50"/>
      <c r="N254" s="44"/>
      <c r="O254" s="50"/>
      <c r="P254" s="43" t="s">
        <v>39</v>
      </c>
    </row>
    <row r="255" spans="2:16">
      <c r="B255" s="43">
        <v>246</v>
      </c>
      <c r="C255" s="44"/>
      <c r="D255" s="50"/>
      <c r="E255" s="50"/>
      <c r="G255" s="44"/>
      <c r="H255" s="50"/>
      <c r="I255" s="50"/>
      <c r="K255" s="44"/>
      <c r="L255" s="50"/>
      <c r="N255" s="44"/>
      <c r="O255" s="50"/>
      <c r="P255" s="43" t="s">
        <v>39</v>
      </c>
    </row>
    <row r="256" spans="2:16">
      <c r="B256" s="43">
        <v>247</v>
      </c>
      <c r="C256" s="44"/>
      <c r="D256" s="50"/>
      <c r="E256" s="50"/>
      <c r="G256" s="44"/>
      <c r="H256" s="50"/>
      <c r="I256" s="50"/>
      <c r="K256" s="44"/>
      <c r="L256" s="50"/>
      <c r="N256" s="44"/>
      <c r="O256" s="50"/>
      <c r="P256" s="43" t="s">
        <v>39</v>
      </c>
    </row>
    <row r="257" spans="2:16">
      <c r="B257" s="43">
        <v>248</v>
      </c>
      <c r="C257" s="44"/>
      <c r="D257" s="50"/>
      <c r="E257" s="50"/>
      <c r="G257" s="44"/>
      <c r="H257" s="50"/>
      <c r="I257" s="50"/>
      <c r="K257" s="44"/>
      <c r="L257" s="50"/>
      <c r="N257" s="44"/>
      <c r="O257" s="50"/>
      <c r="P257" s="43" t="s">
        <v>39</v>
      </c>
    </row>
    <row r="258" spans="2:16">
      <c r="B258" s="43">
        <v>249</v>
      </c>
      <c r="C258" s="44"/>
      <c r="D258" s="50"/>
      <c r="E258" s="50"/>
      <c r="G258" s="44"/>
      <c r="H258" s="50"/>
      <c r="I258" s="50"/>
      <c r="K258" s="44"/>
      <c r="L258" s="50"/>
      <c r="N258" s="44"/>
      <c r="O258" s="50"/>
      <c r="P258" s="43" t="s">
        <v>39</v>
      </c>
    </row>
    <row r="259" spans="2:16">
      <c r="B259" s="43">
        <v>250</v>
      </c>
      <c r="C259" s="44"/>
      <c r="D259" s="50"/>
      <c r="E259" s="50"/>
      <c r="G259" s="44"/>
      <c r="H259" s="50"/>
      <c r="I259" s="50"/>
      <c r="K259" s="44"/>
      <c r="L259" s="50"/>
      <c r="N259" s="44"/>
      <c r="O259" s="50"/>
      <c r="P259" s="43" t="s">
        <v>39</v>
      </c>
    </row>
    <row r="260" spans="2:16">
      <c r="B260" s="43">
        <v>251</v>
      </c>
      <c r="C260" s="44"/>
      <c r="D260" s="50"/>
      <c r="E260" s="50"/>
      <c r="G260" s="44"/>
      <c r="H260" s="50"/>
      <c r="I260" s="50"/>
      <c r="K260" s="44"/>
      <c r="L260" s="50"/>
      <c r="N260" s="44"/>
      <c r="O260" s="50"/>
      <c r="P260" s="43" t="s">
        <v>39</v>
      </c>
    </row>
    <row r="261" spans="2:16">
      <c r="B261" s="43">
        <v>252</v>
      </c>
      <c r="C261" s="44"/>
      <c r="D261" s="50"/>
      <c r="E261" s="50"/>
      <c r="G261" s="44"/>
      <c r="H261" s="50"/>
      <c r="I261" s="50"/>
      <c r="K261" s="44"/>
      <c r="L261" s="50"/>
      <c r="N261" s="44"/>
      <c r="O261" s="50"/>
      <c r="P261" s="43" t="s">
        <v>39</v>
      </c>
    </row>
    <row r="262" spans="2:16">
      <c r="B262" s="43">
        <v>253</v>
      </c>
      <c r="C262" s="44"/>
      <c r="D262" s="50"/>
      <c r="E262" s="50"/>
      <c r="G262" s="44"/>
      <c r="H262" s="50"/>
      <c r="I262" s="50"/>
      <c r="K262" s="44"/>
      <c r="L262" s="50"/>
      <c r="N262" s="44"/>
      <c r="O262" s="50"/>
      <c r="P262" s="43" t="s">
        <v>39</v>
      </c>
    </row>
    <row r="263" spans="2:16">
      <c r="B263" s="43">
        <v>254</v>
      </c>
      <c r="C263" s="44"/>
      <c r="D263" s="50"/>
      <c r="E263" s="50"/>
      <c r="G263" s="44"/>
      <c r="H263" s="50"/>
      <c r="I263" s="50"/>
      <c r="K263" s="44"/>
      <c r="L263" s="50"/>
      <c r="N263" s="44"/>
      <c r="O263" s="50"/>
      <c r="P263" s="43" t="s">
        <v>39</v>
      </c>
    </row>
    <row r="264" spans="2:16">
      <c r="B264" s="43">
        <v>255</v>
      </c>
      <c r="C264" s="44"/>
      <c r="D264" s="50"/>
      <c r="E264" s="50"/>
      <c r="G264" s="44"/>
      <c r="H264" s="50"/>
      <c r="I264" s="50"/>
      <c r="K264" s="44"/>
      <c r="L264" s="50"/>
      <c r="N264" s="44"/>
      <c r="O264" s="50"/>
      <c r="P264" s="43" t="s">
        <v>39</v>
      </c>
    </row>
    <row r="265" spans="2:16">
      <c r="B265" s="43">
        <v>256</v>
      </c>
      <c r="C265" s="44"/>
      <c r="D265" s="50"/>
      <c r="E265" s="50"/>
      <c r="G265" s="44"/>
      <c r="H265" s="50"/>
      <c r="I265" s="50"/>
      <c r="K265" s="44"/>
      <c r="L265" s="50"/>
      <c r="N265" s="44"/>
      <c r="O265" s="50"/>
      <c r="P265" s="43" t="s">
        <v>39</v>
      </c>
    </row>
    <row r="266" spans="2:16">
      <c r="B266" s="43">
        <v>257</v>
      </c>
      <c r="C266" s="44"/>
      <c r="D266" s="50"/>
      <c r="E266" s="50"/>
      <c r="G266" s="44"/>
      <c r="H266" s="50"/>
      <c r="I266" s="50"/>
      <c r="K266" s="44"/>
      <c r="L266" s="50"/>
      <c r="N266" s="44"/>
      <c r="O266" s="50"/>
      <c r="P266" s="43" t="s">
        <v>39</v>
      </c>
    </row>
    <row r="267" spans="2:16">
      <c r="B267" s="43">
        <v>258</v>
      </c>
      <c r="C267" s="44"/>
      <c r="D267" s="50"/>
      <c r="E267" s="50"/>
      <c r="G267" s="44"/>
      <c r="H267" s="50"/>
      <c r="I267" s="50"/>
      <c r="K267" s="44"/>
      <c r="L267" s="50"/>
      <c r="N267" s="44"/>
      <c r="O267" s="50"/>
      <c r="P267" s="43" t="s">
        <v>39</v>
      </c>
    </row>
    <row r="268" spans="2:16">
      <c r="B268" s="43">
        <v>259</v>
      </c>
      <c r="C268" s="44"/>
      <c r="D268" s="50"/>
      <c r="E268" s="50"/>
      <c r="G268" s="44"/>
      <c r="H268" s="50"/>
      <c r="I268" s="50"/>
      <c r="K268" s="44"/>
      <c r="L268" s="50"/>
      <c r="N268" s="44"/>
      <c r="O268" s="50"/>
      <c r="P268" s="43" t="s">
        <v>39</v>
      </c>
    </row>
    <row r="269" spans="2:16">
      <c r="B269" s="43">
        <v>260</v>
      </c>
      <c r="C269" s="44"/>
      <c r="D269" s="50"/>
      <c r="E269" s="50"/>
      <c r="G269" s="44"/>
      <c r="H269" s="50"/>
      <c r="I269" s="50"/>
      <c r="K269" s="44"/>
      <c r="L269" s="50"/>
      <c r="N269" s="44"/>
      <c r="O269" s="50"/>
      <c r="P269" s="43" t="s">
        <v>39</v>
      </c>
    </row>
    <row r="270" spans="2:16">
      <c r="B270" s="43">
        <v>261</v>
      </c>
      <c r="C270" s="44"/>
      <c r="D270" s="50"/>
      <c r="E270" s="50"/>
      <c r="G270" s="44"/>
      <c r="H270" s="50"/>
      <c r="I270" s="50"/>
      <c r="K270" s="44"/>
      <c r="L270" s="50"/>
      <c r="N270" s="44"/>
      <c r="O270" s="50"/>
      <c r="P270" s="43" t="s">
        <v>39</v>
      </c>
    </row>
    <row r="271" spans="2:16">
      <c r="B271" s="43">
        <v>262</v>
      </c>
      <c r="C271" s="44"/>
      <c r="D271" s="50"/>
      <c r="E271" s="50"/>
      <c r="G271" s="44"/>
      <c r="H271" s="50"/>
      <c r="I271" s="50"/>
      <c r="K271" s="44"/>
      <c r="L271" s="50"/>
      <c r="N271" s="44"/>
      <c r="O271" s="50"/>
      <c r="P271" s="43" t="s">
        <v>39</v>
      </c>
    </row>
    <row r="272" spans="2:16">
      <c r="B272" s="43">
        <v>263</v>
      </c>
      <c r="C272" s="44"/>
      <c r="D272" s="50"/>
      <c r="E272" s="50"/>
      <c r="G272" s="44"/>
      <c r="H272" s="50"/>
      <c r="I272" s="50"/>
      <c r="K272" s="44"/>
      <c r="L272" s="50"/>
      <c r="N272" s="44"/>
      <c r="O272" s="50"/>
      <c r="P272" s="43" t="s">
        <v>39</v>
      </c>
    </row>
    <row r="273" spans="2:16">
      <c r="B273" s="43">
        <v>264</v>
      </c>
      <c r="C273" s="44"/>
      <c r="D273" s="50"/>
      <c r="E273" s="50"/>
      <c r="G273" s="44"/>
      <c r="H273" s="50"/>
      <c r="I273" s="50"/>
      <c r="K273" s="44"/>
      <c r="L273" s="50"/>
      <c r="N273" s="44"/>
      <c r="O273" s="50"/>
      <c r="P273" s="43" t="s">
        <v>39</v>
      </c>
    </row>
    <row r="274" spans="2:16">
      <c r="B274" s="43">
        <v>265</v>
      </c>
      <c r="C274" s="44"/>
      <c r="D274" s="50"/>
      <c r="E274" s="50"/>
      <c r="G274" s="44"/>
      <c r="H274" s="50"/>
      <c r="I274" s="50"/>
      <c r="K274" s="44"/>
      <c r="L274" s="50"/>
      <c r="N274" s="44"/>
      <c r="O274" s="50"/>
      <c r="P274" s="43" t="s">
        <v>39</v>
      </c>
    </row>
    <row r="275" spans="2:16">
      <c r="B275" s="43">
        <v>266</v>
      </c>
      <c r="C275" s="44"/>
      <c r="D275" s="50"/>
      <c r="E275" s="50"/>
      <c r="G275" s="44"/>
      <c r="H275" s="50"/>
      <c r="I275" s="50"/>
      <c r="K275" s="44"/>
      <c r="L275" s="50"/>
      <c r="N275" s="44"/>
      <c r="O275" s="50"/>
      <c r="P275" s="43" t="s">
        <v>39</v>
      </c>
    </row>
    <row r="276" spans="2:16">
      <c r="B276" s="43">
        <v>267</v>
      </c>
      <c r="C276" s="44"/>
      <c r="D276" s="50"/>
      <c r="E276" s="50"/>
      <c r="G276" s="44"/>
      <c r="H276" s="50"/>
      <c r="I276" s="50"/>
      <c r="K276" s="44"/>
      <c r="L276" s="50"/>
      <c r="N276" s="44"/>
      <c r="O276" s="50"/>
      <c r="P276" s="43" t="s">
        <v>39</v>
      </c>
    </row>
    <row r="277" spans="2:16">
      <c r="B277" s="43">
        <v>268</v>
      </c>
      <c r="C277" s="44"/>
      <c r="D277" s="50"/>
      <c r="E277" s="50"/>
      <c r="G277" s="44"/>
      <c r="H277" s="50"/>
      <c r="I277" s="50"/>
      <c r="K277" s="44"/>
      <c r="L277" s="50"/>
      <c r="N277" s="44"/>
      <c r="O277" s="50"/>
      <c r="P277" s="43" t="s">
        <v>39</v>
      </c>
    </row>
    <row r="278" spans="2:16">
      <c r="B278" s="43">
        <v>269</v>
      </c>
      <c r="C278" s="44"/>
      <c r="D278" s="50"/>
      <c r="E278" s="50"/>
      <c r="G278" s="44"/>
      <c r="H278" s="50"/>
      <c r="I278" s="50"/>
      <c r="K278" s="44"/>
      <c r="L278" s="50"/>
      <c r="N278" s="44"/>
      <c r="O278" s="50"/>
      <c r="P278" s="43" t="s">
        <v>39</v>
      </c>
    </row>
    <row r="279" spans="2:16">
      <c r="B279" s="43">
        <v>270</v>
      </c>
      <c r="C279" s="44"/>
      <c r="D279" s="50"/>
      <c r="E279" s="50"/>
      <c r="G279" s="44"/>
      <c r="H279" s="50"/>
      <c r="I279" s="50"/>
      <c r="K279" s="44"/>
      <c r="L279" s="50"/>
      <c r="N279" s="44"/>
      <c r="O279" s="50"/>
      <c r="P279" s="43" t="s">
        <v>39</v>
      </c>
    </row>
    <row r="280" spans="2:16">
      <c r="B280" s="43">
        <v>271</v>
      </c>
      <c r="C280" s="44"/>
      <c r="D280" s="50"/>
      <c r="E280" s="50"/>
      <c r="G280" s="44"/>
      <c r="H280" s="50"/>
      <c r="I280" s="50"/>
      <c r="K280" s="44"/>
      <c r="L280" s="50"/>
      <c r="N280" s="44"/>
      <c r="O280" s="50"/>
      <c r="P280" s="43" t="s">
        <v>39</v>
      </c>
    </row>
    <row r="281" spans="2:16">
      <c r="B281" s="43">
        <v>272</v>
      </c>
      <c r="C281" s="44"/>
      <c r="D281" s="50"/>
      <c r="E281" s="50"/>
      <c r="G281" s="44"/>
      <c r="H281" s="50"/>
      <c r="I281" s="50"/>
      <c r="K281" s="44"/>
      <c r="L281" s="50"/>
      <c r="N281" s="44"/>
      <c r="O281" s="50"/>
      <c r="P281" s="43" t="s">
        <v>39</v>
      </c>
    </row>
    <row r="282" spans="2:16">
      <c r="B282" s="43">
        <v>273</v>
      </c>
      <c r="C282" s="44"/>
      <c r="D282" s="50"/>
      <c r="E282" s="50"/>
      <c r="G282" s="44"/>
      <c r="H282" s="50"/>
      <c r="I282" s="50"/>
      <c r="K282" s="44"/>
      <c r="L282" s="50"/>
      <c r="N282" s="44"/>
      <c r="O282" s="50"/>
      <c r="P282" s="43" t="s">
        <v>39</v>
      </c>
    </row>
    <row r="283" spans="2:16">
      <c r="B283" s="43">
        <v>274</v>
      </c>
      <c r="C283" s="44"/>
      <c r="D283" s="50"/>
      <c r="E283" s="50"/>
      <c r="G283" s="44"/>
      <c r="H283" s="50"/>
      <c r="I283" s="50"/>
      <c r="K283" s="44"/>
      <c r="L283" s="50"/>
      <c r="N283" s="44"/>
      <c r="O283" s="50"/>
      <c r="P283" s="43" t="s">
        <v>39</v>
      </c>
    </row>
    <row r="284" spans="2:16">
      <c r="B284" s="43">
        <v>275</v>
      </c>
      <c r="C284" s="44"/>
      <c r="D284" s="50"/>
      <c r="E284" s="50"/>
      <c r="G284" s="44"/>
      <c r="H284" s="50"/>
      <c r="I284" s="50"/>
      <c r="K284" s="44"/>
      <c r="L284" s="50"/>
      <c r="N284" s="44"/>
      <c r="O284" s="50"/>
      <c r="P284" s="43" t="s">
        <v>39</v>
      </c>
    </row>
    <row r="285" spans="2:16">
      <c r="B285" s="43">
        <v>276</v>
      </c>
      <c r="C285" s="44"/>
      <c r="D285" s="50"/>
      <c r="E285" s="50"/>
      <c r="G285" s="44"/>
      <c r="H285" s="50"/>
      <c r="I285" s="50"/>
      <c r="K285" s="44"/>
      <c r="L285" s="50"/>
      <c r="N285" s="44"/>
      <c r="O285" s="50"/>
      <c r="P285" s="43" t="s">
        <v>39</v>
      </c>
    </row>
    <row r="286" spans="2:16">
      <c r="B286" s="43">
        <v>277</v>
      </c>
      <c r="C286" s="44"/>
      <c r="D286" s="50"/>
      <c r="E286" s="50"/>
      <c r="G286" s="44"/>
      <c r="H286" s="50"/>
      <c r="I286" s="50"/>
      <c r="K286" s="44"/>
      <c r="L286" s="50"/>
      <c r="N286" s="44"/>
      <c r="O286" s="50"/>
      <c r="P286" s="43" t="s">
        <v>39</v>
      </c>
    </row>
    <row r="287" spans="2:16">
      <c r="B287" s="43">
        <v>278</v>
      </c>
      <c r="C287" s="44"/>
      <c r="D287" s="50"/>
      <c r="E287" s="50"/>
      <c r="G287" s="44"/>
      <c r="H287" s="50"/>
      <c r="I287" s="50"/>
      <c r="K287" s="44"/>
      <c r="L287" s="50"/>
      <c r="N287" s="44"/>
      <c r="O287" s="50"/>
      <c r="P287" s="43" t="s">
        <v>39</v>
      </c>
    </row>
    <row r="288" spans="2:16">
      <c r="B288" s="43">
        <v>279</v>
      </c>
      <c r="C288" s="44"/>
      <c r="D288" s="50"/>
      <c r="E288" s="50"/>
      <c r="G288" s="44"/>
      <c r="H288" s="50"/>
      <c r="I288" s="50"/>
      <c r="K288" s="44"/>
      <c r="L288" s="50"/>
      <c r="N288" s="44"/>
      <c r="O288" s="50"/>
      <c r="P288" s="43" t="s">
        <v>39</v>
      </c>
    </row>
    <row r="289" spans="2:16">
      <c r="B289" s="43">
        <v>280</v>
      </c>
      <c r="C289" s="44"/>
      <c r="D289" s="50"/>
      <c r="E289" s="50"/>
      <c r="G289" s="44"/>
      <c r="H289" s="50"/>
      <c r="I289" s="50"/>
      <c r="K289" s="44"/>
      <c r="L289" s="50"/>
      <c r="N289" s="44"/>
      <c r="O289" s="50"/>
      <c r="P289" s="43" t="s">
        <v>39</v>
      </c>
    </row>
    <row r="290" spans="2:16">
      <c r="B290" s="43">
        <v>281</v>
      </c>
      <c r="C290" s="44"/>
      <c r="D290" s="50"/>
      <c r="E290" s="50"/>
      <c r="G290" s="44"/>
      <c r="H290" s="50"/>
      <c r="I290" s="50"/>
      <c r="K290" s="44"/>
      <c r="L290" s="50"/>
      <c r="N290" s="44"/>
      <c r="O290" s="50"/>
      <c r="P290" s="43" t="s">
        <v>39</v>
      </c>
    </row>
    <row r="291" spans="2:16">
      <c r="B291" s="43">
        <v>282</v>
      </c>
      <c r="C291" s="44"/>
      <c r="D291" s="50"/>
      <c r="E291" s="50"/>
      <c r="G291" s="44"/>
      <c r="H291" s="50"/>
      <c r="I291" s="50"/>
      <c r="K291" s="44"/>
      <c r="L291" s="50"/>
      <c r="N291" s="44"/>
      <c r="O291" s="50"/>
      <c r="P291" s="43" t="s">
        <v>39</v>
      </c>
    </row>
    <row r="292" spans="2:16">
      <c r="B292" s="43">
        <v>283</v>
      </c>
      <c r="C292" s="44"/>
      <c r="D292" s="50"/>
      <c r="E292" s="50"/>
      <c r="G292" s="44"/>
      <c r="H292" s="50"/>
      <c r="I292" s="50"/>
      <c r="K292" s="44"/>
      <c r="L292" s="50"/>
      <c r="N292" s="44"/>
      <c r="O292" s="50"/>
      <c r="P292" s="43" t="s">
        <v>39</v>
      </c>
    </row>
    <row r="293" spans="2:16">
      <c r="B293" s="43">
        <v>284</v>
      </c>
      <c r="C293" s="44"/>
      <c r="D293" s="50"/>
      <c r="E293" s="50"/>
      <c r="G293" s="44"/>
      <c r="H293" s="50"/>
      <c r="I293" s="50"/>
      <c r="K293" s="44"/>
      <c r="L293" s="50"/>
      <c r="N293" s="44"/>
      <c r="O293" s="50"/>
      <c r="P293" s="43" t="s">
        <v>39</v>
      </c>
    </row>
    <row r="294" spans="2:16">
      <c r="B294" s="43">
        <v>285</v>
      </c>
      <c r="C294" s="44"/>
      <c r="D294" s="50"/>
      <c r="E294" s="50"/>
      <c r="G294" s="44"/>
      <c r="H294" s="50"/>
      <c r="I294" s="50"/>
      <c r="K294" s="44"/>
      <c r="L294" s="50"/>
      <c r="N294" s="44"/>
      <c r="O294" s="50"/>
      <c r="P294" s="43" t="s">
        <v>39</v>
      </c>
    </row>
    <row r="295" spans="2:16">
      <c r="B295" s="43">
        <v>286</v>
      </c>
      <c r="C295" s="44"/>
      <c r="D295" s="50"/>
      <c r="E295" s="50"/>
      <c r="G295" s="44"/>
      <c r="H295" s="50"/>
      <c r="I295" s="50"/>
      <c r="K295" s="44"/>
      <c r="L295" s="50"/>
      <c r="N295" s="44"/>
      <c r="O295" s="50"/>
      <c r="P295" s="43" t="s">
        <v>39</v>
      </c>
    </row>
    <row r="296" spans="2:16">
      <c r="B296" s="43">
        <v>287</v>
      </c>
      <c r="C296" s="44"/>
      <c r="D296" s="50"/>
      <c r="E296" s="50"/>
      <c r="G296" s="44"/>
      <c r="H296" s="50"/>
      <c r="I296" s="50"/>
      <c r="K296" s="44"/>
      <c r="L296" s="50"/>
      <c r="N296" s="44"/>
      <c r="O296" s="50"/>
      <c r="P296" s="43" t="s">
        <v>39</v>
      </c>
    </row>
    <row r="297" spans="2:16">
      <c r="B297" s="43">
        <v>288</v>
      </c>
      <c r="C297" s="44"/>
      <c r="D297" s="50"/>
      <c r="E297" s="50"/>
      <c r="G297" s="44"/>
      <c r="H297" s="50"/>
      <c r="I297" s="50"/>
      <c r="K297" s="44"/>
      <c r="L297" s="50"/>
      <c r="N297" s="44"/>
      <c r="O297" s="50"/>
      <c r="P297" s="43" t="s">
        <v>39</v>
      </c>
    </row>
    <row r="298" spans="2:16">
      <c r="B298" s="43">
        <v>289</v>
      </c>
      <c r="C298" s="44"/>
      <c r="D298" s="50"/>
      <c r="E298" s="50"/>
      <c r="G298" s="44"/>
      <c r="H298" s="50"/>
      <c r="I298" s="50"/>
      <c r="K298" s="44"/>
      <c r="L298" s="50"/>
      <c r="N298" s="44"/>
      <c r="O298" s="50"/>
      <c r="P298" s="43" t="s">
        <v>39</v>
      </c>
    </row>
    <row r="299" spans="2:16">
      <c r="B299" s="43">
        <v>290</v>
      </c>
      <c r="C299" s="44"/>
      <c r="D299" s="50"/>
      <c r="E299" s="50"/>
      <c r="G299" s="44"/>
      <c r="H299" s="50"/>
      <c r="I299" s="50"/>
      <c r="K299" s="44"/>
      <c r="L299" s="50"/>
      <c r="N299" s="44"/>
      <c r="O299" s="50"/>
      <c r="P299" s="43" t="s">
        <v>39</v>
      </c>
    </row>
    <row r="300" spans="2:16">
      <c r="B300" s="43">
        <v>291</v>
      </c>
      <c r="C300" s="44"/>
      <c r="D300" s="50"/>
      <c r="E300" s="50"/>
      <c r="G300" s="44"/>
      <c r="H300" s="50"/>
      <c r="I300" s="50"/>
      <c r="K300" s="44"/>
      <c r="L300" s="50"/>
      <c r="N300" s="44"/>
      <c r="O300" s="50"/>
      <c r="P300" s="43" t="s">
        <v>39</v>
      </c>
    </row>
    <row r="301" spans="2:16">
      <c r="B301" s="43">
        <v>292</v>
      </c>
      <c r="C301" s="44"/>
      <c r="D301" s="50"/>
      <c r="E301" s="50"/>
      <c r="G301" s="44"/>
      <c r="H301" s="50"/>
      <c r="I301" s="50"/>
      <c r="K301" s="44"/>
      <c r="L301" s="50"/>
      <c r="N301" s="44"/>
      <c r="O301" s="50"/>
      <c r="P301" s="43" t="s">
        <v>39</v>
      </c>
    </row>
    <row r="302" spans="2:16">
      <c r="B302" s="43">
        <v>293</v>
      </c>
      <c r="C302" s="44"/>
      <c r="D302" s="50"/>
      <c r="E302" s="50"/>
      <c r="G302" s="44"/>
      <c r="H302" s="50"/>
      <c r="I302" s="50"/>
      <c r="K302" s="44"/>
      <c r="L302" s="50"/>
      <c r="N302" s="44"/>
      <c r="O302" s="50"/>
      <c r="P302" s="43" t="s">
        <v>39</v>
      </c>
    </row>
    <row r="303" spans="2:16">
      <c r="B303" s="43">
        <v>294</v>
      </c>
      <c r="C303" s="44"/>
      <c r="D303" s="50"/>
      <c r="E303" s="50"/>
      <c r="G303" s="44"/>
      <c r="H303" s="50"/>
      <c r="I303" s="50"/>
      <c r="K303" s="44"/>
      <c r="L303" s="50"/>
      <c r="N303" s="44"/>
      <c r="O303" s="50"/>
      <c r="P303" s="43" t="s">
        <v>39</v>
      </c>
    </row>
    <row r="304" spans="2:16">
      <c r="B304" s="43">
        <v>295</v>
      </c>
      <c r="C304" s="44"/>
      <c r="D304" s="50"/>
      <c r="E304" s="50"/>
      <c r="G304" s="44"/>
      <c r="H304" s="50"/>
      <c r="I304" s="50"/>
      <c r="K304" s="44"/>
      <c r="L304" s="50"/>
      <c r="N304" s="44"/>
      <c r="O304" s="50"/>
      <c r="P304" s="43" t="s">
        <v>39</v>
      </c>
    </row>
    <row r="305" spans="2:16">
      <c r="B305" s="43">
        <v>296</v>
      </c>
      <c r="C305" s="44"/>
      <c r="D305" s="50"/>
      <c r="E305" s="50"/>
      <c r="G305" s="44"/>
      <c r="H305" s="50"/>
      <c r="I305" s="50"/>
      <c r="K305" s="44"/>
      <c r="L305" s="50"/>
      <c r="N305" s="44"/>
      <c r="O305" s="50"/>
      <c r="P305" s="43" t="s">
        <v>39</v>
      </c>
    </row>
    <row r="306" spans="2:16">
      <c r="B306" s="43">
        <v>297</v>
      </c>
      <c r="C306" s="44"/>
      <c r="D306" s="50"/>
      <c r="E306" s="50"/>
      <c r="G306" s="44"/>
      <c r="H306" s="50"/>
      <c r="I306" s="50"/>
      <c r="K306" s="44"/>
      <c r="L306" s="50"/>
      <c r="N306" s="44"/>
      <c r="O306" s="50"/>
      <c r="P306" s="43" t="s">
        <v>39</v>
      </c>
    </row>
    <row r="307" spans="2:16">
      <c r="B307" s="43">
        <v>298</v>
      </c>
      <c r="C307" s="44"/>
      <c r="D307" s="50"/>
      <c r="E307" s="50"/>
      <c r="G307" s="44"/>
      <c r="H307" s="50"/>
      <c r="I307" s="50"/>
      <c r="K307" s="44"/>
      <c r="L307" s="50"/>
      <c r="N307" s="44"/>
      <c r="O307" s="50"/>
      <c r="P307" s="43" t="s">
        <v>39</v>
      </c>
    </row>
    <row r="308" spans="2:16">
      <c r="B308" s="43">
        <v>299</v>
      </c>
      <c r="C308" s="44"/>
      <c r="D308" s="50"/>
      <c r="E308" s="50"/>
      <c r="G308" s="44"/>
      <c r="H308" s="50"/>
      <c r="I308" s="50"/>
      <c r="K308" s="44"/>
      <c r="L308" s="50"/>
      <c r="N308" s="44"/>
      <c r="O308" s="50"/>
      <c r="P308" s="43" t="s">
        <v>39</v>
      </c>
    </row>
    <row r="309" spans="2:16">
      <c r="B309" s="43">
        <v>300</v>
      </c>
      <c r="C309" s="44"/>
      <c r="D309" s="50"/>
      <c r="E309" s="50"/>
      <c r="G309" s="44"/>
      <c r="H309" s="50"/>
      <c r="I309" s="50"/>
      <c r="K309" s="44"/>
      <c r="L309" s="50"/>
      <c r="N309" s="44"/>
      <c r="O309" s="50"/>
      <c r="P309" s="43" t="s">
        <v>39</v>
      </c>
    </row>
    <row r="310" spans="2:16">
      <c r="B310" s="43">
        <v>301</v>
      </c>
      <c r="C310" s="44"/>
      <c r="D310" s="50"/>
      <c r="E310" s="50"/>
      <c r="G310" s="44"/>
      <c r="H310" s="50"/>
      <c r="I310" s="50"/>
      <c r="K310" s="44"/>
      <c r="L310" s="50"/>
      <c r="N310" s="44"/>
      <c r="O310" s="50"/>
      <c r="P310" s="43" t="s">
        <v>39</v>
      </c>
    </row>
    <row r="311" spans="2:16">
      <c r="B311" s="43">
        <v>302</v>
      </c>
      <c r="C311" s="44"/>
      <c r="D311" s="50"/>
      <c r="E311" s="50"/>
      <c r="G311" s="44"/>
      <c r="H311" s="50"/>
      <c r="I311" s="50"/>
      <c r="K311" s="44"/>
      <c r="L311" s="50"/>
      <c r="N311" s="44"/>
      <c r="O311" s="50"/>
      <c r="P311" s="43" t="s">
        <v>39</v>
      </c>
    </row>
    <row r="312" spans="2:16">
      <c r="B312" s="43">
        <v>303</v>
      </c>
      <c r="C312" s="44"/>
      <c r="D312" s="50"/>
      <c r="E312" s="50"/>
      <c r="G312" s="44"/>
      <c r="H312" s="50"/>
      <c r="I312" s="50"/>
      <c r="K312" s="44"/>
      <c r="L312" s="50"/>
      <c r="N312" s="44"/>
      <c r="O312" s="50"/>
      <c r="P312" s="43" t="s">
        <v>39</v>
      </c>
    </row>
    <row r="313" spans="2:16">
      <c r="B313" s="43">
        <v>304</v>
      </c>
      <c r="C313" s="44"/>
      <c r="D313" s="50"/>
      <c r="E313" s="50"/>
      <c r="G313" s="44"/>
      <c r="H313" s="50"/>
      <c r="I313" s="50"/>
      <c r="K313" s="44"/>
      <c r="L313" s="50"/>
      <c r="N313" s="44"/>
      <c r="O313" s="50"/>
      <c r="P313" s="43" t="s">
        <v>39</v>
      </c>
    </row>
    <row r="314" spans="2:16">
      <c r="B314" s="43">
        <v>305</v>
      </c>
      <c r="C314" s="44"/>
      <c r="D314" s="50"/>
      <c r="E314" s="50"/>
      <c r="G314" s="44"/>
      <c r="H314" s="50"/>
      <c r="I314" s="50"/>
      <c r="K314" s="44"/>
      <c r="L314" s="50"/>
      <c r="N314" s="44"/>
      <c r="O314" s="50"/>
      <c r="P314" s="43" t="s">
        <v>39</v>
      </c>
    </row>
    <row r="315" spans="2:16">
      <c r="B315" s="43">
        <v>306</v>
      </c>
      <c r="C315" s="44"/>
      <c r="D315" s="50"/>
      <c r="E315" s="50"/>
      <c r="G315" s="44"/>
      <c r="H315" s="50"/>
      <c r="I315" s="50"/>
      <c r="K315" s="44"/>
      <c r="L315" s="50"/>
      <c r="N315" s="44"/>
      <c r="O315" s="50"/>
      <c r="P315" s="43" t="s">
        <v>39</v>
      </c>
    </row>
    <row r="316" spans="2:16">
      <c r="B316" s="43">
        <v>307</v>
      </c>
      <c r="C316" s="44"/>
      <c r="D316" s="50"/>
      <c r="E316" s="50"/>
      <c r="G316" s="44"/>
      <c r="H316" s="50"/>
      <c r="I316" s="50"/>
      <c r="K316" s="44"/>
      <c r="L316" s="50"/>
      <c r="N316" s="44"/>
      <c r="O316" s="50"/>
      <c r="P316" s="43" t="s">
        <v>39</v>
      </c>
    </row>
    <row r="317" spans="2:16">
      <c r="B317" s="43">
        <v>308</v>
      </c>
      <c r="C317" s="44"/>
      <c r="D317" s="50"/>
      <c r="E317" s="50"/>
      <c r="G317" s="44"/>
      <c r="H317" s="50"/>
      <c r="I317" s="50"/>
      <c r="K317" s="44"/>
      <c r="L317" s="50"/>
      <c r="N317" s="44"/>
      <c r="O317" s="50"/>
      <c r="P317" s="43" t="s">
        <v>39</v>
      </c>
    </row>
    <row r="318" spans="2:16">
      <c r="B318" s="43">
        <v>309</v>
      </c>
      <c r="C318" s="44"/>
      <c r="D318" s="50"/>
      <c r="E318" s="50"/>
      <c r="G318" s="44"/>
      <c r="H318" s="50"/>
      <c r="I318" s="50"/>
      <c r="K318" s="44"/>
      <c r="L318" s="50"/>
      <c r="N318" s="44"/>
      <c r="O318" s="50"/>
      <c r="P318" s="43" t="s">
        <v>39</v>
      </c>
    </row>
    <row r="319" spans="2:16">
      <c r="B319" s="43">
        <v>310</v>
      </c>
      <c r="C319" s="44"/>
      <c r="D319" s="50"/>
      <c r="E319" s="50"/>
      <c r="G319" s="44"/>
      <c r="H319" s="50"/>
      <c r="I319" s="50"/>
      <c r="K319" s="44"/>
      <c r="L319" s="50"/>
      <c r="N319" s="44"/>
      <c r="O319" s="50"/>
      <c r="P319" s="43" t="s">
        <v>39</v>
      </c>
    </row>
    <row r="320" spans="2:16">
      <c r="B320" s="43">
        <v>311</v>
      </c>
      <c r="C320" s="44"/>
      <c r="D320" s="50"/>
      <c r="E320" s="50"/>
      <c r="G320" s="44"/>
      <c r="H320" s="50"/>
      <c r="I320" s="50"/>
      <c r="K320" s="44"/>
      <c r="L320" s="50"/>
      <c r="N320" s="44"/>
      <c r="O320" s="50"/>
      <c r="P320" s="43" t="s">
        <v>39</v>
      </c>
    </row>
    <row r="321" spans="2:16">
      <c r="B321" s="43">
        <v>312</v>
      </c>
      <c r="C321" s="44"/>
      <c r="D321" s="50"/>
      <c r="E321" s="50"/>
      <c r="G321" s="44"/>
      <c r="H321" s="50"/>
      <c r="I321" s="50"/>
      <c r="K321" s="44"/>
      <c r="L321" s="50"/>
      <c r="N321" s="44"/>
      <c r="O321" s="50"/>
      <c r="P321" s="43" t="s">
        <v>39</v>
      </c>
    </row>
    <row r="322" spans="2:16">
      <c r="B322" s="43">
        <v>313</v>
      </c>
      <c r="C322" s="44"/>
      <c r="D322" s="50"/>
      <c r="E322" s="50"/>
      <c r="G322" s="44"/>
      <c r="H322" s="50"/>
      <c r="I322" s="50"/>
      <c r="K322" s="44"/>
      <c r="L322" s="50"/>
      <c r="N322" s="44"/>
      <c r="O322" s="50"/>
      <c r="P322" s="43" t="s">
        <v>39</v>
      </c>
    </row>
    <row r="323" spans="2:16">
      <c r="B323" s="43">
        <v>314</v>
      </c>
      <c r="C323" s="44"/>
      <c r="D323" s="50"/>
      <c r="E323" s="50"/>
      <c r="G323" s="44"/>
      <c r="H323" s="50"/>
      <c r="I323" s="50"/>
      <c r="K323" s="44"/>
      <c r="L323" s="50"/>
      <c r="N323" s="44"/>
      <c r="O323" s="50"/>
      <c r="P323" s="43" t="s">
        <v>39</v>
      </c>
    </row>
    <row r="324" spans="2:16">
      <c r="B324" s="43">
        <v>315</v>
      </c>
      <c r="C324" s="44"/>
      <c r="D324" s="50"/>
      <c r="E324" s="50"/>
      <c r="G324" s="44"/>
      <c r="H324" s="50"/>
      <c r="I324" s="50"/>
      <c r="K324" s="44"/>
      <c r="L324" s="50"/>
      <c r="N324" s="44"/>
      <c r="O324" s="50"/>
      <c r="P324" s="43" t="s">
        <v>39</v>
      </c>
    </row>
    <row r="325" spans="2:16">
      <c r="B325" s="43">
        <v>316</v>
      </c>
      <c r="C325" s="44"/>
      <c r="D325" s="50"/>
      <c r="E325" s="50"/>
      <c r="G325" s="44"/>
      <c r="H325" s="50"/>
      <c r="I325" s="50"/>
      <c r="K325" s="44"/>
      <c r="L325" s="50"/>
      <c r="N325" s="44"/>
      <c r="O325" s="50"/>
      <c r="P325" s="43" t="s">
        <v>39</v>
      </c>
    </row>
    <row r="326" spans="2:16">
      <c r="B326" s="43">
        <v>317</v>
      </c>
      <c r="C326" s="44"/>
      <c r="D326" s="50"/>
      <c r="E326" s="50"/>
      <c r="G326" s="44"/>
      <c r="H326" s="50"/>
      <c r="I326" s="50"/>
      <c r="K326" s="44"/>
      <c r="L326" s="50"/>
      <c r="N326" s="44"/>
      <c r="O326" s="50"/>
      <c r="P326" s="43" t="s">
        <v>39</v>
      </c>
    </row>
    <row r="327" spans="2:16">
      <c r="B327" s="43">
        <v>318</v>
      </c>
      <c r="C327" s="44"/>
      <c r="D327" s="50"/>
      <c r="E327" s="50"/>
      <c r="G327" s="44"/>
      <c r="H327" s="50"/>
      <c r="I327" s="50"/>
      <c r="K327" s="44"/>
      <c r="L327" s="50"/>
      <c r="N327" s="44"/>
      <c r="O327" s="50"/>
      <c r="P327" s="43" t="s">
        <v>39</v>
      </c>
    </row>
    <row r="328" spans="2:16">
      <c r="B328" s="43">
        <v>319</v>
      </c>
      <c r="C328" s="44"/>
      <c r="D328" s="50"/>
      <c r="E328" s="50"/>
      <c r="G328" s="44"/>
      <c r="H328" s="50"/>
      <c r="I328" s="50"/>
      <c r="K328" s="44"/>
      <c r="L328" s="50"/>
      <c r="N328" s="44"/>
      <c r="O328" s="50"/>
      <c r="P328" s="43" t="s">
        <v>39</v>
      </c>
    </row>
    <row r="329" spans="2:16">
      <c r="B329" s="43">
        <v>320</v>
      </c>
      <c r="C329" s="44"/>
      <c r="D329" s="50"/>
      <c r="E329" s="50"/>
      <c r="G329" s="44"/>
      <c r="H329" s="50"/>
      <c r="I329" s="50"/>
      <c r="K329" s="44"/>
      <c r="L329" s="50"/>
      <c r="N329" s="44"/>
      <c r="O329" s="50"/>
      <c r="P329" s="43" t="s">
        <v>39</v>
      </c>
    </row>
    <row r="330" spans="2:16">
      <c r="B330" s="43">
        <v>321</v>
      </c>
      <c r="C330" s="44"/>
      <c r="D330" s="50"/>
      <c r="E330" s="50"/>
      <c r="G330" s="44"/>
      <c r="H330" s="50"/>
      <c r="I330" s="50"/>
      <c r="K330" s="44"/>
      <c r="L330" s="50"/>
      <c r="N330" s="44"/>
      <c r="O330" s="50"/>
      <c r="P330" s="43" t="s">
        <v>39</v>
      </c>
    </row>
    <row r="331" spans="2:16">
      <c r="B331" s="43">
        <v>322</v>
      </c>
      <c r="C331" s="44"/>
      <c r="D331" s="50"/>
      <c r="E331" s="50"/>
      <c r="G331" s="44"/>
      <c r="H331" s="50"/>
      <c r="I331" s="50"/>
      <c r="K331" s="44"/>
      <c r="L331" s="50"/>
      <c r="N331" s="44"/>
      <c r="O331" s="50"/>
      <c r="P331" s="43" t="s">
        <v>39</v>
      </c>
    </row>
    <row r="332" spans="2:16">
      <c r="B332" s="43">
        <v>323</v>
      </c>
      <c r="C332" s="44"/>
      <c r="D332" s="50"/>
      <c r="E332" s="50"/>
      <c r="G332" s="44"/>
      <c r="H332" s="50"/>
      <c r="I332" s="50"/>
      <c r="K332" s="44"/>
      <c r="L332" s="50"/>
      <c r="N332" s="44"/>
      <c r="O332" s="50"/>
      <c r="P332" s="43" t="s">
        <v>39</v>
      </c>
    </row>
    <row r="333" spans="2:16">
      <c r="B333" s="43">
        <v>324</v>
      </c>
      <c r="C333" s="44"/>
      <c r="D333" s="50"/>
      <c r="E333" s="50"/>
      <c r="G333" s="44"/>
      <c r="H333" s="50"/>
      <c r="I333" s="50"/>
      <c r="K333" s="44"/>
      <c r="L333" s="50"/>
      <c r="N333" s="44"/>
      <c r="O333" s="50"/>
      <c r="P333" s="43" t="s">
        <v>39</v>
      </c>
    </row>
    <row r="334" spans="2:16">
      <c r="B334" s="43">
        <v>325</v>
      </c>
      <c r="C334" s="44"/>
      <c r="D334" s="50"/>
      <c r="E334" s="50"/>
      <c r="G334" s="44"/>
      <c r="H334" s="50"/>
      <c r="I334" s="50"/>
      <c r="K334" s="44"/>
      <c r="L334" s="50"/>
      <c r="N334" s="44"/>
      <c r="O334" s="50"/>
      <c r="P334" s="43" t="s">
        <v>39</v>
      </c>
    </row>
    <row r="335" spans="2:16">
      <c r="B335" s="43">
        <v>326</v>
      </c>
      <c r="C335" s="44"/>
      <c r="D335" s="50"/>
      <c r="E335" s="50"/>
      <c r="G335" s="44"/>
      <c r="H335" s="50"/>
      <c r="I335" s="50"/>
      <c r="K335" s="44"/>
      <c r="L335" s="50"/>
      <c r="N335" s="44"/>
      <c r="O335" s="50"/>
      <c r="P335" s="43" t="s">
        <v>39</v>
      </c>
    </row>
    <row r="336" spans="2:16">
      <c r="B336" s="43">
        <v>327</v>
      </c>
      <c r="C336" s="44"/>
      <c r="D336" s="50"/>
      <c r="E336" s="50"/>
      <c r="G336" s="44"/>
      <c r="H336" s="50"/>
      <c r="I336" s="50"/>
      <c r="K336" s="44"/>
      <c r="L336" s="50"/>
      <c r="N336" s="44"/>
      <c r="O336" s="50"/>
      <c r="P336" s="43" t="s">
        <v>39</v>
      </c>
    </row>
    <row r="337" spans="2:16">
      <c r="B337" s="43">
        <v>328</v>
      </c>
      <c r="C337" s="44"/>
      <c r="D337" s="50"/>
      <c r="E337" s="50"/>
      <c r="G337" s="44"/>
      <c r="H337" s="50"/>
      <c r="I337" s="50"/>
      <c r="K337" s="44"/>
      <c r="L337" s="50"/>
      <c r="N337" s="44"/>
      <c r="O337" s="50"/>
      <c r="P337" s="43" t="s">
        <v>39</v>
      </c>
    </row>
    <row r="338" spans="2:16">
      <c r="B338" s="43">
        <v>329</v>
      </c>
      <c r="C338" s="44"/>
      <c r="D338" s="50"/>
      <c r="E338" s="50"/>
      <c r="G338" s="44"/>
      <c r="H338" s="50"/>
      <c r="I338" s="50"/>
      <c r="K338" s="44"/>
      <c r="L338" s="50"/>
      <c r="N338" s="44"/>
      <c r="O338" s="50"/>
      <c r="P338" s="43" t="s">
        <v>39</v>
      </c>
    </row>
    <row r="339" spans="2:16">
      <c r="B339" s="43">
        <v>330</v>
      </c>
      <c r="C339" s="44"/>
      <c r="D339" s="50"/>
      <c r="E339" s="50"/>
      <c r="G339" s="44"/>
      <c r="H339" s="50"/>
      <c r="I339" s="50"/>
      <c r="K339" s="44"/>
      <c r="L339" s="50"/>
      <c r="N339" s="44"/>
      <c r="O339" s="50"/>
      <c r="P339" s="43" t="s">
        <v>39</v>
      </c>
    </row>
    <row r="340" spans="2:16">
      <c r="B340" s="43">
        <v>331</v>
      </c>
      <c r="C340" s="44"/>
      <c r="D340" s="50"/>
      <c r="E340" s="50"/>
      <c r="G340" s="44"/>
      <c r="H340" s="50"/>
      <c r="I340" s="50"/>
      <c r="K340" s="44"/>
      <c r="L340" s="50"/>
      <c r="N340" s="44"/>
      <c r="O340" s="50"/>
      <c r="P340" s="43" t="s">
        <v>39</v>
      </c>
    </row>
    <row r="341" spans="2:16">
      <c r="B341" s="43">
        <v>332</v>
      </c>
      <c r="C341" s="44"/>
      <c r="D341" s="50"/>
      <c r="E341" s="50"/>
      <c r="G341" s="44"/>
      <c r="H341" s="50"/>
      <c r="I341" s="50"/>
      <c r="K341" s="44"/>
      <c r="L341" s="50"/>
      <c r="N341" s="44"/>
      <c r="O341" s="50"/>
      <c r="P341" s="43" t="s">
        <v>39</v>
      </c>
    </row>
    <row r="342" spans="2:16">
      <c r="B342" s="43">
        <v>333</v>
      </c>
      <c r="C342" s="44"/>
      <c r="D342" s="50"/>
      <c r="E342" s="50"/>
      <c r="G342" s="44"/>
      <c r="H342" s="50"/>
      <c r="I342" s="50"/>
      <c r="K342" s="44"/>
      <c r="L342" s="50"/>
      <c r="N342" s="44"/>
      <c r="O342" s="50"/>
      <c r="P342" s="43" t="s">
        <v>39</v>
      </c>
    </row>
    <row r="343" spans="2:16">
      <c r="B343" s="43">
        <v>334</v>
      </c>
      <c r="C343" s="44"/>
      <c r="D343" s="50"/>
      <c r="E343" s="50"/>
      <c r="G343" s="44"/>
      <c r="H343" s="50"/>
      <c r="I343" s="50"/>
      <c r="K343" s="44"/>
      <c r="L343" s="50"/>
      <c r="N343" s="44"/>
      <c r="O343" s="50"/>
      <c r="P343" s="43" t="s">
        <v>39</v>
      </c>
    </row>
    <row r="344" spans="2:16">
      <c r="B344" s="43">
        <v>335</v>
      </c>
      <c r="C344" s="44"/>
      <c r="D344" s="50"/>
      <c r="E344" s="50"/>
      <c r="G344" s="44"/>
      <c r="H344" s="50"/>
      <c r="I344" s="50"/>
      <c r="K344" s="44"/>
      <c r="L344" s="50"/>
      <c r="N344" s="44"/>
      <c r="O344" s="50"/>
      <c r="P344" s="43" t="s">
        <v>39</v>
      </c>
    </row>
    <row r="345" spans="2:16">
      <c r="B345" s="43">
        <v>336</v>
      </c>
      <c r="C345" s="44"/>
      <c r="D345" s="50"/>
      <c r="E345" s="50"/>
      <c r="G345" s="44"/>
      <c r="H345" s="50"/>
      <c r="I345" s="50"/>
      <c r="K345" s="44"/>
      <c r="L345" s="50"/>
      <c r="N345" s="44"/>
      <c r="O345" s="50"/>
      <c r="P345" s="43" t="s">
        <v>39</v>
      </c>
    </row>
    <row r="346" spans="2:16">
      <c r="B346" s="43">
        <v>337</v>
      </c>
      <c r="C346" s="44"/>
      <c r="D346" s="50"/>
      <c r="E346" s="50"/>
      <c r="G346" s="44"/>
      <c r="H346" s="50"/>
      <c r="I346" s="50"/>
      <c r="K346" s="44"/>
      <c r="L346" s="50"/>
      <c r="N346" s="44"/>
      <c r="O346" s="50"/>
      <c r="P346" s="43" t="s">
        <v>39</v>
      </c>
    </row>
    <row r="347" spans="2:16">
      <c r="B347" s="43">
        <v>338</v>
      </c>
      <c r="C347" s="44"/>
      <c r="D347" s="50"/>
      <c r="E347" s="50"/>
      <c r="G347" s="44"/>
      <c r="H347" s="50"/>
      <c r="I347" s="50"/>
      <c r="K347" s="44"/>
      <c r="L347" s="50"/>
      <c r="N347" s="44"/>
      <c r="O347" s="50"/>
      <c r="P347" s="43" t="s">
        <v>39</v>
      </c>
    </row>
    <row r="348" spans="2:16">
      <c r="B348" s="43">
        <v>339</v>
      </c>
      <c r="C348" s="44"/>
      <c r="D348" s="50"/>
      <c r="E348" s="50"/>
      <c r="G348" s="44"/>
      <c r="H348" s="50"/>
      <c r="I348" s="50"/>
      <c r="K348" s="44"/>
      <c r="L348" s="50"/>
      <c r="N348" s="44"/>
      <c r="O348" s="50"/>
      <c r="P348" s="43" t="s">
        <v>39</v>
      </c>
    </row>
    <row r="349" spans="2:16">
      <c r="B349" s="43">
        <v>340</v>
      </c>
      <c r="C349" s="44"/>
      <c r="D349" s="50"/>
      <c r="E349" s="50"/>
      <c r="G349" s="44"/>
      <c r="H349" s="50"/>
      <c r="I349" s="50"/>
      <c r="K349" s="44"/>
      <c r="L349" s="50"/>
      <c r="N349" s="44"/>
      <c r="O349" s="50"/>
      <c r="P349" s="43" t="s">
        <v>39</v>
      </c>
    </row>
    <row r="350" spans="2:16">
      <c r="B350" s="43">
        <v>341</v>
      </c>
      <c r="C350" s="44"/>
      <c r="D350" s="50"/>
      <c r="E350" s="50"/>
      <c r="G350" s="44"/>
      <c r="H350" s="50"/>
      <c r="I350" s="50"/>
      <c r="K350" s="44"/>
      <c r="L350" s="50"/>
      <c r="N350" s="44"/>
      <c r="O350" s="50"/>
      <c r="P350" s="43" t="s">
        <v>39</v>
      </c>
    </row>
    <row r="351" spans="2:16">
      <c r="B351" s="43">
        <v>342</v>
      </c>
      <c r="C351" s="44"/>
      <c r="D351" s="50"/>
      <c r="E351" s="50"/>
      <c r="G351" s="44"/>
      <c r="H351" s="50"/>
      <c r="I351" s="50"/>
      <c r="K351" s="44"/>
      <c r="L351" s="50"/>
      <c r="N351" s="44"/>
      <c r="O351" s="50"/>
      <c r="P351" s="43" t="s">
        <v>39</v>
      </c>
    </row>
    <row r="352" spans="2:16">
      <c r="B352" s="43">
        <v>343</v>
      </c>
      <c r="C352" s="44"/>
      <c r="D352" s="50"/>
      <c r="E352" s="50"/>
      <c r="G352" s="44"/>
      <c r="H352" s="50"/>
      <c r="I352" s="50"/>
      <c r="K352" s="44"/>
      <c r="L352" s="50"/>
      <c r="N352" s="44"/>
      <c r="O352" s="50"/>
      <c r="P352" s="43" t="s">
        <v>39</v>
      </c>
    </row>
    <row r="353" spans="2:16">
      <c r="B353" s="43">
        <v>344</v>
      </c>
      <c r="C353" s="44"/>
      <c r="D353" s="50"/>
      <c r="E353" s="50"/>
      <c r="G353" s="44"/>
      <c r="H353" s="50"/>
      <c r="I353" s="50"/>
      <c r="K353" s="44"/>
      <c r="L353" s="50"/>
      <c r="N353" s="44"/>
      <c r="O353" s="50"/>
      <c r="P353" s="43" t="s">
        <v>39</v>
      </c>
    </row>
    <row r="354" spans="2:16">
      <c r="B354" s="43">
        <v>345</v>
      </c>
      <c r="C354" s="44"/>
      <c r="D354" s="50"/>
      <c r="E354" s="50"/>
      <c r="G354" s="44"/>
      <c r="H354" s="50"/>
      <c r="I354" s="50"/>
      <c r="K354" s="44"/>
      <c r="L354" s="50"/>
      <c r="N354" s="44"/>
      <c r="O354" s="50"/>
      <c r="P354" s="43" t="s">
        <v>39</v>
      </c>
    </row>
    <row r="355" spans="2:16">
      <c r="B355" s="43">
        <v>346</v>
      </c>
      <c r="C355" s="44"/>
      <c r="D355" s="50"/>
      <c r="E355" s="50"/>
      <c r="G355" s="44"/>
      <c r="H355" s="50"/>
      <c r="I355" s="50"/>
      <c r="K355" s="44"/>
      <c r="L355" s="50"/>
      <c r="N355" s="44"/>
      <c r="O355" s="50"/>
      <c r="P355" s="43" t="s">
        <v>39</v>
      </c>
    </row>
    <row r="356" spans="2:16">
      <c r="B356" s="43">
        <v>347</v>
      </c>
      <c r="C356" s="44"/>
      <c r="D356" s="50"/>
      <c r="E356" s="50"/>
      <c r="G356" s="44"/>
      <c r="H356" s="50"/>
      <c r="I356" s="50"/>
      <c r="K356" s="44"/>
      <c r="L356" s="50"/>
      <c r="N356" s="44"/>
      <c r="O356" s="50"/>
      <c r="P356" s="43" t="s">
        <v>39</v>
      </c>
    </row>
    <row r="357" spans="2:16">
      <c r="B357" s="43">
        <v>348</v>
      </c>
      <c r="C357" s="44"/>
      <c r="D357" s="50"/>
      <c r="E357" s="50"/>
      <c r="G357" s="44"/>
      <c r="H357" s="50"/>
      <c r="I357" s="50"/>
      <c r="K357" s="44"/>
      <c r="L357" s="50"/>
      <c r="N357" s="44"/>
      <c r="O357" s="50"/>
      <c r="P357" s="43" t="s">
        <v>39</v>
      </c>
    </row>
    <row r="358" spans="2:16">
      <c r="B358" s="43">
        <v>349</v>
      </c>
      <c r="C358" s="44"/>
      <c r="D358" s="50"/>
      <c r="E358" s="50"/>
      <c r="G358" s="44"/>
      <c r="H358" s="50"/>
      <c r="I358" s="50"/>
      <c r="K358" s="44"/>
      <c r="L358" s="50"/>
      <c r="N358" s="44"/>
      <c r="O358" s="50"/>
      <c r="P358" s="43" t="s">
        <v>39</v>
      </c>
    </row>
    <row r="359" spans="2:16">
      <c r="B359" s="43">
        <v>350</v>
      </c>
      <c r="C359" s="44"/>
      <c r="D359" s="50"/>
      <c r="E359" s="50"/>
      <c r="G359" s="44"/>
      <c r="H359" s="50"/>
      <c r="I359" s="50"/>
      <c r="K359" s="44"/>
      <c r="L359" s="50"/>
      <c r="N359" s="44"/>
      <c r="O359" s="50"/>
      <c r="P359" s="43" t="s">
        <v>39</v>
      </c>
    </row>
    <row r="360" spans="2:16">
      <c r="B360" s="43">
        <v>351</v>
      </c>
      <c r="C360" s="44"/>
      <c r="D360" s="50"/>
      <c r="E360" s="50"/>
      <c r="G360" s="44"/>
      <c r="H360" s="50"/>
      <c r="I360" s="50"/>
      <c r="K360" s="44"/>
      <c r="L360" s="50"/>
      <c r="N360" s="44"/>
      <c r="O360" s="50"/>
      <c r="P360" s="43" t="s">
        <v>39</v>
      </c>
    </row>
    <row r="361" spans="2:16">
      <c r="B361" s="43">
        <v>352</v>
      </c>
      <c r="C361" s="44"/>
      <c r="D361" s="50"/>
      <c r="E361" s="50"/>
      <c r="G361" s="44"/>
      <c r="H361" s="50"/>
      <c r="I361" s="50"/>
      <c r="K361" s="44"/>
      <c r="L361" s="50"/>
      <c r="N361" s="44"/>
      <c r="O361" s="50"/>
      <c r="P361" s="43" t="s">
        <v>39</v>
      </c>
    </row>
    <row r="362" spans="2:16">
      <c r="B362" s="43">
        <v>353</v>
      </c>
      <c r="C362" s="44"/>
      <c r="D362" s="50"/>
      <c r="E362" s="50"/>
      <c r="G362" s="44"/>
      <c r="H362" s="50"/>
      <c r="I362" s="50"/>
      <c r="K362" s="44"/>
      <c r="L362" s="50"/>
      <c r="N362" s="44"/>
      <c r="O362" s="50"/>
      <c r="P362" s="43" t="s">
        <v>39</v>
      </c>
    </row>
    <row r="363" spans="2:16">
      <c r="B363" s="43">
        <v>354</v>
      </c>
      <c r="C363" s="44"/>
      <c r="D363" s="50"/>
      <c r="E363" s="50"/>
      <c r="G363" s="44"/>
      <c r="H363" s="50"/>
      <c r="I363" s="50"/>
      <c r="K363" s="44"/>
      <c r="L363" s="50"/>
      <c r="N363" s="44"/>
      <c r="O363" s="50"/>
      <c r="P363" s="43" t="s">
        <v>39</v>
      </c>
    </row>
    <row r="364" spans="2:16">
      <c r="B364" s="43">
        <v>355</v>
      </c>
      <c r="C364" s="44"/>
      <c r="D364" s="50"/>
      <c r="E364" s="50"/>
      <c r="G364" s="44"/>
      <c r="H364" s="50"/>
      <c r="I364" s="50"/>
      <c r="K364" s="44"/>
      <c r="L364" s="50"/>
      <c r="N364" s="44"/>
      <c r="O364" s="50"/>
      <c r="P364" s="43" t="s">
        <v>39</v>
      </c>
    </row>
    <row r="365" spans="2:16">
      <c r="B365" s="43">
        <v>356</v>
      </c>
      <c r="C365" s="44"/>
      <c r="D365" s="50"/>
      <c r="E365" s="50"/>
      <c r="G365" s="44"/>
      <c r="H365" s="50"/>
      <c r="I365" s="50"/>
      <c r="K365" s="44"/>
      <c r="L365" s="50"/>
      <c r="N365" s="44"/>
      <c r="O365" s="50"/>
      <c r="P365" s="43" t="s">
        <v>39</v>
      </c>
    </row>
    <row r="366" spans="2:16">
      <c r="B366" s="43">
        <v>357</v>
      </c>
      <c r="C366" s="44"/>
      <c r="D366" s="50"/>
      <c r="E366" s="50"/>
      <c r="G366" s="44"/>
      <c r="H366" s="50"/>
      <c r="I366" s="50"/>
      <c r="K366" s="44"/>
      <c r="L366" s="50"/>
      <c r="N366" s="44"/>
      <c r="O366" s="50"/>
      <c r="P366" s="43" t="s">
        <v>39</v>
      </c>
    </row>
    <row r="367" spans="2:16">
      <c r="B367" s="43">
        <v>358</v>
      </c>
      <c r="C367" s="44"/>
      <c r="D367" s="50"/>
      <c r="E367" s="50"/>
      <c r="G367" s="44"/>
      <c r="H367" s="50"/>
      <c r="I367" s="50"/>
      <c r="K367" s="44"/>
      <c r="L367" s="50"/>
      <c r="N367" s="44"/>
      <c r="O367" s="50"/>
      <c r="P367" s="43" t="s">
        <v>39</v>
      </c>
    </row>
    <row r="368" spans="2:16">
      <c r="B368" s="43">
        <v>359</v>
      </c>
      <c r="C368" s="44"/>
      <c r="D368" s="50"/>
      <c r="E368" s="50"/>
      <c r="G368" s="44"/>
      <c r="H368" s="50"/>
      <c r="I368" s="50"/>
      <c r="K368" s="44"/>
      <c r="L368" s="50"/>
      <c r="N368" s="44"/>
      <c r="O368" s="50"/>
      <c r="P368" s="43" t="s">
        <v>39</v>
      </c>
    </row>
    <row r="369" spans="2:16">
      <c r="B369" s="43">
        <v>360</v>
      </c>
      <c r="C369" s="44"/>
      <c r="D369" s="50"/>
      <c r="E369" s="50"/>
      <c r="G369" s="44"/>
      <c r="H369" s="50"/>
      <c r="I369" s="50"/>
      <c r="K369" s="44"/>
      <c r="L369" s="50"/>
      <c r="N369" s="44"/>
      <c r="O369" s="50"/>
      <c r="P369" s="43" t="s">
        <v>39</v>
      </c>
    </row>
    <row r="370" spans="2:16">
      <c r="B370" s="43">
        <v>361</v>
      </c>
      <c r="C370" s="44"/>
      <c r="D370" s="50"/>
      <c r="E370" s="50"/>
      <c r="G370" s="44"/>
      <c r="H370" s="50"/>
      <c r="I370" s="50"/>
      <c r="K370" s="44"/>
      <c r="L370" s="50"/>
      <c r="N370" s="44"/>
      <c r="O370" s="50"/>
      <c r="P370" s="43" t="s">
        <v>39</v>
      </c>
    </row>
    <row r="371" spans="2:16">
      <c r="B371" s="43">
        <v>362</v>
      </c>
      <c r="C371" s="44"/>
      <c r="D371" s="50"/>
      <c r="E371" s="50"/>
      <c r="G371" s="44"/>
      <c r="H371" s="50"/>
      <c r="I371" s="50"/>
      <c r="K371" s="44"/>
      <c r="L371" s="50"/>
      <c r="N371" s="44"/>
      <c r="O371" s="50"/>
      <c r="P371" s="43" t="s">
        <v>39</v>
      </c>
    </row>
    <row r="372" spans="2:16">
      <c r="B372" s="43">
        <v>363</v>
      </c>
      <c r="C372" s="44"/>
      <c r="D372" s="50"/>
      <c r="E372" s="50"/>
      <c r="G372" s="44"/>
      <c r="H372" s="50"/>
      <c r="I372" s="50"/>
      <c r="K372" s="44"/>
      <c r="L372" s="50"/>
      <c r="N372" s="44"/>
      <c r="O372" s="50"/>
      <c r="P372" s="43" t="s">
        <v>39</v>
      </c>
    </row>
    <row r="373" spans="2:16">
      <c r="B373" s="43">
        <v>364</v>
      </c>
      <c r="C373" s="44"/>
      <c r="D373" s="50"/>
      <c r="E373" s="50"/>
      <c r="G373" s="44"/>
      <c r="H373" s="50"/>
      <c r="I373" s="50"/>
      <c r="K373" s="44"/>
      <c r="L373" s="50"/>
      <c r="N373" s="44"/>
      <c r="O373" s="50"/>
      <c r="P373" s="43" t="s">
        <v>39</v>
      </c>
    </row>
    <row r="374" spans="2:16">
      <c r="B374" s="43">
        <v>365</v>
      </c>
      <c r="C374" s="44"/>
      <c r="D374" s="50"/>
      <c r="E374" s="50"/>
      <c r="G374" s="44"/>
      <c r="H374" s="50"/>
      <c r="I374" s="50"/>
      <c r="K374" s="44"/>
      <c r="L374" s="50"/>
      <c r="N374" s="44"/>
      <c r="O374" s="50"/>
      <c r="P374" s="43" t="s">
        <v>39</v>
      </c>
    </row>
    <row r="375" spans="2:16">
      <c r="B375" s="43">
        <v>366</v>
      </c>
      <c r="C375" s="44"/>
      <c r="D375" s="50"/>
      <c r="E375" s="50"/>
      <c r="G375" s="44"/>
      <c r="H375" s="50"/>
      <c r="I375" s="50"/>
      <c r="K375" s="44"/>
      <c r="L375" s="50"/>
      <c r="N375" s="44"/>
      <c r="O375" s="50"/>
      <c r="P375" s="43" t="s">
        <v>39</v>
      </c>
    </row>
    <row r="376" spans="2:16">
      <c r="B376" s="43">
        <v>367</v>
      </c>
      <c r="C376" s="44"/>
      <c r="D376" s="50"/>
      <c r="E376" s="50"/>
      <c r="G376" s="44"/>
      <c r="H376" s="50"/>
      <c r="I376" s="50"/>
      <c r="K376" s="44"/>
      <c r="L376" s="50"/>
      <c r="N376" s="44"/>
      <c r="O376" s="50"/>
      <c r="P376" s="43" t="s">
        <v>39</v>
      </c>
    </row>
    <row r="377" spans="2:16">
      <c r="B377" s="43">
        <v>368</v>
      </c>
      <c r="C377" s="44"/>
      <c r="D377" s="50"/>
      <c r="E377" s="50"/>
      <c r="G377" s="44"/>
      <c r="H377" s="50"/>
      <c r="I377" s="50"/>
      <c r="K377" s="44"/>
      <c r="L377" s="50"/>
      <c r="N377" s="44"/>
      <c r="O377" s="50"/>
      <c r="P377" s="43" t="s">
        <v>39</v>
      </c>
    </row>
    <row r="378" spans="2:16">
      <c r="B378" s="43">
        <v>369</v>
      </c>
      <c r="C378" s="44"/>
      <c r="D378" s="50"/>
      <c r="E378" s="50"/>
      <c r="G378" s="44"/>
      <c r="H378" s="50"/>
      <c r="I378" s="50"/>
      <c r="K378" s="44"/>
      <c r="L378" s="50"/>
      <c r="N378" s="44"/>
      <c r="O378" s="50"/>
      <c r="P378" s="43" t="s">
        <v>39</v>
      </c>
    </row>
    <row r="379" spans="2:16">
      <c r="B379" s="43">
        <v>370</v>
      </c>
      <c r="C379" s="44"/>
      <c r="D379" s="50"/>
      <c r="E379" s="50"/>
      <c r="G379" s="44"/>
      <c r="H379" s="50"/>
      <c r="I379" s="50"/>
      <c r="K379" s="44"/>
      <c r="L379" s="50"/>
      <c r="N379" s="44"/>
      <c r="O379" s="50"/>
      <c r="P379" s="43" t="s">
        <v>39</v>
      </c>
    </row>
    <row r="380" spans="2:16">
      <c r="B380" s="43">
        <v>371</v>
      </c>
      <c r="C380" s="44"/>
      <c r="D380" s="50"/>
      <c r="E380" s="50"/>
      <c r="G380" s="44"/>
      <c r="H380" s="50"/>
      <c r="I380" s="50"/>
      <c r="K380" s="44"/>
      <c r="L380" s="50"/>
      <c r="N380" s="44"/>
      <c r="O380" s="50"/>
      <c r="P380" s="43" t="s">
        <v>39</v>
      </c>
    </row>
    <row r="381" spans="2:16">
      <c r="B381" s="43">
        <v>372</v>
      </c>
      <c r="C381" s="44"/>
      <c r="D381" s="50"/>
      <c r="E381" s="50"/>
      <c r="G381" s="44"/>
      <c r="H381" s="50"/>
      <c r="I381" s="50"/>
      <c r="K381" s="44"/>
      <c r="L381" s="50"/>
      <c r="N381" s="44"/>
      <c r="O381" s="50"/>
      <c r="P381" s="43" t="s">
        <v>39</v>
      </c>
    </row>
    <row r="382" spans="2:16">
      <c r="B382" s="43">
        <v>373</v>
      </c>
      <c r="C382" s="44"/>
      <c r="D382" s="50"/>
      <c r="E382" s="50"/>
      <c r="G382" s="44"/>
      <c r="H382" s="50"/>
      <c r="I382" s="50"/>
      <c r="K382" s="44"/>
      <c r="L382" s="50"/>
      <c r="N382" s="44"/>
      <c r="O382" s="50"/>
      <c r="P382" s="43" t="s">
        <v>39</v>
      </c>
    </row>
    <row r="383" spans="2:16">
      <c r="B383" s="43">
        <v>374</v>
      </c>
      <c r="C383" s="44"/>
      <c r="D383" s="50"/>
      <c r="E383" s="50"/>
      <c r="G383" s="44"/>
      <c r="H383" s="50"/>
      <c r="I383" s="50"/>
      <c r="K383" s="44"/>
      <c r="L383" s="50"/>
      <c r="N383" s="44"/>
      <c r="O383" s="50"/>
      <c r="P383" s="43" t="s">
        <v>39</v>
      </c>
    </row>
    <row r="384" spans="2:16">
      <c r="B384" s="43">
        <v>375</v>
      </c>
      <c r="C384" s="44"/>
      <c r="D384" s="50"/>
      <c r="E384" s="50"/>
      <c r="G384" s="44"/>
      <c r="H384" s="50"/>
      <c r="I384" s="50"/>
      <c r="K384" s="44"/>
      <c r="L384" s="50"/>
      <c r="N384" s="44"/>
      <c r="O384" s="50"/>
      <c r="P384" s="43" t="s">
        <v>39</v>
      </c>
    </row>
    <row r="385" spans="2:16">
      <c r="B385" s="43">
        <v>376</v>
      </c>
      <c r="C385" s="44"/>
      <c r="D385" s="50"/>
      <c r="E385" s="50"/>
      <c r="G385" s="44"/>
      <c r="H385" s="50"/>
      <c r="I385" s="50"/>
      <c r="K385" s="44"/>
      <c r="L385" s="50"/>
      <c r="N385" s="44"/>
      <c r="O385" s="50"/>
      <c r="P385" s="43" t="s">
        <v>39</v>
      </c>
    </row>
    <row r="386" spans="2:16">
      <c r="B386" s="43">
        <v>377</v>
      </c>
      <c r="C386" s="44"/>
      <c r="D386" s="50"/>
      <c r="E386" s="50"/>
      <c r="G386" s="44"/>
      <c r="H386" s="50"/>
      <c r="I386" s="50"/>
      <c r="K386" s="44"/>
      <c r="L386" s="50"/>
      <c r="N386" s="44"/>
      <c r="O386" s="50"/>
      <c r="P386" s="43" t="s">
        <v>39</v>
      </c>
    </row>
    <row r="387" spans="2:16">
      <c r="B387" s="43">
        <v>378</v>
      </c>
      <c r="C387" s="44"/>
      <c r="D387" s="50"/>
      <c r="E387" s="50"/>
      <c r="G387" s="44"/>
      <c r="H387" s="50"/>
      <c r="I387" s="50"/>
      <c r="K387" s="44"/>
      <c r="L387" s="50"/>
      <c r="N387" s="44"/>
      <c r="O387" s="50"/>
      <c r="P387" s="43" t="s">
        <v>39</v>
      </c>
    </row>
    <row r="388" spans="2:16">
      <c r="B388" s="43">
        <v>379</v>
      </c>
      <c r="C388" s="44"/>
      <c r="D388" s="50"/>
      <c r="E388" s="50"/>
      <c r="G388" s="44"/>
      <c r="H388" s="50"/>
      <c r="I388" s="50"/>
      <c r="K388" s="44"/>
      <c r="L388" s="50"/>
      <c r="N388" s="44"/>
      <c r="O388" s="50"/>
      <c r="P388" s="43" t="s">
        <v>39</v>
      </c>
    </row>
    <row r="389" spans="2:16">
      <c r="B389" s="43">
        <v>380</v>
      </c>
      <c r="C389" s="44"/>
      <c r="D389" s="50"/>
      <c r="E389" s="50"/>
      <c r="G389" s="44"/>
      <c r="H389" s="50"/>
      <c r="I389" s="50"/>
      <c r="K389" s="44"/>
      <c r="L389" s="50"/>
      <c r="N389" s="44"/>
      <c r="O389" s="50"/>
      <c r="P389" s="43" t="s">
        <v>39</v>
      </c>
    </row>
    <row r="390" spans="2:16">
      <c r="B390" s="43">
        <v>381</v>
      </c>
      <c r="C390" s="44"/>
      <c r="D390" s="50"/>
      <c r="E390" s="50"/>
      <c r="G390" s="44"/>
      <c r="H390" s="50"/>
      <c r="I390" s="50"/>
      <c r="K390" s="44"/>
      <c r="L390" s="50"/>
      <c r="N390" s="44"/>
      <c r="O390" s="50"/>
      <c r="P390" s="43" t="s">
        <v>39</v>
      </c>
    </row>
    <row r="391" spans="2:16">
      <c r="B391" s="43">
        <v>382</v>
      </c>
      <c r="C391" s="44"/>
      <c r="D391" s="50"/>
      <c r="E391" s="50"/>
      <c r="G391" s="44"/>
      <c r="H391" s="50"/>
      <c r="I391" s="50"/>
      <c r="K391" s="44"/>
      <c r="L391" s="50"/>
      <c r="N391" s="44"/>
      <c r="O391" s="50"/>
      <c r="P391" s="43" t="s">
        <v>39</v>
      </c>
    </row>
    <row r="392" spans="2:16">
      <c r="B392" s="43">
        <v>383</v>
      </c>
      <c r="C392" s="44"/>
      <c r="D392" s="50"/>
      <c r="E392" s="50"/>
      <c r="G392" s="44"/>
      <c r="H392" s="50"/>
      <c r="I392" s="50"/>
      <c r="K392" s="44"/>
      <c r="L392" s="50"/>
      <c r="N392" s="44"/>
      <c r="O392" s="50"/>
      <c r="P392" s="43" t="s">
        <v>39</v>
      </c>
    </row>
    <row r="393" spans="2:16">
      <c r="B393" s="43">
        <v>384</v>
      </c>
      <c r="C393" s="44"/>
      <c r="D393" s="50"/>
      <c r="E393" s="50"/>
      <c r="G393" s="44"/>
      <c r="H393" s="50"/>
      <c r="I393" s="50"/>
      <c r="K393" s="44"/>
      <c r="L393" s="50"/>
      <c r="N393" s="44"/>
      <c r="O393" s="50"/>
      <c r="P393" s="43" t="s">
        <v>39</v>
      </c>
    </row>
    <row r="394" spans="2:16">
      <c r="B394" s="43">
        <v>385</v>
      </c>
      <c r="C394" s="44"/>
      <c r="D394" s="50"/>
      <c r="E394" s="50"/>
      <c r="G394" s="44"/>
      <c r="H394" s="50"/>
      <c r="I394" s="50"/>
      <c r="K394" s="44"/>
      <c r="L394" s="50"/>
      <c r="N394" s="44"/>
      <c r="O394" s="50"/>
      <c r="P394" s="43" t="s">
        <v>39</v>
      </c>
    </row>
    <row r="395" spans="2:16">
      <c r="B395" s="43">
        <v>386</v>
      </c>
      <c r="C395" s="44"/>
      <c r="D395" s="50"/>
      <c r="E395" s="50"/>
      <c r="G395" s="44"/>
      <c r="H395" s="50"/>
      <c r="I395" s="50"/>
      <c r="K395" s="44"/>
      <c r="L395" s="50"/>
      <c r="N395" s="44"/>
      <c r="O395" s="50"/>
      <c r="P395" s="43" t="s">
        <v>39</v>
      </c>
    </row>
    <row r="396" spans="2:16">
      <c r="B396" s="43">
        <v>387</v>
      </c>
      <c r="C396" s="44"/>
      <c r="D396" s="50"/>
      <c r="E396" s="50"/>
      <c r="G396" s="44"/>
      <c r="H396" s="50"/>
      <c r="I396" s="50"/>
      <c r="K396" s="44"/>
      <c r="L396" s="50"/>
      <c r="N396" s="44"/>
      <c r="O396" s="50"/>
      <c r="P396" s="43" t="s">
        <v>39</v>
      </c>
    </row>
    <row r="397" spans="2:16">
      <c r="B397" s="43">
        <v>388</v>
      </c>
      <c r="C397" s="44"/>
      <c r="D397" s="50"/>
      <c r="E397" s="50"/>
      <c r="G397" s="44"/>
      <c r="H397" s="50"/>
      <c r="I397" s="50"/>
      <c r="K397" s="44"/>
      <c r="L397" s="50"/>
      <c r="N397" s="44"/>
      <c r="O397" s="50"/>
      <c r="P397" s="43" t="s">
        <v>39</v>
      </c>
    </row>
    <row r="398" spans="2:16">
      <c r="B398" s="43">
        <v>389</v>
      </c>
      <c r="C398" s="44"/>
      <c r="D398" s="50"/>
      <c r="E398" s="50"/>
      <c r="G398" s="44"/>
      <c r="H398" s="50"/>
      <c r="I398" s="50"/>
      <c r="K398" s="44"/>
      <c r="L398" s="50"/>
      <c r="N398" s="44"/>
      <c r="O398" s="50"/>
      <c r="P398" s="43" t="s">
        <v>39</v>
      </c>
    </row>
    <row r="399" spans="2:16">
      <c r="B399" s="43">
        <v>390</v>
      </c>
      <c r="C399" s="44"/>
      <c r="D399" s="50"/>
      <c r="E399" s="50"/>
      <c r="G399" s="44"/>
      <c r="H399" s="50"/>
      <c r="I399" s="50"/>
      <c r="K399" s="44"/>
      <c r="L399" s="50"/>
      <c r="N399" s="44"/>
      <c r="O399" s="50"/>
      <c r="P399" s="43" t="s">
        <v>39</v>
      </c>
    </row>
    <row r="400" spans="2:16">
      <c r="B400" s="43">
        <v>391</v>
      </c>
      <c r="C400" s="44"/>
      <c r="D400" s="50"/>
      <c r="E400" s="50"/>
      <c r="G400" s="44"/>
      <c r="H400" s="50"/>
      <c r="I400" s="50"/>
      <c r="K400" s="44"/>
      <c r="L400" s="50"/>
      <c r="N400" s="44"/>
      <c r="O400" s="50"/>
      <c r="P400" s="43" t="s">
        <v>39</v>
      </c>
    </row>
    <row r="401" spans="2:16">
      <c r="B401" s="43">
        <v>392</v>
      </c>
      <c r="C401" s="44"/>
      <c r="D401" s="50"/>
      <c r="E401" s="50"/>
      <c r="G401" s="44"/>
      <c r="H401" s="50"/>
      <c r="I401" s="50"/>
      <c r="K401" s="44"/>
      <c r="L401" s="50"/>
      <c r="N401" s="44"/>
      <c r="O401" s="50"/>
      <c r="P401" s="43" t="s">
        <v>39</v>
      </c>
    </row>
    <row r="402" spans="2:16">
      <c r="B402" s="43">
        <v>393</v>
      </c>
      <c r="C402" s="44"/>
      <c r="D402" s="50"/>
      <c r="E402" s="50"/>
      <c r="G402" s="44"/>
      <c r="H402" s="50"/>
      <c r="I402" s="50"/>
      <c r="K402" s="44"/>
      <c r="L402" s="50"/>
      <c r="N402" s="44"/>
      <c r="O402" s="50"/>
      <c r="P402" s="43" t="s">
        <v>39</v>
      </c>
    </row>
    <row r="403" spans="2:16">
      <c r="B403" s="43">
        <v>394</v>
      </c>
      <c r="C403" s="44"/>
      <c r="D403" s="50"/>
      <c r="E403" s="50"/>
      <c r="G403" s="44"/>
      <c r="H403" s="50"/>
      <c r="I403" s="50"/>
      <c r="K403" s="44"/>
      <c r="L403" s="50"/>
      <c r="N403" s="44"/>
      <c r="O403" s="50"/>
      <c r="P403" s="43" t="s">
        <v>39</v>
      </c>
    </row>
    <row r="404" spans="2:16">
      <c r="B404" s="43">
        <v>395</v>
      </c>
      <c r="C404" s="44"/>
      <c r="D404" s="50"/>
      <c r="E404" s="50"/>
      <c r="G404" s="44"/>
      <c r="H404" s="50"/>
      <c r="I404" s="50"/>
      <c r="K404" s="44"/>
      <c r="L404" s="50"/>
      <c r="N404" s="44"/>
      <c r="O404" s="50"/>
      <c r="P404" s="43" t="s">
        <v>39</v>
      </c>
    </row>
    <row r="405" spans="2:16">
      <c r="B405" s="43">
        <v>396</v>
      </c>
      <c r="C405" s="44"/>
      <c r="D405" s="50"/>
      <c r="E405" s="50"/>
      <c r="G405" s="44"/>
      <c r="H405" s="50"/>
      <c r="I405" s="50"/>
      <c r="K405" s="44"/>
      <c r="L405" s="50"/>
      <c r="N405" s="44"/>
      <c r="O405" s="50"/>
      <c r="P405" s="43" t="s">
        <v>39</v>
      </c>
    </row>
    <row r="406" spans="2:16">
      <c r="B406" s="43">
        <v>397</v>
      </c>
      <c r="C406" s="44"/>
      <c r="D406" s="50"/>
      <c r="E406" s="50"/>
      <c r="G406" s="44"/>
      <c r="H406" s="50"/>
      <c r="I406" s="50"/>
      <c r="K406" s="44"/>
      <c r="L406" s="50"/>
      <c r="N406" s="44"/>
      <c r="O406" s="50"/>
      <c r="P406" s="43" t="s">
        <v>39</v>
      </c>
    </row>
    <row r="407" spans="2:16">
      <c r="B407" s="43">
        <v>398</v>
      </c>
      <c r="C407" s="44"/>
      <c r="D407" s="50"/>
      <c r="E407" s="50"/>
      <c r="G407" s="44"/>
      <c r="H407" s="50"/>
      <c r="I407" s="50"/>
      <c r="K407" s="44"/>
      <c r="L407" s="50"/>
      <c r="N407" s="44"/>
      <c r="O407" s="50"/>
      <c r="P407" s="43" t="s">
        <v>39</v>
      </c>
    </row>
    <row r="408" spans="2:16">
      <c r="B408" s="43">
        <v>399</v>
      </c>
      <c r="C408" s="44"/>
      <c r="D408" s="50"/>
      <c r="E408" s="50"/>
      <c r="G408" s="44"/>
      <c r="H408" s="50"/>
      <c r="I408" s="50"/>
      <c r="K408" s="44"/>
      <c r="L408" s="50"/>
      <c r="N408" s="44"/>
      <c r="O408" s="50"/>
      <c r="P408" s="43" t="s">
        <v>39</v>
      </c>
    </row>
    <row r="409" spans="2:16">
      <c r="B409" s="43">
        <v>400</v>
      </c>
      <c r="C409" s="44"/>
      <c r="D409" s="50"/>
      <c r="E409" s="50"/>
      <c r="G409" s="44"/>
      <c r="H409" s="50"/>
      <c r="I409" s="50"/>
      <c r="K409" s="44"/>
      <c r="L409" s="50"/>
      <c r="N409" s="44"/>
      <c r="O409" s="50"/>
      <c r="P409" s="43" t="s">
        <v>39</v>
      </c>
    </row>
    <row r="410" spans="2:16">
      <c r="B410" s="43">
        <v>401</v>
      </c>
      <c r="C410" s="44"/>
      <c r="D410" s="50"/>
      <c r="E410" s="50"/>
      <c r="G410" s="44"/>
      <c r="H410" s="50"/>
      <c r="I410" s="50"/>
      <c r="K410" s="44"/>
      <c r="L410" s="50"/>
      <c r="N410" s="44"/>
      <c r="O410" s="50"/>
      <c r="P410" s="43" t="s">
        <v>39</v>
      </c>
    </row>
    <row r="411" spans="2:16">
      <c r="B411" s="43">
        <v>402</v>
      </c>
      <c r="C411" s="44"/>
      <c r="D411" s="50"/>
      <c r="E411" s="50"/>
      <c r="G411" s="44"/>
      <c r="H411" s="50"/>
      <c r="I411" s="50"/>
      <c r="K411" s="44"/>
      <c r="L411" s="50"/>
      <c r="N411" s="44"/>
      <c r="O411" s="50"/>
      <c r="P411" s="43" t="s">
        <v>39</v>
      </c>
    </row>
    <row r="412" spans="2:16">
      <c r="B412" s="43">
        <v>403</v>
      </c>
      <c r="C412" s="44"/>
      <c r="D412" s="50"/>
      <c r="E412" s="50"/>
      <c r="G412" s="44"/>
      <c r="H412" s="50"/>
      <c r="I412" s="50"/>
      <c r="K412" s="44"/>
      <c r="L412" s="50"/>
      <c r="N412" s="44"/>
      <c r="O412" s="50"/>
      <c r="P412" s="43" t="s">
        <v>39</v>
      </c>
    </row>
    <row r="413" spans="2:16">
      <c r="B413" s="43">
        <v>404</v>
      </c>
      <c r="C413" s="44"/>
      <c r="D413" s="50"/>
      <c r="E413" s="50"/>
      <c r="G413" s="44"/>
      <c r="H413" s="50"/>
      <c r="I413" s="50"/>
      <c r="K413" s="44"/>
      <c r="L413" s="50"/>
      <c r="N413" s="44"/>
      <c r="O413" s="50"/>
      <c r="P413" s="43" t="s">
        <v>39</v>
      </c>
    </row>
    <row r="414" spans="2:16">
      <c r="B414" s="43">
        <v>405</v>
      </c>
      <c r="C414" s="44"/>
      <c r="D414" s="50"/>
      <c r="E414" s="50"/>
      <c r="G414" s="44"/>
      <c r="H414" s="50"/>
      <c r="I414" s="50"/>
      <c r="K414" s="44"/>
      <c r="L414" s="50"/>
      <c r="N414" s="44"/>
      <c r="O414" s="50"/>
      <c r="P414" s="43" t="s">
        <v>39</v>
      </c>
    </row>
    <row r="415" spans="2:16">
      <c r="B415" s="43">
        <v>406</v>
      </c>
      <c r="C415" s="44"/>
      <c r="D415" s="50"/>
      <c r="E415" s="50"/>
      <c r="G415" s="44"/>
      <c r="H415" s="50"/>
      <c r="I415" s="50"/>
      <c r="K415" s="44"/>
      <c r="L415" s="50"/>
      <c r="N415" s="44"/>
      <c r="O415" s="50"/>
      <c r="P415" s="43" t="s">
        <v>39</v>
      </c>
    </row>
    <row r="416" spans="2:16">
      <c r="B416" s="43">
        <v>407</v>
      </c>
      <c r="C416" s="44"/>
      <c r="D416" s="50"/>
      <c r="E416" s="50"/>
      <c r="G416" s="44"/>
      <c r="H416" s="50"/>
      <c r="I416" s="50"/>
      <c r="K416" s="44"/>
      <c r="L416" s="50"/>
      <c r="N416" s="44"/>
      <c r="O416" s="50"/>
      <c r="P416" s="43" t="s">
        <v>39</v>
      </c>
    </row>
    <row r="417" spans="2:16">
      <c r="B417" s="43">
        <v>408</v>
      </c>
      <c r="C417" s="44"/>
      <c r="D417" s="50"/>
      <c r="E417" s="50"/>
      <c r="G417" s="44"/>
      <c r="H417" s="50"/>
      <c r="I417" s="50"/>
      <c r="K417" s="44"/>
      <c r="L417" s="50"/>
      <c r="N417" s="44"/>
      <c r="O417" s="50"/>
      <c r="P417" s="43" t="s">
        <v>39</v>
      </c>
    </row>
    <row r="418" spans="2:16">
      <c r="B418" s="43">
        <v>409</v>
      </c>
      <c r="C418" s="44"/>
      <c r="D418" s="50"/>
      <c r="E418" s="50"/>
      <c r="G418" s="44"/>
      <c r="H418" s="50"/>
      <c r="I418" s="50"/>
      <c r="K418" s="44"/>
      <c r="L418" s="50"/>
      <c r="N418" s="44"/>
      <c r="O418" s="50"/>
      <c r="P418" s="43" t="s">
        <v>39</v>
      </c>
    </row>
    <row r="419" spans="2:16">
      <c r="B419" s="43">
        <v>410</v>
      </c>
      <c r="C419" s="44"/>
      <c r="D419" s="50"/>
      <c r="E419" s="50"/>
      <c r="G419" s="44"/>
      <c r="H419" s="50"/>
      <c r="I419" s="50"/>
      <c r="K419" s="44"/>
      <c r="L419" s="50"/>
      <c r="N419" s="44"/>
      <c r="O419" s="50"/>
      <c r="P419" s="43" t="s">
        <v>39</v>
      </c>
    </row>
    <row r="420" spans="2:16">
      <c r="B420" s="43">
        <v>411</v>
      </c>
      <c r="C420" s="44"/>
      <c r="D420" s="50"/>
      <c r="E420" s="50"/>
      <c r="G420" s="44"/>
      <c r="H420" s="50"/>
      <c r="I420" s="50"/>
      <c r="K420" s="44"/>
      <c r="L420" s="50"/>
      <c r="N420" s="44"/>
      <c r="O420" s="50"/>
      <c r="P420" s="43" t="s">
        <v>39</v>
      </c>
    </row>
    <row r="421" spans="2:16">
      <c r="B421" s="43">
        <v>412</v>
      </c>
      <c r="C421" s="44"/>
      <c r="D421" s="50"/>
      <c r="E421" s="50"/>
      <c r="G421" s="44"/>
      <c r="H421" s="50"/>
      <c r="I421" s="50"/>
      <c r="K421" s="44"/>
      <c r="L421" s="50"/>
      <c r="N421" s="44"/>
      <c r="O421" s="50"/>
      <c r="P421" s="43" t="s">
        <v>39</v>
      </c>
    </row>
    <row r="422" spans="2:16">
      <c r="B422" s="43">
        <v>413</v>
      </c>
      <c r="C422" s="44"/>
      <c r="D422" s="50"/>
      <c r="E422" s="50"/>
      <c r="G422" s="44"/>
      <c r="H422" s="50"/>
      <c r="I422" s="50"/>
      <c r="K422" s="44"/>
      <c r="L422" s="50"/>
      <c r="N422" s="44"/>
      <c r="O422" s="50"/>
      <c r="P422" s="43" t="s">
        <v>39</v>
      </c>
    </row>
    <row r="423" spans="2:16">
      <c r="B423" s="43">
        <v>414</v>
      </c>
      <c r="C423" s="44"/>
      <c r="D423" s="50"/>
      <c r="E423" s="50"/>
      <c r="G423" s="44"/>
      <c r="H423" s="50"/>
      <c r="I423" s="50"/>
      <c r="K423" s="44"/>
      <c r="L423" s="50"/>
      <c r="N423" s="44"/>
      <c r="O423" s="50"/>
      <c r="P423" s="43" t="s">
        <v>39</v>
      </c>
    </row>
    <row r="424" spans="2:16">
      <c r="B424" s="43">
        <v>415</v>
      </c>
      <c r="C424" s="44"/>
      <c r="D424" s="50"/>
      <c r="E424" s="50"/>
      <c r="G424" s="44"/>
      <c r="H424" s="50"/>
      <c r="I424" s="50"/>
      <c r="K424" s="44"/>
      <c r="L424" s="50"/>
      <c r="N424" s="44"/>
      <c r="O424" s="50"/>
      <c r="P424" s="43" t="s">
        <v>39</v>
      </c>
    </row>
    <row r="425" spans="2:16">
      <c r="B425" s="43">
        <v>416</v>
      </c>
      <c r="C425" s="44"/>
      <c r="D425" s="50"/>
      <c r="E425" s="50"/>
      <c r="G425" s="44"/>
      <c r="H425" s="50"/>
      <c r="I425" s="50"/>
      <c r="K425" s="44"/>
      <c r="L425" s="50"/>
      <c r="N425" s="44"/>
      <c r="O425" s="50"/>
      <c r="P425" s="43" t="s">
        <v>39</v>
      </c>
    </row>
    <row r="426" spans="2:16">
      <c r="B426" s="43">
        <v>417</v>
      </c>
      <c r="C426" s="44"/>
      <c r="D426" s="50"/>
      <c r="E426" s="50"/>
      <c r="G426" s="44"/>
      <c r="H426" s="50"/>
      <c r="I426" s="50"/>
      <c r="K426" s="44"/>
      <c r="L426" s="50"/>
      <c r="N426" s="44"/>
      <c r="O426" s="50"/>
      <c r="P426" s="43" t="s">
        <v>39</v>
      </c>
    </row>
    <row r="427" spans="2:16">
      <c r="B427" s="43">
        <v>418</v>
      </c>
      <c r="C427" s="44"/>
      <c r="D427" s="50"/>
      <c r="E427" s="50"/>
      <c r="G427" s="44"/>
      <c r="H427" s="50"/>
      <c r="I427" s="50"/>
      <c r="K427" s="44"/>
      <c r="L427" s="50"/>
      <c r="N427" s="44"/>
      <c r="O427" s="50"/>
      <c r="P427" s="43" t="s">
        <v>39</v>
      </c>
    </row>
    <row r="428" spans="2:16">
      <c r="B428" s="43">
        <v>419</v>
      </c>
      <c r="C428" s="44"/>
      <c r="D428" s="50"/>
      <c r="E428" s="50"/>
      <c r="G428" s="44"/>
      <c r="H428" s="50"/>
      <c r="I428" s="50"/>
      <c r="K428" s="44"/>
      <c r="L428" s="50"/>
      <c r="N428" s="44"/>
      <c r="O428" s="50"/>
      <c r="P428" s="43" t="s">
        <v>39</v>
      </c>
    </row>
    <row r="429" spans="2:16">
      <c r="B429" s="43">
        <v>420</v>
      </c>
      <c r="C429" s="44"/>
      <c r="D429" s="50"/>
      <c r="E429" s="50"/>
      <c r="G429" s="44"/>
      <c r="H429" s="50"/>
      <c r="I429" s="50"/>
      <c r="K429" s="44"/>
      <c r="L429" s="50"/>
      <c r="N429" s="44"/>
      <c r="O429" s="50"/>
      <c r="P429" s="43" t="s">
        <v>39</v>
      </c>
    </row>
    <row r="430" spans="2:16">
      <c r="B430" s="43">
        <v>421</v>
      </c>
      <c r="C430" s="44"/>
      <c r="D430" s="50"/>
      <c r="E430" s="50"/>
      <c r="G430" s="44"/>
      <c r="H430" s="50"/>
      <c r="I430" s="50"/>
      <c r="K430" s="44"/>
      <c r="L430" s="50"/>
      <c r="N430" s="44"/>
      <c r="O430" s="50"/>
      <c r="P430" s="43" t="s">
        <v>39</v>
      </c>
    </row>
    <row r="431" spans="2:16">
      <c r="B431" s="43">
        <v>422</v>
      </c>
      <c r="C431" s="44"/>
      <c r="D431" s="50"/>
      <c r="E431" s="50"/>
      <c r="G431" s="44"/>
      <c r="H431" s="50"/>
      <c r="I431" s="50"/>
      <c r="K431" s="44"/>
      <c r="L431" s="50"/>
      <c r="N431" s="44"/>
      <c r="O431" s="50"/>
      <c r="P431" s="43" t="s">
        <v>39</v>
      </c>
    </row>
    <row r="432" spans="2:16">
      <c r="B432" s="43">
        <v>423</v>
      </c>
      <c r="C432" s="44"/>
      <c r="D432" s="50"/>
      <c r="E432" s="50"/>
      <c r="G432" s="44"/>
      <c r="H432" s="50"/>
      <c r="I432" s="50"/>
      <c r="K432" s="44"/>
      <c r="L432" s="50"/>
      <c r="N432" s="44"/>
      <c r="O432" s="50"/>
      <c r="P432" s="43" t="s">
        <v>39</v>
      </c>
    </row>
    <row r="433" spans="2:16">
      <c r="B433" s="43">
        <v>424</v>
      </c>
      <c r="C433" s="44"/>
      <c r="D433" s="50"/>
      <c r="E433" s="50"/>
      <c r="G433" s="44"/>
      <c r="H433" s="50"/>
      <c r="I433" s="50"/>
      <c r="K433" s="44"/>
      <c r="L433" s="50"/>
      <c r="N433" s="44"/>
      <c r="O433" s="50"/>
      <c r="P433" s="43" t="s">
        <v>39</v>
      </c>
    </row>
    <row r="434" spans="2:16">
      <c r="B434" s="43">
        <v>425</v>
      </c>
      <c r="C434" s="44"/>
      <c r="D434" s="50"/>
      <c r="E434" s="50"/>
      <c r="G434" s="44"/>
      <c r="H434" s="50"/>
      <c r="I434" s="50"/>
      <c r="K434" s="44"/>
      <c r="L434" s="50"/>
      <c r="N434" s="44"/>
      <c r="O434" s="50"/>
      <c r="P434" s="43" t="s">
        <v>39</v>
      </c>
    </row>
    <row r="435" spans="2:16">
      <c r="B435" s="43">
        <v>426</v>
      </c>
      <c r="C435" s="44"/>
      <c r="D435" s="50"/>
      <c r="E435" s="50"/>
      <c r="G435" s="44"/>
      <c r="H435" s="50"/>
      <c r="I435" s="50"/>
      <c r="K435" s="44"/>
      <c r="L435" s="50"/>
      <c r="N435" s="44"/>
      <c r="O435" s="50"/>
      <c r="P435" s="43" t="s">
        <v>39</v>
      </c>
    </row>
    <row r="436" spans="2:16">
      <c r="B436" s="43">
        <v>427</v>
      </c>
      <c r="C436" s="44"/>
      <c r="D436" s="50"/>
      <c r="E436" s="50"/>
      <c r="G436" s="44"/>
      <c r="H436" s="50"/>
      <c r="I436" s="50"/>
      <c r="K436" s="44"/>
      <c r="L436" s="50"/>
      <c r="N436" s="44"/>
      <c r="O436" s="50"/>
      <c r="P436" s="43" t="s">
        <v>39</v>
      </c>
    </row>
    <row r="437" spans="2:16">
      <c r="B437" s="43">
        <v>428</v>
      </c>
      <c r="C437" s="44"/>
      <c r="D437" s="50"/>
      <c r="E437" s="50"/>
      <c r="G437" s="44"/>
      <c r="H437" s="50"/>
      <c r="I437" s="50"/>
      <c r="K437" s="44"/>
      <c r="L437" s="50"/>
      <c r="N437" s="44"/>
      <c r="O437" s="50"/>
      <c r="P437" s="43" t="s">
        <v>39</v>
      </c>
    </row>
    <row r="438" spans="2:16">
      <c r="B438" s="43">
        <v>429</v>
      </c>
      <c r="C438" s="44"/>
      <c r="D438" s="50"/>
      <c r="E438" s="50"/>
      <c r="G438" s="44"/>
      <c r="H438" s="50"/>
      <c r="I438" s="50"/>
      <c r="K438" s="44"/>
      <c r="L438" s="50"/>
      <c r="N438" s="44"/>
      <c r="O438" s="50"/>
      <c r="P438" s="43" t="s">
        <v>39</v>
      </c>
    </row>
    <row r="439" spans="2:16">
      <c r="B439" s="43">
        <v>430</v>
      </c>
      <c r="C439" s="44"/>
      <c r="D439" s="50"/>
      <c r="E439" s="50"/>
      <c r="G439" s="44"/>
      <c r="H439" s="50"/>
      <c r="I439" s="50"/>
      <c r="K439" s="44"/>
      <c r="L439" s="50"/>
      <c r="N439" s="44"/>
      <c r="O439" s="50"/>
      <c r="P439" s="43" t="s">
        <v>39</v>
      </c>
    </row>
    <row r="440" spans="2:16">
      <c r="B440" s="43">
        <v>431</v>
      </c>
      <c r="C440" s="44"/>
      <c r="D440" s="50"/>
      <c r="E440" s="50"/>
      <c r="G440" s="44"/>
      <c r="H440" s="50"/>
      <c r="I440" s="50"/>
      <c r="K440" s="44"/>
      <c r="L440" s="50"/>
      <c r="N440" s="44"/>
      <c r="O440" s="50"/>
      <c r="P440" s="43" t="s">
        <v>39</v>
      </c>
    </row>
    <row r="441" spans="2:16">
      <c r="B441" s="43">
        <v>432</v>
      </c>
      <c r="C441" s="44"/>
      <c r="D441" s="50"/>
      <c r="E441" s="50"/>
      <c r="G441" s="44"/>
      <c r="H441" s="50"/>
      <c r="I441" s="50"/>
      <c r="K441" s="44"/>
      <c r="L441" s="50"/>
      <c r="N441" s="44"/>
      <c r="O441" s="50"/>
      <c r="P441" s="43" t="s">
        <v>39</v>
      </c>
    </row>
    <row r="442" spans="2:16">
      <c r="B442" s="43">
        <v>433</v>
      </c>
      <c r="C442" s="44"/>
      <c r="D442" s="50"/>
      <c r="E442" s="50"/>
      <c r="G442" s="44"/>
      <c r="H442" s="50"/>
      <c r="I442" s="50"/>
      <c r="K442" s="44"/>
      <c r="L442" s="50"/>
      <c r="N442" s="44"/>
      <c r="O442" s="50"/>
      <c r="P442" s="43" t="s">
        <v>39</v>
      </c>
    </row>
    <row r="443" spans="2:16">
      <c r="B443" s="43">
        <v>434</v>
      </c>
      <c r="C443" s="44"/>
      <c r="D443" s="50"/>
      <c r="E443" s="50"/>
      <c r="G443" s="44"/>
      <c r="H443" s="50"/>
      <c r="I443" s="50"/>
      <c r="K443" s="44"/>
      <c r="L443" s="50"/>
      <c r="N443" s="44"/>
      <c r="O443" s="50"/>
      <c r="P443" s="43" t="s">
        <v>39</v>
      </c>
    </row>
    <row r="444" spans="2:16">
      <c r="B444" s="43">
        <v>435</v>
      </c>
      <c r="C444" s="44"/>
      <c r="D444" s="50"/>
      <c r="E444" s="50"/>
      <c r="G444" s="44"/>
      <c r="H444" s="50"/>
      <c r="I444" s="50"/>
      <c r="K444" s="44"/>
      <c r="L444" s="50"/>
      <c r="N444" s="44"/>
      <c r="O444" s="50"/>
      <c r="P444" s="43" t="s">
        <v>39</v>
      </c>
    </row>
    <row r="445" spans="2:16">
      <c r="B445" s="43">
        <v>436</v>
      </c>
      <c r="C445" s="44"/>
      <c r="D445" s="50"/>
      <c r="E445" s="50"/>
      <c r="G445" s="44"/>
      <c r="H445" s="50"/>
      <c r="I445" s="50"/>
      <c r="K445" s="44"/>
      <c r="L445" s="50"/>
      <c r="N445" s="44"/>
      <c r="O445" s="50"/>
      <c r="P445" s="43" t="s">
        <v>39</v>
      </c>
    </row>
    <row r="446" spans="2:16">
      <c r="B446" s="43">
        <v>437</v>
      </c>
      <c r="C446" s="44"/>
      <c r="D446" s="50"/>
      <c r="E446" s="50"/>
      <c r="G446" s="44"/>
      <c r="H446" s="50"/>
      <c r="I446" s="50"/>
      <c r="K446" s="44"/>
      <c r="L446" s="50"/>
      <c r="N446" s="44"/>
      <c r="O446" s="50"/>
      <c r="P446" s="43" t="s">
        <v>39</v>
      </c>
    </row>
    <row r="447" spans="2:16">
      <c r="B447" s="43">
        <v>438</v>
      </c>
      <c r="C447" s="44"/>
      <c r="D447" s="50"/>
      <c r="E447" s="50"/>
      <c r="G447" s="44"/>
      <c r="H447" s="50"/>
      <c r="I447" s="50"/>
      <c r="K447" s="44"/>
      <c r="L447" s="50"/>
      <c r="N447" s="44"/>
      <c r="O447" s="50"/>
      <c r="P447" s="43" t="s">
        <v>39</v>
      </c>
    </row>
    <row r="448" spans="2:16">
      <c r="B448" s="43">
        <v>439</v>
      </c>
      <c r="C448" s="44"/>
      <c r="D448" s="50"/>
      <c r="E448" s="50"/>
      <c r="G448" s="44"/>
      <c r="H448" s="50"/>
      <c r="I448" s="50"/>
      <c r="K448" s="44"/>
      <c r="L448" s="50"/>
      <c r="N448" s="44"/>
      <c r="O448" s="50"/>
      <c r="P448" s="43" t="s">
        <v>39</v>
      </c>
    </row>
    <row r="449" spans="2:16">
      <c r="B449" s="43">
        <v>440</v>
      </c>
      <c r="C449" s="44"/>
      <c r="D449" s="50"/>
      <c r="E449" s="50"/>
      <c r="G449" s="44"/>
      <c r="H449" s="50"/>
      <c r="I449" s="50"/>
      <c r="K449" s="44"/>
      <c r="L449" s="50"/>
      <c r="N449" s="44"/>
      <c r="O449" s="50"/>
      <c r="P449" s="43" t="s">
        <v>39</v>
      </c>
    </row>
    <row r="450" spans="2:16">
      <c r="B450" s="43">
        <v>441</v>
      </c>
      <c r="C450" s="44"/>
      <c r="D450" s="50"/>
      <c r="E450" s="50"/>
      <c r="G450" s="44"/>
      <c r="H450" s="50"/>
      <c r="I450" s="50"/>
      <c r="K450" s="44"/>
      <c r="L450" s="50"/>
      <c r="N450" s="44"/>
      <c r="O450" s="50"/>
      <c r="P450" s="43" t="s">
        <v>39</v>
      </c>
    </row>
    <row r="451" spans="2:16">
      <c r="B451" s="43">
        <v>442</v>
      </c>
      <c r="C451" s="44"/>
      <c r="D451" s="50"/>
      <c r="E451" s="50"/>
      <c r="G451" s="44"/>
      <c r="H451" s="50"/>
      <c r="I451" s="50"/>
      <c r="K451" s="44"/>
      <c r="L451" s="50"/>
      <c r="N451" s="44"/>
      <c r="O451" s="50"/>
      <c r="P451" s="43" t="s">
        <v>39</v>
      </c>
    </row>
    <row r="452" spans="2:16">
      <c r="B452" s="43">
        <v>443</v>
      </c>
      <c r="C452" s="44"/>
      <c r="D452" s="50"/>
      <c r="E452" s="50"/>
      <c r="G452" s="44"/>
      <c r="H452" s="50"/>
      <c r="I452" s="50"/>
      <c r="K452" s="44"/>
      <c r="L452" s="50"/>
      <c r="N452" s="44"/>
      <c r="O452" s="50"/>
      <c r="P452" s="43" t="s">
        <v>39</v>
      </c>
    </row>
    <row r="453" spans="2:16">
      <c r="B453" s="43">
        <v>444</v>
      </c>
      <c r="C453" s="44"/>
      <c r="D453" s="50"/>
      <c r="E453" s="50"/>
      <c r="G453" s="44"/>
      <c r="H453" s="50"/>
      <c r="I453" s="50"/>
      <c r="K453" s="44"/>
      <c r="L453" s="50"/>
      <c r="N453" s="44"/>
      <c r="O453" s="50"/>
      <c r="P453" s="43" t="s">
        <v>39</v>
      </c>
    </row>
    <row r="454" spans="2:16">
      <c r="B454" s="43">
        <v>445</v>
      </c>
      <c r="C454" s="44"/>
      <c r="D454" s="50"/>
      <c r="E454" s="50"/>
      <c r="G454" s="44"/>
      <c r="H454" s="50"/>
      <c r="I454" s="50"/>
      <c r="K454" s="44"/>
      <c r="L454" s="50"/>
      <c r="N454" s="44"/>
      <c r="O454" s="50"/>
      <c r="P454" s="43" t="s">
        <v>39</v>
      </c>
    </row>
    <row r="455" spans="2:16">
      <c r="B455" s="43">
        <v>446</v>
      </c>
      <c r="C455" s="44"/>
      <c r="D455" s="50"/>
      <c r="E455" s="50"/>
      <c r="G455" s="44"/>
      <c r="H455" s="50"/>
      <c r="I455" s="50"/>
      <c r="K455" s="44"/>
      <c r="L455" s="50"/>
      <c r="N455" s="44"/>
      <c r="O455" s="50"/>
      <c r="P455" s="43" t="s">
        <v>39</v>
      </c>
    </row>
    <row r="456" spans="2:16">
      <c r="B456" s="43">
        <v>447</v>
      </c>
      <c r="C456" s="44"/>
      <c r="D456" s="50"/>
      <c r="E456" s="50"/>
      <c r="G456" s="44"/>
      <c r="H456" s="50"/>
      <c r="I456" s="50"/>
      <c r="K456" s="44"/>
      <c r="L456" s="50"/>
      <c r="N456" s="44"/>
      <c r="O456" s="50"/>
      <c r="P456" s="43" t="s">
        <v>39</v>
      </c>
    </row>
    <row r="457" spans="2:16">
      <c r="B457" s="43">
        <v>448</v>
      </c>
      <c r="C457" s="44"/>
      <c r="D457" s="50"/>
      <c r="E457" s="50"/>
      <c r="G457" s="44"/>
      <c r="H457" s="50"/>
      <c r="I457" s="50"/>
      <c r="K457" s="44"/>
      <c r="L457" s="50"/>
      <c r="N457" s="44"/>
      <c r="O457" s="50"/>
      <c r="P457" s="43" t="s">
        <v>39</v>
      </c>
    </row>
    <row r="458" spans="2:16">
      <c r="B458" s="43">
        <v>449</v>
      </c>
      <c r="C458" s="44"/>
      <c r="D458" s="50"/>
      <c r="E458" s="50"/>
      <c r="G458" s="44"/>
      <c r="H458" s="50"/>
      <c r="I458" s="50"/>
      <c r="K458" s="44"/>
      <c r="L458" s="50"/>
      <c r="N458" s="44"/>
      <c r="O458" s="50"/>
      <c r="P458" s="43" t="s">
        <v>39</v>
      </c>
    </row>
    <row r="459" spans="2:16">
      <c r="B459" s="43">
        <v>450</v>
      </c>
      <c r="C459" s="44"/>
      <c r="D459" s="50"/>
      <c r="E459" s="50"/>
      <c r="G459" s="44"/>
      <c r="H459" s="50"/>
      <c r="I459" s="50"/>
      <c r="K459" s="44"/>
      <c r="L459" s="50"/>
      <c r="N459" s="44"/>
      <c r="O459" s="50"/>
      <c r="P459" s="43" t="s">
        <v>39</v>
      </c>
    </row>
    <row r="460" spans="2:16">
      <c r="B460" s="43">
        <v>451</v>
      </c>
      <c r="C460" s="44"/>
      <c r="D460" s="50"/>
      <c r="E460" s="50"/>
      <c r="G460" s="44"/>
      <c r="H460" s="50"/>
      <c r="I460" s="50"/>
      <c r="K460" s="44"/>
      <c r="L460" s="50"/>
      <c r="N460" s="44"/>
      <c r="O460" s="50"/>
      <c r="P460" s="43" t="s">
        <v>39</v>
      </c>
    </row>
    <row r="461" spans="2:16">
      <c r="B461" s="43">
        <v>452</v>
      </c>
      <c r="C461" s="44"/>
      <c r="D461" s="50"/>
      <c r="E461" s="50"/>
      <c r="G461" s="44"/>
      <c r="H461" s="50"/>
      <c r="I461" s="50"/>
      <c r="K461" s="44"/>
      <c r="L461" s="50"/>
      <c r="N461" s="44"/>
      <c r="O461" s="50"/>
      <c r="P461" s="43" t="s">
        <v>39</v>
      </c>
    </row>
    <row r="462" spans="2:16">
      <c r="B462" s="43">
        <v>453</v>
      </c>
      <c r="C462" s="44"/>
      <c r="D462" s="50"/>
      <c r="E462" s="50"/>
      <c r="G462" s="44"/>
      <c r="H462" s="50"/>
      <c r="I462" s="50"/>
      <c r="K462" s="44"/>
      <c r="L462" s="50"/>
      <c r="N462" s="44"/>
      <c r="O462" s="50"/>
      <c r="P462" s="43" t="s">
        <v>39</v>
      </c>
    </row>
    <row r="463" spans="2:16">
      <c r="B463" s="43">
        <v>454</v>
      </c>
      <c r="C463" s="44"/>
      <c r="D463" s="50"/>
      <c r="E463" s="50"/>
      <c r="G463" s="44"/>
      <c r="H463" s="50"/>
      <c r="I463" s="50"/>
      <c r="K463" s="44"/>
      <c r="L463" s="50"/>
      <c r="N463" s="44"/>
      <c r="O463" s="50"/>
      <c r="P463" s="43" t="s">
        <v>39</v>
      </c>
    </row>
    <row r="464" spans="2:16">
      <c r="B464" s="43">
        <v>455</v>
      </c>
      <c r="C464" s="44"/>
      <c r="D464" s="50"/>
      <c r="E464" s="50"/>
      <c r="G464" s="44"/>
      <c r="H464" s="50"/>
      <c r="I464" s="50"/>
      <c r="K464" s="44"/>
      <c r="L464" s="50"/>
      <c r="N464" s="44"/>
      <c r="O464" s="50"/>
      <c r="P464" s="43" t="s">
        <v>39</v>
      </c>
    </row>
    <row r="465" spans="2:16">
      <c r="B465" s="43">
        <v>456</v>
      </c>
      <c r="C465" s="44"/>
      <c r="D465" s="50"/>
      <c r="E465" s="50"/>
      <c r="G465" s="44"/>
      <c r="H465" s="50"/>
      <c r="I465" s="50"/>
      <c r="K465" s="44"/>
      <c r="L465" s="50"/>
      <c r="N465" s="44"/>
      <c r="O465" s="50"/>
      <c r="P465" s="43" t="s">
        <v>39</v>
      </c>
    </row>
    <row r="466" spans="2:16">
      <c r="B466" s="43">
        <v>457</v>
      </c>
      <c r="C466" s="44"/>
      <c r="D466" s="50"/>
      <c r="E466" s="50"/>
      <c r="G466" s="44"/>
      <c r="H466" s="50"/>
      <c r="I466" s="50"/>
      <c r="K466" s="44"/>
      <c r="L466" s="50"/>
      <c r="N466" s="44"/>
      <c r="O466" s="50"/>
      <c r="P466" s="43" t="s">
        <v>39</v>
      </c>
    </row>
    <row r="467" spans="2:16">
      <c r="B467" s="43">
        <v>458</v>
      </c>
      <c r="C467" s="44"/>
      <c r="D467" s="50"/>
      <c r="E467" s="50"/>
      <c r="G467" s="44"/>
      <c r="H467" s="50"/>
      <c r="I467" s="50"/>
      <c r="K467" s="44"/>
      <c r="L467" s="50"/>
      <c r="N467" s="44"/>
      <c r="O467" s="50"/>
      <c r="P467" s="43" t="s">
        <v>39</v>
      </c>
    </row>
    <row r="468" spans="2:16">
      <c r="B468" s="43">
        <v>459</v>
      </c>
      <c r="C468" s="44"/>
      <c r="D468" s="50"/>
      <c r="E468" s="50"/>
      <c r="G468" s="44"/>
      <c r="H468" s="50"/>
      <c r="I468" s="50"/>
      <c r="K468" s="44"/>
      <c r="L468" s="50"/>
      <c r="N468" s="44"/>
      <c r="O468" s="50"/>
      <c r="P468" s="43" t="s">
        <v>39</v>
      </c>
    </row>
    <row r="469" spans="2:16">
      <c r="B469" s="43">
        <v>460</v>
      </c>
      <c r="C469" s="44"/>
      <c r="D469" s="50"/>
      <c r="E469" s="50"/>
      <c r="G469" s="44"/>
      <c r="H469" s="50"/>
      <c r="I469" s="50"/>
      <c r="K469" s="44"/>
      <c r="L469" s="50"/>
      <c r="N469" s="44"/>
      <c r="O469" s="50"/>
      <c r="P469" s="43" t="s">
        <v>39</v>
      </c>
    </row>
    <row r="470" spans="2:16">
      <c r="B470" s="43">
        <v>461</v>
      </c>
      <c r="C470" s="44"/>
      <c r="D470" s="50"/>
      <c r="E470" s="50"/>
      <c r="G470" s="44"/>
      <c r="H470" s="50"/>
      <c r="I470" s="50"/>
      <c r="K470" s="44"/>
      <c r="L470" s="50"/>
      <c r="N470" s="44"/>
      <c r="O470" s="50"/>
      <c r="P470" s="43" t="s">
        <v>39</v>
      </c>
    </row>
    <row r="471" spans="2:16">
      <c r="B471" s="43">
        <v>462</v>
      </c>
      <c r="C471" s="44"/>
      <c r="D471" s="50"/>
      <c r="E471" s="50"/>
      <c r="G471" s="44"/>
      <c r="H471" s="50"/>
      <c r="I471" s="50"/>
      <c r="K471" s="44"/>
      <c r="L471" s="50"/>
      <c r="N471" s="44"/>
      <c r="O471" s="50"/>
      <c r="P471" s="43" t="s">
        <v>39</v>
      </c>
    </row>
    <row r="472" spans="2:16">
      <c r="B472" s="43">
        <v>463</v>
      </c>
      <c r="C472" s="44"/>
      <c r="D472" s="50"/>
      <c r="E472" s="50"/>
      <c r="G472" s="44"/>
      <c r="H472" s="50"/>
      <c r="I472" s="50"/>
      <c r="K472" s="44"/>
      <c r="L472" s="50"/>
      <c r="N472" s="44"/>
      <c r="O472" s="50"/>
      <c r="P472" s="43" t="s">
        <v>39</v>
      </c>
    </row>
    <row r="473" spans="2:16">
      <c r="B473" s="43">
        <v>464</v>
      </c>
      <c r="C473" s="44"/>
      <c r="D473" s="50"/>
      <c r="E473" s="50"/>
      <c r="G473" s="44"/>
      <c r="H473" s="50"/>
      <c r="I473" s="50"/>
      <c r="K473" s="44"/>
      <c r="L473" s="50"/>
      <c r="N473" s="44"/>
      <c r="O473" s="50"/>
      <c r="P473" s="43" t="s">
        <v>39</v>
      </c>
    </row>
    <row r="474" spans="2:16">
      <c r="B474" s="43">
        <v>465</v>
      </c>
      <c r="C474" s="44"/>
      <c r="D474" s="50"/>
      <c r="E474" s="50"/>
      <c r="G474" s="44"/>
      <c r="H474" s="50"/>
      <c r="I474" s="50"/>
      <c r="K474" s="44"/>
      <c r="L474" s="50"/>
      <c r="N474" s="44"/>
      <c r="O474" s="50"/>
      <c r="P474" s="43" t="s">
        <v>39</v>
      </c>
    </row>
    <row r="475" spans="2:16">
      <c r="B475" s="43">
        <v>466</v>
      </c>
      <c r="C475" s="44"/>
      <c r="D475" s="50"/>
      <c r="E475" s="50"/>
      <c r="G475" s="44"/>
      <c r="H475" s="50"/>
      <c r="I475" s="50"/>
      <c r="K475" s="44"/>
      <c r="L475" s="50"/>
      <c r="N475" s="44"/>
      <c r="O475" s="50"/>
      <c r="P475" s="43" t="s">
        <v>39</v>
      </c>
    </row>
    <row r="476" spans="2:16">
      <c r="B476" s="43">
        <v>467</v>
      </c>
      <c r="C476" s="44"/>
      <c r="D476" s="50"/>
      <c r="E476" s="50"/>
      <c r="G476" s="44"/>
      <c r="H476" s="50"/>
      <c r="I476" s="50"/>
      <c r="K476" s="44"/>
      <c r="L476" s="50"/>
      <c r="N476" s="44"/>
      <c r="O476" s="50"/>
      <c r="P476" s="43" t="s">
        <v>39</v>
      </c>
    </row>
    <row r="477" spans="2:16">
      <c r="B477" s="43">
        <v>468</v>
      </c>
      <c r="C477" s="44"/>
      <c r="D477" s="50"/>
      <c r="E477" s="50"/>
      <c r="G477" s="44"/>
      <c r="H477" s="50"/>
      <c r="I477" s="50"/>
      <c r="K477" s="44"/>
      <c r="L477" s="50"/>
      <c r="N477" s="44"/>
      <c r="O477" s="50"/>
      <c r="P477" s="43" t="s">
        <v>39</v>
      </c>
    </row>
    <row r="478" spans="2:16">
      <c r="B478" s="43">
        <v>469</v>
      </c>
      <c r="C478" s="44"/>
      <c r="D478" s="50"/>
      <c r="E478" s="50"/>
      <c r="G478" s="44"/>
      <c r="H478" s="50"/>
      <c r="I478" s="50"/>
      <c r="K478" s="44"/>
      <c r="L478" s="50"/>
      <c r="N478" s="44"/>
      <c r="O478" s="50"/>
      <c r="P478" s="43" t="s">
        <v>39</v>
      </c>
    </row>
    <row r="479" spans="2:16">
      <c r="B479" s="43">
        <v>470</v>
      </c>
      <c r="C479" s="44"/>
      <c r="D479" s="50"/>
      <c r="E479" s="50"/>
      <c r="G479" s="44"/>
      <c r="H479" s="50"/>
      <c r="I479" s="50"/>
      <c r="K479" s="44"/>
      <c r="L479" s="50"/>
      <c r="N479" s="44"/>
      <c r="O479" s="50"/>
      <c r="P479" s="43" t="s">
        <v>39</v>
      </c>
    </row>
    <row r="480" spans="2:16">
      <c r="B480" s="43">
        <v>471</v>
      </c>
      <c r="C480" s="44"/>
      <c r="D480" s="50"/>
      <c r="E480" s="50"/>
      <c r="G480" s="44"/>
      <c r="H480" s="50"/>
      <c r="I480" s="50"/>
      <c r="K480" s="44"/>
      <c r="L480" s="50"/>
      <c r="N480" s="44"/>
      <c r="O480" s="50"/>
      <c r="P480" s="43" t="s">
        <v>39</v>
      </c>
    </row>
    <row r="481" spans="2:16">
      <c r="B481" s="43">
        <v>472</v>
      </c>
      <c r="C481" s="44"/>
      <c r="D481" s="50"/>
      <c r="E481" s="50"/>
      <c r="G481" s="44"/>
      <c r="H481" s="50"/>
      <c r="I481" s="50"/>
      <c r="K481" s="44"/>
      <c r="L481" s="50"/>
      <c r="N481" s="44"/>
      <c r="O481" s="50"/>
      <c r="P481" s="43" t="s">
        <v>39</v>
      </c>
    </row>
    <row r="482" spans="2:16">
      <c r="B482" s="43">
        <v>473</v>
      </c>
      <c r="C482" s="44"/>
      <c r="D482" s="50"/>
      <c r="E482" s="50"/>
      <c r="G482" s="44"/>
      <c r="H482" s="50"/>
      <c r="I482" s="50"/>
      <c r="K482" s="44"/>
      <c r="L482" s="50"/>
      <c r="N482" s="44"/>
      <c r="O482" s="50"/>
      <c r="P482" s="43" t="s">
        <v>39</v>
      </c>
    </row>
    <row r="483" spans="2:16">
      <c r="B483" s="43">
        <v>474</v>
      </c>
      <c r="C483" s="44"/>
      <c r="D483" s="50"/>
      <c r="E483" s="50"/>
      <c r="G483" s="44"/>
      <c r="H483" s="50"/>
      <c r="I483" s="50"/>
      <c r="K483" s="44"/>
      <c r="L483" s="50"/>
      <c r="N483" s="44"/>
      <c r="O483" s="50"/>
      <c r="P483" s="43" t="s">
        <v>39</v>
      </c>
    </row>
    <row r="484" spans="2:16">
      <c r="B484" s="43">
        <v>475</v>
      </c>
      <c r="C484" s="44"/>
      <c r="D484" s="50"/>
      <c r="E484" s="50"/>
      <c r="G484" s="44"/>
      <c r="H484" s="50"/>
      <c r="I484" s="50"/>
      <c r="K484" s="44"/>
      <c r="L484" s="50"/>
      <c r="N484" s="44"/>
      <c r="O484" s="50"/>
      <c r="P484" s="43" t="s">
        <v>39</v>
      </c>
    </row>
    <row r="485" spans="2:16">
      <c r="B485" s="43">
        <v>476</v>
      </c>
      <c r="C485" s="44"/>
      <c r="D485" s="50"/>
      <c r="E485" s="50"/>
      <c r="G485" s="44"/>
      <c r="H485" s="50"/>
      <c r="I485" s="50"/>
      <c r="K485" s="44"/>
      <c r="L485" s="50"/>
      <c r="N485" s="44"/>
      <c r="O485" s="50"/>
      <c r="P485" s="43" t="s">
        <v>39</v>
      </c>
    </row>
    <row r="486" spans="2:16">
      <c r="B486" s="43">
        <v>477</v>
      </c>
      <c r="C486" s="44"/>
      <c r="D486" s="50"/>
      <c r="E486" s="50"/>
      <c r="G486" s="44"/>
      <c r="H486" s="50"/>
      <c r="I486" s="50"/>
      <c r="K486" s="44"/>
      <c r="L486" s="50"/>
      <c r="N486" s="44"/>
      <c r="O486" s="50"/>
      <c r="P486" s="43" t="s">
        <v>39</v>
      </c>
    </row>
    <row r="487" spans="2:16">
      <c r="B487" s="43">
        <v>478</v>
      </c>
      <c r="C487" s="44"/>
      <c r="D487" s="50"/>
      <c r="E487" s="50"/>
      <c r="G487" s="44"/>
      <c r="H487" s="50"/>
      <c r="I487" s="50"/>
      <c r="K487" s="44"/>
      <c r="L487" s="50"/>
      <c r="N487" s="44"/>
      <c r="O487" s="50"/>
      <c r="P487" s="43" t="s">
        <v>39</v>
      </c>
    </row>
    <row r="488" spans="2:16">
      <c r="B488" s="43">
        <v>479</v>
      </c>
      <c r="C488" s="44"/>
      <c r="D488" s="50"/>
      <c r="E488" s="50"/>
      <c r="G488" s="44"/>
      <c r="H488" s="50"/>
      <c r="I488" s="50"/>
      <c r="K488" s="44"/>
      <c r="L488" s="50"/>
      <c r="N488" s="44"/>
      <c r="O488" s="50"/>
      <c r="P488" s="43" t="s">
        <v>39</v>
      </c>
    </row>
    <row r="489" spans="2:16">
      <c r="B489" s="43">
        <v>480</v>
      </c>
      <c r="C489" s="44"/>
      <c r="D489" s="50"/>
      <c r="E489" s="50"/>
      <c r="G489" s="44"/>
      <c r="H489" s="50"/>
      <c r="I489" s="50"/>
      <c r="K489" s="44"/>
      <c r="L489" s="50"/>
      <c r="N489" s="44"/>
      <c r="O489" s="50"/>
      <c r="P489" s="43" t="s">
        <v>39</v>
      </c>
    </row>
    <row r="490" spans="2:16">
      <c r="B490" s="43">
        <v>481</v>
      </c>
      <c r="C490" s="44"/>
      <c r="D490" s="50"/>
      <c r="E490" s="50"/>
      <c r="G490" s="44"/>
      <c r="H490" s="50"/>
      <c r="I490" s="50"/>
      <c r="K490" s="44"/>
      <c r="L490" s="50"/>
      <c r="N490" s="44"/>
      <c r="O490" s="50"/>
      <c r="P490" s="43" t="s">
        <v>39</v>
      </c>
    </row>
    <row r="491" spans="2:16">
      <c r="B491" s="43">
        <v>482</v>
      </c>
      <c r="C491" s="44"/>
      <c r="D491" s="50"/>
      <c r="E491" s="50"/>
      <c r="G491" s="44"/>
      <c r="H491" s="50"/>
      <c r="I491" s="50"/>
      <c r="K491" s="44"/>
      <c r="L491" s="50"/>
      <c r="N491" s="44"/>
      <c r="O491" s="50"/>
      <c r="P491" s="43" t="s">
        <v>39</v>
      </c>
    </row>
    <row r="492" spans="2:16">
      <c r="B492" s="43">
        <v>483</v>
      </c>
      <c r="C492" s="44"/>
      <c r="D492" s="50"/>
      <c r="E492" s="50"/>
      <c r="G492" s="44"/>
      <c r="H492" s="50"/>
      <c r="I492" s="50"/>
      <c r="K492" s="44"/>
      <c r="L492" s="50"/>
      <c r="N492" s="44"/>
      <c r="O492" s="50"/>
      <c r="P492" s="43" t="s">
        <v>39</v>
      </c>
    </row>
    <row r="493" spans="2:16">
      <c r="B493" s="43">
        <v>484</v>
      </c>
      <c r="C493" s="44"/>
      <c r="D493" s="50"/>
      <c r="E493" s="50"/>
      <c r="G493" s="44"/>
      <c r="H493" s="50"/>
      <c r="I493" s="50"/>
      <c r="K493" s="44"/>
      <c r="L493" s="50"/>
      <c r="N493" s="44"/>
      <c r="O493" s="50"/>
      <c r="P493" s="43" t="s">
        <v>39</v>
      </c>
    </row>
    <row r="494" spans="2:16">
      <c r="B494" s="43">
        <v>485</v>
      </c>
      <c r="C494" s="44"/>
      <c r="D494" s="50"/>
      <c r="E494" s="50"/>
      <c r="G494" s="44"/>
      <c r="H494" s="50"/>
      <c r="I494" s="50"/>
      <c r="K494" s="44"/>
      <c r="L494" s="50"/>
      <c r="N494" s="44"/>
      <c r="O494" s="50"/>
      <c r="P494" s="43" t="s">
        <v>39</v>
      </c>
    </row>
    <row r="495" spans="2:16">
      <c r="B495" s="43">
        <v>486</v>
      </c>
      <c r="C495" s="44"/>
      <c r="D495" s="50"/>
      <c r="E495" s="50"/>
      <c r="G495" s="44"/>
      <c r="H495" s="50"/>
      <c r="I495" s="50"/>
      <c r="K495" s="44"/>
      <c r="L495" s="50"/>
      <c r="N495" s="44"/>
      <c r="O495" s="50"/>
      <c r="P495" s="43" t="s">
        <v>39</v>
      </c>
    </row>
    <row r="496" spans="2:16">
      <c r="B496" s="43">
        <v>487</v>
      </c>
      <c r="C496" s="44"/>
      <c r="D496" s="50"/>
      <c r="E496" s="50"/>
      <c r="G496" s="44"/>
      <c r="H496" s="50"/>
      <c r="I496" s="50"/>
      <c r="K496" s="44"/>
      <c r="L496" s="50"/>
      <c r="N496" s="44"/>
      <c r="O496" s="50"/>
      <c r="P496" s="43" t="s">
        <v>39</v>
      </c>
    </row>
    <row r="497" spans="1:16">
      <c r="B497" s="43">
        <v>488</v>
      </c>
      <c r="C497" s="44"/>
      <c r="D497" s="50"/>
      <c r="E497" s="50"/>
      <c r="G497" s="44"/>
      <c r="H497" s="50"/>
      <c r="I497" s="50"/>
      <c r="K497" s="44"/>
      <c r="L497" s="50"/>
      <c r="N497" s="44"/>
      <c r="O497" s="50"/>
      <c r="P497" s="43" t="s">
        <v>39</v>
      </c>
    </row>
    <row r="498" spans="1:16">
      <c r="B498" s="43">
        <v>489</v>
      </c>
      <c r="C498" s="44"/>
      <c r="D498" s="50"/>
      <c r="E498" s="50"/>
      <c r="G498" s="44"/>
      <c r="H498" s="50"/>
      <c r="I498" s="50"/>
      <c r="K498" s="44"/>
      <c r="L498" s="50"/>
      <c r="N498" s="44"/>
      <c r="O498" s="50"/>
      <c r="P498" s="43" t="s">
        <v>39</v>
      </c>
    </row>
    <row r="499" spans="1:16">
      <c r="B499" s="43">
        <v>490</v>
      </c>
      <c r="C499" s="44"/>
      <c r="D499" s="50"/>
      <c r="E499" s="50"/>
      <c r="G499" s="44"/>
      <c r="H499" s="50"/>
      <c r="I499" s="50"/>
      <c r="K499" s="44"/>
      <c r="L499" s="50"/>
      <c r="N499" s="44"/>
      <c r="O499" s="50"/>
      <c r="P499" s="43" t="s">
        <v>39</v>
      </c>
    </row>
    <row r="500" spans="1:16">
      <c r="B500" s="43">
        <v>491</v>
      </c>
      <c r="C500" s="44"/>
      <c r="D500" s="50"/>
      <c r="E500" s="50"/>
      <c r="G500" s="44"/>
      <c r="H500" s="50"/>
      <c r="I500" s="50"/>
      <c r="K500" s="44"/>
      <c r="L500" s="50"/>
      <c r="N500" s="44"/>
      <c r="O500" s="50"/>
      <c r="P500" s="43" t="s">
        <v>39</v>
      </c>
    </row>
    <row r="501" spans="1:16">
      <c r="B501" s="43">
        <v>492</v>
      </c>
      <c r="C501" s="44"/>
      <c r="D501" s="50"/>
      <c r="E501" s="50"/>
      <c r="G501" s="44"/>
      <c r="H501" s="50"/>
      <c r="I501" s="50"/>
      <c r="K501" s="44"/>
      <c r="L501" s="50"/>
      <c r="N501" s="44"/>
      <c r="O501" s="50"/>
      <c r="P501" s="43" t="s">
        <v>39</v>
      </c>
    </row>
    <row r="502" spans="1:16">
      <c r="B502" s="43">
        <v>493</v>
      </c>
      <c r="C502" s="44"/>
      <c r="D502" s="50"/>
      <c r="E502" s="50"/>
      <c r="G502" s="44"/>
      <c r="H502" s="50"/>
      <c r="I502" s="50"/>
      <c r="K502" s="44"/>
      <c r="L502" s="50"/>
      <c r="N502" s="44"/>
      <c r="O502" s="50"/>
      <c r="P502" s="43" t="s">
        <v>39</v>
      </c>
    </row>
    <row r="503" spans="1:16">
      <c r="B503" s="43">
        <v>494</v>
      </c>
      <c r="C503" s="44"/>
      <c r="D503" s="50"/>
      <c r="E503" s="50"/>
      <c r="G503" s="44"/>
      <c r="H503" s="50"/>
      <c r="I503" s="50"/>
      <c r="K503" s="44"/>
      <c r="L503" s="50"/>
      <c r="N503" s="44"/>
      <c r="O503" s="50"/>
      <c r="P503" s="43" t="s">
        <v>39</v>
      </c>
    </row>
    <row r="504" spans="1:16">
      <c r="B504" s="43">
        <v>495</v>
      </c>
      <c r="C504" s="44"/>
      <c r="D504" s="50"/>
      <c r="E504" s="50"/>
      <c r="G504" s="44"/>
      <c r="H504" s="50"/>
      <c r="I504" s="50"/>
      <c r="K504" s="44"/>
      <c r="L504" s="50"/>
      <c r="N504" s="44"/>
      <c r="O504" s="50"/>
      <c r="P504" s="43" t="s">
        <v>39</v>
      </c>
    </row>
    <row r="505" spans="1:16">
      <c r="B505" s="43">
        <v>496</v>
      </c>
      <c r="C505" s="44"/>
      <c r="D505" s="50"/>
      <c r="E505" s="50"/>
      <c r="G505" s="44"/>
      <c r="H505" s="50"/>
      <c r="I505" s="50"/>
      <c r="K505" s="44"/>
      <c r="L505" s="50"/>
      <c r="N505" s="44"/>
      <c r="O505" s="50"/>
      <c r="P505" s="43" t="s">
        <v>39</v>
      </c>
    </row>
    <row r="506" spans="1:16">
      <c r="B506" s="43">
        <v>497</v>
      </c>
      <c r="C506" s="44"/>
      <c r="D506" s="50"/>
      <c r="E506" s="50"/>
      <c r="G506" s="44"/>
      <c r="H506" s="50"/>
      <c r="I506" s="50"/>
      <c r="K506" s="44"/>
      <c r="L506" s="50"/>
      <c r="N506" s="44"/>
      <c r="O506" s="50"/>
      <c r="P506" s="43" t="s">
        <v>39</v>
      </c>
    </row>
    <row r="507" spans="1:16">
      <c r="B507" s="43">
        <v>498</v>
      </c>
      <c r="C507" s="44"/>
      <c r="D507" s="50"/>
      <c r="E507" s="50"/>
      <c r="G507" s="44"/>
      <c r="H507" s="50"/>
      <c r="I507" s="50"/>
      <c r="K507" s="44"/>
      <c r="L507" s="50"/>
      <c r="N507" s="44"/>
      <c r="O507" s="50"/>
      <c r="P507" s="43" t="s">
        <v>39</v>
      </c>
    </row>
    <row r="508" spans="1:16">
      <c r="B508" s="43">
        <v>499</v>
      </c>
      <c r="C508" s="44"/>
      <c r="D508" s="50"/>
      <c r="E508" s="50"/>
      <c r="G508" s="44"/>
      <c r="H508" s="50"/>
      <c r="I508" s="50"/>
      <c r="K508" s="44"/>
      <c r="L508" s="50"/>
      <c r="N508" s="44"/>
      <c r="O508" s="50"/>
      <c r="P508" s="43" t="s">
        <v>39</v>
      </c>
    </row>
    <row r="509" spans="1:16">
      <c r="B509" s="43">
        <v>500</v>
      </c>
      <c r="C509" s="44"/>
      <c r="D509" s="50"/>
      <c r="E509" s="50"/>
      <c r="G509" s="44"/>
      <c r="H509" s="50"/>
      <c r="I509" s="50"/>
      <c r="K509" s="44"/>
      <c r="L509" s="50"/>
      <c r="N509" s="44"/>
      <c r="O509" s="50"/>
      <c r="P509" s="43" t="s">
        <v>39</v>
      </c>
    </row>
    <row r="510" spans="1:16">
      <c r="A510" s="43" t="s">
        <v>39</v>
      </c>
      <c r="B510" s="43">
        <v>501</v>
      </c>
      <c r="C510" s="44"/>
      <c r="D510" s="50"/>
      <c r="E510" s="50"/>
      <c r="G510" s="44"/>
      <c r="H510" s="50"/>
      <c r="I510" s="50"/>
      <c r="K510" s="44"/>
      <c r="L510" s="50"/>
      <c r="N510" s="44"/>
      <c r="O510" s="50"/>
      <c r="P510" s="43" t="s">
        <v>39</v>
      </c>
    </row>
    <row r="511" spans="1:16">
      <c r="B511" s="43">
        <v>502</v>
      </c>
      <c r="C511" s="44"/>
      <c r="D511" s="50"/>
      <c r="E511" s="50"/>
      <c r="G511" s="44"/>
      <c r="H511" s="50"/>
      <c r="I511" s="50"/>
      <c r="K511" s="44"/>
      <c r="L511" s="50"/>
      <c r="N511" s="44"/>
      <c r="O511" s="50"/>
      <c r="P511" s="43" t="s">
        <v>39</v>
      </c>
    </row>
    <row r="512" spans="1:16">
      <c r="B512" s="43">
        <v>503</v>
      </c>
      <c r="C512" s="44"/>
      <c r="D512" s="50"/>
      <c r="E512" s="50"/>
      <c r="G512" s="44"/>
      <c r="H512" s="50"/>
      <c r="I512" s="50"/>
      <c r="K512" s="44"/>
      <c r="L512" s="50"/>
      <c r="N512" s="44"/>
      <c r="O512" s="50"/>
      <c r="P512" s="43" t="s">
        <v>39</v>
      </c>
    </row>
    <row r="513" spans="2:16">
      <c r="B513" s="43">
        <v>504</v>
      </c>
      <c r="C513" s="44"/>
      <c r="D513" s="50"/>
      <c r="E513" s="50"/>
      <c r="G513" s="44"/>
      <c r="H513" s="50"/>
      <c r="I513" s="50"/>
      <c r="K513" s="44"/>
      <c r="L513" s="50"/>
      <c r="N513" s="44"/>
      <c r="O513" s="50"/>
      <c r="P513" s="43" t="s">
        <v>39</v>
      </c>
    </row>
    <row r="514" spans="2:16">
      <c r="B514" s="43">
        <v>505</v>
      </c>
      <c r="C514" s="44"/>
      <c r="D514" s="50"/>
      <c r="E514" s="50"/>
      <c r="G514" s="44"/>
      <c r="H514" s="50"/>
      <c r="I514" s="50"/>
      <c r="K514" s="44"/>
      <c r="L514" s="50"/>
      <c r="N514" s="44"/>
      <c r="O514" s="50"/>
      <c r="P514" s="43" t="s">
        <v>39</v>
      </c>
    </row>
    <row r="515" spans="2:16">
      <c r="B515" s="43">
        <v>506</v>
      </c>
      <c r="C515" s="44"/>
      <c r="D515" s="50"/>
      <c r="E515" s="50"/>
      <c r="G515" s="44"/>
      <c r="H515" s="50"/>
      <c r="I515" s="50"/>
      <c r="K515" s="44"/>
      <c r="L515" s="50"/>
      <c r="N515" s="44"/>
      <c r="O515" s="50"/>
      <c r="P515" s="43" t="s">
        <v>39</v>
      </c>
    </row>
    <row r="516" spans="2:16">
      <c r="B516" s="43">
        <v>507</v>
      </c>
      <c r="C516" s="44"/>
      <c r="D516" s="50"/>
      <c r="E516" s="50"/>
      <c r="G516" s="44"/>
      <c r="H516" s="50"/>
      <c r="I516" s="50"/>
      <c r="K516" s="44"/>
      <c r="L516" s="50"/>
      <c r="N516" s="44"/>
      <c r="O516" s="50"/>
      <c r="P516" s="43" t="s">
        <v>39</v>
      </c>
    </row>
    <row r="517" spans="2:16">
      <c r="B517" s="43">
        <v>508</v>
      </c>
      <c r="C517" s="44"/>
      <c r="D517" s="50"/>
      <c r="E517" s="50"/>
      <c r="G517" s="44"/>
      <c r="H517" s="50"/>
      <c r="I517" s="50"/>
      <c r="K517" s="44"/>
      <c r="L517" s="50"/>
      <c r="N517" s="44"/>
      <c r="O517" s="50"/>
      <c r="P517" s="43" t="s">
        <v>39</v>
      </c>
    </row>
    <row r="518" spans="2:16">
      <c r="B518" s="43">
        <v>509</v>
      </c>
      <c r="C518" s="44"/>
      <c r="D518" s="50"/>
      <c r="E518" s="50"/>
      <c r="G518" s="44"/>
      <c r="H518" s="50"/>
      <c r="I518" s="50"/>
      <c r="K518" s="44"/>
      <c r="L518" s="50"/>
      <c r="N518" s="44"/>
      <c r="O518" s="50"/>
      <c r="P518" s="43" t="s">
        <v>39</v>
      </c>
    </row>
    <row r="519" spans="2:16">
      <c r="B519" s="43">
        <v>510</v>
      </c>
      <c r="C519" s="44"/>
      <c r="D519" s="50"/>
      <c r="E519" s="50"/>
      <c r="G519" s="44"/>
      <c r="H519" s="50"/>
      <c r="I519" s="50"/>
      <c r="K519" s="44"/>
      <c r="L519" s="50"/>
      <c r="N519" s="44"/>
      <c r="O519" s="50"/>
      <c r="P519" s="43" t="s">
        <v>39</v>
      </c>
    </row>
    <row r="520" spans="2:16">
      <c r="B520" s="43">
        <v>511</v>
      </c>
      <c r="C520" s="44"/>
      <c r="D520" s="50"/>
      <c r="E520" s="50"/>
      <c r="G520" s="44"/>
      <c r="H520" s="50"/>
      <c r="I520" s="50"/>
      <c r="K520" s="44"/>
      <c r="L520" s="50"/>
      <c r="N520" s="44"/>
      <c r="O520" s="50"/>
      <c r="P520" s="43" t="s">
        <v>39</v>
      </c>
    </row>
    <row r="521" spans="2:16">
      <c r="B521" s="43">
        <v>512</v>
      </c>
      <c r="C521" s="44"/>
      <c r="D521" s="50"/>
      <c r="E521" s="50"/>
      <c r="G521" s="44"/>
      <c r="H521" s="50"/>
      <c r="I521" s="50"/>
      <c r="K521" s="44"/>
      <c r="L521" s="50"/>
      <c r="N521" s="44"/>
      <c r="O521" s="50"/>
      <c r="P521" s="43" t="s">
        <v>39</v>
      </c>
    </row>
    <row r="522" spans="2:16">
      <c r="B522" s="43">
        <v>513</v>
      </c>
      <c r="C522" s="44"/>
      <c r="D522" s="50"/>
      <c r="E522" s="50"/>
      <c r="G522" s="44"/>
      <c r="H522" s="50"/>
      <c r="I522" s="50"/>
      <c r="K522" s="44"/>
      <c r="L522" s="50"/>
      <c r="N522" s="44"/>
      <c r="O522" s="50"/>
      <c r="P522" s="43" t="s">
        <v>39</v>
      </c>
    </row>
    <row r="523" spans="2:16">
      <c r="B523" s="43">
        <v>514</v>
      </c>
      <c r="C523" s="44"/>
      <c r="D523" s="50"/>
      <c r="E523" s="50"/>
      <c r="G523" s="44"/>
      <c r="H523" s="50"/>
      <c r="I523" s="50"/>
      <c r="K523" s="44"/>
      <c r="L523" s="50"/>
      <c r="N523" s="44"/>
      <c r="O523" s="50"/>
      <c r="P523" s="43" t="s">
        <v>39</v>
      </c>
    </row>
    <row r="524" spans="2:16">
      <c r="B524" s="43">
        <v>515</v>
      </c>
      <c r="C524" s="44"/>
      <c r="D524" s="50"/>
      <c r="E524" s="50"/>
      <c r="G524" s="44"/>
      <c r="H524" s="50"/>
      <c r="I524" s="50"/>
      <c r="K524" s="44"/>
      <c r="L524" s="50"/>
      <c r="N524" s="44"/>
      <c r="O524" s="50"/>
      <c r="P524" s="43" t="s">
        <v>39</v>
      </c>
    </row>
    <row r="525" spans="2:16">
      <c r="B525" s="43">
        <v>516</v>
      </c>
      <c r="C525" s="44"/>
      <c r="D525" s="50"/>
      <c r="E525" s="50"/>
      <c r="G525" s="44"/>
      <c r="H525" s="50"/>
      <c r="I525" s="50"/>
      <c r="K525" s="44"/>
      <c r="L525" s="50"/>
      <c r="N525" s="44"/>
      <c r="O525" s="50"/>
      <c r="P525" s="43" t="s">
        <v>39</v>
      </c>
    </row>
    <row r="526" spans="2:16">
      <c r="B526" s="43">
        <v>517</v>
      </c>
      <c r="C526" s="44"/>
      <c r="D526" s="50"/>
      <c r="E526" s="50"/>
      <c r="G526" s="44"/>
      <c r="H526" s="50"/>
      <c r="I526" s="50"/>
      <c r="K526" s="44"/>
      <c r="L526" s="50"/>
      <c r="N526" s="44"/>
      <c r="O526" s="50"/>
      <c r="P526" s="43" t="s">
        <v>39</v>
      </c>
    </row>
    <row r="527" spans="2:16">
      <c r="B527" s="43">
        <v>518</v>
      </c>
      <c r="C527" s="44"/>
      <c r="D527" s="50"/>
      <c r="E527" s="50"/>
      <c r="G527" s="44"/>
      <c r="H527" s="50"/>
      <c r="I527" s="50"/>
      <c r="K527" s="44"/>
      <c r="L527" s="50"/>
      <c r="N527" s="44"/>
      <c r="O527" s="50"/>
      <c r="P527" s="43" t="s">
        <v>39</v>
      </c>
    </row>
    <row r="528" spans="2:16">
      <c r="B528" s="43">
        <v>519</v>
      </c>
      <c r="C528" s="44"/>
      <c r="D528" s="50"/>
      <c r="E528" s="50"/>
      <c r="G528" s="44"/>
      <c r="H528" s="50"/>
      <c r="I528" s="50"/>
      <c r="K528" s="44"/>
      <c r="L528" s="50"/>
      <c r="N528" s="44"/>
      <c r="O528" s="50"/>
      <c r="P528" s="43" t="s">
        <v>39</v>
      </c>
    </row>
    <row r="529" spans="2:16">
      <c r="B529" s="43">
        <v>520</v>
      </c>
      <c r="C529" s="44"/>
      <c r="D529" s="50"/>
      <c r="E529" s="50"/>
      <c r="G529" s="44"/>
      <c r="H529" s="50"/>
      <c r="I529" s="50"/>
      <c r="K529" s="44"/>
      <c r="L529" s="50"/>
      <c r="N529" s="44"/>
      <c r="O529" s="50"/>
      <c r="P529" s="43" t="s">
        <v>39</v>
      </c>
    </row>
    <row r="530" spans="2:16">
      <c r="B530" s="43">
        <v>521</v>
      </c>
      <c r="C530" s="44"/>
      <c r="D530" s="50"/>
      <c r="E530" s="50"/>
      <c r="G530" s="44"/>
      <c r="H530" s="50"/>
      <c r="I530" s="50"/>
      <c r="K530" s="44"/>
      <c r="L530" s="50"/>
      <c r="N530" s="44"/>
      <c r="O530" s="50"/>
      <c r="P530" s="43" t="s">
        <v>39</v>
      </c>
    </row>
    <row r="531" spans="2:16">
      <c r="B531" s="43">
        <v>522</v>
      </c>
      <c r="C531" s="44"/>
      <c r="D531" s="50"/>
      <c r="E531" s="50"/>
      <c r="G531" s="44"/>
      <c r="H531" s="50"/>
      <c r="I531" s="50"/>
      <c r="K531" s="44"/>
      <c r="L531" s="50"/>
      <c r="N531" s="44"/>
      <c r="O531" s="50"/>
      <c r="P531" s="43" t="s">
        <v>39</v>
      </c>
    </row>
    <row r="532" spans="2:16">
      <c r="B532" s="43">
        <v>523</v>
      </c>
      <c r="C532" s="44"/>
      <c r="D532" s="50"/>
      <c r="E532" s="50"/>
      <c r="G532" s="44"/>
      <c r="H532" s="50"/>
      <c r="I532" s="50"/>
      <c r="K532" s="44"/>
      <c r="L532" s="50"/>
      <c r="N532" s="44"/>
      <c r="O532" s="50"/>
      <c r="P532" s="43" t="s">
        <v>39</v>
      </c>
    </row>
    <row r="533" spans="2:16">
      <c r="B533" s="43">
        <v>524</v>
      </c>
      <c r="C533" s="44"/>
      <c r="D533" s="50"/>
      <c r="E533" s="50"/>
      <c r="G533" s="44"/>
      <c r="H533" s="50"/>
      <c r="I533" s="50"/>
      <c r="K533" s="44"/>
      <c r="L533" s="50"/>
      <c r="N533" s="44"/>
      <c r="O533" s="50"/>
      <c r="P533" s="43" t="s">
        <v>39</v>
      </c>
    </row>
    <row r="534" spans="2:16">
      <c r="B534" s="43">
        <v>525</v>
      </c>
      <c r="C534" s="44"/>
      <c r="D534" s="50"/>
      <c r="E534" s="50"/>
      <c r="G534" s="44"/>
      <c r="H534" s="50"/>
      <c r="I534" s="50"/>
      <c r="K534" s="44"/>
      <c r="L534" s="50"/>
      <c r="N534" s="44"/>
      <c r="O534" s="50"/>
      <c r="P534" s="43" t="s">
        <v>39</v>
      </c>
    </row>
    <row r="535" spans="2:16">
      <c r="B535" s="43">
        <v>526</v>
      </c>
      <c r="C535" s="44"/>
      <c r="D535" s="50"/>
      <c r="E535" s="50"/>
      <c r="G535" s="44"/>
      <c r="H535" s="50"/>
      <c r="I535" s="50"/>
      <c r="K535" s="44"/>
      <c r="L535" s="50"/>
      <c r="N535" s="44"/>
      <c r="O535" s="50"/>
      <c r="P535" s="43" t="s">
        <v>39</v>
      </c>
    </row>
    <row r="536" spans="2:16">
      <c r="B536" s="43">
        <v>527</v>
      </c>
      <c r="C536" s="44"/>
      <c r="D536" s="50"/>
      <c r="E536" s="50"/>
      <c r="G536" s="44"/>
      <c r="H536" s="50"/>
      <c r="I536" s="50"/>
      <c r="K536" s="44"/>
      <c r="L536" s="50"/>
      <c r="N536" s="44"/>
      <c r="O536" s="50"/>
      <c r="P536" s="43" t="s">
        <v>39</v>
      </c>
    </row>
    <row r="537" spans="2:16">
      <c r="B537" s="43">
        <v>528</v>
      </c>
      <c r="C537" s="44"/>
      <c r="D537" s="50"/>
      <c r="E537" s="50"/>
      <c r="G537" s="44"/>
      <c r="H537" s="50"/>
      <c r="I537" s="50"/>
      <c r="K537" s="44"/>
      <c r="L537" s="50"/>
      <c r="N537" s="44"/>
      <c r="O537" s="50"/>
      <c r="P537" s="43" t="s">
        <v>39</v>
      </c>
    </row>
    <row r="538" spans="2:16">
      <c r="B538" s="43">
        <v>529</v>
      </c>
      <c r="C538" s="44"/>
      <c r="D538" s="50"/>
      <c r="E538" s="50"/>
      <c r="G538" s="44"/>
      <c r="H538" s="50"/>
      <c r="I538" s="50"/>
      <c r="K538" s="44"/>
      <c r="L538" s="50"/>
      <c r="N538" s="44"/>
      <c r="O538" s="50"/>
      <c r="P538" s="43" t="s">
        <v>39</v>
      </c>
    </row>
    <row r="539" spans="2:16">
      <c r="B539" s="43">
        <v>530</v>
      </c>
      <c r="C539" s="44"/>
      <c r="D539" s="50"/>
      <c r="E539" s="50"/>
      <c r="G539" s="44"/>
      <c r="H539" s="50"/>
      <c r="I539" s="50"/>
      <c r="K539" s="44"/>
      <c r="L539" s="50"/>
      <c r="N539" s="44"/>
      <c r="O539" s="50"/>
      <c r="P539" s="43" t="s">
        <v>39</v>
      </c>
    </row>
    <row r="540" spans="2:16">
      <c r="B540" s="43">
        <v>531</v>
      </c>
      <c r="C540" s="44"/>
      <c r="D540" s="50"/>
      <c r="E540" s="50"/>
      <c r="G540" s="44"/>
      <c r="H540" s="50"/>
      <c r="I540" s="50"/>
      <c r="K540" s="44"/>
      <c r="L540" s="50"/>
      <c r="N540" s="44"/>
      <c r="O540" s="50"/>
      <c r="P540" s="43" t="s">
        <v>39</v>
      </c>
    </row>
    <row r="541" spans="2:16">
      <c r="B541" s="43">
        <v>532</v>
      </c>
      <c r="C541" s="44"/>
      <c r="D541" s="50"/>
      <c r="E541" s="50"/>
      <c r="G541" s="44"/>
      <c r="H541" s="50"/>
      <c r="I541" s="50"/>
      <c r="K541" s="44"/>
      <c r="L541" s="50"/>
      <c r="N541" s="44"/>
      <c r="O541" s="50"/>
      <c r="P541" s="43" t="s">
        <v>39</v>
      </c>
    </row>
    <row r="542" spans="2:16">
      <c r="B542" s="43">
        <v>533</v>
      </c>
      <c r="C542" s="44"/>
      <c r="D542" s="50"/>
      <c r="E542" s="50"/>
      <c r="G542" s="44"/>
      <c r="H542" s="50"/>
      <c r="I542" s="50"/>
      <c r="K542" s="44"/>
      <c r="L542" s="50"/>
      <c r="N542" s="44"/>
      <c r="O542" s="50"/>
      <c r="P542" s="43" t="s">
        <v>39</v>
      </c>
    </row>
    <row r="543" spans="2:16">
      <c r="B543" s="43">
        <v>534</v>
      </c>
      <c r="C543" s="44"/>
      <c r="D543" s="50"/>
      <c r="E543" s="50"/>
      <c r="G543" s="44"/>
      <c r="H543" s="50"/>
      <c r="I543" s="50"/>
      <c r="K543" s="44"/>
      <c r="L543" s="50"/>
      <c r="N543" s="44"/>
      <c r="O543" s="50"/>
      <c r="P543" s="43" t="s">
        <v>39</v>
      </c>
    </row>
    <row r="544" spans="2:16">
      <c r="B544" s="43">
        <v>535</v>
      </c>
      <c r="C544" s="44"/>
      <c r="D544" s="50"/>
      <c r="E544" s="50"/>
      <c r="G544" s="44"/>
      <c r="H544" s="50"/>
      <c r="I544" s="50"/>
      <c r="K544" s="44"/>
      <c r="L544" s="50"/>
      <c r="N544" s="44"/>
      <c r="O544" s="50"/>
      <c r="P544" s="43" t="s">
        <v>39</v>
      </c>
    </row>
    <row r="545" spans="2:16">
      <c r="B545" s="43">
        <v>536</v>
      </c>
      <c r="C545" s="44"/>
      <c r="D545" s="50"/>
      <c r="E545" s="50"/>
      <c r="G545" s="44"/>
      <c r="H545" s="50"/>
      <c r="I545" s="50"/>
      <c r="K545" s="44"/>
      <c r="L545" s="50"/>
      <c r="N545" s="44"/>
      <c r="O545" s="50"/>
      <c r="P545" s="43" t="s">
        <v>39</v>
      </c>
    </row>
    <row r="546" spans="2:16">
      <c r="B546" s="43">
        <v>537</v>
      </c>
      <c r="C546" s="44"/>
      <c r="D546" s="50"/>
      <c r="E546" s="50"/>
      <c r="G546" s="44"/>
      <c r="H546" s="50"/>
      <c r="I546" s="50"/>
      <c r="K546" s="44"/>
      <c r="L546" s="50"/>
      <c r="N546" s="44"/>
      <c r="O546" s="50"/>
      <c r="P546" s="43" t="s">
        <v>39</v>
      </c>
    </row>
    <row r="547" spans="2:16">
      <c r="B547" s="43">
        <v>538</v>
      </c>
      <c r="C547" s="44"/>
      <c r="D547" s="50"/>
      <c r="E547" s="50"/>
      <c r="G547" s="44"/>
      <c r="H547" s="50"/>
      <c r="I547" s="50"/>
      <c r="K547" s="44"/>
      <c r="L547" s="50"/>
      <c r="N547" s="44"/>
      <c r="O547" s="50"/>
      <c r="P547" s="43" t="s">
        <v>39</v>
      </c>
    </row>
    <row r="548" spans="2:16">
      <c r="B548" s="43">
        <v>539</v>
      </c>
      <c r="C548" s="44"/>
      <c r="D548" s="50"/>
      <c r="E548" s="50"/>
      <c r="G548" s="44"/>
      <c r="H548" s="50"/>
      <c r="I548" s="50"/>
      <c r="K548" s="44"/>
      <c r="L548" s="50"/>
      <c r="N548" s="44"/>
      <c r="O548" s="50"/>
      <c r="P548" s="43" t="s">
        <v>39</v>
      </c>
    </row>
    <row r="549" spans="2:16">
      <c r="B549" s="43">
        <v>540</v>
      </c>
      <c r="C549" s="44"/>
      <c r="D549" s="50"/>
      <c r="E549" s="50"/>
      <c r="G549" s="44"/>
      <c r="H549" s="50"/>
      <c r="I549" s="50"/>
      <c r="K549" s="44"/>
      <c r="L549" s="50"/>
      <c r="N549" s="44"/>
      <c r="O549" s="50"/>
      <c r="P549" s="43" t="s">
        <v>39</v>
      </c>
    </row>
    <row r="550" spans="2:16">
      <c r="B550" s="43">
        <v>541</v>
      </c>
      <c r="C550" s="44"/>
      <c r="D550" s="50"/>
      <c r="E550" s="50"/>
      <c r="G550" s="44"/>
      <c r="H550" s="50"/>
      <c r="I550" s="50"/>
      <c r="K550" s="44"/>
      <c r="L550" s="50"/>
      <c r="N550" s="44"/>
      <c r="O550" s="50"/>
      <c r="P550" s="43" t="s">
        <v>39</v>
      </c>
    </row>
    <row r="551" spans="2:16">
      <c r="B551" s="43">
        <v>542</v>
      </c>
      <c r="C551" s="44"/>
      <c r="D551" s="50"/>
      <c r="E551" s="50"/>
      <c r="G551" s="44"/>
      <c r="H551" s="50"/>
      <c r="I551" s="50"/>
      <c r="K551" s="44"/>
      <c r="L551" s="50"/>
      <c r="N551" s="44"/>
      <c r="O551" s="50"/>
      <c r="P551" s="43" t="s">
        <v>39</v>
      </c>
    </row>
    <row r="552" spans="2:16">
      <c r="B552" s="43">
        <v>543</v>
      </c>
      <c r="C552" s="44"/>
      <c r="D552" s="50"/>
      <c r="E552" s="50"/>
      <c r="G552" s="44"/>
      <c r="H552" s="50"/>
      <c r="I552" s="50"/>
      <c r="K552" s="44"/>
      <c r="L552" s="50"/>
      <c r="N552" s="44"/>
      <c r="O552" s="50"/>
      <c r="P552" s="43" t="s">
        <v>39</v>
      </c>
    </row>
    <row r="553" spans="2:16">
      <c r="B553" s="43">
        <v>544</v>
      </c>
      <c r="C553" s="44"/>
      <c r="D553" s="50"/>
      <c r="E553" s="50"/>
      <c r="G553" s="44"/>
      <c r="H553" s="50"/>
      <c r="I553" s="50"/>
      <c r="K553" s="44"/>
      <c r="L553" s="50"/>
      <c r="N553" s="44"/>
      <c r="O553" s="50"/>
      <c r="P553" s="43" t="s">
        <v>39</v>
      </c>
    </row>
    <row r="554" spans="2:16">
      <c r="B554" s="43">
        <v>545</v>
      </c>
      <c r="C554" s="44"/>
      <c r="D554" s="50"/>
      <c r="E554" s="50"/>
      <c r="G554" s="44"/>
      <c r="H554" s="50"/>
      <c r="I554" s="50"/>
      <c r="K554" s="44"/>
      <c r="L554" s="50"/>
      <c r="N554" s="44"/>
      <c r="O554" s="50"/>
      <c r="P554" s="43" t="s">
        <v>39</v>
      </c>
    </row>
    <row r="555" spans="2:16">
      <c r="B555" s="43">
        <v>546</v>
      </c>
      <c r="C555" s="44"/>
      <c r="D555" s="50"/>
      <c r="E555" s="50"/>
      <c r="G555" s="44"/>
      <c r="H555" s="50"/>
      <c r="I555" s="50"/>
      <c r="K555" s="44"/>
      <c r="L555" s="50"/>
      <c r="N555" s="44"/>
      <c r="O555" s="50"/>
      <c r="P555" s="43" t="s">
        <v>39</v>
      </c>
    </row>
    <row r="556" spans="2:16">
      <c r="B556" s="43">
        <v>547</v>
      </c>
      <c r="C556" s="44"/>
      <c r="D556" s="50"/>
      <c r="E556" s="50"/>
      <c r="G556" s="44"/>
      <c r="H556" s="50"/>
      <c r="I556" s="50"/>
      <c r="K556" s="44"/>
      <c r="L556" s="50"/>
      <c r="N556" s="44"/>
      <c r="O556" s="50"/>
      <c r="P556" s="43" t="s">
        <v>39</v>
      </c>
    </row>
    <row r="557" spans="2:16">
      <c r="B557" s="43">
        <v>548</v>
      </c>
      <c r="C557" s="44"/>
      <c r="D557" s="50"/>
      <c r="E557" s="50"/>
      <c r="G557" s="44"/>
      <c r="H557" s="50"/>
      <c r="I557" s="50"/>
      <c r="K557" s="44"/>
      <c r="L557" s="50"/>
      <c r="N557" s="44"/>
      <c r="O557" s="50"/>
      <c r="P557" s="43" t="s">
        <v>39</v>
      </c>
    </row>
    <row r="558" spans="2:16">
      <c r="B558" s="43">
        <v>549</v>
      </c>
      <c r="C558" s="44"/>
      <c r="D558" s="50"/>
      <c r="E558" s="50"/>
      <c r="G558" s="44"/>
      <c r="H558" s="50"/>
      <c r="I558" s="50"/>
      <c r="K558" s="44"/>
      <c r="L558" s="50"/>
      <c r="N558" s="44"/>
      <c r="O558" s="50"/>
      <c r="P558" s="43" t="s">
        <v>39</v>
      </c>
    </row>
    <row r="559" spans="2:16">
      <c r="B559" s="43">
        <v>550</v>
      </c>
      <c r="C559" s="44"/>
      <c r="D559" s="50"/>
      <c r="E559" s="50"/>
      <c r="G559" s="44"/>
      <c r="H559" s="50"/>
      <c r="I559" s="50"/>
      <c r="K559" s="44"/>
      <c r="L559" s="50"/>
      <c r="N559" s="44"/>
      <c r="O559" s="50"/>
      <c r="P559" s="43" t="s">
        <v>39</v>
      </c>
    </row>
    <row r="560" spans="2:16">
      <c r="B560" s="43">
        <v>551</v>
      </c>
      <c r="C560" s="44"/>
      <c r="D560" s="50"/>
      <c r="E560" s="50"/>
      <c r="G560" s="44"/>
      <c r="H560" s="50"/>
      <c r="I560" s="50"/>
      <c r="K560" s="44"/>
      <c r="L560" s="50"/>
      <c r="N560" s="44"/>
      <c r="O560" s="50"/>
      <c r="P560" s="43" t="s">
        <v>39</v>
      </c>
    </row>
    <row r="561" spans="2:16">
      <c r="B561" s="43">
        <v>552</v>
      </c>
      <c r="C561" s="44"/>
      <c r="D561" s="50"/>
      <c r="E561" s="50"/>
      <c r="G561" s="44"/>
      <c r="H561" s="50"/>
      <c r="I561" s="50"/>
      <c r="K561" s="44"/>
      <c r="L561" s="50"/>
      <c r="N561" s="44"/>
      <c r="O561" s="50"/>
      <c r="P561" s="43" t="s">
        <v>39</v>
      </c>
    </row>
    <row r="562" spans="2:16">
      <c r="B562" s="43">
        <v>553</v>
      </c>
      <c r="C562" s="44"/>
      <c r="D562" s="50"/>
      <c r="E562" s="50"/>
      <c r="G562" s="44"/>
      <c r="H562" s="50"/>
      <c r="I562" s="50"/>
      <c r="K562" s="44"/>
      <c r="L562" s="50"/>
      <c r="N562" s="44"/>
      <c r="O562" s="50"/>
      <c r="P562" s="43" t="s">
        <v>39</v>
      </c>
    </row>
    <row r="563" spans="2:16">
      <c r="B563" s="43">
        <v>554</v>
      </c>
      <c r="C563" s="44"/>
      <c r="D563" s="50"/>
      <c r="E563" s="50"/>
      <c r="G563" s="44"/>
      <c r="H563" s="50"/>
      <c r="I563" s="50"/>
      <c r="K563" s="44"/>
      <c r="L563" s="50"/>
      <c r="N563" s="44"/>
      <c r="O563" s="50"/>
      <c r="P563" s="43" t="s">
        <v>39</v>
      </c>
    </row>
    <row r="564" spans="2:16">
      <c r="B564" s="43">
        <v>555</v>
      </c>
      <c r="C564" s="44"/>
      <c r="D564" s="50"/>
      <c r="E564" s="50"/>
      <c r="G564" s="44"/>
      <c r="H564" s="50"/>
      <c r="I564" s="50"/>
      <c r="K564" s="44"/>
      <c r="L564" s="50"/>
      <c r="N564" s="44"/>
      <c r="O564" s="50"/>
      <c r="P564" s="43" t="s">
        <v>39</v>
      </c>
    </row>
    <row r="565" spans="2:16">
      <c r="B565" s="43">
        <v>556</v>
      </c>
      <c r="C565" s="44"/>
      <c r="D565" s="50"/>
      <c r="E565" s="50"/>
      <c r="G565" s="44"/>
      <c r="H565" s="50"/>
      <c r="I565" s="50"/>
      <c r="K565" s="44"/>
      <c r="L565" s="50"/>
      <c r="N565" s="44"/>
      <c r="O565" s="50"/>
      <c r="P565" s="43" t="s">
        <v>39</v>
      </c>
    </row>
    <row r="566" spans="2:16">
      <c r="B566" s="43">
        <v>557</v>
      </c>
      <c r="C566" s="44"/>
      <c r="D566" s="50"/>
      <c r="E566" s="50"/>
      <c r="G566" s="44"/>
      <c r="H566" s="50"/>
      <c r="I566" s="50"/>
      <c r="K566" s="44"/>
      <c r="L566" s="50"/>
      <c r="N566" s="44"/>
      <c r="O566" s="50"/>
      <c r="P566" s="43" t="s">
        <v>39</v>
      </c>
    </row>
    <row r="567" spans="2:16">
      <c r="B567" s="43">
        <v>558</v>
      </c>
      <c r="C567" s="44"/>
      <c r="D567" s="50"/>
      <c r="E567" s="50"/>
      <c r="G567" s="44"/>
      <c r="H567" s="50"/>
      <c r="I567" s="50"/>
      <c r="K567" s="44"/>
      <c r="L567" s="50"/>
      <c r="N567" s="44"/>
      <c r="O567" s="50"/>
      <c r="P567" s="43" t="s">
        <v>39</v>
      </c>
    </row>
    <row r="568" spans="2:16">
      <c r="B568" s="43">
        <v>559</v>
      </c>
      <c r="C568" s="44"/>
      <c r="D568" s="50"/>
      <c r="E568" s="50"/>
      <c r="G568" s="44"/>
      <c r="H568" s="50"/>
      <c r="I568" s="50"/>
      <c r="K568" s="44"/>
      <c r="L568" s="50"/>
      <c r="N568" s="44"/>
      <c r="O568" s="50"/>
      <c r="P568" s="43" t="s">
        <v>39</v>
      </c>
    </row>
    <row r="569" spans="2:16">
      <c r="B569" s="43">
        <v>560</v>
      </c>
      <c r="C569" s="44"/>
      <c r="D569" s="50"/>
      <c r="E569" s="50"/>
      <c r="G569" s="44"/>
      <c r="H569" s="50"/>
      <c r="I569" s="50"/>
      <c r="K569" s="44"/>
      <c r="L569" s="50"/>
      <c r="N569" s="44"/>
      <c r="O569" s="50"/>
      <c r="P569" s="43" t="s">
        <v>39</v>
      </c>
    </row>
    <row r="570" spans="2:16">
      <c r="B570" s="43">
        <v>561</v>
      </c>
      <c r="C570" s="44"/>
      <c r="D570" s="50"/>
      <c r="E570" s="50"/>
      <c r="G570" s="44"/>
      <c r="H570" s="50"/>
      <c r="I570" s="50"/>
      <c r="K570" s="44"/>
      <c r="L570" s="50"/>
      <c r="N570" s="44"/>
      <c r="O570" s="50"/>
      <c r="P570" s="43" t="s">
        <v>39</v>
      </c>
    </row>
    <row r="571" spans="2:16">
      <c r="B571" s="43">
        <v>562</v>
      </c>
      <c r="C571" s="44"/>
      <c r="D571" s="50"/>
      <c r="E571" s="50"/>
      <c r="G571" s="44"/>
      <c r="H571" s="50"/>
      <c r="I571" s="50"/>
      <c r="K571" s="44"/>
      <c r="L571" s="50"/>
      <c r="N571" s="44"/>
      <c r="O571" s="50"/>
      <c r="P571" s="43" t="s">
        <v>39</v>
      </c>
    </row>
    <row r="572" spans="2:16">
      <c r="B572" s="43">
        <v>563</v>
      </c>
      <c r="C572" s="44"/>
      <c r="D572" s="50"/>
      <c r="E572" s="50"/>
      <c r="G572" s="44"/>
      <c r="H572" s="50"/>
      <c r="I572" s="50"/>
      <c r="K572" s="44"/>
      <c r="L572" s="50"/>
      <c r="N572" s="44"/>
      <c r="O572" s="50"/>
      <c r="P572" s="43" t="s">
        <v>39</v>
      </c>
    </row>
    <row r="573" spans="2:16">
      <c r="B573" s="43">
        <v>564</v>
      </c>
      <c r="C573" s="44"/>
      <c r="D573" s="50"/>
      <c r="E573" s="50"/>
      <c r="G573" s="44"/>
      <c r="H573" s="50"/>
      <c r="I573" s="50"/>
      <c r="K573" s="44"/>
      <c r="L573" s="50"/>
      <c r="N573" s="44"/>
      <c r="O573" s="50"/>
      <c r="P573" s="43" t="s">
        <v>39</v>
      </c>
    </row>
    <row r="574" spans="2:16">
      <c r="B574" s="43">
        <v>565</v>
      </c>
      <c r="C574" s="44"/>
      <c r="D574" s="50"/>
      <c r="E574" s="50"/>
      <c r="G574" s="44"/>
      <c r="H574" s="50"/>
      <c r="I574" s="50"/>
      <c r="K574" s="44"/>
      <c r="L574" s="50"/>
      <c r="N574" s="44"/>
      <c r="O574" s="50"/>
      <c r="P574" s="43" t="s">
        <v>39</v>
      </c>
    </row>
    <row r="575" spans="2:16">
      <c r="B575" s="43">
        <v>566</v>
      </c>
      <c r="C575" s="44"/>
      <c r="D575" s="50"/>
      <c r="E575" s="50"/>
      <c r="G575" s="44"/>
      <c r="H575" s="50"/>
      <c r="I575" s="50"/>
      <c r="K575" s="44"/>
      <c r="L575" s="50"/>
      <c r="N575" s="44"/>
      <c r="O575" s="50"/>
      <c r="P575" s="43" t="s">
        <v>39</v>
      </c>
    </row>
    <row r="576" spans="2:16">
      <c r="B576" s="43">
        <v>567</v>
      </c>
      <c r="C576" s="44"/>
      <c r="D576" s="50"/>
      <c r="E576" s="50"/>
      <c r="G576" s="44"/>
      <c r="H576" s="50"/>
      <c r="I576" s="50"/>
      <c r="K576" s="44"/>
      <c r="L576" s="50"/>
      <c r="N576" s="44"/>
      <c r="O576" s="50"/>
      <c r="P576" s="43" t="s">
        <v>39</v>
      </c>
    </row>
    <row r="577" spans="2:16">
      <c r="B577" s="43">
        <v>568</v>
      </c>
      <c r="C577" s="44"/>
      <c r="D577" s="50"/>
      <c r="E577" s="50"/>
      <c r="G577" s="44"/>
      <c r="H577" s="50"/>
      <c r="I577" s="50"/>
      <c r="K577" s="44"/>
      <c r="L577" s="50"/>
      <c r="N577" s="44"/>
      <c r="O577" s="50"/>
      <c r="P577" s="43" t="s">
        <v>39</v>
      </c>
    </row>
    <row r="578" spans="2:16">
      <c r="B578" s="43">
        <v>569</v>
      </c>
      <c r="C578" s="44"/>
      <c r="D578" s="50"/>
      <c r="E578" s="50"/>
      <c r="G578" s="44"/>
      <c r="H578" s="50"/>
      <c r="I578" s="50"/>
      <c r="K578" s="44"/>
      <c r="L578" s="50"/>
      <c r="N578" s="44"/>
      <c r="O578" s="50"/>
      <c r="P578" s="43" t="s">
        <v>39</v>
      </c>
    </row>
    <row r="579" spans="2:16">
      <c r="B579" s="43">
        <v>570</v>
      </c>
      <c r="C579" s="44"/>
      <c r="D579" s="50"/>
      <c r="E579" s="50"/>
      <c r="G579" s="44"/>
      <c r="H579" s="50"/>
      <c r="I579" s="50"/>
      <c r="K579" s="44"/>
      <c r="L579" s="50"/>
      <c r="N579" s="44"/>
      <c r="O579" s="50"/>
      <c r="P579" s="43" t="s">
        <v>39</v>
      </c>
    </row>
    <row r="580" spans="2:16">
      <c r="B580" s="43">
        <v>571</v>
      </c>
      <c r="C580" s="44"/>
      <c r="D580" s="50"/>
      <c r="E580" s="50"/>
      <c r="G580" s="44"/>
      <c r="H580" s="50"/>
      <c r="I580" s="50"/>
      <c r="K580" s="44"/>
      <c r="L580" s="50"/>
      <c r="N580" s="44"/>
      <c r="O580" s="50"/>
      <c r="P580" s="43" t="s">
        <v>39</v>
      </c>
    </row>
    <row r="581" spans="2:16">
      <c r="B581" s="43">
        <v>572</v>
      </c>
      <c r="C581" s="44"/>
      <c r="D581" s="50"/>
      <c r="E581" s="50"/>
      <c r="G581" s="44"/>
      <c r="H581" s="50"/>
      <c r="I581" s="50"/>
      <c r="K581" s="44"/>
      <c r="L581" s="50"/>
      <c r="N581" s="44"/>
      <c r="O581" s="50"/>
      <c r="P581" s="43" t="s">
        <v>39</v>
      </c>
    </row>
    <row r="582" spans="2:16">
      <c r="B582" s="43">
        <v>573</v>
      </c>
      <c r="C582" s="44"/>
      <c r="D582" s="50"/>
      <c r="E582" s="50"/>
      <c r="G582" s="44"/>
      <c r="H582" s="50"/>
      <c r="I582" s="50"/>
      <c r="K582" s="44"/>
      <c r="L582" s="50"/>
      <c r="N582" s="44"/>
      <c r="O582" s="50"/>
      <c r="P582" s="43" t="s">
        <v>39</v>
      </c>
    </row>
    <row r="583" spans="2:16">
      <c r="B583" s="43">
        <v>574</v>
      </c>
      <c r="C583" s="44"/>
      <c r="D583" s="50"/>
      <c r="E583" s="50"/>
      <c r="G583" s="44"/>
      <c r="H583" s="50"/>
      <c r="I583" s="50"/>
      <c r="K583" s="44"/>
      <c r="L583" s="50"/>
      <c r="N583" s="44"/>
      <c r="O583" s="50"/>
      <c r="P583" s="43" t="s">
        <v>39</v>
      </c>
    </row>
    <row r="584" spans="2:16">
      <c r="B584" s="43">
        <v>575</v>
      </c>
      <c r="C584" s="44"/>
      <c r="D584" s="50"/>
      <c r="E584" s="50"/>
      <c r="G584" s="44"/>
      <c r="H584" s="50"/>
      <c r="I584" s="50"/>
      <c r="K584" s="44"/>
      <c r="L584" s="50"/>
      <c r="N584" s="44"/>
      <c r="O584" s="50"/>
      <c r="P584" s="43" t="s">
        <v>39</v>
      </c>
    </row>
    <row r="585" spans="2:16">
      <c r="B585" s="43">
        <v>576</v>
      </c>
      <c r="C585" s="44"/>
      <c r="D585" s="50"/>
      <c r="E585" s="50"/>
      <c r="G585" s="44"/>
      <c r="H585" s="50"/>
      <c r="I585" s="50"/>
      <c r="K585" s="44"/>
      <c r="L585" s="50"/>
      <c r="N585" s="44"/>
      <c r="O585" s="50"/>
      <c r="P585" s="43" t="s">
        <v>39</v>
      </c>
    </row>
    <row r="586" spans="2:16">
      <c r="B586" s="43">
        <v>577</v>
      </c>
      <c r="C586" s="44"/>
      <c r="D586" s="50"/>
      <c r="E586" s="50"/>
      <c r="G586" s="44"/>
      <c r="H586" s="50"/>
      <c r="I586" s="50"/>
      <c r="K586" s="44"/>
      <c r="L586" s="50"/>
      <c r="N586" s="44"/>
      <c r="O586" s="50"/>
      <c r="P586" s="43" t="s">
        <v>39</v>
      </c>
    </row>
    <row r="587" spans="2:16">
      <c r="B587" s="43">
        <v>578</v>
      </c>
      <c r="C587" s="44"/>
      <c r="D587" s="50"/>
      <c r="E587" s="50"/>
      <c r="G587" s="44"/>
      <c r="H587" s="50"/>
      <c r="I587" s="50"/>
      <c r="K587" s="44"/>
      <c r="L587" s="50"/>
      <c r="N587" s="44"/>
      <c r="O587" s="50"/>
      <c r="P587" s="43" t="s">
        <v>39</v>
      </c>
    </row>
    <row r="588" spans="2:16">
      <c r="B588" s="43">
        <v>579</v>
      </c>
      <c r="C588" s="44"/>
      <c r="D588" s="50"/>
      <c r="E588" s="50"/>
      <c r="G588" s="44"/>
      <c r="H588" s="50"/>
      <c r="I588" s="50"/>
      <c r="K588" s="44"/>
      <c r="L588" s="50"/>
      <c r="N588" s="44"/>
      <c r="O588" s="50"/>
      <c r="P588" s="43" t="s">
        <v>39</v>
      </c>
    </row>
    <row r="589" spans="2:16">
      <c r="B589" s="43">
        <v>580</v>
      </c>
      <c r="C589" s="44"/>
      <c r="D589" s="50"/>
      <c r="E589" s="50"/>
      <c r="G589" s="44"/>
      <c r="H589" s="50"/>
      <c r="I589" s="50"/>
      <c r="K589" s="44"/>
      <c r="L589" s="50"/>
      <c r="N589" s="44"/>
      <c r="O589" s="50"/>
      <c r="P589" s="43" t="s">
        <v>39</v>
      </c>
    </row>
    <row r="590" spans="2:16">
      <c r="B590" s="43">
        <v>581</v>
      </c>
      <c r="C590" s="44"/>
      <c r="D590" s="50"/>
      <c r="E590" s="50"/>
      <c r="G590" s="44"/>
      <c r="H590" s="50"/>
      <c r="I590" s="50"/>
      <c r="K590" s="44"/>
      <c r="L590" s="50"/>
      <c r="N590" s="44"/>
      <c r="O590" s="50"/>
      <c r="P590" s="43" t="s">
        <v>39</v>
      </c>
    </row>
    <row r="591" spans="2:16">
      <c r="B591" s="43">
        <v>582</v>
      </c>
      <c r="C591" s="44"/>
      <c r="D591" s="50"/>
      <c r="E591" s="50"/>
      <c r="G591" s="44"/>
      <c r="H591" s="50"/>
      <c r="I591" s="50"/>
      <c r="K591" s="44"/>
      <c r="L591" s="50"/>
      <c r="N591" s="44"/>
      <c r="O591" s="50"/>
      <c r="P591" s="43" t="s">
        <v>39</v>
      </c>
    </row>
    <row r="592" spans="2:16">
      <c r="B592" s="43">
        <v>583</v>
      </c>
      <c r="C592" s="44"/>
      <c r="D592" s="50"/>
      <c r="E592" s="50"/>
      <c r="G592" s="44"/>
      <c r="H592" s="50"/>
      <c r="I592" s="50"/>
      <c r="K592" s="44"/>
      <c r="L592" s="50"/>
      <c r="N592" s="44"/>
      <c r="O592" s="50"/>
      <c r="P592" s="43" t="s">
        <v>39</v>
      </c>
    </row>
    <row r="593" spans="2:16">
      <c r="B593" s="43">
        <v>584</v>
      </c>
      <c r="C593" s="44"/>
      <c r="D593" s="50"/>
      <c r="E593" s="50"/>
      <c r="G593" s="44"/>
      <c r="H593" s="50"/>
      <c r="I593" s="50"/>
      <c r="K593" s="44"/>
      <c r="L593" s="50"/>
      <c r="N593" s="44"/>
      <c r="O593" s="50"/>
      <c r="P593" s="43" t="s">
        <v>39</v>
      </c>
    </row>
    <row r="594" spans="2:16">
      <c r="B594" s="43">
        <v>585</v>
      </c>
      <c r="C594" s="44"/>
      <c r="D594" s="50"/>
      <c r="E594" s="50"/>
      <c r="G594" s="44"/>
      <c r="H594" s="50"/>
      <c r="I594" s="50"/>
      <c r="K594" s="44"/>
      <c r="L594" s="50"/>
      <c r="N594" s="44"/>
      <c r="O594" s="50"/>
      <c r="P594" s="43" t="s">
        <v>39</v>
      </c>
    </row>
    <row r="595" spans="2:16">
      <c r="B595" s="43">
        <v>586</v>
      </c>
      <c r="C595" s="44"/>
      <c r="D595" s="50"/>
      <c r="E595" s="50"/>
      <c r="G595" s="44"/>
      <c r="H595" s="50"/>
      <c r="I595" s="50"/>
      <c r="K595" s="44"/>
      <c r="L595" s="50"/>
      <c r="N595" s="44"/>
      <c r="O595" s="50"/>
      <c r="P595" s="43" t="s">
        <v>39</v>
      </c>
    </row>
    <row r="596" spans="2:16">
      <c r="B596" s="43">
        <v>587</v>
      </c>
      <c r="C596" s="44"/>
      <c r="D596" s="50"/>
      <c r="E596" s="50"/>
      <c r="G596" s="44"/>
      <c r="H596" s="50"/>
      <c r="I596" s="50"/>
      <c r="K596" s="44"/>
      <c r="L596" s="50"/>
      <c r="N596" s="44"/>
      <c r="O596" s="50"/>
      <c r="P596" s="43" t="s">
        <v>39</v>
      </c>
    </row>
    <row r="597" spans="2:16">
      <c r="B597" s="43">
        <v>588</v>
      </c>
      <c r="C597" s="44"/>
      <c r="D597" s="50"/>
      <c r="E597" s="50"/>
      <c r="G597" s="44"/>
      <c r="H597" s="50"/>
      <c r="I597" s="50"/>
      <c r="K597" s="44"/>
      <c r="L597" s="50"/>
      <c r="N597" s="44"/>
      <c r="O597" s="50"/>
      <c r="P597" s="43" t="s">
        <v>39</v>
      </c>
    </row>
    <row r="598" spans="2:16">
      <c r="B598" s="43">
        <v>589</v>
      </c>
      <c r="C598" s="44"/>
      <c r="D598" s="50"/>
      <c r="E598" s="50"/>
      <c r="G598" s="44"/>
      <c r="H598" s="50"/>
      <c r="I598" s="50"/>
      <c r="K598" s="44"/>
      <c r="L598" s="50"/>
      <c r="N598" s="44"/>
      <c r="O598" s="50"/>
      <c r="P598" s="43" t="s">
        <v>39</v>
      </c>
    </row>
    <row r="599" spans="2:16">
      <c r="B599" s="43">
        <v>590</v>
      </c>
      <c r="C599" s="44"/>
      <c r="D599" s="50"/>
      <c r="E599" s="50"/>
      <c r="G599" s="44"/>
      <c r="H599" s="50"/>
      <c r="I599" s="50"/>
      <c r="K599" s="44"/>
      <c r="L599" s="50"/>
      <c r="N599" s="44"/>
      <c r="O599" s="50"/>
      <c r="P599" s="43" t="s">
        <v>39</v>
      </c>
    </row>
    <row r="600" spans="2:16">
      <c r="B600" s="43">
        <v>591</v>
      </c>
      <c r="C600" s="44"/>
      <c r="D600" s="50"/>
      <c r="E600" s="50"/>
      <c r="G600" s="44"/>
      <c r="H600" s="50"/>
      <c r="I600" s="50"/>
      <c r="K600" s="44"/>
      <c r="L600" s="50"/>
      <c r="N600" s="44"/>
      <c r="O600" s="50"/>
      <c r="P600" s="43" t="s">
        <v>39</v>
      </c>
    </row>
    <row r="601" spans="2:16">
      <c r="B601" s="43">
        <v>592</v>
      </c>
      <c r="C601" s="44"/>
      <c r="D601" s="50"/>
      <c r="E601" s="50"/>
      <c r="G601" s="44"/>
      <c r="H601" s="50"/>
      <c r="I601" s="50"/>
      <c r="K601" s="44"/>
      <c r="L601" s="50"/>
      <c r="N601" s="44"/>
      <c r="O601" s="50"/>
      <c r="P601" s="43" t="s">
        <v>39</v>
      </c>
    </row>
    <row r="602" spans="2:16">
      <c r="B602" s="43">
        <v>593</v>
      </c>
      <c r="C602" s="44"/>
      <c r="D602" s="50"/>
      <c r="E602" s="50"/>
      <c r="G602" s="44"/>
      <c r="H602" s="50"/>
      <c r="I602" s="50"/>
      <c r="K602" s="44"/>
      <c r="L602" s="50"/>
      <c r="N602" s="44"/>
      <c r="O602" s="50"/>
      <c r="P602" s="43" t="s">
        <v>39</v>
      </c>
    </row>
    <row r="603" spans="2:16">
      <c r="B603" s="43">
        <v>594</v>
      </c>
      <c r="C603" s="44"/>
      <c r="D603" s="50"/>
      <c r="E603" s="50"/>
      <c r="G603" s="44"/>
      <c r="H603" s="50"/>
      <c r="I603" s="50"/>
      <c r="K603" s="44"/>
      <c r="L603" s="50"/>
      <c r="N603" s="44"/>
      <c r="O603" s="50"/>
      <c r="P603" s="43" t="s">
        <v>39</v>
      </c>
    </row>
    <row r="604" spans="2:16">
      <c r="B604" s="43">
        <v>595</v>
      </c>
      <c r="C604" s="44"/>
      <c r="D604" s="50"/>
      <c r="E604" s="50"/>
      <c r="G604" s="44"/>
      <c r="H604" s="50"/>
      <c r="I604" s="50"/>
      <c r="K604" s="44"/>
      <c r="L604" s="50"/>
      <c r="N604" s="44"/>
      <c r="O604" s="50"/>
      <c r="P604" s="43" t="s">
        <v>39</v>
      </c>
    </row>
    <row r="605" spans="2:16">
      <c r="B605" s="43">
        <v>596</v>
      </c>
      <c r="C605" s="44"/>
      <c r="D605" s="50"/>
      <c r="E605" s="50"/>
      <c r="G605" s="44"/>
      <c r="H605" s="50"/>
      <c r="I605" s="50"/>
      <c r="K605" s="44"/>
      <c r="L605" s="50"/>
      <c r="N605" s="44"/>
      <c r="O605" s="50"/>
      <c r="P605" s="43" t="s">
        <v>39</v>
      </c>
    </row>
    <row r="606" spans="2:16">
      <c r="B606" s="43">
        <v>597</v>
      </c>
      <c r="C606" s="44"/>
      <c r="D606" s="50"/>
      <c r="E606" s="50"/>
      <c r="G606" s="44"/>
      <c r="H606" s="50"/>
      <c r="I606" s="50"/>
      <c r="K606" s="44"/>
      <c r="L606" s="50"/>
      <c r="N606" s="44"/>
      <c r="O606" s="50"/>
      <c r="P606" s="43" t="s">
        <v>39</v>
      </c>
    </row>
    <row r="607" spans="2:16">
      <c r="B607" s="43">
        <v>598</v>
      </c>
      <c r="C607" s="44"/>
      <c r="D607" s="50"/>
      <c r="E607" s="50"/>
      <c r="G607" s="44"/>
      <c r="H607" s="50"/>
      <c r="I607" s="50"/>
      <c r="K607" s="44"/>
      <c r="L607" s="50"/>
      <c r="N607" s="44"/>
      <c r="O607" s="50"/>
      <c r="P607" s="43" t="s">
        <v>39</v>
      </c>
    </row>
    <row r="608" spans="2:16">
      <c r="B608" s="43">
        <v>599</v>
      </c>
      <c r="C608" s="44"/>
      <c r="D608" s="50"/>
      <c r="E608" s="50"/>
      <c r="G608" s="44"/>
      <c r="H608" s="50"/>
      <c r="I608" s="50"/>
      <c r="K608" s="44"/>
      <c r="L608" s="50"/>
      <c r="N608" s="44"/>
      <c r="O608" s="50"/>
      <c r="P608" s="43" t="s">
        <v>39</v>
      </c>
    </row>
    <row r="609" spans="2:16">
      <c r="B609" s="43">
        <v>600</v>
      </c>
      <c r="C609" s="44"/>
      <c r="D609" s="50"/>
      <c r="E609" s="50"/>
      <c r="G609" s="44"/>
      <c r="H609" s="50"/>
      <c r="I609" s="50"/>
      <c r="K609" s="44"/>
      <c r="L609" s="50"/>
      <c r="N609" s="44"/>
      <c r="O609" s="50"/>
      <c r="P609" s="43" t="s">
        <v>39</v>
      </c>
    </row>
    <row r="610" spans="2:16">
      <c r="B610" s="43">
        <v>601</v>
      </c>
      <c r="C610" s="44"/>
      <c r="D610" s="50"/>
      <c r="E610" s="50"/>
      <c r="G610" s="44"/>
      <c r="H610" s="50"/>
      <c r="I610" s="50"/>
      <c r="K610" s="44"/>
      <c r="L610" s="50"/>
      <c r="N610" s="44"/>
      <c r="O610" s="50"/>
      <c r="P610" s="43" t="s">
        <v>39</v>
      </c>
    </row>
    <row r="611" spans="2:16">
      <c r="B611" s="43">
        <v>602</v>
      </c>
      <c r="C611" s="44"/>
      <c r="D611" s="50"/>
      <c r="E611" s="50"/>
      <c r="G611" s="44"/>
      <c r="H611" s="50"/>
      <c r="I611" s="50"/>
      <c r="K611" s="44"/>
      <c r="L611" s="50"/>
      <c r="N611" s="44"/>
      <c r="O611" s="50"/>
      <c r="P611" s="43" t="s">
        <v>39</v>
      </c>
    </row>
    <row r="612" spans="2:16">
      <c r="B612" s="43">
        <v>603</v>
      </c>
      <c r="C612" s="44"/>
      <c r="D612" s="50"/>
      <c r="E612" s="50"/>
      <c r="G612" s="44"/>
      <c r="H612" s="50"/>
      <c r="I612" s="50"/>
      <c r="K612" s="44"/>
      <c r="L612" s="50"/>
      <c r="N612" s="44"/>
      <c r="O612" s="50"/>
      <c r="P612" s="43" t="s">
        <v>39</v>
      </c>
    </row>
    <row r="613" spans="2:16">
      <c r="B613" s="43">
        <v>604</v>
      </c>
      <c r="C613" s="44"/>
      <c r="D613" s="50"/>
      <c r="E613" s="50"/>
      <c r="G613" s="44"/>
      <c r="H613" s="50"/>
      <c r="I613" s="50"/>
      <c r="K613" s="44"/>
      <c r="L613" s="50"/>
      <c r="N613" s="44"/>
      <c r="O613" s="50"/>
      <c r="P613" s="43" t="s">
        <v>39</v>
      </c>
    </row>
    <row r="614" spans="2:16">
      <c r="B614" s="43">
        <v>605</v>
      </c>
      <c r="C614" s="44"/>
      <c r="D614" s="50"/>
      <c r="E614" s="50"/>
      <c r="G614" s="44"/>
      <c r="H614" s="50"/>
      <c r="I614" s="50"/>
      <c r="K614" s="44"/>
      <c r="L614" s="50"/>
      <c r="N614" s="44"/>
      <c r="O614" s="50"/>
      <c r="P614" s="43" t="s">
        <v>39</v>
      </c>
    </row>
    <row r="615" spans="2:16">
      <c r="B615" s="43">
        <v>606</v>
      </c>
      <c r="C615" s="44"/>
      <c r="D615" s="50"/>
      <c r="E615" s="50"/>
      <c r="G615" s="44"/>
      <c r="H615" s="50"/>
      <c r="I615" s="50"/>
      <c r="K615" s="44"/>
      <c r="L615" s="50"/>
      <c r="N615" s="44"/>
      <c r="O615" s="50"/>
      <c r="P615" s="43" t="s">
        <v>39</v>
      </c>
    </row>
    <row r="616" spans="2:16">
      <c r="B616" s="43">
        <v>607</v>
      </c>
      <c r="C616" s="44"/>
      <c r="D616" s="50"/>
      <c r="E616" s="50"/>
      <c r="G616" s="44"/>
      <c r="H616" s="50"/>
      <c r="I616" s="50"/>
      <c r="K616" s="44"/>
      <c r="L616" s="50"/>
      <c r="N616" s="44"/>
      <c r="O616" s="50"/>
      <c r="P616" s="43" t="s">
        <v>39</v>
      </c>
    </row>
    <row r="617" spans="2:16">
      <c r="B617" s="43">
        <v>608</v>
      </c>
      <c r="C617" s="44"/>
      <c r="D617" s="50"/>
      <c r="E617" s="50"/>
      <c r="G617" s="44"/>
      <c r="H617" s="50"/>
      <c r="I617" s="50"/>
      <c r="K617" s="44"/>
      <c r="L617" s="50"/>
      <c r="N617" s="44"/>
      <c r="O617" s="50"/>
      <c r="P617" s="43" t="s">
        <v>39</v>
      </c>
    </row>
    <row r="618" spans="2:16">
      <c r="B618" s="43">
        <v>609</v>
      </c>
      <c r="C618" s="44"/>
      <c r="D618" s="50"/>
      <c r="E618" s="50"/>
      <c r="G618" s="44"/>
      <c r="H618" s="50"/>
      <c r="I618" s="50"/>
      <c r="K618" s="44"/>
      <c r="L618" s="50"/>
      <c r="N618" s="44"/>
      <c r="O618" s="50"/>
      <c r="P618" s="43" t="s">
        <v>39</v>
      </c>
    </row>
    <row r="619" spans="2:16">
      <c r="B619" s="43">
        <v>610</v>
      </c>
      <c r="C619" s="44"/>
      <c r="D619" s="50"/>
      <c r="E619" s="50"/>
      <c r="G619" s="44"/>
      <c r="H619" s="50"/>
      <c r="I619" s="50"/>
      <c r="K619" s="44"/>
      <c r="L619" s="50"/>
      <c r="N619" s="44"/>
      <c r="O619" s="50"/>
      <c r="P619" s="43" t="s">
        <v>39</v>
      </c>
    </row>
    <row r="620" spans="2:16">
      <c r="B620" s="43">
        <v>611</v>
      </c>
      <c r="C620" s="44"/>
      <c r="D620" s="50"/>
      <c r="E620" s="50"/>
      <c r="G620" s="44"/>
      <c r="H620" s="50"/>
      <c r="I620" s="50"/>
      <c r="K620" s="44"/>
      <c r="L620" s="50"/>
      <c r="N620" s="44"/>
      <c r="O620" s="50"/>
      <c r="P620" s="43" t="s">
        <v>39</v>
      </c>
    </row>
    <row r="621" spans="2:16">
      <c r="B621" s="43">
        <v>612</v>
      </c>
      <c r="C621" s="44"/>
      <c r="D621" s="50"/>
      <c r="E621" s="50"/>
      <c r="G621" s="44"/>
      <c r="H621" s="50"/>
      <c r="I621" s="50"/>
      <c r="K621" s="44"/>
      <c r="L621" s="50"/>
      <c r="N621" s="44"/>
      <c r="O621" s="50"/>
      <c r="P621" s="43" t="s">
        <v>39</v>
      </c>
    </row>
    <row r="622" spans="2:16">
      <c r="B622" s="43">
        <v>613</v>
      </c>
      <c r="C622" s="44"/>
      <c r="D622" s="50"/>
      <c r="E622" s="50"/>
      <c r="G622" s="44"/>
      <c r="H622" s="50"/>
      <c r="I622" s="50"/>
      <c r="K622" s="44"/>
      <c r="L622" s="50"/>
      <c r="N622" s="44"/>
      <c r="O622" s="50"/>
      <c r="P622" s="43" t="s">
        <v>39</v>
      </c>
    </row>
    <row r="623" spans="2:16">
      <c r="B623" s="43">
        <v>614</v>
      </c>
      <c r="C623" s="44"/>
      <c r="D623" s="50"/>
      <c r="E623" s="50"/>
      <c r="G623" s="44"/>
      <c r="H623" s="50"/>
      <c r="I623" s="50"/>
      <c r="K623" s="44"/>
      <c r="L623" s="50"/>
      <c r="N623" s="44"/>
      <c r="O623" s="50"/>
      <c r="P623" s="43" t="s">
        <v>39</v>
      </c>
    </row>
    <row r="624" spans="2:16">
      <c r="B624" s="43">
        <v>615</v>
      </c>
      <c r="C624" s="44"/>
      <c r="D624" s="50"/>
      <c r="E624" s="50"/>
      <c r="G624" s="44"/>
      <c r="H624" s="50"/>
      <c r="I624" s="50"/>
      <c r="K624" s="44"/>
      <c r="L624" s="50"/>
      <c r="N624" s="44"/>
      <c r="O624" s="50"/>
      <c r="P624" s="43" t="s">
        <v>39</v>
      </c>
    </row>
    <row r="625" spans="2:16">
      <c r="B625" s="43">
        <v>616</v>
      </c>
      <c r="C625" s="44"/>
      <c r="D625" s="50"/>
      <c r="E625" s="50"/>
      <c r="G625" s="44"/>
      <c r="H625" s="50"/>
      <c r="I625" s="50"/>
      <c r="K625" s="44"/>
      <c r="L625" s="50"/>
      <c r="N625" s="44"/>
      <c r="O625" s="50"/>
      <c r="P625" s="43" t="s">
        <v>39</v>
      </c>
    </row>
    <row r="626" spans="2:16">
      <c r="B626" s="43">
        <v>617</v>
      </c>
      <c r="C626" s="44"/>
      <c r="D626" s="50"/>
      <c r="E626" s="50"/>
      <c r="G626" s="44"/>
      <c r="H626" s="50"/>
      <c r="I626" s="50"/>
      <c r="K626" s="44"/>
      <c r="L626" s="50"/>
      <c r="N626" s="44"/>
      <c r="O626" s="50"/>
      <c r="P626" s="43" t="s">
        <v>39</v>
      </c>
    </row>
    <row r="627" spans="2:16">
      <c r="B627" s="43">
        <v>618</v>
      </c>
      <c r="C627" s="44"/>
      <c r="D627" s="50"/>
      <c r="E627" s="50"/>
      <c r="G627" s="44"/>
      <c r="H627" s="50"/>
      <c r="I627" s="50"/>
      <c r="K627" s="44"/>
      <c r="L627" s="50"/>
      <c r="N627" s="44"/>
      <c r="O627" s="50"/>
      <c r="P627" s="43" t="s">
        <v>39</v>
      </c>
    </row>
    <row r="628" spans="2:16">
      <c r="B628" s="43">
        <v>619</v>
      </c>
      <c r="C628" s="44"/>
      <c r="D628" s="50"/>
      <c r="E628" s="50"/>
      <c r="G628" s="44"/>
      <c r="H628" s="50"/>
      <c r="I628" s="50"/>
      <c r="K628" s="44"/>
      <c r="L628" s="50"/>
      <c r="N628" s="44"/>
      <c r="O628" s="50"/>
      <c r="P628" s="43" t="s">
        <v>39</v>
      </c>
    </row>
    <row r="629" spans="2:16">
      <c r="B629" s="43">
        <v>620</v>
      </c>
      <c r="C629" s="44"/>
      <c r="D629" s="50"/>
      <c r="E629" s="50"/>
      <c r="G629" s="44"/>
      <c r="H629" s="50"/>
      <c r="I629" s="50"/>
      <c r="K629" s="44"/>
      <c r="L629" s="50"/>
      <c r="N629" s="44"/>
      <c r="O629" s="50"/>
      <c r="P629" s="43" t="s">
        <v>39</v>
      </c>
    </row>
    <row r="630" spans="2:16">
      <c r="B630" s="43">
        <v>621</v>
      </c>
      <c r="C630" s="44"/>
      <c r="D630" s="50"/>
      <c r="E630" s="50"/>
      <c r="G630" s="44"/>
      <c r="H630" s="50"/>
      <c r="I630" s="50"/>
      <c r="K630" s="44"/>
      <c r="L630" s="50"/>
      <c r="N630" s="44"/>
      <c r="O630" s="50"/>
      <c r="P630" s="43" t="s">
        <v>39</v>
      </c>
    </row>
    <row r="631" spans="2:16">
      <c r="B631" s="43">
        <v>622</v>
      </c>
      <c r="C631" s="44"/>
      <c r="D631" s="50"/>
      <c r="E631" s="50"/>
      <c r="G631" s="44"/>
      <c r="H631" s="50"/>
      <c r="I631" s="50"/>
      <c r="K631" s="44"/>
      <c r="L631" s="50"/>
      <c r="N631" s="44"/>
      <c r="O631" s="50"/>
      <c r="P631" s="43" t="s">
        <v>39</v>
      </c>
    </row>
    <row r="632" spans="2:16">
      <c r="B632" s="43">
        <v>623</v>
      </c>
      <c r="C632" s="44"/>
      <c r="D632" s="50"/>
      <c r="E632" s="50"/>
      <c r="G632" s="44"/>
      <c r="H632" s="50"/>
      <c r="I632" s="50"/>
      <c r="K632" s="44"/>
      <c r="L632" s="50"/>
      <c r="N632" s="44"/>
      <c r="O632" s="50"/>
      <c r="P632" s="43" t="s">
        <v>39</v>
      </c>
    </row>
    <row r="633" spans="2:16">
      <c r="B633" s="43">
        <v>624</v>
      </c>
      <c r="C633" s="44"/>
      <c r="D633" s="50"/>
      <c r="E633" s="50"/>
      <c r="G633" s="44"/>
      <c r="H633" s="50"/>
      <c r="I633" s="50"/>
      <c r="K633" s="44"/>
      <c r="L633" s="50"/>
      <c r="N633" s="44"/>
      <c r="O633" s="50"/>
      <c r="P633" s="43" t="s">
        <v>39</v>
      </c>
    </row>
    <row r="634" spans="2:16">
      <c r="B634" s="43">
        <v>625</v>
      </c>
      <c r="C634" s="44"/>
      <c r="D634" s="50"/>
      <c r="E634" s="50"/>
      <c r="G634" s="44"/>
      <c r="H634" s="50"/>
      <c r="I634" s="50"/>
      <c r="K634" s="44"/>
      <c r="L634" s="50"/>
      <c r="N634" s="44"/>
      <c r="O634" s="50"/>
      <c r="P634" s="43" t="s">
        <v>39</v>
      </c>
    </row>
    <row r="635" spans="2:16">
      <c r="B635" s="43">
        <v>626</v>
      </c>
      <c r="C635" s="44"/>
      <c r="D635" s="50"/>
      <c r="E635" s="50"/>
      <c r="G635" s="44"/>
      <c r="H635" s="50"/>
      <c r="I635" s="50"/>
      <c r="K635" s="44"/>
      <c r="L635" s="50"/>
      <c r="N635" s="44"/>
      <c r="O635" s="50"/>
      <c r="P635" s="43" t="s">
        <v>39</v>
      </c>
    </row>
    <row r="636" spans="2:16">
      <c r="B636" s="43">
        <v>627</v>
      </c>
      <c r="C636" s="44"/>
      <c r="D636" s="50"/>
      <c r="E636" s="50"/>
      <c r="G636" s="44"/>
      <c r="H636" s="50"/>
      <c r="I636" s="50"/>
      <c r="K636" s="44"/>
      <c r="L636" s="50"/>
      <c r="N636" s="44"/>
      <c r="O636" s="50"/>
      <c r="P636" s="43" t="s">
        <v>39</v>
      </c>
    </row>
    <row r="637" spans="2:16">
      <c r="B637" s="43">
        <v>628</v>
      </c>
      <c r="C637" s="44"/>
      <c r="D637" s="50"/>
      <c r="E637" s="50"/>
      <c r="G637" s="44"/>
      <c r="H637" s="50"/>
      <c r="I637" s="50"/>
      <c r="K637" s="44"/>
      <c r="L637" s="50"/>
      <c r="N637" s="44"/>
      <c r="O637" s="50"/>
      <c r="P637" s="43" t="s">
        <v>39</v>
      </c>
    </row>
    <row r="638" spans="2:16">
      <c r="B638" s="43">
        <v>629</v>
      </c>
      <c r="C638" s="44"/>
      <c r="D638" s="50"/>
      <c r="E638" s="50"/>
      <c r="G638" s="44"/>
      <c r="H638" s="50"/>
      <c r="I638" s="50"/>
      <c r="K638" s="44"/>
      <c r="L638" s="50"/>
      <c r="N638" s="44"/>
      <c r="O638" s="50"/>
      <c r="P638" s="43" t="s">
        <v>39</v>
      </c>
    </row>
    <row r="639" spans="2:16">
      <c r="B639" s="43">
        <v>630</v>
      </c>
      <c r="C639" s="44"/>
      <c r="D639" s="50"/>
      <c r="E639" s="50"/>
      <c r="G639" s="44"/>
      <c r="H639" s="50"/>
      <c r="I639" s="50"/>
      <c r="K639" s="44"/>
      <c r="L639" s="50"/>
      <c r="N639" s="44"/>
      <c r="O639" s="50"/>
      <c r="P639" s="43" t="s">
        <v>39</v>
      </c>
    </row>
    <row r="640" spans="2:16">
      <c r="B640" s="43">
        <v>631</v>
      </c>
      <c r="C640" s="44"/>
      <c r="D640" s="50"/>
      <c r="E640" s="50"/>
      <c r="G640" s="44"/>
      <c r="H640" s="50"/>
      <c r="I640" s="50"/>
      <c r="K640" s="44"/>
      <c r="L640" s="50"/>
      <c r="N640" s="44"/>
      <c r="O640" s="50"/>
      <c r="P640" s="43" t="s">
        <v>39</v>
      </c>
    </row>
    <row r="641" spans="2:16">
      <c r="B641" s="43">
        <v>632</v>
      </c>
      <c r="C641" s="44"/>
      <c r="D641" s="50"/>
      <c r="E641" s="50"/>
      <c r="G641" s="44"/>
      <c r="H641" s="50"/>
      <c r="I641" s="50"/>
      <c r="K641" s="44"/>
      <c r="L641" s="50"/>
      <c r="N641" s="44"/>
      <c r="O641" s="50"/>
      <c r="P641" s="43" t="s">
        <v>39</v>
      </c>
    </row>
    <row r="642" spans="2:16">
      <c r="B642" s="43">
        <v>633</v>
      </c>
      <c r="C642" s="44"/>
      <c r="D642" s="50"/>
      <c r="E642" s="50"/>
      <c r="G642" s="44"/>
      <c r="H642" s="50"/>
      <c r="I642" s="50"/>
      <c r="K642" s="44"/>
      <c r="L642" s="50"/>
      <c r="N642" s="44"/>
      <c r="O642" s="50"/>
      <c r="P642" s="43" t="s">
        <v>39</v>
      </c>
    </row>
    <row r="643" spans="2:16">
      <c r="B643" s="43">
        <v>634</v>
      </c>
      <c r="C643" s="44"/>
      <c r="D643" s="50"/>
      <c r="E643" s="50"/>
      <c r="G643" s="44"/>
      <c r="H643" s="50"/>
      <c r="I643" s="50"/>
      <c r="K643" s="44"/>
      <c r="L643" s="50"/>
      <c r="N643" s="44"/>
      <c r="O643" s="50"/>
      <c r="P643" s="43" t="s">
        <v>39</v>
      </c>
    </row>
    <row r="644" spans="2:16">
      <c r="B644" s="43">
        <v>635</v>
      </c>
      <c r="C644" s="44"/>
      <c r="D644" s="50"/>
      <c r="E644" s="50"/>
      <c r="G644" s="44"/>
      <c r="H644" s="50"/>
      <c r="I644" s="50"/>
      <c r="K644" s="44"/>
      <c r="L644" s="50"/>
      <c r="N644" s="44"/>
      <c r="O644" s="50"/>
      <c r="P644" s="43" t="s">
        <v>39</v>
      </c>
    </row>
    <row r="645" spans="2:16">
      <c r="B645" s="43">
        <v>636</v>
      </c>
      <c r="C645" s="44"/>
      <c r="D645" s="50"/>
      <c r="E645" s="50"/>
      <c r="G645" s="44"/>
      <c r="H645" s="50"/>
      <c r="I645" s="50"/>
      <c r="K645" s="44"/>
      <c r="L645" s="50"/>
      <c r="N645" s="44"/>
      <c r="O645" s="50"/>
      <c r="P645" s="43" t="s">
        <v>39</v>
      </c>
    </row>
    <row r="646" spans="2:16">
      <c r="B646" s="43">
        <v>637</v>
      </c>
      <c r="C646" s="44"/>
      <c r="D646" s="50"/>
      <c r="E646" s="50"/>
      <c r="G646" s="44"/>
      <c r="H646" s="50"/>
      <c r="I646" s="50"/>
      <c r="K646" s="44"/>
      <c r="L646" s="50"/>
      <c r="N646" s="44"/>
      <c r="O646" s="50"/>
      <c r="P646" s="43" t="s">
        <v>39</v>
      </c>
    </row>
    <row r="647" spans="2:16">
      <c r="B647" s="43">
        <v>638</v>
      </c>
      <c r="C647" s="44"/>
      <c r="D647" s="50"/>
      <c r="E647" s="50"/>
      <c r="G647" s="44"/>
      <c r="H647" s="50"/>
      <c r="I647" s="50"/>
      <c r="K647" s="44"/>
      <c r="L647" s="50"/>
      <c r="N647" s="44"/>
      <c r="O647" s="50"/>
      <c r="P647" s="43" t="s">
        <v>39</v>
      </c>
    </row>
    <row r="648" spans="2:16">
      <c r="B648" s="43">
        <v>639</v>
      </c>
      <c r="C648" s="44"/>
      <c r="D648" s="50"/>
      <c r="E648" s="50"/>
      <c r="G648" s="44"/>
      <c r="H648" s="50"/>
      <c r="I648" s="50"/>
      <c r="K648" s="44"/>
      <c r="L648" s="50"/>
      <c r="N648" s="44"/>
      <c r="O648" s="50"/>
      <c r="P648" s="43" t="s">
        <v>39</v>
      </c>
    </row>
    <row r="649" spans="2:16">
      <c r="B649" s="43">
        <v>640</v>
      </c>
      <c r="C649" s="44"/>
      <c r="D649" s="50"/>
      <c r="E649" s="50"/>
      <c r="G649" s="44"/>
      <c r="H649" s="50"/>
      <c r="I649" s="50"/>
      <c r="K649" s="44"/>
      <c r="L649" s="50"/>
      <c r="N649" s="44"/>
      <c r="O649" s="50"/>
      <c r="P649" s="43" t="s">
        <v>39</v>
      </c>
    </row>
    <row r="650" spans="2:16">
      <c r="B650" s="43">
        <v>641</v>
      </c>
      <c r="C650" s="44"/>
      <c r="D650" s="50"/>
      <c r="E650" s="50"/>
      <c r="G650" s="44"/>
      <c r="H650" s="50"/>
      <c r="I650" s="50"/>
      <c r="K650" s="44"/>
      <c r="L650" s="50"/>
      <c r="N650" s="44"/>
      <c r="O650" s="50"/>
      <c r="P650" s="43" t="s">
        <v>39</v>
      </c>
    </row>
    <row r="651" spans="2:16">
      <c r="B651" s="43">
        <v>642</v>
      </c>
      <c r="C651" s="44"/>
      <c r="D651" s="50"/>
      <c r="E651" s="50"/>
      <c r="G651" s="44"/>
      <c r="H651" s="50"/>
      <c r="I651" s="50"/>
      <c r="K651" s="44"/>
      <c r="L651" s="50"/>
      <c r="N651" s="44"/>
      <c r="O651" s="50"/>
      <c r="P651" s="43" t="s">
        <v>39</v>
      </c>
    </row>
    <row r="652" spans="2:16">
      <c r="B652" s="43">
        <v>643</v>
      </c>
      <c r="C652" s="44"/>
      <c r="D652" s="50"/>
      <c r="E652" s="50"/>
      <c r="G652" s="44"/>
      <c r="H652" s="50"/>
      <c r="I652" s="50"/>
      <c r="K652" s="44"/>
      <c r="L652" s="50"/>
      <c r="N652" s="44"/>
      <c r="O652" s="50"/>
      <c r="P652" s="43" t="s">
        <v>39</v>
      </c>
    </row>
    <row r="653" spans="2:16">
      <c r="B653" s="43">
        <v>644</v>
      </c>
      <c r="C653" s="44"/>
      <c r="D653" s="50"/>
      <c r="E653" s="50"/>
      <c r="G653" s="44"/>
      <c r="H653" s="50"/>
      <c r="I653" s="50"/>
      <c r="K653" s="44"/>
      <c r="L653" s="50"/>
      <c r="N653" s="44"/>
      <c r="O653" s="50"/>
      <c r="P653" s="43" t="s">
        <v>39</v>
      </c>
    </row>
    <row r="654" spans="2:16">
      <c r="B654" s="43">
        <v>645</v>
      </c>
      <c r="C654" s="44"/>
      <c r="D654" s="50"/>
      <c r="E654" s="50"/>
      <c r="G654" s="44"/>
      <c r="H654" s="50"/>
      <c r="I654" s="50"/>
      <c r="K654" s="44"/>
      <c r="L654" s="50"/>
      <c r="N654" s="44"/>
      <c r="O654" s="50"/>
      <c r="P654" s="43" t="s">
        <v>39</v>
      </c>
    </row>
    <row r="655" spans="2:16">
      <c r="B655" s="43">
        <v>646</v>
      </c>
      <c r="C655" s="44"/>
      <c r="D655" s="50"/>
      <c r="E655" s="50"/>
      <c r="G655" s="44"/>
      <c r="H655" s="50"/>
      <c r="I655" s="50"/>
      <c r="K655" s="44"/>
      <c r="L655" s="50"/>
      <c r="N655" s="44"/>
      <c r="O655" s="50"/>
      <c r="P655" s="43" t="s">
        <v>39</v>
      </c>
    </row>
    <row r="656" spans="2:16">
      <c r="B656" s="43">
        <v>647</v>
      </c>
      <c r="C656" s="44"/>
      <c r="D656" s="50"/>
      <c r="E656" s="50"/>
      <c r="G656" s="44"/>
      <c r="H656" s="50"/>
      <c r="I656" s="50"/>
      <c r="K656" s="44"/>
      <c r="L656" s="50"/>
      <c r="N656" s="44"/>
      <c r="O656" s="50"/>
      <c r="P656" s="43" t="s">
        <v>39</v>
      </c>
    </row>
    <row r="657" spans="2:16">
      <c r="B657" s="43">
        <v>648</v>
      </c>
      <c r="C657" s="44"/>
      <c r="D657" s="50"/>
      <c r="E657" s="50"/>
      <c r="G657" s="44"/>
      <c r="H657" s="50"/>
      <c r="I657" s="50"/>
      <c r="K657" s="44"/>
      <c r="L657" s="50"/>
      <c r="N657" s="44"/>
      <c r="O657" s="50"/>
      <c r="P657" s="43" t="s">
        <v>39</v>
      </c>
    </row>
    <row r="658" spans="2:16">
      <c r="B658" s="43">
        <v>649</v>
      </c>
      <c r="C658" s="44"/>
      <c r="D658" s="50"/>
      <c r="E658" s="50"/>
      <c r="G658" s="44"/>
      <c r="H658" s="50"/>
      <c r="I658" s="50"/>
      <c r="K658" s="44"/>
      <c r="L658" s="50"/>
      <c r="N658" s="44"/>
      <c r="O658" s="50"/>
      <c r="P658" s="43" t="s">
        <v>39</v>
      </c>
    </row>
    <row r="659" spans="2:16">
      <c r="B659" s="43">
        <v>650</v>
      </c>
      <c r="C659" s="44"/>
      <c r="D659" s="50"/>
      <c r="E659" s="50"/>
      <c r="G659" s="44"/>
      <c r="H659" s="50"/>
      <c r="I659" s="50"/>
      <c r="K659" s="44"/>
      <c r="L659" s="50"/>
      <c r="N659" s="44"/>
      <c r="O659" s="50"/>
      <c r="P659" s="43" t="s">
        <v>39</v>
      </c>
    </row>
    <row r="660" spans="2:16">
      <c r="B660" s="43">
        <v>651</v>
      </c>
      <c r="C660" s="44"/>
      <c r="D660" s="50"/>
      <c r="E660" s="50"/>
      <c r="G660" s="44"/>
      <c r="H660" s="50"/>
      <c r="I660" s="50"/>
      <c r="K660" s="44"/>
      <c r="L660" s="50"/>
      <c r="N660" s="44"/>
      <c r="O660" s="50"/>
      <c r="P660" s="43" t="s">
        <v>39</v>
      </c>
    </row>
    <row r="661" spans="2:16">
      <c r="B661" s="43">
        <v>652</v>
      </c>
      <c r="C661" s="44"/>
      <c r="D661" s="50"/>
      <c r="E661" s="50"/>
      <c r="G661" s="44"/>
      <c r="H661" s="50"/>
      <c r="I661" s="50"/>
      <c r="K661" s="44"/>
      <c r="L661" s="50"/>
      <c r="N661" s="44"/>
      <c r="O661" s="50"/>
      <c r="P661" s="43" t="s">
        <v>39</v>
      </c>
    </row>
    <row r="662" spans="2:16">
      <c r="B662" s="43">
        <v>653</v>
      </c>
      <c r="C662" s="44"/>
      <c r="D662" s="50"/>
      <c r="E662" s="50"/>
      <c r="G662" s="44"/>
      <c r="H662" s="50"/>
      <c r="I662" s="50"/>
      <c r="K662" s="44"/>
      <c r="L662" s="50"/>
      <c r="N662" s="44"/>
      <c r="O662" s="50"/>
      <c r="P662" s="43" t="s">
        <v>39</v>
      </c>
    </row>
    <row r="663" spans="2:16">
      <c r="B663" s="43">
        <v>654</v>
      </c>
      <c r="C663" s="44"/>
      <c r="D663" s="50"/>
      <c r="E663" s="50"/>
      <c r="G663" s="44"/>
      <c r="H663" s="50"/>
      <c r="I663" s="50"/>
      <c r="K663" s="44"/>
      <c r="L663" s="50"/>
      <c r="N663" s="44"/>
      <c r="O663" s="50"/>
      <c r="P663" s="43" t="s">
        <v>39</v>
      </c>
    </row>
    <row r="664" spans="2:16">
      <c r="B664" s="43">
        <v>655</v>
      </c>
      <c r="C664" s="44"/>
      <c r="D664" s="50"/>
      <c r="E664" s="50"/>
      <c r="G664" s="44"/>
      <c r="H664" s="50"/>
      <c r="I664" s="50"/>
      <c r="K664" s="44"/>
      <c r="L664" s="50"/>
      <c r="N664" s="44"/>
      <c r="O664" s="50"/>
      <c r="P664" s="43" t="s">
        <v>39</v>
      </c>
    </row>
    <row r="665" spans="2:16">
      <c r="B665" s="43">
        <v>656</v>
      </c>
      <c r="C665" s="44"/>
      <c r="D665" s="50"/>
      <c r="E665" s="50"/>
      <c r="G665" s="44"/>
      <c r="H665" s="50"/>
      <c r="I665" s="50"/>
      <c r="K665" s="44"/>
      <c r="L665" s="50"/>
      <c r="N665" s="44"/>
      <c r="O665" s="50"/>
      <c r="P665" s="43" t="s">
        <v>39</v>
      </c>
    </row>
    <row r="666" spans="2:16">
      <c r="B666" s="43">
        <v>657</v>
      </c>
      <c r="C666" s="44"/>
      <c r="D666" s="50"/>
      <c r="E666" s="50"/>
      <c r="G666" s="44"/>
      <c r="H666" s="50"/>
      <c r="I666" s="50"/>
      <c r="K666" s="44"/>
      <c r="L666" s="50"/>
      <c r="N666" s="44"/>
      <c r="O666" s="50"/>
      <c r="P666" s="43" t="s">
        <v>39</v>
      </c>
    </row>
    <row r="667" spans="2:16">
      <c r="B667" s="43">
        <v>658</v>
      </c>
      <c r="C667" s="44"/>
      <c r="D667" s="50"/>
      <c r="E667" s="50"/>
      <c r="G667" s="44"/>
      <c r="H667" s="50"/>
      <c r="I667" s="50"/>
      <c r="K667" s="44"/>
      <c r="L667" s="50"/>
      <c r="N667" s="44"/>
      <c r="O667" s="50"/>
      <c r="P667" s="43" t="s">
        <v>39</v>
      </c>
    </row>
    <row r="668" spans="2:16">
      <c r="B668" s="43">
        <v>659</v>
      </c>
      <c r="C668" s="44"/>
      <c r="D668" s="50"/>
      <c r="E668" s="50"/>
      <c r="G668" s="44"/>
      <c r="H668" s="50"/>
      <c r="I668" s="50"/>
      <c r="K668" s="44"/>
      <c r="L668" s="50"/>
      <c r="N668" s="44"/>
      <c r="O668" s="50"/>
      <c r="P668" s="43" t="s">
        <v>39</v>
      </c>
    </row>
    <row r="669" spans="2:16">
      <c r="B669" s="43">
        <v>660</v>
      </c>
      <c r="C669" s="44"/>
      <c r="D669" s="50"/>
      <c r="E669" s="50"/>
      <c r="G669" s="44"/>
      <c r="H669" s="50"/>
      <c r="I669" s="50"/>
      <c r="K669" s="44"/>
      <c r="L669" s="50"/>
      <c r="N669" s="44"/>
      <c r="O669" s="50"/>
      <c r="P669" s="43" t="s">
        <v>39</v>
      </c>
    </row>
    <row r="670" spans="2:16">
      <c r="B670" s="43">
        <v>661</v>
      </c>
      <c r="C670" s="44"/>
      <c r="D670" s="50"/>
      <c r="E670" s="50"/>
      <c r="G670" s="44"/>
      <c r="H670" s="50"/>
      <c r="I670" s="50"/>
      <c r="K670" s="44"/>
      <c r="L670" s="50"/>
      <c r="N670" s="44"/>
      <c r="O670" s="50"/>
      <c r="P670" s="43" t="s">
        <v>39</v>
      </c>
    </row>
    <row r="671" spans="2:16">
      <c r="B671" s="43">
        <v>662</v>
      </c>
      <c r="C671" s="44"/>
      <c r="D671" s="50"/>
      <c r="E671" s="50"/>
      <c r="G671" s="44"/>
      <c r="H671" s="50"/>
      <c r="I671" s="50"/>
      <c r="K671" s="44"/>
      <c r="L671" s="50"/>
      <c r="N671" s="44"/>
      <c r="O671" s="50"/>
      <c r="P671" s="43" t="s">
        <v>39</v>
      </c>
    </row>
    <row r="672" spans="2:16">
      <c r="B672" s="43">
        <v>663</v>
      </c>
      <c r="C672" s="44"/>
      <c r="D672" s="50"/>
      <c r="E672" s="50"/>
      <c r="G672" s="44"/>
      <c r="H672" s="50"/>
      <c r="I672" s="50"/>
      <c r="K672" s="44"/>
      <c r="L672" s="50"/>
      <c r="N672" s="44"/>
      <c r="O672" s="50"/>
      <c r="P672" s="43" t="s">
        <v>39</v>
      </c>
    </row>
    <row r="673" spans="2:16">
      <c r="B673" s="43">
        <v>664</v>
      </c>
      <c r="C673" s="44"/>
      <c r="D673" s="50"/>
      <c r="E673" s="50"/>
      <c r="G673" s="44"/>
      <c r="H673" s="50"/>
      <c r="I673" s="50"/>
      <c r="K673" s="44"/>
      <c r="L673" s="50"/>
      <c r="N673" s="44"/>
      <c r="O673" s="50"/>
      <c r="P673" s="43" t="s">
        <v>39</v>
      </c>
    </row>
    <row r="674" spans="2:16">
      <c r="B674" s="43">
        <v>665</v>
      </c>
      <c r="C674" s="44"/>
      <c r="D674" s="50"/>
      <c r="E674" s="50"/>
      <c r="G674" s="44"/>
      <c r="H674" s="50"/>
      <c r="I674" s="50"/>
      <c r="K674" s="44"/>
      <c r="L674" s="50"/>
      <c r="N674" s="44"/>
      <c r="O674" s="50"/>
      <c r="P674" s="43" t="s">
        <v>39</v>
      </c>
    </row>
    <row r="675" spans="2:16">
      <c r="B675" s="43">
        <v>666</v>
      </c>
      <c r="C675" s="44"/>
      <c r="D675" s="50"/>
      <c r="E675" s="50"/>
      <c r="G675" s="44"/>
      <c r="H675" s="50"/>
      <c r="I675" s="50"/>
      <c r="K675" s="44"/>
      <c r="L675" s="50"/>
      <c r="N675" s="44"/>
      <c r="O675" s="50"/>
      <c r="P675" s="43" t="s">
        <v>39</v>
      </c>
    </row>
    <row r="676" spans="2:16">
      <c r="B676" s="43">
        <v>667</v>
      </c>
      <c r="C676" s="44"/>
      <c r="D676" s="50"/>
      <c r="E676" s="50"/>
      <c r="G676" s="44"/>
      <c r="H676" s="50"/>
      <c r="I676" s="50"/>
      <c r="K676" s="44"/>
      <c r="L676" s="50"/>
      <c r="N676" s="44"/>
      <c r="O676" s="50"/>
      <c r="P676" s="43" t="s">
        <v>39</v>
      </c>
    </row>
    <row r="677" spans="2:16">
      <c r="B677" s="43">
        <v>668</v>
      </c>
      <c r="C677" s="44"/>
      <c r="D677" s="50"/>
      <c r="E677" s="50"/>
      <c r="G677" s="44"/>
      <c r="H677" s="50"/>
      <c r="I677" s="50"/>
      <c r="K677" s="44"/>
      <c r="L677" s="50"/>
      <c r="N677" s="44"/>
      <c r="O677" s="50"/>
      <c r="P677" s="43" t="s">
        <v>39</v>
      </c>
    </row>
    <row r="678" spans="2:16">
      <c r="B678" s="43">
        <v>669</v>
      </c>
      <c r="C678" s="44"/>
      <c r="D678" s="50"/>
      <c r="E678" s="50"/>
      <c r="G678" s="44"/>
      <c r="H678" s="50"/>
      <c r="I678" s="50"/>
      <c r="K678" s="44"/>
      <c r="L678" s="50"/>
      <c r="N678" s="44"/>
      <c r="O678" s="50"/>
      <c r="P678" s="43" t="s">
        <v>39</v>
      </c>
    </row>
    <row r="679" spans="2:16">
      <c r="B679" s="43">
        <v>670</v>
      </c>
      <c r="C679" s="44"/>
      <c r="D679" s="50"/>
      <c r="E679" s="50"/>
      <c r="G679" s="44"/>
      <c r="H679" s="50"/>
      <c r="I679" s="50"/>
      <c r="K679" s="44"/>
      <c r="L679" s="50"/>
      <c r="N679" s="44"/>
      <c r="O679" s="50"/>
      <c r="P679" s="43" t="s">
        <v>39</v>
      </c>
    </row>
    <row r="680" spans="2:16">
      <c r="B680" s="43">
        <v>671</v>
      </c>
      <c r="C680" s="44"/>
      <c r="D680" s="50"/>
      <c r="E680" s="50"/>
      <c r="G680" s="44"/>
      <c r="H680" s="50"/>
      <c r="I680" s="50"/>
      <c r="K680" s="44"/>
      <c r="L680" s="50"/>
      <c r="N680" s="44"/>
      <c r="O680" s="50"/>
      <c r="P680" s="43" t="s">
        <v>39</v>
      </c>
    </row>
    <row r="681" spans="2:16">
      <c r="B681" s="43">
        <v>672</v>
      </c>
      <c r="C681" s="44"/>
      <c r="D681" s="50"/>
      <c r="E681" s="50"/>
      <c r="G681" s="44"/>
      <c r="H681" s="50"/>
      <c r="I681" s="50"/>
      <c r="K681" s="44"/>
      <c r="L681" s="50"/>
      <c r="N681" s="44"/>
      <c r="O681" s="50"/>
      <c r="P681" s="43" t="s">
        <v>39</v>
      </c>
    </row>
    <row r="682" spans="2:16">
      <c r="B682" s="43">
        <v>673</v>
      </c>
      <c r="C682" s="44"/>
      <c r="D682" s="50"/>
      <c r="E682" s="50"/>
      <c r="G682" s="44"/>
      <c r="H682" s="50"/>
      <c r="I682" s="50"/>
      <c r="K682" s="44"/>
      <c r="L682" s="50"/>
      <c r="N682" s="44"/>
      <c r="O682" s="50"/>
      <c r="P682" s="43" t="s">
        <v>39</v>
      </c>
    </row>
    <row r="683" spans="2:16">
      <c r="B683" s="43">
        <v>674</v>
      </c>
      <c r="C683" s="44"/>
      <c r="D683" s="50"/>
      <c r="E683" s="50"/>
      <c r="G683" s="44"/>
      <c r="H683" s="50"/>
      <c r="I683" s="50"/>
      <c r="K683" s="44"/>
      <c r="L683" s="50"/>
      <c r="N683" s="44"/>
      <c r="O683" s="50"/>
      <c r="P683" s="43" t="s">
        <v>39</v>
      </c>
    </row>
    <row r="684" spans="2:16">
      <c r="B684" s="43">
        <v>675</v>
      </c>
      <c r="C684" s="44"/>
      <c r="D684" s="50"/>
      <c r="E684" s="50"/>
      <c r="G684" s="44"/>
      <c r="H684" s="50"/>
      <c r="I684" s="50"/>
      <c r="K684" s="44"/>
      <c r="L684" s="50"/>
      <c r="N684" s="44"/>
      <c r="O684" s="50"/>
      <c r="P684" s="43" t="s">
        <v>39</v>
      </c>
    </row>
    <row r="685" spans="2:16">
      <c r="B685" s="43">
        <v>676</v>
      </c>
      <c r="C685" s="44"/>
      <c r="D685" s="50"/>
      <c r="E685" s="50"/>
      <c r="G685" s="44"/>
      <c r="H685" s="50"/>
      <c r="I685" s="50"/>
      <c r="K685" s="44"/>
      <c r="L685" s="50"/>
      <c r="N685" s="44"/>
      <c r="O685" s="50"/>
      <c r="P685" s="43" t="s">
        <v>39</v>
      </c>
    </row>
    <row r="686" spans="2:16">
      <c r="B686" s="43">
        <v>677</v>
      </c>
      <c r="C686" s="44"/>
      <c r="D686" s="50"/>
      <c r="E686" s="50"/>
      <c r="G686" s="44"/>
      <c r="H686" s="50"/>
      <c r="I686" s="50"/>
      <c r="K686" s="44"/>
      <c r="L686" s="50"/>
      <c r="N686" s="44"/>
      <c r="O686" s="50"/>
      <c r="P686" s="43" t="s">
        <v>39</v>
      </c>
    </row>
    <row r="687" spans="2:16">
      <c r="B687" s="43">
        <v>678</v>
      </c>
      <c r="C687" s="44"/>
      <c r="D687" s="50"/>
      <c r="E687" s="50"/>
      <c r="G687" s="44"/>
      <c r="H687" s="50"/>
      <c r="I687" s="50"/>
      <c r="K687" s="44"/>
      <c r="L687" s="50"/>
      <c r="N687" s="44"/>
      <c r="O687" s="50"/>
      <c r="P687" s="43" t="s">
        <v>39</v>
      </c>
    </row>
    <row r="688" spans="2:16">
      <c r="B688" s="43">
        <v>679</v>
      </c>
      <c r="C688" s="44"/>
      <c r="D688" s="50"/>
      <c r="E688" s="50"/>
      <c r="G688" s="44"/>
      <c r="H688" s="50"/>
      <c r="I688" s="50"/>
      <c r="K688" s="44"/>
      <c r="L688" s="50"/>
      <c r="N688" s="44"/>
      <c r="O688" s="50"/>
      <c r="P688" s="43" t="s">
        <v>39</v>
      </c>
    </row>
    <row r="689" spans="2:16">
      <c r="B689" s="43">
        <v>680</v>
      </c>
      <c r="C689" s="44"/>
      <c r="D689" s="50"/>
      <c r="E689" s="50"/>
      <c r="G689" s="44"/>
      <c r="H689" s="50"/>
      <c r="I689" s="50"/>
      <c r="K689" s="44"/>
      <c r="L689" s="50"/>
      <c r="N689" s="44"/>
      <c r="O689" s="50"/>
      <c r="P689" s="43" t="s">
        <v>39</v>
      </c>
    </row>
    <row r="690" spans="2:16">
      <c r="B690" s="43">
        <v>681</v>
      </c>
      <c r="C690" s="44"/>
      <c r="D690" s="50"/>
      <c r="E690" s="50"/>
      <c r="G690" s="44"/>
      <c r="H690" s="50"/>
      <c r="I690" s="50"/>
      <c r="K690" s="44"/>
      <c r="L690" s="50"/>
      <c r="N690" s="44"/>
      <c r="O690" s="50"/>
      <c r="P690" s="43" t="s">
        <v>39</v>
      </c>
    </row>
    <row r="691" spans="2:16">
      <c r="B691" s="43">
        <v>682</v>
      </c>
      <c r="C691" s="44"/>
      <c r="D691" s="50"/>
      <c r="E691" s="50"/>
      <c r="G691" s="44"/>
      <c r="H691" s="50"/>
      <c r="I691" s="50"/>
      <c r="K691" s="44"/>
      <c r="L691" s="50"/>
      <c r="N691" s="44"/>
      <c r="O691" s="50"/>
      <c r="P691" s="43" t="s">
        <v>39</v>
      </c>
    </row>
    <row r="692" spans="2:16">
      <c r="B692" s="43">
        <v>683</v>
      </c>
      <c r="C692" s="44"/>
      <c r="D692" s="50"/>
      <c r="E692" s="50"/>
      <c r="G692" s="44"/>
      <c r="H692" s="50"/>
      <c r="I692" s="50"/>
      <c r="K692" s="44"/>
      <c r="L692" s="50"/>
      <c r="N692" s="44"/>
      <c r="O692" s="50"/>
      <c r="P692" s="43" t="s">
        <v>39</v>
      </c>
    </row>
    <row r="693" spans="2:16">
      <c r="B693" s="43">
        <v>684</v>
      </c>
      <c r="C693" s="44"/>
      <c r="D693" s="50"/>
      <c r="E693" s="50"/>
      <c r="G693" s="44"/>
      <c r="H693" s="50"/>
      <c r="I693" s="50"/>
      <c r="K693" s="44"/>
      <c r="L693" s="50"/>
      <c r="N693" s="44"/>
      <c r="O693" s="50"/>
      <c r="P693" s="43" t="s">
        <v>39</v>
      </c>
    </row>
    <row r="694" spans="2:16">
      <c r="B694" s="43">
        <v>685</v>
      </c>
      <c r="C694" s="44"/>
      <c r="D694" s="50"/>
      <c r="E694" s="50"/>
      <c r="G694" s="44"/>
      <c r="H694" s="50"/>
      <c r="I694" s="50"/>
      <c r="K694" s="44"/>
      <c r="L694" s="50"/>
      <c r="N694" s="44"/>
      <c r="O694" s="50"/>
      <c r="P694" s="43" t="s">
        <v>39</v>
      </c>
    </row>
    <row r="695" spans="2:16">
      <c r="B695" s="43">
        <v>686</v>
      </c>
      <c r="C695" s="44"/>
      <c r="D695" s="50"/>
      <c r="E695" s="50"/>
      <c r="G695" s="44"/>
      <c r="H695" s="50"/>
      <c r="I695" s="50"/>
      <c r="K695" s="44"/>
      <c r="L695" s="50"/>
      <c r="N695" s="44"/>
      <c r="O695" s="50"/>
      <c r="P695" s="43" t="s">
        <v>39</v>
      </c>
    </row>
    <row r="696" spans="2:16">
      <c r="B696" s="43">
        <v>687</v>
      </c>
      <c r="C696" s="44"/>
      <c r="D696" s="50"/>
      <c r="E696" s="50"/>
      <c r="G696" s="44"/>
      <c r="H696" s="50"/>
      <c r="I696" s="50"/>
      <c r="K696" s="44"/>
      <c r="L696" s="50"/>
      <c r="N696" s="44"/>
      <c r="O696" s="50"/>
      <c r="P696" s="43" t="s">
        <v>39</v>
      </c>
    </row>
    <row r="697" spans="2:16">
      <c r="B697" s="43">
        <v>688</v>
      </c>
      <c r="C697" s="44"/>
      <c r="D697" s="50"/>
      <c r="E697" s="50"/>
      <c r="G697" s="44"/>
      <c r="H697" s="50"/>
      <c r="I697" s="50"/>
      <c r="K697" s="44"/>
      <c r="L697" s="50"/>
      <c r="N697" s="44"/>
      <c r="O697" s="50"/>
      <c r="P697" s="43" t="s">
        <v>39</v>
      </c>
    </row>
    <row r="698" spans="2:16">
      <c r="B698" s="43">
        <v>689</v>
      </c>
      <c r="C698" s="44"/>
      <c r="D698" s="50"/>
      <c r="E698" s="50"/>
      <c r="G698" s="44"/>
      <c r="H698" s="50"/>
      <c r="I698" s="50"/>
      <c r="K698" s="44"/>
      <c r="L698" s="50"/>
      <c r="N698" s="44"/>
      <c r="O698" s="50"/>
      <c r="P698" s="43" t="s">
        <v>39</v>
      </c>
    </row>
    <row r="699" spans="2:16">
      <c r="B699" s="43">
        <v>690</v>
      </c>
      <c r="C699" s="44"/>
      <c r="D699" s="50"/>
      <c r="E699" s="50"/>
      <c r="G699" s="44"/>
      <c r="H699" s="50"/>
      <c r="I699" s="50"/>
      <c r="K699" s="44"/>
      <c r="L699" s="50"/>
      <c r="N699" s="44"/>
      <c r="O699" s="50"/>
      <c r="P699" s="43" t="s">
        <v>39</v>
      </c>
    </row>
    <row r="700" spans="2:16">
      <c r="B700" s="43">
        <v>691</v>
      </c>
      <c r="C700" s="44"/>
      <c r="D700" s="50"/>
      <c r="E700" s="50"/>
      <c r="G700" s="44"/>
      <c r="H700" s="50"/>
      <c r="I700" s="50"/>
      <c r="K700" s="44"/>
      <c r="L700" s="50"/>
      <c r="N700" s="44"/>
      <c r="O700" s="50"/>
      <c r="P700" s="43" t="s">
        <v>39</v>
      </c>
    </row>
    <row r="701" spans="2:16">
      <c r="B701" s="43">
        <v>692</v>
      </c>
      <c r="C701" s="44"/>
      <c r="D701" s="50"/>
      <c r="E701" s="50"/>
      <c r="G701" s="44"/>
      <c r="H701" s="50"/>
      <c r="I701" s="50"/>
      <c r="K701" s="44"/>
      <c r="L701" s="50"/>
      <c r="N701" s="44"/>
      <c r="O701" s="50"/>
      <c r="P701" s="43" t="s">
        <v>39</v>
      </c>
    </row>
    <row r="702" spans="2:16">
      <c r="B702" s="43">
        <v>693</v>
      </c>
      <c r="C702" s="44"/>
      <c r="D702" s="50"/>
      <c r="E702" s="50"/>
      <c r="G702" s="44"/>
      <c r="H702" s="50"/>
      <c r="I702" s="50"/>
      <c r="K702" s="44"/>
      <c r="L702" s="50"/>
      <c r="N702" s="44"/>
      <c r="O702" s="50"/>
      <c r="P702" s="43" t="s">
        <v>39</v>
      </c>
    </row>
    <row r="703" spans="2:16">
      <c r="B703" s="43">
        <v>694</v>
      </c>
      <c r="C703" s="44"/>
      <c r="D703" s="50"/>
      <c r="E703" s="50"/>
      <c r="G703" s="44"/>
      <c r="H703" s="50"/>
      <c r="I703" s="50"/>
      <c r="K703" s="44"/>
      <c r="L703" s="50"/>
      <c r="N703" s="44"/>
      <c r="O703" s="50"/>
      <c r="P703" s="43" t="s">
        <v>39</v>
      </c>
    </row>
    <row r="704" spans="2:16">
      <c r="B704" s="43">
        <v>695</v>
      </c>
      <c r="C704" s="44"/>
      <c r="D704" s="50"/>
      <c r="E704" s="50"/>
      <c r="G704" s="44"/>
      <c r="H704" s="50"/>
      <c r="I704" s="50"/>
      <c r="K704" s="44"/>
      <c r="L704" s="50"/>
      <c r="N704" s="44"/>
      <c r="O704" s="50"/>
      <c r="P704" s="43" t="s">
        <v>39</v>
      </c>
    </row>
    <row r="705" spans="2:16">
      <c r="B705" s="43">
        <v>696</v>
      </c>
      <c r="C705" s="44"/>
      <c r="D705" s="50"/>
      <c r="E705" s="50"/>
      <c r="G705" s="44"/>
      <c r="H705" s="50"/>
      <c r="I705" s="50"/>
      <c r="K705" s="44"/>
      <c r="L705" s="50"/>
      <c r="N705" s="44"/>
      <c r="O705" s="50"/>
      <c r="P705" s="43" t="s">
        <v>39</v>
      </c>
    </row>
    <row r="706" spans="2:16">
      <c r="B706" s="43">
        <v>697</v>
      </c>
      <c r="C706" s="44"/>
      <c r="D706" s="50"/>
      <c r="E706" s="50"/>
      <c r="G706" s="44"/>
      <c r="H706" s="50"/>
      <c r="I706" s="50"/>
      <c r="K706" s="44"/>
      <c r="L706" s="50"/>
      <c r="N706" s="44"/>
      <c r="O706" s="50"/>
      <c r="P706" s="43" t="s">
        <v>39</v>
      </c>
    </row>
    <row r="707" spans="2:16">
      <c r="B707" s="43">
        <v>698</v>
      </c>
      <c r="C707" s="44"/>
      <c r="D707" s="50"/>
      <c r="E707" s="50"/>
      <c r="G707" s="44"/>
      <c r="H707" s="50"/>
      <c r="I707" s="50"/>
      <c r="K707" s="44"/>
      <c r="L707" s="50"/>
      <c r="N707" s="44"/>
      <c r="O707" s="50"/>
      <c r="P707" s="43" t="s">
        <v>39</v>
      </c>
    </row>
    <row r="708" spans="2:16">
      <c r="B708" s="43">
        <v>699</v>
      </c>
      <c r="C708" s="44"/>
      <c r="D708" s="50"/>
      <c r="E708" s="50"/>
      <c r="G708" s="44"/>
      <c r="H708" s="50"/>
      <c r="I708" s="50"/>
      <c r="K708" s="44"/>
      <c r="L708" s="50"/>
      <c r="N708" s="44"/>
      <c r="O708" s="50"/>
      <c r="P708" s="43" t="s">
        <v>39</v>
      </c>
    </row>
    <row r="709" spans="2:16">
      <c r="B709" s="43">
        <v>700</v>
      </c>
      <c r="C709" s="44"/>
      <c r="D709" s="50"/>
      <c r="E709" s="50"/>
      <c r="G709" s="44"/>
      <c r="H709" s="50"/>
      <c r="I709" s="50"/>
      <c r="K709" s="44"/>
      <c r="L709" s="50"/>
      <c r="N709" s="44"/>
      <c r="O709" s="50"/>
      <c r="P709" s="43" t="s">
        <v>39</v>
      </c>
    </row>
    <row r="710" spans="2:16">
      <c r="B710" s="43">
        <v>701</v>
      </c>
      <c r="C710" s="44"/>
      <c r="D710" s="50"/>
      <c r="E710" s="50"/>
      <c r="G710" s="44"/>
      <c r="H710" s="50"/>
      <c r="I710" s="50"/>
      <c r="K710" s="44"/>
      <c r="L710" s="50"/>
      <c r="N710" s="44"/>
      <c r="O710" s="50"/>
      <c r="P710" s="43" t="s">
        <v>39</v>
      </c>
    </row>
    <row r="711" spans="2:16">
      <c r="B711" s="43">
        <v>702</v>
      </c>
      <c r="C711" s="44"/>
      <c r="D711" s="50"/>
      <c r="E711" s="50"/>
      <c r="G711" s="44"/>
      <c r="H711" s="50"/>
      <c r="I711" s="50"/>
      <c r="K711" s="44"/>
      <c r="L711" s="50"/>
      <c r="N711" s="44"/>
      <c r="O711" s="50"/>
      <c r="P711" s="43" t="s">
        <v>39</v>
      </c>
    </row>
    <row r="712" spans="2:16">
      <c r="B712" s="43">
        <v>703</v>
      </c>
      <c r="C712" s="44"/>
      <c r="D712" s="50"/>
      <c r="E712" s="50"/>
      <c r="G712" s="44"/>
      <c r="H712" s="50"/>
      <c r="I712" s="50"/>
      <c r="K712" s="44"/>
      <c r="L712" s="50"/>
      <c r="N712" s="44"/>
      <c r="O712" s="50"/>
      <c r="P712" s="43" t="s">
        <v>39</v>
      </c>
    </row>
    <row r="713" spans="2:16">
      <c r="B713" s="43">
        <v>704</v>
      </c>
      <c r="C713" s="44"/>
      <c r="D713" s="50"/>
      <c r="E713" s="50"/>
      <c r="G713" s="44"/>
      <c r="H713" s="50"/>
      <c r="I713" s="50"/>
      <c r="K713" s="44"/>
      <c r="L713" s="50"/>
      <c r="N713" s="44"/>
      <c r="O713" s="50"/>
      <c r="P713" s="43" t="s">
        <v>39</v>
      </c>
    </row>
    <row r="714" spans="2:16">
      <c r="B714" s="43">
        <v>705</v>
      </c>
      <c r="C714" s="44"/>
      <c r="D714" s="50"/>
      <c r="E714" s="50"/>
      <c r="G714" s="44"/>
      <c r="H714" s="50"/>
      <c r="I714" s="50"/>
      <c r="K714" s="44"/>
      <c r="L714" s="50"/>
      <c r="N714" s="44"/>
      <c r="O714" s="50"/>
      <c r="P714" s="43" t="s">
        <v>39</v>
      </c>
    </row>
    <row r="715" spans="2:16">
      <c r="B715" s="43">
        <v>706</v>
      </c>
      <c r="C715" s="44"/>
      <c r="D715" s="50"/>
      <c r="E715" s="50"/>
      <c r="G715" s="44"/>
      <c r="H715" s="50"/>
      <c r="I715" s="50"/>
      <c r="K715" s="44"/>
      <c r="L715" s="50"/>
      <c r="N715" s="44"/>
      <c r="O715" s="50"/>
      <c r="P715" s="43" t="s">
        <v>39</v>
      </c>
    </row>
    <row r="716" spans="2:16">
      <c r="B716" s="43">
        <v>707</v>
      </c>
      <c r="C716" s="44"/>
      <c r="D716" s="50"/>
      <c r="E716" s="50"/>
      <c r="G716" s="44"/>
      <c r="H716" s="50"/>
      <c r="I716" s="50"/>
      <c r="K716" s="44"/>
      <c r="L716" s="50"/>
      <c r="N716" s="44"/>
      <c r="O716" s="50"/>
      <c r="P716" s="43" t="s">
        <v>39</v>
      </c>
    </row>
    <row r="717" spans="2:16">
      <c r="B717" s="43">
        <v>708</v>
      </c>
      <c r="C717" s="44"/>
      <c r="D717" s="50"/>
      <c r="E717" s="50"/>
      <c r="G717" s="44"/>
      <c r="H717" s="50"/>
      <c r="I717" s="50"/>
      <c r="K717" s="44"/>
      <c r="L717" s="50"/>
      <c r="N717" s="44"/>
      <c r="O717" s="50"/>
      <c r="P717" s="43" t="s">
        <v>39</v>
      </c>
    </row>
    <row r="718" spans="2:16">
      <c r="B718" s="43">
        <v>709</v>
      </c>
      <c r="C718" s="44"/>
      <c r="D718" s="50"/>
      <c r="E718" s="50"/>
      <c r="G718" s="44"/>
      <c r="H718" s="50"/>
      <c r="I718" s="50"/>
      <c r="K718" s="44"/>
      <c r="L718" s="50"/>
      <c r="N718" s="44"/>
      <c r="O718" s="50"/>
      <c r="P718" s="43" t="s">
        <v>39</v>
      </c>
    </row>
    <row r="719" spans="2:16">
      <c r="B719" s="43">
        <v>710</v>
      </c>
      <c r="C719" s="44"/>
      <c r="D719" s="50"/>
      <c r="E719" s="50"/>
      <c r="G719" s="44"/>
      <c r="H719" s="50"/>
      <c r="I719" s="50"/>
      <c r="K719" s="44"/>
      <c r="L719" s="50"/>
      <c r="N719" s="44"/>
      <c r="O719" s="50"/>
      <c r="P719" s="43" t="s">
        <v>39</v>
      </c>
    </row>
    <row r="720" spans="2:16">
      <c r="B720" s="43">
        <v>711</v>
      </c>
      <c r="C720" s="44"/>
      <c r="D720" s="50"/>
      <c r="E720" s="50"/>
      <c r="G720" s="44"/>
      <c r="H720" s="50"/>
      <c r="I720" s="50"/>
      <c r="K720" s="44"/>
      <c r="L720" s="50"/>
      <c r="N720" s="44"/>
      <c r="O720" s="50"/>
      <c r="P720" s="43" t="s">
        <v>39</v>
      </c>
    </row>
    <row r="721" spans="2:16">
      <c r="B721" s="43">
        <v>712</v>
      </c>
      <c r="C721" s="44"/>
      <c r="D721" s="50"/>
      <c r="E721" s="50"/>
      <c r="G721" s="44"/>
      <c r="H721" s="50"/>
      <c r="I721" s="50"/>
      <c r="K721" s="44"/>
      <c r="L721" s="50"/>
      <c r="N721" s="44"/>
      <c r="O721" s="50"/>
      <c r="P721" s="43" t="s">
        <v>39</v>
      </c>
    </row>
    <row r="722" spans="2:16">
      <c r="B722" s="43">
        <v>713</v>
      </c>
      <c r="C722" s="44"/>
      <c r="D722" s="50"/>
      <c r="E722" s="50"/>
      <c r="G722" s="44"/>
      <c r="H722" s="50"/>
      <c r="I722" s="50"/>
      <c r="K722" s="44"/>
      <c r="L722" s="50"/>
      <c r="N722" s="44"/>
      <c r="O722" s="50"/>
      <c r="P722" s="43" t="s">
        <v>39</v>
      </c>
    </row>
    <row r="723" spans="2:16">
      <c r="B723" s="43">
        <v>714</v>
      </c>
      <c r="C723" s="44"/>
      <c r="D723" s="50"/>
      <c r="E723" s="50"/>
      <c r="G723" s="44"/>
      <c r="H723" s="50"/>
      <c r="I723" s="50"/>
      <c r="K723" s="44"/>
      <c r="L723" s="50"/>
      <c r="N723" s="44"/>
      <c r="O723" s="50"/>
      <c r="P723" s="43" t="s">
        <v>39</v>
      </c>
    </row>
    <row r="724" spans="2:16">
      <c r="B724" s="43">
        <v>715</v>
      </c>
      <c r="C724" s="44"/>
      <c r="D724" s="50"/>
      <c r="E724" s="50"/>
      <c r="G724" s="44"/>
      <c r="H724" s="50"/>
      <c r="I724" s="50"/>
      <c r="K724" s="44"/>
      <c r="L724" s="50"/>
      <c r="N724" s="44"/>
      <c r="O724" s="50"/>
      <c r="P724" s="43" t="s">
        <v>39</v>
      </c>
    </row>
    <row r="725" spans="2:16">
      <c r="B725" s="43">
        <v>716</v>
      </c>
      <c r="C725" s="44"/>
      <c r="D725" s="50"/>
      <c r="E725" s="50"/>
      <c r="G725" s="44"/>
      <c r="H725" s="50"/>
      <c r="I725" s="50"/>
      <c r="K725" s="44"/>
      <c r="L725" s="50"/>
      <c r="N725" s="44"/>
      <c r="O725" s="50"/>
      <c r="P725" s="43" t="s">
        <v>39</v>
      </c>
    </row>
    <row r="726" spans="2:16">
      <c r="B726" s="43">
        <v>717</v>
      </c>
      <c r="C726" s="44"/>
      <c r="D726" s="50"/>
      <c r="E726" s="50"/>
      <c r="G726" s="44"/>
      <c r="H726" s="50"/>
      <c r="I726" s="50"/>
      <c r="K726" s="44"/>
      <c r="L726" s="50"/>
      <c r="N726" s="44"/>
      <c r="O726" s="50"/>
      <c r="P726" s="43" t="s">
        <v>39</v>
      </c>
    </row>
    <row r="727" spans="2:16">
      <c r="B727" s="43">
        <v>718</v>
      </c>
      <c r="C727" s="44"/>
      <c r="D727" s="50"/>
      <c r="E727" s="50"/>
      <c r="G727" s="44"/>
      <c r="H727" s="50"/>
      <c r="I727" s="50"/>
      <c r="K727" s="44"/>
      <c r="L727" s="50"/>
      <c r="N727" s="44"/>
      <c r="O727" s="50"/>
      <c r="P727" s="43" t="s">
        <v>39</v>
      </c>
    </row>
    <row r="728" spans="2:16">
      <c r="B728" s="43">
        <v>719</v>
      </c>
      <c r="C728" s="44"/>
      <c r="D728" s="50"/>
      <c r="E728" s="50"/>
      <c r="G728" s="44"/>
      <c r="H728" s="50"/>
      <c r="I728" s="50"/>
      <c r="K728" s="44"/>
      <c r="L728" s="50"/>
      <c r="N728" s="44"/>
      <c r="O728" s="50"/>
      <c r="P728" s="43" t="s">
        <v>39</v>
      </c>
    </row>
    <row r="729" spans="2:16">
      <c r="B729" s="43">
        <v>720</v>
      </c>
      <c r="C729" s="44"/>
      <c r="D729" s="50"/>
      <c r="E729" s="50"/>
      <c r="G729" s="44"/>
      <c r="H729" s="50"/>
      <c r="I729" s="50"/>
      <c r="K729" s="44"/>
      <c r="L729" s="50"/>
      <c r="N729" s="44"/>
      <c r="O729" s="50"/>
      <c r="P729" s="43" t="s">
        <v>39</v>
      </c>
    </row>
    <row r="730" spans="2:16">
      <c r="B730" s="43">
        <v>721</v>
      </c>
      <c r="C730" s="44"/>
      <c r="D730" s="50"/>
      <c r="E730" s="50"/>
      <c r="G730" s="44"/>
      <c r="H730" s="50"/>
      <c r="I730" s="50"/>
      <c r="K730" s="44"/>
      <c r="L730" s="50"/>
      <c r="N730" s="44"/>
      <c r="O730" s="50"/>
      <c r="P730" s="43" t="s">
        <v>39</v>
      </c>
    </row>
    <row r="731" spans="2:16">
      <c r="B731" s="43">
        <v>722</v>
      </c>
      <c r="C731" s="44"/>
      <c r="D731" s="50"/>
      <c r="E731" s="50"/>
      <c r="G731" s="44"/>
      <c r="H731" s="50"/>
      <c r="I731" s="50"/>
      <c r="K731" s="44"/>
      <c r="L731" s="50"/>
      <c r="N731" s="44"/>
      <c r="O731" s="50"/>
      <c r="P731" s="43" t="s">
        <v>39</v>
      </c>
    </row>
    <row r="732" spans="2:16">
      <c r="B732" s="43">
        <v>723</v>
      </c>
      <c r="C732" s="44"/>
      <c r="D732" s="50"/>
      <c r="E732" s="50"/>
      <c r="G732" s="44"/>
      <c r="H732" s="50"/>
      <c r="I732" s="50"/>
      <c r="K732" s="44"/>
      <c r="L732" s="50"/>
      <c r="N732" s="44"/>
      <c r="O732" s="50"/>
      <c r="P732" s="43" t="s">
        <v>39</v>
      </c>
    </row>
    <row r="733" spans="2:16">
      <c r="B733" s="43">
        <v>724</v>
      </c>
      <c r="C733" s="44"/>
      <c r="D733" s="50"/>
      <c r="E733" s="50"/>
      <c r="G733" s="44"/>
      <c r="H733" s="50"/>
      <c r="I733" s="50"/>
      <c r="K733" s="44"/>
      <c r="L733" s="50"/>
      <c r="N733" s="44"/>
      <c r="O733" s="50"/>
      <c r="P733" s="43" t="s">
        <v>39</v>
      </c>
    </row>
    <row r="734" spans="2:16">
      <c r="B734" s="43">
        <v>725</v>
      </c>
      <c r="C734" s="44"/>
      <c r="D734" s="50"/>
      <c r="E734" s="50"/>
      <c r="G734" s="44"/>
      <c r="H734" s="50"/>
      <c r="I734" s="50"/>
      <c r="K734" s="44"/>
      <c r="L734" s="50"/>
      <c r="N734" s="44"/>
      <c r="O734" s="50"/>
      <c r="P734" s="43" t="s">
        <v>39</v>
      </c>
    </row>
    <row r="735" spans="2:16">
      <c r="B735" s="43">
        <v>726</v>
      </c>
      <c r="C735" s="44"/>
      <c r="D735" s="50"/>
      <c r="E735" s="50"/>
      <c r="G735" s="44"/>
      <c r="H735" s="50"/>
      <c r="I735" s="50"/>
      <c r="K735" s="44"/>
      <c r="L735" s="50"/>
      <c r="N735" s="44"/>
      <c r="O735" s="50"/>
      <c r="P735" s="43" t="s">
        <v>39</v>
      </c>
    </row>
    <row r="736" spans="2:16">
      <c r="B736" s="43">
        <v>727</v>
      </c>
      <c r="C736" s="44"/>
      <c r="D736" s="50"/>
      <c r="E736" s="50"/>
      <c r="G736" s="44"/>
      <c r="H736" s="50"/>
      <c r="I736" s="50"/>
      <c r="K736" s="44"/>
      <c r="L736" s="50"/>
      <c r="N736" s="44"/>
      <c r="O736" s="50"/>
      <c r="P736" s="43" t="s">
        <v>39</v>
      </c>
    </row>
    <row r="737" spans="2:16">
      <c r="B737" s="43">
        <v>728</v>
      </c>
      <c r="C737" s="44"/>
      <c r="D737" s="50"/>
      <c r="E737" s="50"/>
      <c r="G737" s="44"/>
      <c r="H737" s="50"/>
      <c r="I737" s="50"/>
      <c r="K737" s="44"/>
      <c r="L737" s="50"/>
      <c r="N737" s="44"/>
      <c r="O737" s="50"/>
      <c r="P737" s="43" t="s">
        <v>39</v>
      </c>
    </row>
    <row r="738" spans="2:16">
      <c r="B738" s="43">
        <v>729</v>
      </c>
      <c r="C738" s="44"/>
      <c r="D738" s="50"/>
      <c r="E738" s="50"/>
      <c r="G738" s="44"/>
      <c r="H738" s="50"/>
      <c r="I738" s="50"/>
      <c r="K738" s="44"/>
      <c r="L738" s="50"/>
      <c r="N738" s="44"/>
      <c r="O738" s="50"/>
      <c r="P738" s="43" t="s">
        <v>39</v>
      </c>
    </row>
    <row r="739" spans="2:16">
      <c r="B739" s="43">
        <v>730</v>
      </c>
      <c r="C739" s="44"/>
      <c r="D739" s="50"/>
      <c r="E739" s="50"/>
      <c r="G739" s="44"/>
      <c r="H739" s="50"/>
      <c r="I739" s="50"/>
      <c r="K739" s="44"/>
      <c r="L739" s="50"/>
      <c r="N739" s="44"/>
      <c r="O739" s="50"/>
      <c r="P739" s="43" t="s">
        <v>39</v>
      </c>
    </row>
    <row r="740" spans="2:16">
      <c r="B740" s="43">
        <v>731</v>
      </c>
      <c r="C740" s="44"/>
      <c r="D740" s="50"/>
      <c r="E740" s="50"/>
      <c r="G740" s="44"/>
      <c r="H740" s="50"/>
      <c r="I740" s="50"/>
      <c r="K740" s="44"/>
      <c r="L740" s="50"/>
      <c r="N740" s="44"/>
      <c r="O740" s="50"/>
      <c r="P740" s="43" t="s">
        <v>39</v>
      </c>
    </row>
    <row r="741" spans="2:16">
      <c r="B741" s="43">
        <v>732</v>
      </c>
      <c r="C741" s="44"/>
      <c r="D741" s="50"/>
      <c r="E741" s="50"/>
      <c r="G741" s="44"/>
      <c r="H741" s="50"/>
      <c r="I741" s="50"/>
      <c r="K741" s="44"/>
      <c r="L741" s="50"/>
      <c r="N741" s="44"/>
      <c r="O741" s="50"/>
      <c r="P741" s="43" t="s">
        <v>39</v>
      </c>
    </row>
    <row r="742" spans="2:16">
      <c r="B742" s="43">
        <v>733</v>
      </c>
      <c r="C742" s="44"/>
      <c r="D742" s="50"/>
      <c r="E742" s="50"/>
      <c r="G742" s="44"/>
      <c r="H742" s="50"/>
      <c r="I742" s="50"/>
      <c r="K742" s="44"/>
      <c r="L742" s="50"/>
      <c r="N742" s="44"/>
      <c r="O742" s="50"/>
      <c r="P742" s="43" t="s">
        <v>39</v>
      </c>
    </row>
    <row r="743" spans="2:16">
      <c r="B743" s="43">
        <v>734</v>
      </c>
      <c r="C743" s="44"/>
      <c r="D743" s="50"/>
      <c r="E743" s="50"/>
      <c r="G743" s="44"/>
      <c r="H743" s="50"/>
      <c r="I743" s="50"/>
      <c r="K743" s="44"/>
      <c r="L743" s="50"/>
      <c r="N743" s="44"/>
      <c r="O743" s="50"/>
      <c r="P743" s="43" t="s">
        <v>39</v>
      </c>
    </row>
    <row r="744" spans="2:16">
      <c r="B744" s="43">
        <v>735</v>
      </c>
      <c r="C744" s="44"/>
      <c r="D744" s="50"/>
      <c r="E744" s="50"/>
      <c r="G744" s="44"/>
      <c r="H744" s="50"/>
      <c r="I744" s="50"/>
      <c r="K744" s="44"/>
      <c r="L744" s="50"/>
      <c r="N744" s="44"/>
      <c r="O744" s="50"/>
      <c r="P744" s="43" t="s">
        <v>39</v>
      </c>
    </row>
    <row r="745" spans="2:16">
      <c r="B745" s="43">
        <v>736</v>
      </c>
      <c r="C745" s="44"/>
      <c r="D745" s="50"/>
      <c r="E745" s="50"/>
      <c r="G745" s="44"/>
      <c r="H745" s="50"/>
      <c r="I745" s="50"/>
      <c r="K745" s="44"/>
      <c r="L745" s="50"/>
      <c r="N745" s="44"/>
      <c r="O745" s="50"/>
      <c r="P745" s="43" t="s">
        <v>39</v>
      </c>
    </row>
    <row r="746" spans="2:16">
      <c r="B746" s="43">
        <v>737</v>
      </c>
      <c r="C746" s="44"/>
      <c r="D746" s="50"/>
      <c r="E746" s="50"/>
      <c r="G746" s="44"/>
      <c r="H746" s="50"/>
      <c r="I746" s="50"/>
      <c r="K746" s="44"/>
      <c r="L746" s="50"/>
      <c r="N746" s="44"/>
      <c r="O746" s="50"/>
      <c r="P746" s="43" t="s">
        <v>39</v>
      </c>
    </row>
    <row r="747" spans="2:16">
      <c r="B747" s="43">
        <v>738</v>
      </c>
      <c r="C747" s="44"/>
      <c r="D747" s="50"/>
      <c r="E747" s="50"/>
      <c r="G747" s="44"/>
      <c r="H747" s="50"/>
      <c r="I747" s="50"/>
      <c r="K747" s="44"/>
      <c r="L747" s="50"/>
      <c r="N747" s="44"/>
      <c r="O747" s="50"/>
      <c r="P747" s="43" t="s">
        <v>39</v>
      </c>
    </row>
    <row r="748" spans="2:16">
      <c r="B748" s="43">
        <v>739</v>
      </c>
      <c r="C748" s="44"/>
      <c r="D748" s="50"/>
      <c r="E748" s="50"/>
      <c r="G748" s="44"/>
      <c r="H748" s="50"/>
      <c r="I748" s="50"/>
      <c r="K748" s="44"/>
      <c r="L748" s="50"/>
      <c r="N748" s="44"/>
      <c r="O748" s="50"/>
      <c r="P748" s="43" t="s">
        <v>39</v>
      </c>
    </row>
    <row r="749" spans="2:16">
      <c r="B749" s="43">
        <v>740</v>
      </c>
      <c r="C749" s="44"/>
      <c r="D749" s="50"/>
      <c r="E749" s="50"/>
      <c r="G749" s="44"/>
      <c r="H749" s="50"/>
      <c r="I749" s="50"/>
      <c r="K749" s="44"/>
      <c r="L749" s="50"/>
      <c r="N749" s="44"/>
      <c r="O749" s="50"/>
      <c r="P749" s="43" t="s">
        <v>39</v>
      </c>
    </row>
    <row r="750" spans="2:16">
      <c r="B750" s="43">
        <v>741</v>
      </c>
      <c r="C750" s="44"/>
      <c r="D750" s="50"/>
      <c r="E750" s="50"/>
      <c r="G750" s="44"/>
      <c r="H750" s="50"/>
      <c r="I750" s="50"/>
      <c r="K750" s="44"/>
      <c r="L750" s="50"/>
      <c r="N750" s="44"/>
      <c r="O750" s="50"/>
      <c r="P750" s="43" t="s">
        <v>39</v>
      </c>
    </row>
    <row r="751" spans="2:16">
      <c r="B751" s="43">
        <v>742</v>
      </c>
      <c r="C751" s="44"/>
      <c r="D751" s="50"/>
      <c r="E751" s="50"/>
      <c r="G751" s="44"/>
      <c r="H751" s="50"/>
      <c r="I751" s="50"/>
      <c r="K751" s="44"/>
      <c r="L751" s="50"/>
      <c r="N751" s="44"/>
      <c r="O751" s="50"/>
      <c r="P751" s="43" t="s">
        <v>39</v>
      </c>
    </row>
    <row r="752" spans="2:16">
      <c r="B752" s="43">
        <v>743</v>
      </c>
      <c r="C752" s="44"/>
      <c r="D752" s="50"/>
      <c r="E752" s="50"/>
      <c r="G752" s="44"/>
      <c r="H752" s="50"/>
      <c r="I752" s="50"/>
      <c r="K752" s="44"/>
      <c r="L752" s="50"/>
      <c r="N752" s="44"/>
      <c r="O752" s="50"/>
      <c r="P752" s="43" t="s">
        <v>39</v>
      </c>
    </row>
    <row r="753" spans="2:16">
      <c r="B753" s="43">
        <v>744</v>
      </c>
      <c r="C753" s="44"/>
      <c r="D753" s="50"/>
      <c r="E753" s="50"/>
      <c r="G753" s="44"/>
      <c r="H753" s="50"/>
      <c r="I753" s="50"/>
      <c r="K753" s="44"/>
      <c r="L753" s="50"/>
      <c r="N753" s="44"/>
      <c r="O753" s="50"/>
      <c r="P753" s="43" t="s">
        <v>39</v>
      </c>
    </row>
    <row r="754" spans="2:16">
      <c r="B754" s="43">
        <v>745</v>
      </c>
      <c r="C754" s="44"/>
      <c r="D754" s="50"/>
      <c r="E754" s="50"/>
      <c r="G754" s="44"/>
      <c r="H754" s="50"/>
      <c r="I754" s="50"/>
      <c r="K754" s="44"/>
      <c r="L754" s="50"/>
      <c r="N754" s="44"/>
      <c r="O754" s="50"/>
      <c r="P754" s="43" t="s">
        <v>39</v>
      </c>
    </row>
    <row r="755" spans="2:16">
      <c r="B755" s="43">
        <v>746</v>
      </c>
      <c r="C755" s="44"/>
      <c r="D755" s="50"/>
      <c r="E755" s="50"/>
      <c r="G755" s="44"/>
      <c r="H755" s="50"/>
      <c r="I755" s="50"/>
      <c r="K755" s="44"/>
      <c r="L755" s="50"/>
      <c r="N755" s="44"/>
      <c r="O755" s="50"/>
      <c r="P755" s="43" t="s">
        <v>39</v>
      </c>
    </row>
    <row r="756" spans="2:16">
      <c r="B756" s="43">
        <v>747</v>
      </c>
      <c r="C756" s="44"/>
      <c r="D756" s="50"/>
      <c r="E756" s="50"/>
      <c r="G756" s="44"/>
      <c r="H756" s="50"/>
      <c r="I756" s="50"/>
      <c r="K756" s="44"/>
      <c r="L756" s="50"/>
      <c r="N756" s="44"/>
      <c r="O756" s="50"/>
      <c r="P756" s="43" t="s">
        <v>39</v>
      </c>
    </row>
    <row r="757" spans="2:16">
      <c r="B757" s="43">
        <v>748</v>
      </c>
      <c r="C757" s="44"/>
      <c r="D757" s="50"/>
      <c r="E757" s="50"/>
      <c r="G757" s="44"/>
      <c r="H757" s="50"/>
      <c r="I757" s="50"/>
      <c r="K757" s="44"/>
      <c r="L757" s="50"/>
      <c r="N757" s="44"/>
      <c r="O757" s="50"/>
      <c r="P757" s="43" t="s">
        <v>39</v>
      </c>
    </row>
    <row r="758" spans="2:16">
      <c r="B758" s="43">
        <v>749</v>
      </c>
      <c r="C758" s="44"/>
      <c r="D758" s="50"/>
      <c r="E758" s="50"/>
      <c r="G758" s="44"/>
      <c r="H758" s="50"/>
      <c r="I758" s="50"/>
      <c r="K758" s="44"/>
      <c r="L758" s="50"/>
      <c r="N758" s="44"/>
      <c r="O758" s="50"/>
      <c r="P758" s="43" t="s">
        <v>39</v>
      </c>
    </row>
    <row r="759" spans="2:16">
      <c r="B759" s="43">
        <v>750</v>
      </c>
      <c r="C759" s="44"/>
      <c r="D759" s="50"/>
      <c r="E759" s="50"/>
      <c r="G759" s="44"/>
      <c r="H759" s="50"/>
      <c r="I759" s="50"/>
      <c r="K759" s="44"/>
      <c r="L759" s="50"/>
      <c r="N759" s="44"/>
      <c r="O759" s="50"/>
      <c r="P759" s="43" t="s">
        <v>39</v>
      </c>
    </row>
    <row r="760" spans="2:16">
      <c r="B760" s="43">
        <v>751</v>
      </c>
      <c r="C760" s="44"/>
      <c r="D760" s="50"/>
      <c r="E760" s="50"/>
      <c r="G760" s="44"/>
      <c r="H760" s="50"/>
      <c r="I760" s="50"/>
      <c r="K760" s="44"/>
      <c r="L760" s="50"/>
      <c r="N760" s="44"/>
      <c r="O760" s="50"/>
      <c r="P760" s="43" t="s">
        <v>39</v>
      </c>
    </row>
    <row r="761" spans="2:16">
      <c r="B761" s="43">
        <v>752</v>
      </c>
      <c r="C761" s="44"/>
      <c r="D761" s="50"/>
      <c r="E761" s="50"/>
      <c r="G761" s="44"/>
      <c r="H761" s="50"/>
      <c r="I761" s="50"/>
      <c r="K761" s="44"/>
      <c r="L761" s="50"/>
      <c r="N761" s="44"/>
      <c r="O761" s="50"/>
      <c r="P761" s="43" t="s">
        <v>39</v>
      </c>
    </row>
    <row r="762" spans="2:16">
      <c r="B762" s="43">
        <v>753</v>
      </c>
      <c r="C762" s="44"/>
      <c r="D762" s="50"/>
      <c r="E762" s="50"/>
      <c r="G762" s="44"/>
      <c r="H762" s="50"/>
      <c r="I762" s="50"/>
      <c r="K762" s="44"/>
      <c r="L762" s="50"/>
      <c r="N762" s="44"/>
      <c r="O762" s="50"/>
      <c r="P762" s="43" t="s">
        <v>39</v>
      </c>
    </row>
    <row r="763" spans="2:16">
      <c r="B763" s="43">
        <v>754</v>
      </c>
      <c r="C763" s="44"/>
      <c r="D763" s="50"/>
      <c r="E763" s="50"/>
      <c r="G763" s="44"/>
      <c r="H763" s="50"/>
      <c r="I763" s="50"/>
      <c r="K763" s="44"/>
      <c r="L763" s="50"/>
      <c r="N763" s="44"/>
      <c r="O763" s="50"/>
      <c r="P763" s="43" t="s">
        <v>39</v>
      </c>
    </row>
    <row r="764" spans="2:16">
      <c r="B764" s="43">
        <v>755</v>
      </c>
      <c r="C764" s="44"/>
      <c r="D764" s="50"/>
      <c r="E764" s="50"/>
      <c r="G764" s="44"/>
      <c r="H764" s="50"/>
      <c r="I764" s="50"/>
      <c r="K764" s="44"/>
      <c r="L764" s="50"/>
      <c r="N764" s="44"/>
      <c r="O764" s="50"/>
      <c r="P764" s="43" t="s">
        <v>39</v>
      </c>
    </row>
    <row r="765" spans="2:16">
      <c r="B765" s="43">
        <v>756</v>
      </c>
      <c r="C765" s="44"/>
      <c r="D765" s="50"/>
      <c r="E765" s="50"/>
      <c r="G765" s="44"/>
      <c r="H765" s="50"/>
      <c r="I765" s="50"/>
      <c r="K765" s="44"/>
      <c r="L765" s="50"/>
      <c r="N765" s="44"/>
      <c r="O765" s="50"/>
      <c r="P765" s="43" t="s">
        <v>39</v>
      </c>
    </row>
    <row r="766" spans="2:16">
      <c r="B766" s="43">
        <v>757</v>
      </c>
      <c r="C766" s="44"/>
      <c r="D766" s="50"/>
      <c r="E766" s="50"/>
      <c r="G766" s="44"/>
      <c r="H766" s="50"/>
      <c r="I766" s="50"/>
      <c r="K766" s="44"/>
      <c r="L766" s="50"/>
      <c r="N766" s="44"/>
      <c r="O766" s="50"/>
      <c r="P766" s="43" t="s">
        <v>39</v>
      </c>
    </row>
    <row r="767" spans="2:16">
      <c r="B767" s="43">
        <v>758</v>
      </c>
      <c r="C767" s="44"/>
      <c r="D767" s="50"/>
      <c r="E767" s="50"/>
      <c r="G767" s="44"/>
      <c r="H767" s="50"/>
      <c r="I767" s="50"/>
      <c r="K767" s="44"/>
      <c r="L767" s="50"/>
      <c r="N767" s="44"/>
      <c r="O767" s="50"/>
      <c r="P767" s="43" t="s">
        <v>39</v>
      </c>
    </row>
    <row r="768" spans="2:16">
      <c r="B768" s="43">
        <v>759</v>
      </c>
      <c r="C768" s="44"/>
      <c r="D768" s="50"/>
      <c r="E768" s="50"/>
      <c r="G768" s="44"/>
      <c r="H768" s="50"/>
      <c r="I768" s="50"/>
      <c r="K768" s="44"/>
      <c r="L768" s="50"/>
      <c r="N768" s="44"/>
      <c r="O768" s="50"/>
      <c r="P768" s="43" t="s">
        <v>39</v>
      </c>
    </row>
    <row r="769" spans="2:16">
      <c r="B769" s="43">
        <v>760</v>
      </c>
      <c r="C769" s="44"/>
      <c r="D769" s="50"/>
      <c r="E769" s="50"/>
      <c r="G769" s="44"/>
      <c r="H769" s="50"/>
      <c r="I769" s="50"/>
      <c r="K769" s="44"/>
      <c r="L769" s="50"/>
      <c r="N769" s="44"/>
      <c r="O769" s="50"/>
      <c r="P769" s="43" t="s">
        <v>39</v>
      </c>
    </row>
    <row r="770" spans="2:16">
      <c r="B770" s="43">
        <v>761</v>
      </c>
      <c r="C770" s="44"/>
      <c r="D770" s="50"/>
      <c r="E770" s="50"/>
      <c r="G770" s="44"/>
      <c r="H770" s="50"/>
      <c r="I770" s="50"/>
      <c r="K770" s="44"/>
      <c r="L770" s="50"/>
      <c r="N770" s="44"/>
      <c r="O770" s="50"/>
      <c r="P770" s="43" t="s">
        <v>39</v>
      </c>
    </row>
    <row r="771" spans="2:16">
      <c r="B771" s="43">
        <v>762</v>
      </c>
      <c r="C771" s="44"/>
      <c r="D771" s="50"/>
      <c r="E771" s="50"/>
      <c r="G771" s="44"/>
      <c r="H771" s="50"/>
      <c r="I771" s="50"/>
      <c r="K771" s="44"/>
      <c r="L771" s="50"/>
      <c r="N771" s="44"/>
      <c r="O771" s="50"/>
      <c r="P771" s="43" t="s">
        <v>39</v>
      </c>
    </row>
    <row r="772" spans="2:16">
      <c r="B772" s="43">
        <v>763</v>
      </c>
      <c r="C772" s="44"/>
      <c r="D772" s="50"/>
      <c r="E772" s="50"/>
      <c r="G772" s="44"/>
      <c r="H772" s="50"/>
      <c r="I772" s="50"/>
      <c r="K772" s="44"/>
      <c r="L772" s="50"/>
      <c r="N772" s="44"/>
      <c r="O772" s="50"/>
      <c r="P772" s="43" t="s">
        <v>39</v>
      </c>
    </row>
    <row r="773" spans="2:16">
      <c r="B773" s="43">
        <v>764</v>
      </c>
      <c r="C773" s="44"/>
      <c r="D773" s="50"/>
      <c r="E773" s="50"/>
      <c r="G773" s="44"/>
      <c r="H773" s="50"/>
      <c r="I773" s="50"/>
      <c r="K773" s="44"/>
      <c r="L773" s="50"/>
      <c r="N773" s="44"/>
      <c r="O773" s="50"/>
      <c r="P773" s="43" t="s">
        <v>39</v>
      </c>
    </row>
    <row r="774" spans="2:16">
      <c r="B774" s="43">
        <v>765</v>
      </c>
      <c r="C774" s="44"/>
      <c r="D774" s="50"/>
      <c r="E774" s="50"/>
      <c r="G774" s="44"/>
      <c r="H774" s="50"/>
      <c r="I774" s="50"/>
      <c r="K774" s="44"/>
      <c r="L774" s="50"/>
      <c r="N774" s="44"/>
      <c r="O774" s="50"/>
      <c r="P774" s="43" t="s">
        <v>39</v>
      </c>
    </row>
    <row r="775" spans="2:16">
      <c r="B775" s="43">
        <v>766</v>
      </c>
      <c r="C775" s="44"/>
      <c r="D775" s="50"/>
      <c r="E775" s="50"/>
      <c r="G775" s="44"/>
      <c r="H775" s="50"/>
      <c r="I775" s="50"/>
      <c r="K775" s="44"/>
      <c r="L775" s="50"/>
      <c r="N775" s="44"/>
      <c r="O775" s="50"/>
      <c r="P775" s="43" t="s">
        <v>39</v>
      </c>
    </row>
    <row r="776" spans="2:16">
      <c r="B776" s="43">
        <v>767</v>
      </c>
      <c r="C776" s="44"/>
      <c r="D776" s="50"/>
      <c r="E776" s="50"/>
      <c r="G776" s="44"/>
      <c r="H776" s="50"/>
      <c r="I776" s="50"/>
      <c r="K776" s="44"/>
      <c r="L776" s="50"/>
      <c r="N776" s="44"/>
      <c r="O776" s="50"/>
      <c r="P776" s="43" t="s">
        <v>39</v>
      </c>
    </row>
    <row r="777" spans="2:16">
      <c r="B777" s="43">
        <v>768</v>
      </c>
      <c r="C777" s="44"/>
      <c r="D777" s="50"/>
      <c r="E777" s="50"/>
      <c r="G777" s="44"/>
      <c r="H777" s="50"/>
      <c r="I777" s="50"/>
      <c r="K777" s="44"/>
      <c r="L777" s="50"/>
      <c r="N777" s="44"/>
      <c r="O777" s="50"/>
      <c r="P777" s="43" t="s">
        <v>39</v>
      </c>
    </row>
    <row r="778" spans="2:16">
      <c r="B778" s="43">
        <v>769</v>
      </c>
      <c r="C778" s="44"/>
      <c r="D778" s="50"/>
      <c r="E778" s="50"/>
      <c r="G778" s="44"/>
      <c r="H778" s="50"/>
      <c r="I778" s="50"/>
      <c r="K778" s="44"/>
      <c r="L778" s="50"/>
      <c r="N778" s="44"/>
      <c r="O778" s="50"/>
      <c r="P778" s="43" t="s">
        <v>39</v>
      </c>
    </row>
    <row r="779" spans="2:16">
      <c r="B779" s="43">
        <v>770</v>
      </c>
      <c r="C779" s="44"/>
      <c r="D779" s="50"/>
      <c r="E779" s="50"/>
      <c r="G779" s="44"/>
      <c r="H779" s="50"/>
      <c r="I779" s="50"/>
      <c r="K779" s="44"/>
      <c r="L779" s="50"/>
      <c r="N779" s="44"/>
      <c r="O779" s="50"/>
      <c r="P779" s="43" t="s">
        <v>39</v>
      </c>
    </row>
    <row r="780" spans="2:16">
      <c r="B780" s="43">
        <v>771</v>
      </c>
      <c r="C780" s="44"/>
      <c r="D780" s="50"/>
      <c r="E780" s="50"/>
      <c r="G780" s="44"/>
      <c r="H780" s="50"/>
      <c r="I780" s="50"/>
      <c r="K780" s="44"/>
      <c r="L780" s="50"/>
      <c r="N780" s="44"/>
      <c r="O780" s="50"/>
      <c r="P780" s="43" t="s">
        <v>39</v>
      </c>
    </row>
    <row r="781" spans="2:16">
      <c r="B781" s="43">
        <v>772</v>
      </c>
      <c r="C781" s="44"/>
      <c r="D781" s="50"/>
      <c r="E781" s="50"/>
      <c r="G781" s="44"/>
      <c r="H781" s="50"/>
      <c r="I781" s="50"/>
      <c r="K781" s="44"/>
      <c r="L781" s="50"/>
      <c r="N781" s="44"/>
      <c r="O781" s="50"/>
      <c r="P781" s="43" t="s">
        <v>39</v>
      </c>
    </row>
    <row r="782" spans="2:16">
      <c r="B782" s="43">
        <v>773</v>
      </c>
      <c r="C782" s="44"/>
      <c r="D782" s="50"/>
      <c r="E782" s="50"/>
      <c r="G782" s="44"/>
      <c r="H782" s="50"/>
      <c r="I782" s="50"/>
      <c r="K782" s="44"/>
      <c r="L782" s="50"/>
      <c r="N782" s="44"/>
      <c r="O782" s="50"/>
      <c r="P782" s="43" t="s">
        <v>39</v>
      </c>
    </row>
    <row r="783" spans="2:16">
      <c r="B783" s="43">
        <v>774</v>
      </c>
      <c r="C783" s="44"/>
      <c r="D783" s="50"/>
      <c r="E783" s="50"/>
      <c r="G783" s="44"/>
      <c r="H783" s="50"/>
      <c r="I783" s="50"/>
      <c r="K783" s="44"/>
      <c r="L783" s="50"/>
      <c r="N783" s="44"/>
      <c r="O783" s="50"/>
      <c r="P783" s="43" t="s">
        <v>39</v>
      </c>
    </row>
    <row r="784" spans="2:16">
      <c r="B784" s="43">
        <v>775</v>
      </c>
      <c r="C784" s="44"/>
      <c r="D784" s="50"/>
      <c r="E784" s="50"/>
      <c r="G784" s="44"/>
      <c r="H784" s="50"/>
      <c r="I784" s="50"/>
      <c r="K784" s="44"/>
      <c r="L784" s="50"/>
      <c r="N784" s="44"/>
      <c r="O784" s="50"/>
      <c r="P784" s="43" t="s">
        <v>39</v>
      </c>
    </row>
    <row r="785" spans="2:16">
      <c r="B785" s="43">
        <v>776</v>
      </c>
      <c r="C785" s="44"/>
      <c r="D785" s="50"/>
      <c r="E785" s="50"/>
      <c r="G785" s="44"/>
      <c r="H785" s="50"/>
      <c r="I785" s="50"/>
      <c r="K785" s="44"/>
      <c r="L785" s="50"/>
      <c r="N785" s="44"/>
      <c r="O785" s="50"/>
      <c r="P785" s="43" t="s">
        <v>39</v>
      </c>
    </row>
    <row r="786" spans="2:16">
      <c r="B786" s="43">
        <v>777</v>
      </c>
      <c r="C786" s="44"/>
      <c r="D786" s="50"/>
      <c r="E786" s="50"/>
      <c r="G786" s="44"/>
      <c r="H786" s="50"/>
      <c r="I786" s="50"/>
      <c r="K786" s="44"/>
      <c r="L786" s="50"/>
      <c r="N786" s="44"/>
      <c r="O786" s="50"/>
      <c r="P786" s="43" t="s">
        <v>39</v>
      </c>
    </row>
    <row r="787" spans="2:16">
      <c r="B787" s="43">
        <v>778</v>
      </c>
      <c r="C787" s="44"/>
      <c r="D787" s="50"/>
      <c r="E787" s="50"/>
      <c r="G787" s="44"/>
      <c r="H787" s="50"/>
      <c r="I787" s="50"/>
      <c r="K787" s="44"/>
      <c r="L787" s="50"/>
      <c r="N787" s="44"/>
      <c r="O787" s="50"/>
      <c r="P787" s="43" t="s">
        <v>39</v>
      </c>
    </row>
    <row r="788" spans="2:16">
      <c r="B788" s="43">
        <v>779</v>
      </c>
      <c r="C788" s="44"/>
      <c r="D788" s="50"/>
      <c r="E788" s="50"/>
      <c r="G788" s="44"/>
      <c r="H788" s="50"/>
      <c r="I788" s="50"/>
      <c r="K788" s="44"/>
      <c r="L788" s="50"/>
      <c r="N788" s="44"/>
      <c r="O788" s="50"/>
      <c r="P788" s="43" t="s">
        <v>39</v>
      </c>
    </row>
    <row r="789" spans="2:16">
      <c r="B789" s="43">
        <v>780</v>
      </c>
      <c r="C789" s="44"/>
      <c r="D789" s="50"/>
      <c r="E789" s="50"/>
      <c r="G789" s="44"/>
      <c r="H789" s="50"/>
      <c r="I789" s="50"/>
      <c r="K789" s="44"/>
      <c r="L789" s="50"/>
      <c r="N789" s="44"/>
      <c r="O789" s="50"/>
      <c r="P789" s="43" t="s">
        <v>39</v>
      </c>
    </row>
    <row r="790" spans="2:16">
      <c r="B790" s="43">
        <v>781</v>
      </c>
      <c r="C790" s="44"/>
      <c r="D790" s="50"/>
      <c r="E790" s="50"/>
      <c r="G790" s="44"/>
      <c r="H790" s="50"/>
      <c r="I790" s="50"/>
      <c r="K790" s="44"/>
      <c r="L790" s="50"/>
      <c r="N790" s="44"/>
      <c r="O790" s="50"/>
      <c r="P790" s="43" t="s">
        <v>39</v>
      </c>
    </row>
    <row r="791" spans="2:16">
      <c r="B791" s="43">
        <v>782</v>
      </c>
      <c r="C791" s="44"/>
      <c r="D791" s="50"/>
      <c r="E791" s="50"/>
      <c r="G791" s="44"/>
      <c r="H791" s="50"/>
      <c r="I791" s="50"/>
      <c r="K791" s="44"/>
      <c r="L791" s="50"/>
      <c r="N791" s="44"/>
      <c r="O791" s="50"/>
      <c r="P791" s="43" t="s">
        <v>39</v>
      </c>
    </row>
    <row r="792" spans="2:16">
      <c r="B792" s="43">
        <v>783</v>
      </c>
      <c r="C792" s="44"/>
      <c r="D792" s="50"/>
      <c r="E792" s="50"/>
      <c r="G792" s="44"/>
      <c r="H792" s="50"/>
      <c r="I792" s="50"/>
      <c r="K792" s="44"/>
      <c r="L792" s="50"/>
      <c r="N792" s="44"/>
      <c r="O792" s="50"/>
      <c r="P792" s="43" t="s">
        <v>39</v>
      </c>
    </row>
    <row r="793" spans="2:16">
      <c r="B793" s="43">
        <v>784</v>
      </c>
      <c r="C793" s="44"/>
      <c r="D793" s="50"/>
      <c r="E793" s="50"/>
      <c r="G793" s="44"/>
      <c r="H793" s="50"/>
      <c r="I793" s="50"/>
      <c r="K793" s="44"/>
      <c r="L793" s="50"/>
      <c r="N793" s="44"/>
      <c r="O793" s="50"/>
      <c r="P793" s="43" t="s">
        <v>39</v>
      </c>
    </row>
    <row r="794" spans="2:16">
      <c r="B794" s="43">
        <v>785</v>
      </c>
      <c r="C794" s="44"/>
      <c r="D794" s="50"/>
      <c r="E794" s="50"/>
      <c r="G794" s="44"/>
      <c r="H794" s="50"/>
      <c r="I794" s="50"/>
      <c r="K794" s="44"/>
      <c r="L794" s="50"/>
      <c r="N794" s="44"/>
      <c r="O794" s="50"/>
      <c r="P794" s="43" t="s">
        <v>39</v>
      </c>
    </row>
    <row r="795" spans="2:16">
      <c r="B795" s="43">
        <v>786</v>
      </c>
      <c r="C795" s="44"/>
      <c r="D795" s="50"/>
      <c r="E795" s="50"/>
      <c r="G795" s="44"/>
      <c r="H795" s="50"/>
      <c r="I795" s="50"/>
      <c r="K795" s="44"/>
      <c r="L795" s="50"/>
      <c r="N795" s="44"/>
      <c r="O795" s="50"/>
      <c r="P795" s="43" t="s">
        <v>39</v>
      </c>
    </row>
    <row r="796" spans="2:16">
      <c r="B796" s="43">
        <v>787</v>
      </c>
      <c r="C796" s="44"/>
      <c r="D796" s="50"/>
      <c r="E796" s="50"/>
      <c r="G796" s="44"/>
      <c r="H796" s="50"/>
      <c r="I796" s="50"/>
      <c r="K796" s="44"/>
      <c r="L796" s="50"/>
      <c r="N796" s="44"/>
      <c r="O796" s="50"/>
      <c r="P796" s="43" t="s">
        <v>39</v>
      </c>
    </row>
    <row r="797" spans="2:16">
      <c r="B797" s="43">
        <v>788</v>
      </c>
      <c r="C797" s="44"/>
      <c r="D797" s="50"/>
      <c r="E797" s="50"/>
      <c r="G797" s="44"/>
      <c r="H797" s="50"/>
      <c r="I797" s="50"/>
      <c r="K797" s="44"/>
      <c r="L797" s="50"/>
      <c r="N797" s="44"/>
      <c r="O797" s="50"/>
      <c r="P797" s="43" t="s">
        <v>39</v>
      </c>
    </row>
    <row r="798" spans="2:16">
      <c r="B798" s="43">
        <v>789</v>
      </c>
      <c r="C798" s="44"/>
      <c r="D798" s="50"/>
      <c r="E798" s="50"/>
      <c r="G798" s="44"/>
      <c r="H798" s="50"/>
      <c r="I798" s="50"/>
      <c r="K798" s="44"/>
      <c r="L798" s="50"/>
      <c r="N798" s="44"/>
      <c r="O798" s="50"/>
      <c r="P798" s="43" t="s">
        <v>39</v>
      </c>
    </row>
    <row r="799" spans="2:16">
      <c r="B799" s="43">
        <v>790</v>
      </c>
      <c r="C799" s="44"/>
      <c r="D799" s="50"/>
      <c r="E799" s="50"/>
      <c r="G799" s="44"/>
      <c r="H799" s="50"/>
      <c r="I799" s="50"/>
      <c r="K799" s="44"/>
      <c r="L799" s="50"/>
      <c r="N799" s="44"/>
      <c r="O799" s="50"/>
      <c r="P799" s="43" t="s">
        <v>39</v>
      </c>
    </row>
    <row r="800" spans="2:16">
      <c r="B800" s="43">
        <v>791</v>
      </c>
      <c r="C800" s="44"/>
      <c r="D800" s="50"/>
      <c r="E800" s="50"/>
      <c r="G800" s="44"/>
      <c r="H800" s="50"/>
      <c r="I800" s="50"/>
      <c r="K800" s="44"/>
      <c r="L800" s="50"/>
      <c r="N800" s="44"/>
      <c r="O800" s="50"/>
      <c r="P800" s="43" t="s">
        <v>39</v>
      </c>
    </row>
    <row r="801" spans="2:16">
      <c r="B801" s="43">
        <v>792</v>
      </c>
      <c r="C801" s="44"/>
      <c r="D801" s="50"/>
      <c r="E801" s="50"/>
      <c r="G801" s="44"/>
      <c r="H801" s="50"/>
      <c r="I801" s="50"/>
      <c r="K801" s="44"/>
      <c r="L801" s="50"/>
      <c r="N801" s="44"/>
      <c r="O801" s="50"/>
      <c r="P801" s="43" t="s">
        <v>39</v>
      </c>
    </row>
    <row r="802" spans="2:16">
      <c r="B802" s="43">
        <v>793</v>
      </c>
      <c r="C802" s="44"/>
      <c r="D802" s="50"/>
      <c r="E802" s="50"/>
      <c r="G802" s="44"/>
      <c r="H802" s="50"/>
      <c r="I802" s="50"/>
      <c r="K802" s="44"/>
      <c r="L802" s="50"/>
      <c r="N802" s="44"/>
      <c r="O802" s="50"/>
      <c r="P802" s="43" t="s">
        <v>39</v>
      </c>
    </row>
    <row r="803" spans="2:16">
      <c r="B803" s="43">
        <v>794</v>
      </c>
      <c r="C803" s="44"/>
      <c r="D803" s="50"/>
      <c r="E803" s="50"/>
      <c r="G803" s="44"/>
      <c r="H803" s="50"/>
      <c r="I803" s="50"/>
      <c r="K803" s="44"/>
      <c r="L803" s="50"/>
      <c r="N803" s="44"/>
      <c r="O803" s="50"/>
      <c r="P803" s="43" t="s">
        <v>39</v>
      </c>
    </row>
    <row r="804" spans="2:16">
      <c r="B804" s="43">
        <v>795</v>
      </c>
      <c r="C804" s="44"/>
      <c r="D804" s="50"/>
      <c r="E804" s="50"/>
      <c r="G804" s="44"/>
      <c r="H804" s="50"/>
      <c r="I804" s="50"/>
      <c r="K804" s="44"/>
      <c r="L804" s="50"/>
      <c r="N804" s="44"/>
      <c r="O804" s="50"/>
      <c r="P804" s="43" t="s">
        <v>39</v>
      </c>
    </row>
    <row r="805" spans="2:16">
      <c r="B805" s="43">
        <v>796</v>
      </c>
      <c r="C805" s="44"/>
      <c r="D805" s="50"/>
      <c r="E805" s="50"/>
      <c r="G805" s="44"/>
      <c r="H805" s="50"/>
      <c r="I805" s="50"/>
      <c r="K805" s="44"/>
      <c r="L805" s="50"/>
      <c r="N805" s="44"/>
      <c r="O805" s="50"/>
      <c r="P805" s="43" t="s">
        <v>39</v>
      </c>
    </row>
    <row r="806" spans="2:16">
      <c r="B806" s="43">
        <v>797</v>
      </c>
      <c r="C806" s="44"/>
      <c r="D806" s="50"/>
      <c r="E806" s="50"/>
      <c r="G806" s="44"/>
      <c r="H806" s="50"/>
      <c r="I806" s="50"/>
      <c r="K806" s="44"/>
      <c r="L806" s="50"/>
      <c r="N806" s="44"/>
      <c r="O806" s="50"/>
      <c r="P806" s="43" t="s">
        <v>39</v>
      </c>
    </row>
    <row r="807" spans="2:16">
      <c r="B807" s="43">
        <v>798</v>
      </c>
      <c r="C807" s="44"/>
      <c r="D807" s="50"/>
      <c r="E807" s="50"/>
      <c r="G807" s="44"/>
      <c r="H807" s="50"/>
      <c r="I807" s="50"/>
      <c r="K807" s="44"/>
      <c r="L807" s="50"/>
      <c r="N807" s="44"/>
      <c r="O807" s="50"/>
      <c r="P807" s="43" t="s">
        <v>39</v>
      </c>
    </row>
    <row r="808" spans="2:16">
      <c r="B808" s="43">
        <v>799</v>
      </c>
      <c r="C808" s="44"/>
      <c r="D808" s="50"/>
      <c r="E808" s="50"/>
      <c r="G808" s="44"/>
      <c r="H808" s="50"/>
      <c r="I808" s="50"/>
      <c r="K808" s="44"/>
      <c r="L808" s="50"/>
      <c r="N808" s="44"/>
      <c r="O808" s="50"/>
      <c r="P808" s="43" t="s">
        <v>39</v>
      </c>
    </row>
    <row r="809" spans="2:16">
      <c r="B809" s="43">
        <v>800</v>
      </c>
      <c r="C809" s="44"/>
      <c r="D809" s="50"/>
      <c r="E809" s="50"/>
      <c r="G809" s="44"/>
      <c r="H809" s="50"/>
      <c r="I809" s="50"/>
      <c r="K809" s="44"/>
      <c r="L809" s="50"/>
      <c r="N809" s="44"/>
      <c r="O809" s="50"/>
      <c r="P809" s="43" t="s">
        <v>39</v>
      </c>
    </row>
    <row r="810" spans="2:16">
      <c r="B810" s="43">
        <v>801</v>
      </c>
      <c r="C810" s="44"/>
      <c r="D810" s="50"/>
      <c r="E810" s="50"/>
      <c r="G810" s="44"/>
      <c r="H810" s="50"/>
      <c r="I810" s="50"/>
      <c r="K810" s="44"/>
      <c r="L810" s="50"/>
      <c r="N810" s="44"/>
      <c r="O810" s="50"/>
      <c r="P810" s="43" t="s">
        <v>39</v>
      </c>
    </row>
    <row r="811" spans="2:16">
      <c r="B811" s="43">
        <v>802</v>
      </c>
      <c r="C811" s="44"/>
      <c r="D811" s="50"/>
      <c r="E811" s="50"/>
      <c r="G811" s="44"/>
      <c r="H811" s="50"/>
      <c r="I811" s="50"/>
      <c r="K811" s="44"/>
      <c r="L811" s="50"/>
      <c r="N811" s="44"/>
      <c r="O811" s="50"/>
      <c r="P811" s="43" t="s">
        <v>39</v>
      </c>
    </row>
    <row r="812" spans="2:16">
      <c r="B812" s="43">
        <v>803</v>
      </c>
      <c r="C812" s="44"/>
      <c r="D812" s="50"/>
      <c r="E812" s="50"/>
      <c r="G812" s="44"/>
      <c r="H812" s="50"/>
      <c r="I812" s="50"/>
      <c r="K812" s="44"/>
      <c r="L812" s="50"/>
      <c r="N812" s="44"/>
      <c r="O812" s="50"/>
      <c r="P812" s="43" t="s">
        <v>39</v>
      </c>
    </row>
    <row r="813" spans="2:16">
      <c r="B813" s="43">
        <v>804</v>
      </c>
      <c r="C813" s="44"/>
      <c r="D813" s="50"/>
      <c r="E813" s="50"/>
      <c r="G813" s="44"/>
      <c r="H813" s="50"/>
      <c r="I813" s="50"/>
      <c r="K813" s="44"/>
      <c r="L813" s="50"/>
      <c r="N813" s="44"/>
      <c r="O813" s="50"/>
      <c r="P813" s="43" t="s">
        <v>39</v>
      </c>
    </row>
    <row r="814" spans="2:16">
      <c r="B814" s="43">
        <v>805</v>
      </c>
      <c r="C814" s="44"/>
      <c r="D814" s="50"/>
      <c r="E814" s="50"/>
      <c r="G814" s="44"/>
      <c r="H814" s="50"/>
      <c r="I814" s="50"/>
      <c r="K814" s="44"/>
      <c r="L814" s="50"/>
      <c r="N814" s="44"/>
      <c r="O814" s="50"/>
      <c r="P814" s="43" t="s">
        <v>39</v>
      </c>
    </row>
    <row r="815" spans="2:16">
      <c r="B815" s="43">
        <v>806</v>
      </c>
      <c r="C815" s="44"/>
      <c r="D815" s="50"/>
      <c r="E815" s="50"/>
      <c r="G815" s="44"/>
      <c r="H815" s="50"/>
      <c r="I815" s="50"/>
      <c r="K815" s="44"/>
      <c r="L815" s="50"/>
      <c r="N815" s="44"/>
      <c r="O815" s="50"/>
      <c r="P815" s="43" t="s">
        <v>39</v>
      </c>
    </row>
    <row r="816" spans="2:16">
      <c r="B816" s="43">
        <v>807</v>
      </c>
      <c r="C816" s="44"/>
      <c r="D816" s="50"/>
      <c r="E816" s="50"/>
      <c r="G816" s="44"/>
      <c r="H816" s="50"/>
      <c r="I816" s="50"/>
      <c r="K816" s="44"/>
      <c r="L816" s="50"/>
      <c r="N816" s="44"/>
      <c r="O816" s="50"/>
      <c r="P816" s="43" t="s">
        <v>39</v>
      </c>
    </row>
    <row r="817" spans="2:16">
      <c r="B817" s="43">
        <v>808</v>
      </c>
      <c r="C817" s="44"/>
      <c r="D817" s="50"/>
      <c r="E817" s="50"/>
      <c r="G817" s="44"/>
      <c r="H817" s="50"/>
      <c r="I817" s="50"/>
      <c r="K817" s="44"/>
      <c r="L817" s="50"/>
      <c r="N817" s="44"/>
      <c r="O817" s="50"/>
      <c r="P817" s="43" t="s">
        <v>39</v>
      </c>
    </row>
    <row r="818" spans="2:16">
      <c r="B818" s="43">
        <v>809</v>
      </c>
      <c r="C818" s="44"/>
      <c r="D818" s="50"/>
      <c r="E818" s="50"/>
      <c r="G818" s="44"/>
      <c r="H818" s="50"/>
      <c r="I818" s="50"/>
      <c r="K818" s="44"/>
      <c r="L818" s="50"/>
      <c r="N818" s="44"/>
      <c r="O818" s="50"/>
      <c r="P818" s="43" t="s">
        <v>39</v>
      </c>
    </row>
    <row r="819" spans="2:16">
      <c r="B819" s="43">
        <v>810</v>
      </c>
      <c r="C819" s="44"/>
      <c r="D819" s="50"/>
      <c r="E819" s="50"/>
      <c r="G819" s="44"/>
      <c r="H819" s="50"/>
      <c r="I819" s="50"/>
      <c r="K819" s="44"/>
      <c r="L819" s="50"/>
      <c r="N819" s="44"/>
      <c r="O819" s="50"/>
      <c r="P819" s="43" t="s">
        <v>39</v>
      </c>
    </row>
    <row r="820" spans="2:16">
      <c r="B820" s="43">
        <v>811</v>
      </c>
      <c r="C820" s="44"/>
      <c r="D820" s="50"/>
      <c r="E820" s="50"/>
      <c r="G820" s="44"/>
      <c r="H820" s="50"/>
      <c r="I820" s="50"/>
      <c r="K820" s="44"/>
      <c r="L820" s="50"/>
      <c r="N820" s="44"/>
      <c r="O820" s="50"/>
      <c r="P820" s="43" t="s">
        <v>39</v>
      </c>
    </row>
    <row r="821" spans="2:16">
      <c r="B821" s="43">
        <v>812</v>
      </c>
      <c r="C821" s="44"/>
      <c r="D821" s="50"/>
      <c r="E821" s="50"/>
      <c r="G821" s="44"/>
      <c r="H821" s="50"/>
      <c r="I821" s="50"/>
      <c r="K821" s="44"/>
      <c r="L821" s="50"/>
      <c r="N821" s="44"/>
      <c r="O821" s="50"/>
      <c r="P821" s="43" t="s">
        <v>39</v>
      </c>
    </row>
    <row r="822" spans="2:16">
      <c r="B822" s="43">
        <v>813</v>
      </c>
      <c r="C822" s="44"/>
      <c r="D822" s="50"/>
      <c r="E822" s="50"/>
      <c r="G822" s="44"/>
      <c r="H822" s="50"/>
      <c r="I822" s="50"/>
      <c r="K822" s="44"/>
      <c r="L822" s="50"/>
      <c r="N822" s="44"/>
      <c r="O822" s="50"/>
      <c r="P822" s="43" t="s">
        <v>39</v>
      </c>
    </row>
    <row r="823" spans="2:16">
      <c r="B823" s="43">
        <v>814</v>
      </c>
      <c r="C823" s="44"/>
      <c r="D823" s="50"/>
      <c r="E823" s="50"/>
      <c r="G823" s="44"/>
      <c r="H823" s="50"/>
      <c r="I823" s="50"/>
      <c r="K823" s="44"/>
      <c r="L823" s="50"/>
      <c r="N823" s="44"/>
      <c r="O823" s="50"/>
      <c r="P823" s="43" t="s">
        <v>39</v>
      </c>
    </row>
    <row r="824" spans="2:16">
      <c r="B824" s="43">
        <v>815</v>
      </c>
      <c r="C824" s="44"/>
      <c r="D824" s="50"/>
      <c r="E824" s="50"/>
      <c r="G824" s="44"/>
      <c r="H824" s="50"/>
      <c r="I824" s="50"/>
      <c r="K824" s="44"/>
      <c r="L824" s="50"/>
      <c r="N824" s="44"/>
      <c r="O824" s="50"/>
      <c r="P824" s="43" t="s">
        <v>39</v>
      </c>
    </row>
    <row r="825" spans="2:16">
      <c r="B825" s="43">
        <v>816</v>
      </c>
      <c r="C825" s="44"/>
      <c r="D825" s="50"/>
      <c r="E825" s="50"/>
      <c r="G825" s="44"/>
      <c r="H825" s="50"/>
      <c r="I825" s="50"/>
      <c r="K825" s="44"/>
      <c r="L825" s="50"/>
      <c r="N825" s="44"/>
      <c r="O825" s="50"/>
      <c r="P825" s="43" t="s">
        <v>39</v>
      </c>
    </row>
    <row r="826" spans="2:16">
      <c r="B826" s="43">
        <v>817</v>
      </c>
      <c r="C826" s="44"/>
      <c r="D826" s="50"/>
      <c r="E826" s="50"/>
      <c r="G826" s="44"/>
      <c r="H826" s="50"/>
      <c r="I826" s="50"/>
      <c r="K826" s="44"/>
      <c r="L826" s="50"/>
      <c r="N826" s="44"/>
      <c r="O826" s="50"/>
      <c r="P826" s="43" t="s">
        <v>39</v>
      </c>
    </row>
    <row r="827" spans="2:16">
      <c r="B827" s="43">
        <v>818</v>
      </c>
      <c r="C827" s="44"/>
      <c r="D827" s="50"/>
      <c r="E827" s="50"/>
      <c r="G827" s="44"/>
      <c r="H827" s="50"/>
      <c r="I827" s="50"/>
      <c r="K827" s="44"/>
      <c r="L827" s="50"/>
      <c r="N827" s="44"/>
      <c r="O827" s="50"/>
      <c r="P827" s="43" t="s">
        <v>39</v>
      </c>
    </row>
    <row r="828" spans="2:16">
      <c r="B828" s="43">
        <v>819</v>
      </c>
      <c r="C828" s="44"/>
      <c r="D828" s="50"/>
      <c r="E828" s="50"/>
      <c r="G828" s="44"/>
      <c r="H828" s="50"/>
      <c r="I828" s="50"/>
      <c r="K828" s="44"/>
      <c r="L828" s="50"/>
      <c r="N828" s="44"/>
      <c r="O828" s="50"/>
      <c r="P828" s="43" t="s">
        <v>39</v>
      </c>
    </row>
    <row r="829" spans="2:16">
      <c r="B829" s="43">
        <v>820</v>
      </c>
      <c r="C829" s="44"/>
      <c r="D829" s="50"/>
      <c r="E829" s="50"/>
      <c r="G829" s="44"/>
      <c r="H829" s="50"/>
      <c r="I829" s="50"/>
      <c r="K829" s="44"/>
      <c r="L829" s="50"/>
      <c r="N829" s="44"/>
      <c r="O829" s="50"/>
      <c r="P829" s="43" t="s">
        <v>39</v>
      </c>
    </row>
    <row r="830" spans="2:16">
      <c r="B830" s="43">
        <v>821</v>
      </c>
      <c r="C830" s="44"/>
      <c r="D830" s="50"/>
      <c r="E830" s="50"/>
      <c r="G830" s="44"/>
      <c r="H830" s="50"/>
      <c r="I830" s="50"/>
      <c r="K830" s="44"/>
      <c r="L830" s="50"/>
      <c r="N830" s="44"/>
      <c r="O830" s="50"/>
      <c r="P830" s="43" t="s">
        <v>39</v>
      </c>
    </row>
    <row r="831" spans="2:16">
      <c r="B831" s="43">
        <v>822</v>
      </c>
      <c r="C831" s="44"/>
      <c r="D831" s="50"/>
      <c r="E831" s="50"/>
      <c r="G831" s="44"/>
      <c r="H831" s="50"/>
      <c r="I831" s="50"/>
      <c r="K831" s="44"/>
      <c r="L831" s="50"/>
      <c r="N831" s="44"/>
      <c r="O831" s="50"/>
      <c r="P831" s="43" t="s">
        <v>39</v>
      </c>
    </row>
    <row r="832" spans="2:16">
      <c r="B832" s="43">
        <v>823</v>
      </c>
      <c r="C832" s="44"/>
      <c r="D832" s="50"/>
      <c r="E832" s="50"/>
      <c r="G832" s="44"/>
      <c r="H832" s="50"/>
      <c r="I832" s="50"/>
      <c r="K832" s="44"/>
      <c r="L832" s="50"/>
      <c r="N832" s="44"/>
      <c r="O832" s="50"/>
      <c r="P832" s="43" t="s">
        <v>39</v>
      </c>
    </row>
    <row r="833" spans="2:16">
      <c r="B833" s="43">
        <v>824</v>
      </c>
      <c r="C833" s="44"/>
      <c r="D833" s="50"/>
      <c r="E833" s="50"/>
      <c r="G833" s="44"/>
      <c r="H833" s="50"/>
      <c r="I833" s="50"/>
      <c r="K833" s="44"/>
      <c r="L833" s="50"/>
      <c r="N833" s="44"/>
      <c r="O833" s="50"/>
      <c r="P833" s="43" t="s">
        <v>39</v>
      </c>
    </row>
    <row r="834" spans="2:16">
      <c r="B834" s="43">
        <v>825</v>
      </c>
      <c r="C834" s="44"/>
      <c r="D834" s="50"/>
      <c r="E834" s="50"/>
      <c r="G834" s="44"/>
      <c r="H834" s="50"/>
      <c r="I834" s="50"/>
      <c r="K834" s="44"/>
      <c r="L834" s="50"/>
      <c r="N834" s="44"/>
      <c r="O834" s="50"/>
      <c r="P834" s="43" t="s">
        <v>39</v>
      </c>
    </row>
    <row r="835" spans="2:16">
      <c r="B835" s="43">
        <v>826</v>
      </c>
      <c r="C835" s="44"/>
      <c r="D835" s="50"/>
      <c r="E835" s="50"/>
      <c r="G835" s="44"/>
      <c r="H835" s="50"/>
      <c r="I835" s="50"/>
      <c r="K835" s="44"/>
      <c r="L835" s="50"/>
      <c r="N835" s="44"/>
      <c r="O835" s="50"/>
      <c r="P835" s="43" t="s">
        <v>39</v>
      </c>
    </row>
    <row r="836" spans="2:16">
      <c r="B836" s="43">
        <v>827</v>
      </c>
      <c r="C836" s="44"/>
      <c r="D836" s="50"/>
      <c r="E836" s="50"/>
      <c r="G836" s="44"/>
      <c r="H836" s="50"/>
      <c r="I836" s="50"/>
      <c r="K836" s="44"/>
      <c r="L836" s="50"/>
      <c r="N836" s="44"/>
      <c r="O836" s="50"/>
      <c r="P836" s="43" t="s">
        <v>39</v>
      </c>
    </row>
    <row r="837" spans="2:16">
      <c r="B837" s="43">
        <v>828</v>
      </c>
      <c r="C837" s="44"/>
      <c r="D837" s="50"/>
      <c r="E837" s="50"/>
      <c r="G837" s="44"/>
      <c r="H837" s="50"/>
      <c r="I837" s="50"/>
      <c r="K837" s="44"/>
      <c r="L837" s="50"/>
      <c r="N837" s="44"/>
      <c r="O837" s="50"/>
      <c r="P837" s="43" t="s">
        <v>39</v>
      </c>
    </row>
    <row r="838" spans="2:16">
      <c r="B838" s="43">
        <v>829</v>
      </c>
      <c r="C838" s="44"/>
      <c r="D838" s="50"/>
      <c r="E838" s="50"/>
      <c r="G838" s="44"/>
      <c r="H838" s="50"/>
      <c r="I838" s="50"/>
      <c r="K838" s="44"/>
      <c r="L838" s="50"/>
      <c r="N838" s="44"/>
      <c r="O838" s="50"/>
      <c r="P838" s="43" t="s">
        <v>39</v>
      </c>
    </row>
    <row r="839" spans="2:16">
      <c r="B839" s="43">
        <v>830</v>
      </c>
      <c r="C839" s="44"/>
      <c r="D839" s="50"/>
      <c r="E839" s="50"/>
      <c r="G839" s="44"/>
      <c r="H839" s="50"/>
      <c r="I839" s="50"/>
      <c r="K839" s="44"/>
      <c r="L839" s="50"/>
      <c r="N839" s="44"/>
      <c r="O839" s="50"/>
      <c r="P839" s="43" t="s">
        <v>39</v>
      </c>
    </row>
    <row r="840" spans="2:16">
      <c r="B840" s="43">
        <v>831</v>
      </c>
      <c r="C840" s="44"/>
      <c r="D840" s="50"/>
      <c r="E840" s="50"/>
      <c r="G840" s="44"/>
      <c r="H840" s="50"/>
      <c r="I840" s="50"/>
      <c r="K840" s="44"/>
      <c r="L840" s="50"/>
      <c r="N840" s="44"/>
      <c r="O840" s="50"/>
      <c r="P840" s="43" t="s">
        <v>39</v>
      </c>
    </row>
    <row r="841" spans="2:16">
      <c r="B841" s="43">
        <v>832</v>
      </c>
      <c r="C841" s="44"/>
      <c r="D841" s="50"/>
      <c r="E841" s="50"/>
      <c r="G841" s="44"/>
      <c r="H841" s="50"/>
      <c r="I841" s="50"/>
      <c r="K841" s="44"/>
      <c r="L841" s="50"/>
      <c r="N841" s="44"/>
      <c r="O841" s="50"/>
      <c r="P841" s="43" t="s">
        <v>39</v>
      </c>
    </row>
    <row r="842" spans="2:16">
      <c r="B842" s="43">
        <v>833</v>
      </c>
      <c r="C842" s="44"/>
      <c r="D842" s="50"/>
      <c r="E842" s="50"/>
      <c r="G842" s="44"/>
      <c r="H842" s="50"/>
      <c r="I842" s="50"/>
      <c r="K842" s="44"/>
      <c r="L842" s="50"/>
      <c r="N842" s="44"/>
      <c r="O842" s="50"/>
      <c r="P842" s="43" t="s">
        <v>39</v>
      </c>
    </row>
    <row r="843" spans="2:16">
      <c r="B843" s="43">
        <v>834</v>
      </c>
      <c r="C843" s="44"/>
      <c r="D843" s="50"/>
      <c r="E843" s="50"/>
      <c r="G843" s="44"/>
      <c r="H843" s="50"/>
      <c r="I843" s="50"/>
      <c r="K843" s="44"/>
      <c r="L843" s="50"/>
      <c r="N843" s="44"/>
      <c r="O843" s="50"/>
      <c r="P843" s="43" t="s">
        <v>39</v>
      </c>
    </row>
    <row r="844" spans="2:16">
      <c r="B844" s="43">
        <v>835</v>
      </c>
      <c r="C844" s="44"/>
      <c r="D844" s="50"/>
      <c r="E844" s="50"/>
      <c r="G844" s="44"/>
      <c r="H844" s="50"/>
      <c r="I844" s="50"/>
      <c r="K844" s="44"/>
      <c r="L844" s="50"/>
      <c r="N844" s="44"/>
      <c r="O844" s="50"/>
      <c r="P844" s="43" t="s">
        <v>39</v>
      </c>
    </row>
    <row r="845" spans="2:16">
      <c r="B845" s="43">
        <v>836</v>
      </c>
      <c r="C845" s="44"/>
      <c r="D845" s="50"/>
      <c r="E845" s="50"/>
      <c r="G845" s="44"/>
      <c r="H845" s="50"/>
      <c r="I845" s="50"/>
      <c r="K845" s="44"/>
      <c r="L845" s="50"/>
      <c r="N845" s="44"/>
      <c r="O845" s="50"/>
      <c r="P845" s="43" t="s">
        <v>39</v>
      </c>
    </row>
    <row r="846" spans="2:16">
      <c r="B846" s="43">
        <v>837</v>
      </c>
      <c r="C846" s="44"/>
      <c r="D846" s="50"/>
      <c r="E846" s="50"/>
      <c r="G846" s="44"/>
      <c r="H846" s="50"/>
      <c r="I846" s="50"/>
      <c r="K846" s="44"/>
      <c r="L846" s="50"/>
      <c r="N846" s="44"/>
      <c r="O846" s="50"/>
      <c r="P846" s="43" t="s">
        <v>39</v>
      </c>
    </row>
    <row r="847" spans="2:16">
      <c r="B847" s="43">
        <v>838</v>
      </c>
      <c r="C847" s="44"/>
      <c r="D847" s="50"/>
      <c r="E847" s="50"/>
      <c r="G847" s="44"/>
      <c r="H847" s="50"/>
      <c r="I847" s="50"/>
      <c r="K847" s="44"/>
      <c r="L847" s="50"/>
      <c r="N847" s="44"/>
      <c r="O847" s="50"/>
      <c r="P847" s="43" t="s">
        <v>39</v>
      </c>
    </row>
    <row r="848" spans="2:16">
      <c r="B848" s="43">
        <v>839</v>
      </c>
      <c r="C848" s="44"/>
      <c r="D848" s="50"/>
      <c r="E848" s="50"/>
      <c r="G848" s="44"/>
      <c r="H848" s="50"/>
      <c r="I848" s="50"/>
      <c r="K848" s="44"/>
      <c r="L848" s="50"/>
      <c r="N848" s="44"/>
      <c r="O848" s="50"/>
      <c r="P848" s="43" t="s">
        <v>39</v>
      </c>
    </row>
    <row r="849" spans="2:16">
      <c r="B849" s="43">
        <v>840</v>
      </c>
      <c r="C849" s="44"/>
      <c r="D849" s="50"/>
      <c r="E849" s="50"/>
      <c r="G849" s="44"/>
      <c r="H849" s="50"/>
      <c r="I849" s="50"/>
      <c r="K849" s="44"/>
      <c r="L849" s="50"/>
      <c r="N849" s="44"/>
      <c r="O849" s="50"/>
      <c r="P849" s="43" t="s">
        <v>39</v>
      </c>
    </row>
    <row r="850" spans="2:16">
      <c r="B850" s="43">
        <v>841</v>
      </c>
      <c r="C850" s="44"/>
      <c r="D850" s="50"/>
      <c r="E850" s="50"/>
      <c r="G850" s="44"/>
      <c r="H850" s="50"/>
      <c r="I850" s="50"/>
      <c r="K850" s="44"/>
      <c r="L850" s="50"/>
      <c r="N850" s="44"/>
      <c r="O850" s="50"/>
      <c r="P850" s="43" t="s">
        <v>39</v>
      </c>
    </row>
    <row r="851" spans="2:16">
      <c r="B851" s="43">
        <v>842</v>
      </c>
      <c r="C851" s="44"/>
      <c r="D851" s="50"/>
      <c r="E851" s="50"/>
      <c r="G851" s="44"/>
      <c r="H851" s="50"/>
      <c r="I851" s="50"/>
      <c r="K851" s="44"/>
      <c r="L851" s="50"/>
      <c r="N851" s="44"/>
      <c r="O851" s="50"/>
      <c r="P851" s="43" t="s">
        <v>39</v>
      </c>
    </row>
    <row r="852" spans="2:16">
      <c r="B852" s="43">
        <v>843</v>
      </c>
      <c r="C852" s="44"/>
      <c r="D852" s="50"/>
      <c r="E852" s="50"/>
      <c r="G852" s="44"/>
      <c r="H852" s="50"/>
      <c r="I852" s="50"/>
      <c r="K852" s="44"/>
      <c r="L852" s="50"/>
      <c r="N852" s="44"/>
      <c r="O852" s="50"/>
      <c r="P852" s="43" t="s">
        <v>39</v>
      </c>
    </row>
    <row r="853" spans="2:16">
      <c r="B853" s="43">
        <v>844</v>
      </c>
      <c r="C853" s="44"/>
      <c r="D853" s="50"/>
      <c r="E853" s="50"/>
      <c r="G853" s="44"/>
      <c r="H853" s="50"/>
      <c r="I853" s="50"/>
      <c r="K853" s="44"/>
      <c r="L853" s="50"/>
      <c r="N853" s="44"/>
      <c r="O853" s="50"/>
      <c r="P853" s="43" t="s">
        <v>39</v>
      </c>
    </row>
    <row r="854" spans="2:16">
      <c r="B854" s="43">
        <v>845</v>
      </c>
      <c r="C854" s="44"/>
      <c r="D854" s="50"/>
      <c r="E854" s="50"/>
      <c r="G854" s="44"/>
      <c r="H854" s="50"/>
      <c r="I854" s="50"/>
      <c r="K854" s="44"/>
      <c r="L854" s="50"/>
      <c r="N854" s="44"/>
      <c r="O854" s="50"/>
      <c r="P854" s="43" t="s">
        <v>39</v>
      </c>
    </row>
    <row r="855" spans="2:16">
      <c r="B855" s="43">
        <v>846</v>
      </c>
      <c r="C855" s="44"/>
      <c r="D855" s="50"/>
      <c r="E855" s="50"/>
      <c r="G855" s="44"/>
      <c r="H855" s="50"/>
      <c r="I855" s="50"/>
      <c r="K855" s="44"/>
      <c r="L855" s="50"/>
      <c r="N855" s="44"/>
      <c r="O855" s="50"/>
      <c r="P855" s="43" t="s">
        <v>39</v>
      </c>
    </row>
    <row r="856" spans="2:16">
      <c r="B856" s="43">
        <v>847</v>
      </c>
      <c r="C856" s="44"/>
      <c r="D856" s="50"/>
      <c r="E856" s="50"/>
      <c r="G856" s="44"/>
      <c r="H856" s="50"/>
      <c r="I856" s="50"/>
      <c r="K856" s="44"/>
      <c r="L856" s="50"/>
      <c r="N856" s="44"/>
      <c r="O856" s="50"/>
      <c r="P856" s="43" t="s">
        <v>39</v>
      </c>
    </row>
    <row r="857" spans="2:16">
      <c r="B857" s="43">
        <v>848</v>
      </c>
      <c r="C857" s="44"/>
      <c r="D857" s="50"/>
      <c r="E857" s="50"/>
      <c r="G857" s="44"/>
      <c r="H857" s="50"/>
      <c r="I857" s="50"/>
      <c r="K857" s="44"/>
      <c r="L857" s="50"/>
      <c r="N857" s="44"/>
      <c r="O857" s="50"/>
      <c r="P857" s="43" t="s">
        <v>39</v>
      </c>
    </row>
    <row r="858" spans="2:16">
      <c r="B858" s="43">
        <v>849</v>
      </c>
      <c r="C858" s="44"/>
      <c r="D858" s="50"/>
      <c r="E858" s="50"/>
      <c r="G858" s="44"/>
      <c r="H858" s="50"/>
      <c r="I858" s="50"/>
      <c r="K858" s="44"/>
      <c r="L858" s="50"/>
      <c r="N858" s="44"/>
      <c r="O858" s="50"/>
      <c r="P858" s="43" t="s">
        <v>39</v>
      </c>
    </row>
    <row r="859" spans="2:16">
      <c r="B859" s="43">
        <v>850</v>
      </c>
      <c r="C859" s="44"/>
      <c r="D859" s="50"/>
      <c r="E859" s="50"/>
      <c r="G859" s="44"/>
      <c r="H859" s="50"/>
      <c r="I859" s="50"/>
      <c r="K859" s="44"/>
      <c r="L859" s="50"/>
      <c r="N859" s="44"/>
      <c r="O859" s="50"/>
      <c r="P859" s="43" t="s">
        <v>39</v>
      </c>
    </row>
    <row r="860" spans="2:16">
      <c r="B860" s="43">
        <v>851</v>
      </c>
      <c r="C860" s="44"/>
      <c r="D860" s="50"/>
      <c r="E860" s="50"/>
      <c r="G860" s="44"/>
      <c r="H860" s="50"/>
      <c r="I860" s="50"/>
      <c r="K860" s="44"/>
      <c r="L860" s="50"/>
      <c r="N860" s="44"/>
      <c r="O860" s="50"/>
      <c r="P860" s="43" t="s">
        <v>39</v>
      </c>
    </row>
    <row r="861" spans="2:16">
      <c r="B861" s="43">
        <v>852</v>
      </c>
      <c r="C861" s="44"/>
      <c r="D861" s="50"/>
      <c r="E861" s="50"/>
      <c r="G861" s="44"/>
      <c r="H861" s="50"/>
      <c r="I861" s="50"/>
      <c r="K861" s="44"/>
      <c r="L861" s="50"/>
      <c r="N861" s="44"/>
      <c r="O861" s="50"/>
      <c r="P861" s="43" t="s">
        <v>39</v>
      </c>
    </row>
    <row r="862" spans="2:16">
      <c r="B862" s="43">
        <v>853</v>
      </c>
      <c r="C862" s="44"/>
      <c r="D862" s="50"/>
      <c r="E862" s="50"/>
      <c r="G862" s="44"/>
      <c r="H862" s="50"/>
      <c r="I862" s="50"/>
      <c r="K862" s="44"/>
      <c r="L862" s="50"/>
      <c r="N862" s="44"/>
      <c r="O862" s="50"/>
      <c r="P862" s="43" t="s">
        <v>39</v>
      </c>
    </row>
    <row r="863" spans="2:16">
      <c r="B863" s="43">
        <v>854</v>
      </c>
      <c r="C863" s="44"/>
      <c r="D863" s="50"/>
      <c r="E863" s="50"/>
      <c r="G863" s="44"/>
      <c r="H863" s="50"/>
      <c r="I863" s="50"/>
      <c r="K863" s="44"/>
      <c r="L863" s="50"/>
      <c r="N863" s="44"/>
      <c r="O863" s="50"/>
      <c r="P863" s="43" t="s">
        <v>39</v>
      </c>
    </row>
    <row r="864" spans="2:16">
      <c r="B864" s="43">
        <v>855</v>
      </c>
      <c r="C864" s="44"/>
      <c r="D864" s="50"/>
      <c r="E864" s="50"/>
      <c r="G864" s="44"/>
      <c r="H864" s="50"/>
      <c r="I864" s="50"/>
      <c r="K864" s="44"/>
      <c r="L864" s="50"/>
      <c r="N864" s="44"/>
      <c r="O864" s="50"/>
      <c r="P864" s="43" t="s">
        <v>39</v>
      </c>
    </row>
    <row r="865" spans="2:16">
      <c r="B865" s="43">
        <v>856</v>
      </c>
      <c r="C865" s="44"/>
      <c r="D865" s="50"/>
      <c r="E865" s="50"/>
      <c r="G865" s="44"/>
      <c r="H865" s="50"/>
      <c r="I865" s="50"/>
      <c r="K865" s="44"/>
      <c r="L865" s="50"/>
      <c r="N865" s="44"/>
      <c r="O865" s="50"/>
      <c r="P865" s="43" t="s">
        <v>39</v>
      </c>
    </row>
    <row r="866" spans="2:16">
      <c r="B866" s="43">
        <v>857</v>
      </c>
      <c r="C866" s="44"/>
      <c r="D866" s="50"/>
      <c r="E866" s="50"/>
      <c r="G866" s="44"/>
      <c r="H866" s="50"/>
      <c r="I866" s="50"/>
      <c r="K866" s="44"/>
      <c r="L866" s="50"/>
      <c r="N866" s="44"/>
      <c r="O866" s="50"/>
      <c r="P866" s="43" t="s">
        <v>39</v>
      </c>
    </row>
    <row r="867" spans="2:16">
      <c r="B867" s="43">
        <v>858</v>
      </c>
      <c r="C867" s="44"/>
      <c r="D867" s="50"/>
      <c r="E867" s="50"/>
      <c r="G867" s="44"/>
      <c r="H867" s="50"/>
      <c r="I867" s="50"/>
      <c r="K867" s="44"/>
      <c r="L867" s="50"/>
      <c r="N867" s="44"/>
      <c r="O867" s="50"/>
      <c r="P867" s="43" t="s">
        <v>39</v>
      </c>
    </row>
    <row r="868" spans="2:16">
      <c r="B868" s="43">
        <v>859</v>
      </c>
      <c r="C868" s="44"/>
      <c r="D868" s="50"/>
      <c r="E868" s="50"/>
      <c r="G868" s="44"/>
      <c r="H868" s="50"/>
      <c r="I868" s="50"/>
      <c r="K868" s="44"/>
      <c r="L868" s="50"/>
      <c r="N868" s="44"/>
      <c r="O868" s="50"/>
      <c r="P868" s="43" t="s">
        <v>39</v>
      </c>
    </row>
    <row r="869" spans="2:16">
      <c r="B869" s="43">
        <v>860</v>
      </c>
      <c r="C869" s="44"/>
      <c r="D869" s="50"/>
      <c r="E869" s="50"/>
      <c r="G869" s="44"/>
      <c r="H869" s="50"/>
      <c r="I869" s="50"/>
      <c r="K869" s="44"/>
      <c r="L869" s="50"/>
      <c r="N869" s="44"/>
      <c r="O869" s="50"/>
      <c r="P869" s="43" t="s">
        <v>39</v>
      </c>
    </row>
    <row r="870" spans="2:16">
      <c r="B870" s="43">
        <v>861</v>
      </c>
      <c r="C870" s="44"/>
      <c r="D870" s="50"/>
      <c r="E870" s="50"/>
      <c r="G870" s="44"/>
      <c r="H870" s="50"/>
      <c r="I870" s="50"/>
      <c r="K870" s="44"/>
      <c r="L870" s="50"/>
      <c r="N870" s="44"/>
      <c r="O870" s="50"/>
      <c r="P870" s="43" t="s">
        <v>39</v>
      </c>
    </row>
    <row r="871" spans="2:16">
      <c r="B871" s="43">
        <v>862</v>
      </c>
      <c r="C871" s="44"/>
      <c r="D871" s="50"/>
      <c r="E871" s="50"/>
      <c r="G871" s="44"/>
      <c r="H871" s="50"/>
      <c r="I871" s="50"/>
      <c r="K871" s="44"/>
      <c r="L871" s="50"/>
      <c r="N871" s="44"/>
      <c r="O871" s="50"/>
      <c r="P871" s="43" t="s">
        <v>39</v>
      </c>
    </row>
    <row r="872" spans="2:16">
      <c r="B872" s="43">
        <v>863</v>
      </c>
      <c r="C872" s="44"/>
      <c r="D872" s="50"/>
      <c r="E872" s="50"/>
      <c r="G872" s="44"/>
      <c r="H872" s="50"/>
      <c r="I872" s="50"/>
      <c r="K872" s="44"/>
      <c r="L872" s="50"/>
      <c r="N872" s="44"/>
      <c r="O872" s="50"/>
      <c r="P872" s="43" t="s">
        <v>39</v>
      </c>
    </row>
    <row r="873" spans="2:16">
      <c r="B873" s="43">
        <v>864</v>
      </c>
      <c r="C873" s="44"/>
      <c r="D873" s="50"/>
      <c r="E873" s="50"/>
      <c r="G873" s="44"/>
      <c r="H873" s="50"/>
      <c r="I873" s="50"/>
      <c r="K873" s="44"/>
      <c r="L873" s="50"/>
      <c r="N873" s="44"/>
      <c r="O873" s="50"/>
      <c r="P873" s="43" t="s">
        <v>39</v>
      </c>
    </row>
    <row r="874" spans="2:16">
      <c r="B874" s="43">
        <v>865</v>
      </c>
      <c r="C874" s="44"/>
      <c r="D874" s="50"/>
      <c r="E874" s="50"/>
      <c r="G874" s="44"/>
      <c r="H874" s="50"/>
      <c r="I874" s="50"/>
      <c r="K874" s="44"/>
      <c r="L874" s="50"/>
      <c r="N874" s="44"/>
      <c r="O874" s="50"/>
      <c r="P874" s="43" t="s">
        <v>39</v>
      </c>
    </row>
    <row r="875" spans="2:16">
      <c r="B875" s="43">
        <v>866</v>
      </c>
      <c r="C875" s="44"/>
      <c r="D875" s="50"/>
      <c r="E875" s="50"/>
      <c r="G875" s="44"/>
      <c r="H875" s="50"/>
      <c r="I875" s="50"/>
      <c r="K875" s="44"/>
      <c r="L875" s="50"/>
      <c r="N875" s="44"/>
      <c r="O875" s="50"/>
      <c r="P875" s="43" t="s">
        <v>39</v>
      </c>
    </row>
    <row r="876" spans="2:16">
      <c r="B876" s="43">
        <v>867</v>
      </c>
      <c r="C876" s="44"/>
      <c r="D876" s="50"/>
      <c r="E876" s="50"/>
      <c r="G876" s="44"/>
      <c r="H876" s="50"/>
      <c r="I876" s="50"/>
      <c r="K876" s="44"/>
      <c r="L876" s="50"/>
      <c r="N876" s="44"/>
      <c r="O876" s="50"/>
      <c r="P876" s="43" t="s">
        <v>39</v>
      </c>
    </row>
    <row r="877" spans="2:16">
      <c r="B877" s="43">
        <v>868</v>
      </c>
      <c r="C877" s="44"/>
      <c r="D877" s="50"/>
      <c r="E877" s="50"/>
      <c r="G877" s="44"/>
      <c r="H877" s="50"/>
      <c r="I877" s="50"/>
      <c r="K877" s="44"/>
      <c r="L877" s="50"/>
      <c r="N877" s="44"/>
      <c r="O877" s="50"/>
      <c r="P877" s="43" t="s">
        <v>39</v>
      </c>
    </row>
    <row r="878" spans="2:16">
      <c r="B878" s="43">
        <v>869</v>
      </c>
      <c r="C878" s="44"/>
      <c r="D878" s="50"/>
      <c r="E878" s="50"/>
      <c r="G878" s="44"/>
      <c r="H878" s="50"/>
      <c r="I878" s="50"/>
      <c r="K878" s="44"/>
      <c r="L878" s="50"/>
      <c r="N878" s="44"/>
      <c r="O878" s="50"/>
      <c r="P878" s="43" t="s">
        <v>39</v>
      </c>
    </row>
    <row r="879" spans="2:16">
      <c r="B879" s="43">
        <v>870</v>
      </c>
      <c r="C879" s="44"/>
      <c r="D879" s="50"/>
      <c r="E879" s="50"/>
      <c r="G879" s="44"/>
      <c r="H879" s="50"/>
      <c r="I879" s="50"/>
      <c r="K879" s="44"/>
      <c r="L879" s="50"/>
      <c r="N879" s="44"/>
      <c r="O879" s="50"/>
      <c r="P879" s="43" t="s">
        <v>39</v>
      </c>
    </row>
    <row r="880" spans="2:16">
      <c r="B880" s="43">
        <v>871</v>
      </c>
      <c r="C880" s="44"/>
      <c r="D880" s="50"/>
      <c r="E880" s="50"/>
      <c r="G880" s="44"/>
      <c r="H880" s="50"/>
      <c r="I880" s="50"/>
      <c r="K880" s="44"/>
      <c r="L880" s="50"/>
      <c r="N880" s="44"/>
      <c r="O880" s="50"/>
      <c r="P880" s="43" t="s">
        <v>39</v>
      </c>
    </row>
    <row r="881" spans="2:16">
      <c r="B881" s="43">
        <v>872</v>
      </c>
      <c r="C881" s="44"/>
      <c r="D881" s="50"/>
      <c r="E881" s="50"/>
      <c r="G881" s="44"/>
      <c r="H881" s="50"/>
      <c r="I881" s="50"/>
      <c r="K881" s="44"/>
      <c r="L881" s="50"/>
      <c r="N881" s="44"/>
      <c r="O881" s="50"/>
      <c r="P881" s="43" t="s">
        <v>39</v>
      </c>
    </row>
    <row r="882" spans="2:16">
      <c r="B882" s="43">
        <v>873</v>
      </c>
      <c r="C882" s="44"/>
      <c r="D882" s="50"/>
      <c r="E882" s="50"/>
      <c r="G882" s="44"/>
      <c r="H882" s="50"/>
      <c r="I882" s="50"/>
      <c r="K882" s="44"/>
      <c r="L882" s="50"/>
      <c r="N882" s="44"/>
      <c r="O882" s="50"/>
      <c r="P882" s="43" t="s">
        <v>39</v>
      </c>
    </row>
    <row r="883" spans="2:16">
      <c r="B883" s="43">
        <v>874</v>
      </c>
      <c r="C883" s="44"/>
      <c r="D883" s="50"/>
      <c r="E883" s="50"/>
      <c r="G883" s="44"/>
      <c r="H883" s="50"/>
      <c r="I883" s="50"/>
      <c r="K883" s="44"/>
      <c r="L883" s="50"/>
      <c r="N883" s="44"/>
      <c r="O883" s="50"/>
      <c r="P883" s="43" t="s">
        <v>39</v>
      </c>
    </row>
    <row r="884" spans="2:16">
      <c r="B884" s="43">
        <v>875</v>
      </c>
      <c r="C884" s="44"/>
      <c r="D884" s="50"/>
      <c r="E884" s="50"/>
      <c r="G884" s="44"/>
      <c r="H884" s="50"/>
      <c r="I884" s="50"/>
      <c r="K884" s="44"/>
      <c r="L884" s="50"/>
      <c r="N884" s="44"/>
      <c r="O884" s="50"/>
      <c r="P884" s="43" t="s">
        <v>39</v>
      </c>
    </row>
    <row r="885" spans="2:16">
      <c r="B885" s="43">
        <v>876</v>
      </c>
      <c r="C885" s="44"/>
      <c r="D885" s="50"/>
      <c r="E885" s="50"/>
      <c r="G885" s="44"/>
      <c r="H885" s="50"/>
      <c r="I885" s="50"/>
      <c r="K885" s="44"/>
      <c r="L885" s="50"/>
      <c r="N885" s="44"/>
      <c r="O885" s="50"/>
      <c r="P885" s="43" t="s">
        <v>39</v>
      </c>
    </row>
    <row r="886" spans="2:16">
      <c r="B886" s="43">
        <v>877</v>
      </c>
      <c r="C886" s="44"/>
      <c r="D886" s="50"/>
      <c r="E886" s="50"/>
      <c r="G886" s="44"/>
      <c r="H886" s="50"/>
      <c r="I886" s="50"/>
      <c r="K886" s="44"/>
      <c r="L886" s="50"/>
      <c r="N886" s="44"/>
      <c r="O886" s="50"/>
      <c r="P886" s="43" t="s">
        <v>39</v>
      </c>
    </row>
    <row r="887" spans="2:16">
      <c r="B887" s="43">
        <v>878</v>
      </c>
      <c r="C887" s="44"/>
      <c r="D887" s="50"/>
      <c r="E887" s="50"/>
      <c r="G887" s="44"/>
      <c r="H887" s="50"/>
      <c r="I887" s="50"/>
      <c r="K887" s="44"/>
      <c r="L887" s="50"/>
      <c r="N887" s="44"/>
      <c r="O887" s="50"/>
      <c r="P887" s="43" t="s">
        <v>39</v>
      </c>
    </row>
    <row r="888" spans="2:16">
      <c r="B888" s="43">
        <v>879</v>
      </c>
      <c r="C888" s="44"/>
      <c r="D888" s="50"/>
      <c r="E888" s="50"/>
      <c r="G888" s="44"/>
      <c r="H888" s="50"/>
      <c r="I888" s="50"/>
      <c r="K888" s="44"/>
      <c r="L888" s="50"/>
      <c r="N888" s="44"/>
      <c r="O888" s="50"/>
      <c r="P888" s="43" t="s">
        <v>39</v>
      </c>
    </row>
    <row r="889" spans="2:16">
      <c r="B889" s="43">
        <v>880</v>
      </c>
      <c r="C889" s="44"/>
      <c r="D889" s="50"/>
      <c r="E889" s="50"/>
      <c r="G889" s="44"/>
      <c r="H889" s="50"/>
      <c r="I889" s="50"/>
      <c r="K889" s="44"/>
      <c r="L889" s="50"/>
      <c r="N889" s="44"/>
      <c r="O889" s="50"/>
      <c r="P889" s="43" t="s">
        <v>39</v>
      </c>
    </row>
    <row r="890" spans="2:16">
      <c r="B890" s="43">
        <v>881</v>
      </c>
      <c r="C890" s="44"/>
      <c r="D890" s="50"/>
      <c r="E890" s="50"/>
      <c r="G890" s="44"/>
      <c r="H890" s="50"/>
      <c r="I890" s="50"/>
      <c r="K890" s="44"/>
      <c r="L890" s="50"/>
      <c r="N890" s="44"/>
      <c r="O890" s="50"/>
      <c r="P890" s="43" t="s">
        <v>39</v>
      </c>
    </row>
    <row r="891" spans="2:16">
      <c r="B891" s="43">
        <v>882</v>
      </c>
      <c r="C891" s="44"/>
      <c r="D891" s="50"/>
      <c r="E891" s="50"/>
      <c r="G891" s="44"/>
      <c r="H891" s="50"/>
      <c r="I891" s="50"/>
      <c r="K891" s="44"/>
      <c r="L891" s="50"/>
      <c r="N891" s="44"/>
      <c r="O891" s="50"/>
      <c r="P891" s="43" t="s">
        <v>39</v>
      </c>
    </row>
    <row r="892" spans="2:16">
      <c r="B892" s="43">
        <v>883</v>
      </c>
      <c r="C892" s="44"/>
      <c r="D892" s="50"/>
      <c r="E892" s="50"/>
      <c r="G892" s="44"/>
      <c r="H892" s="50"/>
      <c r="I892" s="50"/>
      <c r="K892" s="44"/>
      <c r="L892" s="50"/>
      <c r="N892" s="44"/>
      <c r="O892" s="50"/>
      <c r="P892" s="43" t="s">
        <v>39</v>
      </c>
    </row>
    <row r="893" spans="2:16">
      <c r="B893" s="43">
        <v>884</v>
      </c>
      <c r="C893" s="44"/>
      <c r="D893" s="50"/>
      <c r="E893" s="50"/>
      <c r="G893" s="44"/>
      <c r="H893" s="50"/>
      <c r="I893" s="50"/>
      <c r="K893" s="44"/>
      <c r="L893" s="50"/>
      <c r="N893" s="44"/>
      <c r="O893" s="50"/>
      <c r="P893" s="43" t="s">
        <v>39</v>
      </c>
    </row>
    <row r="894" spans="2:16">
      <c r="B894" s="43">
        <v>885</v>
      </c>
      <c r="C894" s="44"/>
      <c r="D894" s="50"/>
      <c r="E894" s="50"/>
      <c r="G894" s="44"/>
      <c r="H894" s="50"/>
      <c r="I894" s="50"/>
      <c r="K894" s="44"/>
      <c r="L894" s="50"/>
      <c r="N894" s="44"/>
      <c r="O894" s="50"/>
      <c r="P894" s="43" t="s">
        <v>39</v>
      </c>
    </row>
    <row r="895" spans="2:16">
      <c r="B895" s="43">
        <v>886</v>
      </c>
      <c r="C895" s="44"/>
      <c r="D895" s="50"/>
      <c r="E895" s="50"/>
      <c r="G895" s="44"/>
      <c r="H895" s="50"/>
      <c r="I895" s="50"/>
      <c r="K895" s="44"/>
      <c r="L895" s="50"/>
      <c r="N895" s="44"/>
      <c r="O895" s="50"/>
      <c r="P895" s="43" t="s">
        <v>39</v>
      </c>
    </row>
    <row r="896" spans="2:16">
      <c r="B896" s="43">
        <v>887</v>
      </c>
      <c r="C896" s="44"/>
      <c r="D896" s="50"/>
      <c r="E896" s="50"/>
      <c r="G896" s="44"/>
      <c r="H896" s="50"/>
      <c r="I896" s="50"/>
      <c r="K896" s="44"/>
      <c r="L896" s="50"/>
      <c r="N896" s="44"/>
      <c r="O896" s="50"/>
      <c r="P896" s="43" t="s">
        <v>39</v>
      </c>
    </row>
    <row r="897" spans="2:16">
      <c r="B897" s="43">
        <v>888</v>
      </c>
      <c r="C897" s="44"/>
      <c r="D897" s="50"/>
      <c r="E897" s="50"/>
      <c r="G897" s="44"/>
      <c r="H897" s="50"/>
      <c r="I897" s="50"/>
      <c r="K897" s="44"/>
      <c r="L897" s="50"/>
      <c r="N897" s="44"/>
      <c r="O897" s="50"/>
      <c r="P897" s="43" t="s">
        <v>39</v>
      </c>
    </row>
    <row r="898" spans="2:16">
      <c r="B898" s="43">
        <v>889</v>
      </c>
      <c r="C898" s="44"/>
      <c r="D898" s="50"/>
      <c r="E898" s="50"/>
      <c r="G898" s="44"/>
      <c r="H898" s="50"/>
      <c r="I898" s="50"/>
      <c r="K898" s="44"/>
      <c r="L898" s="50"/>
      <c r="N898" s="44"/>
      <c r="O898" s="50"/>
      <c r="P898" s="43" t="s">
        <v>39</v>
      </c>
    </row>
    <row r="899" spans="2:16">
      <c r="B899" s="43">
        <v>890</v>
      </c>
      <c r="C899" s="44"/>
      <c r="D899" s="50"/>
      <c r="E899" s="50"/>
      <c r="G899" s="44"/>
      <c r="H899" s="50"/>
      <c r="I899" s="50"/>
      <c r="K899" s="44"/>
      <c r="L899" s="50"/>
      <c r="N899" s="44"/>
      <c r="O899" s="50"/>
      <c r="P899" s="43" t="s">
        <v>39</v>
      </c>
    </row>
    <row r="900" spans="2:16">
      <c r="B900" s="43">
        <v>891</v>
      </c>
      <c r="C900" s="44"/>
      <c r="D900" s="50"/>
      <c r="E900" s="50"/>
      <c r="G900" s="44"/>
      <c r="H900" s="50"/>
      <c r="I900" s="50"/>
      <c r="K900" s="44"/>
      <c r="L900" s="50"/>
      <c r="N900" s="44"/>
      <c r="O900" s="50"/>
      <c r="P900" s="43" t="s">
        <v>39</v>
      </c>
    </row>
    <row r="901" spans="2:16">
      <c r="B901" s="43">
        <v>892</v>
      </c>
      <c r="C901" s="44"/>
      <c r="D901" s="50"/>
      <c r="E901" s="50"/>
      <c r="G901" s="44"/>
      <c r="H901" s="50"/>
      <c r="I901" s="50"/>
      <c r="K901" s="44"/>
      <c r="L901" s="50"/>
      <c r="N901" s="44"/>
      <c r="O901" s="50"/>
      <c r="P901" s="43" t="s">
        <v>39</v>
      </c>
    </row>
    <row r="902" spans="2:16">
      <c r="B902" s="43">
        <v>893</v>
      </c>
      <c r="C902" s="44"/>
      <c r="D902" s="50"/>
      <c r="E902" s="50"/>
      <c r="G902" s="44"/>
      <c r="H902" s="50"/>
      <c r="I902" s="50"/>
      <c r="K902" s="44"/>
      <c r="L902" s="50"/>
      <c r="N902" s="44"/>
      <c r="O902" s="50"/>
      <c r="P902" s="43" t="s">
        <v>39</v>
      </c>
    </row>
    <row r="903" spans="2:16">
      <c r="B903" s="43">
        <v>894</v>
      </c>
      <c r="C903" s="44"/>
      <c r="D903" s="50"/>
      <c r="E903" s="50"/>
      <c r="G903" s="44"/>
      <c r="H903" s="50"/>
      <c r="I903" s="50"/>
      <c r="K903" s="44"/>
      <c r="L903" s="50"/>
      <c r="N903" s="44"/>
      <c r="O903" s="50"/>
      <c r="P903" s="43" t="s">
        <v>39</v>
      </c>
    </row>
    <row r="904" spans="2:16">
      <c r="B904" s="43">
        <v>895</v>
      </c>
      <c r="C904" s="44"/>
      <c r="D904" s="50"/>
      <c r="E904" s="50"/>
      <c r="G904" s="44"/>
      <c r="H904" s="50"/>
      <c r="I904" s="50"/>
      <c r="K904" s="44"/>
      <c r="L904" s="50"/>
      <c r="N904" s="44"/>
      <c r="O904" s="50"/>
      <c r="P904" s="43" t="s">
        <v>39</v>
      </c>
    </row>
    <row r="905" spans="2:16">
      <c r="B905" s="43">
        <v>896</v>
      </c>
      <c r="C905" s="44"/>
      <c r="D905" s="50"/>
      <c r="E905" s="50"/>
      <c r="G905" s="44"/>
      <c r="H905" s="50"/>
      <c r="I905" s="50"/>
      <c r="K905" s="44"/>
      <c r="L905" s="50"/>
      <c r="N905" s="44"/>
      <c r="O905" s="50"/>
      <c r="P905" s="43" t="s">
        <v>39</v>
      </c>
    </row>
    <row r="906" spans="2:16">
      <c r="B906" s="43">
        <v>897</v>
      </c>
      <c r="C906" s="44"/>
      <c r="D906" s="50"/>
      <c r="E906" s="50"/>
      <c r="G906" s="44"/>
      <c r="H906" s="50"/>
      <c r="I906" s="50"/>
      <c r="K906" s="44"/>
      <c r="L906" s="50"/>
      <c r="N906" s="44"/>
      <c r="O906" s="50"/>
      <c r="P906" s="43" t="s">
        <v>39</v>
      </c>
    </row>
    <row r="907" spans="2:16">
      <c r="B907" s="43">
        <v>898</v>
      </c>
      <c r="C907" s="44"/>
      <c r="D907" s="50"/>
      <c r="E907" s="50"/>
      <c r="G907" s="44"/>
      <c r="H907" s="50"/>
      <c r="I907" s="50"/>
      <c r="K907" s="44"/>
      <c r="L907" s="50"/>
      <c r="N907" s="44"/>
      <c r="O907" s="50"/>
      <c r="P907" s="43" t="s">
        <v>39</v>
      </c>
    </row>
    <row r="908" spans="2:16">
      <c r="B908" s="43">
        <v>899</v>
      </c>
      <c r="C908" s="44"/>
      <c r="D908" s="50"/>
      <c r="E908" s="50"/>
      <c r="G908" s="44"/>
      <c r="H908" s="50"/>
      <c r="I908" s="50"/>
      <c r="K908" s="44"/>
      <c r="L908" s="50"/>
      <c r="N908" s="44"/>
      <c r="O908" s="50"/>
      <c r="P908" s="43" t="s">
        <v>39</v>
      </c>
    </row>
    <row r="909" spans="2:16">
      <c r="B909" s="43">
        <v>900</v>
      </c>
      <c r="C909" s="44"/>
      <c r="D909" s="50"/>
      <c r="E909" s="50"/>
      <c r="G909" s="44"/>
      <c r="H909" s="50"/>
      <c r="I909" s="50"/>
      <c r="K909" s="44"/>
      <c r="L909" s="50"/>
      <c r="N909" s="44"/>
      <c r="O909" s="50"/>
      <c r="P909" s="43" t="s">
        <v>39</v>
      </c>
    </row>
    <row r="910" spans="2:16">
      <c r="B910" s="43">
        <v>901</v>
      </c>
      <c r="C910" s="44"/>
      <c r="D910" s="50"/>
      <c r="E910" s="50"/>
      <c r="G910" s="44"/>
      <c r="H910" s="50"/>
      <c r="I910" s="50"/>
      <c r="K910" s="44"/>
      <c r="L910" s="50"/>
      <c r="N910" s="44"/>
      <c r="O910" s="50"/>
      <c r="P910" s="43" t="s">
        <v>39</v>
      </c>
    </row>
    <row r="911" spans="2:16">
      <c r="B911" s="43">
        <v>902</v>
      </c>
      <c r="C911" s="44"/>
      <c r="D911" s="50"/>
      <c r="E911" s="50"/>
      <c r="G911" s="44"/>
      <c r="H911" s="50"/>
      <c r="I911" s="50"/>
      <c r="K911" s="44"/>
      <c r="L911" s="50"/>
      <c r="N911" s="44"/>
      <c r="O911" s="50"/>
      <c r="P911" s="43" t="s">
        <v>39</v>
      </c>
    </row>
    <row r="912" spans="2:16">
      <c r="B912" s="43">
        <v>903</v>
      </c>
      <c r="C912" s="44"/>
      <c r="D912" s="50"/>
      <c r="E912" s="50"/>
      <c r="G912" s="44"/>
      <c r="H912" s="50"/>
      <c r="I912" s="50"/>
      <c r="K912" s="44"/>
      <c r="L912" s="50"/>
      <c r="N912" s="44"/>
      <c r="O912" s="50"/>
      <c r="P912" s="43" t="s">
        <v>39</v>
      </c>
    </row>
    <row r="913" spans="2:16">
      <c r="B913" s="43">
        <v>904</v>
      </c>
      <c r="C913" s="44"/>
      <c r="D913" s="50"/>
      <c r="E913" s="50"/>
      <c r="G913" s="44"/>
      <c r="H913" s="50"/>
      <c r="I913" s="50"/>
      <c r="K913" s="44"/>
      <c r="L913" s="50"/>
      <c r="N913" s="44"/>
      <c r="O913" s="50"/>
      <c r="P913" s="43" t="s">
        <v>39</v>
      </c>
    </row>
    <row r="914" spans="2:16">
      <c r="B914" s="43">
        <v>905</v>
      </c>
      <c r="C914" s="44"/>
      <c r="D914" s="50"/>
      <c r="E914" s="50"/>
      <c r="G914" s="44"/>
      <c r="H914" s="50"/>
      <c r="I914" s="50"/>
      <c r="K914" s="44"/>
      <c r="L914" s="50"/>
      <c r="N914" s="44"/>
      <c r="O914" s="50"/>
      <c r="P914" s="43" t="s">
        <v>39</v>
      </c>
    </row>
    <row r="915" spans="2:16">
      <c r="B915" s="43">
        <v>906</v>
      </c>
      <c r="C915" s="44"/>
      <c r="D915" s="50"/>
      <c r="E915" s="50"/>
      <c r="G915" s="44"/>
      <c r="H915" s="50"/>
      <c r="I915" s="50"/>
      <c r="K915" s="44"/>
      <c r="L915" s="50"/>
      <c r="N915" s="44"/>
      <c r="O915" s="50"/>
      <c r="P915" s="43" t="s">
        <v>39</v>
      </c>
    </row>
    <row r="916" spans="2:16">
      <c r="B916" s="43">
        <v>907</v>
      </c>
      <c r="C916" s="44"/>
      <c r="D916" s="50"/>
      <c r="E916" s="50"/>
      <c r="G916" s="44"/>
      <c r="H916" s="50"/>
      <c r="I916" s="50"/>
      <c r="K916" s="44"/>
      <c r="L916" s="50"/>
      <c r="N916" s="44"/>
      <c r="O916" s="50"/>
      <c r="P916" s="43" t="s">
        <v>39</v>
      </c>
    </row>
    <row r="917" spans="2:16">
      <c r="B917" s="43">
        <v>908</v>
      </c>
      <c r="C917" s="44"/>
      <c r="D917" s="50"/>
      <c r="E917" s="50"/>
      <c r="G917" s="44"/>
      <c r="H917" s="50"/>
      <c r="I917" s="50"/>
      <c r="K917" s="44"/>
      <c r="L917" s="50"/>
      <c r="N917" s="44"/>
      <c r="O917" s="50"/>
      <c r="P917" s="43" t="s">
        <v>39</v>
      </c>
    </row>
    <row r="918" spans="2:16">
      <c r="B918" s="43">
        <v>909</v>
      </c>
      <c r="C918" s="44"/>
      <c r="D918" s="50"/>
      <c r="E918" s="50"/>
      <c r="G918" s="44"/>
      <c r="H918" s="50"/>
      <c r="I918" s="50"/>
      <c r="K918" s="44"/>
      <c r="L918" s="50"/>
      <c r="N918" s="44"/>
      <c r="O918" s="50"/>
      <c r="P918" s="43" t="s">
        <v>39</v>
      </c>
    </row>
    <row r="919" spans="2:16">
      <c r="B919" s="43">
        <v>910</v>
      </c>
      <c r="C919" s="44"/>
      <c r="D919" s="50"/>
      <c r="E919" s="50"/>
      <c r="G919" s="44"/>
      <c r="H919" s="50"/>
      <c r="I919" s="50"/>
      <c r="K919" s="44"/>
      <c r="L919" s="50"/>
      <c r="N919" s="44"/>
      <c r="O919" s="50"/>
      <c r="P919" s="43" t="s">
        <v>39</v>
      </c>
    </row>
    <row r="920" spans="2:16">
      <c r="B920" s="43">
        <v>911</v>
      </c>
      <c r="C920" s="44"/>
      <c r="D920" s="50"/>
      <c r="E920" s="50"/>
      <c r="G920" s="44"/>
      <c r="H920" s="50"/>
      <c r="I920" s="50"/>
      <c r="K920" s="44"/>
      <c r="L920" s="50"/>
      <c r="N920" s="44"/>
      <c r="O920" s="50"/>
      <c r="P920" s="43" t="s">
        <v>39</v>
      </c>
    </row>
    <row r="921" spans="2:16">
      <c r="B921" s="43">
        <v>912</v>
      </c>
      <c r="C921" s="44"/>
      <c r="D921" s="50"/>
      <c r="E921" s="50"/>
      <c r="G921" s="44"/>
      <c r="H921" s="50"/>
      <c r="I921" s="50"/>
      <c r="K921" s="44"/>
      <c r="L921" s="50"/>
      <c r="N921" s="44"/>
      <c r="O921" s="50"/>
      <c r="P921" s="43" t="s">
        <v>39</v>
      </c>
    </row>
    <row r="922" spans="2:16">
      <c r="B922" s="43">
        <v>913</v>
      </c>
      <c r="C922" s="44"/>
      <c r="D922" s="50"/>
      <c r="E922" s="50"/>
      <c r="G922" s="44"/>
      <c r="H922" s="50"/>
      <c r="I922" s="50"/>
      <c r="K922" s="44"/>
      <c r="L922" s="50"/>
      <c r="N922" s="44"/>
      <c r="O922" s="50"/>
      <c r="P922" s="43" t="s">
        <v>39</v>
      </c>
    </row>
    <row r="923" spans="2:16">
      <c r="B923" s="43">
        <v>914</v>
      </c>
      <c r="C923" s="44"/>
      <c r="D923" s="50"/>
      <c r="E923" s="50"/>
      <c r="G923" s="44"/>
      <c r="H923" s="50"/>
      <c r="I923" s="50"/>
      <c r="K923" s="44"/>
      <c r="L923" s="50"/>
      <c r="N923" s="44"/>
      <c r="O923" s="50"/>
      <c r="P923" s="43" t="s">
        <v>39</v>
      </c>
    </row>
    <row r="924" spans="2:16">
      <c r="B924" s="43">
        <v>915</v>
      </c>
      <c r="C924" s="44"/>
      <c r="D924" s="50"/>
      <c r="E924" s="50"/>
      <c r="G924" s="44"/>
      <c r="H924" s="50"/>
      <c r="I924" s="50"/>
      <c r="K924" s="44"/>
      <c r="L924" s="50"/>
      <c r="N924" s="44"/>
      <c r="O924" s="50"/>
      <c r="P924" s="43" t="s">
        <v>39</v>
      </c>
    </row>
    <row r="925" spans="2:16">
      <c r="B925" s="43">
        <v>916</v>
      </c>
      <c r="C925" s="44"/>
      <c r="D925" s="50"/>
      <c r="E925" s="50"/>
      <c r="G925" s="44"/>
      <c r="H925" s="50"/>
      <c r="I925" s="50"/>
      <c r="K925" s="44"/>
      <c r="L925" s="50"/>
      <c r="N925" s="44"/>
      <c r="O925" s="50"/>
      <c r="P925" s="43" t="s">
        <v>39</v>
      </c>
    </row>
    <row r="926" spans="2:16">
      <c r="B926" s="43">
        <v>917</v>
      </c>
      <c r="C926" s="44"/>
      <c r="D926" s="50"/>
      <c r="E926" s="50"/>
      <c r="G926" s="44"/>
      <c r="H926" s="50"/>
      <c r="I926" s="50"/>
      <c r="K926" s="44"/>
      <c r="L926" s="50"/>
      <c r="N926" s="44"/>
      <c r="O926" s="50"/>
      <c r="P926" s="43" t="s">
        <v>39</v>
      </c>
    </row>
    <row r="927" spans="2:16">
      <c r="B927" s="43">
        <v>918</v>
      </c>
      <c r="C927" s="44"/>
      <c r="D927" s="50"/>
      <c r="E927" s="50"/>
      <c r="G927" s="44"/>
      <c r="H927" s="50"/>
      <c r="I927" s="50"/>
      <c r="K927" s="44"/>
      <c r="L927" s="50"/>
      <c r="N927" s="44"/>
      <c r="O927" s="50"/>
      <c r="P927" s="43" t="s">
        <v>39</v>
      </c>
    </row>
    <row r="928" spans="2:16">
      <c r="B928" s="43">
        <v>919</v>
      </c>
      <c r="C928" s="44"/>
      <c r="D928" s="50"/>
      <c r="E928" s="50"/>
      <c r="G928" s="44"/>
      <c r="H928" s="50"/>
      <c r="I928" s="50"/>
      <c r="K928" s="44"/>
      <c r="L928" s="50"/>
      <c r="N928" s="44"/>
      <c r="O928" s="50"/>
      <c r="P928" s="43" t="s">
        <v>39</v>
      </c>
    </row>
    <row r="929" spans="2:16">
      <c r="B929" s="43">
        <v>920</v>
      </c>
      <c r="C929" s="44"/>
      <c r="D929" s="50"/>
      <c r="E929" s="50"/>
      <c r="G929" s="44"/>
      <c r="H929" s="50"/>
      <c r="I929" s="50"/>
      <c r="K929" s="44"/>
      <c r="L929" s="50"/>
      <c r="N929" s="44"/>
      <c r="O929" s="50"/>
      <c r="P929" s="43" t="s">
        <v>39</v>
      </c>
    </row>
    <row r="930" spans="2:16">
      <c r="B930" s="43">
        <v>921</v>
      </c>
      <c r="C930" s="44"/>
      <c r="D930" s="50"/>
      <c r="E930" s="50"/>
      <c r="G930" s="44"/>
      <c r="H930" s="50"/>
      <c r="I930" s="50"/>
      <c r="K930" s="44"/>
      <c r="L930" s="50"/>
      <c r="N930" s="44"/>
      <c r="O930" s="50"/>
      <c r="P930" s="43" t="s">
        <v>39</v>
      </c>
    </row>
    <row r="931" spans="2:16">
      <c r="B931" s="43">
        <v>922</v>
      </c>
      <c r="C931" s="44"/>
      <c r="D931" s="50"/>
      <c r="E931" s="50"/>
      <c r="G931" s="44"/>
      <c r="H931" s="50"/>
      <c r="I931" s="50"/>
      <c r="K931" s="44"/>
      <c r="L931" s="50"/>
      <c r="N931" s="44"/>
      <c r="O931" s="50"/>
      <c r="P931" s="43" t="s">
        <v>39</v>
      </c>
    </row>
    <row r="932" spans="2:16">
      <c r="B932" s="43">
        <v>923</v>
      </c>
      <c r="C932" s="44"/>
      <c r="D932" s="50"/>
      <c r="E932" s="50"/>
      <c r="G932" s="44"/>
      <c r="H932" s="50"/>
      <c r="I932" s="50"/>
      <c r="K932" s="44"/>
      <c r="L932" s="50"/>
      <c r="N932" s="44"/>
      <c r="O932" s="50"/>
      <c r="P932" s="43" t="s">
        <v>39</v>
      </c>
    </row>
    <row r="933" spans="2:16">
      <c r="B933" s="43">
        <v>924</v>
      </c>
      <c r="C933" s="44"/>
      <c r="D933" s="50"/>
      <c r="E933" s="50"/>
      <c r="G933" s="44"/>
      <c r="H933" s="50"/>
      <c r="I933" s="50"/>
      <c r="K933" s="44"/>
      <c r="L933" s="50"/>
      <c r="N933" s="44"/>
      <c r="O933" s="50"/>
      <c r="P933" s="43" t="s">
        <v>39</v>
      </c>
    </row>
    <row r="934" spans="2:16">
      <c r="B934" s="43">
        <v>925</v>
      </c>
      <c r="C934" s="44"/>
      <c r="D934" s="50"/>
      <c r="E934" s="50"/>
      <c r="G934" s="44"/>
      <c r="H934" s="50"/>
      <c r="I934" s="50"/>
      <c r="K934" s="44"/>
      <c r="L934" s="50"/>
      <c r="N934" s="44"/>
      <c r="O934" s="50"/>
      <c r="P934" s="43" t="s">
        <v>39</v>
      </c>
    </row>
    <row r="935" spans="2:16">
      <c r="B935" s="43">
        <v>926</v>
      </c>
      <c r="C935" s="44"/>
      <c r="D935" s="50"/>
      <c r="E935" s="50"/>
      <c r="G935" s="44"/>
      <c r="H935" s="50"/>
      <c r="I935" s="50"/>
      <c r="K935" s="44"/>
      <c r="L935" s="50"/>
      <c r="N935" s="44"/>
      <c r="O935" s="50"/>
      <c r="P935" s="43" t="s">
        <v>39</v>
      </c>
    </row>
    <row r="936" spans="2:16">
      <c r="B936" s="43">
        <v>927</v>
      </c>
      <c r="C936" s="44"/>
      <c r="D936" s="50"/>
      <c r="E936" s="50"/>
      <c r="G936" s="44"/>
      <c r="H936" s="50"/>
      <c r="I936" s="50"/>
      <c r="K936" s="44"/>
      <c r="L936" s="50"/>
      <c r="N936" s="44"/>
      <c r="O936" s="50"/>
      <c r="P936" s="43" t="s">
        <v>39</v>
      </c>
    </row>
    <row r="937" spans="2:16">
      <c r="B937" s="43">
        <v>928</v>
      </c>
      <c r="C937" s="44"/>
      <c r="D937" s="50"/>
      <c r="E937" s="50"/>
      <c r="G937" s="44"/>
      <c r="H937" s="50"/>
      <c r="I937" s="50"/>
      <c r="K937" s="44"/>
      <c r="L937" s="50"/>
      <c r="N937" s="44"/>
      <c r="O937" s="50"/>
      <c r="P937" s="43" t="s">
        <v>39</v>
      </c>
    </row>
    <row r="938" spans="2:16">
      <c r="B938" s="43">
        <v>929</v>
      </c>
      <c r="C938" s="44"/>
      <c r="D938" s="50"/>
      <c r="E938" s="50"/>
      <c r="G938" s="44"/>
      <c r="H938" s="50"/>
      <c r="I938" s="50"/>
      <c r="K938" s="44"/>
      <c r="L938" s="50"/>
      <c r="N938" s="44"/>
      <c r="O938" s="50"/>
      <c r="P938" s="43" t="s">
        <v>39</v>
      </c>
    </row>
    <row r="939" spans="2:16">
      <c r="B939" s="43">
        <v>930</v>
      </c>
      <c r="C939" s="44"/>
      <c r="D939" s="50"/>
      <c r="E939" s="50"/>
      <c r="G939" s="44"/>
      <c r="H939" s="50"/>
      <c r="I939" s="50"/>
      <c r="K939" s="44"/>
      <c r="L939" s="50"/>
      <c r="N939" s="44"/>
      <c r="O939" s="50"/>
      <c r="P939" s="43" t="s">
        <v>39</v>
      </c>
    </row>
    <row r="940" spans="2:16">
      <c r="B940" s="43">
        <v>931</v>
      </c>
      <c r="C940" s="44"/>
      <c r="D940" s="50"/>
      <c r="E940" s="50"/>
      <c r="G940" s="44"/>
      <c r="H940" s="50"/>
      <c r="I940" s="50"/>
      <c r="K940" s="44"/>
      <c r="L940" s="50"/>
      <c r="N940" s="44"/>
      <c r="O940" s="50"/>
      <c r="P940" s="43" t="s">
        <v>39</v>
      </c>
    </row>
    <row r="941" spans="2:16">
      <c r="B941" s="43">
        <v>932</v>
      </c>
      <c r="C941" s="44"/>
      <c r="D941" s="50"/>
      <c r="E941" s="50"/>
      <c r="G941" s="44"/>
      <c r="H941" s="50"/>
      <c r="I941" s="50"/>
      <c r="K941" s="44"/>
      <c r="L941" s="50"/>
      <c r="N941" s="44"/>
      <c r="O941" s="50"/>
      <c r="P941" s="43" t="s">
        <v>39</v>
      </c>
    </row>
    <row r="942" spans="2:16">
      <c r="B942" s="43">
        <v>933</v>
      </c>
      <c r="C942" s="44"/>
      <c r="D942" s="50"/>
      <c r="E942" s="50"/>
      <c r="G942" s="44"/>
      <c r="H942" s="50"/>
      <c r="I942" s="50"/>
      <c r="K942" s="44"/>
      <c r="L942" s="50"/>
      <c r="N942" s="44"/>
      <c r="O942" s="50"/>
      <c r="P942" s="43" t="s">
        <v>39</v>
      </c>
    </row>
    <row r="943" spans="2:16">
      <c r="B943" s="43">
        <v>934</v>
      </c>
      <c r="C943" s="44"/>
      <c r="D943" s="50"/>
      <c r="E943" s="50"/>
      <c r="G943" s="44"/>
      <c r="H943" s="50"/>
      <c r="I943" s="50"/>
      <c r="K943" s="44"/>
      <c r="L943" s="50"/>
      <c r="N943" s="44"/>
      <c r="O943" s="50"/>
      <c r="P943" s="43" t="s">
        <v>39</v>
      </c>
    </row>
    <row r="944" spans="2:16">
      <c r="B944" s="43">
        <v>935</v>
      </c>
      <c r="C944" s="44"/>
      <c r="D944" s="50"/>
      <c r="E944" s="50"/>
      <c r="G944" s="44"/>
      <c r="H944" s="50"/>
      <c r="I944" s="50"/>
      <c r="K944" s="44"/>
      <c r="L944" s="50"/>
      <c r="N944" s="44"/>
      <c r="O944" s="50"/>
      <c r="P944" s="43" t="s">
        <v>39</v>
      </c>
    </row>
    <row r="945" spans="2:16">
      <c r="B945" s="43">
        <v>936</v>
      </c>
      <c r="C945" s="44"/>
      <c r="D945" s="50"/>
      <c r="E945" s="50"/>
      <c r="G945" s="44"/>
      <c r="H945" s="50"/>
      <c r="I945" s="50"/>
      <c r="K945" s="44"/>
      <c r="L945" s="50"/>
      <c r="N945" s="44"/>
      <c r="O945" s="50"/>
      <c r="P945" s="43" t="s">
        <v>39</v>
      </c>
    </row>
    <row r="946" spans="2:16">
      <c r="B946" s="43">
        <v>937</v>
      </c>
      <c r="C946" s="44"/>
      <c r="D946" s="50"/>
      <c r="E946" s="50"/>
      <c r="G946" s="44"/>
      <c r="H946" s="50"/>
      <c r="I946" s="50"/>
      <c r="K946" s="44"/>
      <c r="L946" s="50"/>
      <c r="N946" s="44"/>
      <c r="O946" s="50"/>
      <c r="P946" s="43" t="s">
        <v>39</v>
      </c>
    </row>
    <row r="947" spans="2:16">
      <c r="B947" s="43">
        <v>938</v>
      </c>
      <c r="C947" s="44"/>
      <c r="D947" s="50"/>
      <c r="E947" s="50"/>
      <c r="G947" s="44"/>
      <c r="H947" s="50"/>
      <c r="I947" s="50"/>
      <c r="K947" s="44"/>
      <c r="L947" s="50"/>
      <c r="N947" s="44"/>
      <c r="O947" s="50"/>
      <c r="P947" s="43" t="s">
        <v>39</v>
      </c>
    </row>
    <row r="948" spans="2:16">
      <c r="B948" s="43">
        <v>939</v>
      </c>
      <c r="C948" s="44"/>
      <c r="D948" s="50"/>
      <c r="E948" s="50"/>
      <c r="G948" s="44"/>
      <c r="H948" s="50"/>
      <c r="I948" s="50"/>
      <c r="K948" s="44"/>
      <c r="L948" s="50"/>
      <c r="N948" s="44"/>
      <c r="O948" s="50"/>
      <c r="P948" s="43" t="s">
        <v>39</v>
      </c>
    </row>
    <row r="949" spans="2:16">
      <c r="B949" s="43">
        <v>940</v>
      </c>
      <c r="C949" s="44"/>
      <c r="D949" s="50"/>
      <c r="E949" s="50"/>
      <c r="G949" s="44"/>
      <c r="H949" s="50"/>
      <c r="I949" s="50"/>
      <c r="K949" s="44"/>
      <c r="L949" s="50"/>
      <c r="N949" s="44"/>
      <c r="O949" s="50"/>
      <c r="P949" s="43" t="s">
        <v>39</v>
      </c>
    </row>
    <row r="950" spans="2:16">
      <c r="B950" s="43">
        <v>941</v>
      </c>
      <c r="C950" s="44"/>
      <c r="D950" s="50"/>
      <c r="E950" s="50"/>
      <c r="G950" s="44"/>
      <c r="H950" s="50"/>
      <c r="I950" s="50"/>
      <c r="K950" s="44"/>
      <c r="L950" s="50"/>
      <c r="N950" s="44"/>
      <c r="O950" s="50"/>
      <c r="P950" s="43" t="s">
        <v>39</v>
      </c>
    </row>
    <row r="951" spans="2:16">
      <c r="B951" s="43">
        <v>942</v>
      </c>
      <c r="C951" s="44"/>
      <c r="D951" s="50"/>
      <c r="E951" s="50"/>
      <c r="G951" s="44"/>
      <c r="H951" s="50"/>
      <c r="I951" s="50"/>
      <c r="K951" s="44"/>
      <c r="L951" s="50"/>
      <c r="N951" s="44"/>
      <c r="O951" s="50"/>
      <c r="P951" s="43" t="s">
        <v>39</v>
      </c>
    </row>
    <row r="952" spans="2:16">
      <c r="B952" s="43">
        <v>943</v>
      </c>
      <c r="C952" s="44"/>
      <c r="D952" s="50"/>
      <c r="E952" s="50"/>
      <c r="G952" s="44"/>
      <c r="H952" s="50"/>
      <c r="I952" s="50"/>
      <c r="K952" s="44"/>
      <c r="L952" s="50"/>
      <c r="N952" s="44"/>
      <c r="O952" s="50"/>
      <c r="P952" s="43" t="s">
        <v>39</v>
      </c>
    </row>
    <row r="953" spans="2:16">
      <c r="B953" s="43">
        <v>944</v>
      </c>
      <c r="C953" s="44"/>
      <c r="D953" s="50"/>
      <c r="E953" s="50"/>
      <c r="G953" s="44"/>
      <c r="H953" s="50"/>
      <c r="I953" s="50"/>
      <c r="K953" s="44"/>
      <c r="L953" s="50"/>
      <c r="N953" s="44"/>
      <c r="O953" s="50"/>
      <c r="P953" s="43" t="s">
        <v>39</v>
      </c>
    </row>
    <row r="954" spans="2:16">
      <c r="B954" s="43">
        <v>945</v>
      </c>
      <c r="C954" s="44"/>
      <c r="D954" s="50"/>
      <c r="E954" s="50"/>
      <c r="G954" s="44"/>
      <c r="H954" s="50"/>
      <c r="I954" s="50"/>
      <c r="K954" s="44"/>
      <c r="L954" s="50"/>
      <c r="N954" s="44"/>
      <c r="O954" s="50"/>
      <c r="P954" s="43" t="s">
        <v>39</v>
      </c>
    </row>
    <row r="955" spans="2:16">
      <c r="B955" s="43">
        <v>946</v>
      </c>
      <c r="C955" s="44"/>
      <c r="D955" s="50"/>
      <c r="E955" s="50"/>
      <c r="G955" s="44"/>
      <c r="H955" s="50"/>
      <c r="I955" s="50"/>
      <c r="K955" s="44"/>
      <c r="L955" s="50"/>
      <c r="N955" s="44"/>
      <c r="O955" s="50"/>
      <c r="P955" s="43" t="s">
        <v>39</v>
      </c>
    </row>
    <row r="956" spans="2:16">
      <c r="B956" s="43">
        <v>947</v>
      </c>
      <c r="C956" s="44"/>
      <c r="D956" s="50"/>
      <c r="E956" s="50"/>
      <c r="G956" s="44"/>
      <c r="H956" s="50"/>
      <c r="I956" s="50"/>
      <c r="K956" s="44"/>
      <c r="L956" s="50"/>
      <c r="N956" s="44"/>
      <c r="O956" s="50"/>
      <c r="P956" s="43" t="s">
        <v>39</v>
      </c>
    </row>
    <row r="957" spans="2:16">
      <c r="B957" s="43">
        <v>948</v>
      </c>
      <c r="C957" s="44"/>
      <c r="D957" s="50"/>
      <c r="E957" s="50"/>
      <c r="G957" s="44"/>
      <c r="H957" s="50"/>
      <c r="I957" s="50"/>
      <c r="K957" s="44"/>
      <c r="L957" s="50"/>
      <c r="N957" s="44"/>
      <c r="O957" s="50"/>
      <c r="P957" s="43" t="s">
        <v>39</v>
      </c>
    </row>
    <row r="958" spans="2:16">
      <c r="B958" s="43">
        <v>949</v>
      </c>
      <c r="C958" s="44"/>
      <c r="D958" s="50"/>
      <c r="E958" s="50"/>
      <c r="G958" s="44"/>
      <c r="H958" s="50"/>
      <c r="I958" s="50"/>
      <c r="K958" s="44"/>
      <c r="L958" s="50"/>
      <c r="N958" s="44"/>
      <c r="O958" s="50"/>
      <c r="P958" s="43" t="s">
        <v>39</v>
      </c>
    </row>
    <row r="959" spans="2:16">
      <c r="B959" s="43">
        <v>950</v>
      </c>
      <c r="C959" s="44"/>
      <c r="D959" s="50"/>
      <c r="E959" s="50"/>
      <c r="G959" s="44"/>
      <c r="H959" s="50"/>
      <c r="I959" s="50"/>
      <c r="K959" s="44"/>
      <c r="L959" s="50"/>
      <c r="N959" s="44"/>
      <c r="O959" s="50"/>
      <c r="P959" s="43" t="s">
        <v>39</v>
      </c>
    </row>
    <row r="960" spans="2:16">
      <c r="B960" s="43">
        <v>951</v>
      </c>
      <c r="C960" s="44"/>
      <c r="D960" s="50"/>
      <c r="E960" s="50"/>
      <c r="G960" s="44"/>
      <c r="H960" s="50"/>
      <c r="I960" s="50"/>
      <c r="K960" s="44"/>
      <c r="L960" s="50"/>
      <c r="N960" s="44"/>
      <c r="O960" s="50"/>
      <c r="P960" s="43" t="s">
        <v>39</v>
      </c>
    </row>
    <row r="961" spans="2:16">
      <c r="B961" s="43">
        <v>952</v>
      </c>
      <c r="C961" s="44"/>
      <c r="D961" s="50"/>
      <c r="E961" s="50"/>
      <c r="G961" s="44"/>
      <c r="H961" s="50"/>
      <c r="I961" s="50"/>
      <c r="K961" s="44"/>
      <c r="L961" s="50"/>
      <c r="N961" s="44"/>
      <c r="O961" s="50"/>
      <c r="P961" s="43" t="s">
        <v>39</v>
      </c>
    </row>
    <row r="962" spans="2:16">
      <c r="B962" s="43">
        <v>953</v>
      </c>
      <c r="C962" s="44"/>
      <c r="D962" s="50"/>
      <c r="E962" s="50"/>
      <c r="G962" s="44"/>
      <c r="H962" s="50"/>
      <c r="I962" s="50"/>
      <c r="K962" s="44"/>
      <c r="L962" s="50"/>
      <c r="N962" s="44"/>
      <c r="O962" s="50"/>
      <c r="P962" s="43" t="s">
        <v>39</v>
      </c>
    </row>
    <row r="963" spans="2:16">
      <c r="B963" s="43">
        <v>954</v>
      </c>
      <c r="C963" s="44"/>
      <c r="D963" s="50"/>
      <c r="E963" s="50"/>
      <c r="G963" s="44"/>
      <c r="H963" s="50"/>
      <c r="I963" s="50"/>
      <c r="K963" s="44"/>
      <c r="L963" s="50"/>
      <c r="N963" s="44"/>
      <c r="O963" s="50"/>
      <c r="P963" s="43" t="s">
        <v>39</v>
      </c>
    </row>
    <row r="964" spans="2:16">
      <c r="B964" s="43">
        <v>955</v>
      </c>
      <c r="C964" s="44"/>
      <c r="D964" s="50"/>
      <c r="E964" s="50"/>
      <c r="G964" s="44"/>
      <c r="H964" s="50"/>
      <c r="I964" s="50"/>
      <c r="K964" s="44"/>
      <c r="L964" s="50"/>
      <c r="N964" s="44"/>
      <c r="O964" s="50"/>
      <c r="P964" s="43" t="s">
        <v>39</v>
      </c>
    </row>
    <row r="965" spans="2:16">
      <c r="B965" s="43">
        <v>956</v>
      </c>
      <c r="C965" s="44"/>
      <c r="D965" s="50"/>
      <c r="E965" s="50"/>
      <c r="G965" s="44"/>
      <c r="H965" s="50"/>
      <c r="I965" s="50"/>
      <c r="K965" s="44"/>
      <c r="L965" s="50"/>
      <c r="N965" s="44"/>
      <c r="O965" s="50"/>
      <c r="P965" s="43" t="s">
        <v>39</v>
      </c>
    </row>
    <row r="966" spans="2:16">
      <c r="B966" s="43">
        <v>957</v>
      </c>
      <c r="C966" s="44"/>
      <c r="D966" s="50"/>
      <c r="E966" s="50"/>
      <c r="G966" s="44"/>
      <c r="H966" s="50"/>
      <c r="I966" s="50"/>
      <c r="K966" s="44"/>
      <c r="L966" s="50"/>
      <c r="N966" s="44"/>
      <c r="O966" s="50"/>
      <c r="P966" s="43" t="s">
        <v>39</v>
      </c>
    </row>
    <row r="967" spans="2:16">
      <c r="B967" s="43">
        <v>958</v>
      </c>
      <c r="C967" s="44"/>
      <c r="D967" s="50"/>
      <c r="E967" s="50"/>
      <c r="G967" s="44"/>
      <c r="H967" s="50"/>
      <c r="I967" s="50"/>
      <c r="K967" s="44"/>
      <c r="L967" s="50"/>
      <c r="N967" s="44"/>
      <c r="O967" s="50"/>
      <c r="P967" s="43" t="s">
        <v>39</v>
      </c>
    </row>
    <row r="968" spans="2:16">
      <c r="B968" s="43">
        <v>959</v>
      </c>
      <c r="C968" s="44"/>
      <c r="D968" s="50"/>
      <c r="E968" s="50"/>
      <c r="G968" s="44"/>
      <c r="H968" s="50"/>
      <c r="I968" s="50"/>
      <c r="K968" s="44"/>
      <c r="L968" s="50"/>
      <c r="N968" s="44"/>
      <c r="O968" s="50"/>
      <c r="P968" s="43" t="s">
        <v>39</v>
      </c>
    </row>
    <row r="969" spans="2:16">
      <c r="B969" s="43">
        <v>960</v>
      </c>
      <c r="C969" s="44"/>
      <c r="D969" s="50"/>
      <c r="E969" s="50"/>
      <c r="G969" s="44"/>
      <c r="H969" s="50"/>
      <c r="I969" s="50"/>
      <c r="K969" s="44"/>
      <c r="L969" s="50"/>
      <c r="N969" s="44"/>
      <c r="O969" s="50"/>
      <c r="P969" s="43" t="s">
        <v>39</v>
      </c>
    </row>
    <row r="970" spans="2:16">
      <c r="B970" s="43">
        <v>961</v>
      </c>
      <c r="C970" s="44"/>
      <c r="D970" s="50"/>
      <c r="E970" s="50"/>
      <c r="G970" s="44"/>
      <c r="H970" s="50"/>
      <c r="I970" s="50"/>
      <c r="K970" s="44"/>
      <c r="L970" s="50"/>
      <c r="N970" s="44"/>
      <c r="O970" s="50"/>
      <c r="P970" s="43" t="s">
        <v>39</v>
      </c>
    </row>
    <row r="971" spans="2:16">
      <c r="B971" s="43">
        <v>962</v>
      </c>
      <c r="C971" s="44"/>
      <c r="D971" s="50"/>
      <c r="E971" s="50"/>
      <c r="G971" s="44"/>
      <c r="H971" s="50"/>
      <c r="I971" s="50"/>
      <c r="K971" s="44"/>
      <c r="L971" s="50"/>
      <c r="N971" s="44"/>
      <c r="O971" s="50"/>
      <c r="P971" s="43" t="s">
        <v>39</v>
      </c>
    </row>
    <row r="972" spans="2:16">
      <c r="B972" s="43">
        <v>963</v>
      </c>
      <c r="C972" s="44"/>
      <c r="D972" s="50"/>
      <c r="E972" s="50"/>
      <c r="G972" s="44"/>
      <c r="H972" s="50"/>
      <c r="I972" s="50"/>
      <c r="K972" s="44"/>
      <c r="L972" s="50"/>
      <c r="N972" s="44"/>
      <c r="O972" s="50"/>
      <c r="P972" s="43" t="s">
        <v>39</v>
      </c>
    </row>
    <row r="973" spans="2:16">
      <c r="B973" s="43">
        <v>964</v>
      </c>
      <c r="C973" s="44"/>
      <c r="D973" s="50"/>
      <c r="E973" s="50"/>
      <c r="G973" s="44"/>
      <c r="H973" s="50"/>
      <c r="I973" s="50"/>
      <c r="K973" s="44"/>
      <c r="L973" s="50"/>
      <c r="N973" s="44"/>
      <c r="O973" s="50"/>
      <c r="P973" s="43" t="s">
        <v>39</v>
      </c>
    </row>
    <row r="974" spans="2:16">
      <c r="B974" s="43">
        <v>965</v>
      </c>
      <c r="C974" s="44"/>
      <c r="D974" s="50"/>
      <c r="E974" s="50"/>
      <c r="G974" s="44"/>
      <c r="H974" s="50"/>
      <c r="I974" s="50"/>
      <c r="K974" s="44"/>
      <c r="L974" s="50"/>
      <c r="N974" s="44"/>
      <c r="O974" s="50"/>
      <c r="P974" s="43" t="s">
        <v>39</v>
      </c>
    </row>
    <row r="975" spans="2:16">
      <c r="B975" s="43">
        <v>966</v>
      </c>
      <c r="C975" s="44"/>
      <c r="D975" s="50"/>
      <c r="E975" s="50"/>
      <c r="G975" s="44"/>
      <c r="H975" s="50"/>
      <c r="I975" s="50"/>
      <c r="K975" s="44"/>
      <c r="L975" s="50"/>
      <c r="N975" s="44"/>
      <c r="O975" s="50"/>
      <c r="P975" s="43" t="s">
        <v>39</v>
      </c>
    </row>
    <row r="976" spans="2:16">
      <c r="B976" s="43">
        <v>967</v>
      </c>
      <c r="C976" s="44"/>
      <c r="D976" s="50"/>
      <c r="E976" s="50"/>
      <c r="G976" s="44"/>
      <c r="H976" s="50"/>
      <c r="I976" s="50"/>
      <c r="K976" s="44"/>
      <c r="L976" s="50"/>
      <c r="N976" s="44"/>
      <c r="O976" s="50"/>
      <c r="P976" s="43" t="s">
        <v>39</v>
      </c>
    </row>
    <row r="977" spans="2:16">
      <c r="B977" s="43">
        <v>968</v>
      </c>
      <c r="C977" s="44"/>
      <c r="D977" s="50"/>
      <c r="E977" s="50"/>
      <c r="G977" s="44"/>
      <c r="H977" s="50"/>
      <c r="I977" s="50"/>
      <c r="K977" s="44"/>
      <c r="L977" s="50"/>
      <c r="N977" s="44"/>
      <c r="O977" s="50"/>
      <c r="P977" s="43" t="s">
        <v>39</v>
      </c>
    </row>
    <row r="978" spans="2:16">
      <c r="B978" s="43">
        <v>969</v>
      </c>
      <c r="C978" s="44"/>
      <c r="D978" s="50"/>
      <c r="E978" s="50"/>
      <c r="G978" s="44"/>
      <c r="H978" s="50"/>
      <c r="I978" s="50"/>
      <c r="K978" s="44"/>
      <c r="L978" s="50"/>
      <c r="N978" s="44"/>
      <c r="O978" s="50"/>
      <c r="P978" s="43" t="s">
        <v>39</v>
      </c>
    </row>
    <row r="979" spans="2:16">
      <c r="B979" s="43">
        <v>970</v>
      </c>
      <c r="C979" s="44"/>
      <c r="D979" s="50"/>
      <c r="E979" s="50"/>
      <c r="G979" s="44"/>
      <c r="H979" s="50"/>
      <c r="I979" s="50"/>
      <c r="K979" s="44"/>
      <c r="L979" s="50"/>
      <c r="N979" s="44"/>
      <c r="O979" s="50"/>
      <c r="P979" s="43" t="s">
        <v>39</v>
      </c>
    </row>
    <row r="980" spans="2:16">
      <c r="B980" s="43">
        <v>971</v>
      </c>
      <c r="C980" s="44"/>
      <c r="D980" s="50"/>
      <c r="E980" s="50"/>
      <c r="G980" s="44"/>
      <c r="H980" s="50"/>
      <c r="I980" s="50"/>
      <c r="K980" s="44"/>
      <c r="L980" s="50"/>
      <c r="N980" s="44"/>
      <c r="O980" s="50"/>
      <c r="P980" s="43" t="s">
        <v>39</v>
      </c>
    </row>
    <row r="981" spans="2:16">
      <c r="B981" s="43">
        <v>972</v>
      </c>
      <c r="C981" s="44"/>
      <c r="D981" s="50"/>
      <c r="E981" s="50"/>
      <c r="G981" s="44"/>
      <c r="H981" s="50"/>
      <c r="I981" s="50"/>
      <c r="K981" s="44"/>
      <c r="L981" s="50"/>
      <c r="N981" s="44"/>
      <c r="O981" s="50"/>
      <c r="P981" s="43" t="s">
        <v>39</v>
      </c>
    </row>
    <row r="982" spans="2:16">
      <c r="B982" s="43">
        <v>973</v>
      </c>
      <c r="C982" s="44"/>
      <c r="D982" s="50"/>
      <c r="E982" s="50"/>
      <c r="G982" s="44"/>
      <c r="H982" s="50"/>
      <c r="I982" s="50"/>
      <c r="K982" s="44"/>
      <c r="L982" s="50"/>
      <c r="N982" s="44"/>
      <c r="O982" s="50"/>
      <c r="P982" s="43" t="s">
        <v>39</v>
      </c>
    </row>
    <row r="983" spans="2:16">
      <c r="B983" s="43">
        <v>974</v>
      </c>
      <c r="C983" s="44"/>
      <c r="D983" s="50"/>
      <c r="E983" s="50"/>
      <c r="G983" s="44"/>
      <c r="H983" s="50"/>
      <c r="I983" s="50"/>
      <c r="K983" s="44"/>
      <c r="L983" s="50"/>
      <c r="N983" s="44"/>
      <c r="O983" s="50"/>
      <c r="P983" s="43" t="s">
        <v>39</v>
      </c>
    </row>
    <row r="984" spans="2:16">
      <c r="B984" s="43">
        <v>975</v>
      </c>
      <c r="C984" s="44"/>
      <c r="D984" s="50"/>
      <c r="E984" s="50"/>
      <c r="G984" s="44"/>
      <c r="H984" s="50"/>
      <c r="I984" s="50"/>
      <c r="K984" s="44"/>
      <c r="L984" s="50"/>
      <c r="N984" s="44"/>
      <c r="O984" s="50"/>
      <c r="P984" s="43" t="s">
        <v>39</v>
      </c>
    </row>
    <row r="985" spans="2:16">
      <c r="B985" s="43">
        <v>976</v>
      </c>
      <c r="C985" s="44"/>
      <c r="D985" s="50"/>
      <c r="E985" s="50"/>
      <c r="G985" s="44"/>
      <c r="H985" s="50"/>
      <c r="I985" s="50"/>
      <c r="K985" s="44"/>
      <c r="L985" s="50"/>
      <c r="N985" s="44"/>
      <c r="O985" s="50"/>
      <c r="P985" s="43" t="s">
        <v>39</v>
      </c>
    </row>
    <row r="986" spans="2:16">
      <c r="B986" s="43">
        <v>977</v>
      </c>
      <c r="C986" s="44"/>
      <c r="D986" s="50"/>
      <c r="E986" s="50"/>
      <c r="G986" s="44"/>
      <c r="H986" s="50"/>
      <c r="I986" s="50"/>
      <c r="K986" s="44"/>
      <c r="L986" s="50"/>
      <c r="N986" s="44"/>
      <c r="O986" s="50"/>
      <c r="P986" s="43" t="s">
        <v>39</v>
      </c>
    </row>
    <row r="987" spans="2:16">
      <c r="B987" s="43">
        <v>978</v>
      </c>
      <c r="C987" s="44"/>
      <c r="D987" s="50"/>
      <c r="E987" s="50"/>
      <c r="G987" s="44"/>
      <c r="H987" s="50"/>
      <c r="I987" s="50"/>
      <c r="K987" s="44"/>
      <c r="L987" s="50"/>
      <c r="N987" s="44"/>
      <c r="O987" s="50"/>
      <c r="P987" s="43" t="s">
        <v>39</v>
      </c>
    </row>
    <row r="988" spans="2:16">
      <c r="B988" s="43">
        <v>979</v>
      </c>
      <c r="C988" s="44"/>
      <c r="D988" s="50"/>
      <c r="E988" s="50"/>
      <c r="G988" s="44"/>
      <c r="H988" s="50"/>
      <c r="I988" s="50"/>
      <c r="K988" s="44"/>
      <c r="L988" s="50"/>
      <c r="N988" s="44"/>
      <c r="O988" s="50"/>
      <c r="P988" s="43" t="s">
        <v>39</v>
      </c>
    </row>
    <row r="989" spans="2:16">
      <c r="B989" s="43">
        <v>980</v>
      </c>
      <c r="C989" s="44"/>
      <c r="D989" s="50"/>
      <c r="E989" s="50"/>
      <c r="G989" s="44"/>
      <c r="H989" s="50"/>
      <c r="I989" s="50"/>
      <c r="K989" s="44"/>
      <c r="L989" s="50"/>
      <c r="N989" s="44"/>
      <c r="O989" s="50"/>
      <c r="P989" s="43" t="s">
        <v>39</v>
      </c>
    </row>
    <row r="990" spans="2:16">
      <c r="B990" s="43">
        <v>981</v>
      </c>
      <c r="C990" s="44"/>
      <c r="D990" s="50"/>
      <c r="E990" s="50"/>
      <c r="G990" s="44"/>
      <c r="H990" s="50"/>
      <c r="I990" s="50"/>
      <c r="K990" s="44"/>
      <c r="L990" s="50"/>
      <c r="N990" s="44"/>
      <c r="O990" s="50"/>
      <c r="P990" s="43" t="s">
        <v>39</v>
      </c>
    </row>
    <row r="991" spans="2:16">
      <c r="B991" s="43">
        <v>982</v>
      </c>
      <c r="C991" s="44"/>
      <c r="D991" s="50"/>
      <c r="E991" s="50"/>
      <c r="G991" s="44"/>
      <c r="H991" s="50"/>
      <c r="I991" s="50"/>
      <c r="K991" s="44"/>
      <c r="L991" s="50"/>
      <c r="N991" s="44"/>
      <c r="O991" s="50"/>
      <c r="P991" s="43" t="s">
        <v>39</v>
      </c>
    </row>
    <row r="992" spans="2:16">
      <c r="B992" s="43">
        <v>983</v>
      </c>
      <c r="C992" s="44"/>
      <c r="D992" s="50"/>
      <c r="E992" s="50"/>
      <c r="G992" s="44"/>
      <c r="H992" s="50"/>
      <c r="I992" s="50"/>
      <c r="K992" s="44"/>
      <c r="L992" s="50"/>
      <c r="N992" s="44"/>
      <c r="O992" s="50"/>
      <c r="P992" s="43" t="s">
        <v>39</v>
      </c>
    </row>
    <row r="993" spans="2:16">
      <c r="B993" s="43">
        <v>984</v>
      </c>
      <c r="C993" s="44"/>
      <c r="D993" s="50"/>
      <c r="E993" s="50"/>
      <c r="G993" s="44"/>
      <c r="H993" s="50"/>
      <c r="I993" s="50"/>
      <c r="K993" s="44"/>
      <c r="L993" s="50"/>
      <c r="N993" s="44"/>
      <c r="O993" s="50"/>
      <c r="P993" s="43" t="s">
        <v>39</v>
      </c>
    </row>
    <row r="994" spans="2:16">
      <c r="B994" s="43">
        <v>985</v>
      </c>
      <c r="C994" s="44"/>
      <c r="D994" s="50"/>
      <c r="E994" s="50"/>
      <c r="G994" s="44"/>
      <c r="H994" s="50"/>
      <c r="I994" s="50"/>
      <c r="K994" s="44"/>
      <c r="L994" s="50"/>
      <c r="N994" s="44"/>
      <c r="O994" s="50"/>
      <c r="P994" s="43" t="s">
        <v>39</v>
      </c>
    </row>
    <row r="995" spans="2:16">
      <c r="B995" s="43">
        <v>986</v>
      </c>
      <c r="C995" s="44"/>
      <c r="D995" s="50"/>
      <c r="E995" s="50"/>
      <c r="G995" s="44"/>
      <c r="H995" s="50"/>
      <c r="I995" s="50"/>
      <c r="K995" s="44"/>
      <c r="L995" s="50"/>
      <c r="N995" s="44"/>
      <c r="O995" s="50"/>
      <c r="P995" s="43" t="s">
        <v>39</v>
      </c>
    </row>
    <row r="996" spans="2:16">
      <c r="B996" s="43">
        <v>987</v>
      </c>
      <c r="C996" s="44"/>
      <c r="D996" s="50"/>
      <c r="E996" s="50"/>
      <c r="G996" s="44"/>
      <c r="H996" s="50"/>
      <c r="I996" s="50"/>
      <c r="K996" s="44"/>
      <c r="L996" s="50"/>
      <c r="N996" s="44"/>
      <c r="O996" s="50"/>
      <c r="P996" s="43" t="s">
        <v>39</v>
      </c>
    </row>
    <row r="997" spans="2:16">
      <c r="B997" s="43">
        <v>988</v>
      </c>
      <c r="C997" s="44"/>
      <c r="D997" s="50"/>
      <c r="E997" s="50"/>
      <c r="G997" s="44"/>
      <c r="H997" s="50"/>
      <c r="I997" s="50"/>
      <c r="K997" s="44"/>
      <c r="L997" s="50"/>
      <c r="N997" s="44"/>
      <c r="O997" s="50"/>
      <c r="P997" s="43" t="s">
        <v>39</v>
      </c>
    </row>
    <row r="998" spans="2:16">
      <c r="B998" s="43">
        <v>989</v>
      </c>
      <c r="C998" s="44"/>
      <c r="D998" s="50"/>
      <c r="E998" s="50"/>
      <c r="G998" s="44"/>
      <c r="H998" s="50"/>
      <c r="I998" s="50"/>
      <c r="K998" s="44"/>
      <c r="L998" s="50"/>
      <c r="N998" s="44"/>
      <c r="O998" s="50"/>
      <c r="P998" s="43" t="s">
        <v>39</v>
      </c>
    </row>
    <row r="999" spans="2:16">
      <c r="B999" s="43">
        <v>990</v>
      </c>
      <c r="C999" s="44"/>
      <c r="D999" s="50"/>
      <c r="E999" s="50"/>
      <c r="G999" s="44"/>
      <c r="H999" s="50"/>
      <c r="I999" s="50"/>
      <c r="K999" s="44"/>
      <c r="L999" s="50"/>
      <c r="N999" s="44"/>
      <c r="O999" s="50"/>
      <c r="P999" s="43" t="s">
        <v>39</v>
      </c>
    </row>
    <row r="1000" spans="2:16">
      <c r="B1000" s="43">
        <v>991</v>
      </c>
      <c r="C1000" s="44"/>
      <c r="D1000" s="50"/>
      <c r="E1000" s="50"/>
      <c r="G1000" s="44"/>
      <c r="H1000" s="50"/>
      <c r="I1000" s="50"/>
      <c r="K1000" s="44"/>
      <c r="L1000" s="50"/>
      <c r="N1000" s="44"/>
      <c r="O1000" s="50"/>
      <c r="P1000" s="43" t="s">
        <v>39</v>
      </c>
    </row>
    <row r="1001" spans="2:16">
      <c r="B1001" s="43">
        <v>992</v>
      </c>
      <c r="C1001" s="44"/>
      <c r="D1001" s="50"/>
      <c r="E1001" s="50"/>
      <c r="G1001" s="44"/>
      <c r="H1001" s="50"/>
      <c r="I1001" s="50"/>
      <c r="K1001" s="44"/>
      <c r="L1001" s="50"/>
      <c r="N1001" s="44"/>
      <c r="O1001" s="50"/>
      <c r="P1001" s="43" t="s">
        <v>39</v>
      </c>
    </row>
    <row r="1002" spans="2:16">
      <c r="B1002" s="43">
        <v>993</v>
      </c>
      <c r="C1002" s="44"/>
      <c r="D1002" s="50"/>
      <c r="E1002" s="50"/>
      <c r="G1002" s="44"/>
      <c r="H1002" s="50"/>
      <c r="I1002" s="50"/>
      <c r="K1002" s="44"/>
      <c r="L1002" s="50"/>
      <c r="N1002" s="44"/>
      <c r="O1002" s="50"/>
      <c r="P1002" s="43" t="s">
        <v>39</v>
      </c>
    </row>
    <row r="1003" spans="2:16">
      <c r="B1003" s="43">
        <v>994</v>
      </c>
      <c r="C1003" s="44"/>
      <c r="D1003" s="50"/>
      <c r="E1003" s="50"/>
      <c r="G1003" s="44"/>
      <c r="H1003" s="50"/>
      <c r="I1003" s="50"/>
      <c r="K1003" s="44"/>
      <c r="L1003" s="50"/>
      <c r="N1003" s="44"/>
      <c r="O1003" s="50"/>
      <c r="P1003" s="43" t="s">
        <v>39</v>
      </c>
    </row>
    <row r="1004" spans="2:16">
      <c r="B1004" s="43">
        <v>995</v>
      </c>
      <c r="C1004" s="44"/>
      <c r="D1004" s="50"/>
      <c r="E1004" s="50"/>
      <c r="G1004" s="44"/>
      <c r="H1004" s="50"/>
      <c r="I1004" s="50"/>
      <c r="K1004" s="44"/>
      <c r="L1004" s="50"/>
      <c r="N1004" s="44"/>
      <c r="O1004" s="50"/>
      <c r="P1004" s="43" t="s">
        <v>39</v>
      </c>
    </row>
    <row r="1005" spans="2:16">
      <c r="B1005" s="43">
        <v>996</v>
      </c>
      <c r="C1005" s="44"/>
      <c r="D1005" s="50"/>
      <c r="E1005" s="50"/>
      <c r="G1005" s="44"/>
      <c r="H1005" s="50"/>
      <c r="I1005" s="50"/>
      <c r="K1005" s="44"/>
      <c r="L1005" s="50"/>
      <c r="N1005" s="44"/>
      <c r="O1005" s="50"/>
      <c r="P1005" s="43" t="s">
        <v>39</v>
      </c>
    </row>
    <row r="1006" spans="2:16">
      <c r="B1006" s="43">
        <v>997</v>
      </c>
      <c r="C1006" s="44"/>
      <c r="D1006" s="50"/>
      <c r="E1006" s="50"/>
      <c r="G1006" s="44"/>
      <c r="H1006" s="50"/>
      <c r="I1006" s="50"/>
      <c r="K1006" s="44"/>
      <c r="L1006" s="50"/>
      <c r="N1006" s="44"/>
      <c r="O1006" s="50"/>
      <c r="P1006" s="43" t="s">
        <v>39</v>
      </c>
    </row>
    <row r="1007" spans="2:16">
      <c r="B1007" s="43">
        <v>998</v>
      </c>
      <c r="C1007" s="44"/>
      <c r="D1007" s="50"/>
      <c r="E1007" s="50"/>
      <c r="G1007" s="44"/>
      <c r="H1007" s="50"/>
      <c r="I1007" s="50"/>
      <c r="K1007" s="44"/>
      <c r="L1007" s="50"/>
      <c r="N1007" s="44"/>
      <c r="O1007" s="50"/>
      <c r="P1007" s="43" t="s">
        <v>39</v>
      </c>
    </row>
    <row r="1008" spans="2:16">
      <c r="B1008" s="43">
        <v>999</v>
      </c>
      <c r="C1008" s="44"/>
      <c r="D1008" s="50"/>
      <c r="E1008" s="50"/>
      <c r="G1008" s="44"/>
      <c r="H1008" s="50"/>
      <c r="I1008" s="50"/>
      <c r="K1008" s="44"/>
      <c r="L1008" s="50"/>
      <c r="N1008" s="44"/>
      <c r="O1008" s="50"/>
      <c r="P1008" s="43" t="s">
        <v>39</v>
      </c>
    </row>
    <row r="1009" spans="1:16">
      <c r="B1009" s="43">
        <v>1000</v>
      </c>
      <c r="C1009" s="44"/>
      <c r="D1009" s="50"/>
      <c r="E1009" s="50"/>
      <c r="G1009" s="44"/>
      <c r="H1009" s="50"/>
      <c r="I1009" s="50"/>
      <c r="K1009" s="44"/>
      <c r="L1009" s="50"/>
      <c r="N1009" s="44"/>
      <c r="O1009" s="50"/>
      <c r="P1009" s="43" t="s">
        <v>39</v>
      </c>
    </row>
    <row r="1010" spans="1:16">
      <c r="A1010" s="43" t="s">
        <v>39</v>
      </c>
      <c r="B1010" s="43" t="s">
        <v>39</v>
      </c>
      <c r="C1010" s="43" t="s">
        <v>39</v>
      </c>
      <c r="D1010" s="43" t="s">
        <v>39</v>
      </c>
      <c r="E1010" s="43" t="s">
        <v>39</v>
      </c>
      <c r="F1010" s="43" t="s">
        <v>39</v>
      </c>
      <c r="G1010" s="43" t="s">
        <v>39</v>
      </c>
      <c r="H1010" s="43" t="s">
        <v>39</v>
      </c>
      <c r="I1010" s="43" t="s">
        <v>39</v>
      </c>
      <c r="J1010" s="43" t="s">
        <v>39</v>
      </c>
      <c r="K1010" s="43" t="s">
        <v>39</v>
      </c>
      <c r="L1010" s="43" t="s">
        <v>39</v>
      </c>
      <c r="M1010" s="43" t="s">
        <v>39</v>
      </c>
      <c r="N1010" s="43" t="s">
        <v>39</v>
      </c>
      <c r="O1010" s="43" t="s">
        <v>39</v>
      </c>
      <c r="P1010" s="43" t="s">
        <v>39</v>
      </c>
    </row>
  </sheetData>
  <pageMargins left="0.75000000000000011" right="0.75000000000000011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AG24"/>
  <sheetViews>
    <sheetView topLeftCell="A6" workbookViewId="0">
      <selection activeCell="H23" sqref="H23"/>
    </sheetView>
  </sheetViews>
  <sheetFormatPr defaultColWidth="11" defaultRowHeight="15.75"/>
  <cols>
    <col min="1" max="1" width="9" bestFit="1" customWidth="1"/>
    <col min="22" max="22" width="14" customWidth="1"/>
    <col min="23" max="23" width="11.5" customWidth="1"/>
    <col min="24" max="24" width="13" customWidth="1"/>
    <col min="25" max="26" width="14.625" customWidth="1"/>
    <col min="27" max="27" width="14" customWidth="1"/>
    <col min="28" max="28" width="11.625" customWidth="1"/>
    <col min="29" max="29" width="12.375" customWidth="1"/>
    <col min="30" max="30" width="12" bestFit="1" customWidth="1"/>
  </cols>
  <sheetData>
    <row r="2" spans="2:33">
      <c r="V2" t="s">
        <v>314</v>
      </c>
    </row>
    <row r="3" spans="2:33" ht="78.75">
      <c r="B3" s="104" t="s">
        <v>0</v>
      </c>
      <c r="C3" s="105" t="s">
        <v>69</v>
      </c>
      <c r="D3" s="105" t="s">
        <v>71</v>
      </c>
      <c r="E3" s="105" t="s">
        <v>72</v>
      </c>
      <c r="F3" s="105" t="s">
        <v>73</v>
      </c>
      <c r="G3" s="106" t="s">
        <v>74</v>
      </c>
      <c r="H3" s="105" t="s">
        <v>80</v>
      </c>
      <c r="I3" s="105" t="s">
        <v>81</v>
      </c>
      <c r="J3" s="105" t="s">
        <v>79</v>
      </c>
      <c r="K3" s="105" t="s">
        <v>100</v>
      </c>
      <c r="L3" s="105" t="s">
        <v>115</v>
      </c>
      <c r="M3" s="105" t="s">
        <v>116</v>
      </c>
      <c r="N3" s="105" t="s">
        <v>117</v>
      </c>
      <c r="O3" s="105" t="s">
        <v>118</v>
      </c>
      <c r="P3" s="105" t="s">
        <v>119</v>
      </c>
      <c r="Q3" s="105" t="s">
        <v>120</v>
      </c>
      <c r="R3" s="105" t="s">
        <v>131</v>
      </c>
      <c r="S3" s="105" t="s">
        <v>132</v>
      </c>
      <c r="T3" s="105" t="s">
        <v>134</v>
      </c>
      <c r="U3" s="105" t="s">
        <v>151</v>
      </c>
      <c r="V3" s="268" t="s">
        <v>311</v>
      </c>
      <c r="W3" s="268" t="s">
        <v>312</v>
      </c>
      <c r="X3" s="268" t="s">
        <v>313</v>
      </c>
      <c r="Y3" s="268" t="s">
        <v>317</v>
      </c>
      <c r="Z3" s="268" t="s">
        <v>318</v>
      </c>
      <c r="AA3" s="268" t="s">
        <v>319</v>
      </c>
      <c r="AB3" s="268" t="s">
        <v>320</v>
      </c>
      <c r="AC3" s="268" t="s">
        <v>321</v>
      </c>
      <c r="AD3" s="268" t="s">
        <v>322</v>
      </c>
      <c r="AE3" s="268" t="s">
        <v>348</v>
      </c>
      <c r="AF3" s="105" t="s">
        <v>352</v>
      </c>
      <c r="AG3" s="105" t="s">
        <v>460</v>
      </c>
    </row>
    <row r="4" spans="2:33">
      <c r="B4" s="107"/>
      <c r="C4" s="108" t="s">
        <v>70</v>
      </c>
      <c r="D4" s="108" t="s">
        <v>70</v>
      </c>
      <c r="E4" s="108" t="s">
        <v>70</v>
      </c>
      <c r="F4" s="108" t="s">
        <v>70</v>
      </c>
      <c r="G4" s="108" t="s">
        <v>12</v>
      </c>
      <c r="H4" s="108" t="s">
        <v>70</v>
      </c>
      <c r="I4" s="108" t="s">
        <v>70</v>
      </c>
      <c r="J4" s="108" t="s">
        <v>70</v>
      </c>
      <c r="K4" s="108" t="s">
        <v>12</v>
      </c>
      <c r="L4" s="108" t="s">
        <v>70</v>
      </c>
      <c r="M4" s="108" t="s">
        <v>70</v>
      </c>
      <c r="N4" s="108" t="s">
        <v>70</v>
      </c>
      <c r="O4" s="108" t="s">
        <v>70</v>
      </c>
      <c r="P4" s="108" t="s">
        <v>70</v>
      </c>
      <c r="Q4" s="108" t="s">
        <v>70</v>
      </c>
      <c r="R4" s="109" t="s">
        <v>128</v>
      </c>
      <c r="S4" s="108" t="s">
        <v>12</v>
      </c>
      <c r="T4" s="108" t="s">
        <v>12</v>
      </c>
      <c r="U4" s="108" t="s">
        <v>128</v>
      </c>
      <c r="V4" s="108" t="s">
        <v>70</v>
      </c>
      <c r="W4" s="108" t="s">
        <v>70</v>
      </c>
      <c r="X4" s="108" t="s">
        <v>70</v>
      </c>
      <c r="Y4" s="108" t="s">
        <v>70</v>
      </c>
      <c r="Z4" s="108" t="s">
        <v>70</v>
      </c>
      <c r="AA4" s="108" t="s">
        <v>70</v>
      </c>
      <c r="AB4" s="108" t="s">
        <v>70</v>
      </c>
      <c r="AC4" s="108" t="s">
        <v>70</v>
      </c>
      <c r="AD4" s="108" t="s">
        <v>70</v>
      </c>
      <c r="AE4" s="108" t="s">
        <v>70</v>
      </c>
      <c r="AF4" s="108" t="s">
        <v>12</v>
      </c>
      <c r="AG4" s="108" t="s">
        <v>12</v>
      </c>
    </row>
    <row r="5" spans="2:33">
      <c r="B5" s="39">
        <v>43831</v>
      </c>
      <c r="C5" s="45">
        <v>239000</v>
      </c>
      <c r="D5" s="38">
        <v>1000</v>
      </c>
      <c r="E5" s="38">
        <v>24</v>
      </c>
      <c r="F5" s="38">
        <v>2</v>
      </c>
      <c r="G5" s="55">
        <v>0.08</v>
      </c>
      <c r="H5" s="30">
        <v>101.96</v>
      </c>
      <c r="I5" s="30">
        <v>60.08</v>
      </c>
      <c r="J5" s="59">
        <f>H5/(2*I5)</f>
        <v>0.84853528628495334</v>
      </c>
      <c r="K5" s="69">
        <v>0.97499999999999998</v>
      </c>
      <c r="L5" s="20">
        <v>8.7299999999999997E-4</v>
      </c>
      <c r="M5" s="20">
        <v>145.88999999999999</v>
      </c>
      <c r="N5" s="20">
        <v>0.40339999999999998</v>
      </c>
      <c r="O5" s="20">
        <v>0</v>
      </c>
      <c r="P5" s="20">
        <v>0.51890000000000003</v>
      </c>
      <c r="Q5" s="20">
        <v>4797</v>
      </c>
      <c r="R5" s="20">
        <v>7</v>
      </c>
      <c r="S5" s="69">
        <v>0.12</v>
      </c>
      <c r="T5" s="69">
        <v>0.5</v>
      </c>
      <c r="U5" s="20">
        <v>0.5</v>
      </c>
      <c r="V5" s="45">
        <v>10000</v>
      </c>
      <c r="W5" s="269">
        <v>0.10680000000000001</v>
      </c>
      <c r="X5" s="32">
        <v>1.2</v>
      </c>
      <c r="Y5" s="32">
        <v>23643.7088248818</v>
      </c>
      <c r="Z5" s="271">
        <v>0.62802869915581405</v>
      </c>
      <c r="AA5" s="32">
        <v>0</v>
      </c>
      <c r="AB5" s="271">
        <v>6.2556361557795204E-2</v>
      </c>
      <c r="AC5" s="271">
        <v>8.6923129044225601E-4</v>
      </c>
      <c r="AD5" s="32">
        <v>1.1499999999999999</v>
      </c>
      <c r="AE5" s="32" t="s">
        <v>95</v>
      </c>
      <c r="AF5" s="69">
        <v>3.0000000000000001E-3</v>
      </c>
      <c r="AG5" s="69">
        <v>0.05</v>
      </c>
    </row>
    <row r="6" spans="2:33">
      <c r="B6" s="39"/>
      <c r="C6" s="45"/>
      <c r="D6" s="38"/>
      <c r="E6" s="38"/>
      <c r="F6" s="38"/>
      <c r="G6" s="55"/>
      <c r="H6" s="30"/>
      <c r="I6" s="30"/>
      <c r="J6" s="30"/>
      <c r="K6" s="69"/>
      <c r="L6" s="20"/>
      <c r="M6" s="20"/>
      <c r="N6" s="20"/>
      <c r="O6" s="20"/>
      <c r="P6" s="20"/>
      <c r="Q6" s="20"/>
      <c r="R6" s="20"/>
      <c r="S6" s="69"/>
      <c r="T6" s="69"/>
      <c r="U6" s="20"/>
      <c r="V6" s="45"/>
      <c r="W6" s="269"/>
      <c r="X6" s="32"/>
      <c r="Y6" s="32"/>
      <c r="Z6" s="271"/>
      <c r="AA6" s="32"/>
      <c r="AB6" s="271"/>
      <c r="AC6" s="271"/>
      <c r="AD6" s="32"/>
      <c r="AE6" s="32"/>
      <c r="AF6" s="69"/>
      <c r="AG6" s="69"/>
    </row>
    <row r="7" spans="2:33">
      <c r="B7" s="39"/>
      <c r="C7" s="45"/>
      <c r="D7" s="38"/>
      <c r="E7" s="38"/>
      <c r="F7" s="38"/>
      <c r="G7" s="55"/>
      <c r="H7" s="30"/>
      <c r="I7" s="30"/>
      <c r="J7" s="30"/>
      <c r="K7" s="69"/>
      <c r="L7" s="20"/>
      <c r="M7" s="20"/>
      <c r="N7" s="20"/>
      <c r="O7" s="20"/>
      <c r="P7" s="20"/>
      <c r="Q7" s="20"/>
      <c r="R7" s="20"/>
      <c r="S7" s="69"/>
      <c r="T7" s="69"/>
      <c r="U7" s="20"/>
      <c r="V7" s="45"/>
      <c r="W7" s="269"/>
      <c r="X7" s="32"/>
      <c r="Y7" s="32"/>
      <c r="Z7" s="271"/>
      <c r="AA7" s="32"/>
      <c r="AB7" s="271"/>
      <c r="AC7" s="271"/>
      <c r="AD7" s="32"/>
      <c r="AE7" s="32"/>
      <c r="AF7" s="69"/>
      <c r="AG7" s="69"/>
    </row>
    <row r="8" spans="2:33">
      <c r="B8" s="39"/>
      <c r="C8" s="45"/>
      <c r="D8" s="38"/>
      <c r="E8" s="38"/>
      <c r="F8" s="38"/>
      <c r="G8" s="55"/>
      <c r="H8" s="30"/>
      <c r="I8" s="30"/>
      <c r="J8" s="30"/>
      <c r="K8" s="69"/>
      <c r="L8" s="20"/>
      <c r="M8" s="20"/>
      <c r="N8" s="20"/>
      <c r="O8" s="20"/>
      <c r="P8" s="20"/>
      <c r="Q8" s="20"/>
      <c r="R8" s="20"/>
      <c r="S8" s="69"/>
      <c r="T8" s="69"/>
      <c r="U8" s="20"/>
      <c r="V8" s="45"/>
      <c r="W8" s="269"/>
      <c r="X8" s="32"/>
      <c r="Y8" s="32"/>
      <c r="Z8" s="271"/>
      <c r="AA8" s="32"/>
      <c r="AB8" s="271"/>
      <c r="AC8" s="271"/>
      <c r="AD8" s="32"/>
      <c r="AE8" s="32"/>
      <c r="AF8" s="69"/>
      <c r="AG8" s="69"/>
    </row>
    <row r="9" spans="2:33">
      <c r="B9" s="39"/>
      <c r="C9" s="45"/>
      <c r="D9" s="38"/>
      <c r="E9" s="38"/>
      <c r="F9" s="38"/>
      <c r="G9" s="55"/>
      <c r="H9" s="30"/>
      <c r="I9" s="30"/>
      <c r="J9" s="30"/>
      <c r="K9" s="69"/>
      <c r="L9" s="20"/>
      <c r="M9" s="20"/>
      <c r="N9" s="20"/>
      <c r="O9" s="20"/>
      <c r="P9" s="20"/>
      <c r="Q9" s="20"/>
      <c r="R9" s="20"/>
      <c r="S9" s="69"/>
      <c r="T9" s="69"/>
      <c r="U9" s="20"/>
      <c r="V9" s="45"/>
      <c r="W9" s="269"/>
      <c r="X9" s="32"/>
      <c r="Y9" s="32"/>
      <c r="Z9" s="271"/>
      <c r="AA9" s="32"/>
      <c r="AB9" s="271"/>
      <c r="AC9" s="271"/>
      <c r="AD9" s="32"/>
      <c r="AE9" s="32"/>
      <c r="AF9" s="69"/>
      <c r="AG9" s="69"/>
    </row>
    <row r="10" spans="2:33">
      <c r="B10" s="39"/>
      <c r="C10" s="45"/>
      <c r="D10" s="38"/>
      <c r="E10" s="38"/>
      <c r="F10" s="38"/>
      <c r="G10" s="55"/>
      <c r="H10" s="30"/>
      <c r="I10" s="30"/>
      <c r="J10" s="30"/>
      <c r="K10" s="69"/>
      <c r="L10" s="20"/>
      <c r="M10" s="20"/>
      <c r="N10" s="20"/>
      <c r="O10" s="20"/>
      <c r="P10" s="20"/>
      <c r="Q10" s="20"/>
      <c r="R10" s="20"/>
      <c r="S10" s="69"/>
      <c r="T10" s="69"/>
      <c r="U10" s="20"/>
      <c r="V10" s="45"/>
      <c r="W10" s="269"/>
      <c r="X10" s="32"/>
      <c r="Y10" s="32"/>
      <c r="Z10" s="271"/>
      <c r="AA10" s="32"/>
      <c r="AB10" s="271"/>
      <c r="AC10" s="271"/>
      <c r="AD10" s="32"/>
      <c r="AE10" s="32"/>
      <c r="AF10" s="69"/>
      <c r="AG10" s="69"/>
    </row>
    <row r="11" spans="2:33">
      <c r="B11" s="39"/>
      <c r="C11" s="45"/>
      <c r="D11" s="38"/>
      <c r="E11" s="38"/>
      <c r="F11" s="38"/>
      <c r="G11" s="55"/>
      <c r="H11" s="30"/>
      <c r="I11" s="30"/>
      <c r="J11" s="30"/>
      <c r="K11" s="69"/>
      <c r="L11" s="20"/>
      <c r="M11" s="20"/>
      <c r="N11" s="20"/>
      <c r="O11" s="20"/>
      <c r="P11" s="20"/>
      <c r="Q11" s="20"/>
      <c r="R11" s="20"/>
      <c r="S11" s="69"/>
      <c r="T11" s="69"/>
      <c r="U11" s="20"/>
      <c r="V11" s="45"/>
      <c r="W11" s="269"/>
      <c r="X11" s="32"/>
      <c r="Y11" s="32"/>
      <c r="Z11" s="271"/>
      <c r="AA11" s="32"/>
      <c r="AB11" s="271"/>
      <c r="AC11" s="271"/>
      <c r="AD11" s="32"/>
      <c r="AE11" s="32"/>
      <c r="AF11" s="69"/>
      <c r="AG11" s="69"/>
    </row>
    <row r="12" spans="2:33">
      <c r="B12" s="39"/>
      <c r="C12" s="45"/>
      <c r="D12" s="38"/>
      <c r="E12" s="38"/>
      <c r="F12" s="38"/>
      <c r="G12" s="55"/>
      <c r="H12" s="30"/>
      <c r="I12" s="30"/>
      <c r="J12" s="30"/>
      <c r="K12" s="69"/>
      <c r="L12" s="20"/>
      <c r="M12" s="20"/>
      <c r="N12" s="20"/>
      <c r="O12" s="20"/>
      <c r="P12" s="20"/>
      <c r="Q12" s="20"/>
      <c r="R12" s="20"/>
      <c r="S12" s="69"/>
      <c r="T12" s="69"/>
      <c r="U12" s="20"/>
      <c r="V12" s="45"/>
      <c r="W12" s="269"/>
      <c r="X12" s="32"/>
      <c r="Y12" s="32"/>
      <c r="Z12" s="271"/>
      <c r="AA12" s="32"/>
      <c r="AB12" s="271"/>
      <c r="AC12" s="271"/>
      <c r="AD12" s="32"/>
      <c r="AE12" s="32"/>
      <c r="AF12" s="69"/>
      <c r="AG12" s="69"/>
    </row>
    <row r="13" spans="2:33">
      <c r="B13" s="39"/>
      <c r="C13" s="45"/>
      <c r="D13" s="38"/>
      <c r="E13" s="38"/>
      <c r="F13" s="38"/>
      <c r="G13" s="55"/>
      <c r="H13" s="30"/>
      <c r="I13" s="30"/>
      <c r="J13" s="30"/>
      <c r="K13" s="69"/>
      <c r="L13" s="20"/>
      <c r="M13" s="20"/>
      <c r="N13" s="20"/>
      <c r="O13" s="20"/>
      <c r="P13" s="20"/>
      <c r="Q13" s="20"/>
      <c r="R13" s="20"/>
      <c r="S13" s="69"/>
      <c r="T13" s="69"/>
      <c r="U13" s="20"/>
      <c r="V13" s="45"/>
      <c r="W13" s="269"/>
      <c r="X13" s="32"/>
      <c r="Y13" s="32"/>
      <c r="Z13" s="271"/>
      <c r="AA13" s="32"/>
      <c r="AB13" s="271"/>
      <c r="AC13" s="271"/>
      <c r="AD13" s="32"/>
      <c r="AE13" s="32"/>
      <c r="AF13" s="69"/>
      <c r="AG13" s="69"/>
    </row>
    <row r="14" spans="2:33">
      <c r="B14" s="39"/>
      <c r="C14" s="45"/>
      <c r="D14" s="38"/>
      <c r="E14" s="38"/>
      <c r="F14" s="38"/>
      <c r="G14" s="55"/>
      <c r="H14" s="30"/>
      <c r="I14" s="30"/>
      <c r="J14" s="30"/>
      <c r="K14" s="69"/>
      <c r="L14" s="20"/>
      <c r="M14" s="20"/>
      <c r="N14" s="20"/>
      <c r="O14" s="20"/>
      <c r="P14" s="20"/>
      <c r="Q14" s="20"/>
      <c r="R14" s="20"/>
      <c r="S14" s="69"/>
      <c r="T14" s="69"/>
      <c r="U14" s="20"/>
      <c r="V14" s="45"/>
      <c r="W14" s="269"/>
      <c r="X14" s="32"/>
      <c r="Y14" s="32"/>
      <c r="Z14" s="271"/>
      <c r="AA14" s="32"/>
      <c r="AB14" s="271"/>
      <c r="AC14" s="271"/>
      <c r="AD14" s="32"/>
      <c r="AE14" s="32"/>
      <c r="AF14" s="69"/>
      <c r="AG14" s="69"/>
    </row>
    <row r="15" spans="2:33">
      <c r="B15" s="39"/>
      <c r="C15" s="45"/>
      <c r="D15" s="38"/>
      <c r="E15" s="38"/>
      <c r="F15" s="38"/>
      <c r="G15" s="55"/>
      <c r="H15" s="30"/>
      <c r="I15" s="30"/>
      <c r="J15" s="30"/>
      <c r="K15" s="69"/>
      <c r="L15" s="20"/>
      <c r="M15" s="20"/>
      <c r="N15" s="20"/>
      <c r="O15" s="20"/>
      <c r="P15" s="20"/>
      <c r="Q15" s="20"/>
      <c r="R15" s="20"/>
      <c r="S15" s="69"/>
      <c r="T15" s="69"/>
      <c r="U15" s="20"/>
      <c r="V15" s="45"/>
      <c r="W15" s="269"/>
      <c r="X15" s="32"/>
      <c r="Y15" s="32"/>
      <c r="Z15" s="271"/>
      <c r="AA15" s="32"/>
      <c r="AB15" s="271"/>
      <c r="AC15" s="271"/>
      <c r="AD15" s="32"/>
      <c r="AE15" s="32"/>
      <c r="AF15" s="69"/>
      <c r="AG15" s="69"/>
    </row>
    <row r="16" spans="2:33">
      <c r="B16" s="39"/>
      <c r="C16" s="45"/>
      <c r="D16" s="38"/>
      <c r="E16" s="38"/>
      <c r="F16" s="38"/>
      <c r="G16" s="55"/>
      <c r="H16" s="30"/>
      <c r="I16" s="30"/>
      <c r="J16" s="30"/>
      <c r="K16" s="69"/>
      <c r="L16" s="20"/>
      <c r="M16" s="20"/>
      <c r="N16" s="20"/>
      <c r="O16" s="20"/>
      <c r="P16" s="20"/>
      <c r="Q16" s="20"/>
      <c r="R16" s="20"/>
      <c r="S16" s="69"/>
      <c r="T16" s="69"/>
      <c r="U16" s="20"/>
      <c r="V16" s="45"/>
      <c r="W16" s="269"/>
      <c r="X16" s="32"/>
      <c r="Y16" s="32"/>
      <c r="Z16" s="271"/>
      <c r="AA16" s="32"/>
      <c r="AB16" s="271"/>
      <c r="AC16" s="271"/>
      <c r="AD16" s="32"/>
      <c r="AE16" s="32"/>
      <c r="AF16" s="69"/>
      <c r="AG16" s="69"/>
    </row>
    <row r="17" spans="1:33">
      <c r="B17" s="39"/>
      <c r="C17" s="45"/>
      <c r="D17" s="38"/>
      <c r="E17" s="38"/>
      <c r="F17" s="38"/>
      <c r="G17" s="55"/>
      <c r="H17" s="30"/>
      <c r="I17" s="30"/>
      <c r="J17" s="30"/>
      <c r="K17" s="69"/>
      <c r="L17" s="20"/>
      <c r="M17" s="20"/>
      <c r="N17" s="20"/>
      <c r="O17" s="20"/>
      <c r="P17" s="20"/>
      <c r="Q17" s="20"/>
      <c r="R17" s="20"/>
      <c r="S17" s="69"/>
      <c r="T17" s="69"/>
      <c r="U17" s="20"/>
      <c r="V17" s="45"/>
      <c r="W17" s="269"/>
      <c r="X17" s="32"/>
      <c r="Y17" s="32"/>
      <c r="Z17" s="271"/>
      <c r="AA17" s="32"/>
      <c r="AB17" s="271"/>
      <c r="AC17" s="271"/>
      <c r="AD17" s="32"/>
      <c r="AE17" s="32"/>
      <c r="AF17" s="69"/>
      <c r="AG17" s="69"/>
    </row>
    <row r="18" spans="1:33">
      <c r="B18" s="39"/>
      <c r="C18" s="45"/>
      <c r="D18" s="38"/>
      <c r="E18" s="38"/>
      <c r="F18" s="38"/>
      <c r="G18" s="55"/>
      <c r="H18" s="30"/>
      <c r="I18" s="30"/>
      <c r="J18" s="30"/>
      <c r="K18" s="69"/>
      <c r="L18" s="20"/>
      <c r="M18" s="20"/>
      <c r="N18" s="20"/>
      <c r="O18" s="20"/>
      <c r="P18" s="20"/>
      <c r="Q18" s="20"/>
      <c r="R18" s="20"/>
      <c r="S18" s="69"/>
      <c r="T18" s="69"/>
      <c r="U18" s="20"/>
      <c r="V18" s="45"/>
      <c r="W18" s="269"/>
      <c r="X18" s="32"/>
      <c r="Y18" s="32"/>
      <c r="Z18" s="271"/>
      <c r="AA18" s="32"/>
      <c r="AB18" s="271"/>
      <c r="AC18" s="271"/>
      <c r="AD18" s="32"/>
      <c r="AE18" s="32"/>
      <c r="AF18" s="69"/>
      <c r="AG18" s="69"/>
    </row>
    <row r="19" spans="1:33">
      <c r="B19" s="39"/>
      <c r="C19" s="45"/>
      <c r="D19" s="38"/>
      <c r="E19" s="38"/>
      <c r="F19" s="38"/>
      <c r="G19" s="55"/>
      <c r="H19" s="30"/>
      <c r="I19" s="30"/>
      <c r="J19" s="30"/>
      <c r="K19" s="69"/>
      <c r="L19" s="20"/>
      <c r="M19" s="20"/>
      <c r="N19" s="20"/>
      <c r="O19" s="20"/>
      <c r="P19" s="20"/>
      <c r="Q19" s="20"/>
      <c r="R19" s="20"/>
      <c r="S19" s="69"/>
      <c r="T19" s="69"/>
      <c r="U19" s="20"/>
      <c r="V19" s="45"/>
      <c r="W19" s="269"/>
      <c r="X19" s="32"/>
      <c r="Y19" s="32"/>
      <c r="Z19" s="271"/>
      <c r="AA19" s="32"/>
      <c r="AB19" s="271"/>
      <c r="AC19" s="271"/>
      <c r="AD19" s="32"/>
      <c r="AE19" s="32"/>
      <c r="AF19" s="69"/>
      <c r="AG19" s="69"/>
    </row>
    <row r="20" spans="1:33">
      <c r="B20" s="39"/>
      <c r="C20" s="45"/>
      <c r="D20" s="38"/>
      <c r="E20" s="38"/>
      <c r="F20" s="38"/>
      <c r="G20" s="55"/>
      <c r="H20" s="30"/>
      <c r="I20" s="30"/>
      <c r="J20" s="30"/>
      <c r="K20" s="69"/>
      <c r="L20" s="20"/>
      <c r="M20" s="20"/>
      <c r="N20" s="20"/>
      <c r="O20" s="20"/>
      <c r="P20" s="20"/>
      <c r="Q20" s="20"/>
      <c r="R20" s="20"/>
      <c r="S20" s="69"/>
      <c r="T20" s="69"/>
      <c r="U20" s="20"/>
      <c r="V20" s="45"/>
      <c r="W20" s="269"/>
      <c r="X20" s="32"/>
      <c r="Y20" s="32"/>
      <c r="Z20" s="271"/>
      <c r="AA20" s="32"/>
      <c r="AB20" s="271"/>
      <c r="AC20" s="271"/>
      <c r="AD20" s="32"/>
      <c r="AE20" s="32"/>
      <c r="AF20" s="69"/>
      <c r="AG20" s="69"/>
    </row>
    <row r="21" spans="1:33">
      <c r="B21" s="39"/>
      <c r="C21" s="45"/>
      <c r="D21" s="38"/>
      <c r="E21" s="38"/>
      <c r="F21" s="38"/>
      <c r="G21" s="55"/>
      <c r="H21" s="30"/>
      <c r="I21" s="30"/>
      <c r="J21" s="30"/>
      <c r="K21" s="69"/>
      <c r="L21" s="20"/>
      <c r="M21" s="20"/>
      <c r="N21" s="20"/>
      <c r="O21" s="20"/>
      <c r="P21" s="20"/>
      <c r="Q21" s="20"/>
      <c r="R21" s="20"/>
      <c r="S21" s="69"/>
      <c r="T21" s="69"/>
      <c r="U21" s="20"/>
      <c r="V21" s="45"/>
      <c r="W21" s="269"/>
      <c r="X21" s="32"/>
      <c r="Y21" s="32"/>
      <c r="Z21" s="271"/>
      <c r="AA21" s="32"/>
      <c r="AB21" s="271"/>
      <c r="AC21" s="271"/>
      <c r="AD21" s="32"/>
      <c r="AE21" s="32"/>
      <c r="AF21" s="69"/>
      <c r="AG21" s="69"/>
    </row>
    <row r="22" spans="1:33">
      <c r="B22" s="39"/>
      <c r="C22" s="45"/>
      <c r="D22" s="38"/>
      <c r="E22" s="38"/>
      <c r="F22" s="38"/>
      <c r="G22" s="55"/>
      <c r="H22" s="30"/>
      <c r="I22" s="30"/>
      <c r="J22" s="30"/>
      <c r="K22" s="69"/>
      <c r="L22" s="20"/>
      <c r="M22" s="20"/>
      <c r="N22" s="20"/>
      <c r="O22" s="20"/>
      <c r="P22" s="20"/>
      <c r="Q22" s="20"/>
      <c r="R22" s="20"/>
      <c r="S22" s="69"/>
      <c r="T22" s="69"/>
      <c r="U22" s="20"/>
      <c r="V22" s="45"/>
      <c r="W22" s="269"/>
      <c r="X22" s="32"/>
      <c r="Y22" s="32"/>
      <c r="Z22" s="271"/>
      <c r="AA22" s="32"/>
      <c r="AB22" s="271"/>
      <c r="AC22" s="271"/>
      <c r="AD22" s="32"/>
      <c r="AE22" s="32"/>
      <c r="AF22" s="69"/>
      <c r="AG22" s="69"/>
    </row>
    <row r="23" spans="1:33">
      <c r="A23" s="80" t="s">
        <v>164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>
      <c r="A24" s="78" t="s">
        <v>39</v>
      </c>
      <c r="B24" s="78" t="s">
        <v>39</v>
      </c>
      <c r="C24" s="78" t="s">
        <v>39</v>
      </c>
      <c r="D24" s="78" t="s">
        <v>39</v>
      </c>
      <c r="E24" s="78" t="s">
        <v>39</v>
      </c>
      <c r="F24" s="78" t="s">
        <v>39</v>
      </c>
      <c r="G24" s="78" t="s">
        <v>39</v>
      </c>
      <c r="H24" s="78" t="s">
        <v>39</v>
      </c>
      <c r="I24" s="78" t="s">
        <v>39</v>
      </c>
      <c r="J24" s="78" t="s">
        <v>39</v>
      </c>
      <c r="K24" s="78" t="s">
        <v>39</v>
      </c>
      <c r="L24" s="78" t="s">
        <v>39</v>
      </c>
      <c r="M24" s="78" t="s">
        <v>39</v>
      </c>
      <c r="N24" s="78" t="s">
        <v>39</v>
      </c>
      <c r="O24" s="78" t="s">
        <v>39</v>
      </c>
      <c r="P24" s="78" t="s">
        <v>39</v>
      </c>
      <c r="Q24" s="78" t="s">
        <v>39</v>
      </c>
      <c r="R24" s="78" t="s">
        <v>39</v>
      </c>
      <c r="S24" s="78" t="s">
        <v>39</v>
      </c>
      <c r="T24" s="78" t="s">
        <v>39</v>
      </c>
      <c r="U24" s="78" t="s">
        <v>39</v>
      </c>
      <c r="V24" s="78" t="s">
        <v>39</v>
      </c>
      <c r="W24" s="78" t="s">
        <v>39</v>
      </c>
      <c r="X24" s="78" t="s">
        <v>39</v>
      </c>
      <c r="Y24" s="78" t="s">
        <v>39</v>
      </c>
      <c r="Z24" s="78" t="s">
        <v>39</v>
      </c>
      <c r="AA24" s="78" t="s">
        <v>39</v>
      </c>
      <c r="AB24" s="78" t="s">
        <v>39</v>
      </c>
      <c r="AC24" s="78" t="s">
        <v>39</v>
      </c>
      <c r="AD24" s="78" t="s">
        <v>39</v>
      </c>
      <c r="AE24" s="78" t="s">
        <v>39</v>
      </c>
      <c r="AF24" s="78" t="s">
        <v>39</v>
      </c>
      <c r="AG24" s="78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1022"/>
  <sheetViews>
    <sheetView topLeftCell="D53" zoomScale="110" zoomScaleNormal="110" zoomScalePageLayoutView="90" workbookViewId="0">
      <selection activeCell="E20" sqref="E20:H67"/>
    </sheetView>
  </sheetViews>
  <sheetFormatPr defaultColWidth="10" defaultRowHeight="15"/>
  <cols>
    <col min="1" max="1" width="17.625" style="36" customWidth="1"/>
    <col min="2" max="2" width="12.375" style="36" bestFit="1" customWidth="1"/>
    <col min="3" max="3" width="10.875" style="36" customWidth="1"/>
    <col min="4" max="4" width="8.125" style="36" customWidth="1"/>
    <col min="5" max="5" width="12.125" style="36" bestFit="1" customWidth="1"/>
    <col min="6" max="6" width="18.875" style="36" bestFit="1" customWidth="1"/>
    <col min="7" max="7" width="23.875" style="36" bestFit="1" customWidth="1"/>
    <col min="8" max="8" width="12.125" style="36" bestFit="1" customWidth="1"/>
    <col min="9" max="9" width="40.375" style="36" bestFit="1" customWidth="1"/>
    <col min="10" max="16384" width="10" style="36"/>
  </cols>
  <sheetData>
    <row r="1" spans="5:10" ht="15.75" thickBot="1">
      <c r="J1" s="36" t="s">
        <v>39</v>
      </c>
    </row>
    <row r="2" spans="5:10">
      <c r="E2" s="201" t="s">
        <v>274</v>
      </c>
      <c r="F2" s="202"/>
      <c r="G2" s="203"/>
      <c r="J2" s="36" t="s">
        <v>39</v>
      </c>
    </row>
    <row r="3" spans="5:10">
      <c r="E3" s="204"/>
      <c r="F3" s="206" t="s">
        <v>108</v>
      </c>
      <c r="G3" s="205" t="s">
        <v>276</v>
      </c>
      <c r="J3" s="36" t="s">
        <v>39</v>
      </c>
    </row>
    <row r="4" spans="5:10">
      <c r="E4" s="204"/>
      <c r="F4" s="206" t="s">
        <v>59</v>
      </c>
      <c r="G4" s="205" t="s">
        <v>276</v>
      </c>
      <c r="J4" s="36" t="s">
        <v>39</v>
      </c>
    </row>
    <row r="5" spans="5:10">
      <c r="E5" s="204"/>
      <c r="F5" s="206" t="s">
        <v>58</v>
      </c>
      <c r="G5" s="205" t="s">
        <v>276</v>
      </c>
      <c r="J5" s="36" t="s">
        <v>39</v>
      </c>
    </row>
    <row r="6" spans="5:10">
      <c r="E6" s="204"/>
      <c r="F6" s="206" t="s">
        <v>255</v>
      </c>
      <c r="G6" s="205" t="s">
        <v>276</v>
      </c>
      <c r="J6" s="36" t="s">
        <v>39</v>
      </c>
    </row>
    <row r="7" spans="5:10" ht="15.75" thickBot="1">
      <c r="E7" s="207"/>
      <c r="F7" s="208" t="s">
        <v>57</v>
      </c>
      <c r="G7" s="209" t="s">
        <v>276</v>
      </c>
      <c r="J7" s="36" t="s">
        <v>39</v>
      </c>
    </row>
    <row r="8" spans="5:10" ht="15.75" thickBot="1">
      <c r="J8" s="36" t="s">
        <v>39</v>
      </c>
    </row>
    <row r="9" spans="5:10">
      <c r="F9" s="244" t="s">
        <v>105</v>
      </c>
      <c r="G9" s="245" t="s">
        <v>107</v>
      </c>
      <c r="J9" s="36" t="s">
        <v>39</v>
      </c>
    </row>
    <row r="10" spans="5:10">
      <c r="F10" s="246">
        <v>0</v>
      </c>
      <c r="G10" s="247" t="s">
        <v>57</v>
      </c>
      <c r="J10" s="36" t="s">
        <v>39</v>
      </c>
    </row>
    <row r="11" spans="5:10">
      <c r="F11" s="246">
        <v>40000</v>
      </c>
      <c r="G11" s="247" t="s">
        <v>255</v>
      </c>
      <c r="J11" s="36" t="s">
        <v>39</v>
      </c>
    </row>
    <row r="12" spans="5:10">
      <c r="F12" s="246">
        <v>60000</v>
      </c>
      <c r="G12" s="247" t="s">
        <v>58</v>
      </c>
      <c r="J12" s="36" t="s">
        <v>39</v>
      </c>
    </row>
    <row r="13" spans="5:10">
      <c r="F13" s="246">
        <v>100000</v>
      </c>
      <c r="G13" s="247" t="s">
        <v>59</v>
      </c>
      <c r="J13" s="36" t="s">
        <v>39</v>
      </c>
    </row>
    <row r="14" spans="5:10">
      <c r="F14" s="246">
        <v>220000</v>
      </c>
      <c r="G14" s="247" t="s">
        <v>108</v>
      </c>
      <c r="J14" s="36" t="s">
        <v>39</v>
      </c>
    </row>
    <row r="15" spans="5:10">
      <c r="F15" s="248"/>
      <c r="G15" s="247"/>
      <c r="J15" s="36" t="s">
        <v>39</v>
      </c>
    </row>
    <row r="16" spans="5:10">
      <c r="F16" s="248"/>
      <c r="G16" s="247"/>
    </row>
    <row r="17" spans="4:10" ht="15.75" thickBot="1">
      <c r="F17" s="249"/>
      <c r="G17" s="250"/>
    </row>
    <row r="19" spans="4:10">
      <c r="E19" s="194" t="s">
        <v>275</v>
      </c>
      <c r="J19" s="36" t="s">
        <v>39</v>
      </c>
    </row>
    <row r="20" spans="4:10" ht="30">
      <c r="D20" s="37" t="s">
        <v>53</v>
      </c>
      <c r="E20" s="176" t="s">
        <v>0</v>
      </c>
      <c r="F20" s="176" t="s">
        <v>251</v>
      </c>
      <c r="G20" s="176" t="s">
        <v>244</v>
      </c>
      <c r="H20" s="176" t="s">
        <v>271</v>
      </c>
      <c r="I20" s="176" t="s">
        <v>260</v>
      </c>
      <c r="J20" s="36" t="s">
        <v>39</v>
      </c>
    </row>
    <row r="21" spans="4:10">
      <c r="D21" s="37"/>
      <c r="E21" s="177" t="s">
        <v>14</v>
      </c>
      <c r="F21" s="177" t="s">
        <v>29</v>
      </c>
      <c r="G21" s="177" t="s">
        <v>29</v>
      </c>
      <c r="H21" s="177" t="s">
        <v>56</v>
      </c>
      <c r="I21" s="177" t="s">
        <v>14</v>
      </c>
      <c r="J21" s="36" t="s">
        <v>39</v>
      </c>
    </row>
    <row r="22" spans="4:10" ht="15.75">
      <c r="D22" s="37">
        <v>1</v>
      </c>
      <c r="E22" s="39">
        <v>43868</v>
      </c>
      <c r="F22" s="42" t="s">
        <v>59</v>
      </c>
      <c r="G22" s="42" t="s">
        <v>253</v>
      </c>
      <c r="H22" s="29">
        <v>2660</v>
      </c>
      <c r="I22" s="193">
        <f t="array" ref="I22">IF(NOT(ISERROR(MATCH(2,1/(('AllowedShip Class Time Charters'!$D$3:$D$16='Ship Time Charter Rates'!F22)*('AllowedShip Class Time Charters'!$E$3:$E$16='Ship Time Charter Rates'!G22))))),0,"Vessel class and Index Choosen don’t match!")</f>
        <v>0</v>
      </c>
      <c r="J22" s="36" t="s">
        <v>39</v>
      </c>
    </row>
    <row r="23" spans="4:10" ht="15.75">
      <c r="D23" s="37">
        <f>D22+1</f>
        <v>2</v>
      </c>
      <c r="E23" s="39">
        <v>43868</v>
      </c>
      <c r="F23" s="42" t="s">
        <v>58</v>
      </c>
      <c r="G23" s="42" t="s">
        <v>254</v>
      </c>
      <c r="H23" s="29">
        <v>3535</v>
      </c>
      <c r="I23" s="193">
        <f t="array" ref="I23">IF(NOT(ISERROR(MATCH(2,1/(('AllowedShip Class Time Charters'!$D$3:$D$16='Ship Time Charter Rates'!F23)*('AllowedShip Class Time Charters'!$E$3:$E$16='Ship Time Charter Rates'!G23))))),0,"Vessel class and Index Choosen don’t match!")</f>
        <v>0</v>
      </c>
      <c r="J23" s="36" t="s">
        <v>39</v>
      </c>
    </row>
    <row r="24" spans="4:10" ht="15.75">
      <c r="D24" s="37">
        <f t="shared" ref="D24:D31" si="0">D23+1</f>
        <v>3</v>
      </c>
      <c r="E24" s="39">
        <v>43868</v>
      </c>
      <c r="F24" s="42" t="s">
        <v>255</v>
      </c>
      <c r="G24" s="42" t="s">
        <v>258</v>
      </c>
      <c r="H24" s="29">
        <v>5400</v>
      </c>
      <c r="I24" s="193">
        <f t="array" ref="I24">IF(NOT(ISERROR(MATCH(2,1/(('AllowedShip Class Time Charters'!$D$3:$D$16='Ship Time Charter Rates'!F24)*('AllowedShip Class Time Charters'!$E$3:$E$16='Ship Time Charter Rates'!G24))))),0,"Vessel class and Index Choosen don’t match!")</f>
        <v>0</v>
      </c>
      <c r="J24" s="36" t="s">
        <v>39</v>
      </c>
    </row>
    <row r="25" spans="4:10" ht="15.75">
      <c r="D25" s="37">
        <f t="shared" si="0"/>
        <v>4</v>
      </c>
      <c r="E25" s="39">
        <v>43868</v>
      </c>
      <c r="F25" s="42" t="s">
        <v>57</v>
      </c>
      <c r="G25" s="42" t="s">
        <v>259</v>
      </c>
      <c r="H25" s="405">
        <v>5400</v>
      </c>
      <c r="I25" s="193">
        <f t="array" ref="I25">IF(NOT(ISERROR(MATCH(2,1/(('AllowedShip Class Time Charters'!$D$3:$D$16='Ship Time Charter Rates'!F25)*('AllowedShip Class Time Charters'!$E$3:$E$16='Ship Time Charter Rates'!G25))))),0,"Vessel class and Index Choosen don’t match!")</f>
        <v>0</v>
      </c>
      <c r="J25" s="36" t="s">
        <v>39</v>
      </c>
    </row>
    <row r="26" spans="4:10" ht="15.75">
      <c r="D26" s="37">
        <f t="shared" si="0"/>
        <v>5</v>
      </c>
      <c r="E26" s="39">
        <v>43868</v>
      </c>
      <c r="F26" s="42" t="s">
        <v>58</v>
      </c>
      <c r="G26" s="42" t="s">
        <v>241</v>
      </c>
      <c r="H26" s="29">
        <v>3535</v>
      </c>
      <c r="I26" s="193">
        <f t="array" ref="I26">IF(NOT(ISERROR(MATCH(2,1/(('AllowedShip Class Time Charters'!$D$3:$D$16='Ship Time Charter Rates'!F26)*('AllowedShip Class Time Charters'!$E$3:$E$16='Ship Time Charter Rates'!G26))))),0,"Vessel class and Index Choosen don’t match!")</f>
        <v>0</v>
      </c>
      <c r="J26" s="36" t="s">
        <v>39</v>
      </c>
    </row>
    <row r="27" spans="4:10" ht="15.75">
      <c r="D27" s="37">
        <f t="shared" si="0"/>
        <v>6</v>
      </c>
      <c r="E27" s="39">
        <v>43875</v>
      </c>
      <c r="F27" s="42" t="s">
        <v>59</v>
      </c>
      <c r="G27" s="42" t="s">
        <v>253</v>
      </c>
      <c r="H27" s="29">
        <v>2445</v>
      </c>
      <c r="I27" s="193">
        <f t="array" ref="I27">IF(NOT(ISERROR(MATCH(2,1/(('AllowedShip Class Time Charters'!$D$3:$D$16='Ship Time Charter Rates'!F27)*('AllowedShip Class Time Charters'!$E$3:$E$16='Ship Time Charter Rates'!G27))))),0,"Vessel class and Index Choosen don’t match!")</f>
        <v>0</v>
      </c>
      <c r="J27" s="36" t="s">
        <v>39</v>
      </c>
    </row>
    <row r="28" spans="4:10" ht="15.75">
      <c r="D28" s="37">
        <f t="shared" si="0"/>
        <v>7</v>
      </c>
      <c r="E28" s="39">
        <v>43875</v>
      </c>
      <c r="F28" s="42" t="s">
        <v>58</v>
      </c>
      <c r="G28" s="42" t="s">
        <v>254</v>
      </c>
      <c r="H28" s="29">
        <v>4388</v>
      </c>
      <c r="I28" s="193">
        <f t="array" ref="I28">IF(NOT(ISERROR(MATCH(2,1/(('AllowedShip Class Time Charters'!$D$3:$D$16='Ship Time Charter Rates'!F28)*('AllowedShip Class Time Charters'!$E$3:$E$16='Ship Time Charter Rates'!G28))))),0,"Vessel class and Index Choosen don’t match!")</f>
        <v>0</v>
      </c>
      <c r="J28" s="36" t="s">
        <v>39</v>
      </c>
    </row>
    <row r="29" spans="4:10" ht="15.75">
      <c r="D29" s="37">
        <f t="shared" si="0"/>
        <v>8</v>
      </c>
      <c r="E29" s="39">
        <v>43875</v>
      </c>
      <c r="F29" s="42" t="s">
        <v>255</v>
      </c>
      <c r="G29" s="42" t="s">
        <v>258</v>
      </c>
      <c r="H29" s="29">
        <v>5171</v>
      </c>
      <c r="I29" s="193">
        <f t="array" ref="I29">IF(NOT(ISERROR(MATCH(2,1/(('AllowedShip Class Time Charters'!$D$3:$D$16='Ship Time Charter Rates'!F29)*('AllowedShip Class Time Charters'!$E$3:$E$16='Ship Time Charter Rates'!G29))))),0,"Vessel class and Index Choosen don’t match!")</f>
        <v>0</v>
      </c>
      <c r="J29" s="36" t="s">
        <v>39</v>
      </c>
    </row>
    <row r="30" spans="4:10" ht="15.75">
      <c r="D30" s="37">
        <f t="shared" si="0"/>
        <v>9</v>
      </c>
      <c r="E30" s="39">
        <v>43875</v>
      </c>
      <c r="F30" s="42" t="s">
        <v>57</v>
      </c>
      <c r="G30" s="42" t="s">
        <v>259</v>
      </c>
      <c r="H30" s="405">
        <v>5171</v>
      </c>
      <c r="I30" s="193">
        <f t="array" ref="I30">IF(NOT(ISERROR(MATCH(2,1/(('AllowedShip Class Time Charters'!$D$3:$D$16='Ship Time Charter Rates'!F30)*('AllowedShip Class Time Charters'!$E$3:$E$16='Ship Time Charter Rates'!G30))))),0,"Vessel class and Index Choosen don’t match!")</f>
        <v>0</v>
      </c>
      <c r="J30" s="36" t="s">
        <v>39</v>
      </c>
    </row>
    <row r="31" spans="4:10" ht="15.75">
      <c r="D31" s="37">
        <f t="shared" si="0"/>
        <v>10</v>
      </c>
      <c r="E31" s="39">
        <v>43875</v>
      </c>
      <c r="F31" s="42" t="s">
        <v>58</v>
      </c>
      <c r="G31" s="42" t="s">
        <v>241</v>
      </c>
      <c r="H31" s="29">
        <v>4388</v>
      </c>
      <c r="I31" s="193">
        <f t="array" ref="I31">IF(NOT(ISERROR(MATCH(2,1/(('AllowedShip Class Time Charters'!$D$3:$D$16='Ship Time Charter Rates'!F31)*('AllowedShip Class Time Charters'!$E$3:$E$16='Ship Time Charter Rates'!G31))))),0,"Vessel class and Index Choosen don’t match!")</f>
        <v>0</v>
      </c>
      <c r="J31" s="36" t="s">
        <v>39</v>
      </c>
    </row>
    <row r="32" spans="4:10" ht="15.75">
      <c r="D32" s="37">
        <f>D31+1</f>
        <v>11</v>
      </c>
      <c r="E32" s="39">
        <v>43882</v>
      </c>
      <c r="F32" s="42" t="s">
        <v>59</v>
      </c>
      <c r="G32" s="42" t="s">
        <v>253</v>
      </c>
      <c r="H32" s="29">
        <v>3980</v>
      </c>
      <c r="I32" s="193">
        <f t="array" ref="I32">IF(NOT(ISERROR(MATCH(2,1/(('AllowedShip Class Time Charters'!$D$3:$D$16='Ship Time Charter Rates'!F32)*('AllowedShip Class Time Charters'!$E$3:$E$16='Ship Time Charter Rates'!G32))))),0,"Vessel class and Index Choosen don’t match!")</f>
        <v>0</v>
      </c>
      <c r="J32" s="36" t="s">
        <v>39</v>
      </c>
    </row>
    <row r="33" spans="4:10" ht="15.75">
      <c r="D33" s="37">
        <f t="shared" ref="D33:D41" si="1">D32+1</f>
        <v>12</v>
      </c>
      <c r="E33" s="39">
        <v>43882</v>
      </c>
      <c r="F33" s="42" t="s">
        <v>58</v>
      </c>
      <c r="G33" s="42" t="s">
        <v>254</v>
      </c>
      <c r="H33" s="29">
        <v>5301</v>
      </c>
      <c r="I33" s="193">
        <f t="array" ref="I33">IF(NOT(ISERROR(MATCH(2,1/(('AllowedShip Class Time Charters'!$D$3:$D$16='Ship Time Charter Rates'!F33)*('AllowedShip Class Time Charters'!$E$3:$E$16='Ship Time Charter Rates'!G33))))),0,"Vessel class and Index Choosen don’t match!")</f>
        <v>0</v>
      </c>
      <c r="J33" s="36" t="s">
        <v>39</v>
      </c>
    </row>
    <row r="34" spans="4:10" ht="15.75">
      <c r="D34" s="37">
        <f t="shared" si="1"/>
        <v>13</v>
      </c>
      <c r="E34" s="39">
        <v>43882</v>
      </c>
      <c r="F34" s="42" t="s">
        <v>255</v>
      </c>
      <c r="G34" s="42" t="s">
        <v>258</v>
      </c>
      <c r="H34" s="29">
        <v>5389</v>
      </c>
      <c r="I34" s="193">
        <f t="array" ref="I34">IF(NOT(ISERROR(MATCH(2,1/(('AllowedShip Class Time Charters'!$D$3:$D$16='Ship Time Charter Rates'!F34)*('AllowedShip Class Time Charters'!$E$3:$E$16='Ship Time Charter Rates'!G34))))),0,"Vessel class and Index Choosen don’t match!")</f>
        <v>0</v>
      </c>
      <c r="J34" s="36" t="s">
        <v>39</v>
      </c>
    </row>
    <row r="35" spans="4:10" ht="15.75">
      <c r="D35" s="37">
        <f t="shared" si="1"/>
        <v>14</v>
      </c>
      <c r="E35" s="39">
        <v>43882</v>
      </c>
      <c r="F35" s="42" t="s">
        <v>57</v>
      </c>
      <c r="G35" s="42" t="s">
        <v>259</v>
      </c>
      <c r="H35" s="405">
        <v>5389</v>
      </c>
      <c r="I35" s="193">
        <f t="array" ref="I35">IF(NOT(ISERROR(MATCH(2,1/(('AllowedShip Class Time Charters'!$D$3:$D$16='Ship Time Charter Rates'!F35)*('AllowedShip Class Time Charters'!$E$3:$E$16='Ship Time Charter Rates'!G35))))),0,"Vessel class and Index Choosen don’t match!")</f>
        <v>0</v>
      </c>
      <c r="J35" s="36" t="s">
        <v>39</v>
      </c>
    </row>
    <row r="36" spans="4:10" ht="15.75">
      <c r="D36" s="37">
        <f t="shared" si="1"/>
        <v>15</v>
      </c>
      <c r="E36" s="39">
        <v>43882</v>
      </c>
      <c r="F36" s="42" t="s">
        <v>58</v>
      </c>
      <c r="G36" s="42" t="s">
        <v>241</v>
      </c>
      <c r="H36" s="29">
        <v>5301</v>
      </c>
      <c r="I36" s="193">
        <f t="array" ref="I36">IF(NOT(ISERROR(MATCH(2,1/(('AllowedShip Class Time Charters'!$D$3:$D$16='Ship Time Charter Rates'!F36)*('AllowedShip Class Time Charters'!$E$3:$E$16='Ship Time Charter Rates'!G36))))),0,"Vessel class and Index Choosen don’t match!")</f>
        <v>0</v>
      </c>
      <c r="J36" s="36" t="s">
        <v>39</v>
      </c>
    </row>
    <row r="37" spans="4:10" ht="15.75">
      <c r="D37" s="37">
        <f t="shared" si="1"/>
        <v>16</v>
      </c>
      <c r="E37" s="39">
        <v>43889</v>
      </c>
      <c r="F37" s="42" t="s">
        <v>59</v>
      </c>
      <c r="G37" s="42" t="s">
        <v>253</v>
      </c>
      <c r="H37" s="29">
        <v>4134</v>
      </c>
      <c r="I37" s="193">
        <f t="array" ref="I37">IF(NOT(ISERROR(MATCH(2,1/(('AllowedShip Class Time Charters'!$D$3:$D$16='Ship Time Charter Rates'!F37)*('AllowedShip Class Time Charters'!$E$3:$E$16='Ship Time Charter Rates'!G37))))),0,"Vessel class and Index Choosen don’t match!")</f>
        <v>0</v>
      </c>
      <c r="J37" s="36" t="s">
        <v>39</v>
      </c>
    </row>
    <row r="38" spans="4:10" ht="15.75">
      <c r="D38" s="37">
        <f t="shared" si="1"/>
        <v>17</v>
      </c>
      <c r="E38" s="39">
        <v>43889</v>
      </c>
      <c r="F38" s="42" t="s">
        <v>58</v>
      </c>
      <c r="G38" s="42" t="s">
        <v>254</v>
      </c>
      <c r="H38" s="29">
        <v>6467</v>
      </c>
      <c r="I38" s="193">
        <f t="array" ref="I38">IF(NOT(ISERROR(MATCH(2,1/(('AllowedShip Class Time Charters'!$D$3:$D$16='Ship Time Charter Rates'!F38)*('AllowedShip Class Time Charters'!$E$3:$E$16='Ship Time Charter Rates'!G38))))),0,"Vessel class and Index Choosen don’t match!")</f>
        <v>0</v>
      </c>
      <c r="J38" s="36" t="s">
        <v>39</v>
      </c>
    </row>
    <row r="39" spans="4:10" ht="15.75">
      <c r="D39" s="37">
        <f t="shared" si="1"/>
        <v>18</v>
      </c>
      <c r="E39" s="39">
        <v>43889</v>
      </c>
      <c r="F39" s="42" t="s">
        <v>255</v>
      </c>
      <c r="G39" s="42" t="s">
        <v>258</v>
      </c>
      <c r="H39" s="29">
        <v>4673</v>
      </c>
      <c r="I39" s="193">
        <f t="array" ref="I39">IF(NOT(ISERROR(MATCH(2,1/(('AllowedShip Class Time Charters'!$D$3:$D$16='Ship Time Charter Rates'!F39)*('AllowedShip Class Time Charters'!$E$3:$E$16='Ship Time Charter Rates'!G39))))),0,"Vessel class and Index Choosen don’t match!")</f>
        <v>0</v>
      </c>
      <c r="J39" s="36" t="s">
        <v>39</v>
      </c>
    </row>
    <row r="40" spans="4:10" ht="15.75">
      <c r="D40" s="37">
        <f t="shared" si="1"/>
        <v>19</v>
      </c>
      <c r="E40" s="39">
        <v>43889</v>
      </c>
      <c r="F40" s="42" t="s">
        <v>57</v>
      </c>
      <c r="G40" s="42" t="s">
        <v>259</v>
      </c>
      <c r="H40" s="405">
        <v>4673</v>
      </c>
      <c r="I40" s="193">
        <f t="array" ref="I40">IF(NOT(ISERROR(MATCH(2,1/(('AllowedShip Class Time Charters'!$D$3:$D$16='Ship Time Charter Rates'!F40)*('AllowedShip Class Time Charters'!$E$3:$E$16='Ship Time Charter Rates'!G40))))),0,"Vessel class and Index Choosen don’t match!")</f>
        <v>0</v>
      </c>
      <c r="J40" s="36" t="s">
        <v>39</v>
      </c>
    </row>
    <row r="41" spans="4:10" ht="15.75">
      <c r="D41" s="37">
        <f t="shared" si="1"/>
        <v>20</v>
      </c>
      <c r="E41" s="39">
        <v>43889</v>
      </c>
      <c r="F41" s="42" t="s">
        <v>58</v>
      </c>
      <c r="G41" s="42" t="s">
        <v>241</v>
      </c>
      <c r="H41" s="29">
        <v>6467</v>
      </c>
      <c r="I41" s="193">
        <f t="array" ref="I41">IF(NOT(ISERROR(MATCH(2,1/(('AllowedShip Class Time Charters'!$D$3:$D$16='Ship Time Charter Rates'!F41)*('AllowedShip Class Time Charters'!$E$3:$E$16='Ship Time Charter Rates'!G41))))),0,"Vessel class and Index Choosen don’t match!")</f>
        <v>0</v>
      </c>
      <c r="J41" s="36" t="s">
        <v>39</v>
      </c>
    </row>
    <row r="42" spans="4:10" ht="15.75">
      <c r="D42" s="37">
        <f>D41+1</f>
        <v>21</v>
      </c>
      <c r="E42" s="39">
        <v>43896</v>
      </c>
      <c r="F42" s="42" t="s">
        <v>59</v>
      </c>
      <c r="G42" s="42" t="s">
        <v>253</v>
      </c>
      <c r="H42" s="29">
        <v>3351</v>
      </c>
      <c r="I42" s="193">
        <f t="array" ref="I42">IF(NOT(ISERROR(MATCH(2,1/(('AllowedShip Class Time Charters'!$D$3:$D$16='Ship Time Charter Rates'!F42)*('AllowedShip Class Time Charters'!$E$3:$E$16='Ship Time Charter Rates'!G42))))),0,"Vessel class and Index Choosen don’t match!")</f>
        <v>0</v>
      </c>
      <c r="J42" s="36" t="s">
        <v>39</v>
      </c>
    </row>
    <row r="43" spans="4:10" ht="15.75">
      <c r="D43" s="37">
        <f t="shared" ref="D43:D51" si="2">D42+1</f>
        <v>22</v>
      </c>
      <c r="E43" s="39">
        <v>43896</v>
      </c>
      <c r="F43" s="42" t="s">
        <v>58</v>
      </c>
      <c r="G43" s="42" t="s">
        <v>254</v>
      </c>
      <c r="H43" s="29">
        <v>6946</v>
      </c>
      <c r="I43" s="193">
        <f t="array" ref="I43">IF(NOT(ISERROR(MATCH(2,1/(('AllowedShip Class Time Charters'!$D$3:$D$16='Ship Time Charter Rates'!F43)*('AllowedShip Class Time Charters'!$E$3:$E$16='Ship Time Charter Rates'!G43))))),0,"Vessel class and Index Choosen don’t match!")</f>
        <v>0</v>
      </c>
      <c r="J43" s="36" t="s">
        <v>39</v>
      </c>
    </row>
    <row r="44" spans="4:10" ht="15.75">
      <c r="D44" s="37">
        <f t="shared" si="2"/>
        <v>23</v>
      </c>
      <c r="E44" s="39">
        <v>43896</v>
      </c>
      <c r="F44" s="42" t="s">
        <v>255</v>
      </c>
      <c r="G44" s="42" t="s">
        <v>258</v>
      </c>
      <c r="H44" s="29">
        <v>5566</v>
      </c>
      <c r="I44" s="193">
        <f t="array" ref="I44">IF(NOT(ISERROR(MATCH(2,1/(('AllowedShip Class Time Charters'!$D$3:$D$16='Ship Time Charter Rates'!F44)*('AllowedShip Class Time Charters'!$E$3:$E$16='Ship Time Charter Rates'!G44))))),0,"Vessel class and Index Choosen don’t match!")</f>
        <v>0</v>
      </c>
      <c r="J44" s="36" t="s">
        <v>39</v>
      </c>
    </row>
    <row r="45" spans="4:10" ht="15.75">
      <c r="D45" s="37">
        <f t="shared" si="2"/>
        <v>24</v>
      </c>
      <c r="E45" s="39">
        <v>43896</v>
      </c>
      <c r="F45" s="42" t="s">
        <v>57</v>
      </c>
      <c r="G45" s="42" t="s">
        <v>259</v>
      </c>
      <c r="H45" s="405">
        <v>5566</v>
      </c>
      <c r="I45" s="193">
        <f t="array" ref="I45">IF(NOT(ISERROR(MATCH(2,1/(('AllowedShip Class Time Charters'!$D$3:$D$16='Ship Time Charter Rates'!F45)*('AllowedShip Class Time Charters'!$E$3:$E$16='Ship Time Charter Rates'!G45))))),0,"Vessel class and Index Choosen don’t match!")</f>
        <v>0</v>
      </c>
      <c r="J45" s="36" t="s">
        <v>39</v>
      </c>
    </row>
    <row r="46" spans="4:10" ht="15.75">
      <c r="D46" s="37">
        <f t="shared" si="2"/>
        <v>25</v>
      </c>
      <c r="E46" s="39">
        <v>43896</v>
      </c>
      <c r="F46" s="42" t="s">
        <v>58</v>
      </c>
      <c r="G46" s="42" t="s">
        <v>241</v>
      </c>
      <c r="H46" s="29">
        <v>6946</v>
      </c>
      <c r="I46" s="193">
        <f t="array" ref="I46">IF(NOT(ISERROR(MATCH(2,1/(('AllowedShip Class Time Charters'!$D$3:$D$16='Ship Time Charter Rates'!F46)*('AllowedShip Class Time Charters'!$E$3:$E$16='Ship Time Charter Rates'!G46))))),0,"Vessel class and Index Choosen don’t match!")</f>
        <v>0</v>
      </c>
      <c r="J46" s="36" t="s">
        <v>39</v>
      </c>
    </row>
    <row r="47" spans="4:10" ht="15.75">
      <c r="D47" s="37">
        <f t="shared" si="2"/>
        <v>26</v>
      </c>
      <c r="E47" s="39">
        <v>43903</v>
      </c>
      <c r="F47" s="42" t="s">
        <v>59</v>
      </c>
      <c r="G47" s="42" t="s">
        <v>253</v>
      </c>
      <c r="H47" s="29">
        <v>3422</v>
      </c>
      <c r="I47" s="193">
        <f t="array" ref="I47">IF(NOT(ISERROR(MATCH(2,1/(('AllowedShip Class Time Charters'!$D$3:$D$16='Ship Time Charter Rates'!F47)*('AllowedShip Class Time Charters'!$E$3:$E$16='Ship Time Charter Rates'!G47))))),0,"Vessel class and Index Choosen don’t match!")</f>
        <v>0</v>
      </c>
      <c r="J47" s="36" t="s">
        <v>39</v>
      </c>
    </row>
    <row r="48" spans="4:10" ht="15.75">
      <c r="D48" s="37">
        <f t="shared" si="2"/>
        <v>27</v>
      </c>
      <c r="E48" s="39">
        <v>43903</v>
      </c>
      <c r="F48" s="42" t="s">
        <v>58</v>
      </c>
      <c r="G48" s="42" t="s">
        <v>254</v>
      </c>
      <c r="H48" s="29">
        <v>7539</v>
      </c>
      <c r="I48" s="193">
        <f t="array" ref="I48">IF(NOT(ISERROR(MATCH(2,1/(('AllowedShip Class Time Charters'!$D$3:$D$16='Ship Time Charter Rates'!F48)*('AllowedShip Class Time Charters'!$E$3:$E$16='Ship Time Charter Rates'!G48))))),0,"Vessel class and Index Choosen don’t match!")</f>
        <v>0</v>
      </c>
      <c r="J48" s="36" t="s">
        <v>39</v>
      </c>
    </row>
    <row r="49" spans="4:10" ht="15.75">
      <c r="D49" s="37">
        <f t="shared" si="2"/>
        <v>28</v>
      </c>
      <c r="E49" s="39">
        <v>43903</v>
      </c>
      <c r="F49" s="42" t="s">
        <v>255</v>
      </c>
      <c r="G49" s="42" t="s">
        <v>258</v>
      </c>
      <c r="H49" s="29">
        <v>6395</v>
      </c>
      <c r="I49" s="193">
        <f t="array" ref="I49">IF(NOT(ISERROR(MATCH(2,1/(('AllowedShip Class Time Charters'!$D$3:$D$16='Ship Time Charter Rates'!F49)*('AllowedShip Class Time Charters'!$E$3:$E$16='Ship Time Charter Rates'!G49))))),0,"Vessel class and Index Choosen don’t match!")</f>
        <v>0</v>
      </c>
      <c r="J49" s="36" t="s">
        <v>39</v>
      </c>
    </row>
    <row r="50" spans="4:10" ht="15.75">
      <c r="D50" s="37">
        <f t="shared" si="2"/>
        <v>29</v>
      </c>
      <c r="E50" s="39">
        <v>43903</v>
      </c>
      <c r="F50" s="42" t="s">
        <v>57</v>
      </c>
      <c r="G50" s="42" t="s">
        <v>259</v>
      </c>
      <c r="H50" s="405">
        <v>6395</v>
      </c>
      <c r="I50" s="193">
        <f t="array" ref="I50">IF(NOT(ISERROR(MATCH(2,1/(('AllowedShip Class Time Charters'!$D$3:$D$16='Ship Time Charter Rates'!F50)*('AllowedShip Class Time Charters'!$E$3:$E$16='Ship Time Charter Rates'!G50))))),0,"Vessel class and Index Choosen don’t match!")</f>
        <v>0</v>
      </c>
      <c r="J50" s="36" t="s">
        <v>39</v>
      </c>
    </row>
    <row r="51" spans="4:10" ht="15.75">
      <c r="D51" s="37">
        <f t="shared" si="2"/>
        <v>30</v>
      </c>
      <c r="E51" s="39">
        <v>43903</v>
      </c>
      <c r="F51" s="42" t="s">
        <v>58</v>
      </c>
      <c r="G51" s="42" t="s">
        <v>241</v>
      </c>
      <c r="H51" s="29">
        <v>7539</v>
      </c>
      <c r="I51" s="193">
        <f t="array" ref="I51">IF(NOT(ISERROR(MATCH(2,1/(('AllowedShip Class Time Charters'!$D$3:$D$16='Ship Time Charter Rates'!F51)*('AllowedShip Class Time Charters'!$E$3:$E$16='Ship Time Charter Rates'!G51))))),0,"Vessel class and Index Choosen don’t match!")</f>
        <v>0</v>
      </c>
      <c r="J51" s="36" t="s">
        <v>39</v>
      </c>
    </row>
    <row r="52" spans="4:10" ht="15.75">
      <c r="D52" s="37">
        <f>D51+1</f>
        <v>31</v>
      </c>
      <c r="E52" s="39">
        <v>43910</v>
      </c>
      <c r="F52" s="42" t="s">
        <v>59</v>
      </c>
      <c r="G52" s="42" t="s">
        <v>253</v>
      </c>
      <c r="H52" s="29">
        <v>3451</v>
      </c>
      <c r="I52" s="193">
        <f t="array" ref="I52">IF(NOT(ISERROR(MATCH(2,1/(('AllowedShip Class Time Charters'!$D$3:$D$16='Ship Time Charter Rates'!F52)*('AllowedShip Class Time Charters'!$E$3:$E$16='Ship Time Charter Rates'!G52))))),0,"Vessel class and Index Choosen don’t match!")</f>
        <v>0</v>
      </c>
      <c r="J52" s="36" t="s">
        <v>39</v>
      </c>
    </row>
    <row r="53" spans="4:10" ht="15.75">
      <c r="D53" s="37">
        <f t="shared" ref="D53:D61" si="3">D52+1</f>
        <v>32</v>
      </c>
      <c r="E53" s="39">
        <v>43910</v>
      </c>
      <c r="F53" s="42" t="s">
        <v>58</v>
      </c>
      <c r="G53" s="42" t="s">
        <v>254</v>
      </c>
      <c r="H53" s="29">
        <v>6765</v>
      </c>
      <c r="I53" s="193">
        <f t="array" ref="I53">IF(NOT(ISERROR(MATCH(2,1/(('AllowedShip Class Time Charters'!$D$3:$D$16='Ship Time Charter Rates'!F53)*('AllowedShip Class Time Charters'!$E$3:$E$16='Ship Time Charter Rates'!G53))))),0,"Vessel class and Index Choosen don’t match!")</f>
        <v>0</v>
      </c>
      <c r="J53" s="36" t="s">
        <v>39</v>
      </c>
    </row>
    <row r="54" spans="4:10" ht="15.75">
      <c r="D54" s="37">
        <f t="shared" si="3"/>
        <v>33</v>
      </c>
      <c r="E54" s="39">
        <v>43910</v>
      </c>
      <c r="F54" s="42" t="s">
        <v>255</v>
      </c>
      <c r="G54" s="42" t="s">
        <v>258</v>
      </c>
      <c r="H54" s="29">
        <v>6671</v>
      </c>
      <c r="I54" s="193">
        <f t="array" ref="I54">IF(NOT(ISERROR(MATCH(2,1/(('AllowedShip Class Time Charters'!$D$3:$D$16='Ship Time Charter Rates'!F54)*('AllowedShip Class Time Charters'!$E$3:$E$16='Ship Time Charter Rates'!G54))))),0,"Vessel class and Index Choosen don’t match!")</f>
        <v>0</v>
      </c>
      <c r="J54" s="36" t="s">
        <v>39</v>
      </c>
    </row>
    <row r="55" spans="4:10" ht="15.75">
      <c r="D55" s="37">
        <f t="shared" si="3"/>
        <v>34</v>
      </c>
      <c r="E55" s="39">
        <v>43910</v>
      </c>
      <c r="F55" s="42" t="s">
        <v>57</v>
      </c>
      <c r="G55" s="42" t="s">
        <v>259</v>
      </c>
      <c r="H55" s="405">
        <v>6671</v>
      </c>
      <c r="I55" s="193">
        <f t="array" ref="I55">IF(NOT(ISERROR(MATCH(2,1/(('AllowedShip Class Time Charters'!$D$3:$D$16='Ship Time Charter Rates'!F55)*('AllowedShip Class Time Charters'!$E$3:$E$16='Ship Time Charter Rates'!G55))))),0,"Vessel class and Index Choosen don’t match!")</f>
        <v>0</v>
      </c>
      <c r="J55" s="36" t="s">
        <v>39</v>
      </c>
    </row>
    <row r="56" spans="4:10" ht="15.75">
      <c r="D56" s="37">
        <f t="shared" si="3"/>
        <v>35</v>
      </c>
      <c r="E56" s="39">
        <v>43910</v>
      </c>
      <c r="F56" s="42" t="s">
        <v>58</v>
      </c>
      <c r="G56" s="42" t="s">
        <v>241</v>
      </c>
      <c r="H56" s="29">
        <v>6765</v>
      </c>
      <c r="I56" s="193">
        <f t="array" ref="I56">IF(NOT(ISERROR(MATCH(2,1/(('AllowedShip Class Time Charters'!$D$3:$D$16='Ship Time Charter Rates'!F56)*('AllowedShip Class Time Charters'!$E$3:$E$16='Ship Time Charter Rates'!G56))))),0,"Vessel class and Index Choosen don’t match!")</f>
        <v>0</v>
      </c>
      <c r="J56" s="36" t="s">
        <v>39</v>
      </c>
    </row>
    <row r="57" spans="4:10" ht="15.75">
      <c r="D57" s="37">
        <f t="shared" si="3"/>
        <v>36</v>
      </c>
      <c r="E57" s="39">
        <v>43917</v>
      </c>
      <c r="F57" s="42" t="s">
        <v>59</v>
      </c>
      <c r="G57" s="42" t="s">
        <v>253</v>
      </c>
      <c r="H57" s="29">
        <v>3771</v>
      </c>
      <c r="I57" s="193">
        <f t="array" ref="I57">IF(NOT(ISERROR(MATCH(2,1/(('AllowedShip Class Time Charters'!$D$3:$D$16='Ship Time Charter Rates'!F57)*('AllowedShip Class Time Charters'!$E$3:$E$16='Ship Time Charter Rates'!G57))))),0,"Vessel class and Index Choosen don’t match!")</f>
        <v>0</v>
      </c>
      <c r="J57" s="36" t="s">
        <v>39</v>
      </c>
    </row>
    <row r="58" spans="4:10" ht="15.75">
      <c r="D58" s="37">
        <f t="shared" si="3"/>
        <v>37</v>
      </c>
      <c r="E58" s="39">
        <v>43917</v>
      </c>
      <c r="F58" s="42" t="s">
        <v>58</v>
      </c>
      <c r="G58" s="42" t="s">
        <v>254</v>
      </c>
      <c r="H58" s="29">
        <v>5209</v>
      </c>
      <c r="I58" s="193">
        <f t="array" ref="I58">IF(NOT(ISERROR(MATCH(2,1/(('AllowedShip Class Time Charters'!$D$3:$D$16='Ship Time Charter Rates'!F58)*('AllowedShip Class Time Charters'!$E$3:$E$16='Ship Time Charter Rates'!G58))))),0,"Vessel class and Index Choosen don’t match!")</f>
        <v>0</v>
      </c>
      <c r="J58" s="36" t="s">
        <v>39</v>
      </c>
    </row>
    <row r="59" spans="4:10" ht="15.75">
      <c r="D59" s="37">
        <f t="shared" si="3"/>
        <v>38</v>
      </c>
      <c r="E59" s="39">
        <v>43917</v>
      </c>
      <c r="F59" s="42" t="s">
        <v>255</v>
      </c>
      <c r="G59" s="42" t="s">
        <v>258</v>
      </c>
      <c r="H59" s="29">
        <v>6593</v>
      </c>
      <c r="I59" s="193">
        <f t="array" ref="I59">IF(NOT(ISERROR(MATCH(2,1/(('AllowedShip Class Time Charters'!$D$3:$D$16='Ship Time Charter Rates'!F59)*('AllowedShip Class Time Charters'!$E$3:$E$16='Ship Time Charter Rates'!G59))))),0,"Vessel class and Index Choosen don’t match!")</f>
        <v>0</v>
      </c>
      <c r="J59" s="36" t="s">
        <v>39</v>
      </c>
    </row>
    <row r="60" spans="4:10" ht="15.75">
      <c r="D60" s="37">
        <f t="shared" si="3"/>
        <v>39</v>
      </c>
      <c r="E60" s="39">
        <v>43917</v>
      </c>
      <c r="F60" s="42" t="s">
        <v>57</v>
      </c>
      <c r="G60" s="42" t="s">
        <v>259</v>
      </c>
      <c r="H60" s="405">
        <v>6593</v>
      </c>
      <c r="I60" s="193">
        <f t="array" ref="I60">IF(NOT(ISERROR(MATCH(2,1/(('AllowedShip Class Time Charters'!$D$3:$D$16='Ship Time Charter Rates'!F60)*('AllowedShip Class Time Charters'!$E$3:$E$16='Ship Time Charter Rates'!G60))))),0,"Vessel class and Index Choosen don’t match!")</f>
        <v>0</v>
      </c>
      <c r="J60" s="36" t="s">
        <v>39</v>
      </c>
    </row>
    <row r="61" spans="4:10" ht="15.75">
      <c r="D61" s="37">
        <f t="shared" si="3"/>
        <v>40</v>
      </c>
      <c r="E61" s="39">
        <v>43917</v>
      </c>
      <c r="F61" s="42" t="s">
        <v>58</v>
      </c>
      <c r="G61" s="42" t="s">
        <v>241</v>
      </c>
      <c r="H61" s="29">
        <v>5209</v>
      </c>
      <c r="I61" s="193">
        <f t="array" ref="I61">IF(NOT(ISERROR(MATCH(2,1/(('AllowedShip Class Time Charters'!$D$3:$D$16='Ship Time Charter Rates'!F61)*('AllowedShip Class Time Charters'!$E$3:$E$16='Ship Time Charter Rates'!G61))))),0,"Vessel class and Index Choosen don’t match!")</f>
        <v>0</v>
      </c>
      <c r="J61" s="36" t="s">
        <v>39</v>
      </c>
    </row>
    <row r="62" spans="4:10" ht="15.75">
      <c r="D62" s="37">
        <f>D61+1</f>
        <v>41</v>
      </c>
      <c r="E62" s="39">
        <v>43924</v>
      </c>
      <c r="F62" s="42" t="s">
        <v>59</v>
      </c>
      <c r="G62" s="42" t="s">
        <v>253</v>
      </c>
      <c r="H62" s="29">
        <v>8446</v>
      </c>
      <c r="I62" s="193">
        <f t="array" ref="I62">IF(NOT(ISERROR(MATCH(2,1/(('AllowedShip Class Time Charters'!$D$3:$D$16='Ship Time Charter Rates'!F62)*('AllowedShip Class Time Charters'!$E$3:$E$16='Ship Time Charter Rates'!G62))))),0,"Vessel class and Index Choosen don’t match!")</f>
        <v>0</v>
      </c>
      <c r="J62" s="36" t="s">
        <v>39</v>
      </c>
    </row>
    <row r="63" spans="4:10" ht="15.75">
      <c r="D63" s="37">
        <f t="shared" ref="D63:D71" si="4">D62+1</f>
        <v>42</v>
      </c>
      <c r="E63" s="39">
        <v>43924</v>
      </c>
      <c r="F63" s="42" t="s">
        <v>58</v>
      </c>
      <c r="G63" s="42" t="s">
        <v>254</v>
      </c>
      <c r="H63" s="29">
        <v>5854</v>
      </c>
      <c r="I63" s="193">
        <f t="array" ref="I63">IF(NOT(ISERROR(MATCH(2,1/(('AllowedShip Class Time Charters'!$D$3:$D$16='Ship Time Charter Rates'!F63)*('AllowedShip Class Time Charters'!$E$3:$E$16='Ship Time Charter Rates'!G63))))),0,"Vessel class and Index Choosen don’t match!")</f>
        <v>0</v>
      </c>
      <c r="J63" s="36" t="s">
        <v>39</v>
      </c>
    </row>
    <row r="64" spans="4:10" ht="15.75">
      <c r="D64" s="37">
        <f t="shared" si="4"/>
        <v>43</v>
      </c>
      <c r="E64" s="39">
        <v>43924</v>
      </c>
      <c r="F64" s="42" t="s">
        <v>255</v>
      </c>
      <c r="G64" s="42" t="s">
        <v>258</v>
      </c>
      <c r="H64" s="29">
        <v>5521</v>
      </c>
      <c r="I64" s="193">
        <f t="array" ref="I64">IF(NOT(ISERROR(MATCH(2,1/(('AllowedShip Class Time Charters'!$D$3:$D$16='Ship Time Charter Rates'!F64)*('AllowedShip Class Time Charters'!$E$3:$E$16='Ship Time Charter Rates'!G64))))),0,"Vessel class and Index Choosen don’t match!")</f>
        <v>0</v>
      </c>
      <c r="J64" s="36" t="s">
        <v>39</v>
      </c>
    </row>
    <row r="65" spans="4:10" ht="15.75">
      <c r="D65" s="37">
        <f t="shared" si="4"/>
        <v>44</v>
      </c>
      <c r="E65" s="39">
        <v>43924</v>
      </c>
      <c r="F65" s="42" t="s">
        <v>57</v>
      </c>
      <c r="G65" s="42" t="s">
        <v>259</v>
      </c>
      <c r="H65" s="405">
        <v>6593</v>
      </c>
      <c r="I65" s="193">
        <f t="array" ref="I65">IF(NOT(ISERROR(MATCH(2,1/(('AllowedShip Class Time Charters'!$D$3:$D$16='Ship Time Charter Rates'!F65)*('AllowedShip Class Time Charters'!$E$3:$E$16='Ship Time Charter Rates'!G65))))),0,"Vessel class and Index Choosen don’t match!")</f>
        <v>0</v>
      </c>
      <c r="J65" s="36" t="s">
        <v>39</v>
      </c>
    </row>
    <row r="66" spans="4:10" ht="15.75">
      <c r="D66" s="37">
        <f t="shared" si="4"/>
        <v>45</v>
      </c>
      <c r="E66" s="39">
        <v>43924</v>
      </c>
      <c r="F66" s="42" t="s">
        <v>58</v>
      </c>
      <c r="G66" s="42" t="s">
        <v>241</v>
      </c>
      <c r="H66" s="29">
        <v>5854</v>
      </c>
      <c r="I66" s="193">
        <f t="array" ref="I66">IF(NOT(ISERROR(MATCH(2,1/(('AllowedShip Class Time Charters'!$D$3:$D$16='Ship Time Charter Rates'!F66)*('AllowedShip Class Time Charters'!$E$3:$E$16='Ship Time Charter Rates'!G66))))),0,"Vessel class and Index Choosen don’t match!")</f>
        <v>0</v>
      </c>
      <c r="J66" s="36" t="s">
        <v>39</v>
      </c>
    </row>
    <row r="67" spans="4:10" ht="15.75">
      <c r="D67" s="37">
        <f t="shared" si="4"/>
        <v>46</v>
      </c>
      <c r="E67" s="39"/>
      <c r="F67" s="42"/>
      <c r="G67" s="42"/>
      <c r="H67" s="29"/>
      <c r="I67" s="193">
        <f t="array" ref="I67">IF(NOT(ISERROR(MATCH(2,1/(('AllowedShip Class Time Charters'!$D$3:$D$16='Ship Time Charter Rates'!F67)*('AllowedShip Class Time Charters'!$E$3:$E$16='Ship Time Charter Rates'!G67))))),0,"Vessel class and Index Choosen don’t match!")</f>
        <v>0</v>
      </c>
      <c r="J67" s="36" t="s">
        <v>39</v>
      </c>
    </row>
    <row r="68" spans="4:10" ht="15.75">
      <c r="D68" s="37">
        <f t="shared" si="4"/>
        <v>47</v>
      </c>
      <c r="E68" s="39"/>
      <c r="F68" s="42"/>
      <c r="G68" s="42"/>
      <c r="H68" s="29"/>
      <c r="I68" s="193">
        <f t="array" ref="I68">IF(NOT(ISERROR(MATCH(2,1/(('AllowedShip Class Time Charters'!$D$3:$D$16='Ship Time Charter Rates'!F68)*('AllowedShip Class Time Charters'!$E$3:$E$16='Ship Time Charter Rates'!G68))))),0,"Vessel class and Index Choosen don’t match!")</f>
        <v>0</v>
      </c>
      <c r="J68" s="36" t="s">
        <v>39</v>
      </c>
    </row>
    <row r="69" spans="4:10" ht="15.75">
      <c r="D69" s="37">
        <f t="shared" si="4"/>
        <v>48</v>
      </c>
      <c r="E69" s="39"/>
      <c r="F69" s="42"/>
      <c r="G69" s="42"/>
      <c r="H69" s="29"/>
      <c r="I69" s="193">
        <f t="array" ref="I69">IF(NOT(ISERROR(MATCH(2,1/(('AllowedShip Class Time Charters'!$D$3:$D$16='Ship Time Charter Rates'!F69)*('AllowedShip Class Time Charters'!$E$3:$E$16='Ship Time Charter Rates'!G69))))),0,"Vessel class and Index Choosen don’t match!")</f>
        <v>0</v>
      </c>
      <c r="J69" s="36" t="s">
        <v>39</v>
      </c>
    </row>
    <row r="70" spans="4:10" ht="15.75">
      <c r="D70" s="37">
        <f t="shared" si="4"/>
        <v>49</v>
      </c>
      <c r="E70" s="39"/>
      <c r="F70" s="42"/>
      <c r="G70" s="42"/>
      <c r="H70" s="29"/>
      <c r="I70" s="193">
        <f t="array" ref="I70">IF(NOT(ISERROR(MATCH(2,1/(('AllowedShip Class Time Charters'!$D$3:$D$16='Ship Time Charter Rates'!F70)*('AllowedShip Class Time Charters'!$E$3:$E$16='Ship Time Charter Rates'!G70))))),0,"Vessel class and Index Choosen don’t match!")</f>
        <v>0</v>
      </c>
      <c r="J70" s="36" t="s">
        <v>39</v>
      </c>
    </row>
    <row r="71" spans="4:10" ht="15.75">
      <c r="D71" s="37">
        <f t="shared" si="4"/>
        <v>50</v>
      </c>
      <c r="E71" s="39"/>
      <c r="F71" s="42"/>
      <c r="G71" s="42"/>
      <c r="H71" s="29"/>
      <c r="I71" s="193">
        <f t="array" ref="I71">IF(NOT(ISERROR(MATCH(2,1/(('AllowedShip Class Time Charters'!$D$3:$D$16='Ship Time Charter Rates'!F71)*('AllowedShip Class Time Charters'!$E$3:$E$16='Ship Time Charter Rates'!G71))))),0,"Vessel class and Index Choosen don’t match!")</f>
        <v>0</v>
      </c>
      <c r="J71" s="36" t="s">
        <v>39</v>
      </c>
    </row>
    <row r="72" spans="4:10" ht="15.75">
      <c r="D72" s="37">
        <f>D71+1</f>
        <v>51</v>
      </c>
      <c r="E72" s="39"/>
      <c r="F72" s="42"/>
      <c r="G72" s="42"/>
      <c r="H72" s="29"/>
      <c r="I72" s="193">
        <f t="array" ref="I72">IF(NOT(ISERROR(MATCH(2,1/(('AllowedShip Class Time Charters'!$D$3:$D$16='Ship Time Charter Rates'!F72)*('AllowedShip Class Time Charters'!$E$3:$E$16='Ship Time Charter Rates'!G72))))),0,"Vessel class and Index Choosen don’t match!")</f>
        <v>0</v>
      </c>
      <c r="J72" s="36" t="s">
        <v>39</v>
      </c>
    </row>
    <row r="73" spans="4:10" ht="15.75">
      <c r="D73" s="37">
        <f t="shared" ref="D73:D81" si="5">D72+1</f>
        <v>52</v>
      </c>
      <c r="E73" s="39"/>
      <c r="F73" s="42"/>
      <c r="G73" s="42"/>
      <c r="H73" s="29"/>
      <c r="I73" s="193">
        <f t="array" ref="I73">IF(NOT(ISERROR(MATCH(2,1/(('AllowedShip Class Time Charters'!$D$3:$D$16='Ship Time Charter Rates'!F73)*('AllowedShip Class Time Charters'!$E$3:$E$16='Ship Time Charter Rates'!G73))))),0,"Vessel class and Index Choosen don’t match!")</f>
        <v>0</v>
      </c>
      <c r="J73" s="36" t="s">
        <v>39</v>
      </c>
    </row>
    <row r="74" spans="4:10" ht="15.75">
      <c r="D74" s="37">
        <f t="shared" si="5"/>
        <v>53</v>
      </c>
      <c r="E74" s="39"/>
      <c r="F74" s="42"/>
      <c r="G74" s="42"/>
      <c r="H74" s="29"/>
      <c r="I74" s="193">
        <f t="array" ref="I74">IF(NOT(ISERROR(MATCH(2,1/(('AllowedShip Class Time Charters'!$D$3:$D$16='Ship Time Charter Rates'!F74)*('AllowedShip Class Time Charters'!$E$3:$E$16='Ship Time Charter Rates'!G74))))),0,"Vessel class and Index Choosen don’t match!")</f>
        <v>0</v>
      </c>
      <c r="J74" s="36" t="s">
        <v>39</v>
      </c>
    </row>
    <row r="75" spans="4:10" ht="15.75">
      <c r="D75" s="37">
        <f t="shared" si="5"/>
        <v>54</v>
      </c>
      <c r="E75" s="39"/>
      <c r="F75" s="42"/>
      <c r="G75" s="42"/>
      <c r="H75" s="29"/>
      <c r="I75" s="193">
        <f t="array" ref="I75">IF(NOT(ISERROR(MATCH(2,1/(('AllowedShip Class Time Charters'!$D$3:$D$16='Ship Time Charter Rates'!F75)*('AllowedShip Class Time Charters'!$E$3:$E$16='Ship Time Charter Rates'!G75))))),0,"Vessel class and Index Choosen don’t match!")</f>
        <v>0</v>
      </c>
      <c r="J75" s="36" t="s">
        <v>39</v>
      </c>
    </row>
    <row r="76" spans="4:10" ht="15.75">
      <c r="D76" s="37">
        <f t="shared" si="5"/>
        <v>55</v>
      </c>
      <c r="E76" s="39"/>
      <c r="F76" s="42"/>
      <c r="G76" s="42"/>
      <c r="H76" s="29"/>
      <c r="I76" s="193">
        <f t="array" ref="I76">IF(NOT(ISERROR(MATCH(2,1/(('AllowedShip Class Time Charters'!$D$3:$D$16='Ship Time Charter Rates'!F76)*('AllowedShip Class Time Charters'!$E$3:$E$16='Ship Time Charter Rates'!G76))))),0,"Vessel class and Index Choosen don’t match!")</f>
        <v>0</v>
      </c>
      <c r="J76" s="36" t="s">
        <v>39</v>
      </c>
    </row>
    <row r="77" spans="4:10" ht="15.75">
      <c r="D77" s="37">
        <f t="shared" si="5"/>
        <v>56</v>
      </c>
      <c r="E77" s="39"/>
      <c r="F77" s="42"/>
      <c r="G77" s="42"/>
      <c r="H77" s="29"/>
      <c r="I77" s="193">
        <f t="array" ref="I77">IF(NOT(ISERROR(MATCH(2,1/(('AllowedShip Class Time Charters'!$D$3:$D$16='Ship Time Charter Rates'!F77)*('AllowedShip Class Time Charters'!$E$3:$E$16='Ship Time Charter Rates'!G77))))),0,"Vessel class and Index Choosen don’t match!")</f>
        <v>0</v>
      </c>
      <c r="J77" s="36" t="s">
        <v>39</v>
      </c>
    </row>
    <row r="78" spans="4:10" ht="15.75">
      <c r="D78" s="37">
        <f t="shared" si="5"/>
        <v>57</v>
      </c>
      <c r="E78" s="39"/>
      <c r="F78" s="42"/>
      <c r="G78" s="42"/>
      <c r="H78" s="29"/>
      <c r="I78" s="193">
        <f t="array" ref="I78">IF(NOT(ISERROR(MATCH(2,1/(('AllowedShip Class Time Charters'!$D$3:$D$16='Ship Time Charter Rates'!F78)*('AllowedShip Class Time Charters'!$E$3:$E$16='Ship Time Charter Rates'!G78))))),0,"Vessel class and Index Choosen don’t match!")</f>
        <v>0</v>
      </c>
      <c r="J78" s="36" t="s">
        <v>39</v>
      </c>
    </row>
    <row r="79" spans="4:10" ht="15.75">
      <c r="D79" s="37">
        <f t="shared" si="5"/>
        <v>58</v>
      </c>
      <c r="E79" s="39"/>
      <c r="F79" s="42"/>
      <c r="G79" s="42"/>
      <c r="H79" s="29"/>
      <c r="I79" s="193">
        <f t="array" ref="I79">IF(NOT(ISERROR(MATCH(2,1/(('AllowedShip Class Time Charters'!$D$3:$D$16='Ship Time Charter Rates'!F79)*('AllowedShip Class Time Charters'!$E$3:$E$16='Ship Time Charter Rates'!G79))))),0,"Vessel class and Index Choosen don’t match!")</f>
        <v>0</v>
      </c>
      <c r="J79" s="36" t="s">
        <v>39</v>
      </c>
    </row>
    <row r="80" spans="4:10" ht="15.75">
      <c r="D80" s="37">
        <f t="shared" si="5"/>
        <v>59</v>
      </c>
      <c r="E80" s="39"/>
      <c r="F80" s="42"/>
      <c r="G80" s="42"/>
      <c r="H80" s="29"/>
      <c r="I80" s="193">
        <f t="array" ref="I80">IF(NOT(ISERROR(MATCH(2,1/(('AllowedShip Class Time Charters'!$D$3:$D$16='Ship Time Charter Rates'!F80)*('AllowedShip Class Time Charters'!$E$3:$E$16='Ship Time Charter Rates'!G80))))),0,"Vessel class and Index Choosen don’t match!")</f>
        <v>0</v>
      </c>
      <c r="J80" s="36" t="s">
        <v>39</v>
      </c>
    </row>
    <row r="81" spans="4:10" ht="15.75">
      <c r="D81" s="37">
        <f t="shared" si="5"/>
        <v>60</v>
      </c>
      <c r="E81" s="39"/>
      <c r="F81" s="42"/>
      <c r="G81" s="42"/>
      <c r="H81" s="29"/>
      <c r="I81" s="193">
        <f t="array" ref="I81">IF(NOT(ISERROR(MATCH(2,1/(('AllowedShip Class Time Charters'!$D$3:$D$16='Ship Time Charter Rates'!F81)*('AllowedShip Class Time Charters'!$E$3:$E$16='Ship Time Charter Rates'!G81))))),0,"Vessel class and Index Choosen don’t match!")</f>
        <v>0</v>
      </c>
      <c r="J81" s="36" t="s">
        <v>39</v>
      </c>
    </row>
    <row r="82" spans="4:10" ht="15.75">
      <c r="D82" s="37">
        <f>D81+1</f>
        <v>61</v>
      </c>
      <c r="E82" s="39"/>
      <c r="F82" s="42"/>
      <c r="G82" s="42"/>
      <c r="H82" s="29"/>
      <c r="I82" s="193">
        <f t="array" ref="I82">IF(NOT(ISERROR(MATCH(2,1/(('AllowedShip Class Time Charters'!$D$3:$D$16='Ship Time Charter Rates'!F82)*('AllowedShip Class Time Charters'!$E$3:$E$16='Ship Time Charter Rates'!G82))))),0,"Vessel class and Index Choosen don’t match!")</f>
        <v>0</v>
      </c>
      <c r="J82" s="36" t="s">
        <v>39</v>
      </c>
    </row>
    <row r="83" spans="4:10" ht="15.75">
      <c r="D83" s="37">
        <f t="shared" ref="D83:D91" si="6">D82+1</f>
        <v>62</v>
      </c>
      <c r="E83" s="39"/>
      <c r="F83" s="42"/>
      <c r="G83" s="42"/>
      <c r="H83" s="29"/>
      <c r="I83" s="193">
        <f t="array" ref="I83">IF(NOT(ISERROR(MATCH(2,1/(('AllowedShip Class Time Charters'!$D$3:$D$16='Ship Time Charter Rates'!F83)*('AllowedShip Class Time Charters'!$E$3:$E$16='Ship Time Charter Rates'!G83))))),0,"Vessel class and Index Choosen don’t match!")</f>
        <v>0</v>
      </c>
      <c r="J83" s="36" t="s">
        <v>39</v>
      </c>
    </row>
    <row r="84" spans="4:10" ht="15.75">
      <c r="D84" s="37">
        <f t="shared" si="6"/>
        <v>63</v>
      </c>
      <c r="E84" s="39"/>
      <c r="F84" s="42"/>
      <c r="G84" s="42"/>
      <c r="H84" s="29"/>
      <c r="I84" s="193">
        <f t="array" ref="I84">IF(NOT(ISERROR(MATCH(2,1/(('AllowedShip Class Time Charters'!$D$3:$D$16='Ship Time Charter Rates'!F84)*('AllowedShip Class Time Charters'!$E$3:$E$16='Ship Time Charter Rates'!G84))))),0,"Vessel class and Index Choosen don’t match!")</f>
        <v>0</v>
      </c>
      <c r="J84" s="36" t="s">
        <v>39</v>
      </c>
    </row>
    <row r="85" spans="4:10" ht="15.75">
      <c r="D85" s="37">
        <f t="shared" si="6"/>
        <v>64</v>
      </c>
      <c r="E85" s="39"/>
      <c r="F85" s="42"/>
      <c r="G85" s="42"/>
      <c r="H85" s="29"/>
      <c r="I85" s="193">
        <f t="array" ref="I85">IF(NOT(ISERROR(MATCH(2,1/(('AllowedShip Class Time Charters'!$D$3:$D$16='Ship Time Charter Rates'!F85)*('AllowedShip Class Time Charters'!$E$3:$E$16='Ship Time Charter Rates'!G85))))),0,"Vessel class and Index Choosen don’t match!")</f>
        <v>0</v>
      </c>
      <c r="J85" s="36" t="s">
        <v>39</v>
      </c>
    </row>
    <row r="86" spans="4:10" ht="15.75">
      <c r="D86" s="37">
        <f t="shared" si="6"/>
        <v>65</v>
      </c>
      <c r="E86" s="39"/>
      <c r="F86" s="42"/>
      <c r="G86" s="42"/>
      <c r="H86" s="29"/>
      <c r="I86" s="193">
        <f t="array" ref="I86">IF(NOT(ISERROR(MATCH(2,1/(('AllowedShip Class Time Charters'!$D$3:$D$16='Ship Time Charter Rates'!F86)*('AllowedShip Class Time Charters'!$E$3:$E$16='Ship Time Charter Rates'!G86))))),0,"Vessel class and Index Choosen don’t match!")</f>
        <v>0</v>
      </c>
      <c r="J86" s="36" t="s">
        <v>39</v>
      </c>
    </row>
    <row r="87" spans="4:10" ht="15.75">
      <c r="D87" s="37">
        <f t="shared" si="6"/>
        <v>66</v>
      </c>
      <c r="E87" s="39"/>
      <c r="F87" s="42"/>
      <c r="G87" s="42"/>
      <c r="H87" s="29"/>
      <c r="I87" s="193">
        <f t="array" ref="I87">IF(NOT(ISERROR(MATCH(2,1/(('AllowedShip Class Time Charters'!$D$3:$D$16='Ship Time Charter Rates'!F87)*('AllowedShip Class Time Charters'!$E$3:$E$16='Ship Time Charter Rates'!G87))))),0,"Vessel class and Index Choosen don’t match!")</f>
        <v>0</v>
      </c>
      <c r="J87" s="36" t="s">
        <v>39</v>
      </c>
    </row>
    <row r="88" spans="4:10" ht="15.75">
      <c r="D88" s="37">
        <f t="shared" si="6"/>
        <v>67</v>
      </c>
      <c r="E88" s="39"/>
      <c r="F88" s="42"/>
      <c r="G88" s="42"/>
      <c r="H88" s="29"/>
      <c r="I88" s="193">
        <f t="array" ref="I88">IF(NOT(ISERROR(MATCH(2,1/(('AllowedShip Class Time Charters'!$D$3:$D$16='Ship Time Charter Rates'!F88)*('AllowedShip Class Time Charters'!$E$3:$E$16='Ship Time Charter Rates'!G88))))),0,"Vessel class and Index Choosen don’t match!")</f>
        <v>0</v>
      </c>
      <c r="J88" s="36" t="s">
        <v>39</v>
      </c>
    </row>
    <row r="89" spans="4:10" ht="15.75">
      <c r="D89" s="37">
        <f t="shared" si="6"/>
        <v>68</v>
      </c>
      <c r="E89" s="39"/>
      <c r="F89" s="42"/>
      <c r="G89" s="42"/>
      <c r="H89" s="29"/>
      <c r="I89" s="193">
        <f t="array" ref="I89">IF(NOT(ISERROR(MATCH(2,1/(('AllowedShip Class Time Charters'!$D$3:$D$16='Ship Time Charter Rates'!F89)*('AllowedShip Class Time Charters'!$E$3:$E$16='Ship Time Charter Rates'!G89))))),0,"Vessel class and Index Choosen don’t match!")</f>
        <v>0</v>
      </c>
      <c r="J89" s="36" t="s">
        <v>39</v>
      </c>
    </row>
    <row r="90" spans="4:10" ht="15.75">
      <c r="D90" s="37">
        <f t="shared" si="6"/>
        <v>69</v>
      </c>
      <c r="E90" s="39"/>
      <c r="F90" s="42"/>
      <c r="G90" s="42"/>
      <c r="H90" s="29"/>
      <c r="I90" s="193">
        <f t="array" ref="I90">IF(NOT(ISERROR(MATCH(2,1/(('AllowedShip Class Time Charters'!$D$3:$D$16='Ship Time Charter Rates'!F90)*('AllowedShip Class Time Charters'!$E$3:$E$16='Ship Time Charter Rates'!G90))))),0,"Vessel class and Index Choosen don’t match!")</f>
        <v>0</v>
      </c>
      <c r="J90" s="36" t="s">
        <v>39</v>
      </c>
    </row>
    <row r="91" spans="4:10" ht="15.75">
      <c r="D91" s="37">
        <f t="shared" si="6"/>
        <v>70</v>
      </c>
      <c r="E91" s="39"/>
      <c r="F91" s="42"/>
      <c r="G91" s="42"/>
      <c r="H91" s="29"/>
      <c r="I91" s="193">
        <f t="array" ref="I91">IF(NOT(ISERROR(MATCH(2,1/(('AllowedShip Class Time Charters'!$D$3:$D$16='Ship Time Charter Rates'!F91)*('AllowedShip Class Time Charters'!$E$3:$E$16='Ship Time Charter Rates'!G91))))),0,"Vessel class and Index Choosen don’t match!")</f>
        <v>0</v>
      </c>
      <c r="J91" s="36" t="s">
        <v>39</v>
      </c>
    </row>
    <row r="92" spans="4:10" ht="15.75">
      <c r="D92" s="37">
        <f>D91+1</f>
        <v>71</v>
      </c>
      <c r="E92" s="39"/>
      <c r="F92" s="42"/>
      <c r="G92" s="42"/>
      <c r="H92" s="29"/>
      <c r="I92" s="193">
        <f t="array" ref="I92">IF(NOT(ISERROR(MATCH(2,1/(('AllowedShip Class Time Charters'!$D$3:$D$16='Ship Time Charter Rates'!F92)*('AllowedShip Class Time Charters'!$E$3:$E$16='Ship Time Charter Rates'!G92))))),0,"Vessel class and Index Choosen don’t match!")</f>
        <v>0</v>
      </c>
      <c r="J92" s="36" t="s">
        <v>39</v>
      </c>
    </row>
    <row r="93" spans="4:10" ht="15.75">
      <c r="D93" s="37">
        <f t="shared" ref="D93:D101" si="7">D92+1</f>
        <v>72</v>
      </c>
      <c r="E93" s="39"/>
      <c r="F93" s="42"/>
      <c r="G93" s="42"/>
      <c r="H93" s="29"/>
      <c r="I93" s="193">
        <f t="array" ref="I93">IF(NOT(ISERROR(MATCH(2,1/(('AllowedShip Class Time Charters'!$D$3:$D$16='Ship Time Charter Rates'!F93)*('AllowedShip Class Time Charters'!$E$3:$E$16='Ship Time Charter Rates'!G93))))),0,"Vessel class and Index Choosen don’t match!")</f>
        <v>0</v>
      </c>
      <c r="J93" s="36" t="s">
        <v>39</v>
      </c>
    </row>
    <row r="94" spans="4:10" ht="15.75">
      <c r="D94" s="37">
        <f t="shared" si="7"/>
        <v>73</v>
      </c>
      <c r="E94" s="39"/>
      <c r="F94" s="42"/>
      <c r="G94" s="42"/>
      <c r="H94" s="29"/>
      <c r="I94" s="193">
        <f t="array" ref="I94">IF(NOT(ISERROR(MATCH(2,1/(('AllowedShip Class Time Charters'!$D$3:$D$16='Ship Time Charter Rates'!F94)*('AllowedShip Class Time Charters'!$E$3:$E$16='Ship Time Charter Rates'!G94))))),0,"Vessel class and Index Choosen don’t match!")</f>
        <v>0</v>
      </c>
      <c r="J94" s="36" t="s">
        <v>39</v>
      </c>
    </row>
    <row r="95" spans="4:10" ht="15.75">
      <c r="D95" s="37">
        <f t="shared" si="7"/>
        <v>74</v>
      </c>
      <c r="E95" s="39"/>
      <c r="F95" s="42"/>
      <c r="G95" s="42"/>
      <c r="H95" s="29"/>
      <c r="I95" s="193">
        <f t="array" ref="I95">IF(NOT(ISERROR(MATCH(2,1/(('AllowedShip Class Time Charters'!$D$3:$D$16='Ship Time Charter Rates'!F95)*('AllowedShip Class Time Charters'!$E$3:$E$16='Ship Time Charter Rates'!G95))))),0,"Vessel class and Index Choosen don’t match!")</f>
        <v>0</v>
      </c>
      <c r="J95" s="36" t="s">
        <v>39</v>
      </c>
    </row>
    <row r="96" spans="4:10" ht="15.75">
      <c r="D96" s="37">
        <f t="shared" si="7"/>
        <v>75</v>
      </c>
      <c r="E96" s="39"/>
      <c r="F96" s="42"/>
      <c r="G96" s="42"/>
      <c r="H96" s="29"/>
      <c r="I96" s="193">
        <f t="array" ref="I96">IF(NOT(ISERROR(MATCH(2,1/(('AllowedShip Class Time Charters'!$D$3:$D$16='Ship Time Charter Rates'!F96)*('AllowedShip Class Time Charters'!$E$3:$E$16='Ship Time Charter Rates'!G96))))),0,"Vessel class and Index Choosen don’t match!")</f>
        <v>0</v>
      </c>
      <c r="J96" s="36" t="s">
        <v>39</v>
      </c>
    </row>
    <row r="97" spans="4:10" ht="15.75">
      <c r="D97" s="37">
        <f t="shared" si="7"/>
        <v>76</v>
      </c>
      <c r="E97" s="39"/>
      <c r="F97" s="42"/>
      <c r="G97" s="42"/>
      <c r="H97" s="29"/>
      <c r="I97" s="193">
        <f t="array" ref="I97">IF(NOT(ISERROR(MATCH(2,1/(('AllowedShip Class Time Charters'!$D$3:$D$16='Ship Time Charter Rates'!F97)*('AllowedShip Class Time Charters'!$E$3:$E$16='Ship Time Charter Rates'!G97))))),0,"Vessel class and Index Choosen don’t match!")</f>
        <v>0</v>
      </c>
      <c r="J97" s="36" t="s">
        <v>39</v>
      </c>
    </row>
    <row r="98" spans="4:10" ht="15.75">
      <c r="D98" s="37">
        <f t="shared" si="7"/>
        <v>77</v>
      </c>
      <c r="E98" s="39"/>
      <c r="F98" s="42"/>
      <c r="G98" s="42"/>
      <c r="H98" s="29"/>
      <c r="I98" s="193">
        <f t="array" ref="I98">IF(NOT(ISERROR(MATCH(2,1/(('AllowedShip Class Time Charters'!$D$3:$D$16='Ship Time Charter Rates'!F98)*('AllowedShip Class Time Charters'!$E$3:$E$16='Ship Time Charter Rates'!G98))))),0,"Vessel class and Index Choosen don’t match!")</f>
        <v>0</v>
      </c>
      <c r="J98" s="36" t="s">
        <v>39</v>
      </c>
    </row>
    <row r="99" spans="4:10" ht="15.75">
      <c r="D99" s="37">
        <f t="shared" si="7"/>
        <v>78</v>
      </c>
      <c r="E99" s="39"/>
      <c r="F99" s="42"/>
      <c r="G99" s="42"/>
      <c r="H99" s="29"/>
      <c r="I99" s="193">
        <f t="array" ref="I99">IF(NOT(ISERROR(MATCH(2,1/(('AllowedShip Class Time Charters'!$D$3:$D$16='Ship Time Charter Rates'!F99)*('AllowedShip Class Time Charters'!$E$3:$E$16='Ship Time Charter Rates'!G99))))),0,"Vessel class and Index Choosen don’t match!")</f>
        <v>0</v>
      </c>
      <c r="J99" s="36" t="s">
        <v>39</v>
      </c>
    </row>
    <row r="100" spans="4:10" ht="15.75">
      <c r="D100" s="37">
        <f t="shared" si="7"/>
        <v>79</v>
      </c>
      <c r="E100" s="39"/>
      <c r="F100" s="42"/>
      <c r="G100" s="42"/>
      <c r="H100" s="29"/>
      <c r="I100" s="193">
        <f t="array" ref="I100">IF(NOT(ISERROR(MATCH(2,1/(('AllowedShip Class Time Charters'!$D$3:$D$16='Ship Time Charter Rates'!F100)*('AllowedShip Class Time Charters'!$E$3:$E$16='Ship Time Charter Rates'!G100))))),0,"Vessel class and Index Choosen don’t match!")</f>
        <v>0</v>
      </c>
      <c r="J100" s="36" t="s">
        <v>39</v>
      </c>
    </row>
    <row r="101" spans="4:10" ht="15.75">
      <c r="D101" s="37">
        <f t="shared" si="7"/>
        <v>80</v>
      </c>
      <c r="E101" s="39"/>
      <c r="F101" s="42"/>
      <c r="G101" s="42"/>
      <c r="H101" s="29"/>
      <c r="I101" s="193">
        <f t="array" ref="I101">IF(NOT(ISERROR(MATCH(2,1/(('AllowedShip Class Time Charters'!$D$3:$D$16='Ship Time Charter Rates'!F101)*('AllowedShip Class Time Charters'!$E$3:$E$16='Ship Time Charter Rates'!G101))))),0,"Vessel class and Index Choosen don’t match!")</f>
        <v>0</v>
      </c>
      <c r="J101" s="36" t="s">
        <v>39</v>
      </c>
    </row>
    <row r="102" spans="4:10" ht="15.75">
      <c r="D102" s="37">
        <f>D101+1</f>
        <v>81</v>
      </c>
      <c r="E102" s="39"/>
      <c r="F102" s="42"/>
      <c r="G102" s="42"/>
      <c r="H102" s="29"/>
      <c r="I102" s="193">
        <f t="array" ref="I102">IF(NOT(ISERROR(MATCH(2,1/(('AllowedShip Class Time Charters'!$D$3:$D$16='Ship Time Charter Rates'!F102)*('AllowedShip Class Time Charters'!$E$3:$E$16='Ship Time Charter Rates'!G102))))),0,"Vessel class and Index Choosen don’t match!")</f>
        <v>0</v>
      </c>
      <c r="J102" s="36" t="s">
        <v>39</v>
      </c>
    </row>
    <row r="103" spans="4:10" ht="15.75">
      <c r="D103" s="37">
        <f t="shared" ref="D103:D111" si="8">D102+1</f>
        <v>82</v>
      </c>
      <c r="E103" s="39"/>
      <c r="F103" s="42"/>
      <c r="G103" s="42"/>
      <c r="H103" s="29"/>
      <c r="I103" s="193">
        <f t="array" ref="I103">IF(NOT(ISERROR(MATCH(2,1/(('AllowedShip Class Time Charters'!$D$3:$D$16='Ship Time Charter Rates'!F103)*('AllowedShip Class Time Charters'!$E$3:$E$16='Ship Time Charter Rates'!G103))))),0,"Vessel class and Index Choosen don’t match!")</f>
        <v>0</v>
      </c>
      <c r="J103" s="36" t="s">
        <v>39</v>
      </c>
    </row>
    <row r="104" spans="4:10" ht="15.75">
      <c r="D104" s="37">
        <f t="shared" si="8"/>
        <v>83</v>
      </c>
      <c r="E104" s="39"/>
      <c r="F104" s="42"/>
      <c r="G104" s="42"/>
      <c r="H104" s="29"/>
      <c r="I104" s="193">
        <f t="array" ref="I104">IF(NOT(ISERROR(MATCH(2,1/(('AllowedShip Class Time Charters'!$D$3:$D$16='Ship Time Charter Rates'!F104)*('AllowedShip Class Time Charters'!$E$3:$E$16='Ship Time Charter Rates'!G104))))),0,"Vessel class and Index Choosen don’t match!")</f>
        <v>0</v>
      </c>
      <c r="J104" s="36" t="s">
        <v>39</v>
      </c>
    </row>
    <row r="105" spans="4:10" ht="15.75">
      <c r="D105" s="37">
        <f t="shared" si="8"/>
        <v>84</v>
      </c>
      <c r="E105" s="39"/>
      <c r="F105" s="42"/>
      <c r="G105" s="42"/>
      <c r="H105" s="29"/>
      <c r="I105" s="193">
        <f t="array" ref="I105">IF(NOT(ISERROR(MATCH(2,1/(('AllowedShip Class Time Charters'!$D$3:$D$16='Ship Time Charter Rates'!F105)*('AllowedShip Class Time Charters'!$E$3:$E$16='Ship Time Charter Rates'!G105))))),0,"Vessel class and Index Choosen don’t match!")</f>
        <v>0</v>
      </c>
      <c r="J105" s="36" t="s">
        <v>39</v>
      </c>
    </row>
    <row r="106" spans="4:10" ht="15.75">
      <c r="D106" s="37">
        <f t="shared" si="8"/>
        <v>85</v>
      </c>
      <c r="E106" s="39"/>
      <c r="F106" s="42"/>
      <c r="G106" s="42"/>
      <c r="H106" s="29"/>
      <c r="I106" s="193">
        <f t="array" ref="I106">IF(NOT(ISERROR(MATCH(2,1/(('AllowedShip Class Time Charters'!$D$3:$D$16='Ship Time Charter Rates'!F106)*('AllowedShip Class Time Charters'!$E$3:$E$16='Ship Time Charter Rates'!G106))))),0,"Vessel class and Index Choosen don’t match!")</f>
        <v>0</v>
      </c>
      <c r="J106" s="36" t="s">
        <v>39</v>
      </c>
    </row>
    <row r="107" spans="4:10" ht="15.75">
      <c r="D107" s="37">
        <f t="shared" si="8"/>
        <v>86</v>
      </c>
      <c r="E107" s="39"/>
      <c r="F107" s="42"/>
      <c r="G107" s="42"/>
      <c r="H107" s="29"/>
      <c r="I107" s="193">
        <f t="array" ref="I107">IF(NOT(ISERROR(MATCH(2,1/(('AllowedShip Class Time Charters'!$D$3:$D$16='Ship Time Charter Rates'!F107)*('AllowedShip Class Time Charters'!$E$3:$E$16='Ship Time Charter Rates'!G107))))),0,"Vessel class and Index Choosen don’t match!")</f>
        <v>0</v>
      </c>
      <c r="J107" s="36" t="s">
        <v>39</v>
      </c>
    </row>
    <row r="108" spans="4:10" ht="15.75">
      <c r="D108" s="37">
        <f t="shared" si="8"/>
        <v>87</v>
      </c>
      <c r="E108" s="39"/>
      <c r="F108" s="42"/>
      <c r="G108" s="42"/>
      <c r="H108" s="29"/>
      <c r="I108" s="193">
        <f t="array" ref="I108">IF(NOT(ISERROR(MATCH(2,1/(('AllowedShip Class Time Charters'!$D$3:$D$16='Ship Time Charter Rates'!F108)*('AllowedShip Class Time Charters'!$E$3:$E$16='Ship Time Charter Rates'!G108))))),0,"Vessel class and Index Choosen don’t match!")</f>
        <v>0</v>
      </c>
      <c r="J108" s="36" t="s">
        <v>39</v>
      </c>
    </row>
    <row r="109" spans="4:10" ht="15.75">
      <c r="D109" s="37">
        <f t="shared" si="8"/>
        <v>88</v>
      </c>
      <c r="E109" s="39"/>
      <c r="F109" s="42"/>
      <c r="G109" s="42"/>
      <c r="H109" s="29"/>
      <c r="I109" s="193">
        <f t="array" ref="I109">IF(NOT(ISERROR(MATCH(2,1/(('AllowedShip Class Time Charters'!$D$3:$D$16='Ship Time Charter Rates'!F109)*('AllowedShip Class Time Charters'!$E$3:$E$16='Ship Time Charter Rates'!G109))))),0,"Vessel class and Index Choosen don’t match!")</f>
        <v>0</v>
      </c>
      <c r="J109" s="36" t="s">
        <v>39</v>
      </c>
    </row>
    <row r="110" spans="4:10" ht="15.75">
      <c r="D110" s="37">
        <f t="shared" si="8"/>
        <v>89</v>
      </c>
      <c r="E110" s="39"/>
      <c r="F110" s="42"/>
      <c r="G110" s="42"/>
      <c r="H110" s="29"/>
      <c r="I110" s="193">
        <f t="array" ref="I110">IF(NOT(ISERROR(MATCH(2,1/(('AllowedShip Class Time Charters'!$D$3:$D$16='Ship Time Charter Rates'!F110)*('AllowedShip Class Time Charters'!$E$3:$E$16='Ship Time Charter Rates'!G110))))),0,"Vessel class and Index Choosen don’t match!")</f>
        <v>0</v>
      </c>
      <c r="J110" s="36" t="s">
        <v>39</v>
      </c>
    </row>
    <row r="111" spans="4:10" ht="15.75">
      <c r="D111" s="37">
        <f t="shared" si="8"/>
        <v>90</v>
      </c>
      <c r="E111" s="39"/>
      <c r="F111" s="42"/>
      <c r="G111" s="42"/>
      <c r="H111" s="29"/>
      <c r="I111" s="193">
        <f t="array" ref="I111">IF(NOT(ISERROR(MATCH(2,1/(('AllowedShip Class Time Charters'!$D$3:$D$16='Ship Time Charter Rates'!F111)*('AllowedShip Class Time Charters'!$E$3:$E$16='Ship Time Charter Rates'!G111))))),0,"Vessel class and Index Choosen don’t match!")</f>
        <v>0</v>
      </c>
      <c r="J111" s="36" t="s">
        <v>39</v>
      </c>
    </row>
    <row r="112" spans="4:10" ht="15.75">
      <c r="D112" s="37">
        <f>D111+1</f>
        <v>91</v>
      </c>
      <c r="E112" s="39"/>
      <c r="F112" s="42"/>
      <c r="G112" s="42"/>
      <c r="H112" s="29"/>
      <c r="I112" s="193">
        <f t="array" ref="I112">IF(NOT(ISERROR(MATCH(2,1/(('AllowedShip Class Time Charters'!$D$3:$D$16='Ship Time Charter Rates'!F112)*('AllowedShip Class Time Charters'!$E$3:$E$16='Ship Time Charter Rates'!G112))))),0,"Vessel class and Index Choosen don’t match!")</f>
        <v>0</v>
      </c>
      <c r="J112" s="36" t="s">
        <v>39</v>
      </c>
    </row>
    <row r="113" spans="4:10" ht="15.75">
      <c r="D113" s="37">
        <f t="shared" ref="D113:D121" si="9">D112+1</f>
        <v>92</v>
      </c>
      <c r="E113" s="39"/>
      <c r="F113" s="42"/>
      <c r="G113" s="42"/>
      <c r="H113" s="29"/>
      <c r="I113" s="193">
        <f t="array" ref="I113">IF(NOT(ISERROR(MATCH(2,1/(('AllowedShip Class Time Charters'!$D$3:$D$16='Ship Time Charter Rates'!F113)*('AllowedShip Class Time Charters'!$E$3:$E$16='Ship Time Charter Rates'!G113))))),0,"Vessel class and Index Choosen don’t match!")</f>
        <v>0</v>
      </c>
      <c r="J113" s="36" t="s">
        <v>39</v>
      </c>
    </row>
    <row r="114" spans="4:10" ht="15.75">
      <c r="D114" s="37">
        <f t="shared" si="9"/>
        <v>93</v>
      </c>
      <c r="E114" s="39"/>
      <c r="F114" s="42"/>
      <c r="G114" s="42"/>
      <c r="H114" s="29"/>
      <c r="I114" s="193">
        <f t="array" ref="I114">IF(NOT(ISERROR(MATCH(2,1/(('AllowedShip Class Time Charters'!$D$3:$D$16='Ship Time Charter Rates'!F114)*('AllowedShip Class Time Charters'!$E$3:$E$16='Ship Time Charter Rates'!G114))))),0,"Vessel class and Index Choosen don’t match!")</f>
        <v>0</v>
      </c>
      <c r="J114" s="36" t="s">
        <v>39</v>
      </c>
    </row>
    <row r="115" spans="4:10" ht="15.75">
      <c r="D115" s="37">
        <f t="shared" si="9"/>
        <v>94</v>
      </c>
      <c r="E115" s="39"/>
      <c r="F115" s="42"/>
      <c r="G115" s="42"/>
      <c r="H115" s="29"/>
      <c r="I115" s="193">
        <f t="array" ref="I115">IF(NOT(ISERROR(MATCH(2,1/(('AllowedShip Class Time Charters'!$D$3:$D$16='Ship Time Charter Rates'!F115)*('AllowedShip Class Time Charters'!$E$3:$E$16='Ship Time Charter Rates'!G115))))),0,"Vessel class and Index Choosen don’t match!")</f>
        <v>0</v>
      </c>
      <c r="J115" s="36" t="s">
        <v>39</v>
      </c>
    </row>
    <row r="116" spans="4:10" ht="15.75">
      <c r="D116" s="37">
        <f t="shared" si="9"/>
        <v>95</v>
      </c>
      <c r="E116" s="39"/>
      <c r="F116" s="42"/>
      <c r="G116" s="42"/>
      <c r="H116" s="29"/>
      <c r="I116" s="193">
        <f t="array" ref="I116">IF(NOT(ISERROR(MATCH(2,1/(('AllowedShip Class Time Charters'!$D$3:$D$16='Ship Time Charter Rates'!F116)*('AllowedShip Class Time Charters'!$E$3:$E$16='Ship Time Charter Rates'!G116))))),0,"Vessel class and Index Choosen don’t match!")</f>
        <v>0</v>
      </c>
      <c r="J116" s="36" t="s">
        <v>39</v>
      </c>
    </row>
    <row r="117" spans="4:10" ht="15.75">
      <c r="D117" s="37">
        <f t="shared" si="9"/>
        <v>96</v>
      </c>
      <c r="E117" s="39"/>
      <c r="F117" s="42"/>
      <c r="G117" s="42"/>
      <c r="H117" s="29"/>
      <c r="I117" s="193">
        <f t="array" ref="I117">IF(NOT(ISERROR(MATCH(2,1/(('AllowedShip Class Time Charters'!$D$3:$D$16='Ship Time Charter Rates'!F117)*('AllowedShip Class Time Charters'!$E$3:$E$16='Ship Time Charter Rates'!G117))))),0,"Vessel class and Index Choosen don’t match!")</f>
        <v>0</v>
      </c>
      <c r="J117" s="36" t="s">
        <v>39</v>
      </c>
    </row>
    <row r="118" spans="4:10" ht="15.75">
      <c r="D118" s="37">
        <f t="shared" si="9"/>
        <v>97</v>
      </c>
      <c r="E118" s="39"/>
      <c r="F118" s="42"/>
      <c r="G118" s="42"/>
      <c r="H118" s="29"/>
      <c r="I118" s="193">
        <f t="array" ref="I118">IF(NOT(ISERROR(MATCH(2,1/(('AllowedShip Class Time Charters'!$D$3:$D$16='Ship Time Charter Rates'!F118)*('AllowedShip Class Time Charters'!$E$3:$E$16='Ship Time Charter Rates'!G118))))),0,"Vessel class and Index Choosen don’t match!")</f>
        <v>0</v>
      </c>
      <c r="J118" s="36" t="s">
        <v>39</v>
      </c>
    </row>
    <row r="119" spans="4:10" ht="15.75">
      <c r="D119" s="37">
        <f t="shared" si="9"/>
        <v>98</v>
      </c>
      <c r="E119" s="39"/>
      <c r="F119" s="42"/>
      <c r="G119" s="42"/>
      <c r="H119" s="29"/>
      <c r="I119" s="193">
        <f t="array" ref="I119">IF(NOT(ISERROR(MATCH(2,1/(('AllowedShip Class Time Charters'!$D$3:$D$16='Ship Time Charter Rates'!F119)*('AllowedShip Class Time Charters'!$E$3:$E$16='Ship Time Charter Rates'!G119))))),0,"Vessel class and Index Choosen don’t match!")</f>
        <v>0</v>
      </c>
      <c r="J119" s="36" t="s">
        <v>39</v>
      </c>
    </row>
    <row r="120" spans="4:10" ht="15.75">
      <c r="D120" s="37">
        <f t="shared" si="9"/>
        <v>99</v>
      </c>
      <c r="E120" s="39"/>
      <c r="F120" s="42"/>
      <c r="G120" s="42"/>
      <c r="H120" s="29"/>
      <c r="I120" s="193">
        <f t="array" ref="I120">IF(NOT(ISERROR(MATCH(2,1/(('AllowedShip Class Time Charters'!$D$3:$D$16='Ship Time Charter Rates'!F120)*('AllowedShip Class Time Charters'!$E$3:$E$16='Ship Time Charter Rates'!G120))))),0,"Vessel class and Index Choosen don’t match!")</f>
        <v>0</v>
      </c>
      <c r="J120" s="36" t="s">
        <v>39</v>
      </c>
    </row>
    <row r="121" spans="4:10" ht="15.75">
      <c r="D121" s="37">
        <f t="shared" si="9"/>
        <v>100</v>
      </c>
      <c r="E121" s="39"/>
      <c r="F121" s="42"/>
      <c r="G121" s="42"/>
      <c r="H121" s="29"/>
      <c r="I121" s="193">
        <f t="array" ref="I121">IF(NOT(ISERROR(MATCH(2,1/(('AllowedShip Class Time Charters'!$D$3:$D$16='Ship Time Charter Rates'!F121)*('AllowedShip Class Time Charters'!$E$3:$E$16='Ship Time Charter Rates'!G121))))),0,"Vessel class and Index Choosen don’t match!")</f>
        <v>0</v>
      </c>
      <c r="J121" s="36" t="s">
        <v>39</v>
      </c>
    </row>
    <row r="122" spans="4:10" ht="15.75">
      <c r="D122" s="37">
        <f>D121+1</f>
        <v>101</v>
      </c>
      <c r="E122" s="39"/>
      <c r="F122" s="42"/>
      <c r="G122" s="42"/>
      <c r="H122" s="29"/>
      <c r="I122" s="193">
        <f t="array" ref="I122">IF(NOT(ISERROR(MATCH(2,1/(('AllowedShip Class Time Charters'!$D$3:$D$16='Ship Time Charter Rates'!F122)*('AllowedShip Class Time Charters'!$E$3:$E$16='Ship Time Charter Rates'!G122))))),0,"Vessel class and Index Choosen don’t match!")</f>
        <v>0</v>
      </c>
      <c r="J122" s="36" t="s">
        <v>39</v>
      </c>
    </row>
    <row r="123" spans="4:10" ht="15.75">
      <c r="D123" s="37">
        <f t="shared" ref="D123:D131" si="10">D122+1</f>
        <v>102</v>
      </c>
      <c r="E123" s="39"/>
      <c r="F123" s="42"/>
      <c r="G123" s="42"/>
      <c r="H123" s="29"/>
      <c r="I123" s="193">
        <f t="array" ref="I123">IF(NOT(ISERROR(MATCH(2,1/(('AllowedShip Class Time Charters'!$D$3:$D$16='Ship Time Charter Rates'!F123)*('AllowedShip Class Time Charters'!$E$3:$E$16='Ship Time Charter Rates'!G123))))),0,"Vessel class and Index Choosen don’t match!")</f>
        <v>0</v>
      </c>
      <c r="J123" s="36" t="s">
        <v>39</v>
      </c>
    </row>
    <row r="124" spans="4:10" ht="15.75">
      <c r="D124" s="37">
        <f t="shared" si="10"/>
        <v>103</v>
      </c>
      <c r="E124" s="39"/>
      <c r="F124" s="42"/>
      <c r="G124" s="42"/>
      <c r="H124" s="29"/>
      <c r="I124" s="193">
        <f t="array" ref="I124">IF(NOT(ISERROR(MATCH(2,1/(('AllowedShip Class Time Charters'!$D$3:$D$16='Ship Time Charter Rates'!F124)*('AllowedShip Class Time Charters'!$E$3:$E$16='Ship Time Charter Rates'!G124))))),0,"Vessel class and Index Choosen don’t match!")</f>
        <v>0</v>
      </c>
      <c r="J124" s="36" t="s">
        <v>39</v>
      </c>
    </row>
    <row r="125" spans="4:10" ht="15.75">
      <c r="D125" s="37">
        <f t="shared" si="10"/>
        <v>104</v>
      </c>
      <c r="E125" s="39"/>
      <c r="F125" s="42"/>
      <c r="G125" s="42"/>
      <c r="H125" s="29"/>
      <c r="I125" s="193">
        <f t="array" ref="I125">IF(NOT(ISERROR(MATCH(2,1/(('AllowedShip Class Time Charters'!$D$3:$D$16='Ship Time Charter Rates'!F125)*('AllowedShip Class Time Charters'!$E$3:$E$16='Ship Time Charter Rates'!G125))))),0,"Vessel class and Index Choosen don’t match!")</f>
        <v>0</v>
      </c>
      <c r="J125" s="36" t="s">
        <v>39</v>
      </c>
    </row>
    <row r="126" spans="4:10" ht="15.75">
      <c r="D126" s="37">
        <f t="shared" si="10"/>
        <v>105</v>
      </c>
      <c r="E126" s="39"/>
      <c r="F126" s="42"/>
      <c r="G126" s="42"/>
      <c r="H126" s="29"/>
      <c r="I126" s="193">
        <f t="array" ref="I126">IF(NOT(ISERROR(MATCH(2,1/(('AllowedShip Class Time Charters'!$D$3:$D$16='Ship Time Charter Rates'!F126)*('AllowedShip Class Time Charters'!$E$3:$E$16='Ship Time Charter Rates'!G126))))),0,"Vessel class and Index Choosen don’t match!")</f>
        <v>0</v>
      </c>
      <c r="J126" s="36" t="s">
        <v>39</v>
      </c>
    </row>
    <row r="127" spans="4:10" ht="15.75">
      <c r="D127" s="37">
        <f t="shared" si="10"/>
        <v>106</v>
      </c>
      <c r="E127" s="39"/>
      <c r="F127" s="42"/>
      <c r="G127" s="42"/>
      <c r="H127" s="29"/>
      <c r="I127" s="193">
        <f t="array" ref="I127">IF(NOT(ISERROR(MATCH(2,1/(('AllowedShip Class Time Charters'!$D$3:$D$16='Ship Time Charter Rates'!F127)*('AllowedShip Class Time Charters'!$E$3:$E$16='Ship Time Charter Rates'!G127))))),0,"Vessel class and Index Choosen don’t match!")</f>
        <v>0</v>
      </c>
      <c r="J127" s="36" t="s">
        <v>39</v>
      </c>
    </row>
    <row r="128" spans="4:10" ht="15.75">
      <c r="D128" s="37">
        <f t="shared" si="10"/>
        <v>107</v>
      </c>
      <c r="E128" s="39"/>
      <c r="F128" s="42"/>
      <c r="G128" s="42"/>
      <c r="H128" s="29"/>
      <c r="I128" s="193">
        <f t="array" ref="I128">IF(NOT(ISERROR(MATCH(2,1/(('AllowedShip Class Time Charters'!$D$3:$D$16='Ship Time Charter Rates'!F128)*('AllowedShip Class Time Charters'!$E$3:$E$16='Ship Time Charter Rates'!G128))))),0,"Vessel class and Index Choosen don’t match!")</f>
        <v>0</v>
      </c>
      <c r="J128" s="36" t="s">
        <v>39</v>
      </c>
    </row>
    <row r="129" spans="4:10" ht="15.75">
      <c r="D129" s="37">
        <f t="shared" si="10"/>
        <v>108</v>
      </c>
      <c r="E129" s="39"/>
      <c r="F129" s="42"/>
      <c r="G129" s="42"/>
      <c r="H129" s="29"/>
      <c r="I129" s="193">
        <f t="array" ref="I129">IF(NOT(ISERROR(MATCH(2,1/(('AllowedShip Class Time Charters'!$D$3:$D$16='Ship Time Charter Rates'!F129)*('AllowedShip Class Time Charters'!$E$3:$E$16='Ship Time Charter Rates'!G129))))),0,"Vessel class and Index Choosen don’t match!")</f>
        <v>0</v>
      </c>
      <c r="J129" s="36" t="s">
        <v>39</v>
      </c>
    </row>
    <row r="130" spans="4:10" ht="15.75">
      <c r="D130" s="37">
        <f t="shared" si="10"/>
        <v>109</v>
      </c>
      <c r="E130" s="39"/>
      <c r="F130" s="42"/>
      <c r="G130" s="42"/>
      <c r="H130" s="29"/>
      <c r="I130" s="193">
        <f t="array" ref="I130">IF(NOT(ISERROR(MATCH(2,1/(('AllowedShip Class Time Charters'!$D$3:$D$16='Ship Time Charter Rates'!F130)*('AllowedShip Class Time Charters'!$E$3:$E$16='Ship Time Charter Rates'!G130))))),0,"Vessel class and Index Choosen don’t match!")</f>
        <v>0</v>
      </c>
      <c r="J130" s="36" t="s">
        <v>39</v>
      </c>
    </row>
    <row r="131" spans="4:10" ht="15.75">
      <c r="D131" s="37">
        <f t="shared" si="10"/>
        <v>110</v>
      </c>
      <c r="E131" s="39"/>
      <c r="F131" s="42"/>
      <c r="G131" s="42"/>
      <c r="H131" s="29"/>
      <c r="I131" s="193">
        <f t="array" ref="I131">IF(NOT(ISERROR(MATCH(2,1/(('AllowedShip Class Time Charters'!$D$3:$D$16='Ship Time Charter Rates'!F131)*('AllowedShip Class Time Charters'!$E$3:$E$16='Ship Time Charter Rates'!G131))))),0,"Vessel class and Index Choosen don’t match!")</f>
        <v>0</v>
      </c>
      <c r="J131" s="36" t="s">
        <v>39</v>
      </c>
    </row>
    <row r="132" spans="4:10" ht="15.75">
      <c r="D132" s="37">
        <f>D131+1</f>
        <v>111</v>
      </c>
      <c r="E132" s="39"/>
      <c r="F132" s="42"/>
      <c r="G132" s="42"/>
      <c r="H132" s="29"/>
      <c r="I132" s="193">
        <f t="array" ref="I132">IF(NOT(ISERROR(MATCH(2,1/(('AllowedShip Class Time Charters'!$D$3:$D$16='Ship Time Charter Rates'!F132)*('AllowedShip Class Time Charters'!$E$3:$E$16='Ship Time Charter Rates'!G132))))),0,"Vessel class and Index Choosen don’t match!")</f>
        <v>0</v>
      </c>
      <c r="J132" s="36" t="s">
        <v>39</v>
      </c>
    </row>
    <row r="133" spans="4:10" ht="15.75">
      <c r="D133" s="37">
        <f t="shared" ref="D133:D141" si="11">D132+1</f>
        <v>112</v>
      </c>
      <c r="E133" s="39"/>
      <c r="F133" s="42"/>
      <c r="G133" s="42"/>
      <c r="H133" s="29"/>
      <c r="I133" s="193">
        <f t="array" ref="I133">IF(NOT(ISERROR(MATCH(2,1/(('AllowedShip Class Time Charters'!$D$3:$D$16='Ship Time Charter Rates'!F133)*('AllowedShip Class Time Charters'!$E$3:$E$16='Ship Time Charter Rates'!G133))))),0,"Vessel class and Index Choosen don’t match!")</f>
        <v>0</v>
      </c>
      <c r="J133" s="36" t="s">
        <v>39</v>
      </c>
    </row>
    <row r="134" spans="4:10" ht="15.75">
      <c r="D134" s="37">
        <f t="shared" si="11"/>
        <v>113</v>
      </c>
      <c r="E134" s="39"/>
      <c r="F134" s="42"/>
      <c r="G134" s="42"/>
      <c r="H134" s="29"/>
      <c r="I134" s="193">
        <f t="array" ref="I134">IF(NOT(ISERROR(MATCH(2,1/(('AllowedShip Class Time Charters'!$D$3:$D$16='Ship Time Charter Rates'!F134)*('AllowedShip Class Time Charters'!$E$3:$E$16='Ship Time Charter Rates'!G134))))),0,"Vessel class and Index Choosen don’t match!")</f>
        <v>0</v>
      </c>
      <c r="J134" s="36" t="s">
        <v>39</v>
      </c>
    </row>
    <row r="135" spans="4:10" ht="15.75">
      <c r="D135" s="37">
        <f t="shared" si="11"/>
        <v>114</v>
      </c>
      <c r="E135" s="39"/>
      <c r="F135" s="42"/>
      <c r="G135" s="42"/>
      <c r="H135" s="29"/>
      <c r="I135" s="193">
        <f t="array" ref="I135">IF(NOT(ISERROR(MATCH(2,1/(('AllowedShip Class Time Charters'!$D$3:$D$16='Ship Time Charter Rates'!F135)*('AllowedShip Class Time Charters'!$E$3:$E$16='Ship Time Charter Rates'!G135))))),0,"Vessel class and Index Choosen don’t match!")</f>
        <v>0</v>
      </c>
      <c r="J135" s="36" t="s">
        <v>39</v>
      </c>
    </row>
    <row r="136" spans="4:10" ht="15.75">
      <c r="D136" s="37">
        <f t="shared" si="11"/>
        <v>115</v>
      </c>
      <c r="E136" s="39"/>
      <c r="F136" s="42"/>
      <c r="G136" s="42"/>
      <c r="H136" s="29"/>
      <c r="I136" s="193">
        <f t="array" ref="I136">IF(NOT(ISERROR(MATCH(2,1/(('AllowedShip Class Time Charters'!$D$3:$D$16='Ship Time Charter Rates'!F136)*('AllowedShip Class Time Charters'!$E$3:$E$16='Ship Time Charter Rates'!G136))))),0,"Vessel class and Index Choosen don’t match!")</f>
        <v>0</v>
      </c>
      <c r="J136" s="36" t="s">
        <v>39</v>
      </c>
    </row>
    <row r="137" spans="4:10" ht="15.75">
      <c r="D137" s="37">
        <f t="shared" si="11"/>
        <v>116</v>
      </c>
      <c r="E137" s="39"/>
      <c r="F137" s="42"/>
      <c r="G137" s="42"/>
      <c r="H137" s="29"/>
      <c r="I137" s="193">
        <f t="array" ref="I137">IF(NOT(ISERROR(MATCH(2,1/(('AllowedShip Class Time Charters'!$D$3:$D$16='Ship Time Charter Rates'!F137)*('AllowedShip Class Time Charters'!$E$3:$E$16='Ship Time Charter Rates'!G137))))),0,"Vessel class and Index Choosen don’t match!")</f>
        <v>0</v>
      </c>
      <c r="J137" s="36" t="s">
        <v>39</v>
      </c>
    </row>
    <row r="138" spans="4:10" ht="15.75">
      <c r="D138" s="37">
        <f t="shared" si="11"/>
        <v>117</v>
      </c>
      <c r="E138" s="39"/>
      <c r="F138" s="42"/>
      <c r="G138" s="42"/>
      <c r="H138" s="29"/>
      <c r="I138" s="193">
        <f t="array" ref="I138">IF(NOT(ISERROR(MATCH(2,1/(('AllowedShip Class Time Charters'!$D$3:$D$16='Ship Time Charter Rates'!F138)*('AllowedShip Class Time Charters'!$E$3:$E$16='Ship Time Charter Rates'!G138))))),0,"Vessel class and Index Choosen don’t match!")</f>
        <v>0</v>
      </c>
      <c r="J138" s="36" t="s">
        <v>39</v>
      </c>
    </row>
    <row r="139" spans="4:10" ht="15.75">
      <c r="D139" s="37">
        <f t="shared" si="11"/>
        <v>118</v>
      </c>
      <c r="E139" s="39"/>
      <c r="F139" s="42"/>
      <c r="G139" s="42"/>
      <c r="H139" s="29"/>
      <c r="I139" s="193">
        <f t="array" ref="I139">IF(NOT(ISERROR(MATCH(2,1/(('AllowedShip Class Time Charters'!$D$3:$D$16='Ship Time Charter Rates'!F139)*('AllowedShip Class Time Charters'!$E$3:$E$16='Ship Time Charter Rates'!G139))))),0,"Vessel class and Index Choosen don’t match!")</f>
        <v>0</v>
      </c>
      <c r="J139" s="36" t="s">
        <v>39</v>
      </c>
    </row>
    <row r="140" spans="4:10" ht="15.75">
      <c r="D140" s="37">
        <f t="shared" si="11"/>
        <v>119</v>
      </c>
      <c r="E140" s="39"/>
      <c r="F140" s="42"/>
      <c r="G140" s="42"/>
      <c r="H140" s="29"/>
      <c r="I140" s="193">
        <f t="array" ref="I140">IF(NOT(ISERROR(MATCH(2,1/(('AllowedShip Class Time Charters'!$D$3:$D$16='Ship Time Charter Rates'!F140)*('AllowedShip Class Time Charters'!$E$3:$E$16='Ship Time Charter Rates'!G140))))),0,"Vessel class and Index Choosen don’t match!")</f>
        <v>0</v>
      </c>
      <c r="J140" s="36" t="s">
        <v>39</v>
      </c>
    </row>
    <row r="141" spans="4:10" ht="15.75">
      <c r="D141" s="37">
        <f t="shared" si="11"/>
        <v>120</v>
      </c>
      <c r="E141" s="39"/>
      <c r="F141" s="42"/>
      <c r="G141" s="42"/>
      <c r="H141" s="29"/>
      <c r="I141" s="193">
        <f t="array" ref="I141">IF(NOT(ISERROR(MATCH(2,1/(('AllowedShip Class Time Charters'!$D$3:$D$16='Ship Time Charter Rates'!F141)*('AllowedShip Class Time Charters'!$E$3:$E$16='Ship Time Charter Rates'!G141))))),0,"Vessel class and Index Choosen don’t match!")</f>
        <v>0</v>
      </c>
      <c r="J141" s="36" t="s">
        <v>39</v>
      </c>
    </row>
    <row r="142" spans="4:10" ht="15.75">
      <c r="D142" s="37">
        <f>D141+1</f>
        <v>121</v>
      </c>
      <c r="E142" s="39"/>
      <c r="F142" s="42"/>
      <c r="G142" s="42"/>
      <c r="H142" s="29"/>
      <c r="I142" s="193">
        <f t="array" ref="I142">IF(NOT(ISERROR(MATCH(2,1/(('AllowedShip Class Time Charters'!$D$3:$D$16='Ship Time Charter Rates'!F142)*('AllowedShip Class Time Charters'!$E$3:$E$16='Ship Time Charter Rates'!G142))))),0,"Vessel class and Index Choosen don’t match!")</f>
        <v>0</v>
      </c>
      <c r="J142" s="36" t="s">
        <v>39</v>
      </c>
    </row>
    <row r="143" spans="4:10" ht="15.75">
      <c r="D143" s="37">
        <f t="shared" ref="D143:D151" si="12">D142+1</f>
        <v>122</v>
      </c>
      <c r="E143" s="39"/>
      <c r="F143" s="42"/>
      <c r="G143" s="42"/>
      <c r="H143" s="29"/>
      <c r="I143" s="193">
        <f t="array" ref="I143">IF(NOT(ISERROR(MATCH(2,1/(('AllowedShip Class Time Charters'!$D$3:$D$16='Ship Time Charter Rates'!F143)*('AllowedShip Class Time Charters'!$E$3:$E$16='Ship Time Charter Rates'!G143))))),0,"Vessel class and Index Choosen don’t match!")</f>
        <v>0</v>
      </c>
      <c r="J143" s="36" t="s">
        <v>39</v>
      </c>
    </row>
    <row r="144" spans="4:10" ht="15.75">
      <c r="D144" s="37">
        <f t="shared" si="12"/>
        <v>123</v>
      </c>
      <c r="E144" s="39"/>
      <c r="F144" s="42"/>
      <c r="G144" s="42"/>
      <c r="H144" s="29"/>
      <c r="I144" s="193">
        <f t="array" ref="I144">IF(NOT(ISERROR(MATCH(2,1/(('AllowedShip Class Time Charters'!$D$3:$D$16='Ship Time Charter Rates'!F144)*('AllowedShip Class Time Charters'!$E$3:$E$16='Ship Time Charter Rates'!G144))))),0,"Vessel class and Index Choosen don’t match!")</f>
        <v>0</v>
      </c>
      <c r="J144" s="36" t="s">
        <v>39</v>
      </c>
    </row>
    <row r="145" spans="4:10" ht="15.75">
      <c r="D145" s="37">
        <f t="shared" si="12"/>
        <v>124</v>
      </c>
      <c r="E145" s="39"/>
      <c r="F145" s="42"/>
      <c r="G145" s="42"/>
      <c r="H145" s="29"/>
      <c r="I145" s="193">
        <f t="array" ref="I145">IF(NOT(ISERROR(MATCH(2,1/(('AllowedShip Class Time Charters'!$D$3:$D$16='Ship Time Charter Rates'!F145)*('AllowedShip Class Time Charters'!$E$3:$E$16='Ship Time Charter Rates'!G145))))),0,"Vessel class and Index Choosen don’t match!")</f>
        <v>0</v>
      </c>
      <c r="J145" s="36" t="s">
        <v>39</v>
      </c>
    </row>
    <row r="146" spans="4:10" ht="15.75">
      <c r="D146" s="37">
        <f t="shared" si="12"/>
        <v>125</v>
      </c>
      <c r="E146" s="39"/>
      <c r="F146" s="42"/>
      <c r="G146" s="42"/>
      <c r="H146" s="29"/>
      <c r="I146" s="193">
        <f t="array" ref="I146">IF(NOT(ISERROR(MATCH(2,1/(('AllowedShip Class Time Charters'!$D$3:$D$16='Ship Time Charter Rates'!F146)*('AllowedShip Class Time Charters'!$E$3:$E$16='Ship Time Charter Rates'!G146))))),0,"Vessel class and Index Choosen don’t match!")</f>
        <v>0</v>
      </c>
      <c r="J146" s="36" t="s">
        <v>39</v>
      </c>
    </row>
    <row r="147" spans="4:10" ht="15.75">
      <c r="D147" s="37">
        <f t="shared" si="12"/>
        <v>126</v>
      </c>
      <c r="E147" s="39"/>
      <c r="F147" s="42"/>
      <c r="G147" s="42"/>
      <c r="H147" s="29"/>
      <c r="I147" s="193">
        <f t="array" ref="I147">IF(NOT(ISERROR(MATCH(2,1/(('AllowedShip Class Time Charters'!$D$3:$D$16='Ship Time Charter Rates'!F147)*('AllowedShip Class Time Charters'!$E$3:$E$16='Ship Time Charter Rates'!G147))))),0,"Vessel class and Index Choosen don’t match!")</f>
        <v>0</v>
      </c>
      <c r="J147" s="36" t="s">
        <v>39</v>
      </c>
    </row>
    <row r="148" spans="4:10" ht="15.75">
      <c r="D148" s="37">
        <f t="shared" si="12"/>
        <v>127</v>
      </c>
      <c r="E148" s="39"/>
      <c r="F148" s="42"/>
      <c r="G148" s="42"/>
      <c r="H148" s="29"/>
      <c r="I148" s="193">
        <f t="array" ref="I148">IF(NOT(ISERROR(MATCH(2,1/(('AllowedShip Class Time Charters'!$D$3:$D$16='Ship Time Charter Rates'!F148)*('AllowedShip Class Time Charters'!$E$3:$E$16='Ship Time Charter Rates'!G148))))),0,"Vessel class and Index Choosen don’t match!")</f>
        <v>0</v>
      </c>
      <c r="J148" s="36" t="s">
        <v>39</v>
      </c>
    </row>
    <row r="149" spans="4:10" ht="15.75">
      <c r="D149" s="37">
        <f t="shared" si="12"/>
        <v>128</v>
      </c>
      <c r="E149" s="39"/>
      <c r="F149" s="42"/>
      <c r="G149" s="42"/>
      <c r="H149" s="29"/>
      <c r="I149" s="193">
        <f t="array" ref="I149">IF(NOT(ISERROR(MATCH(2,1/(('AllowedShip Class Time Charters'!$D$3:$D$16='Ship Time Charter Rates'!F149)*('AllowedShip Class Time Charters'!$E$3:$E$16='Ship Time Charter Rates'!G149))))),0,"Vessel class and Index Choosen don’t match!")</f>
        <v>0</v>
      </c>
      <c r="J149" s="36" t="s">
        <v>39</v>
      </c>
    </row>
    <row r="150" spans="4:10" ht="15.75">
      <c r="D150" s="37">
        <f t="shared" si="12"/>
        <v>129</v>
      </c>
      <c r="E150" s="39"/>
      <c r="F150" s="42"/>
      <c r="G150" s="42"/>
      <c r="H150" s="29"/>
      <c r="I150" s="193">
        <f t="array" ref="I150">IF(NOT(ISERROR(MATCH(2,1/(('AllowedShip Class Time Charters'!$D$3:$D$16='Ship Time Charter Rates'!F150)*('AllowedShip Class Time Charters'!$E$3:$E$16='Ship Time Charter Rates'!G150))))),0,"Vessel class and Index Choosen don’t match!")</f>
        <v>0</v>
      </c>
      <c r="J150" s="36" t="s">
        <v>39</v>
      </c>
    </row>
    <row r="151" spans="4:10" ht="15.75">
      <c r="D151" s="37">
        <f t="shared" si="12"/>
        <v>130</v>
      </c>
      <c r="E151" s="39"/>
      <c r="F151" s="42"/>
      <c r="G151" s="42"/>
      <c r="H151" s="29"/>
      <c r="I151" s="193">
        <f t="array" ref="I151">IF(NOT(ISERROR(MATCH(2,1/(('AllowedShip Class Time Charters'!$D$3:$D$16='Ship Time Charter Rates'!F151)*('AllowedShip Class Time Charters'!$E$3:$E$16='Ship Time Charter Rates'!G151))))),0,"Vessel class and Index Choosen don’t match!")</f>
        <v>0</v>
      </c>
      <c r="J151" s="36" t="s">
        <v>39</v>
      </c>
    </row>
    <row r="152" spans="4:10" ht="15.75">
      <c r="D152" s="37">
        <f>D151+1</f>
        <v>131</v>
      </c>
      <c r="E152" s="39"/>
      <c r="F152" s="42"/>
      <c r="G152" s="42"/>
      <c r="H152" s="29"/>
      <c r="I152" s="193">
        <f t="array" ref="I152">IF(NOT(ISERROR(MATCH(2,1/(('AllowedShip Class Time Charters'!$D$3:$D$16='Ship Time Charter Rates'!F152)*('AllowedShip Class Time Charters'!$E$3:$E$16='Ship Time Charter Rates'!G152))))),0,"Vessel class and Index Choosen don’t match!")</f>
        <v>0</v>
      </c>
      <c r="J152" s="36" t="s">
        <v>39</v>
      </c>
    </row>
    <row r="153" spans="4:10" ht="15.75">
      <c r="D153" s="37">
        <f t="shared" ref="D153:D161" si="13">D152+1</f>
        <v>132</v>
      </c>
      <c r="E153" s="39"/>
      <c r="F153" s="42"/>
      <c r="G153" s="42"/>
      <c r="H153" s="29"/>
      <c r="I153" s="193">
        <f t="array" ref="I153">IF(NOT(ISERROR(MATCH(2,1/(('AllowedShip Class Time Charters'!$D$3:$D$16='Ship Time Charter Rates'!F153)*('AllowedShip Class Time Charters'!$E$3:$E$16='Ship Time Charter Rates'!G153))))),0,"Vessel class and Index Choosen don’t match!")</f>
        <v>0</v>
      </c>
      <c r="J153" s="36" t="s">
        <v>39</v>
      </c>
    </row>
    <row r="154" spans="4:10" ht="15.75">
      <c r="D154" s="37">
        <f t="shared" si="13"/>
        <v>133</v>
      </c>
      <c r="E154" s="39"/>
      <c r="F154" s="42"/>
      <c r="G154" s="42"/>
      <c r="H154" s="29"/>
      <c r="I154" s="193">
        <f t="array" ref="I154">IF(NOT(ISERROR(MATCH(2,1/(('AllowedShip Class Time Charters'!$D$3:$D$16='Ship Time Charter Rates'!F154)*('AllowedShip Class Time Charters'!$E$3:$E$16='Ship Time Charter Rates'!G154))))),0,"Vessel class and Index Choosen don’t match!")</f>
        <v>0</v>
      </c>
      <c r="J154" s="36" t="s">
        <v>39</v>
      </c>
    </row>
    <row r="155" spans="4:10" ht="15.75">
      <c r="D155" s="37">
        <f t="shared" si="13"/>
        <v>134</v>
      </c>
      <c r="E155" s="39"/>
      <c r="F155" s="42"/>
      <c r="G155" s="42"/>
      <c r="H155" s="29"/>
      <c r="I155" s="193">
        <f t="array" ref="I155">IF(NOT(ISERROR(MATCH(2,1/(('AllowedShip Class Time Charters'!$D$3:$D$16='Ship Time Charter Rates'!F155)*('AllowedShip Class Time Charters'!$E$3:$E$16='Ship Time Charter Rates'!G155))))),0,"Vessel class and Index Choosen don’t match!")</f>
        <v>0</v>
      </c>
      <c r="J155" s="36" t="s">
        <v>39</v>
      </c>
    </row>
    <row r="156" spans="4:10" ht="15.75">
      <c r="D156" s="37">
        <f t="shared" si="13"/>
        <v>135</v>
      </c>
      <c r="E156" s="39"/>
      <c r="F156" s="42"/>
      <c r="G156" s="42"/>
      <c r="H156" s="29"/>
      <c r="I156" s="193">
        <f t="array" ref="I156">IF(NOT(ISERROR(MATCH(2,1/(('AllowedShip Class Time Charters'!$D$3:$D$16='Ship Time Charter Rates'!F156)*('AllowedShip Class Time Charters'!$E$3:$E$16='Ship Time Charter Rates'!G156))))),0,"Vessel class and Index Choosen don’t match!")</f>
        <v>0</v>
      </c>
      <c r="J156" s="36" t="s">
        <v>39</v>
      </c>
    </row>
    <row r="157" spans="4:10" ht="15.75">
      <c r="D157" s="37">
        <f t="shared" si="13"/>
        <v>136</v>
      </c>
      <c r="E157" s="39"/>
      <c r="F157" s="42"/>
      <c r="G157" s="42"/>
      <c r="H157" s="29"/>
      <c r="I157" s="193">
        <f t="array" ref="I157">IF(NOT(ISERROR(MATCH(2,1/(('AllowedShip Class Time Charters'!$D$3:$D$16='Ship Time Charter Rates'!F157)*('AllowedShip Class Time Charters'!$E$3:$E$16='Ship Time Charter Rates'!G157))))),0,"Vessel class and Index Choosen don’t match!")</f>
        <v>0</v>
      </c>
      <c r="J157" s="36" t="s">
        <v>39</v>
      </c>
    </row>
    <row r="158" spans="4:10" ht="15.75">
      <c r="D158" s="37">
        <f t="shared" si="13"/>
        <v>137</v>
      </c>
      <c r="E158" s="39"/>
      <c r="F158" s="42"/>
      <c r="G158" s="42"/>
      <c r="H158" s="29"/>
      <c r="I158" s="193">
        <f t="array" ref="I158">IF(NOT(ISERROR(MATCH(2,1/(('AllowedShip Class Time Charters'!$D$3:$D$16='Ship Time Charter Rates'!F158)*('AllowedShip Class Time Charters'!$E$3:$E$16='Ship Time Charter Rates'!G158))))),0,"Vessel class and Index Choosen don’t match!")</f>
        <v>0</v>
      </c>
      <c r="J158" s="36" t="s">
        <v>39</v>
      </c>
    </row>
    <row r="159" spans="4:10" ht="15.75">
      <c r="D159" s="37">
        <f t="shared" si="13"/>
        <v>138</v>
      </c>
      <c r="E159" s="39"/>
      <c r="F159" s="42"/>
      <c r="G159" s="42"/>
      <c r="H159" s="29"/>
      <c r="I159" s="193">
        <f t="array" ref="I159">IF(NOT(ISERROR(MATCH(2,1/(('AllowedShip Class Time Charters'!$D$3:$D$16='Ship Time Charter Rates'!F159)*('AllowedShip Class Time Charters'!$E$3:$E$16='Ship Time Charter Rates'!G159))))),0,"Vessel class and Index Choosen don’t match!")</f>
        <v>0</v>
      </c>
      <c r="J159" s="36" t="s">
        <v>39</v>
      </c>
    </row>
    <row r="160" spans="4:10" ht="15.75">
      <c r="D160" s="37">
        <f t="shared" si="13"/>
        <v>139</v>
      </c>
      <c r="E160" s="39"/>
      <c r="F160" s="42"/>
      <c r="G160" s="42"/>
      <c r="H160" s="29"/>
      <c r="I160" s="193">
        <f t="array" ref="I160">IF(NOT(ISERROR(MATCH(2,1/(('AllowedShip Class Time Charters'!$D$3:$D$16='Ship Time Charter Rates'!F160)*('AllowedShip Class Time Charters'!$E$3:$E$16='Ship Time Charter Rates'!G160))))),0,"Vessel class and Index Choosen don’t match!")</f>
        <v>0</v>
      </c>
      <c r="J160" s="36" t="s">
        <v>39</v>
      </c>
    </row>
    <row r="161" spans="4:10" ht="15.75">
      <c r="D161" s="37">
        <f t="shared" si="13"/>
        <v>140</v>
      </c>
      <c r="E161" s="39"/>
      <c r="F161" s="42"/>
      <c r="G161" s="42"/>
      <c r="H161" s="29"/>
      <c r="I161" s="193">
        <f t="array" ref="I161">IF(NOT(ISERROR(MATCH(2,1/(('AllowedShip Class Time Charters'!$D$3:$D$16='Ship Time Charter Rates'!F161)*('AllowedShip Class Time Charters'!$E$3:$E$16='Ship Time Charter Rates'!G161))))),0,"Vessel class and Index Choosen don’t match!")</f>
        <v>0</v>
      </c>
      <c r="J161" s="36" t="s">
        <v>39</v>
      </c>
    </row>
    <row r="162" spans="4:10" ht="15.75">
      <c r="D162" s="37">
        <f>D161+1</f>
        <v>141</v>
      </c>
      <c r="E162" s="39"/>
      <c r="F162" s="42"/>
      <c r="G162" s="42"/>
      <c r="H162" s="29"/>
      <c r="I162" s="193">
        <f t="array" ref="I162">IF(NOT(ISERROR(MATCH(2,1/(('AllowedShip Class Time Charters'!$D$3:$D$16='Ship Time Charter Rates'!F162)*('AllowedShip Class Time Charters'!$E$3:$E$16='Ship Time Charter Rates'!G162))))),0,"Vessel class and Index Choosen don’t match!")</f>
        <v>0</v>
      </c>
      <c r="J162" s="36" t="s">
        <v>39</v>
      </c>
    </row>
    <row r="163" spans="4:10" ht="15.75">
      <c r="D163" s="37">
        <f t="shared" ref="D163:D171" si="14">D162+1</f>
        <v>142</v>
      </c>
      <c r="E163" s="39"/>
      <c r="F163" s="42"/>
      <c r="G163" s="42"/>
      <c r="H163" s="29"/>
      <c r="I163" s="193">
        <f t="array" ref="I163">IF(NOT(ISERROR(MATCH(2,1/(('AllowedShip Class Time Charters'!$D$3:$D$16='Ship Time Charter Rates'!F163)*('AllowedShip Class Time Charters'!$E$3:$E$16='Ship Time Charter Rates'!G163))))),0,"Vessel class and Index Choosen don’t match!")</f>
        <v>0</v>
      </c>
      <c r="J163" s="36" t="s">
        <v>39</v>
      </c>
    </row>
    <row r="164" spans="4:10" ht="15.75">
      <c r="D164" s="37">
        <f t="shared" si="14"/>
        <v>143</v>
      </c>
      <c r="E164" s="39"/>
      <c r="F164" s="42"/>
      <c r="G164" s="42"/>
      <c r="H164" s="29"/>
      <c r="I164" s="193">
        <f t="array" ref="I164">IF(NOT(ISERROR(MATCH(2,1/(('AllowedShip Class Time Charters'!$D$3:$D$16='Ship Time Charter Rates'!F164)*('AllowedShip Class Time Charters'!$E$3:$E$16='Ship Time Charter Rates'!G164))))),0,"Vessel class and Index Choosen don’t match!")</f>
        <v>0</v>
      </c>
      <c r="J164" s="36" t="s">
        <v>39</v>
      </c>
    </row>
    <row r="165" spans="4:10" ht="15.75">
      <c r="D165" s="37">
        <f t="shared" si="14"/>
        <v>144</v>
      </c>
      <c r="E165" s="39"/>
      <c r="F165" s="42"/>
      <c r="G165" s="42"/>
      <c r="H165" s="29"/>
      <c r="I165" s="193">
        <f t="array" ref="I165">IF(NOT(ISERROR(MATCH(2,1/(('AllowedShip Class Time Charters'!$D$3:$D$16='Ship Time Charter Rates'!F165)*('AllowedShip Class Time Charters'!$E$3:$E$16='Ship Time Charter Rates'!G165))))),0,"Vessel class and Index Choosen don’t match!")</f>
        <v>0</v>
      </c>
      <c r="J165" s="36" t="s">
        <v>39</v>
      </c>
    </row>
    <row r="166" spans="4:10" ht="15.75">
      <c r="D166" s="37">
        <f t="shared" si="14"/>
        <v>145</v>
      </c>
      <c r="E166" s="39"/>
      <c r="F166" s="42"/>
      <c r="G166" s="42"/>
      <c r="H166" s="29"/>
      <c r="I166" s="193">
        <f t="array" ref="I166">IF(NOT(ISERROR(MATCH(2,1/(('AllowedShip Class Time Charters'!$D$3:$D$16='Ship Time Charter Rates'!F166)*('AllowedShip Class Time Charters'!$E$3:$E$16='Ship Time Charter Rates'!G166))))),0,"Vessel class and Index Choosen don’t match!")</f>
        <v>0</v>
      </c>
      <c r="J166" s="36" t="s">
        <v>39</v>
      </c>
    </row>
    <row r="167" spans="4:10" ht="15.75">
      <c r="D167" s="37">
        <f t="shared" si="14"/>
        <v>146</v>
      </c>
      <c r="E167" s="39"/>
      <c r="F167" s="42"/>
      <c r="G167" s="42"/>
      <c r="H167" s="29"/>
      <c r="I167" s="193">
        <f t="array" ref="I167">IF(NOT(ISERROR(MATCH(2,1/(('AllowedShip Class Time Charters'!$D$3:$D$16='Ship Time Charter Rates'!F167)*('AllowedShip Class Time Charters'!$E$3:$E$16='Ship Time Charter Rates'!G167))))),0,"Vessel class and Index Choosen don’t match!")</f>
        <v>0</v>
      </c>
      <c r="J167" s="36" t="s">
        <v>39</v>
      </c>
    </row>
    <row r="168" spans="4:10" ht="15.75">
      <c r="D168" s="37">
        <f t="shared" si="14"/>
        <v>147</v>
      </c>
      <c r="E168" s="39"/>
      <c r="F168" s="42"/>
      <c r="G168" s="42"/>
      <c r="H168" s="29"/>
      <c r="I168" s="193">
        <f t="array" ref="I168">IF(NOT(ISERROR(MATCH(2,1/(('AllowedShip Class Time Charters'!$D$3:$D$16='Ship Time Charter Rates'!F168)*('AllowedShip Class Time Charters'!$E$3:$E$16='Ship Time Charter Rates'!G168))))),0,"Vessel class and Index Choosen don’t match!")</f>
        <v>0</v>
      </c>
      <c r="J168" s="36" t="s">
        <v>39</v>
      </c>
    </row>
    <row r="169" spans="4:10" ht="15.75">
      <c r="D169" s="37">
        <f t="shared" si="14"/>
        <v>148</v>
      </c>
      <c r="E169" s="39"/>
      <c r="F169" s="42"/>
      <c r="G169" s="42"/>
      <c r="H169" s="29"/>
      <c r="I169" s="193">
        <f t="array" ref="I169">IF(NOT(ISERROR(MATCH(2,1/(('AllowedShip Class Time Charters'!$D$3:$D$16='Ship Time Charter Rates'!F169)*('AllowedShip Class Time Charters'!$E$3:$E$16='Ship Time Charter Rates'!G169))))),0,"Vessel class and Index Choosen don’t match!")</f>
        <v>0</v>
      </c>
      <c r="J169" s="36" t="s">
        <v>39</v>
      </c>
    </row>
    <row r="170" spans="4:10" ht="15.75">
      <c r="D170" s="37">
        <f t="shared" si="14"/>
        <v>149</v>
      </c>
      <c r="E170" s="39"/>
      <c r="F170" s="42"/>
      <c r="G170" s="42"/>
      <c r="H170" s="29"/>
      <c r="I170" s="193">
        <f t="array" ref="I170">IF(NOT(ISERROR(MATCH(2,1/(('AllowedShip Class Time Charters'!$D$3:$D$16='Ship Time Charter Rates'!F170)*('AllowedShip Class Time Charters'!$E$3:$E$16='Ship Time Charter Rates'!G170))))),0,"Vessel class and Index Choosen don’t match!")</f>
        <v>0</v>
      </c>
      <c r="J170" s="36" t="s">
        <v>39</v>
      </c>
    </row>
    <row r="171" spans="4:10" ht="15.75">
      <c r="D171" s="37">
        <f t="shared" si="14"/>
        <v>150</v>
      </c>
      <c r="E171" s="39"/>
      <c r="F171" s="42"/>
      <c r="G171" s="42"/>
      <c r="H171" s="29"/>
      <c r="I171" s="193">
        <f t="array" ref="I171">IF(NOT(ISERROR(MATCH(2,1/(('AllowedShip Class Time Charters'!$D$3:$D$16='Ship Time Charter Rates'!F171)*('AllowedShip Class Time Charters'!$E$3:$E$16='Ship Time Charter Rates'!G171))))),0,"Vessel class and Index Choosen don’t match!")</f>
        <v>0</v>
      </c>
      <c r="J171" s="36" t="s">
        <v>39</v>
      </c>
    </row>
    <row r="172" spans="4:10" ht="15.75">
      <c r="D172" s="37">
        <f>D171+1</f>
        <v>151</v>
      </c>
      <c r="E172" s="39"/>
      <c r="F172" s="42"/>
      <c r="G172" s="42"/>
      <c r="H172" s="29"/>
      <c r="I172" s="193">
        <f t="array" ref="I172">IF(NOT(ISERROR(MATCH(2,1/(('AllowedShip Class Time Charters'!$D$3:$D$16='Ship Time Charter Rates'!F172)*('AllowedShip Class Time Charters'!$E$3:$E$16='Ship Time Charter Rates'!G172))))),0,"Vessel class and Index Choosen don’t match!")</f>
        <v>0</v>
      </c>
      <c r="J172" s="36" t="s">
        <v>39</v>
      </c>
    </row>
    <row r="173" spans="4:10" ht="15.75">
      <c r="D173" s="37">
        <f t="shared" ref="D173:D181" si="15">D172+1</f>
        <v>152</v>
      </c>
      <c r="E173" s="39"/>
      <c r="F173" s="42"/>
      <c r="G173" s="42"/>
      <c r="H173" s="29"/>
      <c r="I173" s="193">
        <f t="array" ref="I173">IF(NOT(ISERROR(MATCH(2,1/(('AllowedShip Class Time Charters'!$D$3:$D$16='Ship Time Charter Rates'!F173)*('AllowedShip Class Time Charters'!$E$3:$E$16='Ship Time Charter Rates'!G173))))),0,"Vessel class and Index Choosen don’t match!")</f>
        <v>0</v>
      </c>
      <c r="J173" s="36" t="s">
        <v>39</v>
      </c>
    </row>
    <row r="174" spans="4:10" ht="15.75">
      <c r="D174" s="37">
        <f t="shared" si="15"/>
        <v>153</v>
      </c>
      <c r="E174" s="39"/>
      <c r="F174" s="42"/>
      <c r="G174" s="42"/>
      <c r="H174" s="29"/>
      <c r="I174" s="193">
        <f t="array" ref="I174">IF(NOT(ISERROR(MATCH(2,1/(('AllowedShip Class Time Charters'!$D$3:$D$16='Ship Time Charter Rates'!F174)*('AllowedShip Class Time Charters'!$E$3:$E$16='Ship Time Charter Rates'!G174))))),0,"Vessel class and Index Choosen don’t match!")</f>
        <v>0</v>
      </c>
      <c r="J174" s="36" t="s">
        <v>39</v>
      </c>
    </row>
    <row r="175" spans="4:10" ht="15.75">
      <c r="D175" s="37">
        <f t="shared" si="15"/>
        <v>154</v>
      </c>
      <c r="E175" s="39"/>
      <c r="F175" s="42"/>
      <c r="G175" s="42"/>
      <c r="H175" s="29"/>
      <c r="I175" s="193">
        <f t="array" ref="I175">IF(NOT(ISERROR(MATCH(2,1/(('AllowedShip Class Time Charters'!$D$3:$D$16='Ship Time Charter Rates'!F175)*('AllowedShip Class Time Charters'!$E$3:$E$16='Ship Time Charter Rates'!G175))))),0,"Vessel class and Index Choosen don’t match!")</f>
        <v>0</v>
      </c>
      <c r="J175" s="36" t="s">
        <v>39</v>
      </c>
    </row>
    <row r="176" spans="4:10" ht="15.75">
      <c r="D176" s="37">
        <f t="shared" si="15"/>
        <v>155</v>
      </c>
      <c r="E176" s="39"/>
      <c r="F176" s="42"/>
      <c r="G176" s="42"/>
      <c r="H176" s="29"/>
      <c r="I176" s="193">
        <f t="array" ref="I176">IF(NOT(ISERROR(MATCH(2,1/(('AllowedShip Class Time Charters'!$D$3:$D$16='Ship Time Charter Rates'!F176)*('AllowedShip Class Time Charters'!$E$3:$E$16='Ship Time Charter Rates'!G176))))),0,"Vessel class and Index Choosen don’t match!")</f>
        <v>0</v>
      </c>
      <c r="J176" s="36" t="s">
        <v>39</v>
      </c>
    </row>
    <row r="177" spans="4:10" ht="15.75">
      <c r="D177" s="37">
        <f t="shared" si="15"/>
        <v>156</v>
      </c>
      <c r="E177" s="39"/>
      <c r="F177" s="42"/>
      <c r="G177" s="42"/>
      <c r="H177" s="29"/>
      <c r="I177" s="193">
        <f t="array" ref="I177">IF(NOT(ISERROR(MATCH(2,1/(('AllowedShip Class Time Charters'!$D$3:$D$16='Ship Time Charter Rates'!F177)*('AllowedShip Class Time Charters'!$E$3:$E$16='Ship Time Charter Rates'!G177))))),0,"Vessel class and Index Choosen don’t match!")</f>
        <v>0</v>
      </c>
      <c r="J177" s="36" t="s">
        <v>39</v>
      </c>
    </row>
    <row r="178" spans="4:10" ht="15.75">
      <c r="D178" s="37">
        <f t="shared" si="15"/>
        <v>157</v>
      </c>
      <c r="E178" s="39"/>
      <c r="F178" s="42"/>
      <c r="G178" s="42"/>
      <c r="H178" s="29"/>
      <c r="I178" s="193">
        <f t="array" ref="I178">IF(NOT(ISERROR(MATCH(2,1/(('AllowedShip Class Time Charters'!$D$3:$D$16='Ship Time Charter Rates'!F178)*('AllowedShip Class Time Charters'!$E$3:$E$16='Ship Time Charter Rates'!G178))))),0,"Vessel class and Index Choosen don’t match!")</f>
        <v>0</v>
      </c>
      <c r="J178" s="36" t="s">
        <v>39</v>
      </c>
    </row>
    <row r="179" spans="4:10" ht="15.75">
      <c r="D179" s="37">
        <f t="shared" si="15"/>
        <v>158</v>
      </c>
      <c r="E179" s="39"/>
      <c r="F179" s="42"/>
      <c r="G179" s="42"/>
      <c r="H179" s="29"/>
      <c r="I179" s="193">
        <f t="array" ref="I179">IF(NOT(ISERROR(MATCH(2,1/(('AllowedShip Class Time Charters'!$D$3:$D$16='Ship Time Charter Rates'!F179)*('AllowedShip Class Time Charters'!$E$3:$E$16='Ship Time Charter Rates'!G179))))),0,"Vessel class and Index Choosen don’t match!")</f>
        <v>0</v>
      </c>
      <c r="J179" s="36" t="s">
        <v>39</v>
      </c>
    </row>
    <row r="180" spans="4:10" ht="15.75">
      <c r="D180" s="37">
        <f t="shared" si="15"/>
        <v>159</v>
      </c>
      <c r="E180" s="39"/>
      <c r="F180" s="42"/>
      <c r="G180" s="42"/>
      <c r="H180" s="29"/>
      <c r="I180" s="193">
        <f t="array" ref="I180">IF(NOT(ISERROR(MATCH(2,1/(('AllowedShip Class Time Charters'!$D$3:$D$16='Ship Time Charter Rates'!F180)*('AllowedShip Class Time Charters'!$E$3:$E$16='Ship Time Charter Rates'!G180))))),0,"Vessel class and Index Choosen don’t match!")</f>
        <v>0</v>
      </c>
      <c r="J180" s="36" t="s">
        <v>39</v>
      </c>
    </row>
    <row r="181" spans="4:10" ht="15.75">
      <c r="D181" s="37">
        <f t="shared" si="15"/>
        <v>160</v>
      </c>
      <c r="E181" s="39"/>
      <c r="F181" s="42"/>
      <c r="G181" s="42"/>
      <c r="H181" s="29"/>
      <c r="I181" s="193">
        <f t="array" ref="I181">IF(NOT(ISERROR(MATCH(2,1/(('AllowedShip Class Time Charters'!$D$3:$D$16='Ship Time Charter Rates'!F181)*('AllowedShip Class Time Charters'!$E$3:$E$16='Ship Time Charter Rates'!G181))))),0,"Vessel class and Index Choosen don’t match!")</f>
        <v>0</v>
      </c>
      <c r="J181" s="36" t="s">
        <v>39</v>
      </c>
    </row>
    <row r="182" spans="4:10" ht="15.75">
      <c r="D182" s="37">
        <f>D181+1</f>
        <v>161</v>
      </c>
      <c r="E182" s="39"/>
      <c r="F182" s="42"/>
      <c r="G182" s="42"/>
      <c r="H182" s="29"/>
      <c r="I182" s="193">
        <f t="array" ref="I182">IF(NOT(ISERROR(MATCH(2,1/(('AllowedShip Class Time Charters'!$D$3:$D$16='Ship Time Charter Rates'!F182)*('AllowedShip Class Time Charters'!$E$3:$E$16='Ship Time Charter Rates'!G182))))),0,"Vessel class and Index Choosen don’t match!")</f>
        <v>0</v>
      </c>
      <c r="J182" s="36" t="s">
        <v>39</v>
      </c>
    </row>
    <row r="183" spans="4:10" ht="15.75">
      <c r="D183" s="37">
        <f t="shared" ref="D183:D191" si="16">D182+1</f>
        <v>162</v>
      </c>
      <c r="E183" s="39"/>
      <c r="F183" s="42"/>
      <c r="G183" s="42"/>
      <c r="H183" s="29"/>
      <c r="I183" s="193">
        <f t="array" ref="I183">IF(NOT(ISERROR(MATCH(2,1/(('AllowedShip Class Time Charters'!$D$3:$D$16='Ship Time Charter Rates'!F183)*('AllowedShip Class Time Charters'!$E$3:$E$16='Ship Time Charter Rates'!G183))))),0,"Vessel class and Index Choosen don’t match!")</f>
        <v>0</v>
      </c>
      <c r="J183" s="36" t="s">
        <v>39</v>
      </c>
    </row>
    <row r="184" spans="4:10" ht="15.75">
      <c r="D184" s="37">
        <f t="shared" si="16"/>
        <v>163</v>
      </c>
      <c r="E184" s="39"/>
      <c r="F184" s="42"/>
      <c r="G184" s="42"/>
      <c r="H184" s="29"/>
      <c r="I184" s="193">
        <f t="array" ref="I184">IF(NOT(ISERROR(MATCH(2,1/(('AllowedShip Class Time Charters'!$D$3:$D$16='Ship Time Charter Rates'!F184)*('AllowedShip Class Time Charters'!$E$3:$E$16='Ship Time Charter Rates'!G184))))),0,"Vessel class and Index Choosen don’t match!")</f>
        <v>0</v>
      </c>
      <c r="J184" s="36" t="s">
        <v>39</v>
      </c>
    </row>
    <row r="185" spans="4:10" ht="15.75">
      <c r="D185" s="37">
        <f t="shared" si="16"/>
        <v>164</v>
      </c>
      <c r="E185" s="39"/>
      <c r="F185" s="42"/>
      <c r="G185" s="42"/>
      <c r="H185" s="29"/>
      <c r="I185" s="193">
        <f t="array" ref="I185">IF(NOT(ISERROR(MATCH(2,1/(('AllowedShip Class Time Charters'!$D$3:$D$16='Ship Time Charter Rates'!F185)*('AllowedShip Class Time Charters'!$E$3:$E$16='Ship Time Charter Rates'!G185))))),0,"Vessel class and Index Choosen don’t match!")</f>
        <v>0</v>
      </c>
      <c r="J185" s="36" t="s">
        <v>39</v>
      </c>
    </row>
    <row r="186" spans="4:10" ht="15.75">
      <c r="D186" s="37">
        <f t="shared" si="16"/>
        <v>165</v>
      </c>
      <c r="E186" s="39"/>
      <c r="F186" s="42"/>
      <c r="G186" s="42"/>
      <c r="H186" s="29"/>
      <c r="I186" s="193">
        <f t="array" ref="I186">IF(NOT(ISERROR(MATCH(2,1/(('AllowedShip Class Time Charters'!$D$3:$D$16='Ship Time Charter Rates'!F186)*('AllowedShip Class Time Charters'!$E$3:$E$16='Ship Time Charter Rates'!G186))))),0,"Vessel class and Index Choosen don’t match!")</f>
        <v>0</v>
      </c>
      <c r="J186" s="36" t="s">
        <v>39</v>
      </c>
    </row>
    <row r="187" spans="4:10" ht="15.75">
      <c r="D187" s="37">
        <f t="shared" si="16"/>
        <v>166</v>
      </c>
      <c r="E187" s="39"/>
      <c r="F187" s="42"/>
      <c r="G187" s="42"/>
      <c r="H187" s="29"/>
      <c r="I187" s="193">
        <f t="array" ref="I187">IF(NOT(ISERROR(MATCH(2,1/(('AllowedShip Class Time Charters'!$D$3:$D$16='Ship Time Charter Rates'!F187)*('AllowedShip Class Time Charters'!$E$3:$E$16='Ship Time Charter Rates'!G187))))),0,"Vessel class and Index Choosen don’t match!")</f>
        <v>0</v>
      </c>
      <c r="J187" s="36" t="s">
        <v>39</v>
      </c>
    </row>
    <row r="188" spans="4:10" ht="15.75">
      <c r="D188" s="37">
        <f t="shared" si="16"/>
        <v>167</v>
      </c>
      <c r="E188" s="39"/>
      <c r="F188" s="42"/>
      <c r="G188" s="42"/>
      <c r="H188" s="29"/>
      <c r="I188" s="193">
        <f t="array" ref="I188">IF(NOT(ISERROR(MATCH(2,1/(('AllowedShip Class Time Charters'!$D$3:$D$16='Ship Time Charter Rates'!F188)*('AllowedShip Class Time Charters'!$E$3:$E$16='Ship Time Charter Rates'!G188))))),0,"Vessel class and Index Choosen don’t match!")</f>
        <v>0</v>
      </c>
      <c r="J188" s="36" t="s">
        <v>39</v>
      </c>
    </row>
    <row r="189" spans="4:10" ht="15.75">
      <c r="D189" s="37">
        <f t="shared" si="16"/>
        <v>168</v>
      </c>
      <c r="E189" s="39"/>
      <c r="F189" s="42"/>
      <c r="G189" s="42"/>
      <c r="H189" s="29"/>
      <c r="I189" s="193">
        <f t="array" ref="I189">IF(NOT(ISERROR(MATCH(2,1/(('AllowedShip Class Time Charters'!$D$3:$D$16='Ship Time Charter Rates'!F189)*('AllowedShip Class Time Charters'!$E$3:$E$16='Ship Time Charter Rates'!G189))))),0,"Vessel class and Index Choosen don’t match!")</f>
        <v>0</v>
      </c>
      <c r="J189" s="36" t="s">
        <v>39</v>
      </c>
    </row>
    <row r="190" spans="4:10" ht="15.75">
      <c r="D190" s="37">
        <f t="shared" si="16"/>
        <v>169</v>
      </c>
      <c r="E190" s="39"/>
      <c r="F190" s="42"/>
      <c r="G190" s="42"/>
      <c r="H190" s="29"/>
      <c r="I190" s="193">
        <f t="array" ref="I190">IF(NOT(ISERROR(MATCH(2,1/(('AllowedShip Class Time Charters'!$D$3:$D$16='Ship Time Charter Rates'!F190)*('AllowedShip Class Time Charters'!$E$3:$E$16='Ship Time Charter Rates'!G190))))),0,"Vessel class and Index Choosen don’t match!")</f>
        <v>0</v>
      </c>
      <c r="J190" s="36" t="s">
        <v>39</v>
      </c>
    </row>
    <row r="191" spans="4:10" ht="15.75">
      <c r="D191" s="37">
        <f t="shared" si="16"/>
        <v>170</v>
      </c>
      <c r="E191" s="39"/>
      <c r="F191" s="42"/>
      <c r="G191" s="42"/>
      <c r="H191" s="29"/>
      <c r="I191" s="193">
        <f t="array" ref="I191">IF(NOT(ISERROR(MATCH(2,1/(('AllowedShip Class Time Charters'!$D$3:$D$16='Ship Time Charter Rates'!F191)*('AllowedShip Class Time Charters'!$E$3:$E$16='Ship Time Charter Rates'!G191))))),0,"Vessel class and Index Choosen don’t match!")</f>
        <v>0</v>
      </c>
      <c r="J191" s="36" t="s">
        <v>39</v>
      </c>
    </row>
    <row r="192" spans="4:10" ht="15.75">
      <c r="D192" s="37">
        <f>D191+1</f>
        <v>171</v>
      </c>
      <c r="E192" s="39"/>
      <c r="F192" s="42"/>
      <c r="G192" s="42"/>
      <c r="H192" s="29"/>
      <c r="I192" s="193">
        <f t="array" ref="I192">IF(NOT(ISERROR(MATCH(2,1/(('AllowedShip Class Time Charters'!$D$3:$D$16='Ship Time Charter Rates'!F192)*('AllowedShip Class Time Charters'!$E$3:$E$16='Ship Time Charter Rates'!G192))))),0,"Vessel class and Index Choosen don’t match!")</f>
        <v>0</v>
      </c>
      <c r="J192" s="36" t="s">
        <v>39</v>
      </c>
    </row>
    <row r="193" spans="4:10" ht="15.75">
      <c r="D193" s="37">
        <f t="shared" ref="D193:D201" si="17">D192+1</f>
        <v>172</v>
      </c>
      <c r="E193" s="39"/>
      <c r="F193" s="42"/>
      <c r="G193" s="42"/>
      <c r="H193" s="29"/>
      <c r="I193" s="193">
        <f t="array" ref="I193">IF(NOT(ISERROR(MATCH(2,1/(('AllowedShip Class Time Charters'!$D$3:$D$16='Ship Time Charter Rates'!F193)*('AllowedShip Class Time Charters'!$E$3:$E$16='Ship Time Charter Rates'!G193))))),0,"Vessel class and Index Choosen don’t match!")</f>
        <v>0</v>
      </c>
      <c r="J193" s="36" t="s">
        <v>39</v>
      </c>
    </row>
    <row r="194" spans="4:10" ht="15.75">
      <c r="D194" s="37">
        <f t="shared" si="17"/>
        <v>173</v>
      </c>
      <c r="E194" s="39"/>
      <c r="F194" s="42"/>
      <c r="G194" s="42"/>
      <c r="H194" s="29"/>
      <c r="I194" s="193">
        <f t="array" ref="I194">IF(NOT(ISERROR(MATCH(2,1/(('AllowedShip Class Time Charters'!$D$3:$D$16='Ship Time Charter Rates'!F194)*('AllowedShip Class Time Charters'!$E$3:$E$16='Ship Time Charter Rates'!G194))))),0,"Vessel class and Index Choosen don’t match!")</f>
        <v>0</v>
      </c>
      <c r="J194" s="36" t="s">
        <v>39</v>
      </c>
    </row>
    <row r="195" spans="4:10" ht="15.75">
      <c r="D195" s="37">
        <f t="shared" si="17"/>
        <v>174</v>
      </c>
      <c r="E195" s="39"/>
      <c r="F195" s="42"/>
      <c r="G195" s="42"/>
      <c r="H195" s="29"/>
      <c r="I195" s="193">
        <f t="array" ref="I195">IF(NOT(ISERROR(MATCH(2,1/(('AllowedShip Class Time Charters'!$D$3:$D$16='Ship Time Charter Rates'!F195)*('AllowedShip Class Time Charters'!$E$3:$E$16='Ship Time Charter Rates'!G195))))),0,"Vessel class and Index Choosen don’t match!")</f>
        <v>0</v>
      </c>
      <c r="J195" s="36" t="s">
        <v>39</v>
      </c>
    </row>
    <row r="196" spans="4:10" ht="15.75">
      <c r="D196" s="37">
        <f t="shared" si="17"/>
        <v>175</v>
      </c>
      <c r="E196" s="39"/>
      <c r="F196" s="42"/>
      <c r="G196" s="42"/>
      <c r="H196" s="29"/>
      <c r="I196" s="193">
        <f t="array" ref="I196">IF(NOT(ISERROR(MATCH(2,1/(('AllowedShip Class Time Charters'!$D$3:$D$16='Ship Time Charter Rates'!F196)*('AllowedShip Class Time Charters'!$E$3:$E$16='Ship Time Charter Rates'!G196))))),0,"Vessel class and Index Choosen don’t match!")</f>
        <v>0</v>
      </c>
      <c r="J196" s="36" t="s">
        <v>39</v>
      </c>
    </row>
    <row r="197" spans="4:10" ht="15.75">
      <c r="D197" s="37">
        <f t="shared" si="17"/>
        <v>176</v>
      </c>
      <c r="E197" s="39"/>
      <c r="F197" s="42"/>
      <c r="G197" s="42"/>
      <c r="H197" s="29"/>
      <c r="I197" s="193">
        <f t="array" ref="I197">IF(NOT(ISERROR(MATCH(2,1/(('AllowedShip Class Time Charters'!$D$3:$D$16='Ship Time Charter Rates'!F197)*('AllowedShip Class Time Charters'!$E$3:$E$16='Ship Time Charter Rates'!G197))))),0,"Vessel class and Index Choosen don’t match!")</f>
        <v>0</v>
      </c>
      <c r="J197" s="36" t="s">
        <v>39</v>
      </c>
    </row>
    <row r="198" spans="4:10" ht="15.75">
      <c r="D198" s="37">
        <f t="shared" si="17"/>
        <v>177</v>
      </c>
      <c r="E198" s="39"/>
      <c r="F198" s="42"/>
      <c r="G198" s="42"/>
      <c r="H198" s="29"/>
      <c r="I198" s="193">
        <f t="array" ref="I198">IF(NOT(ISERROR(MATCH(2,1/(('AllowedShip Class Time Charters'!$D$3:$D$16='Ship Time Charter Rates'!F198)*('AllowedShip Class Time Charters'!$E$3:$E$16='Ship Time Charter Rates'!G198))))),0,"Vessel class and Index Choosen don’t match!")</f>
        <v>0</v>
      </c>
      <c r="J198" s="36" t="s">
        <v>39</v>
      </c>
    </row>
    <row r="199" spans="4:10" ht="15.75">
      <c r="D199" s="37">
        <f t="shared" si="17"/>
        <v>178</v>
      </c>
      <c r="E199" s="39"/>
      <c r="F199" s="42"/>
      <c r="G199" s="42"/>
      <c r="H199" s="29"/>
      <c r="I199" s="193">
        <f t="array" ref="I199">IF(NOT(ISERROR(MATCH(2,1/(('AllowedShip Class Time Charters'!$D$3:$D$16='Ship Time Charter Rates'!F199)*('AllowedShip Class Time Charters'!$E$3:$E$16='Ship Time Charter Rates'!G199))))),0,"Vessel class and Index Choosen don’t match!")</f>
        <v>0</v>
      </c>
      <c r="J199" s="36" t="s">
        <v>39</v>
      </c>
    </row>
    <row r="200" spans="4:10" ht="15.75">
      <c r="D200" s="37">
        <f t="shared" si="17"/>
        <v>179</v>
      </c>
      <c r="E200" s="39"/>
      <c r="F200" s="42"/>
      <c r="G200" s="42"/>
      <c r="H200" s="29"/>
      <c r="I200" s="193">
        <f t="array" ref="I200">IF(NOT(ISERROR(MATCH(2,1/(('AllowedShip Class Time Charters'!$D$3:$D$16='Ship Time Charter Rates'!F200)*('AllowedShip Class Time Charters'!$E$3:$E$16='Ship Time Charter Rates'!G200))))),0,"Vessel class and Index Choosen don’t match!")</f>
        <v>0</v>
      </c>
      <c r="J200" s="36" t="s">
        <v>39</v>
      </c>
    </row>
    <row r="201" spans="4:10" ht="15.75">
      <c r="D201" s="37">
        <f t="shared" si="17"/>
        <v>180</v>
      </c>
      <c r="E201" s="39"/>
      <c r="F201" s="42"/>
      <c r="G201" s="42"/>
      <c r="H201" s="29"/>
      <c r="I201" s="193">
        <f t="array" ref="I201">IF(NOT(ISERROR(MATCH(2,1/(('AllowedShip Class Time Charters'!$D$3:$D$16='Ship Time Charter Rates'!F201)*('AllowedShip Class Time Charters'!$E$3:$E$16='Ship Time Charter Rates'!G201))))),0,"Vessel class and Index Choosen don’t match!")</f>
        <v>0</v>
      </c>
      <c r="J201" s="36" t="s">
        <v>39</v>
      </c>
    </row>
    <row r="202" spans="4:10" ht="15.75">
      <c r="D202" s="37">
        <f>D201+1</f>
        <v>181</v>
      </c>
      <c r="E202" s="39"/>
      <c r="F202" s="42"/>
      <c r="G202" s="42"/>
      <c r="H202" s="29"/>
      <c r="I202" s="193">
        <f t="array" ref="I202">IF(NOT(ISERROR(MATCH(2,1/(('AllowedShip Class Time Charters'!$D$3:$D$16='Ship Time Charter Rates'!F202)*('AllowedShip Class Time Charters'!$E$3:$E$16='Ship Time Charter Rates'!G202))))),0,"Vessel class and Index Choosen don’t match!")</f>
        <v>0</v>
      </c>
      <c r="J202" s="36" t="s">
        <v>39</v>
      </c>
    </row>
    <row r="203" spans="4:10" ht="15.75">
      <c r="D203" s="37">
        <f t="shared" ref="D203:D211" si="18">D202+1</f>
        <v>182</v>
      </c>
      <c r="E203" s="39"/>
      <c r="F203" s="42"/>
      <c r="G203" s="42"/>
      <c r="H203" s="29"/>
      <c r="I203" s="193">
        <f t="array" ref="I203">IF(NOT(ISERROR(MATCH(2,1/(('AllowedShip Class Time Charters'!$D$3:$D$16='Ship Time Charter Rates'!F203)*('AllowedShip Class Time Charters'!$E$3:$E$16='Ship Time Charter Rates'!G203))))),0,"Vessel class and Index Choosen don’t match!")</f>
        <v>0</v>
      </c>
      <c r="J203" s="36" t="s">
        <v>39</v>
      </c>
    </row>
    <row r="204" spans="4:10" ht="15.75">
      <c r="D204" s="37">
        <f t="shared" si="18"/>
        <v>183</v>
      </c>
      <c r="E204" s="39"/>
      <c r="F204" s="42"/>
      <c r="G204" s="42"/>
      <c r="H204" s="29"/>
      <c r="I204" s="193">
        <f t="array" ref="I204">IF(NOT(ISERROR(MATCH(2,1/(('AllowedShip Class Time Charters'!$D$3:$D$16='Ship Time Charter Rates'!F204)*('AllowedShip Class Time Charters'!$E$3:$E$16='Ship Time Charter Rates'!G204))))),0,"Vessel class and Index Choosen don’t match!")</f>
        <v>0</v>
      </c>
      <c r="J204" s="36" t="s">
        <v>39</v>
      </c>
    </row>
    <row r="205" spans="4:10" ht="15.75">
      <c r="D205" s="37">
        <f t="shared" si="18"/>
        <v>184</v>
      </c>
      <c r="E205" s="39"/>
      <c r="F205" s="42"/>
      <c r="G205" s="42"/>
      <c r="H205" s="29"/>
      <c r="I205" s="193">
        <f t="array" ref="I205">IF(NOT(ISERROR(MATCH(2,1/(('AllowedShip Class Time Charters'!$D$3:$D$16='Ship Time Charter Rates'!F205)*('AllowedShip Class Time Charters'!$E$3:$E$16='Ship Time Charter Rates'!G205))))),0,"Vessel class and Index Choosen don’t match!")</f>
        <v>0</v>
      </c>
      <c r="J205" s="36" t="s">
        <v>39</v>
      </c>
    </row>
    <row r="206" spans="4:10" ht="15.75">
      <c r="D206" s="37">
        <f t="shared" si="18"/>
        <v>185</v>
      </c>
      <c r="E206" s="39"/>
      <c r="F206" s="42"/>
      <c r="G206" s="42"/>
      <c r="H206" s="29"/>
      <c r="I206" s="193">
        <f t="array" ref="I206">IF(NOT(ISERROR(MATCH(2,1/(('AllowedShip Class Time Charters'!$D$3:$D$16='Ship Time Charter Rates'!F206)*('AllowedShip Class Time Charters'!$E$3:$E$16='Ship Time Charter Rates'!G206))))),0,"Vessel class and Index Choosen don’t match!")</f>
        <v>0</v>
      </c>
      <c r="J206" s="36" t="s">
        <v>39</v>
      </c>
    </row>
    <row r="207" spans="4:10" ht="15.75">
      <c r="D207" s="37">
        <f t="shared" si="18"/>
        <v>186</v>
      </c>
      <c r="E207" s="39"/>
      <c r="F207" s="42"/>
      <c r="G207" s="42"/>
      <c r="H207" s="29"/>
      <c r="I207" s="193">
        <f t="array" ref="I207">IF(NOT(ISERROR(MATCH(2,1/(('AllowedShip Class Time Charters'!$D$3:$D$16='Ship Time Charter Rates'!F207)*('AllowedShip Class Time Charters'!$E$3:$E$16='Ship Time Charter Rates'!G207))))),0,"Vessel class and Index Choosen don’t match!")</f>
        <v>0</v>
      </c>
      <c r="J207" s="36" t="s">
        <v>39</v>
      </c>
    </row>
    <row r="208" spans="4:10" ht="15.75">
      <c r="D208" s="37">
        <f t="shared" si="18"/>
        <v>187</v>
      </c>
      <c r="E208" s="39"/>
      <c r="F208" s="42"/>
      <c r="G208" s="42"/>
      <c r="H208" s="29"/>
      <c r="I208" s="193">
        <f t="array" ref="I208">IF(NOT(ISERROR(MATCH(2,1/(('AllowedShip Class Time Charters'!$D$3:$D$16='Ship Time Charter Rates'!F208)*('AllowedShip Class Time Charters'!$E$3:$E$16='Ship Time Charter Rates'!G208))))),0,"Vessel class and Index Choosen don’t match!")</f>
        <v>0</v>
      </c>
      <c r="J208" s="36" t="s">
        <v>39</v>
      </c>
    </row>
    <row r="209" spans="4:10" ht="15.75">
      <c r="D209" s="37">
        <f t="shared" si="18"/>
        <v>188</v>
      </c>
      <c r="E209" s="39"/>
      <c r="F209" s="42"/>
      <c r="G209" s="42"/>
      <c r="H209" s="29"/>
      <c r="I209" s="193">
        <f t="array" ref="I209">IF(NOT(ISERROR(MATCH(2,1/(('AllowedShip Class Time Charters'!$D$3:$D$16='Ship Time Charter Rates'!F209)*('AllowedShip Class Time Charters'!$E$3:$E$16='Ship Time Charter Rates'!G209))))),0,"Vessel class and Index Choosen don’t match!")</f>
        <v>0</v>
      </c>
      <c r="J209" s="36" t="s">
        <v>39</v>
      </c>
    </row>
    <row r="210" spans="4:10" ht="15.75">
      <c r="D210" s="37">
        <f t="shared" si="18"/>
        <v>189</v>
      </c>
      <c r="E210" s="39"/>
      <c r="F210" s="42"/>
      <c r="G210" s="42"/>
      <c r="H210" s="29"/>
      <c r="I210" s="193">
        <f t="array" ref="I210">IF(NOT(ISERROR(MATCH(2,1/(('AllowedShip Class Time Charters'!$D$3:$D$16='Ship Time Charter Rates'!F210)*('AllowedShip Class Time Charters'!$E$3:$E$16='Ship Time Charter Rates'!G210))))),0,"Vessel class and Index Choosen don’t match!")</f>
        <v>0</v>
      </c>
      <c r="J210" s="36" t="s">
        <v>39</v>
      </c>
    </row>
    <row r="211" spans="4:10" ht="15.75">
      <c r="D211" s="37">
        <f t="shared" si="18"/>
        <v>190</v>
      </c>
      <c r="E211" s="39"/>
      <c r="F211" s="42"/>
      <c r="G211" s="42"/>
      <c r="H211" s="29"/>
      <c r="I211" s="193">
        <f t="array" ref="I211">IF(NOT(ISERROR(MATCH(2,1/(('AllowedShip Class Time Charters'!$D$3:$D$16='Ship Time Charter Rates'!F211)*('AllowedShip Class Time Charters'!$E$3:$E$16='Ship Time Charter Rates'!G211))))),0,"Vessel class and Index Choosen don’t match!")</f>
        <v>0</v>
      </c>
      <c r="J211" s="36" t="s">
        <v>39</v>
      </c>
    </row>
    <row r="212" spans="4:10" ht="15.75">
      <c r="D212" s="37">
        <f>D211+1</f>
        <v>191</v>
      </c>
      <c r="E212" s="39"/>
      <c r="F212" s="42"/>
      <c r="G212" s="42"/>
      <c r="H212" s="29"/>
      <c r="I212" s="193">
        <f t="array" ref="I212">IF(NOT(ISERROR(MATCH(2,1/(('AllowedShip Class Time Charters'!$D$3:$D$16='Ship Time Charter Rates'!F212)*('AllowedShip Class Time Charters'!$E$3:$E$16='Ship Time Charter Rates'!G212))))),0,"Vessel class and Index Choosen don’t match!")</f>
        <v>0</v>
      </c>
      <c r="J212" s="36" t="s">
        <v>39</v>
      </c>
    </row>
    <row r="213" spans="4:10" ht="15.75">
      <c r="D213" s="37">
        <f t="shared" ref="D213:D221" si="19">D212+1</f>
        <v>192</v>
      </c>
      <c r="E213" s="39"/>
      <c r="F213" s="42"/>
      <c r="G213" s="42"/>
      <c r="H213" s="29"/>
      <c r="I213" s="193">
        <f t="array" ref="I213">IF(NOT(ISERROR(MATCH(2,1/(('AllowedShip Class Time Charters'!$D$3:$D$16='Ship Time Charter Rates'!F213)*('AllowedShip Class Time Charters'!$E$3:$E$16='Ship Time Charter Rates'!G213))))),0,"Vessel class and Index Choosen don’t match!")</f>
        <v>0</v>
      </c>
      <c r="J213" s="36" t="s">
        <v>39</v>
      </c>
    </row>
    <row r="214" spans="4:10" ht="15.75">
      <c r="D214" s="37">
        <f t="shared" si="19"/>
        <v>193</v>
      </c>
      <c r="E214" s="39"/>
      <c r="F214" s="42"/>
      <c r="G214" s="42"/>
      <c r="H214" s="29"/>
      <c r="I214" s="193">
        <f t="array" ref="I214">IF(NOT(ISERROR(MATCH(2,1/(('AllowedShip Class Time Charters'!$D$3:$D$16='Ship Time Charter Rates'!F214)*('AllowedShip Class Time Charters'!$E$3:$E$16='Ship Time Charter Rates'!G214))))),0,"Vessel class and Index Choosen don’t match!")</f>
        <v>0</v>
      </c>
      <c r="J214" s="36" t="s">
        <v>39</v>
      </c>
    </row>
    <row r="215" spans="4:10" ht="15.75">
      <c r="D215" s="37">
        <f t="shared" si="19"/>
        <v>194</v>
      </c>
      <c r="E215" s="39"/>
      <c r="F215" s="42"/>
      <c r="G215" s="42"/>
      <c r="H215" s="29"/>
      <c r="I215" s="193">
        <f t="array" ref="I215">IF(NOT(ISERROR(MATCH(2,1/(('AllowedShip Class Time Charters'!$D$3:$D$16='Ship Time Charter Rates'!F215)*('AllowedShip Class Time Charters'!$E$3:$E$16='Ship Time Charter Rates'!G215))))),0,"Vessel class and Index Choosen don’t match!")</f>
        <v>0</v>
      </c>
      <c r="J215" s="36" t="s">
        <v>39</v>
      </c>
    </row>
    <row r="216" spans="4:10" ht="15.75">
      <c r="D216" s="37">
        <f t="shared" si="19"/>
        <v>195</v>
      </c>
      <c r="E216" s="39"/>
      <c r="F216" s="42"/>
      <c r="G216" s="42"/>
      <c r="H216" s="29"/>
      <c r="I216" s="193">
        <f t="array" ref="I216">IF(NOT(ISERROR(MATCH(2,1/(('AllowedShip Class Time Charters'!$D$3:$D$16='Ship Time Charter Rates'!F216)*('AllowedShip Class Time Charters'!$E$3:$E$16='Ship Time Charter Rates'!G216))))),0,"Vessel class and Index Choosen don’t match!")</f>
        <v>0</v>
      </c>
      <c r="J216" s="36" t="s">
        <v>39</v>
      </c>
    </row>
    <row r="217" spans="4:10" ht="15.75">
      <c r="D217" s="37">
        <f t="shared" si="19"/>
        <v>196</v>
      </c>
      <c r="E217" s="39"/>
      <c r="F217" s="42"/>
      <c r="G217" s="42"/>
      <c r="H217" s="29"/>
      <c r="I217" s="193">
        <f t="array" ref="I217">IF(NOT(ISERROR(MATCH(2,1/(('AllowedShip Class Time Charters'!$D$3:$D$16='Ship Time Charter Rates'!F217)*('AllowedShip Class Time Charters'!$E$3:$E$16='Ship Time Charter Rates'!G217))))),0,"Vessel class and Index Choosen don’t match!")</f>
        <v>0</v>
      </c>
      <c r="J217" s="36" t="s">
        <v>39</v>
      </c>
    </row>
    <row r="218" spans="4:10" ht="15.75">
      <c r="D218" s="37">
        <f t="shared" si="19"/>
        <v>197</v>
      </c>
      <c r="E218" s="39"/>
      <c r="F218" s="42"/>
      <c r="G218" s="42"/>
      <c r="H218" s="29"/>
      <c r="I218" s="193">
        <f t="array" ref="I218">IF(NOT(ISERROR(MATCH(2,1/(('AllowedShip Class Time Charters'!$D$3:$D$16='Ship Time Charter Rates'!F218)*('AllowedShip Class Time Charters'!$E$3:$E$16='Ship Time Charter Rates'!G218))))),0,"Vessel class and Index Choosen don’t match!")</f>
        <v>0</v>
      </c>
      <c r="J218" s="36" t="s">
        <v>39</v>
      </c>
    </row>
    <row r="219" spans="4:10" ht="15.75">
      <c r="D219" s="37">
        <f t="shared" si="19"/>
        <v>198</v>
      </c>
      <c r="E219" s="39"/>
      <c r="F219" s="42"/>
      <c r="G219" s="42"/>
      <c r="H219" s="29"/>
      <c r="I219" s="193">
        <f t="array" ref="I219">IF(NOT(ISERROR(MATCH(2,1/(('AllowedShip Class Time Charters'!$D$3:$D$16='Ship Time Charter Rates'!F219)*('AllowedShip Class Time Charters'!$E$3:$E$16='Ship Time Charter Rates'!G219))))),0,"Vessel class and Index Choosen don’t match!")</f>
        <v>0</v>
      </c>
      <c r="J219" s="36" t="s">
        <v>39</v>
      </c>
    </row>
    <row r="220" spans="4:10" ht="15.75">
      <c r="D220" s="37">
        <f t="shared" si="19"/>
        <v>199</v>
      </c>
      <c r="E220" s="39"/>
      <c r="F220" s="42"/>
      <c r="G220" s="42"/>
      <c r="H220" s="29"/>
      <c r="I220" s="193">
        <f t="array" ref="I220">IF(NOT(ISERROR(MATCH(2,1/(('AllowedShip Class Time Charters'!$D$3:$D$16='Ship Time Charter Rates'!F220)*('AllowedShip Class Time Charters'!$E$3:$E$16='Ship Time Charter Rates'!G220))))),0,"Vessel class and Index Choosen don’t match!")</f>
        <v>0</v>
      </c>
      <c r="J220" s="36" t="s">
        <v>39</v>
      </c>
    </row>
    <row r="221" spans="4:10" ht="15.75">
      <c r="D221" s="37">
        <f t="shared" si="19"/>
        <v>200</v>
      </c>
      <c r="E221" s="39"/>
      <c r="F221" s="42"/>
      <c r="G221" s="42"/>
      <c r="H221" s="29"/>
      <c r="I221" s="193">
        <f t="array" ref="I221">IF(NOT(ISERROR(MATCH(2,1/(('AllowedShip Class Time Charters'!$D$3:$D$16='Ship Time Charter Rates'!F221)*('AllowedShip Class Time Charters'!$E$3:$E$16='Ship Time Charter Rates'!G221))))),0,"Vessel class and Index Choosen don’t match!")</f>
        <v>0</v>
      </c>
      <c r="J221" s="36" t="s">
        <v>39</v>
      </c>
    </row>
    <row r="222" spans="4:10" ht="15.75">
      <c r="D222" s="37">
        <f>D221+1</f>
        <v>201</v>
      </c>
      <c r="E222" s="39"/>
      <c r="F222" s="42"/>
      <c r="G222" s="42"/>
      <c r="H222" s="29"/>
      <c r="I222" s="193">
        <f t="array" ref="I222">IF(NOT(ISERROR(MATCH(2,1/(('AllowedShip Class Time Charters'!$D$3:$D$16='Ship Time Charter Rates'!F222)*('AllowedShip Class Time Charters'!$E$3:$E$16='Ship Time Charter Rates'!G222))))),0,"Vessel class and Index Choosen don’t match!")</f>
        <v>0</v>
      </c>
      <c r="J222" s="36" t="s">
        <v>39</v>
      </c>
    </row>
    <row r="223" spans="4:10" ht="15.75">
      <c r="D223" s="37">
        <f t="shared" ref="D223:D231" si="20">D222+1</f>
        <v>202</v>
      </c>
      <c r="E223" s="39"/>
      <c r="F223" s="42"/>
      <c r="G223" s="42"/>
      <c r="H223" s="29"/>
      <c r="I223" s="193">
        <f t="array" ref="I223">IF(NOT(ISERROR(MATCH(2,1/(('AllowedShip Class Time Charters'!$D$3:$D$16='Ship Time Charter Rates'!F223)*('AllowedShip Class Time Charters'!$E$3:$E$16='Ship Time Charter Rates'!G223))))),0,"Vessel class and Index Choosen don’t match!")</f>
        <v>0</v>
      </c>
      <c r="J223" s="36" t="s">
        <v>39</v>
      </c>
    </row>
    <row r="224" spans="4:10" ht="15.75">
      <c r="D224" s="37">
        <f t="shared" si="20"/>
        <v>203</v>
      </c>
      <c r="E224" s="39"/>
      <c r="F224" s="42"/>
      <c r="G224" s="42"/>
      <c r="H224" s="29"/>
      <c r="I224" s="193">
        <f t="array" ref="I224">IF(NOT(ISERROR(MATCH(2,1/(('AllowedShip Class Time Charters'!$D$3:$D$16='Ship Time Charter Rates'!F224)*('AllowedShip Class Time Charters'!$E$3:$E$16='Ship Time Charter Rates'!G224))))),0,"Vessel class and Index Choosen don’t match!")</f>
        <v>0</v>
      </c>
      <c r="J224" s="36" t="s">
        <v>39</v>
      </c>
    </row>
    <row r="225" spans="4:10" ht="15.75">
      <c r="D225" s="37">
        <f t="shared" si="20"/>
        <v>204</v>
      </c>
      <c r="E225" s="39"/>
      <c r="F225" s="42"/>
      <c r="G225" s="42"/>
      <c r="H225" s="29"/>
      <c r="I225" s="193">
        <f t="array" ref="I225">IF(NOT(ISERROR(MATCH(2,1/(('AllowedShip Class Time Charters'!$D$3:$D$16='Ship Time Charter Rates'!F225)*('AllowedShip Class Time Charters'!$E$3:$E$16='Ship Time Charter Rates'!G225))))),0,"Vessel class and Index Choosen don’t match!")</f>
        <v>0</v>
      </c>
      <c r="J225" s="36" t="s">
        <v>39</v>
      </c>
    </row>
    <row r="226" spans="4:10" ht="15.75">
      <c r="D226" s="37">
        <f t="shared" si="20"/>
        <v>205</v>
      </c>
      <c r="E226" s="39"/>
      <c r="F226" s="42"/>
      <c r="G226" s="42"/>
      <c r="H226" s="29"/>
      <c r="I226" s="193">
        <f t="array" ref="I226">IF(NOT(ISERROR(MATCH(2,1/(('AllowedShip Class Time Charters'!$D$3:$D$16='Ship Time Charter Rates'!F226)*('AllowedShip Class Time Charters'!$E$3:$E$16='Ship Time Charter Rates'!G226))))),0,"Vessel class and Index Choosen don’t match!")</f>
        <v>0</v>
      </c>
      <c r="J226" s="36" t="s">
        <v>39</v>
      </c>
    </row>
    <row r="227" spans="4:10" ht="15.75">
      <c r="D227" s="37">
        <f t="shared" si="20"/>
        <v>206</v>
      </c>
      <c r="E227" s="39"/>
      <c r="F227" s="42"/>
      <c r="G227" s="42"/>
      <c r="H227" s="29"/>
      <c r="I227" s="193">
        <f t="array" ref="I227">IF(NOT(ISERROR(MATCH(2,1/(('AllowedShip Class Time Charters'!$D$3:$D$16='Ship Time Charter Rates'!F227)*('AllowedShip Class Time Charters'!$E$3:$E$16='Ship Time Charter Rates'!G227))))),0,"Vessel class and Index Choosen don’t match!")</f>
        <v>0</v>
      </c>
      <c r="J227" s="36" t="s">
        <v>39</v>
      </c>
    </row>
    <row r="228" spans="4:10" ht="15.75">
      <c r="D228" s="37">
        <f t="shared" si="20"/>
        <v>207</v>
      </c>
      <c r="E228" s="39"/>
      <c r="F228" s="42"/>
      <c r="G228" s="42"/>
      <c r="H228" s="29"/>
      <c r="I228" s="193">
        <f t="array" ref="I228">IF(NOT(ISERROR(MATCH(2,1/(('AllowedShip Class Time Charters'!$D$3:$D$16='Ship Time Charter Rates'!F228)*('AllowedShip Class Time Charters'!$E$3:$E$16='Ship Time Charter Rates'!G228))))),0,"Vessel class and Index Choosen don’t match!")</f>
        <v>0</v>
      </c>
      <c r="J228" s="36" t="s">
        <v>39</v>
      </c>
    </row>
    <row r="229" spans="4:10" ht="15.75">
      <c r="D229" s="37">
        <f t="shared" si="20"/>
        <v>208</v>
      </c>
      <c r="E229" s="39"/>
      <c r="F229" s="42"/>
      <c r="G229" s="42"/>
      <c r="H229" s="29"/>
      <c r="I229" s="193">
        <f t="array" ref="I229">IF(NOT(ISERROR(MATCH(2,1/(('AllowedShip Class Time Charters'!$D$3:$D$16='Ship Time Charter Rates'!F229)*('AllowedShip Class Time Charters'!$E$3:$E$16='Ship Time Charter Rates'!G229))))),0,"Vessel class and Index Choosen don’t match!")</f>
        <v>0</v>
      </c>
      <c r="J229" s="36" t="s">
        <v>39</v>
      </c>
    </row>
    <row r="230" spans="4:10" ht="15.75">
      <c r="D230" s="37">
        <f t="shared" si="20"/>
        <v>209</v>
      </c>
      <c r="E230" s="39"/>
      <c r="F230" s="42"/>
      <c r="G230" s="42"/>
      <c r="H230" s="29"/>
      <c r="I230" s="193">
        <f t="array" ref="I230">IF(NOT(ISERROR(MATCH(2,1/(('AllowedShip Class Time Charters'!$D$3:$D$16='Ship Time Charter Rates'!F230)*('AllowedShip Class Time Charters'!$E$3:$E$16='Ship Time Charter Rates'!G230))))),0,"Vessel class and Index Choosen don’t match!")</f>
        <v>0</v>
      </c>
      <c r="J230" s="36" t="s">
        <v>39</v>
      </c>
    </row>
    <row r="231" spans="4:10" ht="15.75">
      <c r="D231" s="37">
        <f t="shared" si="20"/>
        <v>210</v>
      </c>
      <c r="E231" s="39"/>
      <c r="F231" s="42"/>
      <c r="G231" s="42"/>
      <c r="H231" s="29"/>
      <c r="I231" s="193">
        <f t="array" ref="I231">IF(NOT(ISERROR(MATCH(2,1/(('AllowedShip Class Time Charters'!$D$3:$D$16='Ship Time Charter Rates'!F231)*('AllowedShip Class Time Charters'!$E$3:$E$16='Ship Time Charter Rates'!G231))))),0,"Vessel class and Index Choosen don’t match!")</f>
        <v>0</v>
      </c>
      <c r="J231" s="36" t="s">
        <v>39</v>
      </c>
    </row>
    <row r="232" spans="4:10" ht="15.75">
      <c r="D232" s="37">
        <f>D231+1</f>
        <v>211</v>
      </c>
      <c r="E232" s="39"/>
      <c r="F232" s="42"/>
      <c r="G232" s="42"/>
      <c r="H232" s="29"/>
      <c r="I232" s="193">
        <f t="array" ref="I232">IF(NOT(ISERROR(MATCH(2,1/(('AllowedShip Class Time Charters'!$D$3:$D$16='Ship Time Charter Rates'!F232)*('AllowedShip Class Time Charters'!$E$3:$E$16='Ship Time Charter Rates'!G232))))),0,"Vessel class and Index Choosen don’t match!")</f>
        <v>0</v>
      </c>
      <c r="J232" s="36" t="s">
        <v>39</v>
      </c>
    </row>
    <row r="233" spans="4:10" ht="15.75">
      <c r="D233" s="37">
        <f t="shared" ref="D233:D261" si="21">D232+1</f>
        <v>212</v>
      </c>
      <c r="E233" s="39"/>
      <c r="F233" s="42"/>
      <c r="G233" s="42"/>
      <c r="H233" s="29"/>
      <c r="I233" s="193">
        <f t="array" ref="I233">IF(NOT(ISERROR(MATCH(2,1/(('AllowedShip Class Time Charters'!$D$3:$D$16='Ship Time Charter Rates'!F233)*('AllowedShip Class Time Charters'!$E$3:$E$16='Ship Time Charter Rates'!G233))))),0,"Vessel class and Index Choosen don’t match!")</f>
        <v>0</v>
      </c>
      <c r="J233" s="36" t="s">
        <v>39</v>
      </c>
    </row>
    <row r="234" spans="4:10" ht="15.75">
      <c r="D234" s="37">
        <f t="shared" si="21"/>
        <v>213</v>
      </c>
      <c r="E234" s="39"/>
      <c r="F234" s="42"/>
      <c r="G234" s="42"/>
      <c r="H234" s="29"/>
      <c r="I234" s="193">
        <f t="array" ref="I234">IF(NOT(ISERROR(MATCH(2,1/(('AllowedShip Class Time Charters'!$D$3:$D$16='Ship Time Charter Rates'!F234)*('AllowedShip Class Time Charters'!$E$3:$E$16='Ship Time Charter Rates'!G234))))),0,"Vessel class and Index Choosen don’t match!")</f>
        <v>0</v>
      </c>
      <c r="J234" s="36" t="s">
        <v>39</v>
      </c>
    </row>
    <row r="235" spans="4:10" ht="15.75">
      <c r="D235" s="37">
        <f t="shared" si="21"/>
        <v>214</v>
      </c>
      <c r="E235" s="39"/>
      <c r="F235" s="42"/>
      <c r="G235" s="42"/>
      <c r="H235" s="29"/>
      <c r="I235" s="193">
        <f t="array" ref="I235">IF(NOT(ISERROR(MATCH(2,1/(('AllowedShip Class Time Charters'!$D$3:$D$16='Ship Time Charter Rates'!F235)*('AllowedShip Class Time Charters'!$E$3:$E$16='Ship Time Charter Rates'!G235))))),0,"Vessel class and Index Choosen don’t match!")</f>
        <v>0</v>
      </c>
      <c r="J235" s="36" t="s">
        <v>39</v>
      </c>
    </row>
    <row r="236" spans="4:10" ht="15.75">
      <c r="D236" s="37">
        <f t="shared" si="21"/>
        <v>215</v>
      </c>
      <c r="E236" s="39"/>
      <c r="F236" s="42"/>
      <c r="G236" s="42"/>
      <c r="H236" s="29"/>
      <c r="I236" s="193">
        <f t="array" ref="I236">IF(NOT(ISERROR(MATCH(2,1/(('AllowedShip Class Time Charters'!$D$3:$D$16='Ship Time Charter Rates'!F236)*('AllowedShip Class Time Charters'!$E$3:$E$16='Ship Time Charter Rates'!G236))))),0,"Vessel class and Index Choosen don’t match!")</f>
        <v>0</v>
      </c>
      <c r="J236" s="36" t="s">
        <v>39</v>
      </c>
    </row>
    <row r="237" spans="4:10" ht="15.75">
      <c r="D237" s="37">
        <f t="shared" si="21"/>
        <v>216</v>
      </c>
      <c r="E237" s="39"/>
      <c r="F237" s="42"/>
      <c r="G237" s="42"/>
      <c r="H237" s="29"/>
      <c r="I237" s="193">
        <f t="array" ref="I237">IF(NOT(ISERROR(MATCH(2,1/(('AllowedShip Class Time Charters'!$D$3:$D$16='Ship Time Charter Rates'!F237)*('AllowedShip Class Time Charters'!$E$3:$E$16='Ship Time Charter Rates'!G237))))),0,"Vessel class and Index Choosen don’t match!")</f>
        <v>0</v>
      </c>
      <c r="J237" s="36" t="s">
        <v>39</v>
      </c>
    </row>
    <row r="238" spans="4:10" ht="15.75">
      <c r="D238" s="37">
        <f t="shared" si="21"/>
        <v>217</v>
      </c>
      <c r="E238" s="39"/>
      <c r="F238" s="42"/>
      <c r="G238" s="42"/>
      <c r="H238" s="29"/>
      <c r="I238" s="193">
        <f t="array" ref="I238">IF(NOT(ISERROR(MATCH(2,1/(('AllowedShip Class Time Charters'!$D$3:$D$16='Ship Time Charter Rates'!F238)*('AllowedShip Class Time Charters'!$E$3:$E$16='Ship Time Charter Rates'!G238))))),0,"Vessel class and Index Choosen don’t match!")</f>
        <v>0</v>
      </c>
      <c r="J238" s="36" t="s">
        <v>39</v>
      </c>
    </row>
    <row r="239" spans="4:10" ht="15.75">
      <c r="D239" s="37">
        <f t="shared" si="21"/>
        <v>218</v>
      </c>
      <c r="E239" s="39"/>
      <c r="F239" s="42"/>
      <c r="G239" s="42"/>
      <c r="H239" s="29"/>
      <c r="I239" s="193">
        <f t="array" ref="I239">IF(NOT(ISERROR(MATCH(2,1/(('AllowedShip Class Time Charters'!$D$3:$D$16='Ship Time Charter Rates'!F239)*('AllowedShip Class Time Charters'!$E$3:$E$16='Ship Time Charter Rates'!G239))))),0,"Vessel class and Index Choosen don’t match!")</f>
        <v>0</v>
      </c>
      <c r="J239" s="36" t="s">
        <v>39</v>
      </c>
    </row>
    <row r="240" spans="4:10" ht="15.75">
      <c r="D240" s="37">
        <f t="shared" si="21"/>
        <v>219</v>
      </c>
      <c r="E240" s="39"/>
      <c r="F240" s="42"/>
      <c r="G240" s="42"/>
      <c r="H240" s="29"/>
      <c r="I240" s="193">
        <f t="array" ref="I240">IF(NOT(ISERROR(MATCH(2,1/(('AllowedShip Class Time Charters'!$D$3:$D$16='Ship Time Charter Rates'!F240)*('AllowedShip Class Time Charters'!$E$3:$E$16='Ship Time Charter Rates'!G240))))),0,"Vessel class and Index Choosen don’t match!")</f>
        <v>0</v>
      </c>
      <c r="J240" s="36" t="s">
        <v>39</v>
      </c>
    </row>
    <row r="241" spans="4:10" ht="15.75">
      <c r="D241" s="37">
        <f t="shared" si="21"/>
        <v>220</v>
      </c>
      <c r="E241" s="39"/>
      <c r="F241" s="42"/>
      <c r="G241" s="42"/>
      <c r="H241" s="29"/>
      <c r="I241" s="193">
        <f t="array" ref="I241">IF(NOT(ISERROR(MATCH(2,1/(('AllowedShip Class Time Charters'!$D$3:$D$16='Ship Time Charter Rates'!F241)*('AllowedShip Class Time Charters'!$E$3:$E$16='Ship Time Charter Rates'!G241))))),0,"Vessel class and Index Choosen don’t match!")</f>
        <v>0</v>
      </c>
      <c r="J241" s="36" t="s">
        <v>39</v>
      </c>
    </row>
    <row r="242" spans="4:10" ht="15.75">
      <c r="D242" s="37">
        <f t="shared" si="21"/>
        <v>221</v>
      </c>
      <c r="E242" s="39"/>
      <c r="F242" s="42"/>
      <c r="G242" s="42"/>
      <c r="H242" s="29"/>
      <c r="I242" s="193">
        <f t="array" ref="I242">IF(NOT(ISERROR(MATCH(2,1/(('AllowedShip Class Time Charters'!$D$3:$D$16='Ship Time Charter Rates'!F242)*('AllowedShip Class Time Charters'!$E$3:$E$16='Ship Time Charter Rates'!G242))))),0,"Vessel class and Index Choosen don’t match!")</f>
        <v>0</v>
      </c>
      <c r="J242" s="36" t="s">
        <v>39</v>
      </c>
    </row>
    <row r="243" spans="4:10" ht="15.75">
      <c r="D243" s="37">
        <f t="shared" si="21"/>
        <v>222</v>
      </c>
      <c r="E243" s="39"/>
      <c r="F243" s="42"/>
      <c r="G243" s="42"/>
      <c r="H243" s="29"/>
      <c r="I243" s="193">
        <f t="array" ref="I243">IF(NOT(ISERROR(MATCH(2,1/(('AllowedShip Class Time Charters'!$D$3:$D$16='Ship Time Charter Rates'!F243)*('AllowedShip Class Time Charters'!$E$3:$E$16='Ship Time Charter Rates'!G243))))),0,"Vessel class and Index Choosen don’t match!")</f>
        <v>0</v>
      </c>
      <c r="J243" s="36" t="s">
        <v>39</v>
      </c>
    </row>
    <row r="244" spans="4:10" ht="15.75">
      <c r="D244" s="37">
        <f t="shared" si="21"/>
        <v>223</v>
      </c>
      <c r="E244" s="39"/>
      <c r="F244" s="42"/>
      <c r="G244" s="42"/>
      <c r="H244" s="29"/>
      <c r="I244" s="193">
        <f t="array" ref="I244">IF(NOT(ISERROR(MATCH(2,1/(('AllowedShip Class Time Charters'!$D$3:$D$16='Ship Time Charter Rates'!F244)*('AllowedShip Class Time Charters'!$E$3:$E$16='Ship Time Charter Rates'!G244))))),0,"Vessel class and Index Choosen don’t match!")</f>
        <v>0</v>
      </c>
      <c r="J244" s="36" t="s">
        <v>39</v>
      </c>
    </row>
    <row r="245" spans="4:10" ht="15.75">
      <c r="D245" s="37">
        <f t="shared" si="21"/>
        <v>224</v>
      </c>
      <c r="E245" s="39"/>
      <c r="F245" s="42"/>
      <c r="G245" s="42"/>
      <c r="H245" s="29"/>
      <c r="I245" s="193">
        <f t="array" ref="I245">IF(NOT(ISERROR(MATCH(2,1/(('AllowedShip Class Time Charters'!$D$3:$D$16='Ship Time Charter Rates'!F245)*('AllowedShip Class Time Charters'!$E$3:$E$16='Ship Time Charter Rates'!G245))))),0,"Vessel class and Index Choosen don’t match!")</f>
        <v>0</v>
      </c>
      <c r="J245" s="36" t="s">
        <v>39</v>
      </c>
    </row>
    <row r="246" spans="4:10" ht="15.75">
      <c r="D246" s="37">
        <f t="shared" si="21"/>
        <v>225</v>
      </c>
      <c r="E246" s="39"/>
      <c r="F246" s="42"/>
      <c r="G246" s="42"/>
      <c r="H246" s="29"/>
      <c r="I246" s="193">
        <f t="array" ref="I246">IF(NOT(ISERROR(MATCH(2,1/(('AllowedShip Class Time Charters'!$D$3:$D$16='Ship Time Charter Rates'!F246)*('AllowedShip Class Time Charters'!$E$3:$E$16='Ship Time Charter Rates'!G246))))),0,"Vessel class and Index Choosen don’t match!")</f>
        <v>0</v>
      </c>
      <c r="J246" s="36" t="s">
        <v>39</v>
      </c>
    </row>
    <row r="247" spans="4:10" ht="15.75">
      <c r="D247" s="37">
        <f t="shared" si="21"/>
        <v>226</v>
      </c>
      <c r="E247" s="39"/>
      <c r="F247" s="42"/>
      <c r="G247" s="42"/>
      <c r="H247" s="29"/>
      <c r="I247" s="193">
        <f t="array" ref="I247">IF(NOT(ISERROR(MATCH(2,1/(('AllowedShip Class Time Charters'!$D$3:$D$16='Ship Time Charter Rates'!F247)*('AllowedShip Class Time Charters'!$E$3:$E$16='Ship Time Charter Rates'!G247))))),0,"Vessel class and Index Choosen don’t match!")</f>
        <v>0</v>
      </c>
      <c r="J247" s="36" t="s">
        <v>39</v>
      </c>
    </row>
    <row r="248" spans="4:10" ht="15.75">
      <c r="D248" s="37">
        <f t="shared" si="21"/>
        <v>227</v>
      </c>
      <c r="E248" s="39"/>
      <c r="F248" s="42"/>
      <c r="G248" s="42"/>
      <c r="H248" s="29"/>
      <c r="I248" s="193">
        <f t="array" ref="I248">IF(NOT(ISERROR(MATCH(2,1/(('AllowedShip Class Time Charters'!$D$3:$D$16='Ship Time Charter Rates'!F248)*('AllowedShip Class Time Charters'!$E$3:$E$16='Ship Time Charter Rates'!G248))))),0,"Vessel class and Index Choosen don’t match!")</f>
        <v>0</v>
      </c>
      <c r="J248" s="36" t="s">
        <v>39</v>
      </c>
    </row>
    <row r="249" spans="4:10" ht="15.75">
      <c r="D249" s="37">
        <f t="shared" si="21"/>
        <v>228</v>
      </c>
      <c r="E249" s="39"/>
      <c r="F249" s="42"/>
      <c r="G249" s="42"/>
      <c r="H249" s="29"/>
      <c r="I249" s="193">
        <f t="array" ref="I249">IF(NOT(ISERROR(MATCH(2,1/(('AllowedShip Class Time Charters'!$D$3:$D$16='Ship Time Charter Rates'!F249)*('AllowedShip Class Time Charters'!$E$3:$E$16='Ship Time Charter Rates'!G249))))),0,"Vessel class and Index Choosen don’t match!")</f>
        <v>0</v>
      </c>
      <c r="J249" s="36" t="s">
        <v>39</v>
      </c>
    </row>
    <row r="250" spans="4:10" ht="15.75">
      <c r="D250" s="37">
        <f t="shared" si="21"/>
        <v>229</v>
      </c>
      <c r="E250" s="39"/>
      <c r="F250" s="42"/>
      <c r="G250" s="42"/>
      <c r="H250" s="29"/>
      <c r="I250" s="193">
        <f t="array" ref="I250">IF(NOT(ISERROR(MATCH(2,1/(('AllowedShip Class Time Charters'!$D$3:$D$16='Ship Time Charter Rates'!F250)*('AllowedShip Class Time Charters'!$E$3:$E$16='Ship Time Charter Rates'!G250))))),0,"Vessel class and Index Choosen don’t match!")</f>
        <v>0</v>
      </c>
      <c r="J250" s="36" t="s">
        <v>39</v>
      </c>
    </row>
    <row r="251" spans="4:10" ht="15.75">
      <c r="D251" s="37">
        <f t="shared" si="21"/>
        <v>230</v>
      </c>
      <c r="E251" s="39"/>
      <c r="F251" s="42"/>
      <c r="G251" s="42"/>
      <c r="H251" s="29"/>
      <c r="I251" s="193">
        <f t="array" ref="I251">IF(NOT(ISERROR(MATCH(2,1/(('AllowedShip Class Time Charters'!$D$3:$D$16='Ship Time Charter Rates'!F251)*('AllowedShip Class Time Charters'!$E$3:$E$16='Ship Time Charter Rates'!G251))))),0,"Vessel class and Index Choosen don’t match!")</f>
        <v>0</v>
      </c>
      <c r="J251" s="36" t="s">
        <v>39</v>
      </c>
    </row>
    <row r="252" spans="4:10" ht="15.75">
      <c r="D252" s="37">
        <f t="shared" si="21"/>
        <v>231</v>
      </c>
      <c r="E252" s="39"/>
      <c r="F252" s="42"/>
      <c r="G252" s="42"/>
      <c r="H252" s="29"/>
      <c r="I252" s="193">
        <f t="array" ref="I252">IF(NOT(ISERROR(MATCH(2,1/(('AllowedShip Class Time Charters'!$D$3:$D$16='Ship Time Charter Rates'!F252)*('AllowedShip Class Time Charters'!$E$3:$E$16='Ship Time Charter Rates'!G252))))),0,"Vessel class and Index Choosen don’t match!")</f>
        <v>0</v>
      </c>
      <c r="J252" s="36" t="s">
        <v>39</v>
      </c>
    </row>
    <row r="253" spans="4:10" ht="15.75">
      <c r="D253" s="37">
        <f t="shared" si="21"/>
        <v>232</v>
      </c>
      <c r="E253" s="39"/>
      <c r="F253" s="42"/>
      <c r="G253" s="42"/>
      <c r="H253" s="29"/>
      <c r="I253" s="193">
        <f t="array" ref="I253">IF(NOT(ISERROR(MATCH(2,1/(('AllowedShip Class Time Charters'!$D$3:$D$16='Ship Time Charter Rates'!F253)*('AllowedShip Class Time Charters'!$E$3:$E$16='Ship Time Charter Rates'!G253))))),0,"Vessel class and Index Choosen don’t match!")</f>
        <v>0</v>
      </c>
      <c r="J253" s="36" t="s">
        <v>39</v>
      </c>
    </row>
    <row r="254" spans="4:10" ht="15.75">
      <c r="D254" s="37">
        <f t="shared" si="21"/>
        <v>233</v>
      </c>
      <c r="E254" s="39"/>
      <c r="F254" s="42"/>
      <c r="G254" s="42"/>
      <c r="H254" s="29"/>
      <c r="I254" s="193">
        <f t="array" ref="I254">IF(NOT(ISERROR(MATCH(2,1/(('AllowedShip Class Time Charters'!$D$3:$D$16='Ship Time Charter Rates'!F254)*('AllowedShip Class Time Charters'!$E$3:$E$16='Ship Time Charter Rates'!G254))))),0,"Vessel class and Index Choosen don’t match!")</f>
        <v>0</v>
      </c>
      <c r="J254" s="36" t="s">
        <v>39</v>
      </c>
    </row>
    <row r="255" spans="4:10" ht="15.75">
      <c r="D255" s="37">
        <f t="shared" si="21"/>
        <v>234</v>
      </c>
      <c r="E255" s="39"/>
      <c r="F255" s="42"/>
      <c r="G255" s="42"/>
      <c r="H255" s="29"/>
      <c r="I255" s="193">
        <f t="array" ref="I255">IF(NOT(ISERROR(MATCH(2,1/(('AllowedShip Class Time Charters'!$D$3:$D$16='Ship Time Charter Rates'!F255)*('AllowedShip Class Time Charters'!$E$3:$E$16='Ship Time Charter Rates'!G255))))),0,"Vessel class and Index Choosen don’t match!")</f>
        <v>0</v>
      </c>
      <c r="J255" s="36" t="s">
        <v>39</v>
      </c>
    </row>
    <row r="256" spans="4:10" ht="15.75">
      <c r="D256" s="37">
        <f t="shared" si="21"/>
        <v>235</v>
      </c>
      <c r="E256" s="39"/>
      <c r="F256" s="42"/>
      <c r="G256" s="42"/>
      <c r="H256" s="29"/>
      <c r="I256" s="193">
        <f t="array" ref="I256">IF(NOT(ISERROR(MATCH(2,1/(('AllowedShip Class Time Charters'!$D$3:$D$16='Ship Time Charter Rates'!F256)*('AllowedShip Class Time Charters'!$E$3:$E$16='Ship Time Charter Rates'!G256))))),0,"Vessel class and Index Choosen don’t match!")</f>
        <v>0</v>
      </c>
      <c r="J256" s="36" t="s">
        <v>39</v>
      </c>
    </row>
    <row r="257" spans="4:10" ht="15.75">
      <c r="D257" s="37">
        <f t="shared" si="21"/>
        <v>236</v>
      </c>
      <c r="E257" s="39"/>
      <c r="F257" s="42"/>
      <c r="G257" s="42"/>
      <c r="H257" s="29"/>
      <c r="I257" s="193">
        <f t="array" ref="I257">IF(NOT(ISERROR(MATCH(2,1/(('AllowedShip Class Time Charters'!$D$3:$D$16='Ship Time Charter Rates'!F257)*('AllowedShip Class Time Charters'!$E$3:$E$16='Ship Time Charter Rates'!G257))))),0,"Vessel class and Index Choosen don’t match!")</f>
        <v>0</v>
      </c>
      <c r="J257" s="36" t="s">
        <v>39</v>
      </c>
    </row>
    <row r="258" spans="4:10" ht="15.75">
      <c r="D258" s="37">
        <f t="shared" si="21"/>
        <v>237</v>
      </c>
      <c r="E258" s="39"/>
      <c r="F258" s="42"/>
      <c r="G258" s="42"/>
      <c r="H258" s="29"/>
      <c r="I258" s="193">
        <f t="array" ref="I258">IF(NOT(ISERROR(MATCH(2,1/(('AllowedShip Class Time Charters'!$D$3:$D$16='Ship Time Charter Rates'!F258)*('AllowedShip Class Time Charters'!$E$3:$E$16='Ship Time Charter Rates'!G258))))),0,"Vessel class and Index Choosen don’t match!")</f>
        <v>0</v>
      </c>
      <c r="J258" s="36" t="s">
        <v>39</v>
      </c>
    </row>
    <row r="259" spans="4:10" ht="15.75">
      <c r="D259" s="37">
        <f t="shared" si="21"/>
        <v>238</v>
      </c>
      <c r="E259" s="39"/>
      <c r="F259" s="42"/>
      <c r="G259" s="42"/>
      <c r="H259" s="29"/>
      <c r="I259" s="193">
        <f t="array" ref="I259">IF(NOT(ISERROR(MATCH(2,1/(('AllowedShip Class Time Charters'!$D$3:$D$16='Ship Time Charter Rates'!F259)*('AllowedShip Class Time Charters'!$E$3:$E$16='Ship Time Charter Rates'!G259))))),0,"Vessel class and Index Choosen don’t match!")</f>
        <v>0</v>
      </c>
      <c r="J259" s="36" t="s">
        <v>39</v>
      </c>
    </row>
    <row r="260" spans="4:10" ht="15.75">
      <c r="D260" s="37">
        <f t="shared" si="21"/>
        <v>239</v>
      </c>
      <c r="E260" s="39"/>
      <c r="F260" s="42"/>
      <c r="G260" s="42"/>
      <c r="H260" s="29"/>
      <c r="I260" s="193">
        <f t="array" ref="I260">IF(NOT(ISERROR(MATCH(2,1/(('AllowedShip Class Time Charters'!$D$3:$D$16='Ship Time Charter Rates'!F260)*('AllowedShip Class Time Charters'!$E$3:$E$16='Ship Time Charter Rates'!G260))))),0,"Vessel class and Index Choosen don’t match!")</f>
        <v>0</v>
      </c>
      <c r="J260" s="36" t="s">
        <v>39</v>
      </c>
    </row>
    <row r="261" spans="4:10" ht="15.75">
      <c r="D261" s="37">
        <f t="shared" si="21"/>
        <v>240</v>
      </c>
      <c r="E261" s="39"/>
      <c r="F261" s="42"/>
      <c r="G261" s="42"/>
      <c r="H261" s="29"/>
      <c r="I261" s="193">
        <f t="array" ref="I261">IF(NOT(ISERROR(MATCH(2,1/(('AllowedShip Class Time Charters'!$D$3:$D$16='Ship Time Charter Rates'!F261)*('AllowedShip Class Time Charters'!$E$3:$E$16='Ship Time Charter Rates'!G261))))),0,"Vessel class and Index Choosen don’t match!")</f>
        <v>0</v>
      </c>
      <c r="J261" s="36" t="s">
        <v>39</v>
      </c>
    </row>
    <row r="262" spans="4:10" ht="15.75">
      <c r="D262" s="37">
        <f>D261+1</f>
        <v>241</v>
      </c>
      <c r="E262" s="39"/>
      <c r="F262" s="42"/>
      <c r="G262" s="42"/>
      <c r="H262" s="29"/>
      <c r="I262" s="193">
        <f t="array" ref="I262">IF(NOT(ISERROR(MATCH(2,1/(('AllowedShip Class Time Charters'!$D$3:$D$16='Ship Time Charter Rates'!F262)*('AllowedShip Class Time Charters'!$E$3:$E$16='Ship Time Charter Rates'!G262))))),0,"Vessel class and Index Choosen don’t match!")</f>
        <v>0</v>
      </c>
      <c r="J262" s="36" t="s">
        <v>39</v>
      </c>
    </row>
    <row r="263" spans="4:10" ht="15.75">
      <c r="D263" s="37">
        <f>D262+1</f>
        <v>242</v>
      </c>
      <c r="E263" s="39"/>
      <c r="F263" s="42"/>
      <c r="G263" s="42"/>
      <c r="H263" s="29"/>
      <c r="I263" s="193">
        <f t="array" ref="I263">IF(NOT(ISERROR(MATCH(2,1/(('AllowedShip Class Time Charters'!$D$3:$D$16='Ship Time Charter Rates'!F263)*('AllowedShip Class Time Charters'!$E$3:$E$16='Ship Time Charter Rates'!G263))))),0,"Vessel class and Index Choosen don’t match!")</f>
        <v>0</v>
      </c>
      <c r="J263" s="36" t="s">
        <v>39</v>
      </c>
    </row>
    <row r="264" spans="4:10" ht="15.75">
      <c r="D264" s="37">
        <f>D263+1</f>
        <v>243</v>
      </c>
      <c r="E264" s="39"/>
      <c r="F264" s="42"/>
      <c r="G264" s="42"/>
      <c r="H264" s="29"/>
      <c r="I264" s="193">
        <f t="array" ref="I264">IF(NOT(ISERROR(MATCH(2,1/(('AllowedShip Class Time Charters'!$D$3:$D$16='Ship Time Charter Rates'!F264)*('AllowedShip Class Time Charters'!$E$3:$E$16='Ship Time Charter Rates'!G264))))),0,"Vessel class and Index Choosen don’t match!")</f>
        <v>0</v>
      </c>
      <c r="J264" s="36" t="s">
        <v>39</v>
      </c>
    </row>
    <row r="265" spans="4:10" ht="15.75">
      <c r="D265" s="37">
        <f>D264+1</f>
        <v>244</v>
      </c>
      <c r="E265" s="39"/>
      <c r="F265" s="42"/>
      <c r="G265" s="42"/>
      <c r="H265" s="29"/>
      <c r="I265" s="193">
        <f t="array" ref="I265">IF(NOT(ISERROR(MATCH(2,1/(('AllowedShip Class Time Charters'!$D$3:$D$16='Ship Time Charter Rates'!F265)*('AllowedShip Class Time Charters'!$E$3:$E$16='Ship Time Charter Rates'!G265))))),0,"Vessel class and Index Choosen don’t match!")</f>
        <v>0</v>
      </c>
      <c r="J265" s="36" t="s">
        <v>39</v>
      </c>
    </row>
    <row r="266" spans="4:10" ht="15.75">
      <c r="D266" s="37">
        <f t="shared" ref="D266:D271" si="22">D265+1</f>
        <v>245</v>
      </c>
      <c r="E266" s="39"/>
      <c r="F266" s="42"/>
      <c r="G266" s="42"/>
      <c r="H266" s="29"/>
      <c r="I266" s="193">
        <f t="array" ref="I266">IF(NOT(ISERROR(MATCH(2,1/(('AllowedShip Class Time Charters'!$D$3:$D$16='Ship Time Charter Rates'!F266)*('AllowedShip Class Time Charters'!$E$3:$E$16='Ship Time Charter Rates'!G266))))),0,"Vessel class and Index Choosen don’t match!")</f>
        <v>0</v>
      </c>
      <c r="J266" s="36" t="s">
        <v>39</v>
      </c>
    </row>
    <row r="267" spans="4:10" ht="15.75">
      <c r="D267" s="37">
        <f t="shared" si="22"/>
        <v>246</v>
      </c>
      <c r="E267" s="39"/>
      <c r="F267" s="42"/>
      <c r="G267" s="42"/>
      <c r="H267" s="29"/>
      <c r="I267" s="193">
        <f t="array" ref="I267">IF(NOT(ISERROR(MATCH(2,1/(('AllowedShip Class Time Charters'!$D$3:$D$16='Ship Time Charter Rates'!F267)*('AllowedShip Class Time Charters'!$E$3:$E$16='Ship Time Charter Rates'!G267))))),0,"Vessel class and Index Choosen don’t match!")</f>
        <v>0</v>
      </c>
      <c r="J267" s="36" t="s">
        <v>39</v>
      </c>
    </row>
    <row r="268" spans="4:10" ht="15.75">
      <c r="D268" s="37">
        <f t="shared" si="22"/>
        <v>247</v>
      </c>
      <c r="E268" s="39"/>
      <c r="F268" s="42"/>
      <c r="G268" s="42"/>
      <c r="H268" s="29"/>
      <c r="I268" s="193">
        <f t="array" ref="I268">IF(NOT(ISERROR(MATCH(2,1/(('AllowedShip Class Time Charters'!$D$3:$D$16='Ship Time Charter Rates'!F268)*('AllowedShip Class Time Charters'!$E$3:$E$16='Ship Time Charter Rates'!G268))))),0,"Vessel class and Index Choosen don’t match!")</f>
        <v>0</v>
      </c>
      <c r="J268" s="36" t="s">
        <v>39</v>
      </c>
    </row>
    <row r="269" spans="4:10" ht="15.75">
      <c r="D269" s="37">
        <f t="shared" si="22"/>
        <v>248</v>
      </c>
      <c r="E269" s="39"/>
      <c r="F269" s="42"/>
      <c r="G269" s="42"/>
      <c r="H269" s="29"/>
      <c r="I269" s="193">
        <f t="array" ref="I269">IF(NOT(ISERROR(MATCH(2,1/(('AllowedShip Class Time Charters'!$D$3:$D$16='Ship Time Charter Rates'!F269)*('AllowedShip Class Time Charters'!$E$3:$E$16='Ship Time Charter Rates'!G269))))),0,"Vessel class and Index Choosen don’t match!")</f>
        <v>0</v>
      </c>
      <c r="J269" s="36" t="s">
        <v>39</v>
      </c>
    </row>
    <row r="270" spans="4:10" ht="15.75">
      <c r="D270" s="37">
        <f t="shared" si="22"/>
        <v>249</v>
      </c>
      <c r="E270" s="39"/>
      <c r="F270" s="42"/>
      <c r="G270" s="42"/>
      <c r="H270" s="29"/>
      <c r="I270" s="193">
        <f t="array" ref="I270">IF(NOT(ISERROR(MATCH(2,1/(('AllowedShip Class Time Charters'!$D$3:$D$16='Ship Time Charter Rates'!F270)*('AllowedShip Class Time Charters'!$E$3:$E$16='Ship Time Charter Rates'!G270))))),0,"Vessel class and Index Choosen don’t match!")</f>
        <v>0</v>
      </c>
      <c r="J270" s="36" t="s">
        <v>39</v>
      </c>
    </row>
    <row r="271" spans="4:10" ht="15.75">
      <c r="D271" s="37">
        <f t="shared" si="22"/>
        <v>250</v>
      </c>
      <c r="E271" s="39"/>
      <c r="F271" s="42"/>
      <c r="G271" s="42"/>
      <c r="H271" s="29"/>
      <c r="I271" s="193">
        <f t="array" ref="I271">IF(NOT(ISERROR(MATCH(2,1/(('AllowedShip Class Time Charters'!$D$3:$D$16='Ship Time Charter Rates'!F271)*('AllowedShip Class Time Charters'!$E$3:$E$16='Ship Time Charter Rates'!G271))))),0,"Vessel class and Index Choosen don’t match!")</f>
        <v>0</v>
      </c>
      <c r="J271" s="36" t="s">
        <v>39</v>
      </c>
    </row>
    <row r="272" spans="4:10" ht="15.75">
      <c r="D272" s="37">
        <f>D271+1</f>
        <v>251</v>
      </c>
      <c r="E272" s="39"/>
      <c r="F272" s="42"/>
      <c r="G272" s="42"/>
      <c r="H272" s="29"/>
      <c r="I272" s="193">
        <f t="array" ref="I272">IF(NOT(ISERROR(MATCH(2,1/(('AllowedShip Class Time Charters'!$D$3:$D$16='Ship Time Charter Rates'!F272)*('AllowedShip Class Time Charters'!$E$3:$E$16='Ship Time Charter Rates'!G272))))),0,"Vessel class and Index Choosen don’t match!")</f>
        <v>0</v>
      </c>
      <c r="J272" s="36" t="s">
        <v>39</v>
      </c>
    </row>
    <row r="273" spans="4:10" ht="15.75">
      <c r="D273" s="37">
        <f t="shared" ref="D273:D281" si="23">D272+1</f>
        <v>252</v>
      </c>
      <c r="E273" s="39"/>
      <c r="F273" s="42"/>
      <c r="G273" s="42"/>
      <c r="H273" s="29"/>
      <c r="I273" s="193">
        <f t="array" ref="I273">IF(NOT(ISERROR(MATCH(2,1/(('AllowedShip Class Time Charters'!$D$3:$D$16='Ship Time Charter Rates'!F273)*('AllowedShip Class Time Charters'!$E$3:$E$16='Ship Time Charter Rates'!G273))))),0,"Vessel class and Index Choosen don’t match!")</f>
        <v>0</v>
      </c>
      <c r="J273" s="36" t="s">
        <v>39</v>
      </c>
    </row>
    <row r="274" spans="4:10" ht="15.75">
      <c r="D274" s="37">
        <f t="shared" si="23"/>
        <v>253</v>
      </c>
      <c r="E274" s="39"/>
      <c r="F274" s="42"/>
      <c r="G274" s="42"/>
      <c r="H274" s="29"/>
      <c r="I274" s="193">
        <f t="array" ref="I274">IF(NOT(ISERROR(MATCH(2,1/(('AllowedShip Class Time Charters'!$D$3:$D$16='Ship Time Charter Rates'!F274)*('AllowedShip Class Time Charters'!$E$3:$E$16='Ship Time Charter Rates'!G274))))),0,"Vessel class and Index Choosen don’t match!")</f>
        <v>0</v>
      </c>
      <c r="J274" s="36" t="s">
        <v>39</v>
      </c>
    </row>
    <row r="275" spans="4:10" ht="15.75">
      <c r="D275" s="37">
        <f t="shared" si="23"/>
        <v>254</v>
      </c>
      <c r="E275" s="39"/>
      <c r="F275" s="42"/>
      <c r="G275" s="42"/>
      <c r="H275" s="29"/>
      <c r="I275" s="193">
        <f t="array" ref="I275">IF(NOT(ISERROR(MATCH(2,1/(('AllowedShip Class Time Charters'!$D$3:$D$16='Ship Time Charter Rates'!F275)*('AllowedShip Class Time Charters'!$E$3:$E$16='Ship Time Charter Rates'!G275))))),0,"Vessel class and Index Choosen don’t match!")</f>
        <v>0</v>
      </c>
      <c r="J275" s="36" t="s">
        <v>39</v>
      </c>
    </row>
    <row r="276" spans="4:10" ht="15.75">
      <c r="D276" s="37">
        <f t="shared" si="23"/>
        <v>255</v>
      </c>
      <c r="E276" s="39"/>
      <c r="F276" s="42"/>
      <c r="G276" s="42"/>
      <c r="H276" s="29"/>
      <c r="I276" s="193">
        <f t="array" ref="I276">IF(NOT(ISERROR(MATCH(2,1/(('AllowedShip Class Time Charters'!$D$3:$D$16='Ship Time Charter Rates'!F276)*('AllowedShip Class Time Charters'!$E$3:$E$16='Ship Time Charter Rates'!G276))))),0,"Vessel class and Index Choosen don’t match!")</f>
        <v>0</v>
      </c>
      <c r="J276" s="36" t="s">
        <v>39</v>
      </c>
    </row>
    <row r="277" spans="4:10" ht="15.75">
      <c r="D277" s="37">
        <f t="shared" si="23"/>
        <v>256</v>
      </c>
      <c r="E277" s="39"/>
      <c r="F277" s="42"/>
      <c r="G277" s="42"/>
      <c r="H277" s="29"/>
      <c r="I277" s="193">
        <f t="array" ref="I277">IF(NOT(ISERROR(MATCH(2,1/(('AllowedShip Class Time Charters'!$D$3:$D$16='Ship Time Charter Rates'!F277)*('AllowedShip Class Time Charters'!$E$3:$E$16='Ship Time Charter Rates'!G277))))),0,"Vessel class and Index Choosen don’t match!")</f>
        <v>0</v>
      </c>
      <c r="J277" s="36" t="s">
        <v>39</v>
      </c>
    </row>
    <row r="278" spans="4:10" ht="15.75">
      <c r="D278" s="37">
        <f t="shared" si="23"/>
        <v>257</v>
      </c>
      <c r="E278" s="39"/>
      <c r="F278" s="42"/>
      <c r="G278" s="42"/>
      <c r="H278" s="29"/>
      <c r="I278" s="193">
        <f t="array" ref="I278">IF(NOT(ISERROR(MATCH(2,1/(('AllowedShip Class Time Charters'!$D$3:$D$16='Ship Time Charter Rates'!F278)*('AllowedShip Class Time Charters'!$E$3:$E$16='Ship Time Charter Rates'!G278))))),0,"Vessel class and Index Choosen don’t match!")</f>
        <v>0</v>
      </c>
      <c r="J278" s="36" t="s">
        <v>39</v>
      </c>
    </row>
    <row r="279" spans="4:10" ht="15.75">
      <c r="D279" s="37">
        <f t="shared" si="23"/>
        <v>258</v>
      </c>
      <c r="E279" s="39"/>
      <c r="F279" s="42"/>
      <c r="G279" s="42"/>
      <c r="H279" s="29"/>
      <c r="I279" s="193">
        <f t="array" ref="I279">IF(NOT(ISERROR(MATCH(2,1/(('AllowedShip Class Time Charters'!$D$3:$D$16='Ship Time Charter Rates'!F279)*('AllowedShip Class Time Charters'!$E$3:$E$16='Ship Time Charter Rates'!G279))))),0,"Vessel class and Index Choosen don’t match!")</f>
        <v>0</v>
      </c>
      <c r="J279" s="36" t="s">
        <v>39</v>
      </c>
    </row>
    <row r="280" spans="4:10" ht="15.75">
      <c r="D280" s="37">
        <f t="shared" si="23"/>
        <v>259</v>
      </c>
      <c r="E280" s="39"/>
      <c r="F280" s="42"/>
      <c r="G280" s="42"/>
      <c r="H280" s="29"/>
      <c r="I280" s="193">
        <f t="array" ref="I280">IF(NOT(ISERROR(MATCH(2,1/(('AllowedShip Class Time Charters'!$D$3:$D$16='Ship Time Charter Rates'!F280)*('AllowedShip Class Time Charters'!$E$3:$E$16='Ship Time Charter Rates'!G280))))),0,"Vessel class and Index Choosen don’t match!")</f>
        <v>0</v>
      </c>
      <c r="J280" s="36" t="s">
        <v>39</v>
      </c>
    </row>
    <row r="281" spans="4:10" ht="15.75">
      <c r="D281" s="37">
        <f t="shared" si="23"/>
        <v>260</v>
      </c>
      <c r="E281" s="39"/>
      <c r="F281" s="42"/>
      <c r="G281" s="42"/>
      <c r="H281" s="29"/>
      <c r="I281" s="193">
        <f t="array" ref="I281">IF(NOT(ISERROR(MATCH(2,1/(('AllowedShip Class Time Charters'!$D$3:$D$16='Ship Time Charter Rates'!F281)*('AllowedShip Class Time Charters'!$E$3:$E$16='Ship Time Charter Rates'!G281))))),0,"Vessel class and Index Choosen don’t match!")</f>
        <v>0</v>
      </c>
      <c r="J281" s="36" t="s">
        <v>39</v>
      </c>
    </row>
    <row r="282" spans="4:10" ht="15.75">
      <c r="D282" s="37">
        <f>D281+1</f>
        <v>261</v>
      </c>
      <c r="E282" s="39"/>
      <c r="F282" s="42"/>
      <c r="G282" s="42"/>
      <c r="H282" s="29"/>
      <c r="I282" s="193">
        <f t="array" ref="I282">IF(NOT(ISERROR(MATCH(2,1/(('AllowedShip Class Time Charters'!$D$3:$D$16='Ship Time Charter Rates'!F282)*('AllowedShip Class Time Charters'!$E$3:$E$16='Ship Time Charter Rates'!G282))))),0,"Vessel class and Index Choosen don’t match!")</f>
        <v>0</v>
      </c>
      <c r="J282" s="36" t="s">
        <v>39</v>
      </c>
    </row>
    <row r="283" spans="4:10" ht="15.75">
      <c r="D283" s="37">
        <f t="shared" ref="D283:D291" si="24">D282+1</f>
        <v>262</v>
      </c>
      <c r="E283" s="39"/>
      <c r="F283" s="42"/>
      <c r="G283" s="42"/>
      <c r="H283" s="29"/>
      <c r="I283" s="193">
        <f t="array" ref="I283">IF(NOT(ISERROR(MATCH(2,1/(('AllowedShip Class Time Charters'!$D$3:$D$16='Ship Time Charter Rates'!F283)*('AllowedShip Class Time Charters'!$E$3:$E$16='Ship Time Charter Rates'!G283))))),0,"Vessel class and Index Choosen don’t match!")</f>
        <v>0</v>
      </c>
      <c r="J283" s="36" t="s">
        <v>39</v>
      </c>
    </row>
    <row r="284" spans="4:10" ht="15.75">
      <c r="D284" s="37">
        <f t="shared" si="24"/>
        <v>263</v>
      </c>
      <c r="E284" s="39"/>
      <c r="F284" s="42"/>
      <c r="G284" s="42"/>
      <c r="H284" s="29"/>
      <c r="I284" s="193">
        <f t="array" ref="I284">IF(NOT(ISERROR(MATCH(2,1/(('AllowedShip Class Time Charters'!$D$3:$D$16='Ship Time Charter Rates'!F284)*('AllowedShip Class Time Charters'!$E$3:$E$16='Ship Time Charter Rates'!G284))))),0,"Vessel class and Index Choosen don’t match!")</f>
        <v>0</v>
      </c>
      <c r="J284" s="36" t="s">
        <v>39</v>
      </c>
    </row>
    <row r="285" spans="4:10" ht="15.75">
      <c r="D285" s="37">
        <f t="shared" si="24"/>
        <v>264</v>
      </c>
      <c r="E285" s="39"/>
      <c r="F285" s="42"/>
      <c r="G285" s="42"/>
      <c r="H285" s="29"/>
      <c r="I285" s="193">
        <f t="array" ref="I285">IF(NOT(ISERROR(MATCH(2,1/(('AllowedShip Class Time Charters'!$D$3:$D$16='Ship Time Charter Rates'!F285)*('AllowedShip Class Time Charters'!$E$3:$E$16='Ship Time Charter Rates'!G285))))),0,"Vessel class and Index Choosen don’t match!")</f>
        <v>0</v>
      </c>
      <c r="J285" s="36" t="s">
        <v>39</v>
      </c>
    </row>
    <row r="286" spans="4:10" ht="15.75">
      <c r="D286" s="37">
        <f t="shared" si="24"/>
        <v>265</v>
      </c>
      <c r="E286" s="39"/>
      <c r="F286" s="42"/>
      <c r="G286" s="42"/>
      <c r="H286" s="29"/>
      <c r="I286" s="193">
        <f t="array" ref="I286">IF(NOT(ISERROR(MATCH(2,1/(('AllowedShip Class Time Charters'!$D$3:$D$16='Ship Time Charter Rates'!F286)*('AllowedShip Class Time Charters'!$E$3:$E$16='Ship Time Charter Rates'!G286))))),0,"Vessel class and Index Choosen don’t match!")</f>
        <v>0</v>
      </c>
      <c r="J286" s="36" t="s">
        <v>39</v>
      </c>
    </row>
    <row r="287" spans="4:10" ht="15.75">
      <c r="D287" s="37">
        <f t="shared" si="24"/>
        <v>266</v>
      </c>
      <c r="E287" s="39"/>
      <c r="F287" s="42"/>
      <c r="G287" s="42"/>
      <c r="H287" s="29"/>
      <c r="I287" s="193">
        <f t="array" ref="I287">IF(NOT(ISERROR(MATCH(2,1/(('AllowedShip Class Time Charters'!$D$3:$D$16='Ship Time Charter Rates'!F287)*('AllowedShip Class Time Charters'!$E$3:$E$16='Ship Time Charter Rates'!G287))))),0,"Vessel class and Index Choosen don’t match!")</f>
        <v>0</v>
      </c>
      <c r="J287" s="36" t="s">
        <v>39</v>
      </c>
    </row>
    <row r="288" spans="4:10" ht="15.75">
      <c r="D288" s="37">
        <f t="shared" si="24"/>
        <v>267</v>
      </c>
      <c r="E288" s="39"/>
      <c r="F288" s="42"/>
      <c r="G288" s="42"/>
      <c r="H288" s="29"/>
      <c r="I288" s="193">
        <f t="array" ref="I288">IF(NOT(ISERROR(MATCH(2,1/(('AllowedShip Class Time Charters'!$D$3:$D$16='Ship Time Charter Rates'!F288)*('AllowedShip Class Time Charters'!$E$3:$E$16='Ship Time Charter Rates'!G288))))),0,"Vessel class and Index Choosen don’t match!")</f>
        <v>0</v>
      </c>
      <c r="J288" s="36" t="s">
        <v>39</v>
      </c>
    </row>
    <row r="289" spans="4:10" ht="15.75">
      <c r="D289" s="37">
        <f t="shared" si="24"/>
        <v>268</v>
      </c>
      <c r="E289" s="39"/>
      <c r="F289" s="42"/>
      <c r="G289" s="42"/>
      <c r="H289" s="29"/>
      <c r="I289" s="193">
        <f t="array" ref="I289">IF(NOT(ISERROR(MATCH(2,1/(('AllowedShip Class Time Charters'!$D$3:$D$16='Ship Time Charter Rates'!F289)*('AllowedShip Class Time Charters'!$E$3:$E$16='Ship Time Charter Rates'!G289))))),0,"Vessel class and Index Choosen don’t match!")</f>
        <v>0</v>
      </c>
      <c r="J289" s="36" t="s">
        <v>39</v>
      </c>
    </row>
    <row r="290" spans="4:10" ht="15.75">
      <c r="D290" s="37">
        <f t="shared" si="24"/>
        <v>269</v>
      </c>
      <c r="E290" s="39"/>
      <c r="F290" s="42"/>
      <c r="G290" s="42"/>
      <c r="H290" s="29"/>
      <c r="I290" s="193">
        <f t="array" ref="I290">IF(NOT(ISERROR(MATCH(2,1/(('AllowedShip Class Time Charters'!$D$3:$D$16='Ship Time Charter Rates'!F290)*('AllowedShip Class Time Charters'!$E$3:$E$16='Ship Time Charter Rates'!G290))))),0,"Vessel class and Index Choosen don’t match!")</f>
        <v>0</v>
      </c>
      <c r="J290" s="36" t="s">
        <v>39</v>
      </c>
    </row>
    <row r="291" spans="4:10" ht="15.75">
      <c r="D291" s="37">
        <f t="shared" si="24"/>
        <v>270</v>
      </c>
      <c r="E291" s="39"/>
      <c r="F291" s="42"/>
      <c r="G291" s="42"/>
      <c r="H291" s="29"/>
      <c r="I291" s="193">
        <f t="array" ref="I291">IF(NOT(ISERROR(MATCH(2,1/(('AllowedShip Class Time Charters'!$D$3:$D$16='Ship Time Charter Rates'!F291)*('AllowedShip Class Time Charters'!$E$3:$E$16='Ship Time Charter Rates'!G291))))),0,"Vessel class and Index Choosen don’t match!")</f>
        <v>0</v>
      </c>
      <c r="J291" s="36" t="s">
        <v>39</v>
      </c>
    </row>
    <row r="292" spans="4:10" ht="15.75">
      <c r="D292" s="37">
        <f>D291+1</f>
        <v>271</v>
      </c>
      <c r="E292" s="39"/>
      <c r="F292" s="42"/>
      <c r="G292" s="42"/>
      <c r="H292" s="29"/>
      <c r="I292" s="193">
        <f t="array" ref="I292">IF(NOT(ISERROR(MATCH(2,1/(('AllowedShip Class Time Charters'!$D$3:$D$16='Ship Time Charter Rates'!F292)*('AllowedShip Class Time Charters'!$E$3:$E$16='Ship Time Charter Rates'!G292))))),0,"Vessel class and Index Choosen don’t match!")</f>
        <v>0</v>
      </c>
      <c r="J292" s="36" t="s">
        <v>39</v>
      </c>
    </row>
    <row r="293" spans="4:10" ht="15.75">
      <c r="D293" s="37">
        <f t="shared" ref="D293:D301" si="25">D292+1</f>
        <v>272</v>
      </c>
      <c r="E293" s="39"/>
      <c r="F293" s="42"/>
      <c r="G293" s="42"/>
      <c r="H293" s="29"/>
      <c r="I293" s="193">
        <f t="array" ref="I293">IF(NOT(ISERROR(MATCH(2,1/(('AllowedShip Class Time Charters'!$D$3:$D$16='Ship Time Charter Rates'!F293)*('AllowedShip Class Time Charters'!$E$3:$E$16='Ship Time Charter Rates'!G293))))),0,"Vessel class and Index Choosen don’t match!")</f>
        <v>0</v>
      </c>
      <c r="J293" s="36" t="s">
        <v>39</v>
      </c>
    </row>
    <row r="294" spans="4:10" ht="15.75">
      <c r="D294" s="37">
        <f t="shared" si="25"/>
        <v>273</v>
      </c>
      <c r="E294" s="39"/>
      <c r="F294" s="42"/>
      <c r="G294" s="42"/>
      <c r="H294" s="29"/>
      <c r="I294" s="193">
        <f t="array" ref="I294">IF(NOT(ISERROR(MATCH(2,1/(('AllowedShip Class Time Charters'!$D$3:$D$16='Ship Time Charter Rates'!F294)*('AllowedShip Class Time Charters'!$E$3:$E$16='Ship Time Charter Rates'!G294))))),0,"Vessel class and Index Choosen don’t match!")</f>
        <v>0</v>
      </c>
      <c r="J294" s="36" t="s">
        <v>39</v>
      </c>
    </row>
    <row r="295" spans="4:10" ht="15.75">
      <c r="D295" s="37">
        <f t="shared" si="25"/>
        <v>274</v>
      </c>
      <c r="E295" s="39"/>
      <c r="F295" s="42"/>
      <c r="G295" s="42"/>
      <c r="H295" s="29"/>
      <c r="I295" s="193">
        <f t="array" ref="I295">IF(NOT(ISERROR(MATCH(2,1/(('AllowedShip Class Time Charters'!$D$3:$D$16='Ship Time Charter Rates'!F295)*('AllowedShip Class Time Charters'!$E$3:$E$16='Ship Time Charter Rates'!G295))))),0,"Vessel class and Index Choosen don’t match!")</f>
        <v>0</v>
      </c>
      <c r="J295" s="36" t="s">
        <v>39</v>
      </c>
    </row>
    <row r="296" spans="4:10" ht="15.75">
      <c r="D296" s="37">
        <f t="shared" si="25"/>
        <v>275</v>
      </c>
      <c r="E296" s="39"/>
      <c r="F296" s="42"/>
      <c r="G296" s="42"/>
      <c r="H296" s="29"/>
      <c r="I296" s="193">
        <f t="array" ref="I296">IF(NOT(ISERROR(MATCH(2,1/(('AllowedShip Class Time Charters'!$D$3:$D$16='Ship Time Charter Rates'!F296)*('AllowedShip Class Time Charters'!$E$3:$E$16='Ship Time Charter Rates'!G296))))),0,"Vessel class and Index Choosen don’t match!")</f>
        <v>0</v>
      </c>
      <c r="J296" s="36" t="s">
        <v>39</v>
      </c>
    </row>
    <row r="297" spans="4:10" ht="15.75">
      <c r="D297" s="37">
        <f t="shared" si="25"/>
        <v>276</v>
      </c>
      <c r="E297" s="39"/>
      <c r="F297" s="42"/>
      <c r="G297" s="42"/>
      <c r="H297" s="29"/>
      <c r="I297" s="193">
        <f t="array" ref="I297">IF(NOT(ISERROR(MATCH(2,1/(('AllowedShip Class Time Charters'!$D$3:$D$16='Ship Time Charter Rates'!F297)*('AllowedShip Class Time Charters'!$E$3:$E$16='Ship Time Charter Rates'!G297))))),0,"Vessel class and Index Choosen don’t match!")</f>
        <v>0</v>
      </c>
      <c r="J297" s="36" t="s">
        <v>39</v>
      </c>
    </row>
    <row r="298" spans="4:10" ht="15.75">
      <c r="D298" s="37">
        <f t="shared" si="25"/>
        <v>277</v>
      </c>
      <c r="E298" s="39"/>
      <c r="F298" s="42"/>
      <c r="G298" s="42"/>
      <c r="H298" s="29"/>
      <c r="I298" s="193">
        <f t="array" ref="I298">IF(NOT(ISERROR(MATCH(2,1/(('AllowedShip Class Time Charters'!$D$3:$D$16='Ship Time Charter Rates'!F298)*('AllowedShip Class Time Charters'!$E$3:$E$16='Ship Time Charter Rates'!G298))))),0,"Vessel class and Index Choosen don’t match!")</f>
        <v>0</v>
      </c>
      <c r="J298" s="36" t="s">
        <v>39</v>
      </c>
    </row>
    <row r="299" spans="4:10" ht="15.75">
      <c r="D299" s="37">
        <f t="shared" si="25"/>
        <v>278</v>
      </c>
      <c r="E299" s="39"/>
      <c r="F299" s="42"/>
      <c r="G299" s="42"/>
      <c r="H299" s="29"/>
      <c r="I299" s="193">
        <f t="array" ref="I299">IF(NOT(ISERROR(MATCH(2,1/(('AllowedShip Class Time Charters'!$D$3:$D$16='Ship Time Charter Rates'!F299)*('AllowedShip Class Time Charters'!$E$3:$E$16='Ship Time Charter Rates'!G299))))),0,"Vessel class and Index Choosen don’t match!")</f>
        <v>0</v>
      </c>
      <c r="J299" s="36" t="s">
        <v>39</v>
      </c>
    </row>
    <row r="300" spans="4:10" ht="15.75">
      <c r="D300" s="37">
        <f t="shared" si="25"/>
        <v>279</v>
      </c>
      <c r="E300" s="39"/>
      <c r="F300" s="42"/>
      <c r="G300" s="42"/>
      <c r="H300" s="29"/>
      <c r="I300" s="193">
        <f t="array" ref="I300">IF(NOT(ISERROR(MATCH(2,1/(('AllowedShip Class Time Charters'!$D$3:$D$16='Ship Time Charter Rates'!F300)*('AllowedShip Class Time Charters'!$E$3:$E$16='Ship Time Charter Rates'!G300))))),0,"Vessel class and Index Choosen don’t match!")</f>
        <v>0</v>
      </c>
      <c r="J300" s="36" t="s">
        <v>39</v>
      </c>
    </row>
    <row r="301" spans="4:10" ht="15.75">
      <c r="D301" s="37">
        <f t="shared" si="25"/>
        <v>280</v>
      </c>
      <c r="E301" s="39"/>
      <c r="F301" s="42"/>
      <c r="G301" s="42"/>
      <c r="H301" s="29"/>
      <c r="I301" s="193">
        <f t="array" ref="I301">IF(NOT(ISERROR(MATCH(2,1/(('AllowedShip Class Time Charters'!$D$3:$D$16='Ship Time Charter Rates'!F301)*('AllowedShip Class Time Charters'!$E$3:$E$16='Ship Time Charter Rates'!G301))))),0,"Vessel class and Index Choosen don’t match!")</f>
        <v>0</v>
      </c>
      <c r="J301" s="36" t="s">
        <v>39</v>
      </c>
    </row>
    <row r="302" spans="4:10" ht="15.75">
      <c r="D302" s="37">
        <f>D301+1</f>
        <v>281</v>
      </c>
      <c r="E302" s="39"/>
      <c r="F302" s="42"/>
      <c r="G302" s="42"/>
      <c r="H302" s="29"/>
      <c r="I302" s="193">
        <f t="array" ref="I302">IF(NOT(ISERROR(MATCH(2,1/(('AllowedShip Class Time Charters'!$D$3:$D$16='Ship Time Charter Rates'!F302)*('AllowedShip Class Time Charters'!$E$3:$E$16='Ship Time Charter Rates'!G302))))),0,"Vessel class and Index Choosen don’t match!")</f>
        <v>0</v>
      </c>
      <c r="J302" s="36" t="s">
        <v>39</v>
      </c>
    </row>
    <row r="303" spans="4:10" ht="15.75">
      <c r="D303" s="37">
        <f t="shared" ref="D303:D311" si="26">D302+1</f>
        <v>282</v>
      </c>
      <c r="E303" s="39"/>
      <c r="F303" s="42"/>
      <c r="G303" s="42"/>
      <c r="H303" s="29"/>
      <c r="I303" s="193">
        <f t="array" ref="I303">IF(NOT(ISERROR(MATCH(2,1/(('AllowedShip Class Time Charters'!$D$3:$D$16='Ship Time Charter Rates'!F303)*('AllowedShip Class Time Charters'!$E$3:$E$16='Ship Time Charter Rates'!G303))))),0,"Vessel class and Index Choosen don’t match!")</f>
        <v>0</v>
      </c>
      <c r="J303" s="36" t="s">
        <v>39</v>
      </c>
    </row>
    <row r="304" spans="4:10" ht="15.75">
      <c r="D304" s="37">
        <f t="shared" si="26"/>
        <v>283</v>
      </c>
      <c r="E304" s="39"/>
      <c r="F304" s="42"/>
      <c r="G304" s="42"/>
      <c r="H304" s="29"/>
      <c r="I304" s="193">
        <f t="array" ref="I304">IF(NOT(ISERROR(MATCH(2,1/(('AllowedShip Class Time Charters'!$D$3:$D$16='Ship Time Charter Rates'!F304)*('AllowedShip Class Time Charters'!$E$3:$E$16='Ship Time Charter Rates'!G304))))),0,"Vessel class and Index Choosen don’t match!")</f>
        <v>0</v>
      </c>
      <c r="J304" s="36" t="s">
        <v>39</v>
      </c>
    </row>
    <row r="305" spans="4:10" ht="15.75">
      <c r="D305" s="37">
        <f t="shared" si="26"/>
        <v>284</v>
      </c>
      <c r="E305" s="39"/>
      <c r="F305" s="42"/>
      <c r="G305" s="42"/>
      <c r="H305" s="29"/>
      <c r="I305" s="193">
        <f t="array" ref="I305">IF(NOT(ISERROR(MATCH(2,1/(('AllowedShip Class Time Charters'!$D$3:$D$16='Ship Time Charter Rates'!F305)*('AllowedShip Class Time Charters'!$E$3:$E$16='Ship Time Charter Rates'!G305))))),0,"Vessel class and Index Choosen don’t match!")</f>
        <v>0</v>
      </c>
      <c r="J305" s="36" t="s">
        <v>39</v>
      </c>
    </row>
    <row r="306" spans="4:10" ht="15.75">
      <c r="D306" s="37">
        <f t="shared" si="26"/>
        <v>285</v>
      </c>
      <c r="E306" s="39"/>
      <c r="F306" s="42"/>
      <c r="G306" s="42"/>
      <c r="H306" s="29"/>
      <c r="I306" s="193">
        <f t="array" ref="I306">IF(NOT(ISERROR(MATCH(2,1/(('AllowedShip Class Time Charters'!$D$3:$D$16='Ship Time Charter Rates'!F306)*('AllowedShip Class Time Charters'!$E$3:$E$16='Ship Time Charter Rates'!G306))))),0,"Vessel class and Index Choosen don’t match!")</f>
        <v>0</v>
      </c>
      <c r="J306" s="36" t="s">
        <v>39</v>
      </c>
    </row>
    <row r="307" spans="4:10" ht="15.75">
      <c r="D307" s="37">
        <f t="shared" si="26"/>
        <v>286</v>
      </c>
      <c r="E307" s="39"/>
      <c r="F307" s="42"/>
      <c r="G307" s="42"/>
      <c r="H307" s="29"/>
      <c r="I307" s="193">
        <f t="array" ref="I307">IF(NOT(ISERROR(MATCH(2,1/(('AllowedShip Class Time Charters'!$D$3:$D$16='Ship Time Charter Rates'!F307)*('AllowedShip Class Time Charters'!$E$3:$E$16='Ship Time Charter Rates'!G307))))),0,"Vessel class and Index Choosen don’t match!")</f>
        <v>0</v>
      </c>
      <c r="J307" s="36" t="s">
        <v>39</v>
      </c>
    </row>
    <row r="308" spans="4:10" ht="15.75">
      <c r="D308" s="37">
        <f t="shared" si="26"/>
        <v>287</v>
      </c>
      <c r="E308" s="39"/>
      <c r="F308" s="42"/>
      <c r="G308" s="42"/>
      <c r="H308" s="29"/>
      <c r="I308" s="193">
        <f t="array" ref="I308">IF(NOT(ISERROR(MATCH(2,1/(('AllowedShip Class Time Charters'!$D$3:$D$16='Ship Time Charter Rates'!F308)*('AllowedShip Class Time Charters'!$E$3:$E$16='Ship Time Charter Rates'!G308))))),0,"Vessel class and Index Choosen don’t match!")</f>
        <v>0</v>
      </c>
      <c r="J308" s="36" t="s">
        <v>39</v>
      </c>
    </row>
    <row r="309" spans="4:10" ht="15.75">
      <c r="D309" s="37">
        <f t="shared" si="26"/>
        <v>288</v>
      </c>
      <c r="E309" s="39"/>
      <c r="F309" s="42"/>
      <c r="G309" s="42"/>
      <c r="H309" s="29"/>
      <c r="I309" s="193">
        <f t="array" ref="I309">IF(NOT(ISERROR(MATCH(2,1/(('AllowedShip Class Time Charters'!$D$3:$D$16='Ship Time Charter Rates'!F309)*('AllowedShip Class Time Charters'!$E$3:$E$16='Ship Time Charter Rates'!G309))))),0,"Vessel class and Index Choosen don’t match!")</f>
        <v>0</v>
      </c>
      <c r="J309" s="36" t="s">
        <v>39</v>
      </c>
    </row>
    <row r="310" spans="4:10" ht="15.75">
      <c r="D310" s="37">
        <f t="shared" si="26"/>
        <v>289</v>
      </c>
      <c r="E310" s="39"/>
      <c r="F310" s="42"/>
      <c r="G310" s="42"/>
      <c r="H310" s="29"/>
      <c r="I310" s="193">
        <f t="array" ref="I310">IF(NOT(ISERROR(MATCH(2,1/(('AllowedShip Class Time Charters'!$D$3:$D$16='Ship Time Charter Rates'!F310)*('AllowedShip Class Time Charters'!$E$3:$E$16='Ship Time Charter Rates'!G310))))),0,"Vessel class and Index Choosen don’t match!")</f>
        <v>0</v>
      </c>
      <c r="J310" s="36" t="s">
        <v>39</v>
      </c>
    </row>
    <row r="311" spans="4:10" ht="15.75">
      <c r="D311" s="37">
        <f t="shared" si="26"/>
        <v>290</v>
      </c>
      <c r="E311" s="39"/>
      <c r="F311" s="42"/>
      <c r="G311" s="42"/>
      <c r="H311" s="29"/>
      <c r="I311" s="193">
        <f t="array" ref="I311">IF(NOT(ISERROR(MATCH(2,1/(('AllowedShip Class Time Charters'!$D$3:$D$16='Ship Time Charter Rates'!F311)*('AllowedShip Class Time Charters'!$E$3:$E$16='Ship Time Charter Rates'!G311))))),0,"Vessel class and Index Choosen don’t match!")</f>
        <v>0</v>
      </c>
      <c r="J311" s="36" t="s">
        <v>39</v>
      </c>
    </row>
    <row r="312" spans="4:10" ht="15.75">
      <c r="D312" s="37">
        <f>D311+1</f>
        <v>291</v>
      </c>
      <c r="E312" s="39"/>
      <c r="F312" s="42"/>
      <c r="G312" s="42"/>
      <c r="H312" s="29"/>
      <c r="I312" s="193">
        <f t="array" ref="I312">IF(NOT(ISERROR(MATCH(2,1/(('AllowedShip Class Time Charters'!$D$3:$D$16='Ship Time Charter Rates'!F312)*('AllowedShip Class Time Charters'!$E$3:$E$16='Ship Time Charter Rates'!G312))))),0,"Vessel class and Index Choosen don’t match!")</f>
        <v>0</v>
      </c>
      <c r="J312" s="36" t="s">
        <v>39</v>
      </c>
    </row>
    <row r="313" spans="4:10" ht="15.75">
      <c r="D313" s="37">
        <f t="shared" ref="D313:D321" si="27">D312+1</f>
        <v>292</v>
      </c>
      <c r="E313" s="39"/>
      <c r="F313" s="42"/>
      <c r="G313" s="42"/>
      <c r="H313" s="29"/>
      <c r="I313" s="193">
        <f t="array" ref="I313">IF(NOT(ISERROR(MATCH(2,1/(('AllowedShip Class Time Charters'!$D$3:$D$16='Ship Time Charter Rates'!F313)*('AllowedShip Class Time Charters'!$E$3:$E$16='Ship Time Charter Rates'!G313))))),0,"Vessel class and Index Choosen don’t match!")</f>
        <v>0</v>
      </c>
      <c r="J313" s="36" t="s">
        <v>39</v>
      </c>
    </row>
    <row r="314" spans="4:10" ht="15.75">
      <c r="D314" s="37">
        <f t="shared" si="27"/>
        <v>293</v>
      </c>
      <c r="E314" s="39"/>
      <c r="F314" s="42"/>
      <c r="G314" s="42"/>
      <c r="H314" s="29"/>
      <c r="I314" s="193">
        <f t="array" ref="I314">IF(NOT(ISERROR(MATCH(2,1/(('AllowedShip Class Time Charters'!$D$3:$D$16='Ship Time Charter Rates'!F314)*('AllowedShip Class Time Charters'!$E$3:$E$16='Ship Time Charter Rates'!G314))))),0,"Vessel class and Index Choosen don’t match!")</f>
        <v>0</v>
      </c>
      <c r="J314" s="36" t="s">
        <v>39</v>
      </c>
    </row>
    <row r="315" spans="4:10" ht="15.75">
      <c r="D315" s="37">
        <f t="shared" si="27"/>
        <v>294</v>
      </c>
      <c r="E315" s="39"/>
      <c r="F315" s="42"/>
      <c r="G315" s="42"/>
      <c r="H315" s="29"/>
      <c r="I315" s="193">
        <f t="array" ref="I315">IF(NOT(ISERROR(MATCH(2,1/(('AllowedShip Class Time Charters'!$D$3:$D$16='Ship Time Charter Rates'!F315)*('AllowedShip Class Time Charters'!$E$3:$E$16='Ship Time Charter Rates'!G315))))),0,"Vessel class and Index Choosen don’t match!")</f>
        <v>0</v>
      </c>
      <c r="J315" s="36" t="s">
        <v>39</v>
      </c>
    </row>
    <row r="316" spans="4:10" ht="15.75">
      <c r="D316" s="37">
        <f t="shared" si="27"/>
        <v>295</v>
      </c>
      <c r="E316" s="39"/>
      <c r="F316" s="42"/>
      <c r="G316" s="42"/>
      <c r="H316" s="29"/>
      <c r="I316" s="193">
        <f t="array" ref="I316">IF(NOT(ISERROR(MATCH(2,1/(('AllowedShip Class Time Charters'!$D$3:$D$16='Ship Time Charter Rates'!F316)*('AllowedShip Class Time Charters'!$E$3:$E$16='Ship Time Charter Rates'!G316))))),0,"Vessel class and Index Choosen don’t match!")</f>
        <v>0</v>
      </c>
      <c r="J316" s="36" t="s">
        <v>39</v>
      </c>
    </row>
    <row r="317" spans="4:10" ht="15.75">
      <c r="D317" s="37">
        <f t="shared" si="27"/>
        <v>296</v>
      </c>
      <c r="E317" s="39"/>
      <c r="F317" s="42"/>
      <c r="G317" s="42"/>
      <c r="H317" s="29"/>
      <c r="I317" s="193">
        <f t="array" ref="I317">IF(NOT(ISERROR(MATCH(2,1/(('AllowedShip Class Time Charters'!$D$3:$D$16='Ship Time Charter Rates'!F317)*('AllowedShip Class Time Charters'!$E$3:$E$16='Ship Time Charter Rates'!G317))))),0,"Vessel class and Index Choosen don’t match!")</f>
        <v>0</v>
      </c>
      <c r="J317" s="36" t="s">
        <v>39</v>
      </c>
    </row>
    <row r="318" spans="4:10" ht="15.75">
      <c r="D318" s="37">
        <f t="shared" si="27"/>
        <v>297</v>
      </c>
      <c r="E318" s="39"/>
      <c r="F318" s="42"/>
      <c r="G318" s="42"/>
      <c r="H318" s="29"/>
      <c r="I318" s="193">
        <f t="array" ref="I318">IF(NOT(ISERROR(MATCH(2,1/(('AllowedShip Class Time Charters'!$D$3:$D$16='Ship Time Charter Rates'!F318)*('AllowedShip Class Time Charters'!$E$3:$E$16='Ship Time Charter Rates'!G318))))),0,"Vessel class and Index Choosen don’t match!")</f>
        <v>0</v>
      </c>
      <c r="J318" s="36" t="s">
        <v>39</v>
      </c>
    </row>
    <row r="319" spans="4:10" ht="15.75">
      <c r="D319" s="37">
        <f t="shared" si="27"/>
        <v>298</v>
      </c>
      <c r="E319" s="39"/>
      <c r="F319" s="42"/>
      <c r="G319" s="42"/>
      <c r="H319" s="29"/>
      <c r="I319" s="193">
        <f t="array" ref="I319">IF(NOT(ISERROR(MATCH(2,1/(('AllowedShip Class Time Charters'!$D$3:$D$16='Ship Time Charter Rates'!F319)*('AllowedShip Class Time Charters'!$E$3:$E$16='Ship Time Charter Rates'!G319))))),0,"Vessel class and Index Choosen don’t match!")</f>
        <v>0</v>
      </c>
      <c r="J319" s="36" t="s">
        <v>39</v>
      </c>
    </row>
    <row r="320" spans="4:10" ht="15.75">
      <c r="D320" s="37">
        <f t="shared" si="27"/>
        <v>299</v>
      </c>
      <c r="E320" s="39"/>
      <c r="F320" s="42"/>
      <c r="G320" s="42"/>
      <c r="H320" s="29"/>
      <c r="I320" s="193">
        <f t="array" ref="I320">IF(NOT(ISERROR(MATCH(2,1/(('AllowedShip Class Time Charters'!$D$3:$D$16='Ship Time Charter Rates'!F320)*('AllowedShip Class Time Charters'!$E$3:$E$16='Ship Time Charter Rates'!G320))))),0,"Vessel class and Index Choosen don’t match!")</f>
        <v>0</v>
      </c>
      <c r="J320" s="36" t="s">
        <v>39</v>
      </c>
    </row>
    <row r="321" spans="4:10" ht="15.75">
      <c r="D321" s="37">
        <f t="shared" si="27"/>
        <v>300</v>
      </c>
      <c r="E321" s="39"/>
      <c r="F321" s="42"/>
      <c r="G321" s="42"/>
      <c r="H321" s="29"/>
      <c r="I321" s="193">
        <f t="array" ref="I321">IF(NOT(ISERROR(MATCH(2,1/(('AllowedShip Class Time Charters'!$D$3:$D$16='Ship Time Charter Rates'!F321)*('AllowedShip Class Time Charters'!$E$3:$E$16='Ship Time Charter Rates'!G321))))),0,"Vessel class and Index Choosen don’t match!")</f>
        <v>0</v>
      </c>
      <c r="J321" s="36" t="s">
        <v>39</v>
      </c>
    </row>
    <row r="322" spans="4:10" ht="15.75">
      <c r="D322" s="37">
        <f>D321+1</f>
        <v>301</v>
      </c>
      <c r="E322" s="39"/>
      <c r="F322" s="42"/>
      <c r="G322" s="42"/>
      <c r="H322" s="29"/>
      <c r="I322" s="193">
        <f t="array" ref="I322">IF(NOT(ISERROR(MATCH(2,1/(('AllowedShip Class Time Charters'!$D$3:$D$16='Ship Time Charter Rates'!F322)*('AllowedShip Class Time Charters'!$E$3:$E$16='Ship Time Charter Rates'!G322))))),0,"Vessel class and Index Choosen don’t match!")</f>
        <v>0</v>
      </c>
      <c r="J322" s="36" t="s">
        <v>39</v>
      </c>
    </row>
    <row r="323" spans="4:10" ht="15.75">
      <c r="D323" s="37">
        <f t="shared" ref="D323:D386" si="28">D322+1</f>
        <v>302</v>
      </c>
      <c r="E323" s="39"/>
      <c r="F323" s="42"/>
      <c r="G323" s="42"/>
      <c r="H323" s="29"/>
      <c r="I323" s="193">
        <f t="array" ref="I323">IF(NOT(ISERROR(MATCH(2,1/(('AllowedShip Class Time Charters'!$D$3:$D$16='Ship Time Charter Rates'!F323)*('AllowedShip Class Time Charters'!$E$3:$E$16='Ship Time Charter Rates'!G323))))),0,"Vessel class and Index Choosen don’t match!")</f>
        <v>0</v>
      </c>
      <c r="J323" s="36" t="s">
        <v>39</v>
      </c>
    </row>
    <row r="324" spans="4:10" ht="15.75">
      <c r="D324" s="37">
        <f t="shared" si="28"/>
        <v>303</v>
      </c>
      <c r="E324" s="39"/>
      <c r="F324" s="42"/>
      <c r="G324" s="42"/>
      <c r="H324" s="29"/>
      <c r="I324" s="193">
        <f t="array" ref="I324">IF(NOT(ISERROR(MATCH(2,1/(('AllowedShip Class Time Charters'!$D$3:$D$16='Ship Time Charter Rates'!F324)*('AllowedShip Class Time Charters'!$E$3:$E$16='Ship Time Charter Rates'!G324))))),0,"Vessel class and Index Choosen don’t match!")</f>
        <v>0</v>
      </c>
      <c r="J324" s="36" t="s">
        <v>39</v>
      </c>
    </row>
    <row r="325" spans="4:10" ht="15.75">
      <c r="D325" s="37">
        <f t="shared" si="28"/>
        <v>304</v>
      </c>
      <c r="E325" s="39"/>
      <c r="F325" s="42"/>
      <c r="G325" s="42"/>
      <c r="H325" s="29"/>
      <c r="I325" s="193">
        <f t="array" ref="I325">IF(NOT(ISERROR(MATCH(2,1/(('AllowedShip Class Time Charters'!$D$3:$D$16='Ship Time Charter Rates'!F325)*('AllowedShip Class Time Charters'!$E$3:$E$16='Ship Time Charter Rates'!G325))))),0,"Vessel class and Index Choosen don’t match!")</f>
        <v>0</v>
      </c>
      <c r="J325" s="36" t="s">
        <v>39</v>
      </c>
    </row>
    <row r="326" spans="4:10" ht="15.75">
      <c r="D326" s="37">
        <f t="shared" si="28"/>
        <v>305</v>
      </c>
      <c r="E326" s="39"/>
      <c r="F326" s="42"/>
      <c r="G326" s="42"/>
      <c r="H326" s="29"/>
      <c r="I326" s="193">
        <f t="array" ref="I326">IF(NOT(ISERROR(MATCH(2,1/(('AllowedShip Class Time Charters'!$D$3:$D$16='Ship Time Charter Rates'!F326)*('AllowedShip Class Time Charters'!$E$3:$E$16='Ship Time Charter Rates'!G326))))),0,"Vessel class and Index Choosen don’t match!")</f>
        <v>0</v>
      </c>
      <c r="J326" s="36" t="s">
        <v>39</v>
      </c>
    </row>
    <row r="327" spans="4:10" ht="15.75">
      <c r="D327" s="37">
        <f t="shared" si="28"/>
        <v>306</v>
      </c>
      <c r="E327" s="39"/>
      <c r="F327" s="42"/>
      <c r="G327" s="42"/>
      <c r="H327" s="29"/>
      <c r="I327" s="193">
        <f t="array" ref="I327">IF(NOT(ISERROR(MATCH(2,1/(('AllowedShip Class Time Charters'!$D$3:$D$16='Ship Time Charter Rates'!F327)*('AllowedShip Class Time Charters'!$E$3:$E$16='Ship Time Charter Rates'!G327))))),0,"Vessel class and Index Choosen don’t match!")</f>
        <v>0</v>
      </c>
      <c r="J327" s="36" t="s">
        <v>39</v>
      </c>
    </row>
    <row r="328" spans="4:10" ht="15.75">
      <c r="D328" s="37">
        <f t="shared" si="28"/>
        <v>307</v>
      </c>
      <c r="E328" s="39"/>
      <c r="F328" s="42"/>
      <c r="G328" s="42"/>
      <c r="H328" s="29"/>
      <c r="I328" s="193">
        <f t="array" ref="I328">IF(NOT(ISERROR(MATCH(2,1/(('AllowedShip Class Time Charters'!$D$3:$D$16='Ship Time Charter Rates'!F328)*('AllowedShip Class Time Charters'!$E$3:$E$16='Ship Time Charter Rates'!G328))))),0,"Vessel class and Index Choosen don’t match!")</f>
        <v>0</v>
      </c>
      <c r="J328" s="36" t="s">
        <v>39</v>
      </c>
    </row>
    <row r="329" spans="4:10" ht="15.75">
      <c r="D329" s="37">
        <f t="shared" si="28"/>
        <v>308</v>
      </c>
      <c r="E329" s="39"/>
      <c r="F329" s="42"/>
      <c r="G329" s="42"/>
      <c r="H329" s="29"/>
      <c r="I329" s="193">
        <f t="array" ref="I329">IF(NOT(ISERROR(MATCH(2,1/(('AllowedShip Class Time Charters'!$D$3:$D$16='Ship Time Charter Rates'!F329)*('AllowedShip Class Time Charters'!$E$3:$E$16='Ship Time Charter Rates'!G329))))),0,"Vessel class and Index Choosen don’t match!")</f>
        <v>0</v>
      </c>
      <c r="J329" s="36" t="s">
        <v>39</v>
      </c>
    </row>
    <row r="330" spans="4:10" ht="15.75">
      <c r="D330" s="37">
        <f t="shared" si="28"/>
        <v>309</v>
      </c>
      <c r="E330" s="39"/>
      <c r="F330" s="42"/>
      <c r="G330" s="42"/>
      <c r="H330" s="29"/>
      <c r="I330" s="193">
        <f t="array" ref="I330">IF(NOT(ISERROR(MATCH(2,1/(('AllowedShip Class Time Charters'!$D$3:$D$16='Ship Time Charter Rates'!F330)*('AllowedShip Class Time Charters'!$E$3:$E$16='Ship Time Charter Rates'!G330))))),0,"Vessel class and Index Choosen don’t match!")</f>
        <v>0</v>
      </c>
      <c r="J330" s="36" t="s">
        <v>39</v>
      </c>
    </row>
    <row r="331" spans="4:10" ht="15.75">
      <c r="D331" s="37">
        <f t="shared" si="28"/>
        <v>310</v>
      </c>
      <c r="E331" s="39"/>
      <c r="F331" s="42"/>
      <c r="G331" s="42"/>
      <c r="H331" s="29"/>
      <c r="I331" s="193">
        <f t="array" ref="I331">IF(NOT(ISERROR(MATCH(2,1/(('AllowedShip Class Time Charters'!$D$3:$D$16='Ship Time Charter Rates'!F331)*('AllowedShip Class Time Charters'!$E$3:$E$16='Ship Time Charter Rates'!G331))))),0,"Vessel class and Index Choosen don’t match!")</f>
        <v>0</v>
      </c>
      <c r="J331" s="36" t="s">
        <v>39</v>
      </c>
    </row>
    <row r="332" spans="4:10" ht="15.75">
      <c r="D332" s="37">
        <f t="shared" si="28"/>
        <v>311</v>
      </c>
      <c r="E332" s="39"/>
      <c r="F332" s="42"/>
      <c r="G332" s="42"/>
      <c r="H332" s="29"/>
      <c r="I332" s="193">
        <f t="array" ref="I332">IF(NOT(ISERROR(MATCH(2,1/(('AllowedShip Class Time Charters'!$D$3:$D$16='Ship Time Charter Rates'!F332)*('AllowedShip Class Time Charters'!$E$3:$E$16='Ship Time Charter Rates'!G332))))),0,"Vessel class and Index Choosen don’t match!")</f>
        <v>0</v>
      </c>
      <c r="J332" s="36" t="s">
        <v>39</v>
      </c>
    </row>
    <row r="333" spans="4:10" ht="15.75">
      <c r="D333" s="37">
        <f t="shared" si="28"/>
        <v>312</v>
      </c>
      <c r="E333" s="39"/>
      <c r="F333" s="42"/>
      <c r="G333" s="42"/>
      <c r="H333" s="29"/>
      <c r="I333" s="193">
        <f t="array" ref="I333">IF(NOT(ISERROR(MATCH(2,1/(('AllowedShip Class Time Charters'!$D$3:$D$16='Ship Time Charter Rates'!F333)*('AllowedShip Class Time Charters'!$E$3:$E$16='Ship Time Charter Rates'!G333))))),0,"Vessel class and Index Choosen don’t match!")</f>
        <v>0</v>
      </c>
      <c r="J333" s="36" t="s">
        <v>39</v>
      </c>
    </row>
    <row r="334" spans="4:10" ht="15.75">
      <c r="D334" s="37">
        <f t="shared" si="28"/>
        <v>313</v>
      </c>
      <c r="E334" s="39"/>
      <c r="F334" s="42"/>
      <c r="G334" s="42"/>
      <c r="H334" s="29"/>
      <c r="I334" s="193">
        <f t="array" ref="I334">IF(NOT(ISERROR(MATCH(2,1/(('AllowedShip Class Time Charters'!$D$3:$D$16='Ship Time Charter Rates'!F334)*('AllowedShip Class Time Charters'!$E$3:$E$16='Ship Time Charter Rates'!G334))))),0,"Vessel class and Index Choosen don’t match!")</f>
        <v>0</v>
      </c>
      <c r="J334" s="36" t="s">
        <v>39</v>
      </c>
    </row>
    <row r="335" spans="4:10" ht="15.75">
      <c r="D335" s="37">
        <f t="shared" si="28"/>
        <v>314</v>
      </c>
      <c r="E335" s="39"/>
      <c r="F335" s="42"/>
      <c r="G335" s="42"/>
      <c r="H335" s="29"/>
      <c r="I335" s="193">
        <f t="array" ref="I335">IF(NOT(ISERROR(MATCH(2,1/(('AllowedShip Class Time Charters'!$D$3:$D$16='Ship Time Charter Rates'!F335)*('AllowedShip Class Time Charters'!$E$3:$E$16='Ship Time Charter Rates'!G335))))),0,"Vessel class and Index Choosen don’t match!")</f>
        <v>0</v>
      </c>
      <c r="J335" s="36" t="s">
        <v>39</v>
      </c>
    </row>
    <row r="336" spans="4:10" ht="15.75">
      <c r="D336" s="37">
        <f t="shared" si="28"/>
        <v>315</v>
      </c>
      <c r="E336" s="39"/>
      <c r="F336" s="42"/>
      <c r="G336" s="42"/>
      <c r="H336" s="29"/>
      <c r="I336" s="193">
        <f t="array" ref="I336">IF(NOT(ISERROR(MATCH(2,1/(('AllowedShip Class Time Charters'!$D$3:$D$16='Ship Time Charter Rates'!F336)*('AllowedShip Class Time Charters'!$E$3:$E$16='Ship Time Charter Rates'!G336))))),0,"Vessel class and Index Choosen don’t match!")</f>
        <v>0</v>
      </c>
      <c r="J336" s="36" t="s">
        <v>39</v>
      </c>
    </row>
    <row r="337" spans="4:10" ht="15.75">
      <c r="D337" s="37">
        <f t="shared" si="28"/>
        <v>316</v>
      </c>
      <c r="E337" s="39"/>
      <c r="F337" s="42"/>
      <c r="G337" s="42"/>
      <c r="H337" s="29"/>
      <c r="I337" s="193">
        <f t="array" ref="I337">IF(NOT(ISERROR(MATCH(2,1/(('AllowedShip Class Time Charters'!$D$3:$D$16='Ship Time Charter Rates'!F337)*('AllowedShip Class Time Charters'!$E$3:$E$16='Ship Time Charter Rates'!G337))))),0,"Vessel class and Index Choosen don’t match!")</f>
        <v>0</v>
      </c>
      <c r="J337" s="36" t="s">
        <v>39</v>
      </c>
    </row>
    <row r="338" spans="4:10" ht="15.75">
      <c r="D338" s="37">
        <f t="shared" si="28"/>
        <v>317</v>
      </c>
      <c r="E338" s="39"/>
      <c r="F338" s="42"/>
      <c r="G338" s="42"/>
      <c r="H338" s="29"/>
      <c r="I338" s="193">
        <f t="array" ref="I338">IF(NOT(ISERROR(MATCH(2,1/(('AllowedShip Class Time Charters'!$D$3:$D$16='Ship Time Charter Rates'!F338)*('AllowedShip Class Time Charters'!$E$3:$E$16='Ship Time Charter Rates'!G338))))),0,"Vessel class and Index Choosen don’t match!")</f>
        <v>0</v>
      </c>
      <c r="J338" s="36" t="s">
        <v>39</v>
      </c>
    </row>
    <row r="339" spans="4:10" ht="15.75">
      <c r="D339" s="37">
        <f t="shared" si="28"/>
        <v>318</v>
      </c>
      <c r="E339" s="39"/>
      <c r="F339" s="42"/>
      <c r="G339" s="42"/>
      <c r="H339" s="29"/>
      <c r="I339" s="193">
        <f t="array" ref="I339">IF(NOT(ISERROR(MATCH(2,1/(('AllowedShip Class Time Charters'!$D$3:$D$16='Ship Time Charter Rates'!F339)*('AllowedShip Class Time Charters'!$E$3:$E$16='Ship Time Charter Rates'!G339))))),0,"Vessel class and Index Choosen don’t match!")</f>
        <v>0</v>
      </c>
      <c r="J339" s="36" t="s">
        <v>39</v>
      </c>
    </row>
    <row r="340" spans="4:10" ht="15.75">
      <c r="D340" s="37">
        <f t="shared" si="28"/>
        <v>319</v>
      </c>
      <c r="E340" s="39"/>
      <c r="F340" s="42"/>
      <c r="G340" s="42"/>
      <c r="H340" s="29"/>
      <c r="I340" s="193">
        <f t="array" ref="I340">IF(NOT(ISERROR(MATCH(2,1/(('AllowedShip Class Time Charters'!$D$3:$D$16='Ship Time Charter Rates'!F340)*('AllowedShip Class Time Charters'!$E$3:$E$16='Ship Time Charter Rates'!G340))))),0,"Vessel class and Index Choosen don’t match!")</f>
        <v>0</v>
      </c>
      <c r="J340" s="36" t="s">
        <v>39</v>
      </c>
    </row>
    <row r="341" spans="4:10" ht="15.75">
      <c r="D341" s="37">
        <f t="shared" si="28"/>
        <v>320</v>
      </c>
      <c r="E341" s="39"/>
      <c r="F341" s="42"/>
      <c r="G341" s="42"/>
      <c r="H341" s="29"/>
      <c r="I341" s="193">
        <f t="array" ref="I341">IF(NOT(ISERROR(MATCH(2,1/(('AllowedShip Class Time Charters'!$D$3:$D$16='Ship Time Charter Rates'!F341)*('AllowedShip Class Time Charters'!$E$3:$E$16='Ship Time Charter Rates'!G341))))),0,"Vessel class and Index Choosen don’t match!")</f>
        <v>0</v>
      </c>
      <c r="J341" s="36" t="s">
        <v>39</v>
      </c>
    </row>
    <row r="342" spans="4:10" ht="15.75">
      <c r="D342" s="37">
        <f t="shared" si="28"/>
        <v>321</v>
      </c>
      <c r="E342" s="39"/>
      <c r="F342" s="42"/>
      <c r="G342" s="42"/>
      <c r="H342" s="29"/>
      <c r="I342" s="193">
        <f t="array" ref="I342">IF(NOT(ISERROR(MATCH(2,1/(('AllowedShip Class Time Charters'!$D$3:$D$16='Ship Time Charter Rates'!F342)*('AllowedShip Class Time Charters'!$E$3:$E$16='Ship Time Charter Rates'!G342))))),0,"Vessel class and Index Choosen don’t match!")</f>
        <v>0</v>
      </c>
      <c r="J342" s="36" t="s">
        <v>39</v>
      </c>
    </row>
    <row r="343" spans="4:10" ht="15.75">
      <c r="D343" s="37">
        <f t="shared" si="28"/>
        <v>322</v>
      </c>
      <c r="E343" s="39"/>
      <c r="F343" s="42"/>
      <c r="G343" s="42"/>
      <c r="H343" s="29"/>
      <c r="I343" s="193">
        <f t="array" ref="I343">IF(NOT(ISERROR(MATCH(2,1/(('AllowedShip Class Time Charters'!$D$3:$D$16='Ship Time Charter Rates'!F343)*('AllowedShip Class Time Charters'!$E$3:$E$16='Ship Time Charter Rates'!G343))))),0,"Vessel class and Index Choosen don’t match!")</f>
        <v>0</v>
      </c>
      <c r="J343" s="36" t="s">
        <v>39</v>
      </c>
    </row>
    <row r="344" spans="4:10" ht="15.75">
      <c r="D344" s="37">
        <f t="shared" si="28"/>
        <v>323</v>
      </c>
      <c r="E344" s="39"/>
      <c r="F344" s="42"/>
      <c r="G344" s="42"/>
      <c r="H344" s="29"/>
      <c r="I344" s="193">
        <f t="array" ref="I344">IF(NOT(ISERROR(MATCH(2,1/(('AllowedShip Class Time Charters'!$D$3:$D$16='Ship Time Charter Rates'!F344)*('AllowedShip Class Time Charters'!$E$3:$E$16='Ship Time Charter Rates'!G344))))),0,"Vessel class and Index Choosen don’t match!")</f>
        <v>0</v>
      </c>
      <c r="J344" s="36" t="s">
        <v>39</v>
      </c>
    </row>
    <row r="345" spans="4:10" ht="15.75">
      <c r="D345" s="37">
        <f t="shared" si="28"/>
        <v>324</v>
      </c>
      <c r="E345" s="39"/>
      <c r="F345" s="42"/>
      <c r="G345" s="42"/>
      <c r="H345" s="29"/>
      <c r="I345" s="193">
        <f t="array" ref="I345">IF(NOT(ISERROR(MATCH(2,1/(('AllowedShip Class Time Charters'!$D$3:$D$16='Ship Time Charter Rates'!F345)*('AllowedShip Class Time Charters'!$E$3:$E$16='Ship Time Charter Rates'!G345))))),0,"Vessel class and Index Choosen don’t match!")</f>
        <v>0</v>
      </c>
      <c r="J345" s="36" t="s">
        <v>39</v>
      </c>
    </row>
    <row r="346" spans="4:10" ht="15.75">
      <c r="D346" s="37">
        <f t="shared" si="28"/>
        <v>325</v>
      </c>
      <c r="E346" s="39"/>
      <c r="F346" s="42"/>
      <c r="G346" s="42"/>
      <c r="H346" s="29"/>
      <c r="I346" s="193">
        <f t="array" ref="I346">IF(NOT(ISERROR(MATCH(2,1/(('AllowedShip Class Time Charters'!$D$3:$D$16='Ship Time Charter Rates'!F346)*('AllowedShip Class Time Charters'!$E$3:$E$16='Ship Time Charter Rates'!G346))))),0,"Vessel class and Index Choosen don’t match!")</f>
        <v>0</v>
      </c>
      <c r="J346" s="36" t="s">
        <v>39</v>
      </c>
    </row>
    <row r="347" spans="4:10" ht="15.75">
      <c r="D347" s="37">
        <f t="shared" si="28"/>
        <v>326</v>
      </c>
      <c r="E347" s="39"/>
      <c r="F347" s="42"/>
      <c r="G347" s="42"/>
      <c r="H347" s="29"/>
      <c r="I347" s="193">
        <f t="array" ref="I347">IF(NOT(ISERROR(MATCH(2,1/(('AllowedShip Class Time Charters'!$D$3:$D$16='Ship Time Charter Rates'!F347)*('AllowedShip Class Time Charters'!$E$3:$E$16='Ship Time Charter Rates'!G347))))),0,"Vessel class and Index Choosen don’t match!")</f>
        <v>0</v>
      </c>
      <c r="J347" s="36" t="s">
        <v>39</v>
      </c>
    </row>
    <row r="348" spans="4:10" ht="15.75">
      <c r="D348" s="37">
        <f t="shared" si="28"/>
        <v>327</v>
      </c>
      <c r="E348" s="39"/>
      <c r="F348" s="42"/>
      <c r="G348" s="42"/>
      <c r="H348" s="29"/>
      <c r="I348" s="193">
        <f t="array" ref="I348">IF(NOT(ISERROR(MATCH(2,1/(('AllowedShip Class Time Charters'!$D$3:$D$16='Ship Time Charter Rates'!F348)*('AllowedShip Class Time Charters'!$E$3:$E$16='Ship Time Charter Rates'!G348))))),0,"Vessel class and Index Choosen don’t match!")</f>
        <v>0</v>
      </c>
      <c r="J348" s="36" t="s">
        <v>39</v>
      </c>
    </row>
    <row r="349" spans="4:10" ht="15.75">
      <c r="D349" s="37">
        <f t="shared" si="28"/>
        <v>328</v>
      </c>
      <c r="E349" s="39"/>
      <c r="F349" s="42"/>
      <c r="G349" s="42"/>
      <c r="H349" s="29"/>
      <c r="I349" s="193">
        <f t="array" ref="I349">IF(NOT(ISERROR(MATCH(2,1/(('AllowedShip Class Time Charters'!$D$3:$D$16='Ship Time Charter Rates'!F349)*('AllowedShip Class Time Charters'!$E$3:$E$16='Ship Time Charter Rates'!G349))))),0,"Vessel class and Index Choosen don’t match!")</f>
        <v>0</v>
      </c>
      <c r="J349" s="36" t="s">
        <v>39</v>
      </c>
    </row>
    <row r="350" spans="4:10" ht="15.75">
      <c r="D350" s="37">
        <f t="shared" si="28"/>
        <v>329</v>
      </c>
      <c r="E350" s="39"/>
      <c r="F350" s="42"/>
      <c r="G350" s="42"/>
      <c r="H350" s="29"/>
      <c r="I350" s="193">
        <f t="array" ref="I350">IF(NOT(ISERROR(MATCH(2,1/(('AllowedShip Class Time Charters'!$D$3:$D$16='Ship Time Charter Rates'!F350)*('AllowedShip Class Time Charters'!$E$3:$E$16='Ship Time Charter Rates'!G350))))),0,"Vessel class and Index Choosen don’t match!")</f>
        <v>0</v>
      </c>
      <c r="J350" s="36" t="s">
        <v>39</v>
      </c>
    </row>
    <row r="351" spans="4:10" ht="15.75">
      <c r="D351" s="37">
        <f t="shared" si="28"/>
        <v>330</v>
      </c>
      <c r="E351" s="39"/>
      <c r="F351" s="42"/>
      <c r="G351" s="42"/>
      <c r="H351" s="29"/>
      <c r="I351" s="193">
        <f t="array" ref="I351">IF(NOT(ISERROR(MATCH(2,1/(('AllowedShip Class Time Charters'!$D$3:$D$16='Ship Time Charter Rates'!F351)*('AllowedShip Class Time Charters'!$E$3:$E$16='Ship Time Charter Rates'!G351))))),0,"Vessel class and Index Choosen don’t match!")</f>
        <v>0</v>
      </c>
      <c r="J351" s="36" t="s">
        <v>39</v>
      </c>
    </row>
    <row r="352" spans="4:10" ht="15.75">
      <c r="D352" s="37">
        <f t="shared" si="28"/>
        <v>331</v>
      </c>
      <c r="E352" s="39"/>
      <c r="F352" s="42"/>
      <c r="G352" s="42"/>
      <c r="H352" s="29"/>
      <c r="I352" s="193">
        <f t="array" ref="I352">IF(NOT(ISERROR(MATCH(2,1/(('AllowedShip Class Time Charters'!$D$3:$D$16='Ship Time Charter Rates'!F352)*('AllowedShip Class Time Charters'!$E$3:$E$16='Ship Time Charter Rates'!G352))))),0,"Vessel class and Index Choosen don’t match!")</f>
        <v>0</v>
      </c>
      <c r="J352" s="36" t="s">
        <v>39</v>
      </c>
    </row>
    <row r="353" spans="4:10" ht="15.75">
      <c r="D353" s="37">
        <f t="shared" si="28"/>
        <v>332</v>
      </c>
      <c r="E353" s="39"/>
      <c r="F353" s="42"/>
      <c r="G353" s="42"/>
      <c r="H353" s="29"/>
      <c r="I353" s="193">
        <f t="array" ref="I353">IF(NOT(ISERROR(MATCH(2,1/(('AllowedShip Class Time Charters'!$D$3:$D$16='Ship Time Charter Rates'!F353)*('AllowedShip Class Time Charters'!$E$3:$E$16='Ship Time Charter Rates'!G353))))),0,"Vessel class and Index Choosen don’t match!")</f>
        <v>0</v>
      </c>
      <c r="J353" s="36" t="s">
        <v>39</v>
      </c>
    </row>
    <row r="354" spans="4:10" ht="15.75">
      <c r="D354" s="37">
        <f t="shared" si="28"/>
        <v>333</v>
      </c>
      <c r="E354" s="39"/>
      <c r="F354" s="42"/>
      <c r="G354" s="42"/>
      <c r="H354" s="29"/>
      <c r="I354" s="193">
        <f t="array" ref="I354">IF(NOT(ISERROR(MATCH(2,1/(('AllowedShip Class Time Charters'!$D$3:$D$16='Ship Time Charter Rates'!F354)*('AllowedShip Class Time Charters'!$E$3:$E$16='Ship Time Charter Rates'!G354))))),0,"Vessel class and Index Choosen don’t match!")</f>
        <v>0</v>
      </c>
      <c r="J354" s="36" t="s">
        <v>39</v>
      </c>
    </row>
    <row r="355" spans="4:10" ht="15.75">
      <c r="D355" s="37">
        <f t="shared" si="28"/>
        <v>334</v>
      </c>
      <c r="E355" s="39"/>
      <c r="F355" s="42"/>
      <c r="G355" s="42"/>
      <c r="H355" s="29"/>
      <c r="I355" s="193">
        <f t="array" ref="I355">IF(NOT(ISERROR(MATCH(2,1/(('AllowedShip Class Time Charters'!$D$3:$D$16='Ship Time Charter Rates'!F355)*('AllowedShip Class Time Charters'!$E$3:$E$16='Ship Time Charter Rates'!G355))))),0,"Vessel class and Index Choosen don’t match!")</f>
        <v>0</v>
      </c>
      <c r="J355" s="36" t="s">
        <v>39</v>
      </c>
    </row>
    <row r="356" spans="4:10" ht="15.75">
      <c r="D356" s="37">
        <f t="shared" si="28"/>
        <v>335</v>
      </c>
      <c r="E356" s="39"/>
      <c r="F356" s="42"/>
      <c r="G356" s="42"/>
      <c r="H356" s="29"/>
      <c r="I356" s="193">
        <f t="array" ref="I356">IF(NOT(ISERROR(MATCH(2,1/(('AllowedShip Class Time Charters'!$D$3:$D$16='Ship Time Charter Rates'!F356)*('AllowedShip Class Time Charters'!$E$3:$E$16='Ship Time Charter Rates'!G356))))),0,"Vessel class and Index Choosen don’t match!")</f>
        <v>0</v>
      </c>
      <c r="J356" s="36" t="s">
        <v>39</v>
      </c>
    </row>
    <row r="357" spans="4:10" ht="15.75">
      <c r="D357" s="37">
        <f t="shared" si="28"/>
        <v>336</v>
      </c>
      <c r="E357" s="39"/>
      <c r="F357" s="42"/>
      <c r="G357" s="42"/>
      <c r="H357" s="29"/>
      <c r="I357" s="193">
        <f t="array" ref="I357">IF(NOT(ISERROR(MATCH(2,1/(('AllowedShip Class Time Charters'!$D$3:$D$16='Ship Time Charter Rates'!F357)*('AllowedShip Class Time Charters'!$E$3:$E$16='Ship Time Charter Rates'!G357))))),0,"Vessel class and Index Choosen don’t match!")</f>
        <v>0</v>
      </c>
      <c r="J357" s="36" t="s">
        <v>39</v>
      </c>
    </row>
    <row r="358" spans="4:10" ht="15.75">
      <c r="D358" s="37">
        <f t="shared" si="28"/>
        <v>337</v>
      </c>
      <c r="E358" s="39"/>
      <c r="F358" s="42"/>
      <c r="G358" s="42"/>
      <c r="H358" s="29"/>
      <c r="I358" s="193">
        <f t="array" ref="I358">IF(NOT(ISERROR(MATCH(2,1/(('AllowedShip Class Time Charters'!$D$3:$D$16='Ship Time Charter Rates'!F358)*('AllowedShip Class Time Charters'!$E$3:$E$16='Ship Time Charter Rates'!G358))))),0,"Vessel class and Index Choosen don’t match!")</f>
        <v>0</v>
      </c>
      <c r="J358" s="36" t="s">
        <v>39</v>
      </c>
    </row>
    <row r="359" spans="4:10" ht="15.75">
      <c r="D359" s="37">
        <f t="shared" si="28"/>
        <v>338</v>
      </c>
      <c r="E359" s="39"/>
      <c r="F359" s="42"/>
      <c r="G359" s="42"/>
      <c r="H359" s="29"/>
      <c r="I359" s="193">
        <f t="array" ref="I359">IF(NOT(ISERROR(MATCH(2,1/(('AllowedShip Class Time Charters'!$D$3:$D$16='Ship Time Charter Rates'!F359)*('AllowedShip Class Time Charters'!$E$3:$E$16='Ship Time Charter Rates'!G359))))),0,"Vessel class and Index Choosen don’t match!")</f>
        <v>0</v>
      </c>
      <c r="J359" s="36" t="s">
        <v>39</v>
      </c>
    </row>
    <row r="360" spans="4:10" ht="15.75">
      <c r="D360" s="37">
        <f t="shared" si="28"/>
        <v>339</v>
      </c>
      <c r="E360" s="39"/>
      <c r="F360" s="42"/>
      <c r="G360" s="42"/>
      <c r="H360" s="29"/>
      <c r="I360" s="193">
        <f t="array" ref="I360">IF(NOT(ISERROR(MATCH(2,1/(('AllowedShip Class Time Charters'!$D$3:$D$16='Ship Time Charter Rates'!F360)*('AllowedShip Class Time Charters'!$E$3:$E$16='Ship Time Charter Rates'!G360))))),0,"Vessel class and Index Choosen don’t match!")</f>
        <v>0</v>
      </c>
      <c r="J360" s="36" t="s">
        <v>39</v>
      </c>
    </row>
    <row r="361" spans="4:10" ht="15.75">
      <c r="D361" s="37">
        <f t="shared" si="28"/>
        <v>340</v>
      </c>
      <c r="E361" s="39"/>
      <c r="F361" s="42"/>
      <c r="G361" s="42"/>
      <c r="H361" s="29"/>
      <c r="I361" s="193">
        <f t="array" ref="I361">IF(NOT(ISERROR(MATCH(2,1/(('AllowedShip Class Time Charters'!$D$3:$D$16='Ship Time Charter Rates'!F361)*('AllowedShip Class Time Charters'!$E$3:$E$16='Ship Time Charter Rates'!G361))))),0,"Vessel class and Index Choosen don’t match!")</f>
        <v>0</v>
      </c>
      <c r="J361" s="36" t="s">
        <v>39</v>
      </c>
    </row>
    <row r="362" spans="4:10" ht="15.75">
      <c r="D362" s="37">
        <f t="shared" si="28"/>
        <v>341</v>
      </c>
      <c r="E362" s="39"/>
      <c r="F362" s="42"/>
      <c r="G362" s="42"/>
      <c r="H362" s="29"/>
      <c r="I362" s="193">
        <f t="array" ref="I362">IF(NOT(ISERROR(MATCH(2,1/(('AllowedShip Class Time Charters'!$D$3:$D$16='Ship Time Charter Rates'!F362)*('AllowedShip Class Time Charters'!$E$3:$E$16='Ship Time Charter Rates'!G362))))),0,"Vessel class and Index Choosen don’t match!")</f>
        <v>0</v>
      </c>
      <c r="J362" s="36" t="s">
        <v>39</v>
      </c>
    </row>
    <row r="363" spans="4:10" ht="15.75">
      <c r="D363" s="37">
        <f t="shared" si="28"/>
        <v>342</v>
      </c>
      <c r="E363" s="39"/>
      <c r="F363" s="42"/>
      <c r="G363" s="42"/>
      <c r="H363" s="29"/>
      <c r="I363" s="193">
        <f t="array" ref="I363">IF(NOT(ISERROR(MATCH(2,1/(('AllowedShip Class Time Charters'!$D$3:$D$16='Ship Time Charter Rates'!F363)*('AllowedShip Class Time Charters'!$E$3:$E$16='Ship Time Charter Rates'!G363))))),0,"Vessel class and Index Choosen don’t match!")</f>
        <v>0</v>
      </c>
      <c r="J363" s="36" t="s">
        <v>39</v>
      </c>
    </row>
    <row r="364" spans="4:10" ht="15.75">
      <c r="D364" s="37">
        <f t="shared" si="28"/>
        <v>343</v>
      </c>
      <c r="E364" s="39"/>
      <c r="F364" s="42"/>
      <c r="G364" s="42"/>
      <c r="H364" s="29"/>
      <c r="I364" s="193">
        <f t="array" ref="I364">IF(NOT(ISERROR(MATCH(2,1/(('AllowedShip Class Time Charters'!$D$3:$D$16='Ship Time Charter Rates'!F364)*('AllowedShip Class Time Charters'!$E$3:$E$16='Ship Time Charter Rates'!G364))))),0,"Vessel class and Index Choosen don’t match!")</f>
        <v>0</v>
      </c>
      <c r="J364" s="36" t="s">
        <v>39</v>
      </c>
    </row>
    <row r="365" spans="4:10" ht="15.75">
      <c r="D365" s="37">
        <f t="shared" si="28"/>
        <v>344</v>
      </c>
      <c r="E365" s="39"/>
      <c r="F365" s="42"/>
      <c r="G365" s="42"/>
      <c r="H365" s="29"/>
      <c r="I365" s="193">
        <f t="array" ref="I365">IF(NOT(ISERROR(MATCH(2,1/(('AllowedShip Class Time Charters'!$D$3:$D$16='Ship Time Charter Rates'!F365)*('AllowedShip Class Time Charters'!$E$3:$E$16='Ship Time Charter Rates'!G365))))),0,"Vessel class and Index Choosen don’t match!")</f>
        <v>0</v>
      </c>
      <c r="J365" s="36" t="s">
        <v>39</v>
      </c>
    </row>
    <row r="366" spans="4:10" ht="15.75">
      <c r="D366" s="37">
        <f t="shared" si="28"/>
        <v>345</v>
      </c>
      <c r="E366" s="39"/>
      <c r="F366" s="42"/>
      <c r="G366" s="42"/>
      <c r="H366" s="29"/>
      <c r="I366" s="193">
        <f t="array" ref="I366">IF(NOT(ISERROR(MATCH(2,1/(('AllowedShip Class Time Charters'!$D$3:$D$16='Ship Time Charter Rates'!F366)*('AllowedShip Class Time Charters'!$E$3:$E$16='Ship Time Charter Rates'!G366))))),0,"Vessel class and Index Choosen don’t match!")</f>
        <v>0</v>
      </c>
      <c r="J366" s="36" t="s">
        <v>39</v>
      </c>
    </row>
    <row r="367" spans="4:10" ht="15.75">
      <c r="D367" s="37">
        <f t="shared" si="28"/>
        <v>346</v>
      </c>
      <c r="E367" s="39"/>
      <c r="F367" s="42"/>
      <c r="G367" s="42"/>
      <c r="H367" s="29"/>
      <c r="I367" s="193">
        <f t="array" ref="I367">IF(NOT(ISERROR(MATCH(2,1/(('AllowedShip Class Time Charters'!$D$3:$D$16='Ship Time Charter Rates'!F367)*('AllowedShip Class Time Charters'!$E$3:$E$16='Ship Time Charter Rates'!G367))))),0,"Vessel class and Index Choosen don’t match!")</f>
        <v>0</v>
      </c>
      <c r="J367" s="36" t="s">
        <v>39</v>
      </c>
    </row>
    <row r="368" spans="4:10" ht="15.75">
      <c r="D368" s="37">
        <f t="shared" si="28"/>
        <v>347</v>
      </c>
      <c r="E368" s="39"/>
      <c r="F368" s="42"/>
      <c r="G368" s="42"/>
      <c r="H368" s="29"/>
      <c r="I368" s="193">
        <f t="array" ref="I368">IF(NOT(ISERROR(MATCH(2,1/(('AllowedShip Class Time Charters'!$D$3:$D$16='Ship Time Charter Rates'!F368)*('AllowedShip Class Time Charters'!$E$3:$E$16='Ship Time Charter Rates'!G368))))),0,"Vessel class and Index Choosen don’t match!")</f>
        <v>0</v>
      </c>
      <c r="J368" s="36" t="s">
        <v>39</v>
      </c>
    </row>
    <row r="369" spans="4:10" ht="15.75">
      <c r="D369" s="37">
        <f t="shared" si="28"/>
        <v>348</v>
      </c>
      <c r="E369" s="39"/>
      <c r="F369" s="42"/>
      <c r="G369" s="42"/>
      <c r="H369" s="29"/>
      <c r="I369" s="193">
        <f t="array" ref="I369">IF(NOT(ISERROR(MATCH(2,1/(('AllowedShip Class Time Charters'!$D$3:$D$16='Ship Time Charter Rates'!F369)*('AllowedShip Class Time Charters'!$E$3:$E$16='Ship Time Charter Rates'!G369))))),0,"Vessel class and Index Choosen don’t match!")</f>
        <v>0</v>
      </c>
      <c r="J369" s="36" t="s">
        <v>39</v>
      </c>
    </row>
    <row r="370" spans="4:10" ht="15.75">
      <c r="D370" s="37">
        <f t="shared" si="28"/>
        <v>349</v>
      </c>
      <c r="E370" s="39"/>
      <c r="F370" s="42"/>
      <c r="G370" s="42"/>
      <c r="H370" s="29"/>
      <c r="I370" s="193">
        <f t="array" ref="I370">IF(NOT(ISERROR(MATCH(2,1/(('AllowedShip Class Time Charters'!$D$3:$D$16='Ship Time Charter Rates'!F370)*('AllowedShip Class Time Charters'!$E$3:$E$16='Ship Time Charter Rates'!G370))))),0,"Vessel class and Index Choosen don’t match!")</f>
        <v>0</v>
      </c>
      <c r="J370" s="36" t="s">
        <v>39</v>
      </c>
    </row>
    <row r="371" spans="4:10" ht="15.75">
      <c r="D371" s="37">
        <f t="shared" si="28"/>
        <v>350</v>
      </c>
      <c r="E371" s="39"/>
      <c r="F371" s="42"/>
      <c r="G371" s="42"/>
      <c r="H371" s="29"/>
      <c r="I371" s="193">
        <f t="array" ref="I371">IF(NOT(ISERROR(MATCH(2,1/(('AllowedShip Class Time Charters'!$D$3:$D$16='Ship Time Charter Rates'!F371)*('AllowedShip Class Time Charters'!$E$3:$E$16='Ship Time Charter Rates'!G371))))),0,"Vessel class and Index Choosen don’t match!")</f>
        <v>0</v>
      </c>
      <c r="J371" s="36" t="s">
        <v>39</v>
      </c>
    </row>
    <row r="372" spans="4:10" ht="15.75">
      <c r="D372" s="37">
        <f t="shared" si="28"/>
        <v>351</v>
      </c>
      <c r="E372" s="39"/>
      <c r="F372" s="42"/>
      <c r="G372" s="42"/>
      <c r="H372" s="29"/>
      <c r="I372" s="193">
        <f t="array" ref="I372">IF(NOT(ISERROR(MATCH(2,1/(('AllowedShip Class Time Charters'!$D$3:$D$16='Ship Time Charter Rates'!F372)*('AllowedShip Class Time Charters'!$E$3:$E$16='Ship Time Charter Rates'!G372))))),0,"Vessel class and Index Choosen don’t match!")</f>
        <v>0</v>
      </c>
      <c r="J372" s="36" t="s">
        <v>39</v>
      </c>
    </row>
    <row r="373" spans="4:10" ht="15.75">
      <c r="D373" s="37">
        <f t="shared" si="28"/>
        <v>352</v>
      </c>
      <c r="E373" s="39"/>
      <c r="F373" s="42"/>
      <c r="G373" s="42"/>
      <c r="H373" s="29"/>
      <c r="I373" s="193">
        <f t="array" ref="I373">IF(NOT(ISERROR(MATCH(2,1/(('AllowedShip Class Time Charters'!$D$3:$D$16='Ship Time Charter Rates'!F373)*('AllowedShip Class Time Charters'!$E$3:$E$16='Ship Time Charter Rates'!G373))))),0,"Vessel class and Index Choosen don’t match!")</f>
        <v>0</v>
      </c>
      <c r="J373" s="36" t="s">
        <v>39</v>
      </c>
    </row>
    <row r="374" spans="4:10" ht="15.75">
      <c r="D374" s="37">
        <f t="shared" si="28"/>
        <v>353</v>
      </c>
      <c r="E374" s="39"/>
      <c r="F374" s="42"/>
      <c r="G374" s="42"/>
      <c r="H374" s="29"/>
      <c r="I374" s="193">
        <f t="array" ref="I374">IF(NOT(ISERROR(MATCH(2,1/(('AllowedShip Class Time Charters'!$D$3:$D$16='Ship Time Charter Rates'!F374)*('AllowedShip Class Time Charters'!$E$3:$E$16='Ship Time Charter Rates'!G374))))),0,"Vessel class and Index Choosen don’t match!")</f>
        <v>0</v>
      </c>
      <c r="J374" s="36" t="s">
        <v>39</v>
      </c>
    </row>
    <row r="375" spans="4:10" ht="15.75">
      <c r="D375" s="37">
        <f t="shared" si="28"/>
        <v>354</v>
      </c>
      <c r="E375" s="39"/>
      <c r="F375" s="42"/>
      <c r="G375" s="42"/>
      <c r="H375" s="29"/>
      <c r="I375" s="193">
        <f t="array" ref="I375">IF(NOT(ISERROR(MATCH(2,1/(('AllowedShip Class Time Charters'!$D$3:$D$16='Ship Time Charter Rates'!F375)*('AllowedShip Class Time Charters'!$E$3:$E$16='Ship Time Charter Rates'!G375))))),0,"Vessel class and Index Choosen don’t match!")</f>
        <v>0</v>
      </c>
      <c r="J375" s="36" t="s">
        <v>39</v>
      </c>
    </row>
    <row r="376" spans="4:10" ht="15.75">
      <c r="D376" s="37">
        <f t="shared" si="28"/>
        <v>355</v>
      </c>
      <c r="E376" s="39"/>
      <c r="F376" s="42"/>
      <c r="G376" s="42"/>
      <c r="H376" s="29"/>
      <c r="I376" s="193">
        <f t="array" ref="I376">IF(NOT(ISERROR(MATCH(2,1/(('AllowedShip Class Time Charters'!$D$3:$D$16='Ship Time Charter Rates'!F376)*('AllowedShip Class Time Charters'!$E$3:$E$16='Ship Time Charter Rates'!G376))))),0,"Vessel class and Index Choosen don’t match!")</f>
        <v>0</v>
      </c>
      <c r="J376" s="36" t="s">
        <v>39</v>
      </c>
    </row>
    <row r="377" spans="4:10" ht="15.75">
      <c r="D377" s="37">
        <f t="shared" si="28"/>
        <v>356</v>
      </c>
      <c r="E377" s="39"/>
      <c r="F377" s="42"/>
      <c r="G377" s="42"/>
      <c r="H377" s="29"/>
      <c r="I377" s="193">
        <f t="array" ref="I377">IF(NOT(ISERROR(MATCH(2,1/(('AllowedShip Class Time Charters'!$D$3:$D$16='Ship Time Charter Rates'!F377)*('AllowedShip Class Time Charters'!$E$3:$E$16='Ship Time Charter Rates'!G377))))),0,"Vessel class and Index Choosen don’t match!")</f>
        <v>0</v>
      </c>
      <c r="J377" s="36" t="s">
        <v>39</v>
      </c>
    </row>
    <row r="378" spans="4:10" ht="15.75">
      <c r="D378" s="37">
        <f t="shared" si="28"/>
        <v>357</v>
      </c>
      <c r="E378" s="39"/>
      <c r="F378" s="42"/>
      <c r="G378" s="42"/>
      <c r="H378" s="29"/>
      <c r="I378" s="193">
        <f t="array" ref="I378">IF(NOT(ISERROR(MATCH(2,1/(('AllowedShip Class Time Charters'!$D$3:$D$16='Ship Time Charter Rates'!F378)*('AllowedShip Class Time Charters'!$E$3:$E$16='Ship Time Charter Rates'!G378))))),0,"Vessel class and Index Choosen don’t match!")</f>
        <v>0</v>
      </c>
      <c r="J378" s="36" t="s">
        <v>39</v>
      </c>
    </row>
    <row r="379" spans="4:10" ht="15.75">
      <c r="D379" s="37">
        <f t="shared" si="28"/>
        <v>358</v>
      </c>
      <c r="E379" s="39"/>
      <c r="F379" s="42"/>
      <c r="G379" s="42"/>
      <c r="H379" s="29"/>
      <c r="I379" s="193">
        <f t="array" ref="I379">IF(NOT(ISERROR(MATCH(2,1/(('AllowedShip Class Time Charters'!$D$3:$D$16='Ship Time Charter Rates'!F379)*('AllowedShip Class Time Charters'!$E$3:$E$16='Ship Time Charter Rates'!G379))))),0,"Vessel class and Index Choosen don’t match!")</f>
        <v>0</v>
      </c>
      <c r="J379" s="36" t="s">
        <v>39</v>
      </c>
    </row>
    <row r="380" spans="4:10" ht="15.75">
      <c r="D380" s="37">
        <f t="shared" si="28"/>
        <v>359</v>
      </c>
      <c r="E380" s="39"/>
      <c r="F380" s="42"/>
      <c r="G380" s="42"/>
      <c r="H380" s="29"/>
      <c r="I380" s="193">
        <f t="array" ref="I380">IF(NOT(ISERROR(MATCH(2,1/(('AllowedShip Class Time Charters'!$D$3:$D$16='Ship Time Charter Rates'!F380)*('AllowedShip Class Time Charters'!$E$3:$E$16='Ship Time Charter Rates'!G380))))),0,"Vessel class and Index Choosen don’t match!")</f>
        <v>0</v>
      </c>
      <c r="J380" s="36" t="s">
        <v>39</v>
      </c>
    </row>
    <row r="381" spans="4:10" ht="15.75">
      <c r="D381" s="37">
        <f t="shared" si="28"/>
        <v>360</v>
      </c>
      <c r="E381" s="39"/>
      <c r="F381" s="42"/>
      <c r="G381" s="42"/>
      <c r="H381" s="29"/>
      <c r="I381" s="193">
        <f t="array" ref="I381">IF(NOT(ISERROR(MATCH(2,1/(('AllowedShip Class Time Charters'!$D$3:$D$16='Ship Time Charter Rates'!F381)*('AllowedShip Class Time Charters'!$E$3:$E$16='Ship Time Charter Rates'!G381))))),0,"Vessel class and Index Choosen don’t match!")</f>
        <v>0</v>
      </c>
      <c r="J381" s="36" t="s">
        <v>39</v>
      </c>
    </row>
    <row r="382" spans="4:10" ht="15.75">
      <c r="D382" s="37">
        <f t="shared" si="28"/>
        <v>361</v>
      </c>
      <c r="E382" s="39"/>
      <c r="F382" s="42"/>
      <c r="G382" s="42"/>
      <c r="H382" s="29"/>
      <c r="I382" s="193">
        <f t="array" ref="I382">IF(NOT(ISERROR(MATCH(2,1/(('AllowedShip Class Time Charters'!$D$3:$D$16='Ship Time Charter Rates'!F382)*('AllowedShip Class Time Charters'!$E$3:$E$16='Ship Time Charter Rates'!G382))))),0,"Vessel class and Index Choosen don’t match!")</f>
        <v>0</v>
      </c>
      <c r="J382" s="36" t="s">
        <v>39</v>
      </c>
    </row>
    <row r="383" spans="4:10" ht="15.75">
      <c r="D383" s="37">
        <f t="shared" si="28"/>
        <v>362</v>
      </c>
      <c r="E383" s="39"/>
      <c r="F383" s="42"/>
      <c r="G383" s="42"/>
      <c r="H383" s="29"/>
      <c r="I383" s="193">
        <f t="array" ref="I383">IF(NOT(ISERROR(MATCH(2,1/(('AllowedShip Class Time Charters'!$D$3:$D$16='Ship Time Charter Rates'!F383)*('AllowedShip Class Time Charters'!$E$3:$E$16='Ship Time Charter Rates'!G383))))),0,"Vessel class and Index Choosen don’t match!")</f>
        <v>0</v>
      </c>
      <c r="J383" s="36" t="s">
        <v>39</v>
      </c>
    </row>
    <row r="384" spans="4:10" ht="15.75">
      <c r="D384" s="37">
        <f t="shared" si="28"/>
        <v>363</v>
      </c>
      <c r="E384" s="39"/>
      <c r="F384" s="42"/>
      <c r="G384" s="42"/>
      <c r="H384" s="29"/>
      <c r="I384" s="193">
        <f t="array" ref="I384">IF(NOT(ISERROR(MATCH(2,1/(('AllowedShip Class Time Charters'!$D$3:$D$16='Ship Time Charter Rates'!F384)*('AllowedShip Class Time Charters'!$E$3:$E$16='Ship Time Charter Rates'!G384))))),0,"Vessel class and Index Choosen don’t match!")</f>
        <v>0</v>
      </c>
      <c r="J384" s="36" t="s">
        <v>39</v>
      </c>
    </row>
    <row r="385" spans="4:10" ht="15.75">
      <c r="D385" s="37">
        <f t="shared" si="28"/>
        <v>364</v>
      </c>
      <c r="E385" s="39"/>
      <c r="F385" s="42"/>
      <c r="G385" s="42"/>
      <c r="H385" s="29"/>
      <c r="I385" s="193">
        <f t="array" ref="I385">IF(NOT(ISERROR(MATCH(2,1/(('AllowedShip Class Time Charters'!$D$3:$D$16='Ship Time Charter Rates'!F385)*('AllowedShip Class Time Charters'!$E$3:$E$16='Ship Time Charter Rates'!G385))))),0,"Vessel class and Index Choosen don’t match!")</f>
        <v>0</v>
      </c>
      <c r="J385" s="36" t="s">
        <v>39</v>
      </c>
    </row>
    <row r="386" spans="4:10" ht="15.75">
      <c r="D386" s="37">
        <f t="shared" si="28"/>
        <v>365</v>
      </c>
      <c r="E386" s="39"/>
      <c r="F386" s="42"/>
      <c r="G386" s="42"/>
      <c r="H386" s="29"/>
      <c r="I386" s="193">
        <f t="array" ref="I386">IF(NOT(ISERROR(MATCH(2,1/(('AllowedShip Class Time Charters'!$D$3:$D$16='Ship Time Charter Rates'!F386)*('AllowedShip Class Time Charters'!$E$3:$E$16='Ship Time Charter Rates'!G386))))),0,"Vessel class and Index Choosen don’t match!")</f>
        <v>0</v>
      </c>
      <c r="J386" s="36" t="s">
        <v>39</v>
      </c>
    </row>
    <row r="387" spans="4:10" ht="15.75">
      <c r="D387" s="37">
        <f t="shared" ref="D387:D415" si="29">D386+1</f>
        <v>366</v>
      </c>
      <c r="E387" s="39"/>
      <c r="F387" s="42"/>
      <c r="G387" s="42"/>
      <c r="H387" s="29"/>
      <c r="I387" s="193">
        <f t="array" ref="I387">IF(NOT(ISERROR(MATCH(2,1/(('AllowedShip Class Time Charters'!$D$3:$D$16='Ship Time Charter Rates'!F387)*('AllowedShip Class Time Charters'!$E$3:$E$16='Ship Time Charter Rates'!G387))))),0,"Vessel class and Index Choosen don’t match!")</f>
        <v>0</v>
      </c>
      <c r="J387" s="36" t="s">
        <v>39</v>
      </c>
    </row>
    <row r="388" spans="4:10" ht="15.75">
      <c r="D388" s="37">
        <f t="shared" si="29"/>
        <v>367</v>
      </c>
      <c r="E388" s="39"/>
      <c r="F388" s="42"/>
      <c r="G388" s="42"/>
      <c r="H388" s="29"/>
      <c r="I388" s="193">
        <f t="array" ref="I388">IF(NOT(ISERROR(MATCH(2,1/(('AllowedShip Class Time Charters'!$D$3:$D$16='Ship Time Charter Rates'!F388)*('AllowedShip Class Time Charters'!$E$3:$E$16='Ship Time Charter Rates'!G388))))),0,"Vessel class and Index Choosen don’t match!")</f>
        <v>0</v>
      </c>
      <c r="J388" s="36" t="s">
        <v>39</v>
      </c>
    </row>
    <row r="389" spans="4:10" ht="15.75">
      <c r="D389" s="37">
        <f t="shared" si="29"/>
        <v>368</v>
      </c>
      <c r="E389" s="39"/>
      <c r="F389" s="42"/>
      <c r="G389" s="42"/>
      <c r="H389" s="29"/>
      <c r="I389" s="193">
        <f t="array" ref="I389">IF(NOT(ISERROR(MATCH(2,1/(('AllowedShip Class Time Charters'!$D$3:$D$16='Ship Time Charter Rates'!F389)*('AllowedShip Class Time Charters'!$E$3:$E$16='Ship Time Charter Rates'!G389))))),0,"Vessel class and Index Choosen don’t match!")</f>
        <v>0</v>
      </c>
      <c r="J389" s="36" t="s">
        <v>39</v>
      </c>
    </row>
    <row r="390" spans="4:10" ht="15.75">
      <c r="D390" s="37">
        <f t="shared" si="29"/>
        <v>369</v>
      </c>
      <c r="E390" s="39"/>
      <c r="F390" s="42"/>
      <c r="G390" s="42"/>
      <c r="H390" s="29"/>
      <c r="I390" s="193">
        <f t="array" ref="I390">IF(NOT(ISERROR(MATCH(2,1/(('AllowedShip Class Time Charters'!$D$3:$D$16='Ship Time Charter Rates'!F390)*('AllowedShip Class Time Charters'!$E$3:$E$16='Ship Time Charter Rates'!G390))))),0,"Vessel class and Index Choosen don’t match!")</f>
        <v>0</v>
      </c>
      <c r="J390" s="36" t="s">
        <v>39</v>
      </c>
    </row>
    <row r="391" spans="4:10" ht="15.75">
      <c r="D391" s="37">
        <f t="shared" si="29"/>
        <v>370</v>
      </c>
      <c r="E391" s="39"/>
      <c r="F391" s="42"/>
      <c r="G391" s="42"/>
      <c r="H391" s="29"/>
      <c r="I391" s="193">
        <f t="array" ref="I391">IF(NOT(ISERROR(MATCH(2,1/(('AllowedShip Class Time Charters'!$D$3:$D$16='Ship Time Charter Rates'!F391)*('AllowedShip Class Time Charters'!$E$3:$E$16='Ship Time Charter Rates'!G391))))),0,"Vessel class and Index Choosen don’t match!")</f>
        <v>0</v>
      </c>
      <c r="J391" s="36" t="s">
        <v>39</v>
      </c>
    </row>
    <row r="392" spans="4:10" ht="15.75">
      <c r="D392" s="37">
        <f t="shared" si="29"/>
        <v>371</v>
      </c>
      <c r="E392" s="39"/>
      <c r="F392" s="42"/>
      <c r="G392" s="42"/>
      <c r="H392" s="29"/>
      <c r="I392" s="193">
        <f t="array" ref="I392">IF(NOT(ISERROR(MATCH(2,1/(('AllowedShip Class Time Charters'!$D$3:$D$16='Ship Time Charter Rates'!F392)*('AllowedShip Class Time Charters'!$E$3:$E$16='Ship Time Charter Rates'!G392))))),0,"Vessel class and Index Choosen don’t match!")</f>
        <v>0</v>
      </c>
      <c r="J392" s="36" t="s">
        <v>39</v>
      </c>
    </row>
    <row r="393" spans="4:10" ht="15.75">
      <c r="D393" s="37">
        <f t="shared" si="29"/>
        <v>372</v>
      </c>
      <c r="E393" s="39"/>
      <c r="F393" s="42"/>
      <c r="G393" s="42"/>
      <c r="H393" s="29"/>
      <c r="I393" s="193">
        <f t="array" ref="I393">IF(NOT(ISERROR(MATCH(2,1/(('AllowedShip Class Time Charters'!$D$3:$D$16='Ship Time Charter Rates'!F393)*('AllowedShip Class Time Charters'!$E$3:$E$16='Ship Time Charter Rates'!G393))))),0,"Vessel class and Index Choosen don’t match!")</f>
        <v>0</v>
      </c>
      <c r="J393" s="36" t="s">
        <v>39</v>
      </c>
    </row>
    <row r="394" spans="4:10" ht="15.75">
      <c r="D394" s="37">
        <f t="shared" si="29"/>
        <v>373</v>
      </c>
      <c r="E394" s="39"/>
      <c r="F394" s="42"/>
      <c r="G394" s="42"/>
      <c r="H394" s="29"/>
      <c r="I394" s="193">
        <f t="array" ref="I394">IF(NOT(ISERROR(MATCH(2,1/(('AllowedShip Class Time Charters'!$D$3:$D$16='Ship Time Charter Rates'!F394)*('AllowedShip Class Time Charters'!$E$3:$E$16='Ship Time Charter Rates'!G394))))),0,"Vessel class and Index Choosen don’t match!")</f>
        <v>0</v>
      </c>
      <c r="J394" s="36" t="s">
        <v>39</v>
      </c>
    </row>
    <row r="395" spans="4:10" ht="15.75">
      <c r="D395" s="37">
        <f t="shared" si="29"/>
        <v>374</v>
      </c>
      <c r="E395" s="39"/>
      <c r="F395" s="42"/>
      <c r="G395" s="42"/>
      <c r="H395" s="29"/>
      <c r="I395" s="193">
        <f t="array" ref="I395">IF(NOT(ISERROR(MATCH(2,1/(('AllowedShip Class Time Charters'!$D$3:$D$16='Ship Time Charter Rates'!F395)*('AllowedShip Class Time Charters'!$E$3:$E$16='Ship Time Charter Rates'!G395))))),0,"Vessel class and Index Choosen don’t match!")</f>
        <v>0</v>
      </c>
      <c r="J395" s="36" t="s">
        <v>39</v>
      </c>
    </row>
    <row r="396" spans="4:10" ht="15.75">
      <c r="D396" s="37">
        <f t="shared" si="29"/>
        <v>375</v>
      </c>
      <c r="E396" s="39"/>
      <c r="F396" s="42"/>
      <c r="G396" s="42"/>
      <c r="H396" s="29"/>
      <c r="I396" s="193">
        <f t="array" ref="I396">IF(NOT(ISERROR(MATCH(2,1/(('AllowedShip Class Time Charters'!$D$3:$D$16='Ship Time Charter Rates'!F396)*('AllowedShip Class Time Charters'!$E$3:$E$16='Ship Time Charter Rates'!G396))))),0,"Vessel class and Index Choosen don’t match!")</f>
        <v>0</v>
      </c>
      <c r="J396" s="36" t="s">
        <v>39</v>
      </c>
    </row>
    <row r="397" spans="4:10" ht="15.75">
      <c r="D397" s="37">
        <f t="shared" si="29"/>
        <v>376</v>
      </c>
      <c r="E397" s="39"/>
      <c r="F397" s="42"/>
      <c r="G397" s="42"/>
      <c r="H397" s="29"/>
      <c r="I397" s="193">
        <f t="array" ref="I397">IF(NOT(ISERROR(MATCH(2,1/(('AllowedShip Class Time Charters'!$D$3:$D$16='Ship Time Charter Rates'!F397)*('AllowedShip Class Time Charters'!$E$3:$E$16='Ship Time Charter Rates'!G397))))),0,"Vessel class and Index Choosen don’t match!")</f>
        <v>0</v>
      </c>
      <c r="J397" s="36" t="s">
        <v>39</v>
      </c>
    </row>
    <row r="398" spans="4:10" ht="15.75">
      <c r="D398" s="37">
        <f t="shared" si="29"/>
        <v>377</v>
      </c>
      <c r="E398" s="39"/>
      <c r="F398" s="42"/>
      <c r="G398" s="42"/>
      <c r="H398" s="29"/>
      <c r="I398" s="193">
        <f t="array" ref="I398">IF(NOT(ISERROR(MATCH(2,1/(('AllowedShip Class Time Charters'!$D$3:$D$16='Ship Time Charter Rates'!F398)*('AllowedShip Class Time Charters'!$E$3:$E$16='Ship Time Charter Rates'!G398))))),0,"Vessel class and Index Choosen don’t match!")</f>
        <v>0</v>
      </c>
      <c r="J398" s="36" t="s">
        <v>39</v>
      </c>
    </row>
    <row r="399" spans="4:10" ht="15.75">
      <c r="D399" s="37">
        <f t="shared" si="29"/>
        <v>378</v>
      </c>
      <c r="E399" s="39"/>
      <c r="F399" s="42"/>
      <c r="G399" s="42"/>
      <c r="H399" s="29"/>
      <c r="I399" s="193">
        <f t="array" ref="I399">IF(NOT(ISERROR(MATCH(2,1/(('AllowedShip Class Time Charters'!$D$3:$D$16='Ship Time Charter Rates'!F399)*('AllowedShip Class Time Charters'!$E$3:$E$16='Ship Time Charter Rates'!G399))))),0,"Vessel class and Index Choosen don’t match!")</f>
        <v>0</v>
      </c>
      <c r="J399" s="36" t="s">
        <v>39</v>
      </c>
    </row>
    <row r="400" spans="4:10" ht="15.75">
      <c r="D400" s="37">
        <f t="shared" si="29"/>
        <v>379</v>
      </c>
      <c r="E400" s="39"/>
      <c r="F400" s="42"/>
      <c r="G400" s="42"/>
      <c r="H400" s="29"/>
      <c r="I400" s="193">
        <f t="array" ref="I400">IF(NOT(ISERROR(MATCH(2,1/(('AllowedShip Class Time Charters'!$D$3:$D$16='Ship Time Charter Rates'!F400)*('AllowedShip Class Time Charters'!$E$3:$E$16='Ship Time Charter Rates'!G400))))),0,"Vessel class and Index Choosen don’t match!")</f>
        <v>0</v>
      </c>
      <c r="J400" s="36" t="s">
        <v>39</v>
      </c>
    </row>
    <row r="401" spans="4:10" ht="15.75">
      <c r="D401" s="37">
        <f t="shared" si="29"/>
        <v>380</v>
      </c>
      <c r="E401" s="39"/>
      <c r="F401" s="42"/>
      <c r="G401" s="42"/>
      <c r="H401" s="29"/>
      <c r="I401" s="193">
        <f t="array" ref="I401">IF(NOT(ISERROR(MATCH(2,1/(('AllowedShip Class Time Charters'!$D$3:$D$16='Ship Time Charter Rates'!F401)*('AllowedShip Class Time Charters'!$E$3:$E$16='Ship Time Charter Rates'!G401))))),0,"Vessel class and Index Choosen don’t match!")</f>
        <v>0</v>
      </c>
      <c r="J401" s="36" t="s">
        <v>39</v>
      </c>
    </row>
    <row r="402" spans="4:10" ht="15.75">
      <c r="D402" s="37">
        <f t="shared" si="29"/>
        <v>381</v>
      </c>
      <c r="E402" s="39"/>
      <c r="F402" s="42"/>
      <c r="G402" s="42"/>
      <c r="H402" s="29"/>
      <c r="I402" s="193">
        <f t="array" ref="I402">IF(NOT(ISERROR(MATCH(2,1/(('AllowedShip Class Time Charters'!$D$3:$D$16='Ship Time Charter Rates'!F402)*('AllowedShip Class Time Charters'!$E$3:$E$16='Ship Time Charter Rates'!G402))))),0,"Vessel class and Index Choosen don’t match!")</f>
        <v>0</v>
      </c>
      <c r="J402" s="36" t="s">
        <v>39</v>
      </c>
    </row>
    <row r="403" spans="4:10" ht="15.75">
      <c r="D403" s="37">
        <f t="shared" si="29"/>
        <v>382</v>
      </c>
      <c r="E403" s="39"/>
      <c r="F403" s="42"/>
      <c r="G403" s="42"/>
      <c r="H403" s="29"/>
      <c r="I403" s="193">
        <f t="array" ref="I403">IF(NOT(ISERROR(MATCH(2,1/(('AllowedShip Class Time Charters'!$D$3:$D$16='Ship Time Charter Rates'!F403)*('AllowedShip Class Time Charters'!$E$3:$E$16='Ship Time Charter Rates'!G403))))),0,"Vessel class and Index Choosen don’t match!")</f>
        <v>0</v>
      </c>
      <c r="J403" s="36" t="s">
        <v>39</v>
      </c>
    </row>
    <row r="404" spans="4:10" ht="15.75">
      <c r="D404" s="37">
        <f t="shared" si="29"/>
        <v>383</v>
      </c>
      <c r="E404" s="39"/>
      <c r="F404" s="42"/>
      <c r="G404" s="42"/>
      <c r="H404" s="29"/>
      <c r="I404" s="193">
        <f t="array" ref="I404">IF(NOT(ISERROR(MATCH(2,1/(('AllowedShip Class Time Charters'!$D$3:$D$16='Ship Time Charter Rates'!F404)*('AllowedShip Class Time Charters'!$E$3:$E$16='Ship Time Charter Rates'!G404))))),0,"Vessel class and Index Choosen don’t match!")</f>
        <v>0</v>
      </c>
      <c r="J404" s="36" t="s">
        <v>39</v>
      </c>
    </row>
    <row r="405" spans="4:10" ht="15.75">
      <c r="D405" s="37">
        <f t="shared" si="29"/>
        <v>384</v>
      </c>
      <c r="E405" s="39"/>
      <c r="F405" s="42"/>
      <c r="G405" s="42"/>
      <c r="H405" s="29"/>
      <c r="I405" s="193">
        <f t="array" ref="I405">IF(NOT(ISERROR(MATCH(2,1/(('AllowedShip Class Time Charters'!$D$3:$D$16='Ship Time Charter Rates'!F405)*('AllowedShip Class Time Charters'!$E$3:$E$16='Ship Time Charter Rates'!G405))))),0,"Vessel class and Index Choosen don’t match!")</f>
        <v>0</v>
      </c>
      <c r="J405" s="36" t="s">
        <v>39</v>
      </c>
    </row>
    <row r="406" spans="4:10" ht="15.75">
      <c r="D406" s="37">
        <f t="shared" si="29"/>
        <v>385</v>
      </c>
      <c r="E406" s="39"/>
      <c r="F406" s="42"/>
      <c r="G406" s="42"/>
      <c r="H406" s="29"/>
      <c r="I406" s="193">
        <f t="array" ref="I406">IF(NOT(ISERROR(MATCH(2,1/(('AllowedShip Class Time Charters'!$D$3:$D$16='Ship Time Charter Rates'!F406)*('AllowedShip Class Time Charters'!$E$3:$E$16='Ship Time Charter Rates'!G406))))),0,"Vessel class and Index Choosen don’t match!")</f>
        <v>0</v>
      </c>
      <c r="J406" s="36" t="s">
        <v>39</v>
      </c>
    </row>
    <row r="407" spans="4:10" ht="15.75">
      <c r="D407" s="37">
        <f t="shared" si="29"/>
        <v>386</v>
      </c>
      <c r="E407" s="39"/>
      <c r="F407" s="42"/>
      <c r="G407" s="42"/>
      <c r="H407" s="29"/>
      <c r="I407" s="193">
        <f t="array" ref="I407">IF(NOT(ISERROR(MATCH(2,1/(('AllowedShip Class Time Charters'!$D$3:$D$16='Ship Time Charter Rates'!F407)*('AllowedShip Class Time Charters'!$E$3:$E$16='Ship Time Charter Rates'!G407))))),0,"Vessel class and Index Choosen don’t match!")</f>
        <v>0</v>
      </c>
      <c r="J407" s="36" t="s">
        <v>39</v>
      </c>
    </row>
    <row r="408" spans="4:10" ht="15.75">
      <c r="D408" s="37">
        <f t="shared" si="29"/>
        <v>387</v>
      </c>
      <c r="E408" s="39"/>
      <c r="F408" s="42"/>
      <c r="G408" s="42"/>
      <c r="H408" s="29"/>
      <c r="I408" s="193">
        <f t="array" ref="I408">IF(NOT(ISERROR(MATCH(2,1/(('AllowedShip Class Time Charters'!$D$3:$D$16='Ship Time Charter Rates'!F408)*('AllowedShip Class Time Charters'!$E$3:$E$16='Ship Time Charter Rates'!G408))))),0,"Vessel class and Index Choosen don’t match!")</f>
        <v>0</v>
      </c>
      <c r="J408" s="36" t="s">
        <v>39</v>
      </c>
    </row>
    <row r="409" spans="4:10" ht="15.75">
      <c r="D409" s="37">
        <f t="shared" si="29"/>
        <v>388</v>
      </c>
      <c r="E409" s="39"/>
      <c r="F409" s="42"/>
      <c r="G409" s="42"/>
      <c r="H409" s="29"/>
      <c r="I409" s="193">
        <f t="array" ref="I409">IF(NOT(ISERROR(MATCH(2,1/(('AllowedShip Class Time Charters'!$D$3:$D$16='Ship Time Charter Rates'!F409)*('AllowedShip Class Time Charters'!$E$3:$E$16='Ship Time Charter Rates'!G409))))),0,"Vessel class and Index Choosen don’t match!")</f>
        <v>0</v>
      </c>
      <c r="J409" s="36" t="s">
        <v>39</v>
      </c>
    </row>
    <row r="410" spans="4:10" ht="15.75">
      <c r="D410" s="37">
        <f t="shared" si="29"/>
        <v>389</v>
      </c>
      <c r="E410" s="39"/>
      <c r="F410" s="42"/>
      <c r="G410" s="42"/>
      <c r="H410" s="29"/>
      <c r="I410" s="193">
        <f t="array" ref="I410">IF(NOT(ISERROR(MATCH(2,1/(('AllowedShip Class Time Charters'!$D$3:$D$16='Ship Time Charter Rates'!F410)*('AllowedShip Class Time Charters'!$E$3:$E$16='Ship Time Charter Rates'!G410))))),0,"Vessel class and Index Choosen don’t match!")</f>
        <v>0</v>
      </c>
      <c r="J410" s="36" t="s">
        <v>39</v>
      </c>
    </row>
    <row r="411" spans="4:10" ht="15.75">
      <c r="D411" s="37">
        <f t="shared" si="29"/>
        <v>390</v>
      </c>
      <c r="E411" s="39"/>
      <c r="F411" s="42"/>
      <c r="G411" s="42"/>
      <c r="H411" s="29"/>
      <c r="I411" s="193">
        <f t="array" ref="I411">IF(NOT(ISERROR(MATCH(2,1/(('AllowedShip Class Time Charters'!$D$3:$D$16='Ship Time Charter Rates'!F411)*('AllowedShip Class Time Charters'!$E$3:$E$16='Ship Time Charter Rates'!G411))))),0,"Vessel class and Index Choosen don’t match!")</f>
        <v>0</v>
      </c>
      <c r="J411" s="36" t="s">
        <v>39</v>
      </c>
    </row>
    <row r="412" spans="4:10" ht="15.75">
      <c r="D412" s="37">
        <f t="shared" si="29"/>
        <v>391</v>
      </c>
      <c r="E412" s="39"/>
      <c r="F412" s="42"/>
      <c r="G412" s="42"/>
      <c r="H412" s="29"/>
      <c r="I412" s="193">
        <f t="array" ref="I412">IF(NOT(ISERROR(MATCH(2,1/(('AllowedShip Class Time Charters'!$D$3:$D$16='Ship Time Charter Rates'!F412)*('AllowedShip Class Time Charters'!$E$3:$E$16='Ship Time Charter Rates'!G412))))),0,"Vessel class and Index Choosen don’t match!")</f>
        <v>0</v>
      </c>
      <c r="J412" s="36" t="s">
        <v>39</v>
      </c>
    </row>
    <row r="413" spans="4:10" ht="15.75">
      <c r="D413" s="37">
        <f t="shared" si="29"/>
        <v>392</v>
      </c>
      <c r="E413" s="39"/>
      <c r="F413" s="42"/>
      <c r="G413" s="42"/>
      <c r="H413" s="29"/>
      <c r="I413" s="193">
        <f t="array" ref="I413">IF(NOT(ISERROR(MATCH(2,1/(('AllowedShip Class Time Charters'!$D$3:$D$16='Ship Time Charter Rates'!F413)*('AllowedShip Class Time Charters'!$E$3:$E$16='Ship Time Charter Rates'!G413))))),0,"Vessel class and Index Choosen don’t match!")</f>
        <v>0</v>
      </c>
      <c r="J413" s="36" t="s">
        <v>39</v>
      </c>
    </row>
    <row r="414" spans="4:10" ht="15.75">
      <c r="D414" s="37">
        <f t="shared" si="29"/>
        <v>393</v>
      </c>
      <c r="E414" s="39"/>
      <c r="F414" s="42"/>
      <c r="G414" s="42"/>
      <c r="H414" s="29"/>
      <c r="I414" s="193">
        <f t="array" ref="I414">IF(NOT(ISERROR(MATCH(2,1/(('AllowedShip Class Time Charters'!$D$3:$D$16='Ship Time Charter Rates'!F414)*('AllowedShip Class Time Charters'!$E$3:$E$16='Ship Time Charter Rates'!G414))))),0,"Vessel class and Index Choosen don’t match!")</f>
        <v>0</v>
      </c>
      <c r="J414" s="36" t="s">
        <v>39</v>
      </c>
    </row>
    <row r="415" spans="4:10" ht="15.75">
      <c r="D415" s="37">
        <f t="shared" si="29"/>
        <v>394</v>
      </c>
      <c r="E415" s="39"/>
      <c r="F415" s="42"/>
      <c r="G415" s="42"/>
      <c r="H415" s="29"/>
      <c r="I415" s="193">
        <f t="array" ref="I415">IF(NOT(ISERROR(MATCH(2,1/(('AllowedShip Class Time Charters'!$D$3:$D$16='Ship Time Charter Rates'!F415)*('AllowedShip Class Time Charters'!$E$3:$E$16='Ship Time Charter Rates'!G415))))),0,"Vessel class and Index Choosen don’t match!")</f>
        <v>0</v>
      </c>
      <c r="J415" s="36" t="s">
        <v>39</v>
      </c>
    </row>
    <row r="416" spans="4:10" ht="15.75">
      <c r="D416" s="37">
        <f>D415+1</f>
        <v>395</v>
      </c>
      <c r="E416" s="39"/>
      <c r="F416" s="42"/>
      <c r="G416" s="42"/>
      <c r="H416" s="29"/>
      <c r="I416" s="193">
        <f t="array" ref="I416">IF(NOT(ISERROR(MATCH(2,1/(('AllowedShip Class Time Charters'!$D$3:$D$16='Ship Time Charter Rates'!F416)*('AllowedShip Class Time Charters'!$E$3:$E$16='Ship Time Charter Rates'!G416))))),0,"Vessel class and Index Choosen don’t match!")</f>
        <v>0</v>
      </c>
      <c r="J416" s="36" t="s">
        <v>39</v>
      </c>
    </row>
    <row r="417" spans="4:10" ht="15.75">
      <c r="D417" s="37">
        <f t="shared" ref="D417:D471" si="30">D416+1</f>
        <v>396</v>
      </c>
      <c r="E417" s="39"/>
      <c r="F417" s="42"/>
      <c r="G417" s="42"/>
      <c r="H417" s="29"/>
      <c r="I417" s="193">
        <f t="array" ref="I417">IF(NOT(ISERROR(MATCH(2,1/(('AllowedShip Class Time Charters'!$D$3:$D$16='Ship Time Charter Rates'!F417)*('AllowedShip Class Time Charters'!$E$3:$E$16='Ship Time Charter Rates'!G417))))),0,"Vessel class and Index Choosen don’t match!")</f>
        <v>0</v>
      </c>
      <c r="J417" s="36" t="s">
        <v>39</v>
      </c>
    </row>
    <row r="418" spans="4:10" ht="15.75">
      <c r="D418" s="37">
        <f t="shared" si="30"/>
        <v>397</v>
      </c>
      <c r="E418" s="39"/>
      <c r="F418" s="42"/>
      <c r="G418" s="42"/>
      <c r="H418" s="29"/>
      <c r="I418" s="193">
        <f t="array" ref="I418">IF(NOT(ISERROR(MATCH(2,1/(('AllowedShip Class Time Charters'!$D$3:$D$16='Ship Time Charter Rates'!F418)*('AllowedShip Class Time Charters'!$E$3:$E$16='Ship Time Charter Rates'!G418))))),0,"Vessel class and Index Choosen don’t match!")</f>
        <v>0</v>
      </c>
      <c r="J418" s="36" t="s">
        <v>39</v>
      </c>
    </row>
    <row r="419" spans="4:10" ht="15.75">
      <c r="D419" s="37">
        <f t="shared" si="30"/>
        <v>398</v>
      </c>
      <c r="E419" s="39"/>
      <c r="F419" s="42"/>
      <c r="G419" s="42"/>
      <c r="H419" s="29"/>
      <c r="I419" s="193">
        <f t="array" ref="I419">IF(NOT(ISERROR(MATCH(2,1/(('AllowedShip Class Time Charters'!$D$3:$D$16='Ship Time Charter Rates'!F419)*('AllowedShip Class Time Charters'!$E$3:$E$16='Ship Time Charter Rates'!G419))))),0,"Vessel class and Index Choosen don’t match!")</f>
        <v>0</v>
      </c>
      <c r="J419" s="36" t="s">
        <v>39</v>
      </c>
    </row>
    <row r="420" spans="4:10" ht="15.75">
      <c r="D420" s="37">
        <f t="shared" si="30"/>
        <v>399</v>
      </c>
      <c r="E420" s="39"/>
      <c r="F420" s="42"/>
      <c r="G420" s="42"/>
      <c r="H420" s="29"/>
      <c r="I420" s="193">
        <f t="array" ref="I420">IF(NOT(ISERROR(MATCH(2,1/(('AllowedShip Class Time Charters'!$D$3:$D$16='Ship Time Charter Rates'!F420)*('AllowedShip Class Time Charters'!$E$3:$E$16='Ship Time Charter Rates'!G420))))),0,"Vessel class and Index Choosen don’t match!")</f>
        <v>0</v>
      </c>
      <c r="J420" s="36" t="s">
        <v>39</v>
      </c>
    </row>
    <row r="421" spans="4:10" ht="15.75">
      <c r="D421" s="37">
        <f t="shared" si="30"/>
        <v>400</v>
      </c>
      <c r="E421" s="39"/>
      <c r="F421" s="42"/>
      <c r="G421" s="42"/>
      <c r="H421" s="29"/>
      <c r="I421" s="193">
        <f t="array" ref="I421">IF(NOT(ISERROR(MATCH(2,1/(('AllowedShip Class Time Charters'!$D$3:$D$16='Ship Time Charter Rates'!F421)*('AllowedShip Class Time Charters'!$E$3:$E$16='Ship Time Charter Rates'!G421))))),0,"Vessel class and Index Choosen don’t match!")</f>
        <v>0</v>
      </c>
      <c r="J421" s="36" t="s">
        <v>39</v>
      </c>
    </row>
    <row r="422" spans="4:10" ht="15.75">
      <c r="D422" s="37">
        <f t="shared" si="30"/>
        <v>401</v>
      </c>
      <c r="E422" s="39"/>
      <c r="F422" s="42"/>
      <c r="G422" s="42"/>
      <c r="H422" s="29"/>
      <c r="I422" s="193">
        <f t="array" ref="I422">IF(NOT(ISERROR(MATCH(2,1/(('AllowedShip Class Time Charters'!$D$3:$D$16='Ship Time Charter Rates'!F422)*('AllowedShip Class Time Charters'!$E$3:$E$16='Ship Time Charter Rates'!G422))))),0,"Vessel class and Index Choosen don’t match!")</f>
        <v>0</v>
      </c>
      <c r="J422" s="36" t="s">
        <v>39</v>
      </c>
    </row>
    <row r="423" spans="4:10" ht="15.75">
      <c r="D423" s="37">
        <f t="shared" si="30"/>
        <v>402</v>
      </c>
      <c r="E423" s="39"/>
      <c r="F423" s="42"/>
      <c r="G423" s="42"/>
      <c r="H423" s="29"/>
      <c r="I423" s="193">
        <f t="array" ref="I423">IF(NOT(ISERROR(MATCH(2,1/(('AllowedShip Class Time Charters'!$D$3:$D$16='Ship Time Charter Rates'!F423)*('AllowedShip Class Time Charters'!$E$3:$E$16='Ship Time Charter Rates'!G423))))),0,"Vessel class and Index Choosen don’t match!")</f>
        <v>0</v>
      </c>
      <c r="J423" s="36" t="s">
        <v>39</v>
      </c>
    </row>
    <row r="424" spans="4:10" ht="15.75">
      <c r="D424" s="37">
        <f t="shared" si="30"/>
        <v>403</v>
      </c>
      <c r="E424" s="39"/>
      <c r="F424" s="42"/>
      <c r="G424" s="42"/>
      <c r="H424" s="29"/>
      <c r="I424" s="193">
        <f t="array" ref="I424">IF(NOT(ISERROR(MATCH(2,1/(('AllowedShip Class Time Charters'!$D$3:$D$16='Ship Time Charter Rates'!F424)*('AllowedShip Class Time Charters'!$E$3:$E$16='Ship Time Charter Rates'!G424))))),0,"Vessel class and Index Choosen don’t match!")</f>
        <v>0</v>
      </c>
      <c r="J424" s="36" t="s">
        <v>39</v>
      </c>
    </row>
    <row r="425" spans="4:10" ht="15.75">
      <c r="D425" s="37">
        <f t="shared" si="30"/>
        <v>404</v>
      </c>
      <c r="E425" s="39"/>
      <c r="F425" s="42"/>
      <c r="G425" s="42"/>
      <c r="H425" s="29"/>
      <c r="I425" s="193">
        <f t="array" ref="I425">IF(NOT(ISERROR(MATCH(2,1/(('AllowedShip Class Time Charters'!$D$3:$D$16='Ship Time Charter Rates'!F425)*('AllowedShip Class Time Charters'!$E$3:$E$16='Ship Time Charter Rates'!G425))))),0,"Vessel class and Index Choosen don’t match!")</f>
        <v>0</v>
      </c>
      <c r="J425" s="36" t="s">
        <v>39</v>
      </c>
    </row>
    <row r="426" spans="4:10" ht="15.75">
      <c r="D426" s="37">
        <f t="shared" si="30"/>
        <v>405</v>
      </c>
      <c r="E426" s="39"/>
      <c r="F426" s="42"/>
      <c r="G426" s="42"/>
      <c r="H426" s="29"/>
      <c r="I426" s="193">
        <f t="array" ref="I426">IF(NOT(ISERROR(MATCH(2,1/(('AllowedShip Class Time Charters'!$D$3:$D$16='Ship Time Charter Rates'!F426)*('AllowedShip Class Time Charters'!$E$3:$E$16='Ship Time Charter Rates'!G426))))),0,"Vessel class and Index Choosen don’t match!")</f>
        <v>0</v>
      </c>
      <c r="J426" s="36" t="s">
        <v>39</v>
      </c>
    </row>
    <row r="427" spans="4:10" ht="15.75">
      <c r="D427" s="37">
        <f t="shared" si="30"/>
        <v>406</v>
      </c>
      <c r="E427" s="39"/>
      <c r="F427" s="42"/>
      <c r="G427" s="42"/>
      <c r="H427" s="29"/>
      <c r="I427" s="193">
        <f t="array" ref="I427">IF(NOT(ISERROR(MATCH(2,1/(('AllowedShip Class Time Charters'!$D$3:$D$16='Ship Time Charter Rates'!F427)*('AllowedShip Class Time Charters'!$E$3:$E$16='Ship Time Charter Rates'!G427))))),0,"Vessel class and Index Choosen don’t match!")</f>
        <v>0</v>
      </c>
      <c r="J427" s="36" t="s">
        <v>39</v>
      </c>
    </row>
    <row r="428" spans="4:10" ht="15.75">
      <c r="D428" s="37">
        <f t="shared" si="30"/>
        <v>407</v>
      </c>
      <c r="E428" s="39"/>
      <c r="F428" s="42"/>
      <c r="G428" s="42"/>
      <c r="H428" s="29"/>
      <c r="I428" s="193">
        <f t="array" ref="I428">IF(NOT(ISERROR(MATCH(2,1/(('AllowedShip Class Time Charters'!$D$3:$D$16='Ship Time Charter Rates'!F428)*('AllowedShip Class Time Charters'!$E$3:$E$16='Ship Time Charter Rates'!G428))))),0,"Vessel class and Index Choosen don’t match!")</f>
        <v>0</v>
      </c>
      <c r="J428" s="36" t="s">
        <v>39</v>
      </c>
    </row>
    <row r="429" spans="4:10" ht="15.75">
      <c r="D429" s="37">
        <f t="shared" si="30"/>
        <v>408</v>
      </c>
      <c r="E429" s="39"/>
      <c r="F429" s="42"/>
      <c r="G429" s="42"/>
      <c r="H429" s="29"/>
      <c r="I429" s="193">
        <f t="array" ref="I429">IF(NOT(ISERROR(MATCH(2,1/(('AllowedShip Class Time Charters'!$D$3:$D$16='Ship Time Charter Rates'!F429)*('AllowedShip Class Time Charters'!$E$3:$E$16='Ship Time Charter Rates'!G429))))),0,"Vessel class and Index Choosen don’t match!")</f>
        <v>0</v>
      </c>
      <c r="J429" s="36" t="s">
        <v>39</v>
      </c>
    </row>
    <row r="430" spans="4:10" ht="15.75">
      <c r="D430" s="37">
        <f t="shared" si="30"/>
        <v>409</v>
      </c>
      <c r="E430" s="39"/>
      <c r="F430" s="42"/>
      <c r="G430" s="42"/>
      <c r="H430" s="29"/>
      <c r="I430" s="193">
        <f t="array" ref="I430">IF(NOT(ISERROR(MATCH(2,1/(('AllowedShip Class Time Charters'!$D$3:$D$16='Ship Time Charter Rates'!F430)*('AllowedShip Class Time Charters'!$E$3:$E$16='Ship Time Charter Rates'!G430))))),0,"Vessel class and Index Choosen don’t match!")</f>
        <v>0</v>
      </c>
      <c r="J430" s="36" t="s">
        <v>39</v>
      </c>
    </row>
    <row r="431" spans="4:10" ht="15.75">
      <c r="D431" s="37">
        <f t="shared" si="30"/>
        <v>410</v>
      </c>
      <c r="E431" s="39"/>
      <c r="F431" s="42"/>
      <c r="G431" s="42"/>
      <c r="H431" s="29"/>
      <c r="I431" s="193">
        <f t="array" ref="I431">IF(NOT(ISERROR(MATCH(2,1/(('AllowedShip Class Time Charters'!$D$3:$D$16='Ship Time Charter Rates'!F431)*('AllowedShip Class Time Charters'!$E$3:$E$16='Ship Time Charter Rates'!G431))))),0,"Vessel class and Index Choosen don’t match!")</f>
        <v>0</v>
      </c>
      <c r="J431" s="36" t="s">
        <v>39</v>
      </c>
    </row>
    <row r="432" spans="4:10" ht="15.75">
      <c r="D432" s="37">
        <f t="shared" si="30"/>
        <v>411</v>
      </c>
      <c r="E432" s="39"/>
      <c r="F432" s="42"/>
      <c r="G432" s="42"/>
      <c r="H432" s="29"/>
      <c r="I432" s="193">
        <f t="array" ref="I432">IF(NOT(ISERROR(MATCH(2,1/(('AllowedShip Class Time Charters'!$D$3:$D$16='Ship Time Charter Rates'!F432)*('AllowedShip Class Time Charters'!$E$3:$E$16='Ship Time Charter Rates'!G432))))),0,"Vessel class and Index Choosen don’t match!")</f>
        <v>0</v>
      </c>
      <c r="J432" s="36" t="s">
        <v>39</v>
      </c>
    </row>
    <row r="433" spans="4:10" ht="15.75">
      <c r="D433" s="37">
        <f t="shared" si="30"/>
        <v>412</v>
      </c>
      <c r="E433" s="39"/>
      <c r="F433" s="42"/>
      <c r="G433" s="42"/>
      <c r="H433" s="29"/>
      <c r="I433" s="193">
        <f t="array" ref="I433">IF(NOT(ISERROR(MATCH(2,1/(('AllowedShip Class Time Charters'!$D$3:$D$16='Ship Time Charter Rates'!F433)*('AllowedShip Class Time Charters'!$E$3:$E$16='Ship Time Charter Rates'!G433))))),0,"Vessel class and Index Choosen don’t match!")</f>
        <v>0</v>
      </c>
      <c r="J433" s="36" t="s">
        <v>39</v>
      </c>
    </row>
    <row r="434" spans="4:10" ht="15.75">
      <c r="D434" s="37">
        <f t="shared" si="30"/>
        <v>413</v>
      </c>
      <c r="E434" s="39"/>
      <c r="F434" s="42"/>
      <c r="G434" s="42"/>
      <c r="H434" s="29"/>
      <c r="I434" s="193">
        <f t="array" ref="I434">IF(NOT(ISERROR(MATCH(2,1/(('AllowedShip Class Time Charters'!$D$3:$D$16='Ship Time Charter Rates'!F434)*('AllowedShip Class Time Charters'!$E$3:$E$16='Ship Time Charter Rates'!G434))))),0,"Vessel class and Index Choosen don’t match!")</f>
        <v>0</v>
      </c>
      <c r="J434" s="36" t="s">
        <v>39</v>
      </c>
    </row>
    <row r="435" spans="4:10" ht="15.75">
      <c r="D435" s="37">
        <f t="shared" si="30"/>
        <v>414</v>
      </c>
      <c r="E435" s="39"/>
      <c r="F435" s="42"/>
      <c r="G435" s="42"/>
      <c r="H435" s="29"/>
      <c r="I435" s="193">
        <f t="array" ref="I435">IF(NOT(ISERROR(MATCH(2,1/(('AllowedShip Class Time Charters'!$D$3:$D$16='Ship Time Charter Rates'!F435)*('AllowedShip Class Time Charters'!$E$3:$E$16='Ship Time Charter Rates'!G435))))),0,"Vessel class and Index Choosen don’t match!")</f>
        <v>0</v>
      </c>
      <c r="J435" s="36" t="s">
        <v>39</v>
      </c>
    </row>
    <row r="436" spans="4:10" ht="15.75">
      <c r="D436" s="37">
        <f t="shared" si="30"/>
        <v>415</v>
      </c>
      <c r="E436" s="39"/>
      <c r="F436" s="42"/>
      <c r="G436" s="42"/>
      <c r="H436" s="29"/>
      <c r="I436" s="193">
        <f t="array" ref="I436">IF(NOT(ISERROR(MATCH(2,1/(('AllowedShip Class Time Charters'!$D$3:$D$16='Ship Time Charter Rates'!F436)*('AllowedShip Class Time Charters'!$E$3:$E$16='Ship Time Charter Rates'!G436))))),0,"Vessel class and Index Choosen don’t match!")</f>
        <v>0</v>
      </c>
      <c r="J436" s="36" t="s">
        <v>39</v>
      </c>
    </row>
    <row r="437" spans="4:10" ht="15.75">
      <c r="D437" s="37">
        <f t="shared" si="30"/>
        <v>416</v>
      </c>
      <c r="E437" s="39"/>
      <c r="F437" s="42"/>
      <c r="G437" s="42"/>
      <c r="H437" s="29"/>
      <c r="I437" s="193">
        <f t="array" ref="I437">IF(NOT(ISERROR(MATCH(2,1/(('AllowedShip Class Time Charters'!$D$3:$D$16='Ship Time Charter Rates'!F437)*('AllowedShip Class Time Charters'!$E$3:$E$16='Ship Time Charter Rates'!G437))))),0,"Vessel class and Index Choosen don’t match!")</f>
        <v>0</v>
      </c>
      <c r="J437" s="36" t="s">
        <v>39</v>
      </c>
    </row>
    <row r="438" spans="4:10" ht="15.75">
      <c r="D438" s="37">
        <f t="shared" si="30"/>
        <v>417</v>
      </c>
      <c r="E438" s="39"/>
      <c r="F438" s="42"/>
      <c r="G438" s="42"/>
      <c r="H438" s="29"/>
      <c r="I438" s="193">
        <f t="array" ref="I438">IF(NOT(ISERROR(MATCH(2,1/(('AllowedShip Class Time Charters'!$D$3:$D$16='Ship Time Charter Rates'!F438)*('AllowedShip Class Time Charters'!$E$3:$E$16='Ship Time Charter Rates'!G438))))),0,"Vessel class and Index Choosen don’t match!")</f>
        <v>0</v>
      </c>
      <c r="J438" s="36" t="s">
        <v>39</v>
      </c>
    </row>
    <row r="439" spans="4:10" ht="15.75">
      <c r="D439" s="37">
        <f t="shared" si="30"/>
        <v>418</v>
      </c>
      <c r="E439" s="39"/>
      <c r="F439" s="42"/>
      <c r="G439" s="42"/>
      <c r="H439" s="29"/>
      <c r="I439" s="193">
        <f t="array" ref="I439">IF(NOT(ISERROR(MATCH(2,1/(('AllowedShip Class Time Charters'!$D$3:$D$16='Ship Time Charter Rates'!F439)*('AllowedShip Class Time Charters'!$E$3:$E$16='Ship Time Charter Rates'!G439))))),0,"Vessel class and Index Choosen don’t match!")</f>
        <v>0</v>
      </c>
      <c r="J439" s="36" t="s">
        <v>39</v>
      </c>
    </row>
    <row r="440" spans="4:10" ht="15.75">
      <c r="D440" s="37">
        <f t="shared" si="30"/>
        <v>419</v>
      </c>
      <c r="E440" s="39"/>
      <c r="F440" s="42"/>
      <c r="G440" s="42"/>
      <c r="H440" s="29"/>
      <c r="I440" s="193">
        <f t="array" ref="I440">IF(NOT(ISERROR(MATCH(2,1/(('AllowedShip Class Time Charters'!$D$3:$D$16='Ship Time Charter Rates'!F440)*('AllowedShip Class Time Charters'!$E$3:$E$16='Ship Time Charter Rates'!G440))))),0,"Vessel class and Index Choosen don’t match!")</f>
        <v>0</v>
      </c>
      <c r="J440" s="36" t="s">
        <v>39</v>
      </c>
    </row>
    <row r="441" spans="4:10" ht="15.75">
      <c r="D441" s="37">
        <f t="shared" si="30"/>
        <v>420</v>
      </c>
      <c r="E441" s="39"/>
      <c r="F441" s="42"/>
      <c r="G441" s="42"/>
      <c r="H441" s="29"/>
      <c r="I441" s="193">
        <f t="array" ref="I441">IF(NOT(ISERROR(MATCH(2,1/(('AllowedShip Class Time Charters'!$D$3:$D$16='Ship Time Charter Rates'!F441)*('AllowedShip Class Time Charters'!$E$3:$E$16='Ship Time Charter Rates'!G441))))),0,"Vessel class and Index Choosen don’t match!")</f>
        <v>0</v>
      </c>
      <c r="J441" s="36" t="s">
        <v>39</v>
      </c>
    </row>
    <row r="442" spans="4:10" ht="15.75">
      <c r="D442" s="37">
        <f t="shared" si="30"/>
        <v>421</v>
      </c>
      <c r="E442" s="39"/>
      <c r="F442" s="42"/>
      <c r="G442" s="42"/>
      <c r="H442" s="29"/>
      <c r="I442" s="193">
        <f t="array" ref="I442">IF(NOT(ISERROR(MATCH(2,1/(('AllowedShip Class Time Charters'!$D$3:$D$16='Ship Time Charter Rates'!F442)*('AllowedShip Class Time Charters'!$E$3:$E$16='Ship Time Charter Rates'!G442))))),0,"Vessel class and Index Choosen don’t match!")</f>
        <v>0</v>
      </c>
      <c r="J442" s="36" t="s">
        <v>39</v>
      </c>
    </row>
    <row r="443" spans="4:10" ht="15.75">
      <c r="D443" s="37">
        <f t="shared" si="30"/>
        <v>422</v>
      </c>
      <c r="E443" s="39"/>
      <c r="F443" s="42"/>
      <c r="G443" s="42"/>
      <c r="H443" s="29"/>
      <c r="I443" s="193">
        <f t="array" ref="I443">IF(NOT(ISERROR(MATCH(2,1/(('AllowedShip Class Time Charters'!$D$3:$D$16='Ship Time Charter Rates'!F443)*('AllowedShip Class Time Charters'!$E$3:$E$16='Ship Time Charter Rates'!G443))))),0,"Vessel class and Index Choosen don’t match!")</f>
        <v>0</v>
      </c>
      <c r="J443" s="36" t="s">
        <v>39</v>
      </c>
    </row>
    <row r="444" spans="4:10" ht="15.75">
      <c r="D444" s="37">
        <f t="shared" si="30"/>
        <v>423</v>
      </c>
      <c r="E444" s="39"/>
      <c r="F444" s="42"/>
      <c r="G444" s="42"/>
      <c r="H444" s="29"/>
      <c r="I444" s="193">
        <f t="array" ref="I444">IF(NOT(ISERROR(MATCH(2,1/(('AllowedShip Class Time Charters'!$D$3:$D$16='Ship Time Charter Rates'!F444)*('AllowedShip Class Time Charters'!$E$3:$E$16='Ship Time Charter Rates'!G444))))),0,"Vessel class and Index Choosen don’t match!")</f>
        <v>0</v>
      </c>
      <c r="J444" s="36" t="s">
        <v>39</v>
      </c>
    </row>
    <row r="445" spans="4:10" ht="15.75">
      <c r="D445" s="37">
        <f t="shared" si="30"/>
        <v>424</v>
      </c>
      <c r="E445" s="39"/>
      <c r="F445" s="42"/>
      <c r="G445" s="42"/>
      <c r="H445" s="29"/>
      <c r="I445" s="193">
        <f t="array" ref="I445">IF(NOT(ISERROR(MATCH(2,1/(('AllowedShip Class Time Charters'!$D$3:$D$16='Ship Time Charter Rates'!F445)*('AllowedShip Class Time Charters'!$E$3:$E$16='Ship Time Charter Rates'!G445))))),0,"Vessel class and Index Choosen don’t match!")</f>
        <v>0</v>
      </c>
      <c r="J445" s="36" t="s">
        <v>39</v>
      </c>
    </row>
    <row r="446" spans="4:10" ht="15.75">
      <c r="D446" s="37">
        <f t="shared" si="30"/>
        <v>425</v>
      </c>
      <c r="E446" s="39"/>
      <c r="F446" s="42"/>
      <c r="G446" s="42"/>
      <c r="H446" s="29"/>
      <c r="I446" s="193">
        <f t="array" ref="I446">IF(NOT(ISERROR(MATCH(2,1/(('AllowedShip Class Time Charters'!$D$3:$D$16='Ship Time Charter Rates'!F446)*('AllowedShip Class Time Charters'!$E$3:$E$16='Ship Time Charter Rates'!G446))))),0,"Vessel class and Index Choosen don’t match!")</f>
        <v>0</v>
      </c>
      <c r="J446" s="36" t="s">
        <v>39</v>
      </c>
    </row>
    <row r="447" spans="4:10" ht="15.75">
      <c r="D447" s="37">
        <f t="shared" si="30"/>
        <v>426</v>
      </c>
      <c r="E447" s="39"/>
      <c r="F447" s="42"/>
      <c r="G447" s="42"/>
      <c r="H447" s="29"/>
      <c r="I447" s="193">
        <f t="array" ref="I447">IF(NOT(ISERROR(MATCH(2,1/(('AllowedShip Class Time Charters'!$D$3:$D$16='Ship Time Charter Rates'!F447)*('AllowedShip Class Time Charters'!$E$3:$E$16='Ship Time Charter Rates'!G447))))),0,"Vessel class and Index Choosen don’t match!")</f>
        <v>0</v>
      </c>
      <c r="J447" s="36" t="s">
        <v>39</v>
      </c>
    </row>
    <row r="448" spans="4:10" ht="15.75">
      <c r="D448" s="37">
        <f t="shared" si="30"/>
        <v>427</v>
      </c>
      <c r="E448" s="39"/>
      <c r="F448" s="42"/>
      <c r="G448" s="42"/>
      <c r="H448" s="29"/>
      <c r="I448" s="193">
        <f t="array" ref="I448">IF(NOT(ISERROR(MATCH(2,1/(('AllowedShip Class Time Charters'!$D$3:$D$16='Ship Time Charter Rates'!F448)*('AllowedShip Class Time Charters'!$E$3:$E$16='Ship Time Charter Rates'!G448))))),0,"Vessel class and Index Choosen don’t match!")</f>
        <v>0</v>
      </c>
      <c r="J448" s="36" t="s">
        <v>39</v>
      </c>
    </row>
    <row r="449" spans="4:10" ht="15.75">
      <c r="D449" s="37">
        <f t="shared" si="30"/>
        <v>428</v>
      </c>
      <c r="E449" s="39"/>
      <c r="F449" s="42"/>
      <c r="G449" s="42"/>
      <c r="H449" s="29"/>
      <c r="I449" s="193">
        <f t="array" ref="I449">IF(NOT(ISERROR(MATCH(2,1/(('AllowedShip Class Time Charters'!$D$3:$D$16='Ship Time Charter Rates'!F449)*('AllowedShip Class Time Charters'!$E$3:$E$16='Ship Time Charter Rates'!G449))))),0,"Vessel class and Index Choosen don’t match!")</f>
        <v>0</v>
      </c>
      <c r="J449" s="36" t="s">
        <v>39</v>
      </c>
    </row>
    <row r="450" spans="4:10" ht="15.75">
      <c r="D450" s="37">
        <f t="shared" si="30"/>
        <v>429</v>
      </c>
      <c r="E450" s="39"/>
      <c r="F450" s="42"/>
      <c r="G450" s="42"/>
      <c r="H450" s="29"/>
      <c r="I450" s="193">
        <f t="array" ref="I450">IF(NOT(ISERROR(MATCH(2,1/(('AllowedShip Class Time Charters'!$D$3:$D$16='Ship Time Charter Rates'!F450)*('AllowedShip Class Time Charters'!$E$3:$E$16='Ship Time Charter Rates'!G450))))),0,"Vessel class and Index Choosen don’t match!")</f>
        <v>0</v>
      </c>
      <c r="J450" s="36" t="s">
        <v>39</v>
      </c>
    </row>
    <row r="451" spans="4:10" ht="15.75">
      <c r="D451" s="37">
        <f t="shared" si="30"/>
        <v>430</v>
      </c>
      <c r="E451" s="39"/>
      <c r="F451" s="42"/>
      <c r="G451" s="42"/>
      <c r="H451" s="29"/>
      <c r="I451" s="193">
        <f t="array" ref="I451">IF(NOT(ISERROR(MATCH(2,1/(('AllowedShip Class Time Charters'!$D$3:$D$16='Ship Time Charter Rates'!F451)*('AllowedShip Class Time Charters'!$E$3:$E$16='Ship Time Charter Rates'!G451))))),0,"Vessel class and Index Choosen don’t match!")</f>
        <v>0</v>
      </c>
      <c r="J451" s="36" t="s">
        <v>39</v>
      </c>
    </row>
    <row r="452" spans="4:10" ht="15.75">
      <c r="D452" s="37">
        <f t="shared" si="30"/>
        <v>431</v>
      </c>
      <c r="E452" s="39"/>
      <c r="F452" s="42"/>
      <c r="G452" s="42"/>
      <c r="H452" s="29"/>
      <c r="I452" s="193">
        <f t="array" ref="I452">IF(NOT(ISERROR(MATCH(2,1/(('AllowedShip Class Time Charters'!$D$3:$D$16='Ship Time Charter Rates'!F452)*('AllowedShip Class Time Charters'!$E$3:$E$16='Ship Time Charter Rates'!G452))))),0,"Vessel class and Index Choosen don’t match!")</f>
        <v>0</v>
      </c>
      <c r="J452" s="36" t="s">
        <v>39</v>
      </c>
    </row>
    <row r="453" spans="4:10" ht="15.75">
      <c r="D453" s="37">
        <f t="shared" si="30"/>
        <v>432</v>
      </c>
      <c r="E453" s="39"/>
      <c r="F453" s="42"/>
      <c r="G453" s="42"/>
      <c r="H453" s="29"/>
      <c r="I453" s="193">
        <f t="array" ref="I453">IF(NOT(ISERROR(MATCH(2,1/(('AllowedShip Class Time Charters'!$D$3:$D$16='Ship Time Charter Rates'!F453)*('AllowedShip Class Time Charters'!$E$3:$E$16='Ship Time Charter Rates'!G453))))),0,"Vessel class and Index Choosen don’t match!")</f>
        <v>0</v>
      </c>
      <c r="J453" s="36" t="s">
        <v>39</v>
      </c>
    </row>
    <row r="454" spans="4:10" ht="15.75">
      <c r="D454" s="37">
        <f t="shared" si="30"/>
        <v>433</v>
      </c>
      <c r="E454" s="39"/>
      <c r="F454" s="42"/>
      <c r="G454" s="42"/>
      <c r="H454" s="29"/>
      <c r="I454" s="193">
        <f t="array" ref="I454">IF(NOT(ISERROR(MATCH(2,1/(('AllowedShip Class Time Charters'!$D$3:$D$16='Ship Time Charter Rates'!F454)*('AllowedShip Class Time Charters'!$E$3:$E$16='Ship Time Charter Rates'!G454))))),0,"Vessel class and Index Choosen don’t match!")</f>
        <v>0</v>
      </c>
      <c r="J454" s="36" t="s">
        <v>39</v>
      </c>
    </row>
    <row r="455" spans="4:10" s="41" customFormat="1" ht="15.75">
      <c r="D455" s="37">
        <f t="shared" si="30"/>
        <v>434</v>
      </c>
      <c r="E455" s="39"/>
      <c r="F455" s="42"/>
      <c r="G455" s="42"/>
      <c r="H455" s="29"/>
      <c r="I455" s="193">
        <f t="array" ref="I455">IF(NOT(ISERROR(MATCH(2,1/(('AllowedShip Class Time Charters'!$D$3:$D$16='Ship Time Charter Rates'!F455)*('AllowedShip Class Time Charters'!$E$3:$E$16='Ship Time Charter Rates'!G455))))),0,"Vessel class and Index Choosen don’t match!")</f>
        <v>0</v>
      </c>
      <c r="J455" s="36" t="s">
        <v>39</v>
      </c>
    </row>
    <row r="456" spans="4:10" ht="15.75">
      <c r="D456" s="37">
        <f t="shared" si="30"/>
        <v>435</v>
      </c>
      <c r="E456" s="39"/>
      <c r="F456" s="42"/>
      <c r="G456" s="42"/>
      <c r="H456" s="29"/>
      <c r="I456" s="193">
        <f t="array" ref="I456">IF(NOT(ISERROR(MATCH(2,1/(('AllowedShip Class Time Charters'!$D$3:$D$16='Ship Time Charter Rates'!F456)*('AllowedShip Class Time Charters'!$E$3:$E$16='Ship Time Charter Rates'!G456))))),0,"Vessel class and Index Choosen don’t match!")</f>
        <v>0</v>
      </c>
      <c r="J456" s="36" t="s">
        <v>39</v>
      </c>
    </row>
    <row r="457" spans="4:10" ht="15.75">
      <c r="D457" s="37">
        <f t="shared" si="30"/>
        <v>436</v>
      </c>
      <c r="E457" s="39"/>
      <c r="F457" s="42"/>
      <c r="G457" s="42"/>
      <c r="H457" s="29"/>
      <c r="I457" s="193">
        <f t="array" ref="I457">IF(NOT(ISERROR(MATCH(2,1/(('AllowedShip Class Time Charters'!$D$3:$D$16='Ship Time Charter Rates'!F457)*('AllowedShip Class Time Charters'!$E$3:$E$16='Ship Time Charter Rates'!G457))))),0,"Vessel class and Index Choosen don’t match!")</f>
        <v>0</v>
      </c>
      <c r="J457" s="36" t="s">
        <v>39</v>
      </c>
    </row>
    <row r="458" spans="4:10" ht="15.75">
      <c r="D458" s="37">
        <f t="shared" si="30"/>
        <v>437</v>
      </c>
      <c r="E458" s="39"/>
      <c r="F458" s="42"/>
      <c r="G458" s="42"/>
      <c r="H458" s="29"/>
      <c r="I458" s="193">
        <f t="array" ref="I458">IF(NOT(ISERROR(MATCH(2,1/(('AllowedShip Class Time Charters'!$D$3:$D$16='Ship Time Charter Rates'!F458)*('AllowedShip Class Time Charters'!$E$3:$E$16='Ship Time Charter Rates'!G458))))),0,"Vessel class and Index Choosen don’t match!")</f>
        <v>0</v>
      </c>
      <c r="J458" s="36" t="s">
        <v>39</v>
      </c>
    </row>
    <row r="459" spans="4:10" ht="15.75">
      <c r="D459" s="37">
        <f t="shared" si="30"/>
        <v>438</v>
      </c>
      <c r="E459" s="39"/>
      <c r="F459" s="42"/>
      <c r="G459" s="42"/>
      <c r="H459" s="29"/>
      <c r="I459" s="193">
        <f t="array" ref="I459">IF(NOT(ISERROR(MATCH(2,1/(('AllowedShip Class Time Charters'!$D$3:$D$16='Ship Time Charter Rates'!F459)*('AllowedShip Class Time Charters'!$E$3:$E$16='Ship Time Charter Rates'!G459))))),0,"Vessel class and Index Choosen don’t match!")</f>
        <v>0</v>
      </c>
      <c r="J459" s="36" t="s">
        <v>39</v>
      </c>
    </row>
    <row r="460" spans="4:10" ht="15.75">
      <c r="D460" s="37">
        <f t="shared" si="30"/>
        <v>439</v>
      </c>
      <c r="E460" s="39"/>
      <c r="F460" s="42"/>
      <c r="G460" s="42"/>
      <c r="H460" s="29"/>
      <c r="I460" s="193">
        <f t="array" ref="I460">IF(NOT(ISERROR(MATCH(2,1/(('AllowedShip Class Time Charters'!$D$3:$D$16='Ship Time Charter Rates'!F460)*('AllowedShip Class Time Charters'!$E$3:$E$16='Ship Time Charter Rates'!G460))))),0,"Vessel class and Index Choosen don’t match!")</f>
        <v>0</v>
      </c>
      <c r="J460" s="36" t="s">
        <v>39</v>
      </c>
    </row>
    <row r="461" spans="4:10" ht="15.75">
      <c r="D461" s="37">
        <f t="shared" si="30"/>
        <v>440</v>
      </c>
      <c r="E461" s="39"/>
      <c r="F461" s="42"/>
      <c r="G461" s="42"/>
      <c r="H461" s="29"/>
      <c r="I461" s="193">
        <f t="array" ref="I461">IF(NOT(ISERROR(MATCH(2,1/(('AllowedShip Class Time Charters'!$D$3:$D$16='Ship Time Charter Rates'!F461)*('AllowedShip Class Time Charters'!$E$3:$E$16='Ship Time Charter Rates'!G461))))),0,"Vessel class and Index Choosen don’t match!")</f>
        <v>0</v>
      </c>
      <c r="J461" s="36" t="s">
        <v>39</v>
      </c>
    </row>
    <row r="462" spans="4:10" ht="15.75">
      <c r="D462" s="37">
        <f t="shared" si="30"/>
        <v>441</v>
      </c>
      <c r="E462" s="39"/>
      <c r="F462" s="42"/>
      <c r="G462" s="42"/>
      <c r="H462" s="29"/>
      <c r="I462" s="193">
        <f t="array" ref="I462">IF(NOT(ISERROR(MATCH(2,1/(('AllowedShip Class Time Charters'!$D$3:$D$16='Ship Time Charter Rates'!F462)*('AllowedShip Class Time Charters'!$E$3:$E$16='Ship Time Charter Rates'!G462))))),0,"Vessel class and Index Choosen don’t match!")</f>
        <v>0</v>
      </c>
      <c r="J462" s="36" t="s">
        <v>39</v>
      </c>
    </row>
    <row r="463" spans="4:10" ht="15.75">
      <c r="D463" s="37">
        <f t="shared" si="30"/>
        <v>442</v>
      </c>
      <c r="E463" s="39"/>
      <c r="F463" s="42"/>
      <c r="G463" s="42"/>
      <c r="H463" s="29"/>
      <c r="I463" s="193">
        <f t="array" ref="I463">IF(NOT(ISERROR(MATCH(2,1/(('AllowedShip Class Time Charters'!$D$3:$D$16='Ship Time Charter Rates'!F463)*('AllowedShip Class Time Charters'!$E$3:$E$16='Ship Time Charter Rates'!G463))))),0,"Vessel class and Index Choosen don’t match!")</f>
        <v>0</v>
      </c>
      <c r="J463" s="36" t="s">
        <v>39</v>
      </c>
    </row>
    <row r="464" spans="4:10" ht="15.75">
      <c r="D464" s="37">
        <f t="shared" si="30"/>
        <v>443</v>
      </c>
      <c r="E464" s="39"/>
      <c r="F464" s="42"/>
      <c r="G464" s="42"/>
      <c r="H464" s="29"/>
      <c r="I464" s="193">
        <f t="array" ref="I464">IF(NOT(ISERROR(MATCH(2,1/(('AllowedShip Class Time Charters'!$D$3:$D$16='Ship Time Charter Rates'!F464)*('AllowedShip Class Time Charters'!$E$3:$E$16='Ship Time Charter Rates'!G464))))),0,"Vessel class and Index Choosen don’t match!")</f>
        <v>0</v>
      </c>
      <c r="J464" s="36" t="s">
        <v>39</v>
      </c>
    </row>
    <row r="465" spans="4:10" ht="15.75">
      <c r="D465" s="37">
        <f t="shared" si="30"/>
        <v>444</v>
      </c>
      <c r="E465" s="39"/>
      <c r="F465" s="42"/>
      <c r="G465" s="42"/>
      <c r="H465" s="29"/>
      <c r="I465" s="193">
        <f t="array" ref="I465">IF(NOT(ISERROR(MATCH(2,1/(('AllowedShip Class Time Charters'!$D$3:$D$16='Ship Time Charter Rates'!F465)*('AllowedShip Class Time Charters'!$E$3:$E$16='Ship Time Charter Rates'!G465))))),0,"Vessel class and Index Choosen don’t match!")</f>
        <v>0</v>
      </c>
      <c r="J465" s="36" t="s">
        <v>39</v>
      </c>
    </row>
    <row r="466" spans="4:10" ht="15.75">
      <c r="D466" s="37">
        <f t="shared" si="30"/>
        <v>445</v>
      </c>
      <c r="E466" s="39"/>
      <c r="F466" s="42"/>
      <c r="G466" s="42"/>
      <c r="H466" s="29"/>
      <c r="I466" s="193">
        <f t="array" ref="I466">IF(NOT(ISERROR(MATCH(2,1/(('AllowedShip Class Time Charters'!$D$3:$D$16='Ship Time Charter Rates'!F466)*('AllowedShip Class Time Charters'!$E$3:$E$16='Ship Time Charter Rates'!G466))))),0,"Vessel class and Index Choosen don’t match!")</f>
        <v>0</v>
      </c>
      <c r="J466" s="36" t="s">
        <v>39</v>
      </c>
    </row>
    <row r="467" spans="4:10" ht="15.75">
      <c r="D467" s="37">
        <f t="shared" si="30"/>
        <v>446</v>
      </c>
      <c r="E467" s="39"/>
      <c r="F467" s="42"/>
      <c r="G467" s="42"/>
      <c r="H467" s="29"/>
      <c r="I467" s="193">
        <f t="array" ref="I467">IF(NOT(ISERROR(MATCH(2,1/(('AllowedShip Class Time Charters'!$D$3:$D$16='Ship Time Charter Rates'!F467)*('AllowedShip Class Time Charters'!$E$3:$E$16='Ship Time Charter Rates'!G467))))),0,"Vessel class and Index Choosen don’t match!")</f>
        <v>0</v>
      </c>
      <c r="J467" s="36" t="s">
        <v>39</v>
      </c>
    </row>
    <row r="468" spans="4:10" ht="15.75">
      <c r="D468" s="37">
        <f t="shared" si="30"/>
        <v>447</v>
      </c>
      <c r="E468" s="39"/>
      <c r="F468" s="42"/>
      <c r="G468" s="42"/>
      <c r="H468" s="29"/>
      <c r="I468" s="193">
        <f t="array" ref="I468">IF(NOT(ISERROR(MATCH(2,1/(('AllowedShip Class Time Charters'!$D$3:$D$16='Ship Time Charter Rates'!F468)*('AllowedShip Class Time Charters'!$E$3:$E$16='Ship Time Charter Rates'!G468))))),0,"Vessel class and Index Choosen don’t match!")</f>
        <v>0</v>
      </c>
      <c r="J468" s="36" t="s">
        <v>39</v>
      </c>
    </row>
    <row r="469" spans="4:10" ht="15.75">
      <c r="D469" s="37">
        <f t="shared" si="30"/>
        <v>448</v>
      </c>
      <c r="E469" s="39"/>
      <c r="F469" s="42"/>
      <c r="G469" s="42"/>
      <c r="H469" s="29"/>
      <c r="I469" s="193">
        <f t="array" ref="I469">IF(NOT(ISERROR(MATCH(2,1/(('AllowedShip Class Time Charters'!$D$3:$D$16='Ship Time Charter Rates'!F469)*('AllowedShip Class Time Charters'!$E$3:$E$16='Ship Time Charter Rates'!G469))))),0,"Vessel class and Index Choosen don’t match!")</f>
        <v>0</v>
      </c>
      <c r="J469" s="36" t="s">
        <v>39</v>
      </c>
    </row>
    <row r="470" spans="4:10" ht="15.75">
      <c r="D470" s="37">
        <f t="shared" si="30"/>
        <v>449</v>
      </c>
      <c r="E470" s="39"/>
      <c r="F470" s="42"/>
      <c r="G470" s="42"/>
      <c r="H470" s="29"/>
      <c r="I470" s="193">
        <f t="array" ref="I470">IF(NOT(ISERROR(MATCH(2,1/(('AllowedShip Class Time Charters'!$D$3:$D$16='Ship Time Charter Rates'!F470)*('AllowedShip Class Time Charters'!$E$3:$E$16='Ship Time Charter Rates'!G470))))),0,"Vessel class and Index Choosen don’t match!")</f>
        <v>0</v>
      </c>
      <c r="J470" s="36" t="s">
        <v>39</v>
      </c>
    </row>
    <row r="471" spans="4:10" ht="15.75">
      <c r="D471" s="37">
        <f t="shared" si="30"/>
        <v>450</v>
      </c>
      <c r="E471" s="39"/>
      <c r="F471" s="42"/>
      <c r="G471" s="42"/>
      <c r="H471" s="29"/>
      <c r="I471" s="193">
        <f t="array" ref="I471">IF(NOT(ISERROR(MATCH(2,1/(('AllowedShip Class Time Charters'!$D$3:$D$16='Ship Time Charter Rates'!F471)*('AllowedShip Class Time Charters'!$E$3:$E$16='Ship Time Charter Rates'!G471))))),0,"Vessel class and Index Choosen don’t match!")</f>
        <v>0</v>
      </c>
      <c r="J471" s="36" t="s">
        <v>39</v>
      </c>
    </row>
    <row r="472" spans="4:10" ht="15.75">
      <c r="D472" s="37">
        <f>D471+1</f>
        <v>451</v>
      </c>
      <c r="E472" s="39"/>
      <c r="F472" s="42"/>
      <c r="G472" s="42"/>
      <c r="H472" s="29"/>
      <c r="I472" s="193">
        <f t="array" ref="I472">IF(NOT(ISERROR(MATCH(2,1/(('AllowedShip Class Time Charters'!$D$3:$D$16='Ship Time Charter Rates'!F472)*('AllowedShip Class Time Charters'!$E$3:$E$16='Ship Time Charter Rates'!G472))))),0,"Vessel class and Index Choosen don’t match!")</f>
        <v>0</v>
      </c>
      <c r="J472" s="36" t="s">
        <v>39</v>
      </c>
    </row>
    <row r="473" spans="4:10" ht="15.75">
      <c r="D473" s="37">
        <f t="shared" ref="D473:D481" si="31">D472+1</f>
        <v>452</v>
      </c>
      <c r="E473" s="39"/>
      <c r="F473" s="42"/>
      <c r="G473" s="42"/>
      <c r="H473" s="29"/>
      <c r="I473" s="193">
        <f t="array" ref="I473">IF(NOT(ISERROR(MATCH(2,1/(('AllowedShip Class Time Charters'!$D$3:$D$16='Ship Time Charter Rates'!F473)*('AllowedShip Class Time Charters'!$E$3:$E$16='Ship Time Charter Rates'!G473))))),0,"Vessel class and Index Choosen don’t match!")</f>
        <v>0</v>
      </c>
      <c r="J473" s="36" t="s">
        <v>39</v>
      </c>
    </row>
    <row r="474" spans="4:10" ht="15.75">
      <c r="D474" s="37">
        <f t="shared" si="31"/>
        <v>453</v>
      </c>
      <c r="E474" s="39"/>
      <c r="F474" s="42"/>
      <c r="G474" s="42"/>
      <c r="H474" s="29"/>
      <c r="I474" s="193">
        <f t="array" ref="I474">IF(NOT(ISERROR(MATCH(2,1/(('AllowedShip Class Time Charters'!$D$3:$D$16='Ship Time Charter Rates'!F474)*('AllowedShip Class Time Charters'!$E$3:$E$16='Ship Time Charter Rates'!G474))))),0,"Vessel class and Index Choosen don’t match!")</f>
        <v>0</v>
      </c>
      <c r="J474" s="36" t="s">
        <v>39</v>
      </c>
    </row>
    <row r="475" spans="4:10" ht="15.75">
      <c r="D475" s="37">
        <f t="shared" si="31"/>
        <v>454</v>
      </c>
      <c r="E475" s="39"/>
      <c r="F475" s="42"/>
      <c r="G475" s="42"/>
      <c r="H475" s="29"/>
      <c r="I475" s="193">
        <f t="array" ref="I475">IF(NOT(ISERROR(MATCH(2,1/(('AllowedShip Class Time Charters'!$D$3:$D$16='Ship Time Charter Rates'!F475)*('AllowedShip Class Time Charters'!$E$3:$E$16='Ship Time Charter Rates'!G475))))),0,"Vessel class and Index Choosen don’t match!")</f>
        <v>0</v>
      </c>
      <c r="J475" s="36" t="s">
        <v>39</v>
      </c>
    </row>
    <row r="476" spans="4:10" ht="15.75">
      <c r="D476" s="37">
        <f t="shared" si="31"/>
        <v>455</v>
      </c>
      <c r="E476" s="39"/>
      <c r="F476" s="42"/>
      <c r="G476" s="42"/>
      <c r="H476" s="29"/>
      <c r="I476" s="193">
        <f t="array" ref="I476">IF(NOT(ISERROR(MATCH(2,1/(('AllowedShip Class Time Charters'!$D$3:$D$16='Ship Time Charter Rates'!F476)*('AllowedShip Class Time Charters'!$E$3:$E$16='Ship Time Charter Rates'!G476))))),0,"Vessel class and Index Choosen don’t match!")</f>
        <v>0</v>
      </c>
      <c r="J476" s="36" t="s">
        <v>39</v>
      </c>
    </row>
    <row r="477" spans="4:10" ht="15.75">
      <c r="D477" s="37">
        <f t="shared" si="31"/>
        <v>456</v>
      </c>
      <c r="E477" s="39"/>
      <c r="F477" s="42"/>
      <c r="G477" s="42"/>
      <c r="H477" s="29"/>
      <c r="I477" s="193">
        <f t="array" ref="I477">IF(NOT(ISERROR(MATCH(2,1/(('AllowedShip Class Time Charters'!$D$3:$D$16='Ship Time Charter Rates'!F477)*('AllowedShip Class Time Charters'!$E$3:$E$16='Ship Time Charter Rates'!G477))))),0,"Vessel class and Index Choosen don’t match!")</f>
        <v>0</v>
      </c>
      <c r="J477" s="36" t="s">
        <v>39</v>
      </c>
    </row>
    <row r="478" spans="4:10" ht="15.75">
      <c r="D478" s="37">
        <f t="shared" si="31"/>
        <v>457</v>
      </c>
      <c r="E478" s="39"/>
      <c r="F478" s="42"/>
      <c r="G478" s="42"/>
      <c r="H478" s="29"/>
      <c r="I478" s="193">
        <f t="array" ref="I478">IF(NOT(ISERROR(MATCH(2,1/(('AllowedShip Class Time Charters'!$D$3:$D$16='Ship Time Charter Rates'!F478)*('AllowedShip Class Time Charters'!$E$3:$E$16='Ship Time Charter Rates'!G478))))),0,"Vessel class and Index Choosen don’t match!")</f>
        <v>0</v>
      </c>
      <c r="J478" s="36" t="s">
        <v>39</v>
      </c>
    </row>
    <row r="479" spans="4:10" ht="15.75">
      <c r="D479" s="37">
        <f t="shared" si="31"/>
        <v>458</v>
      </c>
      <c r="E479" s="39"/>
      <c r="F479" s="42"/>
      <c r="G479" s="42"/>
      <c r="H479" s="29"/>
      <c r="I479" s="193">
        <f t="array" ref="I479">IF(NOT(ISERROR(MATCH(2,1/(('AllowedShip Class Time Charters'!$D$3:$D$16='Ship Time Charter Rates'!F479)*('AllowedShip Class Time Charters'!$E$3:$E$16='Ship Time Charter Rates'!G479))))),0,"Vessel class and Index Choosen don’t match!")</f>
        <v>0</v>
      </c>
      <c r="J479" s="36" t="s">
        <v>39</v>
      </c>
    </row>
    <row r="480" spans="4:10" ht="15.75">
      <c r="D480" s="37">
        <f t="shared" si="31"/>
        <v>459</v>
      </c>
      <c r="E480" s="39"/>
      <c r="F480" s="42"/>
      <c r="G480" s="42"/>
      <c r="H480" s="29"/>
      <c r="I480" s="193">
        <f t="array" ref="I480">IF(NOT(ISERROR(MATCH(2,1/(('AllowedShip Class Time Charters'!$D$3:$D$16='Ship Time Charter Rates'!F480)*('AllowedShip Class Time Charters'!$E$3:$E$16='Ship Time Charter Rates'!G480))))),0,"Vessel class and Index Choosen don’t match!")</f>
        <v>0</v>
      </c>
      <c r="J480" s="36" t="s">
        <v>39</v>
      </c>
    </row>
    <row r="481" spans="4:10" ht="15.75">
      <c r="D481" s="37">
        <f t="shared" si="31"/>
        <v>460</v>
      </c>
      <c r="E481" s="39"/>
      <c r="F481" s="42"/>
      <c r="G481" s="42"/>
      <c r="H481" s="29"/>
      <c r="I481" s="193">
        <f t="array" ref="I481">IF(NOT(ISERROR(MATCH(2,1/(('AllowedShip Class Time Charters'!$D$3:$D$16='Ship Time Charter Rates'!F481)*('AllowedShip Class Time Charters'!$E$3:$E$16='Ship Time Charter Rates'!G481))))),0,"Vessel class and Index Choosen don’t match!")</f>
        <v>0</v>
      </c>
      <c r="J481" s="36" t="s">
        <v>39</v>
      </c>
    </row>
    <row r="482" spans="4:10" ht="15.75">
      <c r="D482" s="37">
        <f>D481+1</f>
        <v>461</v>
      </c>
      <c r="E482" s="39"/>
      <c r="F482" s="42"/>
      <c r="G482" s="42"/>
      <c r="H482" s="29"/>
      <c r="I482" s="193">
        <f t="array" ref="I482">IF(NOT(ISERROR(MATCH(2,1/(('AllowedShip Class Time Charters'!$D$3:$D$16='Ship Time Charter Rates'!F482)*('AllowedShip Class Time Charters'!$E$3:$E$16='Ship Time Charter Rates'!G482))))),0,"Vessel class and Index Choosen don’t match!")</f>
        <v>0</v>
      </c>
      <c r="J482" s="36" t="s">
        <v>39</v>
      </c>
    </row>
    <row r="483" spans="4:10" ht="15.75">
      <c r="D483" s="37">
        <f t="shared" ref="D483:D491" si="32">D482+1</f>
        <v>462</v>
      </c>
      <c r="E483" s="39"/>
      <c r="F483" s="42"/>
      <c r="G483" s="42"/>
      <c r="H483" s="29"/>
      <c r="I483" s="193">
        <f t="array" ref="I483">IF(NOT(ISERROR(MATCH(2,1/(('AllowedShip Class Time Charters'!$D$3:$D$16='Ship Time Charter Rates'!F483)*('AllowedShip Class Time Charters'!$E$3:$E$16='Ship Time Charter Rates'!G483))))),0,"Vessel class and Index Choosen don’t match!")</f>
        <v>0</v>
      </c>
      <c r="J483" s="36" t="s">
        <v>39</v>
      </c>
    </row>
    <row r="484" spans="4:10" ht="15.75">
      <c r="D484" s="37">
        <f t="shared" si="32"/>
        <v>463</v>
      </c>
      <c r="E484" s="39"/>
      <c r="F484" s="42"/>
      <c r="G484" s="42"/>
      <c r="H484" s="29"/>
      <c r="I484" s="193">
        <f t="array" ref="I484">IF(NOT(ISERROR(MATCH(2,1/(('AllowedShip Class Time Charters'!$D$3:$D$16='Ship Time Charter Rates'!F484)*('AllowedShip Class Time Charters'!$E$3:$E$16='Ship Time Charter Rates'!G484))))),0,"Vessel class and Index Choosen don’t match!")</f>
        <v>0</v>
      </c>
      <c r="J484" s="36" t="s">
        <v>39</v>
      </c>
    </row>
    <row r="485" spans="4:10" ht="15.75">
      <c r="D485" s="37">
        <f t="shared" si="32"/>
        <v>464</v>
      </c>
      <c r="E485" s="39"/>
      <c r="F485" s="42"/>
      <c r="G485" s="42"/>
      <c r="H485" s="29"/>
      <c r="I485" s="193">
        <f t="array" ref="I485">IF(NOT(ISERROR(MATCH(2,1/(('AllowedShip Class Time Charters'!$D$3:$D$16='Ship Time Charter Rates'!F485)*('AllowedShip Class Time Charters'!$E$3:$E$16='Ship Time Charter Rates'!G485))))),0,"Vessel class and Index Choosen don’t match!")</f>
        <v>0</v>
      </c>
      <c r="J485" s="36" t="s">
        <v>39</v>
      </c>
    </row>
    <row r="486" spans="4:10" ht="15.75">
      <c r="D486" s="37">
        <f t="shared" si="32"/>
        <v>465</v>
      </c>
      <c r="E486" s="39"/>
      <c r="F486" s="42"/>
      <c r="G486" s="42"/>
      <c r="H486" s="29"/>
      <c r="I486" s="193">
        <f t="array" ref="I486">IF(NOT(ISERROR(MATCH(2,1/(('AllowedShip Class Time Charters'!$D$3:$D$16='Ship Time Charter Rates'!F486)*('AllowedShip Class Time Charters'!$E$3:$E$16='Ship Time Charter Rates'!G486))))),0,"Vessel class and Index Choosen don’t match!")</f>
        <v>0</v>
      </c>
      <c r="J486" s="36" t="s">
        <v>39</v>
      </c>
    </row>
    <row r="487" spans="4:10" ht="15.75">
      <c r="D487" s="37">
        <f t="shared" si="32"/>
        <v>466</v>
      </c>
      <c r="E487" s="39"/>
      <c r="F487" s="42"/>
      <c r="G487" s="42"/>
      <c r="H487" s="29"/>
      <c r="I487" s="193">
        <f t="array" ref="I487">IF(NOT(ISERROR(MATCH(2,1/(('AllowedShip Class Time Charters'!$D$3:$D$16='Ship Time Charter Rates'!F487)*('AllowedShip Class Time Charters'!$E$3:$E$16='Ship Time Charter Rates'!G487))))),0,"Vessel class and Index Choosen don’t match!")</f>
        <v>0</v>
      </c>
      <c r="J487" s="36" t="s">
        <v>39</v>
      </c>
    </row>
    <row r="488" spans="4:10" ht="15.75">
      <c r="D488" s="37">
        <f t="shared" si="32"/>
        <v>467</v>
      </c>
      <c r="E488" s="39"/>
      <c r="F488" s="42"/>
      <c r="G488" s="42"/>
      <c r="H488" s="29"/>
      <c r="I488" s="193">
        <f t="array" ref="I488">IF(NOT(ISERROR(MATCH(2,1/(('AllowedShip Class Time Charters'!$D$3:$D$16='Ship Time Charter Rates'!F488)*('AllowedShip Class Time Charters'!$E$3:$E$16='Ship Time Charter Rates'!G488))))),0,"Vessel class and Index Choosen don’t match!")</f>
        <v>0</v>
      </c>
      <c r="J488" s="36" t="s">
        <v>39</v>
      </c>
    </row>
    <row r="489" spans="4:10" ht="15.75">
      <c r="D489" s="37">
        <f t="shared" si="32"/>
        <v>468</v>
      </c>
      <c r="E489" s="39"/>
      <c r="F489" s="42"/>
      <c r="G489" s="42"/>
      <c r="H489" s="29"/>
      <c r="I489" s="193">
        <f t="array" ref="I489">IF(NOT(ISERROR(MATCH(2,1/(('AllowedShip Class Time Charters'!$D$3:$D$16='Ship Time Charter Rates'!F489)*('AllowedShip Class Time Charters'!$E$3:$E$16='Ship Time Charter Rates'!G489))))),0,"Vessel class and Index Choosen don’t match!")</f>
        <v>0</v>
      </c>
      <c r="J489" s="36" t="s">
        <v>39</v>
      </c>
    </row>
    <row r="490" spans="4:10" ht="15.75">
      <c r="D490" s="37">
        <f t="shared" si="32"/>
        <v>469</v>
      </c>
      <c r="E490" s="39"/>
      <c r="F490" s="42"/>
      <c r="G490" s="42"/>
      <c r="H490" s="29"/>
      <c r="I490" s="193">
        <f t="array" ref="I490">IF(NOT(ISERROR(MATCH(2,1/(('AllowedShip Class Time Charters'!$D$3:$D$16='Ship Time Charter Rates'!F490)*('AllowedShip Class Time Charters'!$E$3:$E$16='Ship Time Charter Rates'!G490))))),0,"Vessel class and Index Choosen don’t match!")</f>
        <v>0</v>
      </c>
      <c r="J490" s="36" t="s">
        <v>39</v>
      </c>
    </row>
    <row r="491" spans="4:10" ht="15.75">
      <c r="D491" s="37">
        <f t="shared" si="32"/>
        <v>470</v>
      </c>
      <c r="E491" s="39"/>
      <c r="F491" s="42"/>
      <c r="G491" s="42"/>
      <c r="H491" s="29"/>
      <c r="I491" s="193">
        <f t="array" ref="I491">IF(NOT(ISERROR(MATCH(2,1/(('AllowedShip Class Time Charters'!$D$3:$D$16='Ship Time Charter Rates'!F491)*('AllowedShip Class Time Charters'!$E$3:$E$16='Ship Time Charter Rates'!G491))))),0,"Vessel class and Index Choosen don’t match!")</f>
        <v>0</v>
      </c>
      <c r="J491" s="36" t="s">
        <v>39</v>
      </c>
    </row>
    <row r="492" spans="4:10" ht="15.75">
      <c r="D492" s="37">
        <f>D491+1</f>
        <v>471</v>
      </c>
      <c r="E492" s="39"/>
      <c r="F492" s="42"/>
      <c r="G492" s="42"/>
      <c r="H492" s="29"/>
      <c r="I492" s="193">
        <f t="array" ref="I492">IF(NOT(ISERROR(MATCH(2,1/(('AllowedShip Class Time Charters'!$D$3:$D$16='Ship Time Charter Rates'!F492)*('AllowedShip Class Time Charters'!$E$3:$E$16='Ship Time Charter Rates'!G492))))),0,"Vessel class and Index Choosen don’t match!")</f>
        <v>0</v>
      </c>
      <c r="J492" s="36" t="s">
        <v>39</v>
      </c>
    </row>
    <row r="493" spans="4:10" ht="15.75">
      <c r="D493" s="37">
        <f t="shared" ref="D493:D501" si="33">D492+1</f>
        <v>472</v>
      </c>
      <c r="E493" s="39"/>
      <c r="F493" s="42"/>
      <c r="G493" s="42"/>
      <c r="H493" s="29"/>
      <c r="I493" s="193">
        <f t="array" ref="I493">IF(NOT(ISERROR(MATCH(2,1/(('AllowedShip Class Time Charters'!$D$3:$D$16='Ship Time Charter Rates'!F493)*('AllowedShip Class Time Charters'!$E$3:$E$16='Ship Time Charter Rates'!G493))))),0,"Vessel class and Index Choosen don’t match!")</f>
        <v>0</v>
      </c>
      <c r="J493" s="36" t="s">
        <v>39</v>
      </c>
    </row>
    <row r="494" spans="4:10" ht="15.75">
      <c r="D494" s="37">
        <f t="shared" si="33"/>
        <v>473</v>
      </c>
      <c r="E494" s="39"/>
      <c r="F494" s="42"/>
      <c r="G494" s="42"/>
      <c r="H494" s="29"/>
      <c r="I494" s="193">
        <f t="array" ref="I494">IF(NOT(ISERROR(MATCH(2,1/(('AllowedShip Class Time Charters'!$D$3:$D$16='Ship Time Charter Rates'!F494)*('AllowedShip Class Time Charters'!$E$3:$E$16='Ship Time Charter Rates'!G494))))),0,"Vessel class and Index Choosen don’t match!")</f>
        <v>0</v>
      </c>
      <c r="J494" s="36" t="s">
        <v>39</v>
      </c>
    </row>
    <row r="495" spans="4:10" ht="15.75">
      <c r="D495" s="37">
        <f t="shared" si="33"/>
        <v>474</v>
      </c>
      <c r="E495" s="39"/>
      <c r="F495" s="42"/>
      <c r="G495" s="42"/>
      <c r="H495" s="29"/>
      <c r="I495" s="193">
        <f t="array" ref="I495">IF(NOT(ISERROR(MATCH(2,1/(('AllowedShip Class Time Charters'!$D$3:$D$16='Ship Time Charter Rates'!F495)*('AllowedShip Class Time Charters'!$E$3:$E$16='Ship Time Charter Rates'!G495))))),0,"Vessel class and Index Choosen don’t match!")</f>
        <v>0</v>
      </c>
      <c r="J495" s="36" t="s">
        <v>39</v>
      </c>
    </row>
    <row r="496" spans="4:10" ht="15.75">
      <c r="D496" s="37">
        <f t="shared" si="33"/>
        <v>475</v>
      </c>
      <c r="E496" s="39"/>
      <c r="F496" s="42"/>
      <c r="G496" s="42"/>
      <c r="H496" s="29"/>
      <c r="I496" s="193">
        <f t="array" ref="I496">IF(NOT(ISERROR(MATCH(2,1/(('AllowedShip Class Time Charters'!$D$3:$D$16='Ship Time Charter Rates'!F496)*('AllowedShip Class Time Charters'!$E$3:$E$16='Ship Time Charter Rates'!G496))))),0,"Vessel class and Index Choosen don’t match!")</f>
        <v>0</v>
      </c>
      <c r="J496" s="36" t="s">
        <v>39</v>
      </c>
    </row>
    <row r="497" spans="4:10" ht="15.75">
      <c r="D497" s="37">
        <f t="shared" si="33"/>
        <v>476</v>
      </c>
      <c r="E497" s="39"/>
      <c r="F497" s="42"/>
      <c r="G497" s="42"/>
      <c r="H497" s="29"/>
      <c r="I497" s="193">
        <f t="array" ref="I497">IF(NOT(ISERROR(MATCH(2,1/(('AllowedShip Class Time Charters'!$D$3:$D$16='Ship Time Charter Rates'!F497)*('AllowedShip Class Time Charters'!$E$3:$E$16='Ship Time Charter Rates'!G497))))),0,"Vessel class and Index Choosen don’t match!")</f>
        <v>0</v>
      </c>
      <c r="J497" s="36" t="s">
        <v>39</v>
      </c>
    </row>
    <row r="498" spans="4:10" ht="15.75">
      <c r="D498" s="37">
        <f t="shared" si="33"/>
        <v>477</v>
      </c>
      <c r="E498" s="39"/>
      <c r="F498" s="42"/>
      <c r="G498" s="42"/>
      <c r="H498" s="29"/>
      <c r="I498" s="193">
        <f t="array" ref="I498">IF(NOT(ISERROR(MATCH(2,1/(('AllowedShip Class Time Charters'!$D$3:$D$16='Ship Time Charter Rates'!F498)*('AllowedShip Class Time Charters'!$E$3:$E$16='Ship Time Charter Rates'!G498))))),0,"Vessel class and Index Choosen don’t match!")</f>
        <v>0</v>
      </c>
      <c r="J498" s="36" t="s">
        <v>39</v>
      </c>
    </row>
    <row r="499" spans="4:10" ht="15.75">
      <c r="D499" s="37">
        <f t="shared" si="33"/>
        <v>478</v>
      </c>
      <c r="E499" s="39"/>
      <c r="F499" s="42"/>
      <c r="G499" s="42"/>
      <c r="H499" s="29"/>
      <c r="I499" s="193">
        <f t="array" ref="I499">IF(NOT(ISERROR(MATCH(2,1/(('AllowedShip Class Time Charters'!$D$3:$D$16='Ship Time Charter Rates'!F499)*('AllowedShip Class Time Charters'!$E$3:$E$16='Ship Time Charter Rates'!G499))))),0,"Vessel class and Index Choosen don’t match!")</f>
        <v>0</v>
      </c>
      <c r="J499" s="36" t="s">
        <v>39</v>
      </c>
    </row>
    <row r="500" spans="4:10" ht="15.75">
      <c r="D500" s="37">
        <f t="shared" si="33"/>
        <v>479</v>
      </c>
      <c r="E500" s="39"/>
      <c r="F500" s="42"/>
      <c r="G500" s="42"/>
      <c r="H500" s="29"/>
      <c r="I500" s="193">
        <f t="array" ref="I500">IF(NOT(ISERROR(MATCH(2,1/(('AllowedShip Class Time Charters'!$D$3:$D$16='Ship Time Charter Rates'!F500)*('AllowedShip Class Time Charters'!$E$3:$E$16='Ship Time Charter Rates'!G500))))),0,"Vessel class and Index Choosen don’t match!")</f>
        <v>0</v>
      </c>
      <c r="J500" s="36" t="s">
        <v>39</v>
      </c>
    </row>
    <row r="501" spans="4:10" ht="15.75">
      <c r="D501" s="37">
        <f t="shared" si="33"/>
        <v>480</v>
      </c>
      <c r="E501" s="39"/>
      <c r="F501" s="42"/>
      <c r="G501" s="42"/>
      <c r="H501" s="29"/>
      <c r="I501" s="193">
        <f t="array" ref="I501">IF(NOT(ISERROR(MATCH(2,1/(('AllowedShip Class Time Charters'!$D$3:$D$16='Ship Time Charter Rates'!F501)*('AllowedShip Class Time Charters'!$E$3:$E$16='Ship Time Charter Rates'!G501))))),0,"Vessel class and Index Choosen don’t match!")</f>
        <v>0</v>
      </c>
      <c r="J501" s="36" t="s">
        <v>39</v>
      </c>
    </row>
    <row r="502" spans="4:10" ht="15.75">
      <c r="D502" s="37">
        <f>D501+1</f>
        <v>481</v>
      </c>
      <c r="E502" s="39"/>
      <c r="F502" s="42"/>
      <c r="G502" s="42"/>
      <c r="H502" s="29"/>
      <c r="I502" s="193">
        <f t="array" ref="I502">IF(NOT(ISERROR(MATCH(2,1/(('AllowedShip Class Time Charters'!$D$3:$D$16='Ship Time Charter Rates'!F502)*('AllowedShip Class Time Charters'!$E$3:$E$16='Ship Time Charter Rates'!G502))))),0,"Vessel class and Index Choosen don’t match!")</f>
        <v>0</v>
      </c>
      <c r="J502" s="36" t="s">
        <v>39</v>
      </c>
    </row>
    <row r="503" spans="4:10" ht="15.75">
      <c r="D503" s="37">
        <f t="shared" ref="D503:D511" si="34">D502+1</f>
        <v>482</v>
      </c>
      <c r="E503" s="39"/>
      <c r="F503" s="42"/>
      <c r="G503" s="42"/>
      <c r="H503" s="29"/>
      <c r="I503" s="193">
        <f t="array" ref="I503">IF(NOT(ISERROR(MATCH(2,1/(('AllowedShip Class Time Charters'!$D$3:$D$16='Ship Time Charter Rates'!F503)*('AllowedShip Class Time Charters'!$E$3:$E$16='Ship Time Charter Rates'!G503))))),0,"Vessel class and Index Choosen don’t match!")</f>
        <v>0</v>
      </c>
      <c r="J503" s="36" t="s">
        <v>39</v>
      </c>
    </row>
    <row r="504" spans="4:10" ht="15.75">
      <c r="D504" s="37">
        <f t="shared" si="34"/>
        <v>483</v>
      </c>
      <c r="E504" s="39"/>
      <c r="F504" s="42"/>
      <c r="G504" s="42"/>
      <c r="H504" s="29"/>
      <c r="I504" s="193">
        <f t="array" ref="I504">IF(NOT(ISERROR(MATCH(2,1/(('AllowedShip Class Time Charters'!$D$3:$D$16='Ship Time Charter Rates'!F504)*('AllowedShip Class Time Charters'!$E$3:$E$16='Ship Time Charter Rates'!G504))))),0,"Vessel class and Index Choosen don’t match!")</f>
        <v>0</v>
      </c>
      <c r="J504" s="36" t="s">
        <v>39</v>
      </c>
    </row>
    <row r="505" spans="4:10" ht="15.75">
      <c r="D505" s="37">
        <f t="shared" si="34"/>
        <v>484</v>
      </c>
      <c r="E505" s="39"/>
      <c r="F505" s="42"/>
      <c r="G505" s="42"/>
      <c r="H505" s="29"/>
      <c r="I505" s="193">
        <f t="array" ref="I505">IF(NOT(ISERROR(MATCH(2,1/(('AllowedShip Class Time Charters'!$D$3:$D$16='Ship Time Charter Rates'!F505)*('AllowedShip Class Time Charters'!$E$3:$E$16='Ship Time Charter Rates'!G505))))),0,"Vessel class and Index Choosen don’t match!")</f>
        <v>0</v>
      </c>
      <c r="J505" s="36" t="s">
        <v>39</v>
      </c>
    </row>
    <row r="506" spans="4:10" ht="15.75">
      <c r="D506" s="37">
        <f t="shared" si="34"/>
        <v>485</v>
      </c>
      <c r="E506" s="39"/>
      <c r="F506" s="42"/>
      <c r="G506" s="42"/>
      <c r="H506" s="29"/>
      <c r="I506" s="193">
        <f t="array" ref="I506">IF(NOT(ISERROR(MATCH(2,1/(('AllowedShip Class Time Charters'!$D$3:$D$16='Ship Time Charter Rates'!F506)*('AllowedShip Class Time Charters'!$E$3:$E$16='Ship Time Charter Rates'!G506))))),0,"Vessel class and Index Choosen don’t match!")</f>
        <v>0</v>
      </c>
      <c r="J506" s="36" t="s">
        <v>39</v>
      </c>
    </row>
    <row r="507" spans="4:10" ht="15.75">
      <c r="D507" s="37">
        <f t="shared" si="34"/>
        <v>486</v>
      </c>
      <c r="E507" s="39"/>
      <c r="F507" s="42"/>
      <c r="G507" s="42"/>
      <c r="H507" s="29"/>
      <c r="I507" s="193">
        <f t="array" ref="I507">IF(NOT(ISERROR(MATCH(2,1/(('AllowedShip Class Time Charters'!$D$3:$D$16='Ship Time Charter Rates'!F507)*('AllowedShip Class Time Charters'!$E$3:$E$16='Ship Time Charter Rates'!G507))))),0,"Vessel class and Index Choosen don’t match!")</f>
        <v>0</v>
      </c>
      <c r="J507" s="36" t="s">
        <v>39</v>
      </c>
    </row>
    <row r="508" spans="4:10" ht="15.75">
      <c r="D508" s="37">
        <f t="shared" si="34"/>
        <v>487</v>
      </c>
      <c r="E508" s="39"/>
      <c r="F508" s="42"/>
      <c r="G508" s="42"/>
      <c r="H508" s="29"/>
      <c r="I508" s="193">
        <f t="array" ref="I508">IF(NOT(ISERROR(MATCH(2,1/(('AllowedShip Class Time Charters'!$D$3:$D$16='Ship Time Charter Rates'!F508)*('AllowedShip Class Time Charters'!$E$3:$E$16='Ship Time Charter Rates'!G508))))),0,"Vessel class and Index Choosen don’t match!")</f>
        <v>0</v>
      </c>
      <c r="J508" s="36" t="s">
        <v>39</v>
      </c>
    </row>
    <row r="509" spans="4:10" ht="15.75">
      <c r="D509" s="37">
        <f t="shared" si="34"/>
        <v>488</v>
      </c>
      <c r="E509" s="39"/>
      <c r="F509" s="42"/>
      <c r="G509" s="42"/>
      <c r="H509" s="29"/>
      <c r="I509" s="193">
        <f t="array" ref="I509">IF(NOT(ISERROR(MATCH(2,1/(('AllowedShip Class Time Charters'!$D$3:$D$16='Ship Time Charter Rates'!F509)*('AllowedShip Class Time Charters'!$E$3:$E$16='Ship Time Charter Rates'!G509))))),0,"Vessel class and Index Choosen don’t match!")</f>
        <v>0</v>
      </c>
      <c r="J509" s="36" t="s">
        <v>39</v>
      </c>
    </row>
    <row r="510" spans="4:10" ht="15.75">
      <c r="D510" s="37">
        <f t="shared" si="34"/>
        <v>489</v>
      </c>
      <c r="E510" s="39"/>
      <c r="F510" s="42"/>
      <c r="G510" s="42"/>
      <c r="H510" s="29"/>
      <c r="I510" s="193">
        <f t="array" ref="I510">IF(NOT(ISERROR(MATCH(2,1/(('AllowedShip Class Time Charters'!$D$3:$D$16='Ship Time Charter Rates'!F510)*('AllowedShip Class Time Charters'!$E$3:$E$16='Ship Time Charter Rates'!G510))))),0,"Vessel class and Index Choosen don’t match!")</f>
        <v>0</v>
      </c>
      <c r="J510" s="36" t="s">
        <v>39</v>
      </c>
    </row>
    <row r="511" spans="4:10" ht="15.75">
      <c r="D511" s="37">
        <f t="shared" si="34"/>
        <v>490</v>
      </c>
      <c r="E511" s="39"/>
      <c r="F511" s="42"/>
      <c r="G511" s="42"/>
      <c r="H511" s="29"/>
      <c r="I511" s="193">
        <f t="array" ref="I511">IF(NOT(ISERROR(MATCH(2,1/(('AllowedShip Class Time Charters'!$D$3:$D$16='Ship Time Charter Rates'!F511)*('AllowedShip Class Time Charters'!$E$3:$E$16='Ship Time Charter Rates'!G511))))),0,"Vessel class and Index Choosen don’t match!")</f>
        <v>0</v>
      </c>
      <c r="J511" s="36" t="s">
        <v>39</v>
      </c>
    </row>
    <row r="512" spans="4:10" ht="15.75">
      <c r="D512" s="37">
        <f>D511+1</f>
        <v>491</v>
      </c>
      <c r="E512" s="39"/>
      <c r="F512" s="42"/>
      <c r="G512" s="42"/>
      <c r="H512" s="29"/>
      <c r="I512" s="193">
        <f t="array" ref="I512">IF(NOT(ISERROR(MATCH(2,1/(('AllowedShip Class Time Charters'!$D$3:$D$16='Ship Time Charter Rates'!F512)*('AllowedShip Class Time Charters'!$E$3:$E$16='Ship Time Charter Rates'!G512))))),0,"Vessel class and Index Choosen don’t match!")</f>
        <v>0</v>
      </c>
      <c r="J512" s="36" t="s">
        <v>39</v>
      </c>
    </row>
    <row r="513" spans="4:10" ht="15.75">
      <c r="D513" s="37">
        <f t="shared" ref="D513:D576" si="35">D512+1</f>
        <v>492</v>
      </c>
      <c r="E513" s="39"/>
      <c r="F513" s="42"/>
      <c r="G513" s="42"/>
      <c r="H513" s="29"/>
      <c r="I513" s="193">
        <f t="array" ref="I513">IF(NOT(ISERROR(MATCH(2,1/(('AllowedShip Class Time Charters'!$D$3:$D$16='Ship Time Charter Rates'!F513)*('AllowedShip Class Time Charters'!$E$3:$E$16='Ship Time Charter Rates'!G513))))),0,"Vessel class and Index Choosen don’t match!")</f>
        <v>0</v>
      </c>
      <c r="J513" s="36" t="s">
        <v>39</v>
      </c>
    </row>
    <row r="514" spans="4:10" ht="15.75">
      <c r="D514" s="37">
        <f t="shared" si="35"/>
        <v>493</v>
      </c>
      <c r="E514" s="39"/>
      <c r="F514" s="42"/>
      <c r="G514" s="42"/>
      <c r="H514" s="29"/>
      <c r="I514" s="193">
        <f t="array" ref="I514">IF(NOT(ISERROR(MATCH(2,1/(('AllowedShip Class Time Charters'!$D$3:$D$16='Ship Time Charter Rates'!F514)*('AllowedShip Class Time Charters'!$E$3:$E$16='Ship Time Charter Rates'!G514))))),0,"Vessel class and Index Choosen don’t match!")</f>
        <v>0</v>
      </c>
      <c r="J514" s="36" t="s">
        <v>39</v>
      </c>
    </row>
    <row r="515" spans="4:10" ht="15.75">
      <c r="D515" s="37">
        <f t="shared" si="35"/>
        <v>494</v>
      </c>
      <c r="E515" s="39"/>
      <c r="F515" s="42"/>
      <c r="G515" s="42"/>
      <c r="H515" s="29"/>
      <c r="I515" s="193">
        <f t="array" ref="I515">IF(NOT(ISERROR(MATCH(2,1/(('AllowedShip Class Time Charters'!$D$3:$D$16='Ship Time Charter Rates'!F515)*('AllowedShip Class Time Charters'!$E$3:$E$16='Ship Time Charter Rates'!G515))))),0,"Vessel class and Index Choosen don’t match!")</f>
        <v>0</v>
      </c>
      <c r="J515" s="36" t="s">
        <v>39</v>
      </c>
    </row>
    <row r="516" spans="4:10" ht="15.75">
      <c r="D516" s="37">
        <f t="shared" si="35"/>
        <v>495</v>
      </c>
      <c r="E516" s="39"/>
      <c r="F516" s="42"/>
      <c r="G516" s="42"/>
      <c r="H516" s="29"/>
      <c r="I516" s="193">
        <f t="array" ref="I516">IF(NOT(ISERROR(MATCH(2,1/(('AllowedShip Class Time Charters'!$D$3:$D$16='Ship Time Charter Rates'!F516)*('AllowedShip Class Time Charters'!$E$3:$E$16='Ship Time Charter Rates'!G516))))),0,"Vessel class and Index Choosen don’t match!")</f>
        <v>0</v>
      </c>
      <c r="J516" s="36" t="s">
        <v>39</v>
      </c>
    </row>
    <row r="517" spans="4:10" ht="15.75">
      <c r="D517" s="37">
        <f t="shared" si="35"/>
        <v>496</v>
      </c>
      <c r="E517" s="39"/>
      <c r="F517" s="42"/>
      <c r="G517" s="42"/>
      <c r="H517" s="29"/>
      <c r="I517" s="193">
        <f t="array" ref="I517">IF(NOT(ISERROR(MATCH(2,1/(('AllowedShip Class Time Charters'!$D$3:$D$16='Ship Time Charter Rates'!F517)*('AllowedShip Class Time Charters'!$E$3:$E$16='Ship Time Charter Rates'!G517))))),0,"Vessel class and Index Choosen don’t match!")</f>
        <v>0</v>
      </c>
      <c r="J517" s="36" t="s">
        <v>39</v>
      </c>
    </row>
    <row r="518" spans="4:10" ht="15.75">
      <c r="D518" s="37">
        <f t="shared" si="35"/>
        <v>497</v>
      </c>
      <c r="E518" s="39"/>
      <c r="F518" s="42"/>
      <c r="G518" s="42"/>
      <c r="H518" s="29"/>
      <c r="I518" s="193">
        <f t="array" ref="I518">IF(NOT(ISERROR(MATCH(2,1/(('AllowedShip Class Time Charters'!$D$3:$D$16='Ship Time Charter Rates'!F518)*('AllowedShip Class Time Charters'!$E$3:$E$16='Ship Time Charter Rates'!G518))))),0,"Vessel class and Index Choosen don’t match!")</f>
        <v>0</v>
      </c>
      <c r="J518" s="36" t="s">
        <v>39</v>
      </c>
    </row>
    <row r="519" spans="4:10" ht="15.75">
      <c r="D519" s="37">
        <f t="shared" si="35"/>
        <v>498</v>
      </c>
      <c r="E519" s="39"/>
      <c r="F519" s="42"/>
      <c r="G519" s="42"/>
      <c r="H519" s="29"/>
      <c r="I519" s="193">
        <f t="array" ref="I519">IF(NOT(ISERROR(MATCH(2,1/(('AllowedShip Class Time Charters'!$D$3:$D$16='Ship Time Charter Rates'!F519)*('AllowedShip Class Time Charters'!$E$3:$E$16='Ship Time Charter Rates'!G519))))),0,"Vessel class and Index Choosen don’t match!")</f>
        <v>0</v>
      </c>
      <c r="J519" s="36" t="s">
        <v>39</v>
      </c>
    </row>
    <row r="520" spans="4:10" ht="15.75">
      <c r="D520" s="37">
        <f t="shared" si="35"/>
        <v>499</v>
      </c>
      <c r="E520" s="39"/>
      <c r="F520" s="42"/>
      <c r="G520" s="42"/>
      <c r="H520" s="29"/>
      <c r="I520" s="193">
        <f t="array" ref="I520">IF(NOT(ISERROR(MATCH(2,1/(('AllowedShip Class Time Charters'!$D$3:$D$16='Ship Time Charter Rates'!F520)*('AllowedShip Class Time Charters'!$E$3:$E$16='Ship Time Charter Rates'!G520))))),0,"Vessel class and Index Choosen don’t match!")</f>
        <v>0</v>
      </c>
      <c r="J520" s="36" t="s">
        <v>39</v>
      </c>
    </row>
    <row r="521" spans="4:10" ht="15.75">
      <c r="D521" s="37">
        <f t="shared" si="35"/>
        <v>500</v>
      </c>
      <c r="E521" s="39"/>
      <c r="F521" s="42"/>
      <c r="G521" s="42"/>
      <c r="H521" s="29"/>
      <c r="I521" s="193">
        <f t="array" ref="I521">IF(NOT(ISERROR(MATCH(2,1/(('AllowedShip Class Time Charters'!$D$3:$D$16='Ship Time Charter Rates'!F521)*('AllowedShip Class Time Charters'!$E$3:$E$16='Ship Time Charter Rates'!G521))))),0,"Vessel class and Index Choosen don’t match!")</f>
        <v>0</v>
      </c>
      <c r="J521" s="36" t="s">
        <v>39</v>
      </c>
    </row>
    <row r="522" spans="4:10" ht="15.75">
      <c r="D522" s="37">
        <f t="shared" si="35"/>
        <v>501</v>
      </c>
      <c r="E522" s="39"/>
      <c r="F522" s="42"/>
      <c r="G522" s="42"/>
      <c r="H522" s="29"/>
      <c r="I522" s="193">
        <f t="array" ref="I522">IF(NOT(ISERROR(MATCH(2,1/(('AllowedShip Class Time Charters'!$D$3:$D$16='Ship Time Charter Rates'!F522)*('AllowedShip Class Time Charters'!$E$3:$E$16='Ship Time Charter Rates'!G522))))),0,"Vessel class and Index Choosen don’t match!")</f>
        <v>0</v>
      </c>
      <c r="J522" s="36" t="s">
        <v>39</v>
      </c>
    </row>
    <row r="523" spans="4:10" ht="15.75">
      <c r="D523" s="37">
        <f t="shared" si="35"/>
        <v>502</v>
      </c>
      <c r="E523" s="39"/>
      <c r="F523" s="42"/>
      <c r="G523" s="42"/>
      <c r="H523" s="29"/>
      <c r="I523" s="193">
        <f t="array" ref="I523">IF(NOT(ISERROR(MATCH(2,1/(('AllowedShip Class Time Charters'!$D$3:$D$16='Ship Time Charter Rates'!F523)*('AllowedShip Class Time Charters'!$E$3:$E$16='Ship Time Charter Rates'!G523))))),0,"Vessel class and Index Choosen don’t match!")</f>
        <v>0</v>
      </c>
      <c r="J523" s="36" t="s">
        <v>39</v>
      </c>
    </row>
    <row r="524" spans="4:10" ht="15.75">
      <c r="D524" s="37">
        <f t="shared" si="35"/>
        <v>503</v>
      </c>
      <c r="E524" s="39"/>
      <c r="F524" s="42"/>
      <c r="G524" s="42"/>
      <c r="H524" s="29"/>
      <c r="I524" s="193">
        <f t="array" ref="I524">IF(NOT(ISERROR(MATCH(2,1/(('AllowedShip Class Time Charters'!$D$3:$D$16='Ship Time Charter Rates'!F524)*('AllowedShip Class Time Charters'!$E$3:$E$16='Ship Time Charter Rates'!G524))))),0,"Vessel class and Index Choosen don’t match!")</f>
        <v>0</v>
      </c>
      <c r="J524" s="36" t="s">
        <v>39</v>
      </c>
    </row>
    <row r="525" spans="4:10" ht="15.75">
      <c r="D525" s="37">
        <f t="shared" si="35"/>
        <v>504</v>
      </c>
      <c r="E525" s="39"/>
      <c r="F525" s="42"/>
      <c r="G525" s="42"/>
      <c r="H525" s="29"/>
      <c r="I525" s="193">
        <f t="array" ref="I525">IF(NOT(ISERROR(MATCH(2,1/(('AllowedShip Class Time Charters'!$D$3:$D$16='Ship Time Charter Rates'!F525)*('AllowedShip Class Time Charters'!$E$3:$E$16='Ship Time Charter Rates'!G525))))),0,"Vessel class and Index Choosen don’t match!")</f>
        <v>0</v>
      </c>
      <c r="J525" s="36" t="s">
        <v>39</v>
      </c>
    </row>
    <row r="526" spans="4:10" ht="15.75">
      <c r="D526" s="37">
        <f t="shared" si="35"/>
        <v>505</v>
      </c>
      <c r="E526" s="39"/>
      <c r="F526" s="42"/>
      <c r="G526" s="42"/>
      <c r="H526" s="29"/>
      <c r="I526" s="193">
        <f t="array" ref="I526">IF(NOT(ISERROR(MATCH(2,1/(('AllowedShip Class Time Charters'!$D$3:$D$16='Ship Time Charter Rates'!F526)*('AllowedShip Class Time Charters'!$E$3:$E$16='Ship Time Charter Rates'!G526))))),0,"Vessel class and Index Choosen don’t match!")</f>
        <v>0</v>
      </c>
      <c r="J526" s="36" t="s">
        <v>39</v>
      </c>
    </row>
    <row r="527" spans="4:10" ht="15.75">
      <c r="D527" s="37">
        <f t="shared" si="35"/>
        <v>506</v>
      </c>
      <c r="E527" s="39"/>
      <c r="F527" s="42"/>
      <c r="G527" s="42"/>
      <c r="H527" s="29"/>
      <c r="I527" s="193">
        <f t="array" ref="I527">IF(NOT(ISERROR(MATCH(2,1/(('AllowedShip Class Time Charters'!$D$3:$D$16='Ship Time Charter Rates'!F527)*('AllowedShip Class Time Charters'!$E$3:$E$16='Ship Time Charter Rates'!G527))))),0,"Vessel class and Index Choosen don’t match!")</f>
        <v>0</v>
      </c>
      <c r="J527" s="36" t="s">
        <v>39</v>
      </c>
    </row>
    <row r="528" spans="4:10" ht="15.75">
      <c r="D528" s="37">
        <f t="shared" si="35"/>
        <v>507</v>
      </c>
      <c r="E528" s="39"/>
      <c r="F528" s="42"/>
      <c r="G528" s="42"/>
      <c r="H528" s="29"/>
      <c r="I528" s="193">
        <f t="array" ref="I528">IF(NOT(ISERROR(MATCH(2,1/(('AllowedShip Class Time Charters'!$D$3:$D$16='Ship Time Charter Rates'!F528)*('AllowedShip Class Time Charters'!$E$3:$E$16='Ship Time Charter Rates'!G528))))),0,"Vessel class and Index Choosen don’t match!")</f>
        <v>0</v>
      </c>
      <c r="J528" s="36" t="s">
        <v>39</v>
      </c>
    </row>
    <row r="529" spans="4:10" ht="15.75">
      <c r="D529" s="37">
        <f t="shared" si="35"/>
        <v>508</v>
      </c>
      <c r="E529" s="39"/>
      <c r="F529" s="42"/>
      <c r="G529" s="42"/>
      <c r="H529" s="29"/>
      <c r="I529" s="193">
        <f t="array" ref="I529">IF(NOT(ISERROR(MATCH(2,1/(('AllowedShip Class Time Charters'!$D$3:$D$16='Ship Time Charter Rates'!F529)*('AllowedShip Class Time Charters'!$E$3:$E$16='Ship Time Charter Rates'!G529))))),0,"Vessel class and Index Choosen don’t match!")</f>
        <v>0</v>
      </c>
      <c r="J529" s="36" t="s">
        <v>39</v>
      </c>
    </row>
    <row r="530" spans="4:10" ht="15.75">
      <c r="D530" s="37">
        <f t="shared" si="35"/>
        <v>509</v>
      </c>
      <c r="E530" s="39"/>
      <c r="F530" s="42"/>
      <c r="G530" s="42"/>
      <c r="H530" s="29"/>
      <c r="I530" s="193">
        <f t="array" ref="I530">IF(NOT(ISERROR(MATCH(2,1/(('AllowedShip Class Time Charters'!$D$3:$D$16='Ship Time Charter Rates'!F530)*('AllowedShip Class Time Charters'!$E$3:$E$16='Ship Time Charter Rates'!G530))))),0,"Vessel class and Index Choosen don’t match!")</f>
        <v>0</v>
      </c>
      <c r="J530" s="36" t="s">
        <v>39</v>
      </c>
    </row>
    <row r="531" spans="4:10" ht="15.75">
      <c r="D531" s="37">
        <f t="shared" si="35"/>
        <v>510</v>
      </c>
      <c r="E531" s="39"/>
      <c r="F531" s="42"/>
      <c r="G531" s="42"/>
      <c r="H531" s="29"/>
      <c r="I531" s="193">
        <f t="array" ref="I531">IF(NOT(ISERROR(MATCH(2,1/(('AllowedShip Class Time Charters'!$D$3:$D$16='Ship Time Charter Rates'!F531)*('AllowedShip Class Time Charters'!$E$3:$E$16='Ship Time Charter Rates'!G531))))),0,"Vessel class and Index Choosen don’t match!")</f>
        <v>0</v>
      </c>
      <c r="J531" s="36" t="s">
        <v>39</v>
      </c>
    </row>
    <row r="532" spans="4:10" ht="15.75">
      <c r="D532" s="37">
        <f t="shared" si="35"/>
        <v>511</v>
      </c>
      <c r="E532" s="39"/>
      <c r="F532" s="42"/>
      <c r="G532" s="42"/>
      <c r="H532" s="29"/>
      <c r="I532" s="193">
        <f t="array" ref="I532">IF(NOT(ISERROR(MATCH(2,1/(('AllowedShip Class Time Charters'!$D$3:$D$16='Ship Time Charter Rates'!F532)*('AllowedShip Class Time Charters'!$E$3:$E$16='Ship Time Charter Rates'!G532))))),0,"Vessel class and Index Choosen don’t match!")</f>
        <v>0</v>
      </c>
      <c r="J532" s="36" t="s">
        <v>39</v>
      </c>
    </row>
    <row r="533" spans="4:10" ht="15.75">
      <c r="D533" s="37">
        <f t="shared" si="35"/>
        <v>512</v>
      </c>
      <c r="E533" s="39"/>
      <c r="F533" s="42"/>
      <c r="G533" s="42"/>
      <c r="H533" s="29"/>
      <c r="I533" s="193">
        <f t="array" ref="I533">IF(NOT(ISERROR(MATCH(2,1/(('AllowedShip Class Time Charters'!$D$3:$D$16='Ship Time Charter Rates'!F533)*('AllowedShip Class Time Charters'!$E$3:$E$16='Ship Time Charter Rates'!G533))))),0,"Vessel class and Index Choosen don’t match!")</f>
        <v>0</v>
      </c>
      <c r="J533" s="36" t="s">
        <v>39</v>
      </c>
    </row>
    <row r="534" spans="4:10" ht="15.75">
      <c r="D534" s="37">
        <f t="shared" si="35"/>
        <v>513</v>
      </c>
      <c r="E534" s="39"/>
      <c r="F534" s="42"/>
      <c r="G534" s="42"/>
      <c r="H534" s="29"/>
      <c r="I534" s="193">
        <f t="array" ref="I534">IF(NOT(ISERROR(MATCH(2,1/(('AllowedShip Class Time Charters'!$D$3:$D$16='Ship Time Charter Rates'!F534)*('AllowedShip Class Time Charters'!$E$3:$E$16='Ship Time Charter Rates'!G534))))),0,"Vessel class and Index Choosen don’t match!")</f>
        <v>0</v>
      </c>
      <c r="J534" s="36" t="s">
        <v>39</v>
      </c>
    </row>
    <row r="535" spans="4:10" ht="15.75">
      <c r="D535" s="37">
        <f t="shared" si="35"/>
        <v>514</v>
      </c>
      <c r="E535" s="39"/>
      <c r="F535" s="42"/>
      <c r="G535" s="42"/>
      <c r="H535" s="29"/>
      <c r="I535" s="193">
        <f t="array" ref="I535">IF(NOT(ISERROR(MATCH(2,1/(('AllowedShip Class Time Charters'!$D$3:$D$16='Ship Time Charter Rates'!F535)*('AllowedShip Class Time Charters'!$E$3:$E$16='Ship Time Charter Rates'!G535))))),0,"Vessel class and Index Choosen don’t match!")</f>
        <v>0</v>
      </c>
      <c r="J535" s="36" t="s">
        <v>39</v>
      </c>
    </row>
    <row r="536" spans="4:10" ht="15.75">
      <c r="D536" s="37">
        <f t="shared" si="35"/>
        <v>515</v>
      </c>
      <c r="E536" s="39"/>
      <c r="F536" s="42"/>
      <c r="G536" s="42"/>
      <c r="H536" s="29"/>
      <c r="I536" s="193">
        <f t="array" ref="I536">IF(NOT(ISERROR(MATCH(2,1/(('AllowedShip Class Time Charters'!$D$3:$D$16='Ship Time Charter Rates'!F536)*('AllowedShip Class Time Charters'!$E$3:$E$16='Ship Time Charter Rates'!G536))))),0,"Vessel class and Index Choosen don’t match!")</f>
        <v>0</v>
      </c>
      <c r="J536" s="36" t="s">
        <v>39</v>
      </c>
    </row>
    <row r="537" spans="4:10" ht="15.75">
      <c r="D537" s="37">
        <f t="shared" si="35"/>
        <v>516</v>
      </c>
      <c r="E537" s="39"/>
      <c r="F537" s="42"/>
      <c r="G537" s="42"/>
      <c r="H537" s="29"/>
      <c r="I537" s="193">
        <f t="array" ref="I537">IF(NOT(ISERROR(MATCH(2,1/(('AllowedShip Class Time Charters'!$D$3:$D$16='Ship Time Charter Rates'!F537)*('AllowedShip Class Time Charters'!$E$3:$E$16='Ship Time Charter Rates'!G537))))),0,"Vessel class and Index Choosen don’t match!")</f>
        <v>0</v>
      </c>
      <c r="J537" s="36" t="s">
        <v>39</v>
      </c>
    </row>
    <row r="538" spans="4:10" ht="15.75">
      <c r="D538" s="37">
        <f t="shared" si="35"/>
        <v>517</v>
      </c>
      <c r="E538" s="39"/>
      <c r="F538" s="42"/>
      <c r="G538" s="42"/>
      <c r="H538" s="29"/>
      <c r="I538" s="193">
        <f t="array" ref="I538">IF(NOT(ISERROR(MATCH(2,1/(('AllowedShip Class Time Charters'!$D$3:$D$16='Ship Time Charter Rates'!F538)*('AllowedShip Class Time Charters'!$E$3:$E$16='Ship Time Charter Rates'!G538))))),0,"Vessel class and Index Choosen don’t match!")</f>
        <v>0</v>
      </c>
      <c r="J538" s="36" t="s">
        <v>39</v>
      </c>
    </row>
    <row r="539" spans="4:10" ht="15.75">
      <c r="D539" s="37">
        <f t="shared" si="35"/>
        <v>518</v>
      </c>
      <c r="E539" s="39"/>
      <c r="F539" s="42"/>
      <c r="G539" s="42"/>
      <c r="H539" s="29"/>
      <c r="I539" s="193">
        <f t="array" ref="I539">IF(NOT(ISERROR(MATCH(2,1/(('AllowedShip Class Time Charters'!$D$3:$D$16='Ship Time Charter Rates'!F539)*('AllowedShip Class Time Charters'!$E$3:$E$16='Ship Time Charter Rates'!G539))))),0,"Vessel class and Index Choosen don’t match!")</f>
        <v>0</v>
      </c>
      <c r="J539" s="36" t="s">
        <v>39</v>
      </c>
    </row>
    <row r="540" spans="4:10" ht="15.75">
      <c r="D540" s="37">
        <f t="shared" si="35"/>
        <v>519</v>
      </c>
      <c r="E540" s="39"/>
      <c r="F540" s="42"/>
      <c r="G540" s="42"/>
      <c r="H540" s="29"/>
      <c r="I540" s="193">
        <f t="array" ref="I540">IF(NOT(ISERROR(MATCH(2,1/(('AllowedShip Class Time Charters'!$D$3:$D$16='Ship Time Charter Rates'!F540)*('AllowedShip Class Time Charters'!$E$3:$E$16='Ship Time Charter Rates'!G540))))),0,"Vessel class and Index Choosen don’t match!")</f>
        <v>0</v>
      </c>
      <c r="J540" s="36" t="s">
        <v>39</v>
      </c>
    </row>
    <row r="541" spans="4:10" ht="15.75">
      <c r="D541" s="37">
        <f t="shared" si="35"/>
        <v>520</v>
      </c>
      <c r="E541" s="39"/>
      <c r="F541" s="42"/>
      <c r="G541" s="42"/>
      <c r="H541" s="29"/>
      <c r="I541" s="193">
        <f t="array" ref="I541">IF(NOT(ISERROR(MATCH(2,1/(('AllowedShip Class Time Charters'!$D$3:$D$16='Ship Time Charter Rates'!F541)*('AllowedShip Class Time Charters'!$E$3:$E$16='Ship Time Charter Rates'!G541))))),0,"Vessel class and Index Choosen don’t match!")</f>
        <v>0</v>
      </c>
      <c r="J541" s="36" t="s">
        <v>39</v>
      </c>
    </row>
    <row r="542" spans="4:10" ht="15.75">
      <c r="D542" s="37">
        <f t="shared" si="35"/>
        <v>521</v>
      </c>
      <c r="E542" s="39"/>
      <c r="F542" s="42"/>
      <c r="G542" s="42"/>
      <c r="H542" s="29"/>
      <c r="I542" s="193">
        <f t="array" ref="I542">IF(NOT(ISERROR(MATCH(2,1/(('AllowedShip Class Time Charters'!$D$3:$D$16='Ship Time Charter Rates'!F542)*('AllowedShip Class Time Charters'!$E$3:$E$16='Ship Time Charter Rates'!G542))))),0,"Vessel class and Index Choosen don’t match!")</f>
        <v>0</v>
      </c>
      <c r="J542" s="36" t="s">
        <v>39</v>
      </c>
    </row>
    <row r="543" spans="4:10" ht="15.75">
      <c r="D543" s="37">
        <f t="shared" si="35"/>
        <v>522</v>
      </c>
      <c r="E543" s="39"/>
      <c r="F543" s="42"/>
      <c r="G543" s="42"/>
      <c r="H543" s="29"/>
      <c r="I543" s="193">
        <f t="array" ref="I543">IF(NOT(ISERROR(MATCH(2,1/(('AllowedShip Class Time Charters'!$D$3:$D$16='Ship Time Charter Rates'!F543)*('AllowedShip Class Time Charters'!$E$3:$E$16='Ship Time Charter Rates'!G543))))),0,"Vessel class and Index Choosen don’t match!")</f>
        <v>0</v>
      </c>
      <c r="J543" s="36" t="s">
        <v>39</v>
      </c>
    </row>
    <row r="544" spans="4:10" ht="15.75">
      <c r="D544" s="37">
        <f t="shared" si="35"/>
        <v>523</v>
      </c>
      <c r="E544" s="39"/>
      <c r="F544" s="42"/>
      <c r="G544" s="42"/>
      <c r="H544" s="29"/>
      <c r="I544" s="193">
        <f t="array" ref="I544">IF(NOT(ISERROR(MATCH(2,1/(('AllowedShip Class Time Charters'!$D$3:$D$16='Ship Time Charter Rates'!F544)*('AllowedShip Class Time Charters'!$E$3:$E$16='Ship Time Charter Rates'!G544))))),0,"Vessel class and Index Choosen don’t match!")</f>
        <v>0</v>
      </c>
      <c r="J544" s="36" t="s">
        <v>39</v>
      </c>
    </row>
    <row r="545" spans="4:10" ht="15.75">
      <c r="D545" s="37">
        <f t="shared" si="35"/>
        <v>524</v>
      </c>
      <c r="E545" s="39"/>
      <c r="F545" s="42"/>
      <c r="G545" s="42"/>
      <c r="H545" s="29"/>
      <c r="I545" s="193">
        <f t="array" ref="I545">IF(NOT(ISERROR(MATCH(2,1/(('AllowedShip Class Time Charters'!$D$3:$D$16='Ship Time Charter Rates'!F545)*('AllowedShip Class Time Charters'!$E$3:$E$16='Ship Time Charter Rates'!G545))))),0,"Vessel class and Index Choosen don’t match!")</f>
        <v>0</v>
      </c>
      <c r="J545" s="36" t="s">
        <v>39</v>
      </c>
    </row>
    <row r="546" spans="4:10" ht="15.75">
      <c r="D546" s="37">
        <f t="shared" si="35"/>
        <v>525</v>
      </c>
      <c r="E546" s="39"/>
      <c r="F546" s="42"/>
      <c r="G546" s="42"/>
      <c r="H546" s="29"/>
      <c r="I546" s="193">
        <f t="array" ref="I546">IF(NOT(ISERROR(MATCH(2,1/(('AllowedShip Class Time Charters'!$D$3:$D$16='Ship Time Charter Rates'!F546)*('AllowedShip Class Time Charters'!$E$3:$E$16='Ship Time Charter Rates'!G546))))),0,"Vessel class and Index Choosen don’t match!")</f>
        <v>0</v>
      </c>
      <c r="J546" s="36" t="s">
        <v>39</v>
      </c>
    </row>
    <row r="547" spans="4:10" ht="15.75">
      <c r="D547" s="37">
        <f t="shared" si="35"/>
        <v>526</v>
      </c>
      <c r="E547" s="39"/>
      <c r="F547" s="42"/>
      <c r="G547" s="42"/>
      <c r="H547" s="29"/>
      <c r="I547" s="193">
        <f t="array" ref="I547">IF(NOT(ISERROR(MATCH(2,1/(('AllowedShip Class Time Charters'!$D$3:$D$16='Ship Time Charter Rates'!F547)*('AllowedShip Class Time Charters'!$E$3:$E$16='Ship Time Charter Rates'!G547))))),0,"Vessel class and Index Choosen don’t match!")</f>
        <v>0</v>
      </c>
      <c r="J547" s="36" t="s">
        <v>39</v>
      </c>
    </row>
    <row r="548" spans="4:10" ht="15.75">
      <c r="D548" s="37">
        <f t="shared" si="35"/>
        <v>527</v>
      </c>
      <c r="E548" s="39"/>
      <c r="F548" s="42"/>
      <c r="G548" s="42"/>
      <c r="H548" s="29"/>
      <c r="I548" s="193">
        <f t="array" ref="I548">IF(NOT(ISERROR(MATCH(2,1/(('AllowedShip Class Time Charters'!$D$3:$D$16='Ship Time Charter Rates'!F548)*('AllowedShip Class Time Charters'!$E$3:$E$16='Ship Time Charter Rates'!G548))))),0,"Vessel class and Index Choosen don’t match!")</f>
        <v>0</v>
      </c>
      <c r="J548" s="36" t="s">
        <v>39</v>
      </c>
    </row>
    <row r="549" spans="4:10" ht="15.75">
      <c r="D549" s="37">
        <f t="shared" si="35"/>
        <v>528</v>
      </c>
      <c r="E549" s="39"/>
      <c r="F549" s="42"/>
      <c r="G549" s="42"/>
      <c r="H549" s="29"/>
      <c r="I549" s="193">
        <f t="array" ref="I549">IF(NOT(ISERROR(MATCH(2,1/(('AllowedShip Class Time Charters'!$D$3:$D$16='Ship Time Charter Rates'!F549)*('AllowedShip Class Time Charters'!$E$3:$E$16='Ship Time Charter Rates'!G549))))),0,"Vessel class and Index Choosen don’t match!")</f>
        <v>0</v>
      </c>
      <c r="J549" s="36" t="s">
        <v>39</v>
      </c>
    </row>
    <row r="550" spans="4:10" ht="15.75">
      <c r="D550" s="37">
        <f t="shared" si="35"/>
        <v>529</v>
      </c>
      <c r="E550" s="39"/>
      <c r="F550" s="42"/>
      <c r="G550" s="42"/>
      <c r="H550" s="29"/>
      <c r="I550" s="193">
        <f t="array" ref="I550">IF(NOT(ISERROR(MATCH(2,1/(('AllowedShip Class Time Charters'!$D$3:$D$16='Ship Time Charter Rates'!F550)*('AllowedShip Class Time Charters'!$E$3:$E$16='Ship Time Charter Rates'!G550))))),0,"Vessel class and Index Choosen don’t match!")</f>
        <v>0</v>
      </c>
      <c r="J550" s="36" t="s">
        <v>39</v>
      </c>
    </row>
    <row r="551" spans="4:10" ht="15.75">
      <c r="D551" s="37">
        <f t="shared" si="35"/>
        <v>530</v>
      </c>
      <c r="E551" s="39"/>
      <c r="F551" s="42"/>
      <c r="G551" s="42"/>
      <c r="H551" s="29"/>
      <c r="I551" s="193">
        <f t="array" ref="I551">IF(NOT(ISERROR(MATCH(2,1/(('AllowedShip Class Time Charters'!$D$3:$D$16='Ship Time Charter Rates'!F551)*('AllowedShip Class Time Charters'!$E$3:$E$16='Ship Time Charter Rates'!G551))))),0,"Vessel class and Index Choosen don’t match!")</f>
        <v>0</v>
      </c>
      <c r="J551" s="36" t="s">
        <v>39</v>
      </c>
    </row>
    <row r="552" spans="4:10" ht="15.75">
      <c r="D552" s="37">
        <f t="shared" si="35"/>
        <v>531</v>
      </c>
      <c r="E552" s="39"/>
      <c r="F552" s="42"/>
      <c r="G552" s="42"/>
      <c r="H552" s="29"/>
      <c r="I552" s="193">
        <f t="array" ref="I552">IF(NOT(ISERROR(MATCH(2,1/(('AllowedShip Class Time Charters'!$D$3:$D$16='Ship Time Charter Rates'!F552)*('AllowedShip Class Time Charters'!$E$3:$E$16='Ship Time Charter Rates'!G552))))),0,"Vessel class and Index Choosen don’t match!")</f>
        <v>0</v>
      </c>
      <c r="J552" s="36" t="s">
        <v>39</v>
      </c>
    </row>
    <row r="553" spans="4:10" ht="15.75">
      <c r="D553" s="37">
        <f t="shared" si="35"/>
        <v>532</v>
      </c>
      <c r="E553" s="39"/>
      <c r="F553" s="42"/>
      <c r="G553" s="42"/>
      <c r="H553" s="29"/>
      <c r="I553" s="193">
        <f t="array" ref="I553">IF(NOT(ISERROR(MATCH(2,1/(('AllowedShip Class Time Charters'!$D$3:$D$16='Ship Time Charter Rates'!F553)*('AllowedShip Class Time Charters'!$E$3:$E$16='Ship Time Charter Rates'!G553))))),0,"Vessel class and Index Choosen don’t match!")</f>
        <v>0</v>
      </c>
      <c r="J553" s="36" t="s">
        <v>39</v>
      </c>
    </row>
    <row r="554" spans="4:10" ht="15.75">
      <c r="D554" s="37">
        <f t="shared" si="35"/>
        <v>533</v>
      </c>
      <c r="E554" s="39"/>
      <c r="F554" s="42"/>
      <c r="G554" s="42"/>
      <c r="H554" s="29"/>
      <c r="I554" s="193">
        <f t="array" ref="I554">IF(NOT(ISERROR(MATCH(2,1/(('AllowedShip Class Time Charters'!$D$3:$D$16='Ship Time Charter Rates'!F554)*('AllowedShip Class Time Charters'!$E$3:$E$16='Ship Time Charter Rates'!G554))))),0,"Vessel class and Index Choosen don’t match!")</f>
        <v>0</v>
      </c>
      <c r="J554" s="36" t="s">
        <v>39</v>
      </c>
    </row>
    <row r="555" spans="4:10" ht="15.75">
      <c r="D555" s="37">
        <f t="shared" si="35"/>
        <v>534</v>
      </c>
      <c r="E555" s="39"/>
      <c r="F555" s="42"/>
      <c r="G555" s="42"/>
      <c r="H555" s="29"/>
      <c r="I555" s="193">
        <f t="array" ref="I555">IF(NOT(ISERROR(MATCH(2,1/(('AllowedShip Class Time Charters'!$D$3:$D$16='Ship Time Charter Rates'!F555)*('AllowedShip Class Time Charters'!$E$3:$E$16='Ship Time Charter Rates'!G555))))),0,"Vessel class and Index Choosen don’t match!")</f>
        <v>0</v>
      </c>
      <c r="J555" s="36" t="s">
        <v>39</v>
      </c>
    </row>
    <row r="556" spans="4:10" ht="15.75">
      <c r="D556" s="37">
        <f t="shared" si="35"/>
        <v>535</v>
      </c>
      <c r="E556" s="39"/>
      <c r="F556" s="42"/>
      <c r="G556" s="42"/>
      <c r="H556" s="29"/>
      <c r="I556" s="193">
        <f t="array" ref="I556">IF(NOT(ISERROR(MATCH(2,1/(('AllowedShip Class Time Charters'!$D$3:$D$16='Ship Time Charter Rates'!F556)*('AllowedShip Class Time Charters'!$E$3:$E$16='Ship Time Charter Rates'!G556))))),0,"Vessel class and Index Choosen don’t match!")</f>
        <v>0</v>
      </c>
      <c r="J556" s="36" t="s">
        <v>39</v>
      </c>
    </row>
    <row r="557" spans="4:10" ht="15.75">
      <c r="D557" s="37">
        <f t="shared" si="35"/>
        <v>536</v>
      </c>
      <c r="E557" s="39"/>
      <c r="F557" s="42"/>
      <c r="G557" s="42"/>
      <c r="H557" s="29"/>
      <c r="I557" s="193">
        <f t="array" ref="I557">IF(NOT(ISERROR(MATCH(2,1/(('AllowedShip Class Time Charters'!$D$3:$D$16='Ship Time Charter Rates'!F557)*('AllowedShip Class Time Charters'!$E$3:$E$16='Ship Time Charter Rates'!G557))))),0,"Vessel class and Index Choosen don’t match!")</f>
        <v>0</v>
      </c>
      <c r="J557" s="36" t="s">
        <v>39</v>
      </c>
    </row>
    <row r="558" spans="4:10" ht="15.75">
      <c r="D558" s="37">
        <f t="shared" si="35"/>
        <v>537</v>
      </c>
      <c r="E558" s="39"/>
      <c r="F558" s="42"/>
      <c r="G558" s="42"/>
      <c r="H558" s="29"/>
      <c r="I558" s="193">
        <f t="array" ref="I558">IF(NOT(ISERROR(MATCH(2,1/(('AllowedShip Class Time Charters'!$D$3:$D$16='Ship Time Charter Rates'!F558)*('AllowedShip Class Time Charters'!$E$3:$E$16='Ship Time Charter Rates'!G558))))),0,"Vessel class and Index Choosen don’t match!")</f>
        <v>0</v>
      </c>
      <c r="J558" s="36" t="s">
        <v>39</v>
      </c>
    </row>
    <row r="559" spans="4:10" ht="15.75">
      <c r="D559" s="37">
        <f t="shared" si="35"/>
        <v>538</v>
      </c>
      <c r="E559" s="39"/>
      <c r="F559" s="42"/>
      <c r="G559" s="42"/>
      <c r="H559" s="29"/>
      <c r="I559" s="193">
        <f t="array" ref="I559">IF(NOT(ISERROR(MATCH(2,1/(('AllowedShip Class Time Charters'!$D$3:$D$16='Ship Time Charter Rates'!F559)*('AllowedShip Class Time Charters'!$E$3:$E$16='Ship Time Charter Rates'!G559))))),0,"Vessel class and Index Choosen don’t match!")</f>
        <v>0</v>
      </c>
      <c r="J559" s="36" t="s">
        <v>39</v>
      </c>
    </row>
    <row r="560" spans="4:10" ht="15.75">
      <c r="D560" s="37">
        <f t="shared" si="35"/>
        <v>539</v>
      </c>
      <c r="E560" s="39"/>
      <c r="F560" s="42"/>
      <c r="G560" s="42"/>
      <c r="H560" s="29"/>
      <c r="I560" s="193">
        <f t="array" ref="I560">IF(NOT(ISERROR(MATCH(2,1/(('AllowedShip Class Time Charters'!$D$3:$D$16='Ship Time Charter Rates'!F560)*('AllowedShip Class Time Charters'!$E$3:$E$16='Ship Time Charter Rates'!G560))))),0,"Vessel class and Index Choosen don’t match!")</f>
        <v>0</v>
      </c>
      <c r="J560" s="36" t="s">
        <v>39</v>
      </c>
    </row>
    <row r="561" spans="4:10" ht="15.75">
      <c r="D561" s="37">
        <f t="shared" si="35"/>
        <v>540</v>
      </c>
      <c r="E561" s="39"/>
      <c r="F561" s="42"/>
      <c r="G561" s="42"/>
      <c r="H561" s="29"/>
      <c r="I561" s="193">
        <f t="array" ref="I561">IF(NOT(ISERROR(MATCH(2,1/(('AllowedShip Class Time Charters'!$D$3:$D$16='Ship Time Charter Rates'!F561)*('AllowedShip Class Time Charters'!$E$3:$E$16='Ship Time Charter Rates'!G561))))),0,"Vessel class and Index Choosen don’t match!")</f>
        <v>0</v>
      </c>
      <c r="J561" s="36" t="s">
        <v>39</v>
      </c>
    </row>
    <row r="562" spans="4:10" ht="15.75">
      <c r="D562" s="37">
        <f t="shared" si="35"/>
        <v>541</v>
      </c>
      <c r="E562" s="39"/>
      <c r="F562" s="42"/>
      <c r="G562" s="42"/>
      <c r="H562" s="29"/>
      <c r="I562" s="193">
        <f t="array" ref="I562">IF(NOT(ISERROR(MATCH(2,1/(('AllowedShip Class Time Charters'!$D$3:$D$16='Ship Time Charter Rates'!F562)*('AllowedShip Class Time Charters'!$E$3:$E$16='Ship Time Charter Rates'!G562))))),0,"Vessel class and Index Choosen don’t match!")</f>
        <v>0</v>
      </c>
      <c r="J562" s="36" t="s">
        <v>39</v>
      </c>
    </row>
    <row r="563" spans="4:10" ht="15.75">
      <c r="D563" s="37">
        <f t="shared" si="35"/>
        <v>542</v>
      </c>
      <c r="E563" s="39"/>
      <c r="F563" s="42"/>
      <c r="G563" s="42"/>
      <c r="H563" s="29"/>
      <c r="I563" s="193">
        <f t="array" ref="I563">IF(NOT(ISERROR(MATCH(2,1/(('AllowedShip Class Time Charters'!$D$3:$D$16='Ship Time Charter Rates'!F563)*('AllowedShip Class Time Charters'!$E$3:$E$16='Ship Time Charter Rates'!G563))))),0,"Vessel class and Index Choosen don’t match!")</f>
        <v>0</v>
      </c>
      <c r="J563" s="36" t="s">
        <v>39</v>
      </c>
    </row>
    <row r="564" spans="4:10" ht="15.75">
      <c r="D564" s="37">
        <f t="shared" si="35"/>
        <v>543</v>
      </c>
      <c r="E564" s="39"/>
      <c r="F564" s="42"/>
      <c r="G564" s="42"/>
      <c r="H564" s="29"/>
      <c r="I564" s="193">
        <f t="array" ref="I564">IF(NOT(ISERROR(MATCH(2,1/(('AllowedShip Class Time Charters'!$D$3:$D$16='Ship Time Charter Rates'!F564)*('AllowedShip Class Time Charters'!$E$3:$E$16='Ship Time Charter Rates'!G564))))),0,"Vessel class and Index Choosen don’t match!")</f>
        <v>0</v>
      </c>
      <c r="J564" s="36" t="s">
        <v>39</v>
      </c>
    </row>
    <row r="565" spans="4:10" ht="15.75">
      <c r="D565" s="37">
        <f t="shared" si="35"/>
        <v>544</v>
      </c>
      <c r="E565" s="39"/>
      <c r="F565" s="42"/>
      <c r="G565" s="42"/>
      <c r="H565" s="29"/>
      <c r="I565" s="193">
        <f t="array" ref="I565">IF(NOT(ISERROR(MATCH(2,1/(('AllowedShip Class Time Charters'!$D$3:$D$16='Ship Time Charter Rates'!F565)*('AllowedShip Class Time Charters'!$E$3:$E$16='Ship Time Charter Rates'!G565))))),0,"Vessel class and Index Choosen don’t match!")</f>
        <v>0</v>
      </c>
      <c r="J565" s="36" t="s">
        <v>39</v>
      </c>
    </row>
    <row r="566" spans="4:10" ht="15.75">
      <c r="D566" s="37">
        <f t="shared" si="35"/>
        <v>545</v>
      </c>
      <c r="E566" s="39"/>
      <c r="F566" s="42"/>
      <c r="G566" s="42"/>
      <c r="H566" s="29"/>
      <c r="I566" s="193">
        <f t="array" ref="I566">IF(NOT(ISERROR(MATCH(2,1/(('AllowedShip Class Time Charters'!$D$3:$D$16='Ship Time Charter Rates'!F566)*('AllowedShip Class Time Charters'!$E$3:$E$16='Ship Time Charter Rates'!G566))))),0,"Vessel class and Index Choosen don’t match!")</f>
        <v>0</v>
      </c>
      <c r="J566" s="36" t="s">
        <v>39</v>
      </c>
    </row>
    <row r="567" spans="4:10" ht="15.75">
      <c r="D567" s="37">
        <f t="shared" si="35"/>
        <v>546</v>
      </c>
      <c r="E567" s="39"/>
      <c r="F567" s="42"/>
      <c r="G567" s="42"/>
      <c r="H567" s="29"/>
      <c r="I567" s="193">
        <f t="array" ref="I567">IF(NOT(ISERROR(MATCH(2,1/(('AllowedShip Class Time Charters'!$D$3:$D$16='Ship Time Charter Rates'!F567)*('AllowedShip Class Time Charters'!$E$3:$E$16='Ship Time Charter Rates'!G567))))),0,"Vessel class and Index Choosen don’t match!")</f>
        <v>0</v>
      </c>
      <c r="J567" s="36" t="s">
        <v>39</v>
      </c>
    </row>
    <row r="568" spans="4:10" ht="15.75">
      <c r="D568" s="37">
        <f t="shared" si="35"/>
        <v>547</v>
      </c>
      <c r="E568" s="39"/>
      <c r="F568" s="42"/>
      <c r="G568" s="42"/>
      <c r="H568" s="29"/>
      <c r="I568" s="193">
        <f t="array" ref="I568">IF(NOT(ISERROR(MATCH(2,1/(('AllowedShip Class Time Charters'!$D$3:$D$16='Ship Time Charter Rates'!F568)*('AllowedShip Class Time Charters'!$E$3:$E$16='Ship Time Charter Rates'!G568))))),0,"Vessel class and Index Choosen don’t match!")</f>
        <v>0</v>
      </c>
      <c r="J568" s="36" t="s">
        <v>39</v>
      </c>
    </row>
    <row r="569" spans="4:10" ht="15.75">
      <c r="D569" s="37">
        <f t="shared" si="35"/>
        <v>548</v>
      </c>
      <c r="E569" s="39"/>
      <c r="F569" s="42"/>
      <c r="G569" s="42"/>
      <c r="H569" s="29"/>
      <c r="I569" s="193">
        <f t="array" ref="I569">IF(NOT(ISERROR(MATCH(2,1/(('AllowedShip Class Time Charters'!$D$3:$D$16='Ship Time Charter Rates'!F569)*('AllowedShip Class Time Charters'!$E$3:$E$16='Ship Time Charter Rates'!G569))))),0,"Vessel class and Index Choosen don’t match!")</f>
        <v>0</v>
      </c>
      <c r="J569" s="36" t="s">
        <v>39</v>
      </c>
    </row>
    <row r="570" spans="4:10" ht="15.75">
      <c r="D570" s="37">
        <f t="shared" si="35"/>
        <v>549</v>
      </c>
      <c r="E570" s="39"/>
      <c r="F570" s="42"/>
      <c r="G570" s="42"/>
      <c r="H570" s="29"/>
      <c r="I570" s="193">
        <f t="array" ref="I570">IF(NOT(ISERROR(MATCH(2,1/(('AllowedShip Class Time Charters'!$D$3:$D$16='Ship Time Charter Rates'!F570)*('AllowedShip Class Time Charters'!$E$3:$E$16='Ship Time Charter Rates'!G570))))),0,"Vessel class and Index Choosen don’t match!")</f>
        <v>0</v>
      </c>
      <c r="J570" s="36" t="s">
        <v>39</v>
      </c>
    </row>
    <row r="571" spans="4:10" ht="15.75">
      <c r="D571" s="37">
        <f t="shared" si="35"/>
        <v>550</v>
      </c>
      <c r="E571" s="39"/>
      <c r="F571" s="42"/>
      <c r="G571" s="42"/>
      <c r="H571" s="29"/>
      <c r="I571" s="193">
        <f t="array" ref="I571">IF(NOT(ISERROR(MATCH(2,1/(('AllowedShip Class Time Charters'!$D$3:$D$16='Ship Time Charter Rates'!F571)*('AllowedShip Class Time Charters'!$E$3:$E$16='Ship Time Charter Rates'!G571))))),0,"Vessel class and Index Choosen don’t match!")</f>
        <v>0</v>
      </c>
      <c r="J571" s="36" t="s">
        <v>39</v>
      </c>
    </row>
    <row r="572" spans="4:10" ht="15.75">
      <c r="D572" s="37">
        <f t="shared" si="35"/>
        <v>551</v>
      </c>
      <c r="E572" s="39"/>
      <c r="F572" s="42"/>
      <c r="G572" s="42"/>
      <c r="H572" s="29"/>
      <c r="I572" s="193">
        <f t="array" ref="I572">IF(NOT(ISERROR(MATCH(2,1/(('AllowedShip Class Time Charters'!$D$3:$D$16='Ship Time Charter Rates'!F572)*('AllowedShip Class Time Charters'!$E$3:$E$16='Ship Time Charter Rates'!G572))))),0,"Vessel class and Index Choosen don’t match!")</f>
        <v>0</v>
      </c>
      <c r="J572" s="36" t="s">
        <v>39</v>
      </c>
    </row>
    <row r="573" spans="4:10" ht="15.75">
      <c r="D573" s="37">
        <f t="shared" si="35"/>
        <v>552</v>
      </c>
      <c r="E573" s="39"/>
      <c r="F573" s="42"/>
      <c r="G573" s="42"/>
      <c r="H573" s="29"/>
      <c r="I573" s="193">
        <f t="array" ref="I573">IF(NOT(ISERROR(MATCH(2,1/(('AllowedShip Class Time Charters'!$D$3:$D$16='Ship Time Charter Rates'!F573)*('AllowedShip Class Time Charters'!$E$3:$E$16='Ship Time Charter Rates'!G573))))),0,"Vessel class and Index Choosen don’t match!")</f>
        <v>0</v>
      </c>
      <c r="J573" s="36" t="s">
        <v>39</v>
      </c>
    </row>
    <row r="574" spans="4:10" ht="15.75">
      <c r="D574" s="37">
        <f t="shared" si="35"/>
        <v>553</v>
      </c>
      <c r="E574" s="39"/>
      <c r="F574" s="42"/>
      <c r="G574" s="42"/>
      <c r="H574" s="29"/>
      <c r="I574" s="193">
        <f t="array" ref="I574">IF(NOT(ISERROR(MATCH(2,1/(('AllowedShip Class Time Charters'!$D$3:$D$16='Ship Time Charter Rates'!F574)*('AllowedShip Class Time Charters'!$E$3:$E$16='Ship Time Charter Rates'!G574))))),0,"Vessel class and Index Choosen don’t match!")</f>
        <v>0</v>
      </c>
      <c r="J574" s="36" t="s">
        <v>39</v>
      </c>
    </row>
    <row r="575" spans="4:10" ht="15.75">
      <c r="D575" s="37">
        <f t="shared" si="35"/>
        <v>554</v>
      </c>
      <c r="E575" s="39"/>
      <c r="F575" s="42"/>
      <c r="G575" s="42"/>
      <c r="H575" s="29"/>
      <c r="I575" s="193">
        <f t="array" ref="I575">IF(NOT(ISERROR(MATCH(2,1/(('AllowedShip Class Time Charters'!$D$3:$D$16='Ship Time Charter Rates'!F575)*('AllowedShip Class Time Charters'!$E$3:$E$16='Ship Time Charter Rates'!G575))))),0,"Vessel class and Index Choosen don’t match!")</f>
        <v>0</v>
      </c>
      <c r="J575" s="36" t="s">
        <v>39</v>
      </c>
    </row>
    <row r="576" spans="4:10" ht="15.75">
      <c r="D576" s="37">
        <f t="shared" si="35"/>
        <v>555</v>
      </c>
      <c r="E576" s="39"/>
      <c r="F576" s="42"/>
      <c r="G576" s="42"/>
      <c r="H576" s="29"/>
      <c r="I576" s="193">
        <f t="array" ref="I576">IF(NOT(ISERROR(MATCH(2,1/(('AllowedShip Class Time Charters'!$D$3:$D$16='Ship Time Charter Rates'!F576)*('AllowedShip Class Time Charters'!$E$3:$E$16='Ship Time Charter Rates'!G576))))),0,"Vessel class and Index Choosen don’t match!")</f>
        <v>0</v>
      </c>
      <c r="J576" s="36" t="s">
        <v>39</v>
      </c>
    </row>
    <row r="577" spans="4:10" ht="15.75">
      <c r="D577" s="37">
        <f t="shared" ref="D577:D640" si="36">D576+1</f>
        <v>556</v>
      </c>
      <c r="E577" s="39"/>
      <c r="F577" s="42"/>
      <c r="G577" s="42"/>
      <c r="H577" s="29"/>
      <c r="I577" s="193">
        <f t="array" ref="I577">IF(NOT(ISERROR(MATCH(2,1/(('AllowedShip Class Time Charters'!$D$3:$D$16='Ship Time Charter Rates'!F577)*('AllowedShip Class Time Charters'!$E$3:$E$16='Ship Time Charter Rates'!G577))))),0,"Vessel class and Index Choosen don’t match!")</f>
        <v>0</v>
      </c>
      <c r="J577" s="36" t="s">
        <v>39</v>
      </c>
    </row>
    <row r="578" spans="4:10" ht="15.75">
      <c r="D578" s="37">
        <f t="shared" si="36"/>
        <v>557</v>
      </c>
      <c r="E578" s="39"/>
      <c r="F578" s="42"/>
      <c r="G578" s="42"/>
      <c r="H578" s="29"/>
      <c r="I578" s="193">
        <f t="array" ref="I578">IF(NOT(ISERROR(MATCH(2,1/(('AllowedShip Class Time Charters'!$D$3:$D$16='Ship Time Charter Rates'!F578)*('AllowedShip Class Time Charters'!$E$3:$E$16='Ship Time Charter Rates'!G578))))),0,"Vessel class and Index Choosen don’t match!")</f>
        <v>0</v>
      </c>
      <c r="J578" s="36" t="s">
        <v>39</v>
      </c>
    </row>
    <row r="579" spans="4:10" ht="15.75">
      <c r="D579" s="37">
        <f t="shared" si="36"/>
        <v>558</v>
      </c>
      <c r="E579" s="39"/>
      <c r="F579" s="42"/>
      <c r="G579" s="42"/>
      <c r="H579" s="29"/>
      <c r="I579" s="193">
        <f t="array" ref="I579">IF(NOT(ISERROR(MATCH(2,1/(('AllowedShip Class Time Charters'!$D$3:$D$16='Ship Time Charter Rates'!F579)*('AllowedShip Class Time Charters'!$E$3:$E$16='Ship Time Charter Rates'!G579))))),0,"Vessel class and Index Choosen don’t match!")</f>
        <v>0</v>
      </c>
      <c r="J579" s="36" t="s">
        <v>39</v>
      </c>
    </row>
    <row r="580" spans="4:10" ht="15.75">
      <c r="D580" s="37">
        <f t="shared" si="36"/>
        <v>559</v>
      </c>
      <c r="E580" s="39"/>
      <c r="F580" s="42"/>
      <c r="G580" s="42"/>
      <c r="H580" s="29"/>
      <c r="I580" s="193">
        <f t="array" ref="I580">IF(NOT(ISERROR(MATCH(2,1/(('AllowedShip Class Time Charters'!$D$3:$D$16='Ship Time Charter Rates'!F580)*('AllowedShip Class Time Charters'!$E$3:$E$16='Ship Time Charter Rates'!G580))))),0,"Vessel class and Index Choosen don’t match!")</f>
        <v>0</v>
      </c>
      <c r="J580" s="36" t="s">
        <v>39</v>
      </c>
    </row>
    <row r="581" spans="4:10" ht="15.75">
      <c r="D581" s="37">
        <f t="shared" si="36"/>
        <v>560</v>
      </c>
      <c r="E581" s="39"/>
      <c r="F581" s="42"/>
      <c r="G581" s="42"/>
      <c r="H581" s="29"/>
      <c r="I581" s="193">
        <f t="array" ref="I581">IF(NOT(ISERROR(MATCH(2,1/(('AllowedShip Class Time Charters'!$D$3:$D$16='Ship Time Charter Rates'!F581)*('AllowedShip Class Time Charters'!$E$3:$E$16='Ship Time Charter Rates'!G581))))),0,"Vessel class and Index Choosen don’t match!")</f>
        <v>0</v>
      </c>
      <c r="J581" s="36" t="s">
        <v>39</v>
      </c>
    </row>
    <row r="582" spans="4:10" ht="15.75">
      <c r="D582" s="37">
        <f t="shared" si="36"/>
        <v>561</v>
      </c>
      <c r="E582" s="39"/>
      <c r="F582" s="42"/>
      <c r="G582" s="42"/>
      <c r="H582" s="29"/>
      <c r="I582" s="193">
        <f t="array" ref="I582">IF(NOT(ISERROR(MATCH(2,1/(('AllowedShip Class Time Charters'!$D$3:$D$16='Ship Time Charter Rates'!F582)*('AllowedShip Class Time Charters'!$E$3:$E$16='Ship Time Charter Rates'!G582))))),0,"Vessel class and Index Choosen don’t match!")</f>
        <v>0</v>
      </c>
      <c r="J582" s="36" t="s">
        <v>39</v>
      </c>
    </row>
    <row r="583" spans="4:10" ht="15.75">
      <c r="D583" s="37">
        <f t="shared" si="36"/>
        <v>562</v>
      </c>
      <c r="E583" s="39"/>
      <c r="F583" s="42"/>
      <c r="G583" s="42"/>
      <c r="H583" s="29"/>
      <c r="I583" s="193">
        <f t="array" ref="I583">IF(NOT(ISERROR(MATCH(2,1/(('AllowedShip Class Time Charters'!$D$3:$D$16='Ship Time Charter Rates'!F583)*('AllowedShip Class Time Charters'!$E$3:$E$16='Ship Time Charter Rates'!G583))))),0,"Vessel class and Index Choosen don’t match!")</f>
        <v>0</v>
      </c>
      <c r="J583" s="36" t="s">
        <v>39</v>
      </c>
    </row>
    <row r="584" spans="4:10" ht="15.75">
      <c r="D584" s="37">
        <f t="shared" si="36"/>
        <v>563</v>
      </c>
      <c r="E584" s="39"/>
      <c r="F584" s="42"/>
      <c r="G584" s="42"/>
      <c r="H584" s="29"/>
      <c r="I584" s="193">
        <f t="array" ref="I584">IF(NOT(ISERROR(MATCH(2,1/(('AllowedShip Class Time Charters'!$D$3:$D$16='Ship Time Charter Rates'!F584)*('AllowedShip Class Time Charters'!$E$3:$E$16='Ship Time Charter Rates'!G584))))),0,"Vessel class and Index Choosen don’t match!")</f>
        <v>0</v>
      </c>
      <c r="J584" s="36" t="s">
        <v>39</v>
      </c>
    </row>
    <row r="585" spans="4:10" ht="15.75">
      <c r="D585" s="37">
        <f t="shared" si="36"/>
        <v>564</v>
      </c>
      <c r="E585" s="39"/>
      <c r="F585" s="42"/>
      <c r="G585" s="42"/>
      <c r="H585" s="29"/>
      <c r="I585" s="193">
        <f t="array" ref="I585">IF(NOT(ISERROR(MATCH(2,1/(('AllowedShip Class Time Charters'!$D$3:$D$16='Ship Time Charter Rates'!F585)*('AllowedShip Class Time Charters'!$E$3:$E$16='Ship Time Charter Rates'!G585))))),0,"Vessel class and Index Choosen don’t match!")</f>
        <v>0</v>
      </c>
      <c r="J585" s="36" t="s">
        <v>39</v>
      </c>
    </row>
    <row r="586" spans="4:10" ht="15.75">
      <c r="D586" s="37">
        <f t="shared" si="36"/>
        <v>565</v>
      </c>
      <c r="E586" s="39"/>
      <c r="F586" s="42"/>
      <c r="G586" s="42"/>
      <c r="H586" s="29"/>
      <c r="I586" s="193">
        <f t="array" ref="I586">IF(NOT(ISERROR(MATCH(2,1/(('AllowedShip Class Time Charters'!$D$3:$D$16='Ship Time Charter Rates'!F586)*('AllowedShip Class Time Charters'!$E$3:$E$16='Ship Time Charter Rates'!G586))))),0,"Vessel class and Index Choosen don’t match!")</f>
        <v>0</v>
      </c>
      <c r="J586" s="36" t="s">
        <v>39</v>
      </c>
    </row>
    <row r="587" spans="4:10" ht="15.75">
      <c r="D587" s="37">
        <f t="shared" si="36"/>
        <v>566</v>
      </c>
      <c r="E587" s="39"/>
      <c r="F587" s="42"/>
      <c r="G587" s="42"/>
      <c r="H587" s="29"/>
      <c r="I587" s="193">
        <f t="array" ref="I587">IF(NOT(ISERROR(MATCH(2,1/(('AllowedShip Class Time Charters'!$D$3:$D$16='Ship Time Charter Rates'!F587)*('AllowedShip Class Time Charters'!$E$3:$E$16='Ship Time Charter Rates'!G587))))),0,"Vessel class and Index Choosen don’t match!")</f>
        <v>0</v>
      </c>
      <c r="J587" s="36" t="s">
        <v>39</v>
      </c>
    </row>
    <row r="588" spans="4:10" ht="15.75">
      <c r="D588" s="37">
        <f t="shared" si="36"/>
        <v>567</v>
      </c>
      <c r="E588" s="39"/>
      <c r="F588" s="42"/>
      <c r="G588" s="42"/>
      <c r="H588" s="29"/>
      <c r="I588" s="193">
        <f t="array" ref="I588">IF(NOT(ISERROR(MATCH(2,1/(('AllowedShip Class Time Charters'!$D$3:$D$16='Ship Time Charter Rates'!F588)*('AllowedShip Class Time Charters'!$E$3:$E$16='Ship Time Charter Rates'!G588))))),0,"Vessel class and Index Choosen don’t match!")</f>
        <v>0</v>
      </c>
      <c r="J588" s="36" t="s">
        <v>39</v>
      </c>
    </row>
    <row r="589" spans="4:10" ht="15.75">
      <c r="D589" s="37">
        <f t="shared" si="36"/>
        <v>568</v>
      </c>
      <c r="E589" s="39"/>
      <c r="F589" s="42"/>
      <c r="G589" s="42"/>
      <c r="H589" s="29"/>
      <c r="I589" s="193">
        <f t="array" ref="I589">IF(NOT(ISERROR(MATCH(2,1/(('AllowedShip Class Time Charters'!$D$3:$D$16='Ship Time Charter Rates'!F589)*('AllowedShip Class Time Charters'!$E$3:$E$16='Ship Time Charter Rates'!G589))))),0,"Vessel class and Index Choosen don’t match!")</f>
        <v>0</v>
      </c>
      <c r="J589" s="36" t="s">
        <v>39</v>
      </c>
    </row>
    <row r="590" spans="4:10" ht="15.75">
      <c r="D590" s="37">
        <f t="shared" si="36"/>
        <v>569</v>
      </c>
      <c r="E590" s="39"/>
      <c r="F590" s="42"/>
      <c r="G590" s="42"/>
      <c r="H590" s="29"/>
      <c r="I590" s="193">
        <f t="array" ref="I590">IF(NOT(ISERROR(MATCH(2,1/(('AllowedShip Class Time Charters'!$D$3:$D$16='Ship Time Charter Rates'!F590)*('AllowedShip Class Time Charters'!$E$3:$E$16='Ship Time Charter Rates'!G590))))),0,"Vessel class and Index Choosen don’t match!")</f>
        <v>0</v>
      </c>
      <c r="J590" s="36" t="s">
        <v>39</v>
      </c>
    </row>
    <row r="591" spans="4:10" ht="15.75">
      <c r="D591" s="37">
        <f t="shared" si="36"/>
        <v>570</v>
      </c>
      <c r="E591" s="39"/>
      <c r="F591" s="42"/>
      <c r="G591" s="42"/>
      <c r="H591" s="29"/>
      <c r="I591" s="193">
        <f t="array" ref="I591">IF(NOT(ISERROR(MATCH(2,1/(('AllowedShip Class Time Charters'!$D$3:$D$16='Ship Time Charter Rates'!F591)*('AllowedShip Class Time Charters'!$E$3:$E$16='Ship Time Charter Rates'!G591))))),0,"Vessel class and Index Choosen don’t match!")</f>
        <v>0</v>
      </c>
      <c r="J591" s="36" t="s">
        <v>39</v>
      </c>
    </row>
    <row r="592" spans="4:10" ht="15.75">
      <c r="D592" s="37">
        <f t="shared" si="36"/>
        <v>571</v>
      </c>
      <c r="E592" s="39"/>
      <c r="F592" s="42"/>
      <c r="G592" s="42"/>
      <c r="H592" s="29"/>
      <c r="I592" s="193">
        <f t="array" ref="I592">IF(NOT(ISERROR(MATCH(2,1/(('AllowedShip Class Time Charters'!$D$3:$D$16='Ship Time Charter Rates'!F592)*('AllowedShip Class Time Charters'!$E$3:$E$16='Ship Time Charter Rates'!G592))))),0,"Vessel class and Index Choosen don’t match!")</f>
        <v>0</v>
      </c>
      <c r="J592" s="36" t="s">
        <v>39</v>
      </c>
    </row>
    <row r="593" spans="4:10" ht="15.75">
      <c r="D593" s="37">
        <f t="shared" si="36"/>
        <v>572</v>
      </c>
      <c r="E593" s="39"/>
      <c r="F593" s="42"/>
      <c r="G593" s="42"/>
      <c r="H593" s="29"/>
      <c r="I593" s="193">
        <f t="array" ref="I593">IF(NOT(ISERROR(MATCH(2,1/(('AllowedShip Class Time Charters'!$D$3:$D$16='Ship Time Charter Rates'!F593)*('AllowedShip Class Time Charters'!$E$3:$E$16='Ship Time Charter Rates'!G593))))),0,"Vessel class and Index Choosen don’t match!")</f>
        <v>0</v>
      </c>
      <c r="J593" s="36" t="s">
        <v>39</v>
      </c>
    </row>
    <row r="594" spans="4:10" ht="15.75">
      <c r="D594" s="37">
        <f t="shared" si="36"/>
        <v>573</v>
      </c>
      <c r="E594" s="39"/>
      <c r="F594" s="42"/>
      <c r="G594" s="42"/>
      <c r="H594" s="29"/>
      <c r="I594" s="193">
        <f t="array" ref="I594">IF(NOT(ISERROR(MATCH(2,1/(('AllowedShip Class Time Charters'!$D$3:$D$16='Ship Time Charter Rates'!F594)*('AllowedShip Class Time Charters'!$E$3:$E$16='Ship Time Charter Rates'!G594))))),0,"Vessel class and Index Choosen don’t match!")</f>
        <v>0</v>
      </c>
      <c r="J594" s="36" t="s">
        <v>39</v>
      </c>
    </row>
    <row r="595" spans="4:10" ht="15.75">
      <c r="D595" s="37">
        <f t="shared" si="36"/>
        <v>574</v>
      </c>
      <c r="E595" s="39"/>
      <c r="F595" s="42"/>
      <c r="G595" s="42"/>
      <c r="H595" s="29"/>
      <c r="I595" s="193">
        <f t="array" ref="I595">IF(NOT(ISERROR(MATCH(2,1/(('AllowedShip Class Time Charters'!$D$3:$D$16='Ship Time Charter Rates'!F595)*('AllowedShip Class Time Charters'!$E$3:$E$16='Ship Time Charter Rates'!G595))))),0,"Vessel class and Index Choosen don’t match!")</f>
        <v>0</v>
      </c>
      <c r="J595" s="36" t="s">
        <v>39</v>
      </c>
    </row>
    <row r="596" spans="4:10" ht="15.75">
      <c r="D596" s="37">
        <f t="shared" si="36"/>
        <v>575</v>
      </c>
      <c r="E596" s="39"/>
      <c r="F596" s="42"/>
      <c r="G596" s="42"/>
      <c r="H596" s="29"/>
      <c r="I596" s="193">
        <f t="array" ref="I596">IF(NOT(ISERROR(MATCH(2,1/(('AllowedShip Class Time Charters'!$D$3:$D$16='Ship Time Charter Rates'!F596)*('AllowedShip Class Time Charters'!$E$3:$E$16='Ship Time Charter Rates'!G596))))),0,"Vessel class and Index Choosen don’t match!")</f>
        <v>0</v>
      </c>
      <c r="J596" s="36" t="s">
        <v>39</v>
      </c>
    </row>
    <row r="597" spans="4:10" ht="15.75">
      <c r="D597" s="37">
        <f t="shared" si="36"/>
        <v>576</v>
      </c>
      <c r="E597" s="39"/>
      <c r="F597" s="42"/>
      <c r="G597" s="42"/>
      <c r="H597" s="29"/>
      <c r="I597" s="193">
        <f t="array" ref="I597">IF(NOT(ISERROR(MATCH(2,1/(('AllowedShip Class Time Charters'!$D$3:$D$16='Ship Time Charter Rates'!F597)*('AllowedShip Class Time Charters'!$E$3:$E$16='Ship Time Charter Rates'!G597))))),0,"Vessel class and Index Choosen don’t match!")</f>
        <v>0</v>
      </c>
      <c r="J597" s="36" t="s">
        <v>39</v>
      </c>
    </row>
    <row r="598" spans="4:10" ht="15.75">
      <c r="D598" s="37">
        <f t="shared" si="36"/>
        <v>577</v>
      </c>
      <c r="E598" s="39"/>
      <c r="F598" s="42"/>
      <c r="G598" s="42"/>
      <c r="H598" s="29"/>
      <c r="I598" s="193">
        <f t="array" ref="I598">IF(NOT(ISERROR(MATCH(2,1/(('AllowedShip Class Time Charters'!$D$3:$D$16='Ship Time Charter Rates'!F598)*('AllowedShip Class Time Charters'!$E$3:$E$16='Ship Time Charter Rates'!G598))))),0,"Vessel class and Index Choosen don’t match!")</f>
        <v>0</v>
      </c>
      <c r="J598" s="36" t="s">
        <v>39</v>
      </c>
    </row>
    <row r="599" spans="4:10" ht="15.75">
      <c r="D599" s="37">
        <f t="shared" si="36"/>
        <v>578</v>
      </c>
      <c r="E599" s="39"/>
      <c r="F599" s="42"/>
      <c r="G599" s="42"/>
      <c r="H599" s="29"/>
      <c r="I599" s="193">
        <f t="array" ref="I599">IF(NOT(ISERROR(MATCH(2,1/(('AllowedShip Class Time Charters'!$D$3:$D$16='Ship Time Charter Rates'!F599)*('AllowedShip Class Time Charters'!$E$3:$E$16='Ship Time Charter Rates'!G599))))),0,"Vessel class and Index Choosen don’t match!")</f>
        <v>0</v>
      </c>
      <c r="J599" s="36" t="s">
        <v>39</v>
      </c>
    </row>
    <row r="600" spans="4:10" ht="15.75">
      <c r="D600" s="37">
        <f t="shared" si="36"/>
        <v>579</v>
      </c>
      <c r="E600" s="39"/>
      <c r="F600" s="42"/>
      <c r="G600" s="42"/>
      <c r="H600" s="29"/>
      <c r="I600" s="193">
        <f t="array" ref="I600">IF(NOT(ISERROR(MATCH(2,1/(('AllowedShip Class Time Charters'!$D$3:$D$16='Ship Time Charter Rates'!F600)*('AllowedShip Class Time Charters'!$E$3:$E$16='Ship Time Charter Rates'!G600))))),0,"Vessel class and Index Choosen don’t match!")</f>
        <v>0</v>
      </c>
      <c r="J600" s="36" t="s">
        <v>39</v>
      </c>
    </row>
    <row r="601" spans="4:10" ht="15.75">
      <c r="D601" s="37">
        <f t="shared" si="36"/>
        <v>580</v>
      </c>
      <c r="E601" s="39"/>
      <c r="F601" s="42"/>
      <c r="G601" s="42"/>
      <c r="H601" s="29"/>
      <c r="I601" s="193">
        <f t="array" ref="I601">IF(NOT(ISERROR(MATCH(2,1/(('AllowedShip Class Time Charters'!$D$3:$D$16='Ship Time Charter Rates'!F601)*('AllowedShip Class Time Charters'!$E$3:$E$16='Ship Time Charter Rates'!G601))))),0,"Vessel class and Index Choosen don’t match!")</f>
        <v>0</v>
      </c>
      <c r="J601" s="36" t="s">
        <v>39</v>
      </c>
    </row>
    <row r="602" spans="4:10" ht="15.75">
      <c r="D602" s="37">
        <f t="shared" si="36"/>
        <v>581</v>
      </c>
      <c r="E602" s="39"/>
      <c r="F602" s="42"/>
      <c r="G602" s="42"/>
      <c r="H602" s="29"/>
      <c r="I602" s="193">
        <f t="array" ref="I602">IF(NOT(ISERROR(MATCH(2,1/(('AllowedShip Class Time Charters'!$D$3:$D$16='Ship Time Charter Rates'!F602)*('AllowedShip Class Time Charters'!$E$3:$E$16='Ship Time Charter Rates'!G602))))),0,"Vessel class and Index Choosen don’t match!")</f>
        <v>0</v>
      </c>
      <c r="J602" s="36" t="s">
        <v>39</v>
      </c>
    </row>
    <row r="603" spans="4:10" ht="15.75">
      <c r="D603" s="37">
        <f t="shared" si="36"/>
        <v>582</v>
      </c>
      <c r="E603" s="39"/>
      <c r="F603" s="42"/>
      <c r="G603" s="42"/>
      <c r="H603" s="29"/>
      <c r="I603" s="193">
        <f t="array" ref="I603">IF(NOT(ISERROR(MATCH(2,1/(('AllowedShip Class Time Charters'!$D$3:$D$16='Ship Time Charter Rates'!F603)*('AllowedShip Class Time Charters'!$E$3:$E$16='Ship Time Charter Rates'!G603))))),0,"Vessel class and Index Choosen don’t match!")</f>
        <v>0</v>
      </c>
      <c r="J603" s="36" t="s">
        <v>39</v>
      </c>
    </row>
    <row r="604" spans="4:10" ht="15.75">
      <c r="D604" s="37">
        <f t="shared" si="36"/>
        <v>583</v>
      </c>
      <c r="E604" s="39"/>
      <c r="F604" s="42"/>
      <c r="G604" s="42"/>
      <c r="H604" s="29"/>
      <c r="I604" s="193">
        <f t="array" ref="I604">IF(NOT(ISERROR(MATCH(2,1/(('AllowedShip Class Time Charters'!$D$3:$D$16='Ship Time Charter Rates'!F604)*('AllowedShip Class Time Charters'!$E$3:$E$16='Ship Time Charter Rates'!G604))))),0,"Vessel class and Index Choosen don’t match!")</f>
        <v>0</v>
      </c>
      <c r="J604" s="36" t="s">
        <v>39</v>
      </c>
    </row>
    <row r="605" spans="4:10" ht="15.75">
      <c r="D605" s="37">
        <f t="shared" si="36"/>
        <v>584</v>
      </c>
      <c r="E605" s="39"/>
      <c r="F605" s="42"/>
      <c r="G605" s="42"/>
      <c r="H605" s="29"/>
      <c r="I605" s="193">
        <f t="array" ref="I605">IF(NOT(ISERROR(MATCH(2,1/(('AllowedShip Class Time Charters'!$D$3:$D$16='Ship Time Charter Rates'!F605)*('AllowedShip Class Time Charters'!$E$3:$E$16='Ship Time Charter Rates'!G605))))),0,"Vessel class and Index Choosen don’t match!")</f>
        <v>0</v>
      </c>
      <c r="J605" s="36" t="s">
        <v>39</v>
      </c>
    </row>
    <row r="606" spans="4:10" ht="15.75">
      <c r="D606" s="37">
        <f t="shared" si="36"/>
        <v>585</v>
      </c>
      <c r="E606" s="39"/>
      <c r="F606" s="42"/>
      <c r="G606" s="42"/>
      <c r="H606" s="29"/>
      <c r="I606" s="193">
        <f t="array" ref="I606">IF(NOT(ISERROR(MATCH(2,1/(('AllowedShip Class Time Charters'!$D$3:$D$16='Ship Time Charter Rates'!F606)*('AllowedShip Class Time Charters'!$E$3:$E$16='Ship Time Charter Rates'!G606))))),0,"Vessel class and Index Choosen don’t match!")</f>
        <v>0</v>
      </c>
      <c r="J606" s="36" t="s">
        <v>39</v>
      </c>
    </row>
    <row r="607" spans="4:10" ht="15.75">
      <c r="D607" s="37">
        <f t="shared" si="36"/>
        <v>586</v>
      </c>
      <c r="E607" s="39"/>
      <c r="F607" s="42"/>
      <c r="G607" s="42"/>
      <c r="H607" s="29"/>
      <c r="I607" s="193">
        <f t="array" ref="I607">IF(NOT(ISERROR(MATCH(2,1/(('AllowedShip Class Time Charters'!$D$3:$D$16='Ship Time Charter Rates'!F607)*('AllowedShip Class Time Charters'!$E$3:$E$16='Ship Time Charter Rates'!G607))))),0,"Vessel class and Index Choosen don’t match!")</f>
        <v>0</v>
      </c>
      <c r="J607" s="36" t="s">
        <v>39</v>
      </c>
    </row>
    <row r="608" spans="4:10" ht="15.75">
      <c r="D608" s="37">
        <f t="shared" si="36"/>
        <v>587</v>
      </c>
      <c r="E608" s="39"/>
      <c r="F608" s="42"/>
      <c r="G608" s="42"/>
      <c r="H608" s="29"/>
      <c r="I608" s="193">
        <f t="array" ref="I608">IF(NOT(ISERROR(MATCH(2,1/(('AllowedShip Class Time Charters'!$D$3:$D$16='Ship Time Charter Rates'!F608)*('AllowedShip Class Time Charters'!$E$3:$E$16='Ship Time Charter Rates'!G608))))),0,"Vessel class and Index Choosen don’t match!")</f>
        <v>0</v>
      </c>
      <c r="J608" s="36" t="s">
        <v>39</v>
      </c>
    </row>
    <row r="609" spans="4:10" ht="15.75">
      <c r="D609" s="37">
        <f t="shared" si="36"/>
        <v>588</v>
      </c>
      <c r="E609" s="39"/>
      <c r="F609" s="42"/>
      <c r="G609" s="42"/>
      <c r="H609" s="29"/>
      <c r="I609" s="193">
        <f t="array" ref="I609">IF(NOT(ISERROR(MATCH(2,1/(('AllowedShip Class Time Charters'!$D$3:$D$16='Ship Time Charter Rates'!F609)*('AllowedShip Class Time Charters'!$E$3:$E$16='Ship Time Charter Rates'!G609))))),0,"Vessel class and Index Choosen don’t match!")</f>
        <v>0</v>
      </c>
      <c r="J609" s="36" t="s">
        <v>39</v>
      </c>
    </row>
    <row r="610" spans="4:10" ht="15.75">
      <c r="D610" s="37">
        <f t="shared" si="36"/>
        <v>589</v>
      </c>
      <c r="E610" s="39"/>
      <c r="F610" s="42"/>
      <c r="G610" s="42"/>
      <c r="H610" s="29"/>
      <c r="I610" s="193">
        <f t="array" ref="I610">IF(NOT(ISERROR(MATCH(2,1/(('AllowedShip Class Time Charters'!$D$3:$D$16='Ship Time Charter Rates'!F610)*('AllowedShip Class Time Charters'!$E$3:$E$16='Ship Time Charter Rates'!G610))))),0,"Vessel class and Index Choosen don’t match!")</f>
        <v>0</v>
      </c>
      <c r="J610" s="36" t="s">
        <v>39</v>
      </c>
    </row>
    <row r="611" spans="4:10" ht="15.75">
      <c r="D611" s="37">
        <f t="shared" si="36"/>
        <v>590</v>
      </c>
      <c r="E611" s="39"/>
      <c r="F611" s="42"/>
      <c r="G611" s="42"/>
      <c r="H611" s="29"/>
      <c r="I611" s="193">
        <f t="array" ref="I611">IF(NOT(ISERROR(MATCH(2,1/(('AllowedShip Class Time Charters'!$D$3:$D$16='Ship Time Charter Rates'!F611)*('AllowedShip Class Time Charters'!$E$3:$E$16='Ship Time Charter Rates'!G611))))),0,"Vessel class and Index Choosen don’t match!")</f>
        <v>0</v>
      </c>
      <c r="J611" s="36" t="s">
        <v>39</v>
      </c>
    </row>
    <row r="612" spans="4:10" ht="15.75">
      <c r="D612" s="37">
        <f t="shared" si="36"/>
        <v>591</v>
      </c>
      <c r="E612" s="39"/>
      <c r="F612" s="42"/>
      <c r="G612" s="42"/>
      <c r="H612" s="29"/>
      <c r="I612" s="193">
        <f t="array" ref="I612">IF(NOT(ISERROR(MATCH(2,1/(('AllowedShip Class Time Charters'!$D$3:$D$16='Ship Time Charter Rates'!F612)*('AllowedShip Class Time Charters'!$E$3:$E$16='Ship Time Charter Rates'!G612))))),0,"Vessel class and Index Choosen don’t match!")</f>
        <v>0</v>
      </c>
      <c r="J612" s="36" t="s">
        <v>39</v>
      </c>
    </row>
    <row r="613" spans="4:10" ht="15.75">
      <c r="D613" s="37">
        <f t="shared" si="36"/>
        <v>592</v>
      </c>
      <c r="E613" s="39"/>
      <c r="F613" s="42"/>
      <c r="G613" s="42"/>
      <c r="H613" s="29"/>
      <c r="I613" s="193">
        <f t="array" ref="I613">IF(NOT(ISERROR(MATCH(2,1/(('AllowedShip Class Time Charters'!$D$3:$D$16='Ship Time Charter Rates'!F613)*('AllowedShip Class Time Charters'!$E$3:$E$16='Ship Time Charter Rates'!G613))))),0,"Vessel class and Index Choosen don’t match!")</f>
        <v>0</v>
      </c>
      <c r="J613" s="36" t="s">
        <v>39</v>
      </c>
    </row>
    <row r="614" spans="4:10" ht="15.75">
      <c r="D614" s="37">
        <f t="shared" si="36"/>
        <v>593</v>
      </c>
      <c r="E614" s="39"/>
      <c r="F614" s="42"/>
      <c r="G614" s="42"/>
      <c r="H614" s="29"/>
      <c r="I614" s="193">
        <f t="array" ref="I614">IF(NOT(ISERROR(MATCH(2,1/(('AllowedShip Class Time Charters'!$D$3:$D$16='Ship Time Charter Rates'!F614)*('AllowedShip Class Time Charters'!$E$3:$E$16='Ship Time Charter Rates'!G614))))),0,"Vessel class and Index Choosen don’t match!")</f>
        <v>0</v>
      </c>
      <c r="J614" s="36" t="s">
        <v>39</v>
      </c>
    </row>
    <row r="615" spans="4:10" ht="15.75">
      <c r="D615" s="37">
        <f t="shared" si="36"/>
        <v>594</v>
      </c>
      <c r="E615" s="39"/>
      <c r="F615" s="42"/>
      <c r="G615" s="42"/>
      <c r="H615" s="29"/>
      <c r="I615" s="193">
        <f t="array" ref="I615">IF(NOT(ISERROR(MATCH(2,1/(('AllowedShip Class Time Charters'!$D$3:$D$16='Ship Time Charter Rates'!F615)*('AllowedShip Class Time Charters'!$E$3:$E$16='Ship Time Charter Rates'!G615))))),0,"Vessel class and Index Choosen don’t match!")</f>
        <v>0</v>
      </c>
      <c r="J615" s="36" t="s">
        <v>39</v>
      </c>
    </row>
    <row r="616" spans="4:10" ht="15.75">
      <c r="D616" s="37">
        <f t="shared" si="36"/>
        <v>595</v>
      </c>
      <c r="E616" s="39"/>
      <c r="F616" s="42"/>
      <c r="G616" s="42"/>
      <c r="H616" s="29"/>
      <c r="I616" s="193">
        <f t="array" ref="I616">IF(NOT(ISERROR(MATCH(2,1/(('AllowedShip Class Time Charters'!$D$3:$D$16='Ship Time Charter Rates'!F616)*('AllowedShip Class Time Charters'!$E$3:$E$16='Ship Time Charter Rates'!G616))))),0,"Vessel class and Index Choosen don’t match!")</f>
        <v>0</v>
      </c>
      <c r="J616" s="36" t="s">
        <v>39</v>
      </c>
    </row>
    <row r="617" spans="4:10" ht="15.75">
      <c r="D617" s="37">
        <f t="shared" si="36"/>
        <v>596</v>
      </c>
      <c r="E617" s="39"/>
      <c r="F617" s="42"/>
      <c r="G617" s="42"/>
      <c r="H617" s="29"/>
      <c r="I617" s="193">
        <f t="array" ref="I617">IF(NOT(ISERROR(MATCH(2,1/(('AllowedShip Class Time Charters'!$D$3:$D$16='Ship Time Charter Rates'!F617)*('AllowedShip Class Time Charters'!$E$3:$E$16='Ship Time Charter Rates'!G617))))),0,"Vessel class and Index Choosen don’t match!")</f>
        <v>0</v>
      </c>
      <c r="J617" s="36" t="s">
        <v>39</v>
      </c>
    </row>
    <row r="618" spans="4:10" ht="15.75">
      <c r="D618" s="37">
        <f t="shared" si="36"/>
        <v>597</v>
      </c>
      <c r="E618" s="39"/>
      <c r="F618" s="42"/>
      <c r="G618" s="42"/>
      <c r="H618" s="29"/>
      <c r="I618" s="193">
        <f t="array" ref="I618">IF(NOT(ISERROR(MATCH(2,1/(('AllowedShip Class Time Charters'!$D$3:$D$16='Ship Time Charter Rates'!F618)*('AllowedShip Class Time Charters'!$E$3:$E$16='Ship Time Charter Rates'!G618))))),0,"Vessel class and Index Choosen don’t match!")</f>
        <v>0</v>
      </c>
      <c r="J618" s="36" t="s">
        <v>39</v>
      </c>
    </row>
    <row r="619" spans="4:10" ht="15.75">
      <c r="D619" s="37">
        <f t="shared" si="36"/>
        <v>598</v>
      </c>
      <c r="E619" s="39"/>
      <c r="F619" s="42"/>
      <c r="G619" s="42"/>
      <c r="H619" s="29"/>
      <c r="I619" s="193">
        <f t="array" ref="I619">IF(NOT(ISERROR(MATCH(2,1/(('AllowedShip Class Time Charters'!$D$3:$D$16='Ship Time Charter Rates'!F619)*('AllowedShip Class Time Charters'!$E$3:$E$16='Ship Time Charter Rates'!G619))))),0,"Vessel class and Index Choosen don’t match!")</f>
        <v>0</v>
      </c>
      <c r="J619" s="36" t="s">
        <v>39</v>
      </c>
    </row>
    <row r="620" spans="4:10" ht="15.75">
      <c r="D620" s="37">
        <f t="shared" si="36"/>
        <v>599</v>
      </c>
      <c r="E620" s="39"/>
      <c r="F620" s="42"/>
      <c r="G620" s="42"/>
      <c r="H620" s="29"/>
      <c r="I620" s="193">
        <f t="array" ref="I620">IF(NOT(ISERROR(MATCH(2,1/(('AllowedShip Class Time Charters'!$D$3:$D$16='Ship Time Charter Rates'!F620)*('AllowedShip Class Time Charters'!$E$3:$E$16='Ship Time Charter Rates'!G620))))),0,"Vessel class and Index Choosen don’t match!")</f>
        <v>0</v>
      </c>
      <c r="J620" s="36" t="s">
        <v>39</v>
      </c>
    </row>
    <row r="621" spans="4:10" ht="15.75">
      <c r="D621" s="37">
        <f t="shared" si="36"/>
        <v>600</v>
      </c>
      <c r="E621" s="39"/>
      <c r="F621" s="42"/>
      <c r="G621" s="42"/>
      <c r="H621" s="29"/>
      <c r="I621" s="193">
        <f t="array" ref="I621">IF(NOT(ISERROR(MATCH(2,1/(('AllowedShip Class Time Charters'!$D$3:$D$16='Ship Time Charter Rates'!F621)*('AllowedShip Class Time Charters'!$E$3:$E$16='Ship Time Charter Rates'!G621))))),0,"Vessel class and Index Choosen don’t match!")</f>
        <v>0</v>
      </c>
      <c r="J621" s="36" t="s">
        <v>39</v>
      </c>
    </row>
    <row r="622" spans="4:10" ht="15.75">
      <c r="D622" s="37">
        <f t="shared" si="36"/>
        <v>601</v>
      </c>
      <c r="E622" s="39"/>
      <c r="F622" s="42"/>
      <c r="G622" s="42"/>
      <c r="H622" s="29"/>
      <c r="I622" s="193">
        <f t="array" ref="I622">IF(NOT(ISERROR(MATCH(2,1/(('AllowedShip Class Time Charters'!$D$3:$D$16='Ship Time Charter Rates'!F622)*('AllowedShip Class Time Charters'!$E$3:$E$16='Ship Time Charter Rates'!G622))))),0,"Vessel class and Index Choosen don’t match!")</f>
        <v>0</v>
      </c>
      <c r="J622" s="36" t="s">
        <v>39</v>
      </c>
    </row>
    <row r="623" spans="4:10" ht="15.75">
      <c r="D623" s="37">
        <f t="shared" si="36"/>
        <v>602</v>
      </c>
      <c r="E623" s="39"/>
      <c r="F623" s="42"/>
      <c r="G623" s="42"/>
      <c r="H623" s="29"/>
      <c r="I623" s="193">
        <f t="array" ref="I623">IF(NOT(ISERROR(MATCH(2,1/(('AllowedShip Class Time Charters'!$D$3:$D$16='Ship Time Charter Rates'!F623)*('AllowedShip Class Time Charters'!$E$3:$E$16='Ship Time Charter Rates'!G623))))),0,"Vessel class and Index Choosen don’t match!")</f>
        <v>0</v>
      </c>
      <c r="J623" s="36" t="s">
        <v>39</v>
      </c>
    </row>
    <row r="624" spans="4:10" ht="15.75">
      <c r="D624" s="37">
        <f t="shared" si="36"/>
        <v>603</v>
      </c>
      <c r="E624" s="39"/>
      <c r="F624" s="42"/>
      <c r="G624" s="42"/>
      <c r="H624" s="29"/>
      <c r="I624" s="193">
        <f t="array" ref="I624">IF(NOT(ISERROR(MATCH(2,1/(('AllowedShip Class Time Charters'!$D$3:$D$16='Ship Time Charter Rates'!F624)*('AllowedShip Class Time Charters'!$E$3:$E$16='Ship Time Charter Rates'!G624))))),0,"Vessel class and Index Choosen don’t match!")</f>
        <v>0</v>
      </c>
      <c r="J624" s="36" t="s">
        <v>39</v>
      </c>
    </row>
    <row r="625" spans="4:10" ht="15.75">
      <c r="D625" s="37">
        <f t="shared" si="36"/>
        <v>604</v>
      </c>
      <c r="E625" s="39"/>
      <c r="F625" s="42"/>
      <c r="G625" s="42"/>
      <c r="H625" s="29"/>
      <c r="I625" s="193">
        <f t="array" ref="I625">IF(NOT(ISERROR(MATCH(2,1/(('AllowedShip Class Time Charters'!$D$3:$D$16='Ship Time Charter Rates'!F625)*('AllowedShip Class Time Charters'!$E$3:$E$16='Ship Time Charter Rates'!G625))))),0,"Vessel class and Index Choosen don’t match!")</f>
        <v>0</v>
      </c>
      <c r="J625" s="36" t="s">
        <v>39</v>
      </c>
    </row>
    <row r="626" spans="4:10" ht="15.75">
      <c r="D626" s="37">
        <f t="shared" si="36"/>
        <v>605</v>
      </c>
      <c r="E626" s="39"/>
      <c r="F626" s="42"/>
      <c r="G626" s="42"/>
      <c r="H626" s="29"/>
      <c r="I626" s="193">
        <f t="array" ref="I626">IF(NOT(ISERROR(MATCH(2,1/(('AllowedShip Class Time Charters'!$D$3:$D$16='Ship Time Charter Rates'!F626)*('AllowedShip Class Time Charters'!$E$3:$E$16='Ship Time Charter Rates'!G626))))),0,"Vessel class and Index Choosen don’t match!")</f>
        <v>0</v>
      </c>
      <c r="J626" s="36" t="s">
        <v>39</v>
      </c>
    </row>
    <row r="627" spans="4:10" ht="15.75">
      <c r="D627" s="37">
        <f t="shared" si="36"/>
        <v>606</v>
      </c>
      <c r="E627" s="39"/>
      <c r="F627" s="42"/>
      <c r="G627" s="42"/>
      <c r="H627" s="29"/>
      <c r="I627" s="193">
        <f t="array" ref="I627">IF(NOT(ISERROR(MATCH(2,1/(('AllowedShip Class Time Charters'!$D$3:$D$16='Ship Time Charter Rates'!F627)*('AllowedShip Class Time Charters'!$E$3:$E$16='Ship Time Charter Rates'!G627))))),0,"Vessel class and Index Choosen don’t match!")</f>
        <v>0</v>
      </c>
      <c r="J627" s="36" t="s">
        <v>39</v>
      </c>
    </row>
    <row r="628" spans="4:10" ht="15.75">
      <c r="D628" s="37">
        <f t="shared" si="36"/>
        <v>607</v>
      </c>
      <c r="E628" s="39"/>
      <c r="F628" s="42"/>
      <c r="G628" s="42"/>
      <c r="H628" s="29"/>
      <c r="I628" s="193">
        <f t="array" ref="I628">IF(NOT(ISERROR(MATCH(2,1/(('AllowedShip Class Time Charters'!$D$3:$D$16='Ship Time Charter Rates'!F628)*('AllowedShip Class Time Charters'!$E$3:$E$16='Ship Time Charter Rates'!G628))))),0,"Vessel class and Index Choosen don’t match!")</f>
        <v>0</v>
      </c>
      <c r="J628" s="36" t="s">
        <v>39</v>
      </c>
    </row>
    <row r="629" spans="4:10" ht="15.75">
      <c r="D629" s="37">
        <f t="shared" si="36"/>
        <v>608</v>
      </c>
      <c r="E629" s="39"/>
      <c r="F629" s="42"/>
      <c r="G629" s="42"/>
      <c r="H629" s="29"/>
      <c r="I629" s="193">
        <f t="array" ref="I629">IF(NOT(ISERROR(MATCH(2,1/(('AllowedShip Class Time Charters'!$D$3:$D$16='Ship Time Charter Rates'!F629)*('AllowedShip Class Time Charters'!$E$3:$E$16='Ship Time Charter Rates'!G629))))),0,"Vessel class and Index Choosen don’t match!")</f>
        <v>0</v>
      </c>
      <c r="J629" s="36" t="s">
        <v>39</v>
      </c>
    </row>
    <row r="630" spans="4:10" ht="15.75">
      <c r="D630" s="37">
        <f t="shared" si="36"/>
        <v>609</v>
      </c>
      <c r="E630" s="39"/>
      <c r="F630" s="42"/>
      <c r="G630" s="42"/>
      <c r="H630" s="29"/>
      <c r="I630" s="193">
        <f t="array" ref="I630">IF(NOT(ISERROR(MATCH(2,1/(('AllowedShip Class Time Charters'!$D$3:$D$16='Ship Time Charter Rates'!F630)*('AllowedShip Class Time Charters'!$E$3:$E$16='Ship Time Charter Rates'!G630))))),0,"Vessel class and Index Choosen don’t match!")</f>
        <v>0</v>
      </c>
      <c r="J630" s="36" t="s">
        <v>39</v>
      </c>
    </row>
    <row r="631" spans="4:10" ht="15.75">
      <c r="D631" s="37">
        <f t="shared" si="36"/>
        <v>610</v>
      </c>
      <c r="E631" s="39"/>
      <c r="F631" s="42"/>
      <c r="G631" s="42"/>
      <c r="H631" s="29"/>
      <c r="I631" s="193">
        <f t="array" ref="I631">IF(NOT(ISERROR(MATCH(2,1/(('AllowedShip Class Time Charters'!$D$3:$D$16='Ship Time Charter Rates'!F631)*('AllowedShip Class Time Charters'!$E$3:$E$16='Ship Time Charter Rates'!G631))))),0,"Vessel class and Index Choosen don’t match!")</f>
        <v>0</v>
      </c>
      <c r="J631" s="36" t="s">
        <v>39</v>
      </c>
    </row>
    <row r="632" spans="4:10" ht="15.75">
      <c r="D632" s="37">
        <f t="shared" si="36"/>
        <v>611</v>
      </c>
      <c r="E632" s="39"/>
      <c r="F632" s="42"/>
      <c r="G632" s="42"/>
      <c r="H632" s="29"/>
      <c r="I632" s="193">
        <f t="array" ref="I632">IF(NOT(ISERROR(MATCH(2,1/(('AllowedShip Class Time Charters'!$D$3:$D$16='Ship Time Charter Rates'!F632)*('AllowedShip Class Time Charters'!$E$3:$E$16='Ship Time Charter Rates'!G632))))),0,"Vessel class and Index Choosen don’t match!")</f>
        <v>0</v>
      </c>
      <c r="J632" s="36" t="s">
        <v>39</v>
      </c>
    </row>
    <row r="633" spans="4:10" ht="15.75">
      <c r="D633" s="37">
        <f t="shared" si="36"/>
        <v>612</v>
      </c>
      <c r="E633" s="39"/>
      <c r="F633" s="42"/>
      <c r="G633" s="42"/>
      <c r="H633" s="29"/>
      <c r="I633" s="193">
        <f t="array" ref="I633">IF(NOT(ISERROR(MATCH(2,1/(('AllowedShip Class Time Charters'!$D$3:$D$16='Ship Time Charter Rates'!F633)*('AllowedShip Class Time Charters'!$E$3:$E$16='Ship Time Charter Rates'!G633))))),0,"Vessel class and Index Choosen don’t match!")</f>
        <v>0</v>
      </c>
      <c r="J633" s="36" t="s">
        <v>39</v>
      </c>
    </row>
    <row r="634" spans="4:10" ht="15.75">
      <c r="D634" s="37">
        <f t="shared" si="36"/>
        <v>613</v>
      </c>
      <c r="E634" s="39"/>
      <c r="F634" s="42"/>
      <c r="G634" s="42"/>
      <c r="H634" s="29"/>
      <c r="I634" s="193">
        <f t="array" ref="I634">IF(NOT(ISERROR(MATCH(2,1/(('AllowedShip Class Time Charters'!$D$3:$D$16='Ship Time Charter Rates'!F634)*('AllowedShip Class Time Charters'!$E$3:$E$16='Ship Time Charter Rates'!G634))))),0,"Vessel class and Index Choosen don’t match!")</f>
        <v>0</v>
      </c>
      <c r="J634" s="36" t="s">
        <v>39</v>
      </c>
    </row>
    <row r="635" spans="4:10" ht="15.75">
      <c r="D635" s="37">
        <f t="shared" si="36"/>
        <v>614</v>
      </c>
      <c r="E635" s="39"/>
      <c r="F635" s="42"/>
      <c r="G635" s="42"/>
      <c r="H635" s="29"/>
      <c r="I635" s="193">
        <f t="array" ref="I635">IF(NOT(ISERROR(MATCH(2,1/(('AllowedShip Class Time Charters'!$D$3:$D$16='Ship Time Charter Rates'!F635)*('AllowedShip Class Time Charters'!$E$3:$E$16='Ship Time Charter Rates'!G635))))),0,"Vessel class and Index Choosen don’t match!")</f>
        <v>0</v>
      </c>
      <c r="J635" s="36" t="s">
        <v>39</v>
      </c>
    </row>
    <row r="636" spans="4:10" ht="15.75">
      <c r="D636" s="37">
        <f t="shared" si="36"/>
        <v>615</v>
      </c>
      <c r="E636" s="39"/>
      <c r="F636" s="42"/>
      <c r="G636" s="42"/>
      <c r="H636" s="29"/>
      <c r="I636" s="193">
        <f t="array" ref="I636">IF(NOT(ISERROR(MATCH(2,1/(('AllowedShip Class Time Charters'!$D$3:$D$16='Ship Time Charter Rates'!F636)*('AllowedShip Class Time Charters'!$E$3:$E$16='Ship Time Charter Rates'!G636))))),0,"Vessel class and Index Choosen don’t match!")</f>
        <v>0</v>
      </c>
      <c r="J636" s="36" t="s">
        <v>39</v>
      </c>
    </row>
    <row r="637" spans="4:10" ht="15.75">
      <c r="D637" s="37">
        <f t="shared" si="36"/>
        <v>616</v>
      </c>
      <c r="E637" s="39"/>
      <c r="F637" s="42"/>
      <c r="G637" s="42"/>
      <c r="H637" s="29"/>
      <c r="I637" s="193">
        <f t="array" ref="I637">IF(NOT(ISERROR(MATCH(2,1/(('AllowedShip Class Time Charters'!$D$3:$D$16='Ship Time Charter Rates'!F637)*('AllowedShip Class Time Charters'!$E$3:$E$16='Ship Time Charter Rates'!G637))))),0,"Vessel class and Index Choosen don’t match!")</f>
        <v>0</v>
      </c>
      <c r="J637" s="36" t="s">
        <v>39</v>
      </c>
    </row>
    <row r="638" spans="4:10" ht="15.75">
      <c r="D638" s="37">
        <f t="shared" si="36"/>
        <v>617</v>
      </c>
      <c r="E638" s="39"/>
      <c r="F638" s="42"/>
      <c r="G638" s="42"/>
      <c r="H638" s="29"/>
      <c r="I638" s="193">
        <f t="array" ref="I638">IF(NOT(ISERROR(MATCH(2,1/(('AllowedShip Class Time Charters'!$D$3:$D$16='Ship Time Charter Rates'!F638)*('AllowedShip Class Time Charters'!$E$3:$E$16='Ship Time Charter Rates'!G638))))),0,"Vessel class and Index Choosen don’t match!")</f>
        <v>0</v>
      </c>
      <c r="J638" s="36" t="s">
        <v>39</v>
      </c>
    </row>
    <row r="639" spans="4:10" ht="15.75">
      <c r="D639" s="37">
        <f t="shared" si="36"/>
        <v>618</v>
      </c>
      <c r="E639" s="39"/>
      <c r="F639" s="42"/>
      <c r="G639" s="42"/>
      <c r="H639" s="29"/>
      <c r="I639" s="193">
        <f t="array" ref="I639">IF(NOT(ISERROR(MATCH(2,1/(('AllowedShip Class Time Charters'!$D$3:$D$16='Ship Time Charter Rates'!F639)*('AllowedShip Class Time Charters'!$E$3:$E$16='Ship Time Charter Rates'!G639))))),0,"Vessel class and Index Choosen don’t match!")</f>
        <v>0</v>
      </c>
      <c r="J639" s="36" t="s">
        <v>39</v>
      </c>
    </row>
    <row r="640" spans="4:10" ht="15.75">
      <c r="D640" s="37">
        <f t="shared" si="36"/>
        <v>619</v>
      </c>
      <c r="E640" s="39"/>
      <c r="F640" s="42"/>
      <c r="G640" s="42"/>
      <c r="H640" s="29"/>
      <c r="I640" s="193">
        <f t="array" ref="I640">IF(NOT(ISERROR(MATCH(2,1/(('AllowedShip Class Time Charters'!$D$3:$D$16='Ship Time Charter Rates'!F640)*('AllowedShip Class Time Charters'!$E$3:$E$16='Ship Time Charter Rates'!G640))))),0,"Vessel class and Index Choosen don’t match!")</f>
        <v>0</v>
      </c>
      <c r="J640" s="36" t="s">
        <v>39</v>
      </c>
    </row>
    <row r="641" spans="4:10" ht="15.75">
      <c r="D641" s="37">
        <f t="shared" ref="D641:D704" si="37">D640+1</f>
        <v>620</v>
      </c>
      <c r="E641" s="39"/>
      <c r="F641" s="42"/>
      <c r="G641" s="42"/>
      <c r="H641" s="29"/>
      <c r="I641" s="193">
        <f t="array" ref="I641">IF(NOT(ISERROR(MATCH(2,1/(('AllowedShip Class Time Charters'!$D$3:$D$16='Ship Time Charter Rates'!F641)*('AllowedShip Class Time Charters'!$E$3:$E$16='Ship Time Charter Rates'!G641))))),0,"Vessel class and Index Choosen don’t match!")</f>
        <v>0</v>
      </c>
      <c r="J641" s="36" t="s">
        <v>39</v>
      </c>
    </row>
    <row r="642" spans="4:10" ht="15.75">
      <c r="D642" s="37">
        <f t="shared" si="37"/>
        <v>621</v>
      </c>
      <c r="E642" s="39"/>
      <c r="F642" s="42"/>
      <c r="G642" s="42"/>
      <c r="H642" s="29"/>
      <c r="I642" s="193">
        <f t="array" ref="I642">IF(NOT(ISERROR(MATCH(2,1/(('AllowedShip Class Time Charters'!$D$3:$D$16='Ship Time Charter Rates'!F642)*('AllowedShip Class Time Charters'!$E$3:$E$16='Ship Time Charter Rates'!G642))))),0,"Vessel class and Index Choosen don’t match!")</f>
        <v>0</v>
      </c>
      <c r="J642" s="36" t="s">
        <v>39</v>
      </c>
    </row>
    <row r="643" spans="4:10" ht="15.75">
      <c r="D643" s="37">
        <f t="shared" si="37"/>
        <v>622</v>
      </c>
      <c r="E643" s="39"/>
      <c r="F643" s="42"/>
      <c r="G643" s="42"/>
      <c r="H643" s="29"/>
      <c r="I643" s="193">
        <f t="array" ref="I643">IF(NOT(ISERROR(MATCH(2,1/(('AllowedShip Class Time Charters'!$D$3:$D$16='Ship Time Charter Rates'!F643)*('AllowedShip Class Time Charters'!$E$3:$E$16='Ship Time Charter Rates'!G643))))),0,"Vessel class and Index Choosen don’t match!")</f>
        <v>0</v>
      </c>
      <c r="J643" s="36" t="s">
        <v>39</v>
      </c>
    </row>
    <row r="644" spans="4:10" ht="15.75">
      <c r="D644" s="37">
        <f t="shared" si="37"/>
        <v>623</v>
      </c>
      <c r="E644" s="39"/>
      <c r="F644" s="42"/>
      <c r="G644" s="42"/>
      <c r="H644" s="29"/>
      <c r="I644" s="193">
        <f t="array" ref="I644">IF(NOT(ISERROR(MATCH(2,1/(('AllowedShip Class Time Charters'!$D$3:$D$16='Ship Time Charter Rates'!F644)*('AllowedShip Class Time Charters'!$E$3:$E$16='Ship Time Charter Rates'!G644))))),0,"Vessel class and Index Choosen don’t match!")</f>
        <v>0</v>
      </c>
      <c r="J644" s="36" t="s">
        <v>39</v>
      </c>
    </row>
    <row r="645" spans="4:10" ht="15.75">
      <c r="D645" s="37">
        <f t="shared" si="37"/>
        <v>624</v>
      </c>
      <c r="E645" s="39"/>
      <c r="F645" s="42"/>
      <c r="G645" s="42"/>
      <c r="H645" s="29"/>
      <c r="I645" s="193">
        <f t="array" ref="I645">IF(NOT(ISERROR(MATCH(2,1/(('AllowedShip Class Time Charters'!$D$3:$D$16='Ship Time Charter Rates'!F645)*('AllowedShip Class Time Charters'!$E$3:$E$16='Ship Time Charter Rates'!G645))))),0,"Vessel class and Index Choosen don’t match!")</f>
        <v>0</v>
      </c>
      <c r="J645" s="36" t="s">
        <v>39</v>
      </c>
    </row>
    <row r="646" spans="4:10" ht="15.75">
      <c r="D646" s="37">
        <f t="shared" si="37"/>
        <v>625</v>
      </c>
      <c r="E646" s="39"/>
      <c r="F646" s="42"/>
      <c r="G646" s="42"/>
      <c r="H646" s="29"/>
      <c r="I646" s="193">
        <f t="array" ref="I646">IF(NOT(ISERROR(MATCH(2,1/(('AllowedShip Class Time Charters'!$D$3:$D$16='Ship Time Charter Rates'!F646)*('AllowedShip Class Time Charters'!$E$3:$E$16='Ship Time Charter Rates'!G646))))),0,"Vessel class and Index Choosen don’t match!")</f>
        <v>0</v>
      </c>
      <c r="J646" s="36" t="s">
        <v>39</v>
      </c>
    </row>
    <row r="647" spans="4:10" ht="15.75">
      <c r="D647" s="37">
        <f t="shared" si="37"/>
        <v>626</v>
      </c>
      <c r="E647" s="39"/>
      <c r="F647" s="42"/>
      <c r="G647" s="42"/>
      <c r="H647" s="29"/>
      <c r="I647" s="193">
        <f t="array" ref="I647">IF(NOT(ISERROR(MATCH(2,1/(('AllowedShip Class Time Charters'!$D$3:$D$16='Ship Time Charter Rates'!F647)*('AllowedShip Class Time Charters'!$E$3:$E$16='Ship Time Charter Rates'!G647))))),0,"Vessel class and Index Choosen don’t match!")</f>
        <v>0</v>
      </c>
      <c r="J647" s="36" t="s">
        <v>39</v>
      </c>
    </row>
    <row r="648" spans="4:10" ht="15.75">
      <c r="D648" s="37">
        <f t="shared" si="37"/>
        <v>627</v>
      </c>
      <c r="E648" s="39"/>
      <c r="F648" s="42"/>
      <c r="G648" s="42"/>
      <c r="H648" s="29"/>
      <c r="I648" s="193">
        <f t="array" ref="I648">IF(NOT(ISERROR(MATCH(2,1/(('AllowedShip Class Time Charters'!$D$3:$D$16='Ship Time Charter Rates'!F648)*('AllowedShip Class Time Charters'!$E$3:$E$16='Ship Time Charter Rates'!G648))))),0,"Vessel class and Index Choosen don’t match!")</f>
        <v>0</v>
      </c>
      <c r="J648" s="36" t="s">
        <v>39</v>
      </c>
    </row>
    <row r="649" spans="4:10" ht="15.75">
      <c r="D649" s="37">
        <f t="shared" si="37"/>
        <v>628</v>
      </c>
      <c r="E649" s="39"/>
      <c r="F649" s="42"/>
      <c r="G649" s="42"/>
      <c r="H649" s="29"/>
      <c r="I649" s="193">
        <f t="array" ref="I649">IF(NOT(ISERROR(MATCH(2,1/(('AllowedShip Class Time Charters'!$D$3:$D$16='Ship Time Charter Rates'!F649)*('AllowedShip Class Time Charters'!$E$3:$E$16='Ship Time Charter Rates'!G649))))),0,"Vessel class and Index Choosen don’t match!")</f>
        <v>0</v>
      </c>
      <c r="J649" s="36" t="s">
        <v>39</v>
      </c>
    </row>
    <row r="650" spans="4:10" ht="15.75">
      <c r="D650" s="37">
        <f t="shared" si="37"/>
        <v>629</v>
      </c>
      <c r="E650" s="39"/>
      <c r="F650" s="42"/>
      <c r="G650" s="42"/>
      <c r="H650" s="29"/>
      <c r="I650" s="193">
        <f t="array" ref="I650">IF(NOT(ISERROR(MATCH(2,1/(('AllowedShip Class Time Charters'!$D$3:$D$16='Ship Time Charter Rates'!F650)*('AllowedShip Class Time Charters'!$E$3:$E$16='Ship Time Charter Rates'!G650))))),0,"Vessel class and Index Choosen don’t match!")</f>
        <v>0</v>
      </c>
      <c r="J650" s="36" t="s">
        <v>39</v>
      </c>
    </row>
    <row r="651" spans="4:10" ht="15.75">
      <c r="D651" s="37">
        <f t="shared" si="37"/>
        <v>630</v>
      </c>
      <c r="E651" s="39"/>
      <c r="F651" s="42"/>
      <c r="G651" s="42"/>
      <c r="H651" s="29"/>
      <c r="I651" s="193">
        <f t="array" ref="I651">IF(NOT(ISERROR(MATCH(2,1/(('AllowedShip Class Time Charters'!$D$3:$D$16='Ship Time Charter Rates'!F651)*('AllowedShip Class Time Charters'!$E$3:$E$16='Ship Time Charter Rates'!G651))))),0,"Vessel class and Index Choosen don’t match!")</f>
        <v>0</v>
      </c>
      <c r="J651" s="36" t="s">
        <v>39</v>
      </c>
    </row>
    <row r="652" spans="4:10" ht="15.75">
      <c r="D652" s="37">
        <f t="shared" si="37"/>
        <v>631</v>
      </c>
      <c r="E652" s="39"/>
      <c r="F652" s="42"/>
      <c r="G652" s="42"/>
      <c r="H652" s="29"/>
      <c r="I652" s="193">
        <f t="array" ref="I652">IF(NOT(ISERROR(MATCH(2,1/(('AllowedShip Class Time Charters'!$D$3:$D$16='Ship Time Charter Rates'!F652)*('AllowedShip Class Time Charters'!$E$3:$E$16='Ship Time Charter Rates'!G652))))),0,"Vessel class and Index Choosen don’t match!")</f>
        <v>0</v>
      </c>
      <c r="J652" s="36" t="s">
        <v>39</v>
      </c>
    </row>
    <row r="653" spans="4:10" ht="15.75">
      <c r="D653" s="37">
        <f t="shared" si="37"/>
        <v>632</v>
      </c>
      <c r="E653" s="39"/>
      <c r="F653" s="42"/>
      <c r="G653" s="42"/>
      <c r="H653" s="29"/>
      <c r="I653" s="193">
        <f t="array" ref="I653">IF(NOT(ISERROR(MATCH(2,1/(('AllowedShip Class Time Charters'!$D$3:$D$16='Ship Time Charter Rates'!F653)*('AllowedShip Class Time Charters'!$E$3:$E$16='Ship Time Charter Rates'!G653))))),0,"Vessel class and Index Choosen don’t match!")</f>
        <v>0</v>
      </c>
      <c r="J653" s="36" t="s">
        <v>39</v>
      </c>
    </row>
    <row r="654" spans="4:10" ht="15.75">
      <c r="D654" s="37">
        <f t="shared" si="37"/>
        <v>633</v>
      </c>
      <c r="E654" s="39"/>
      <c r="F654" s="42"/>
      <c r="G654" s="42"/>
      <c r="H654" s="29"/>
      <c r="I654" s="193">
        <f t="array" ref="I654">IF(NOT(ISERROR(MATCH(2,1/(('AllowedShip Class Time Charters'!$D$3:$D$16='Ship Time Charter Rates'!F654)*('AllowedShip Class Time Charters'!$E$3:$E$16='Ship Time Charter Rates'!G654))))),0,"Vessel class and Index Choosen don’t match!")</f>
        <v>0</v>
      </c>
      <c r="J654" s="36" t="s">
        <v>39</v>
      </c>
    </row>
    <row r="655" spans="4:10" ht="15.75">
      <c r="D655" s="37">
        <f t="shared" si="37"/>
        <v>634</v>
      </c>
      <c r="E655" s="39"/>
      <c r="F655" s="42"/>
      <c r="G655" s="42"/>
      <c r="H655" s="29"/>
      <c r="I655" s="193">
        <f t="array" ref="I655">IF(NOT(ISERROR(MATCH(2,1/(('AllowedShip Class Time Charters'!$D$3:$D$16='Ship Time Charter Rates'!F655)*('AllowedShip Class Time Charters'!$E$3:$E$16='Ship Time Charter Rates'!G655))))),0,"Vessel class and Index Choosen don’t match!")</f>
        <v>0</v>
      </c>
      <c r="J655" s="36" t="s">
        <v>39</v>
      </c>
    </row>
    <row r="656" spans="4:10" ht="15.75">
      <c r="D656" s="37">
        <f t="shared" si="37"/>
        <v>635</v>
      </c>
      <c r="E656" s="39"/>
      <c r="F656" s="42"/>
      <c r="G656" s="42"/>
      <c r="H656" s="29"/>
      <c r="I656" s="193">
        <f t="array" ref="I656">IF(NOT(ISERROR(MATCH(2,1/(('AllowedShip Class Time Charters'!$D$3:$D$16='Ship Time Charter Rates'!F656)*('AllowedShip Class Time Charters'!$E$3:$E$16='Ship Time Charter Rates'!G656))))),0,"Vessel class and Index Choosen don’t match!")</f>
        <v>0</v>
      </c>
      <c r="J656" s="36" t="s">
        <v>39</v>
      </c>
    </row>
    <row r="657" spans="4:10" ht="15.75">
      <c r="D657" s="37">
        <f t="shared" si="37"/>
        <v>636</v>
      </c>
      <c r="E657" s="39"/>
      <c r="F657" s="42"/>
      <c r="G657" s="42"/>
      <c r="H657" s="29"/>
      <c r="I657" s="193">
        <f t="array" ref="I657">IF(NOT(ISERROR(MATCH(2,1/(('AllowedShip Class Time Charters'!$D$3:$D$16='Ship Time Charter Rates'!F657)*('AllowedShip Class Time Charters'!$E$3:$E$16='Ship Time Charter Rates'!G657))))),0,"Vessel class and Index Choosen don’t match!")</f>
        <v>0</v>
      </c>
      <c r="J657" s="36" t="s">
        <v>39</v>
      </c>
    </row>
    <row r="658" spans="4:10" ht="15.75">
      <c r="D658" s="37">
        <f t="shared" si="37"/>
        <v>637</v>
      </c>
      <c r="E658" s="39"/>
      <c r="F658" s="42"/>
      <c r="G658" s="42"/>
      <c r="H658" s="29"/>
      <c r="I658" s="193">
        <f t="array" ref="I658">IF(NOT(ISERROR(MATCH(2,1/(('AllowedShip Class Time Charters'!$D$3:$D$16='Ship Time Charter Rates'!F658)*('AllowedShip Class Time Charters'!$E$3:$E$16='Ship Time Charter Rates'!G658))))),0,"Vessel class and Index Choosen don’t match!")</f>
        <v>0</v>
      </c>
      <c r="J658" s="36" t="s">
        <v>39</v>
      </c>
    </row>
    <row r="659" spans="4:10" ht="15.75">
      <c r="D659" s="37">
        <f t="shared" si="37"/>
        <v>638</v>
      </c>
      <c r="E659" s="39"/>
      <c r="F659" s="42"/>
      <c r="G659" s="42"/>
      <c r="H659" s="29"/>
      <c r="I659" s="193">
        <f t="array" ref="I659">IF(NOT(ISERROR(MATCH(2,1/(('AllowedShip Class Time Charters'!$D$3:$D$16='Ship Time Charter Rates'!F659)*('AllowedShip Class Time Charters'!$E$3:$E$16='Ship Time Charter Rates'!G659))))),0,"Vessel class and Index Choosen don’t match!")</f>
        <v>0</v>
      </c>
      <c r="J659" s="36" t="s">
        <v>39</v>
      </c>
    </row>
    <row r="660" spans="4:10" ht="15.75">
      <c r="D660" s="37">
        <f t="shared" si="37"/>
        <v>639</v>
      </c>
      <c r="E660" s="39"/>
      <c r="F660" s="42"/>
      <c r="G660" s="42"/>
      <c r="H660" s="29"/>
      <c r="I660" s="193">
        <f t="array" ref="I660">IF(NOT(ISERROR(MATCH(2,1/(('AllowedShip Class Time Charters'!$D$3:$D$16='Ship Time Charter Rates'!F660)*('AllowedShip Class Time Charters'!$E$3:$E$16='Ship Time Charter Rates'!G660))))),0,"Vessel class and Index Choosen don’t match!")</f>
        <v>0</v>
      </c>
      <c r="J660" s="36" t="s">
        <v>39</v>
      </c>
    </row>
    <row r="661" spans="4:10" ht="15.75">
      <c r="D661" s="37">
        <f t="shared" si="37"/>
        <v>640</v>
      </c>
      <c r="E661" s="39"/>
      <c r="F661" s="42"/>
      <c r="G661" s="42"/>
      <c r="H661" s="29"/>
      <c r="I661" s="193">
        <f t="array" ref="I661">IF(NOT(ISERROR(MATCH(2,1/(('AllowedShip Class Time Charters'!$D$3:$D$16='Ship Time Charter Rates'!F661)*('AllowedShip Class Time Charters'!$E$3:$E$16='Ship Time Charter Rates'!G661))))),0,"Vessel class and Index Choosen don’t match!")</f>
        <v>0</v>
      </c>
      <c r="J661" s="36" t="s">
        <v>39</v>
      </c>
    </row>
    <row r="662" spans="4:10" ht="15.75">
      <c r="D662" s="37">
        <f t="shared" si="37"/>
        <v>641</v>
      </c>
      <c r="E662" s="39"/>
      <c r="F662" s="42"/>
      <c r="G662" s="42"/>
      <c r="H662" s="29"/>
      <c r="I662" s="193">
        <f t="array" ref="I662">IF(NOT(ISERROR(MATCH(2,1/(('AllowedShip Class Time Charters'!$D$3:$D$16='Ship Time Charter Rates'!F662)*('AllowedShip Class Time Charters'!$E$3:$E$16='Ship Time Charter Rates'!G662))))),0,"Vessel class and Index Choosen don’t match!")</f>
        <v>0</v>
      </c>
      <c r="J662" s="36" t="s">
        <v>39</v>
      </c>
    </row>
    <row r="663" spans="4:10" ht="15.75">
      <c r="D663" s="37">
        <f t="shared" si="37"/>
        <v>642</v>
      </c>
      <c r="E663" s="39"/>
      <c r="F663" s="42"/>
      <c r="G663" s="42"/>
      <c r="H663" s="29"/>
      <c r="I663" s="193">
        <f t="array" ref="I663">IF(NOT(ISERROR(MATCH(2,1/(('AllowedShip Class Time Charters'!$D$3:$D$16='Ship Time Charter Rates'!F663)*('AllowedShip Class Time Charters'!$E$3:$E$16='Ship Time Charter Rates'!G663))))),0,"Vessel class and Index Choosen don’t match!")</f>
        <v>0</v>
      </c>
      <c r="J663" s="36" t="s">
        <v>39</v>
      </c>
    </row>
    <row r="664" spans="4:10" ht="15.75">
      <c r="D664" s="37">
        <f t="shared" si="37"/>
        <v>643</v>
      </c>
      <c r="E664" s="39"/>
      <c r="F664" s="42"/>
      <c r="G664" s="42"/>
      <c r="H664" s="29"/>
      <c r="I664" s="193">
        <f t="array" ref="I664">IF(NOT(ISERROR(MATCH(2,1/(('AllowedShip Class Time Charters'!$D$3:$D$16='Ship Time Charter Rates'!F664)*('AllowedShip Class Time Charters'!$E$3:$E$16='Ship Time Charter Rates'!G664))))),0,"Vessel class and Index Choosen don’t match!")</f>
        <v>0</v>
      </c>
      <c r="J664" s="36" t="s">
        <v>39</v>
      </c>
    </row>
    <row r="665" spans="4:10" ht="15.75">
      <c r="D665" s="37">
        <f t="shared" si="37"/>
        <v>644</v>
      </c>
      <c r="E665" s="39"/>
      <c r="F665" s="42"/>
      <c r="G665" s="42"/>
      <c r="H665" s="29"/>
      <c r="I665" s="193">
        <f t="array" ref="I665">IF(NOT(ISERROR(MATCH(2,1/(('AllowedShip Class Time Charters'!$D$3:$D$16='Ship Time Charter Rates'!F665)*('AllowedShip Class Time Charters'!$E$3:$E$16='Ship Time Charter Rates'!G665))))),0,"Vessel class and Index Choosen don’t match!")</f>
        <v>0</v>
      </c>
      <c r="J665" s="36" t="s">
        <v>39</v>
      </c>
    </row>
    <row r="666" spans="4:10" ht="15.75">
      <c r="D666" s="37">
        <f t="shared" si="37"/>
        <v>645</v>
      </c>
      <c r="E666" s="39"/>
      <c r="F666" s="42"/>
      <c r="G666" s="42"/>
      <c r="H666" s="29"/>
      <c r="I666" s="193">
        <f t="array" ref="I666">IF(NOT(ISERROR(MATCH(2,1/(('AllowedShip Class Time Charters'!$D$3:$D$16='Ship Time Charter Rates'!F666)*('AllowedShip Class Time Charters'!$E$3:$E$16='Ship Time Charter Rates'!G666))))),0,"Vessel class and Index Choosen don’t match!")</f>
        <v>0</v>
      </c>
      <c r="J666" s="36" t="s">
        <v>39</v>
      </c>
    </row>
    <row r="667" spans="4:10" ht="15.75">
      <c r="D667" s="37">
        <f t="shared" si="37"/>
        <v>646</v>
      </c>
      <c r="E667" s="39"/>
      <c r="F667" s="42"/>
      <c r="G667" s="42"/>
      <c r="H667" s="29"/>
      <c r="I667" s="193">
        <f t="array" ref="I667">IF(NOT(ISERROR(MATCH(2,1/(('AllowedShip Class Time Charters'!$D$3:$D$16='Ship Time Charter Rates'!F667)*('AllowedShip Class Time Charters'!$E$3:$E$16='Ship Time Charter Rates'!G667))))),0,"Vessel class and Index Choosen don’t match!")</f>
        <v>0</v>
      </c>
      <c r="J667" s="36" t="s">
        <v>39</v>
      </c>
    </row>
    <row r="668" spans="4:10" ht="15.75">
      <c r="D668" s="37">
        <f t="shared" si="37"/>
        <v>647</v>
      </c>
      <c r="E668" s="39"/>
      <c r="F668" s="42"/>
      <c r="G668" s="42"/>
      <c r="H668" s="29"/>
      <c r="I668" s="193">
        <f t="array" ref="I668">IF(NOT(ISERROR(MATCH(2,1/(('AllowedShip Class Time Charters'!$D$3:$D$16='Ship Time Charter Rates'!F668)*('AllowedShip Class Time Charters'!$E$3:$E$16='Ship Time Charter Rates'!G668))))),0,"Vessel class and Index Choosen don’t match!")</f>
        <v>0</v>
      </c>
      <c r="J668" s="36" t="s">
        <v>39</v>
      </c>
    </row>
    <row r="669" spans="4:10" ht="15.75">
      <c r="D669" s="37">
        <f t="shared" si="37"/>
        <v>648</v>
      </c>
      <c r="E669" s="39"/>
      <c r="F669" s="42"/>
      <c r="G669" s="42"/>
      <c r="H669" s="29"/>
      <c r="I669" s="193">
        <f t="array" ref="I669">IF(NOT(ISERROR(MATCH(2,1/(('AllowedShip Class Time Charters'!$D$3:$D$16='Ship Time Charter Rates'!F669)*('AllowedShip Class Time Charters'!$E$3:$E$16='Ship Time Charter Rates'!G669))))),0,"Vessel class and Index Choosen don’t match!")</f>
        <v>0</v>
      </c>
      <c r="J669" s="36" t="s">
        <v>39</v>
      </c>
    </row>
    <row r="670" spans="4:10" ht="15.75">
      <c r="D670" s="37">
        <f t="shared" si="37"/>
        <v>649</v>
      </c>
      <c r="E670" s="39"/>
      <c r="F670" s="42"/>
      <c r="G670" s="42"/>
      <c r="H670" s="29"/>
      <c r="I670" s="193">
        <f t="array" ref="I670">IF(NOT(ISERROR(MATCH(2,1/(('AllowedShip Class Time Charters'!$D$3:$D$16='Ship Time Charter Rates'!F670)*('AllowedShip Class Time Charters'!$E$3:$E$16='Ship Time Charter Rates'!G670))))),0,"Vessel class and Index Choosen don’t match!")</f>
        <v>0</v>
      </c>
      <c r="J670" s="36" t="s">
        <v>39</v>
      </c>
    </row>
    <row r="671" spans="4:10" ht="15.75">
      <c r="D671" s="37">
        <f t="shared" si="37"/>
        <v>650</v>
      </c>
      <c r="E671" s="39"/>
      <c r="F671" s="42"/>
      <c r="G671" s="42"/>
      <c r="H671" s="29"/>
      <c r="I671" s="193">
        <f t="array" ref="I671">IF(NOT(ISERROR(MATCH(2,1/(('AllowedShip Class Time Charters'!$D$3:$D$16='Ship Time Charter Rates'!F671)*('AllowedShip Class Time Charters'!$E$3:$E$16='Ship Time Charter Rates'!G671))))),0,"Vessel class and Index Choosen don’t match!")</f>
        <v>0</v>
      </c>
      <c r="J671" s="36" t="s">
        <v>39</v>
      </c>
    </row>
    <row r="672" spans="4:10" ht="15.75">
      <c r="D672" s="37">
        <f t="shared" si="37"/>
        <v>651</v>
      </c>
      <c r="E672" s="39"/>
      <c r="F672" s="42"/>
      <c r="G672" s="42"/>
      <c r="H672" s="29"/>
      <c r="I672" s="193">
        <f t="array" ref="I672">IF(NOT(ISERROR(MATCH(2,1/(('AllowedShip Class Time Charters'!$D$3:$D$16='Ship Time Charter Rates'!F672)*('AllowedShip Class Time Charters'!$E$3:$E$16='Ship Time Charter Rates'!G672))))),0,"Vessel class and Index Choosen don’t match!")</f>
        <v>0</v>
      </c>
      <c r="J672" s="36" t="s">
        <v>39</v>
      </c>
    </row>
    <row r="673" spans="4:10" ht="15.75">
      <c r="D673" s="37">
        <f t="shared" si="37"/>
        <v>652</v>
      </c>
      <c r="E673" s="39"/>
      <c r="F673" s="42"/>
      <c r="G673" s="42"/>
      <c r="H673" s="29"/>
      <c r="I673" s="193">
        <f t="array" ref="I673">IF(NOT(ISERROR(MATCH(2,1/(('AllowedShip Class Time Charters'!$D$3:$D$16='Ship Time Charter Rates'!F673)*('AllowedShip Class Time Charters'!$E$3:$E$16='Ship Time Charter Rates'!G673))))),0,"Vessel class and Index Choosen don’t match!")</f>
        <v>0</v>
      </c>
      <c r="J673" s="36" t="s">
        <v>39</v>
      </c>
    </row>
    <row r="674" spans="4:10" ht="15.75">
      <c r="D674" s="37">
        <f t="shared" si="37"/>
        <v>653</v>
      </c>
      <c r="E674" s="39"/>
      <c r="F674" s="42"/>
      <c r="G674" s="42"/>
      <c r="H674" s="29"/>
      <c r="I674" s="193">
        <f t="array" ref="I674">IF(NOT(ISERROR(MATCH(2,1/(('AllowedShip Class Time Charters'!$D$3:$D$16='Ship Time Charter Rates'!F674)*('AllowedShip Class Time Charters'!$E$3:$E$16='Ship Time Charter Rates'!G674))))),0,"Vessel class and Index Choosen don’t match!")</f>
        <v>0</v>
      </c>
      <c r="J674" s="36" t="s">
        <v>39</v>
      </c>
    </row>
    <row r="675" spans="4:10" ht="15.75">
      <c r="D675" s="37">
        <f t="shared" si="37"/>
        <v>654</v>
      </c>
      <c r="E675" s="39"/>
      <c r="F675" s="42"/>
      <c r="G675" s="42"/>
      <c r="H675" s="29"/>
      <c r="I675" s="193">
        <f t="array" ref="I675">IF(NOT(ISERROR(MATCH(2,1/(('AllowedShip Class Time Charters'!$D$3:$D$16='Ship Time Charter Rates'!F675)*('AllowedShip Class Time Charters'!$E$3:$E$16='Ship Time Charter Rates'!G675))))),0,"Vessel class and Index Choosen don’t match!")</f>
        <v>0</v>
      </c>
      <c r="J675" s="36" t="s">
        <v>39</v>
      </c>
    </row>
    <row r="676" spans="4:10" ht="15.75">
      <c r="D676" s="37">
        <f t="shared" si="37"/>
        <v>655</v>
      </c>
      <c r="E676" s="39"/>
      <c r="F676" s="42"/>
      <c r="G676" s="42"/>
      <c r="H676" s="29"/>
      <c r="I676" s="193">
        <f t="array" ref="I676">IF(NOT(ISERROR(MATCH(2,1/(('AllowedShip Class Time Charters'!$D$3:$D$16='Ship Time Charter Rates'!F676)*('AllowedShip Class Time Charters'!$E$3:$E$16='Ship Time Charter Rates'!G676))))),0,"Vessel class and Index Choosen don’t match!")</f>
        <v>0</v>
      </c>
      <c r="J676" s="36" t="s">
        <v>39</v>
      </c>
    </row>
    <row r="677" spans="4:10" ht="15.75">
      <c r="D677" s="37">
        <f t="shared" si="37"/>
        <v>656</v>
      </c>
      <c r="E677" s="39"/>
      <c r="F677" s="42"/>
      <c r="G677" s="42"/>
      <c r="H677" s="29"/>
      <c r="I677" s="193">
        <f t="array" ref="I677">IF(NOT(ISERROR(MATCH(2,1/(('AllowedShip Class Time Charters'!$D$3:$D$16='Ship Time Charter Rates'!F677)*('AllowedShip Class Time Charters'!$E$3:$E$16='Ship Time Charter Rates'!G677))))),0,"Vessel class and Index Choosen don’t match!")</f>
        <v>0</v>
      </c>
      <c r="J677" s="36" t="s">
        <v>39</v>
      </c>
    </row>
    <row r="678" spans="4:10" ht="15.75">
      <c r="D678" s="37">
        <f t="shared" si="37"/>
        <v>657</v>
      </c>
      <c r="E678" s="39"/>
      <c r="F678" s="42"/>
      <c r="G678" s="42"/>
      <c r="H678" s="29"/>
      <c r="I678" s="193">
        <f t="array" ref="I678">IF(NOT(ISERROR(MATCH(2,1/(('AllowedShip Class Time Charters'!$D$3:$D$16='Ship Time Charter Rates'!F678)*('AllowedShip Class Time Charters'!$E$3:$E$16='Ship Time Charter Rates'!G678))))),0,"Vessel class and Index Choosen don’t match!")</f>
        <v>0</v>
      </c>
      <c r="J678" s="36" t="s">
        <v>39</v>
      </c>
    </row>
    <row r="679" spans="4:10" ht="15.75">
      <c r="D679" s="37">
        <f t="shared" si="37"/>
        <v>658</v>
      </c>
      <c r="E679" s="39"/>
      <c r="F679" s="42"/>
      <c r="G679" s="42"/>
      <c r="H679" s="29"/>
      <c r="I679" s="193">
        <f t="array" ref="I679">IF(NOT(ISERROR(MATCH(2,1/(('AllowedShip Class Time Charters'!$D$3:$D$16='Ship Time Charter Rates'!F679)*('AllowedShip Class Time Charters'!$E$3:$E$16='Ship Time Charter Rates'!G679))))),0,"Vessel class and Index Choosen don’t match!")</f>
        <v>0</v>
      </c>
      <c r="J679" s="36" t="s">
        <v>39</v>
      </c>
    </row>
    <row r="680" spans="4:10" ht="15.75">
      <c r="D680" s="37">
        <f t="shared" si="37"/>
        <v>659</v>
      </c>
      <c r="E680" s="39"/>
      <c r="F680" s="42"/>
      <c r="G680" s="42"/>
      <c r="H680" s="29"/>
      <c r="I680" s="193">
        <f t="array" ref="I680">IF(NOT(ISERROR(MATCH(2,1/(('AllowedShip Class Time Charters'!$D$3:$D$16='Ship Time Charter Rates'!F680)*('AllowedShip Class Time Charters'!$E$3:$E$16='Ship Time Charter Rates'!G680))))),0,"Vessel class and Index Choosen don’t match!")</f>
        <v>0</v>
      </c>
      <c r="J680" s="36" t="s">
        <v>39</v>
      </c>
    </row>
    <row r="681" spans="4:10" ht="15.75">
      <c r="D681" s="37">
        <f t="shared" si="37"/>
        <v>660</v>
      </c>
      <c r="E681" s="39"/>
      <c r="F681" s="42"/>
      <c r="G681" s="42"/>
      <c r="H681" s="29"/>
      <c r="I681" s="193">
        <f t="array" ref="I681">IF(NOT(ISERROR(MATCH(2,1/(('AllowedShip Class Time Charters'!$D$3:$D$16='Ship Time Charter Rates'!F681)*('AllowedShip Class Time Charters'!$E$3:$E$16='Ship Time Charter Rates'!G681))))),0,"Vessel class and Index Choosen don’t match!")</f>
        <v>0</v>
      </c>
      <c r="J681" s="36" t="s">
        <v>39</v>
      </c>
    </row>
    <row r="682" spans="4:10" ht="15.75">
      <c r="D682" s="37">
        <f t="shared" si="37"/>
        <v>661</v>
      </c>
      <c r="E682" s="39"/>
      <c r="F682" s="42"/>
      <c r="G682" s="42"/>
      <c r="H682" s="29"/>
      <c r="I682" s="193">
        <f t="array" ref="I682">IF(NOT(ISERROR(MATCH(2,1/(('AllowedShip Class Time Charters'!$D$3:$D$16='Ship Time Charter Rates'!F682)*('AllowedShip Class Time Charters'!$E$3:$E$16='Ship Time Charter Rates'!G682))))),0,"Vessel class and Index Choosen don’t match!")</f>
        <v>0</v>
      </c>
      <c r="J682" s="36" t="s">
        <v>39</v>
      </c>
    </row>
    <row r="683" spans="4:10" ht="15.75">
      <c r="D683" s="37">
        <f t="shared" si="37"/>
        <v>662</v>
      </c>
      <c r="E683" s="39"/>
      <c r="F683" s="42"/>
      <c r="G683" s="42"/>
      <c r="H683" s="29"/>
      <c r="I683" s="193">
        <f t="array" ref="I683">IF(NOT(ISERROR(MATCH(2,1/(('AllowedShip Class Time Charters'!$D$3:$D$16='Ship Time Charter Rates'!F683)*('AllowedShip Class Time Charters'!$E$3:$E$16='Ship Time Charter Rates'!G683))))),0,"Vessel class and Index Choosen don’t match!")</f>
        <v>0</v>
      </c>
      <c r="J683" s="36" t="s">
        <v>39</v>
      </c>
    </row>
    <row r="684" spans="4:10" ht="15.75">
      <c r="D684" s="37">
        <f t="shared" si="37"/>
        <v>663</v>
      </c>
      <c r="E684" s="39"/>
      <c r="F684" s="42"/>
      <c r="G684" s="42"/>
      <c r="H684" s="29"/>
      <c r="I684" s="193">
        <f t="array" ref="I684">IF(NOT(ISERROR(MATCH(2,1/(('AllowedShip Class Time Charters'!$D$3:$D$16='Ship Time Charter Rates'!F684)*('AllowedShip Class Time Charters'!$E$3:$E$16='Ship Time Charter Rates'!G684))))),0,"Vessel class and Index Choosen don’t match!")</f>
        <v>0</v>
      </c>
      <c r="J684" s="36" t="s">
        <v>39</v>
      </c>
    </row>
    <row r="685" spans="4:10" ht="15.75">
      <c r="D685" s="37">
        <f t="shared" si="37"/>
        <v>664</v>
      </c>
      <c r="E685" s="39"/>
      <c r="F685" s="42"/>
      <c r="G685" s="42"/>
      <c r="H685" s="29"/>
      <c r="I685" s="193">
        <f t="array" ref="I685">IF(NOT(ISERROR(MATCH(2,1/(('AllowedShip Class Time Charters'!$D$3:$D$16='Ship Time Charter Rates'!F685)*('AllowedShip Class Time Charters'!$E$3:$E$16='Ship Time Charter Rates'!G685))))),0,"Vessel class and Index Choosen don’t match!")</f>
        <v>0</v>
      </c>
      <c r="J685" s="36" t="s">
        <v>39</v>
      </c>
    </row>
    <row r="686" spans="4:10" ht="15.75">
      <c r="D686" s="37">
        <f t="shared" si="37"/>
        <v>665</v>
      </c>
      <c r="E686" s="39"/>
      <c r="F686" s="42"/>
      <c r="G686" s="42"/>
      <c r="H686" s="29"/>
      <c r="I686" s="193">
        <f t="array" ref="I686">IF(NOT(ISERROR(MATCH(2,1/(('AllowedShip Class Time Charters'!$D$3:$D$16='Ship Time Charter Rates'!F686)*('AllowedShip Class Time Charters'!$E$3:$E$16='Ship Time Charter Rates'!G686))))),0,"Vessel class and Index Choosen don’t match!")</f>
        <v>0</v>
      </c>
      <c r="J686" s="36" t="s">
        <v>39</v>
      </c>
    </row>
    <row r="687" spans="4:10" ht="15.75">
      <c r="D687" s="37">
        <f t="shared" si="37"/>
        <v>666</v>
      </c>
      <c r="E687" s="39"/>
      <c r="F687" s="42"/>
      <c r="G687" s="42"/>
      <c r="H687" s="29"/>
      <c r="I687" s="193">
        <f t="array" ref="I687">IF(NOT(ISERROR(MATCH(2,1/(('AllowedShip Class Time Charters'!$D$3:$D$16='Ship Time Charter Rates'!F687)*('AllowedShip Class Time Charters'!$E$3:$E$16='Ship Time Charter Rates'!G687))))),0,"Vessel class and Index Choosen don’t match!")</f>
        <v>0</v>
      </c>
      <c r="J687" s="36" t="s">
        <v>39</v>
      </c>
    </row>
    <row r="688" spans="4:10" ht="15.75">
      <c r="D688" s="37">
        <f t="shared" si="37"/>
        <v>667</v>
      </c>
      <c r="E688" s="39"/>
      <c r="F688" s="42"/>
      <c r="G688" s="42"/>
      <c r="H688" s="29"/>
      <c r="I688" s="193">
        <f t="array" ref="I688">IF(NOT(ISERROR(MATCH(2,1/(('AllowedShip Class Time Charters'!$D$3:$D$16='Ship Time Charter Rates'!F688)*('AllowedShip Class Time Charters'!$E$3:$E$16='Ship Time Charter Rates'!G688))))),0,"Vessel class and Index Choosen don’t match!")</f>
        <v>0</v>
      </c>
      <c r="J688" s="36" t="s">
        <v>39</v>
      </c>
    </row>
    <row r="689" spans="4:10" ht="15.75">
      <c r="D689" s="37">
        <f t="shared" si="37"/>
        <v>668</v>
      </c>
      <c r="E689" s="39"/>
      <c r="F689" s="42"/>
      <c r="G689" s="42"/>
      <c r="H689" s="29"/>
      <c r="I689" s="193">
        <f t="array" ref="I689">IF(NOT(ISERROR(MATCH(2,1/(('AllowedShip Class Time Charters'!$D$3:$D$16='Ship Time Charter Rates'!F689)*('AllowedShip Class Time Charters'!$E$3:$E$16='Ship Time Charter Rates'!G689))))),0,"Vessel class and Index Choosen don’t match!")</f>
        <v>0</v>
      </c>
      <c r="J689" s="36" t="s">
        <v>39</v>
      </c>
    </row>
    <row r="690" spans="4:10" ht="15.75">
      <c r="D690" s="37">
        <f t="shared" si="37"/>
        <v>669</v>
      </c>
      <c r="E690" s="39"/>
      <c r="F690" s="42"/>
      <c r="G690" s="42"/>
      <c r="H690" s="29"/>
      <c r="I690" s="193">
        <f t="array" ref="I690">IF(NOT(ISERROR(MATCH(2,1/(('AllowedShip Class Time Charters'!$D$3:$D$16='Ship Time Charter Rates'!F690)*('AllowedShip Class Time Charters'!$E$3:$E$16='Ship Time Charter Rates'!G690))))),0,"Vessel class and Index Choosen don’t match!")</f>
        <v>0</v>
      </c>
      <c r="J690" s="36" t="s">
        <v>39</v>
      </c>
    </row>
    <row r="691" spans="4:10" ht="15.75">
      <c r="D691" s="37">
        <f t="shared" si="37"/>
        <v>670</v>
      </c>
      <c r="E691" s="39"/>
      <c r="F691" s="42"/>
      <c r="G691" s="42"/>
      <c r="H691" s="29"/>
      <c r="I691" s="193">
        <f t="array" ref="I691">IF(NOT(ISERROR(MATCH(2,1/(('AllowedShip Class Time Charters'!$D$3:$D$16='Ship Time Charter Rates'!F691)*('AllowedShip Class Time Charters'!$E$3:$E$16='Ship Time Charter Rates'!G691))))),0,"Vessel class and Index Choosen don’t match!")</f>
        <v>0</v>
      </c>
      <c r="J691" s="36" t="s">
        <v>39</v>
      </c>
    </row>
    <row r="692" spans="4:10" ht="15.75">
      <c r="D692" s="37">
        <f t="shared" si="37"/>
        <v>671</v>
      </c>
      <c r="E692" s="39"/>
      <c r="F692" s="42"/>
      <c r="G692" s="42"/>
      <c r="H692" s="29"/>
      <c r="I692" s="193">
        <f t="array" ref="I692">IF(NOT(ISERROR(MATCH(2,1/(('AllowedShip Class Time Charters'!$D$3:$D$16='Ship Time Charter Rates'!F692)*('AllowedShip Class Time Charters'!$E$3:$E$16='Ship Time Charter Rates'!G692))))),0,"Vessel class and Index Choosen don’t match!")</f>
        <v>0</v>
      </c>
      <c r="J692" s="36" t="s">
        <v>39</v>
      </c>
    </row>
    <row r="693" spans="4:10" ht="15.75">
      <c r="D693" s="37">
        <f t="shared" si="37"/>
        <v>672</v>
      </c>
      <c r="E693" s="39"/>
      <c r="F693" s="42"/>
      <c r="G693" s="42"/>
      <c r="H693" s="29"/>
      <c r="I693" s="193">
        <f t="array" ref="I693">IF(NOT(ISERROR(MATCH(2,1/(('AllowedShip Class Time Charters'!$D$3:$D$16='Ship Time Charter Rates'!F693)*('AllowedShip Class Time Charters'!$E$3:$E$16='Ship Time Charter Rates'!G693))))),0,"Vessel class and Index Choosen don’t match!")</f>
        <v>0</v>
      </c>
      <c r="J693" s="36" t="s">
        <v>39</v>
      </c>
    </row>
    <row r="694" spans="4:10" ht="15.75">
      <c r="D694" s="37">
        <f t="shared" si="37"/>
        <v>673</v>
      </c>
      <c r="E694" s="39"/>
      <c r="F694" s="42"/>
      <c r="G694" s="42"/>
      <c r="H694" s="29"/>
      <c r="I694" s="193">
        <f t="array" ref="I694">IF(NOT(ISERROR(MATCH(2,1/(('AllowedShip Class Time Charters'!$D$3:$D$16='Ship Time Charter Rates'!F694)*('AllowedShip Class Time Charters'!$E$3:$E$16='Ship Time Charter Rates'!G694))))),0,"Vessel class and Index Choosen don’t match!")</f>
        <v>0</v>
      </c>
      <c r="J694" s="36" t="s">
        <v>39</v>
      </c>
    </row>
    <row r="695" spans="4:10" ht="15.75">
      <c r="D695" s="37">
        <f t="shared" si="37"/>
        <v>674</v>
      </c>
      <c r="E695" s="39"/>
      <c r="F695" s="42"/>
      <c r="G695" s="42"/>
      <c r="H695" s="29"/>
      <c r="I695" s="193">
        <f t="array" ref="I695">IF(NOT(ISERROR(MATCH(2,1/(('AllowedShip Class Time Charters'!$D$3:$D$16='Ship Time Charter Rates'!F695)*('AllowedShip Class Time Charters'!$E$3:$E$16='Ship Time Charter Rates'!G695))))),0,"Vessel class and Index Choosen don’t match!")</f>
        <v>0</v>
      </c>
      <c r="J695" s="36" t="s">
        <v>39</v>
      </c>
    </row>
    <row r="696" spans="4:10" ht="15.75">
      <c r="D696" s="37">
        <f t="shared" si="37"/>
        <v>675</v>
      </c>
      <c r="E696" s="39"/>
      <c r="F696" s="42"/>
      <c r="G696" s="42"/>
      <c r="H696" s="29"/>
      <c r="I696" s="193">
        <f t="array" ref="I696">IF(NOT(ISERROR(MATCH(2,1/(('AllowedShip Class Time Charters'!$D$3:$D$16='Ship Time Charter Rates'!F696)*('AllowedShip Class Time Charters'!$E$3:$E$16='Ship Time Charter Rates'!G696))))),0,"Vessel class and Index Choosen don’t match!")</f>
        <v>0</v>
      </c>
      <c r="J696" s="36" t="s">
        <v>39</v>
      </c>
    </row>
    <row r="697" spans="4:10" ht="15.75">
      <c r="D697" s="37">
        <f t="shared" si="37"/>
        <v>676</v>
      </c>
      <c r="E697" s="39"/>
      <c r="F697" s="42"/>
      <c r="G697" s="42"/>
      <c r="H697" s="29"/>
      <c r="I697" s="193">
        <f t="array" ref="I697">IF(NOT(ISERROR(MATCH(2,1/(('AllowedShip Class Time Charters'!$D$3:$D$16='Ship Time Charter Rates'!F697)*('AllowedShip Class Time Charters'!$E$3:$E$16='Ship Time Charter Rates'!G697))))),0,"Vessel class and Index Choosen don’t match!")</f>
        <v>0</v>
      </c>
      <c r="J697" s="36" t="s">
        <v>39</v>
      </c>
    </row>
    <row r="698" spans="4:10" ht="15.75">
      <c r="D698" s="37">
        <f t="shared" si="37"/>
        <v>677</v>
      </c>
      <c r="E698" s="39"/>
      <c r="F698" s="42"/>
      <c r="G698" s="42"/>
      <c r="H698" s="29"/>
      <c r="I698" s="193">
        <f t="array" ref="I698">IF(NOT(ISERROR(MATCH(2,1/(('AllowedShip Class Time Charters'!$D$3:$D$16='Ship Time Charter Rates'!F698)*('AllowedShip Class Time Charters'!$E$3:$E$16='Ship Time Charter Rates'!G698))))),0,"Vessel class and Index Choosen don’t match!")</f>
        <v>0</v>
      </c>
      <c r="J698" s="36" t="s">
        <v>39</v>
      </c>
    </row>
    <row r="699" spans="4:10" ht="15.75">
      <c r="D699" s="37">
        <f t="shared" si="37"/>
        <v>678</v>
      </c>
      <c r="E699" s="39"/>
      <c r="F699" s="42"/>
      <c r="G699" s="42"/>
      <c r="H699" s="29"/>
      <c r="I699" s="193">
        <f t="array" ref="I699">IF(NOT(ISERROR(MATCH(2,1/(('AllowedShip Class Time Charters'!$D$3:$D$16='Ship Time Charter Rates'!F699)*('AllowedShip Class Time Charters'!$E$3:$E$16='Ship Time Charter Rates'!G699))))),0,"Vessel class and Index Choosen don’t match!")</f>
        <v>0</v>
      </c>
      <c r="J699" s="36" t="s">
        <v>39</v>
      </c>
    </row>
    <row r="700" spans="4:10" ht="15.75">
      <c r="D700" s="37">
        <f t="shared" si="37"/>
        <v>679</v>
      </c>
      <c r="E700" s="39"/>
      <c r="F700" s="42"/>
      <c r="G700" s="42"/>
      <c r="H700" s="29"/>
      <c r="I700" s="193">
        <f t="array" ref="I700">IF(NOT(ISERROR(MATCH(2,1/(('AllowedShip Class Time Charters'!$D$3:$D$16='Ship Time Charter Rates'!F700)*('AllowedShip Class Time Charters'!$E$3:$E$16='Ship Time Charter Rates'!G700))))),0,"Vessel class and Index Choosen don’t match!")</f>
        <v>0</v>
      </c>
      <c r="J700" s="36" t="s">
        <v>39</v>
      </c>
    </row>
    <row r="701" spans="4:10" ht="15.75">
      <c r="D701" s="37">
        <f t="shared" si="37"/>
        <v>680</v>
      </c>
      <c r="E701" s="39"/>
      <c r="F701" s="42"/>
      <c r="G701" s="42"/>
      <c r="H701" s="29"/>
      <c r="I701" s="193">
        <f t="array" ref="I701">IF(NOT(ISERROR(MATCH(2,1/(('AllowedShip Class Time Charters'!$D$3:$D$16='Ship Time Charter Rates'!F701)*('AllowedShip Class Time Charters'!$E$3:$E$16='Ship Time Charter Rates'!G701))))),0,"Vessel class and Index Choosen don’t match!")</f>
        <v>0</v>
      </c>
      <c r="J701" s="36" t="s">
        <v>39</v>
      </c>
    </row>
    <row r="702" spans="4:10" ht="15.75">
      <c r="D702" s="37">
        <f t="shared" si="37"/>
        <v>681</v>
      </c>
      <c r="E702" s="39"/>
      <c r="F702" s="42"/>
      <c r="G702" s="42"/>
      <c r="H702" s="29"/>
      <c r="I702" s="193">
        <f t="array" ref="I702">IF(NOT(ISERROR(MATCH(2,1/(('AllowedShip Class Time Charters'!$D$3:$D$16='Ship Time Charter Rates'!F702)*('AllowedShip Class Time Charters'!$E$3:$E$16='Ship Time Charter Rates'!G702))))),0,"Vessel class and Index Choosen don’t match!")</f>
        <v>0</v>
      </c>
      <c r="J702" s="36" t="s">
        <v>39</v>
      </c>
    </row>
    <row r="703" spans="4:10" ht="15.75">
      <c r="D703" s="37">
        <f t="shared" si="37"/>
        <v>682</v>
      </c>
      <c r="E703" s="39"/>
      <c r="F703" s="42"/>
      <c r="G703" s="42"/>
      <c r="H703" s="29"/>
      <c r="I703" s="193">
        <f t="array" ref="I703">IF(NOT(ISERROR(MATCH(2,1/(('AllowedShip Class Time Charters'!$D$3:$D$16='Ship Time Charter Rates'!F703)*('AllowedShip Class Time Charters'!$E$3:$E$16='Ship Time Charter Rates'!G703))))),0,"Vessel class and Index Choosen don’t match!")</f>
        <v>0</v>
      </c>
      <c r="J703" s="36" t="s">
        <v>39</v>
      </c>
    </row>
    <row r="704" spans="4:10" ht="15.75">
      <c r="D704" s="37">
        <f t="shared" si="37"/>
        <v>683</v>
      </c>
      <c r="E704" s="39"/>
      <c r="F704" s="42"/>
      <c r="G704" s="42"/>
      <c r="H704" s="29"/>
      <c r="I704" s="193">
        <f t="array" ref="I704">IF(NOT(ISERROR(MATCH(2,1/(('AllowedShip Class Time Charters'!$D$3:$D$16='Ship Time Charter Rates'!F704)*('AllowedShip Class Time Charters'!$E$3:$E$16='Ship Time Charter Rates'!G704))))),0,"Vessel class and Index Choosen don’t match!")</f>
        <v>0</v>
      </c>
      <c r="J704" s="36" t="s">
        <v>39</v>
      </c>
    </row>
    <row r="705" spans="4:10" ht="15.75">
      <c r="D705" s="37">
        <f t="shared" ref="D705:D768" si="38">D704+1</f>
        <v>684</v>
      </c>
      <c r="E705" s="39"/>
      <c r="F705" s="42"/>
      <c r="G705" s="42"/>
      <c r="H705" s="29"/>
      <c r="I705" s="193">
        <f t="array" ref="I705">IF(NOT(ISERROR(MATCH(2,1/(('AllowedShip Class Time Charters'!$D$3:$D$16='Ship Time Charter Rates'!F705)*('AllowedShip Class Time Charters'!$E$3:$E$16='Ship Time Charter Rates'!G705))))),0,"Vessel class and Index Choosen don’t match!")</f>
        <v>0</v>
      </c>
      <c r="J705" s="36" t="s">
        <v>39</v>
      </c>
    </row>
    <row r="706" spans="4:10" ht="15.75">
      <c r="D706" s="37">
        <f t="shared" si="38"/>
        <v>685</v>
      </c>
      <c r="E706" s="39"/>
      <c r="F706" s="42"/>
      <c r="G706" s="42"/>
      <c r="H706" s="29"/>
      <c r="I706" s="193">
        <f t="array" ref="I706">IF(NOT(ISERROR(MATCH(2,1/(('AllowedShip Class Time Charters'!$D$3:$D$16='Ship Time Charter Rates'!F706)*('AllowedShip Class Time Charters'!$E$3:$E$16='Ship Time Charter Rates'!G706))))),0,"Vessel class and Index Choosen don’t match!")</f>
        <v>0</v>
      </c>
      <c r="J706" s="36" t="s">
        <v>39</v>
      </c>
    </row>
    <row r="707" spans="4:10" ht="15.75">
      <c r="D707" s="37">
        <f t="shared" si="38"/>
        <v>686</v>
      </c>
      <c r="E707" s="39"/>
      <c r="F707" s="42"/>
      <c r="G707" s="42"/>
      <c r="H707" s="29"/>
      <c r="I707" s="193">
        <f t="array" ref="I707">IF(NOT(ISERROR(MATCH(2,1/(('AllowedShip Class Time Charters'!$D$3:$D$16='Ship Time Charter Rates'!F707)*('AllowedShip Class Time Charters'!$E$3:$E$16='Ship Time Charter Rates'!G707))))),0,"Vessel class and Index Choosen don’t match!")</f>
        <v>0</v>
      </c>
      <c r="J707" s="36" t="s">
        <v>39</v>
      </c>
    </row>
    <row r="708" spans="4:10" ht="15.75">
      <c r="D708" s="37">
        <f t="shared" si="38"/>
        <v>687</v>
      </c>
      <c r="E708" s="39"/>
      <c r="F708" s="42"/>
      <c r="G708" s="42"/>
      <c r="H708" s="29"/>
      <c r="I708" s="193">
        <f t="array" ref="I708">IF(NOT(ISERROR(MATCH(2,1/(('AllowedShip Class Time Charters'!$D$3:$D$16='Ship Time Charter Rates'!F708)*('AllowedShip Class Time Charters'!$E$3:$E$16='Ship Time Charter Rates'!G708))))),0,"Vessel class and Index Choosen don’t match!")</f>
        <v>0</v>
      </c>
      <c r="J708" s="36" t="s">
        <v>39</v>
      </c>
    </row>
    <row r="709" spans="4:10" ht="15.75">
      <c r="D709" s="37">
        <f t="shared" si="38"/>
        <v>688</v>
      </c>
      <c r="E709" s="39"/>
      <c r="F709" s="42"/>
      <c r="G709" s="42"/>
      <c r="H709" s="29"/>
      <c r="I709" s="193">
        <f t="array" ref="I709">IF(NOT(ISERROR(MATCH(2,1/(('AllowedShip Class Time Charters'!$D$3:$D$16='Ship Time Charter Rates'!F709)*('AllowedShip Class Time Charters'!$E$3:$E$16='Ship Time Charter Rates'!G709))))),0,"Vessel class and Index Choosen don’t match!")</f>
        <v>0</v>
      </c>
      <c r="J709" s="36" t="s">
        <v>39</v>
      </c>
    </row>
    <row r="710" spans="4:10" ht="15.75">
      <c r="D710" s="37">
        <f t="shared" si="38"/>
        <v>689</v>
      </c>
      <c r="E710" s="39"/>
      <c r="F710" s="42"/>
      <c r="G710" s="42"/>
      <c r="H710" s="29"/>
      <c r="I710" s="193">
        <f t="array" ref="I710">IF(NOT(ISERROR(MATCH(2,1/(('AllowedShip Class Time Charters'!$D$3:$D$16='Ship Time Charter Rates'!F710)*('AllowedShip Class Time Charters'!$E$3:$E$16='Ship Time Charter Rates'!G710))))),0,"Vessel class and Index Choosen don’t match!")</f>
        <v>0</v>
      </c>
      <c r="J710" s="36" t="s">
        <v>39</v>
      </c>
    </row>
    <row r="711" spans="4:10" ht="15.75">
      <c r="D711" s="37">
        <f t="shared" si="38"/>
        <v>690</v>
      </c>
      <c r="E711" s="39"/>
      <c r="F711" s="42"/>
      <c r="G711" s="42"/>
      <c r="H711" s="29"/>
      <c r="I711" s="193">
        <f t="array" ref="I711">IF(NOT(ISERROR(MATCH(2,1/(('AllowedShip Class Time Charters'!$D$3:$D$16='Ship Time Charter Rates'!F711)*('AllowedShip Class Time Charters'!$E$3:$E$16='Ship Time Charter Rates'!G711))))),0,"Vessel class and Index Choosen don’t match!")</f>
        <v>0</v>
      </c>
      <c r="J711" s="36" t="s">
        <v>39</v>
      </c>
    </row>
    <row r="712" spans="4:10" ht="15.75">
      <c r="D712" s="37">
        <f t="shared" si="38"/>
        <v>691</v>
      </c>
      <c r="E712" s="39"/>
      <c r="F712" s="42"/>
      <c r="G712" s="42"/>
      <c r="H712" s="29"/>
      <c r="I712" s="193">
        <f t="array" ref="I712">IF(NOT(ISERROR(MATCH(2,1/(('AllowedShip Class Time Charters'!$D$3:$D$16='Ship Time Charter Rates'!F712)*('AllowedShip Class Time Charters'!$E$3:$E$16='Ship Time Charter Rates'!G712))))),0,"Vessel class and Index Choosen don’t match!")</f>
        <v>0</v>
      </c>
      <c r="J712" s="36" t="s">
        <v>39</v>
      </c>
    </row>
    <row r="713" spans="4:10" ht="15.75">
      <c r="D713" s="37">
        <f t="shared" si="38"/>
        <v>692</v>
      </c>
      <c r="E713" s="39"/>
      <c r="F713" s="42"/>
      <c r="G713" s="42"/>
      <c r="H713" s="29"/>
      <c r="I713" s="193">
        <f t="array" ref="I713">IF(NOT(ISERROR(MATCH(2,1/(('AllowedShip Class Time Charters'!$D$3:$D$16='Ship Time Charter Rates'!F713)*('AllowedShip Class Time Charters'!$E$3:$E$16='Ship Time Charter Rates'!G713))))),0,"Vessel class and Index Choosen don’t match!")</f>
        <v>0</v>
      </c>
      <c r="J713" s="36" t="s">
        <v>39</v>
      </c>
    </row>
    <row r="714" spans="4:10" ht="15.75">
      <c r="D714" s="37">
        <f t="shared" si="38"/>
        <v>693</v>
      </c>
      <c r="E714" s="39"/>
      <c r="F714" s="42"/>
      <c r="G714" s="42"/>
      <c r="H714" s="29"/>
      <c r="I714" s="193">
        <f t="array" ref="I714">IF(NOT(ISERROR(MATCH(2,1/(('AllowedShip Class Time Charters'!$D$3:$D$16='Ship Time Charter Rates'!F714)*('AllowedShip Class Time Charters'!$E$3:$E$16='Ship Time Charter Rates'!G714))))),0,"Vessel class and Index Choosen don’t match!")</f>
        <v>0</v>
      </c>
      <c r="J714" s="36" t="s">
        <v>39</v>
      </c>
    </row>
    <row r="715" spans="4:10" ht="15.75">
      <c r="D715" s="37">
        <f t="shared" si="38"/>
        <v>694</v>
      </c>
      <c r="E715" s="39"/>
      <c r="F715" s="42"/>
      <c r="G715" s="42"/>
      <c r="H715" s="29"/>
      <c r="I715" s="193">
        <f t="array" ref="I715">IF(NOT(ISERROR(MATCH(2,1/(('AllowedShip Class Time Charters'!$D$3:$D$16='Ship Time Charter Rates'!F715)*('AllowedShip Class Time Charters'!$E$3:$E$16='Ship Time Charter Rates'!G715))))),0,"Vessel class and Index Choosen don’t match!")</f>
        <v>0</v>
      </c>
      <c r="J715" s="36" t="s">
        <v>39</v>
      </c>
    </row>
    <row r="716" spans="4:10" ht="15.75">
      <c r="D716" s="37">
        <f t="shared" si="38"/>
        <v>695</v>
      </c>
      <c r="E716" s="39"/>
      <c r="F716" s="42"/>
      <c r="G716" s="42"/>
      <c r="H716" s="29"/>
      <c r="I716" s="193">
        <f t="array" ref="I716">IF(NOT(ISERROR(MATCH(2,1/(('AllowedShip Class Time Charters'!$D$3:$D$16='Ship Time Charter Rates'!F716)*('AllowedShip Class Time Charters'!$E$3:$E$16='Ship Time Charter Rates'!G716))))),0,"Vessel class and Index Choosen don’t match!")</f>
        <v>0</v>
      </c>
      <c r="J716" s="36" t="s">
        <v>39</v>
      </c>
    </row>
    <row r="717" spans="4:10" ht="15.75">
      <c r="D717" s="37">
        <f t="shared" si="38"/>
        <v>696</v>
      </c>
      <c r="E717" s="39"/>
      <c r="F717" s="42"/>
      <c r="G717" s="42"/>
      <c r="H717" s="29"/>
      <c r="I717" s="193">
        <f t="array" ref="I717">IF(NOT(ISERROR(MATCH(2,1/(('AllowedShip Class Time Charters'!$D$3:$D$16='Ship Time Charter Rates'!F717)*('AllowedShip Class Time Charters'!$E$3:$E$16='Ship Time Charter Rates'!G717))))),0,"Vessel class and Index Choosen don’t match!")</f>
        <v>0</v>
      </c>
      <c r="J717" s="36" t="s">
        <v>39</v>
      </c>
    </row>
    <row r="718" spans="4:10" ht="15.75">
      <c r="D718" s="37">
        <f t="shared" si="38"/>
        <v>697</v>
      </c>
      <c r="E718" s="39"/>
      <c r="F718" s="42"/>
      <c r="G718" s="42"/>
      <c r="H718" s="29"/>
      <c r="I718" s="193">
        <f t="array" ref="I718">IF(NOT(ISERROR(MATCH(2,1/(('AllowedShip Class Time Charters'!$D$3:$D$16='Ship Time Charter Rates'!F718)*('AllowedShip Class Time Charters'!$E$3:$E$16='Ship Time Charter Rates'!G718))))),0,"Vessel class and Index Choosen don’t match!")</f>
        <v>0</v>
      </c>
      <c r="J718" s="36" t="s">
        <v>39</v>
      </c>
    </row>
    <row r="719" spans="4:10" ht="15.75">
      <c r="D719" s="37">
        <f t="shared" si="38"/>
        <v>698</v>
      </c>
      <c r="E719" s="39"/>
      <c r="F719" s="42"/>
      <c r="G719" s="42"/>
      <c r="H719" s="29"/>
      <c r="I719" s="193">
        <f t="array" ref="I719">IF(NOT(ISERROR(MATCH(2,1/(('AllowedShip Class Time Charters'!$D$3:$D$16='Ship Time Charter Rates'!F719)*('AllowedShip Class Time Charters'!$E$3:$E$16='Ship Time Charter Rates'!G719))))),0,"Vessel class and Index Choosen don’t match!")</f>
        <v>0</v>
      </c>
      <c r="J719" s="36" t="s">
        <v>39</v>
      </c>
    </row>
    <row r="720" spans="4:10" ht="15.75">
      <c r="D720" s="37">
        <f t="shared" si="38"/>
        <v>699</v>
      </c>
      <c r="E720" s="39"/>
      <c r="F720" s="42"/>
      <c r="G720" s="42"/>
      <c r="H720" s="29"/>
      <c r="I720" s="193">
        <f t="array" ref="I720">IF(NOT(ISERROR(MATCH(2,1/(('AllowedShip Class Time Charters'!$D$3:$D$16='Ship Time Charter Rates'!F720)*('AllowedShip Class Time Charters'!$E$3:$E$16='Ship Time Charter Rates'!G720))))),0,"Vessel class and Index Choosen don’t match!")</f>
        <v>0</v>
      </c>
      <c r="J720" s="36" t="s">
        <v>39</v>
      </c>
    </row>
    <row r="721" spans="4:10" ht="15.75">
      <c r="D721" s="37">
        <f t="shared" si="38"/>
        <v>700</v>
      </c>
      <c r="E721" s="39"/>
      <c r="F721" s="42"/>
      <c r="G721" s="42"/>
      <c r="H721" s="29"/>
      <c r="I721" s="193">
        <f t="array" ref="I721">IF(NOT(ISERROR(MATCH(2,1/(('AllowedShip Class Time Charters'!$D$3:$D$16='Ship Time Charter Rates'!F721)*('AllowedShip Class Time Charters'!$E$3:$E$16='Ship Time Charter Rates'!G721))))),0,"Vessel class and Index Choosen don’t match!")</f>
        <v>0</v>
      </c>
      <c r="J721" s="36" t="s">
        <v>39</v>
      </c>
    </row>
    <row r="722" spans="4:10" ht="15.75">
      <c r="D722" s="37">
        <f t="shared" si="38"/>
        <v>701</v>
      </c>
      <c r="E722" s="39"/>
      <c r="F722" s="42"/>
      <c r="G722" s="42"/>
      <c r="H722" s="29"/>
      <c r="I722" s="193">
        <f t="array" ref="I722">IF(NOT(ISERROR(MATCH(2,1/(('AllowedShip Class Time Charters'!$D$3:$D$16='Ship Time Charter Rates'!F722)*('AllowedShip Class Time Charters'!$E$3:$E$16='Ship Time Charter Rates'!G722))))),0,"Vessel class and Index Choosen don’t match!")</f>
        <v>0</v>
      </c>
      <c r="J722" s="36" t="s">
        <v>39</v>
      </c>
    </row>
    <row r="723" spans="4:10" ht="15.75">
      <c r="D723" s="37">
        <f t="shared" si="38"/>
        <v>702</v>
      </c>
      <c r="E723" s="39"/>
      <c r="F723" s="42"/>
      <c r="G723" s="42"/>
      <c r="H723" s="29"/>
      <c r="I723" s="193">
        <f t="array" ref="I723">IF(NOT(ISERROR(MATCH(2,1/(('AllowedShip Class Time Charters'!$D$3:$D$16='Ship Time Charter Rates'!F723)*('AllowedShip Class Time Charters'!$E$3:$E$16='Ship Time Charter Rates'!G723))))),0,"Vessel class and Index Choosen don’t match!")</f>
        <v>0</v>
      </c>
      <c r="J723" s="36" t="s">
        <v>39</v>
      </c>
    </row>
    <row r="724" spans="4:10" ht="15.75">
      <c r="D724" s="37">
        <f t="shared" si="38"/>
        <v>703</v>
      </c>
      <c r="E724" s="39"/>
      <c r="F724" s="42"/>
      <c r="G724" s="42"/>
      <c r="H724" s="29"/>
      <c r="I724" s="193">
        <f t="array" ref="I724">IF(NOT(ISERROR(MATCH(2,1/(('AllowedShip Class Time Charters'!$D$3:$D$16='Ship Time Charter Rates'!F724)*('AllowedShip Class Time Charters'!$E$3:$E$16='Ship Time Charter Rates'!G724))))),0,"Vessel class and Index Choosen don’t match!")</f>
        <v>0</v>
      </c>
      <c r="J724" s="36" t="s">
        <v>39</v>
      </c>
    </row>
    <row r="725" spans="4:10" ht="15.75">
      <c r="D725" s="37">
        <f t="shared" si="38"/>
        <v>704</v>
      </c>
      <c r="E725" s="39"/>
      <c r="F725" s="42"/>
      <c r="G725" s="42"/>
      <c r="H725" s="29"/>
      <c r="I725" s="193">
        <f t="array" ref="I725">IF(NOT(ISERROR(MATCH(2,1/(('AllowedShip Class Time Charters'!$D$3:$D$16='Ship Time Charter Rates'!F725)*('AllowedShip Class Time Charters'!$E$3:$E$16='Ship Time Charter Rates'!G725))))),0,"Vessel class and Index Choosen don’t match!")</f>
        <v>0</v>
      </c>
      <c r="J725" s="36" t="s">
        <v>39</v>
      </c>
    </row>
    <row r="726" spans="4:10" ht="15.75">
      <c r="D726" s="37">
        <f t="shared" si="38"/>
        <v>705</v>
      </c>
      <c r="E726" s="39"/>
      <c r="F726" s="42"/>
      <c r="G726" s="42"/>
      <c r="H726" s="29"/>
      <c r="I726" s="193">
        <f t="array" ref="I726">IF(NOT(ISERROR(MATCH(2,1/(('AllowedShip Class Time Charters'!$D$3:$D$16='Ship Time Charter Rates'!F726)*('AllowedShip Class Time Charters'!$E$3:$E$16='Ship Time Charter Rates'!G726))))),0,"Vessel class and Index Choosen don’t match!")</f>
        <v>0</v>
      </c>
      <c r="J726" s="36" t="s">
        <v>39</v>
      </c>
    </row>
    <row r="727" spans="4:10" ht="15.75">
      <c r="D727" s="37">
        <f t="shared" si="38"/>
        <v>706</v>
      </c>
      <c r="E727" s="39"/>
      <c r="F727" s="42"/>
      <c r="G727" s="42"/>
      <c r="H727" s="29"/>
      <c r="I727" s="193">
        <f t="array" ref="I727">IF(NOT(ISERROR(MATCH(2,1/(('AllowedShip Class Time Charters'!$D$3:$D$16='Ship Time Charter Rates'!F727)*('AllowedShip Class Time Charters'!$E$3:$E$16='Ship Time Charter Rates'!G727))))),0,"Vessel class and Index Choosen don’t match!")</f>
        <v>0</v>
      </c>
      <c r="J727" s="36" t="s">
        <v>39</v>
      </c>
    </row>
    <row r="728" spans="4:10" ht="15.75">
      <c r="D728" s="37">
        <f t="shared" si="38"/>
        <v>707</v>
      </c>
      <c r="E728" s="39"/>
      <c r="F728" s="42"/>
      <c r="G728" s="42"/>
      <c r="H728" s="29"/>
      <c r="I728" s="193">
        <f t="array" ref="I728">IF(NOT(ISERROR(MATCH(2,1/(('AllowedShip Class Time Charters'!$D$3:$D$16='Ship Time Charter Rates'!F728)*('AllowedShip Class Time Charters'!$E$3:$E$16='Ship Time Charter Rates'!G728))))),0,"Vessel class and Index Choosen don’t match!")</f>
        <v>0</v>
      </c>
      <c r="J728" s="36" t="s">
        <v>39</v>
      </c>
    </row>
    <row r="729" spans="4:10" ht="15.75">
      <c r="D729" s="37">
        <f t="shared" si="38"/>
        <v>708</v>
      </c>
      <c r="E729" s="39"/>
      <c r="F729" s="42"/>
      <c r="G729" s="42"/>
      <c r="H729" s="29"/>
      <c r="I729" s="193">
        <f t="array" ref="I729">IF(NOT(ISERROR(MATCH(2,1/(('AllowedShip Class Time Charters'!$D$3:$D$16='Ship Time Charter Rates'!F729)*('AllowedShip Class Time Charters'!$E$3:$E$16='Ship Time Charter Rates'!G729))))),0,"Vessel class and Index Choosen don’t match!")</f>
        <v>0</v>
      </c>
      <c r="J729" s="36" t="s">
        <v>39</v>
      </c>
    </row>
    <row r="730" spans="4:10" ht="15.75">
      <c r="D730" s="37">
        <f t="shared" si="38"/>
        <v>709</v>
      </c>
      <c r="E730" s="39"/>
      <c r="F730" s="42"/>
      <c r="G730" s="42"/>
      <c r="H730" s="29"/>
      <c r="I730" s="193">
        <f t="array" ref="I730">IF(NOT(ISERROR(MATCH(2,1/(('AllowedShip Class Time Charters'!$D$3:$D$16='Ship Time Charter Rates'!F730)*('AllowedShip Class Time Charters'!$E$3:$E$16='Ship Time Charter Rates'!G730))))),0,"Vessel class and Index Choosen don’t match!")</f>
        <v>0</v>
      </c>
      <c r="J730" s="36" t="s">
        <v>39</v>
      </c>
    </row>
    <row r="731" spans="4:10" ht="15.75">
      <c r="D731" s="37">
        <f t="shared" si="38"/>
        <v>710</v>
      </c>
      <c r="E731" s="39"/>
      <c r="F731" s="42"/>
      <c r="G731" s="42"/>
      <c r="H731" s="29"/>
      <c r="I731" s="193">
        <f t="array" ref="I731">IF(NOT(ISERROR(MATCH(2,1/(('AllowedShip Class Time Charters'!$D$3:$D$16='Ship Time Charter Rates'!F731)*('AllowedShip Class Time Charters'!$E$3:$E$16='Ship Time Charter Rates'!G731))))),0,"Vessel class and Index Choosen don’t match!")</f>
        <v>0</v>
      </c>
      <c r="J731" s="36" t="s">
        <v>39</v>
      </c>
    </row>
    <row r="732" spans="4:10" ht="15.75">
      <c r="D732" s="37">
        <f t="shared" si="38"/>
        <v>711</v>
      </c>
      <c r="E732" s="39"/>
      <c r="F732" s="42"/>
      <c r="G732" s="42"/>
      <c r="H732" s="29"/>
      <c r="I732" s="193">
        <f t="array" ref="I732">IF(NOT(ISERROR(MATCH(2,1/(('AllowedShip Class Time Charters'!$D$3:$D$16='Ship Time Charter Rates'!F732)*('AllowedShip Class Time Charters'!$E$3:$E$16='Ship Time Charter Rates'!G732))))),0,"Vessel class and Index Choosen don’t match!")</f>
        <v>0</v>
      </c>
      <c r="J732" s="36" t="s">
        <v>39</v>
      </c>
    </row>
    <row r="733" spans="4:10" ht="15.75">
      <c r="D733" s="37">
        <f t="shared" si="38"/>
        <v>712</v>
      </c>
      <c r="E733" s="39"/>
      <c r="F733" s="42"/>
      <c r="G733" s="42"/>
      <c r="H733" s="29"/>
      <c r="I733" s="193">
        <f t="array" ref="I733">IF(NOT(ISERROR(MATCH(2,1/(('AllowedShip Class Time Charters'!$D$3:$D$16='Ship Time Charter Rates'!F733)*('AllowedShip Class Time Charters'!$E$3:$E$16='Ship Time Charter Rates'!G733))))),0,"Vessel class and Index Choosen don’t match!")</f>
        <v>0</v>
      </c>
      <c r="J733" s="36" t="s">
        <v>39</v>
      </c>
    </row>
    <row r="734" spans="4:10" ht="15.75">
      <c r="D734" s="37">
        <f t="shared" si="38"/>
        <v>713</v>
      </c>
      <c r="E734" s="39"/>
      <c r="F734" s="42"/>
      <c r="G734" s="42"/>
      <c r="H734" s="29"/>
      <c r="I734" s="193">
        <f t="array" ref="I734">IF(NOT(ISERROR(MATCH(2,1/(('AllowedShip Class Time Charters'!$D$3:$D$16='Ship Time Charter Rates'!F734)*('AllowedShip Class Time Charters'!$E$3:$E$16='Ship Time Charter Rates'!G734))))),0,"Vessel class and Index Choosen don’t match!")</f>
        <v>0</v>
      </c>
      <c r="J734" s="36" t="s">
        <v>39</v>
      </c>
    </row>
    <row r="735" spans="4:10" ht="15.75">
      <c r="D735" s="37">
        <f t="shared" si="38"/>
        <v>714</v>
      </c>
      <c r="E735" s="39"/>
      <c r="F735" s="42"/>
      <c r="G735" s="42"/>
      <c r="H735" s="29"/>
      <c r="I735" s="193">
        <f t="array" ref="I735">IF(NOT(ISERROR(MATCH(2,1/(('AllowedShip Class Time Charters'!$D$3:$D$16='Ship Time Charter Rates'!F735)*('AllowedShip Class Time Charters'!$E$3:$E$16='Ship Time Charter Rates'!G735))))),0,"Vessel class and Index Choosen don’t match!")</f>
        <v>0</v>
      </c>
      <c r="J735" s="36" t="s">
        <v>39</v>
      </c>
    </row>
    <row r="736" spans="4:10" ht="15.75">
      <c r="D736" s="37">
        <f t="shared" si="38"/>
        <v>715</v>
      </c>
      <c r="E736" s="39"/>
      <c r="F736" s="42"/>
      <c r="G736" s="42"/>
      <c r="H736" s="29"/>
      <c r="I736" s="193">
        <f t="array" ref="I736">IF(NOT(ISERROR(MATCH(2,1/(('AllowedShip Class Time Charters'!$D$3:$D$16='Ship Time Charter Rates'!F736)*('AllowedShip Class Time Charters'!$E$3:$E$16='Ship Time Charter Rates'!G736))))),0,"Vessel class and Index Choosen don’t match!")</f>
        <v>0</v>
      </c>
      <c r="J736" s="36" t="s">
        <v>39</v>
      </c>
    </row>
    <row r="737" spans="4:10" ht="15.75">
      <c r="D737" s="37">
        <f t="shared" si="38"/>
        <v>716</v>
      </c>
      <c r="E737" s="39"/>
      <c r="F737" s="42"/>
      <c r="G737" s="42"/>
      <c r="H737" s="29"/>
      <c r="I737" s="193">
        <f t="array" ref="I737">IF(NOT(ISERROR(MATCH(2,1/(('AllowedShip Class Time Charters'!$D$3:$D$16='Ship Time Charter Rates'!F737)*('AllowedShip Class Time Charters'!$E$3:$E$16='Ship Time Charter Rates'!G737))))),0,"Vessel class and Index Choosen don’t match!")</f>
        <v>0</v>
      </c>
      <c r="J737" s="36" t="s">
        <v>39</v>
      </c>
    </row>
    <row r="738" spans="4:10" ht="15.75">
      <c r="D738" s="37">
        <f t="shared" si="38"/>
        <v>717</v>
      </c>
      <c r="E738" s="39"/>
      <c r="F738" s="42"/>
      <c r="G738" s="42"/>
      <c r="H738" s="29"/>
      <c r="I738" s="193">
        <f t="array" ref="I738">IF(NOT(ISERROR(MATCH(2,1/(('AllowedShip Class Time Charters'!$D$3:$D$16='Ship Time Charter Rates'!F738)*('AllowedShip Class Time Charters'!$E$3:$E$16='Ship Time Charter Rates'!G738))))),0,"Vessel class and Index Choosen don’t match!")</f>
        <v>0</v>
      </c>
      <c r="J738" s="36" t="s">
        <v>39</v>
      </c>
    </row>
    <row r="739" spans="4:10" ht="15.75">
      <c r="D739" s="37">
        <f t="shared" si="38"/>
        <v>718</v>
      </c>
      <c r="E739" s="39"/>
      <c r="F739" s="42"/>
      <c r="G739" s="42"/>
      <c r="H739" s="29"/>
      <c r="I739" s="193">
        <f t="array" ref="I739">IF(NOT(ISERROR(MATCH(2,1/(('AllowedShip Class Time Charters'!$D$3:$D$16='Ship Time Charter Rates'!F739)*('AllowedShip Class Time Charters'!$E$3:$E$16='Ship Time Charter Rates'!G739))))),0,"Vessel class and Index Choosen don’t match!")</f>
        <v>0</v>
      </c>
      <c r="J739" s="36" t="s">
        <v>39</v>
      </c>
    </row>
    <row r="740" spans="4:10" ht="15.75">
      <c r="D740" s="37">
        <f t="shared" si="38"/>
        <v>719</v>
      </c>
      <c r="E740" s="39"/>
      <c r="F740" s="42"/>
      <c r="G740" s="42"/>
      <c r="H740" s="29"/>
      <c r="I740" s="193">
        <f t="array" ref="I740">IF(NOT(ISERROR(MATCH(2,1/(('AllowedShip Class Time Charters'!$D$3:$D$16='Ship Time Charter Rates'!F740)*('AllowedShip Class Time Charters'!$E$3:$E$16='Ship Time Charter Rates'!G740))))),0,"Vessel class and Index Choosen don’t match!")</f>
        <v>0</v>
      </c>
      <c r="J740" s="36" t="s">
        <v>39</v>
      </c>
    </row>
    <row r="741" spans="4:10" ht="15.75">
      <c r="D741" s="37">
        <f t="shared" si="38"/>
        <v>720</v>
      </c>
      <c r="E741" s="39"/>
      <c r="F741" s="42"/>
      <c r="G741" s="42"/>
      <c r="H741" s="29"/>
      <c r="I741" s="193">
        <f t="array" ref="I741">IF(NOT(ISERROR(MATCH(2,1/(('AllowedShip Class Time Charters'!$D$3:$D$16='Ship Time Charter Rates'!F741)*('AllowedShip Class Time Charters'!$E$3:$E$16='Ship Time Charter Rates'!G741))))),0,"Vessel class and Index Choosen don’t match!")</f>
        <v>0</v>
      </c>
      <c r="J741" s="36" t="s">
        <v>39</v>
      </c>
    </row>
    <row r="742" spans="4:10" ht="15.75">
      <c r="D742" s="37">
        <f t="shared" si="38"/>
        <v>721</v>
      </c>
      <c r="E742" s="39"/>
      <c r="F742" s="42"/>
      <c r="G742" s="42"/>
      <c r="H742" s="29"/>
      <c r="I742" s="193">
        <f t="array" ref="I742">IF(NOT(ISERROR(MATCH(2,1/(('AllowedShip Class Time Charters'!$D$3:$D$16='Ship Time Charter Rates'!F742)*('AllowedShip Class Time Charters'!$E$3:$E$16='Ship Time Charter Rates'!G742))))),0,"Vessel class and Index Choosen don’t match!")</f>
        <v>0</v>
      </c>
      <c r="J742" s="36" t="s">
        <v>39</v>
      </c>
    </row>
    <row r="743" spans="4:10" ht="15.75">
      <c r="D743" s="37">
        <f t="shared" si="38"/>
        <v>722</v>
      </c>
      <c r="E743" s="39"/>
      <c r="F743" s="42"/>
      <c r="G743" s="42"/>
      <c r="H743" s="29"/>
      <c r="I743" s="193">
        <f t="array" ref="I743">IF(NOT(ISERROR(MATCH(2,1/(('AllowedShip Class Time Charters'!$D$3:$D$16='Ship Time Charter Rates'!F743)*('AllowedShip Class Time Charters'!$E$3:$E$16='Ship Time Charter Rates'!G743))))),0,"Vessel class and Index Choosen don’t match!")</f>
        <v>0</v>
      </c>
      <c r="J743" s="36" t="s">
        <v>39</v>
      </c>
    </row>
    <row r="744" spans="4:10" ht="15.75">
      <c r="D744" s="37">
        <f t="shared" si="38"/>
        <v>723</v>
      </c>
      <c r="E744" s="39"/>
      <c r="F744" s="42"/>
      <c r="G744" s="42"/>
      <c r="H744" s="29"/>
      <c r="I744" s="193">
        <f t="array" ref="I744">IF(NOT(ISERROR(MATCH(2,1/(('AllowedShip Class Time Charters'!$D$3:$D$16='Ship Time Charter Rates'!F744)*('AllowedShip Class Time Charters'!$E$3:$E$16='Ship Time Charter Rates'!G744))))),0,"Vessel class and Index Choosen don’t match!")</f>
        <v>0</v>
      </c>
      <c r="J744" s="36" t="s">
        <v>39</v>
      </c>
    </row>
    <row r="745" spans="4:10" ht="15.75">
      <c r="D745" s="37">
        <f t="shared" si="38"/>
        <v>724</v>
      </c>
      <c r="E745" s="39"/>
      <c r="F745" s="42"/>
      <c r="G745" s="42"/>
      <c r="H745" s="29"/>
      <c r="I745" s="193">
        <f t="array" ref="I745">IF(NOT(ISERROR(MATCH(2,1/(('AllowedShip Class Time Charters'!$D$3:$D$16='Ship Time Charter Rates'!F745)*('AllowedShip Class Time Charters'!$E$3:$E$16='Ship Time Charter Rates'!G745))))),0,"Vessel class and Index Choosen don’t match!")</f>
        <v>0</v>
      </c>
      <c r="J745" s="36" t="s">
        <v>39</v>
      </c>
    </row>
    <row r="746" spans="4:10" ht="15.75">
      <c r="D746" s="37">
        <f t="shared" si="38"/>
        <v>725</v>
      </c>
      <c r="E746" s="39"/>
      <c r="F746" s="42"/>
      <c r="G746" s="42"/>
      <c r="H746" s="29"/>
      <c r="I746" s="193">
        <f t="array" ref="I746">IF(NOT(ISERROR(MATCH(2,1/(('AllowedShip Class Time Charters'!$D$3:$D$16='Ship Time Charter Rates'!F746)*('AllowedShip Class Time Charters'!$E$3:$E$16='Ship Time Charter Rates'!G746))))),0,"Vessel class and Index Choosen don’t match!")</f>
        <v>0</v>
      </c>
      <c r="J746" s="36" t="s">
        <v>39</v>
      </c>
    </row>
    <row r="747" spans="4:10" ht="15.75">
      <c r="D747" s="37">
        <f t="shared" si="38"/>
        <v>726</v>
      </c>
      <c r="E747" s="39"/>
      <c r="F747" s="42"/>
      <c r="G747" s="42"/>
      <c r="H747" s="29"/>
      <c r="I747" s="193">
        <f t="array" ref="I747">IF(NOT(ISERROR(MATCH(2,1/(('AllowedShip Class Time Charters'!$D$3:$D$16='Ship Time Charter Rates'!F747)*('AllowedShip Class Time Charters'!$E$3:$E$16='Ship Time Charter Rates'!G747))))),0,"Vessel class and Index Choosen don’t match!")</f>
        <v>0</v>
      </c>
      <c r="J747" s="36" t="s">
        <v>39</v>
      </c>
    </row>
    <row r="748" spans="4:10" ht="15.75">
      <c r="D748" s="37">
        <f t="shared" si="38"/>
        <v>727</v>
      </c>
      <c r="E748" s="39"/>
      <c r="F748" s="42"/>
      <c r="G748" s="42"/>
      <c r="H748" s="29"/>
      <c r="I748" s="193">
        <f t="array" ref="I748">IF(NOT(ISERROR(MATCH(2,1/(('AllowedShip Class Time Charters'!$D$3:$D$16='Ship Time Charter Rates'!F748)*('AllowedShip Class Time Charters'!$E$3:$E$16='Ship Time Charter Rates'!G748))))),0,"Vessel class and Index Choosen don’t match!")</f>
        <v>0</v>
      </c>
      <c r="J748" s="36" t="s">
        <v>39</v>
      </c>
    </row>
    <row r="749" spans="4:10" ht="15.75">
      <c r="D749" s="37">
        <f t="shared" si="38"/>
        <v>728</v>
      </c>
      <c r="E749" s="39"/>
      <c r="F749" s="42"/>
      <c r="G749" s="42"/>
      <c r="H749" s="29"/>
      <c r="I749" s="193">
        <f t="array" ref="I749">IF(NOT(ISERROR(MATCH(2,1/(('AllowedShip Class Time Charters'!$D$3:$D$16='Ship Time Charter Rates'!F749)*('AllowedShip Class Time Charters'!$E$3:$E$16='Ship Time Charter Rates'!G749))))),0,"Vessel class and Index Choosen don’t match!")</f>
        <v>0</v>
      </c>
      <c r="J749" s="36" t="s">
        <v>39</v>
      </c>
    </row>
    <row r="750" spans="4:10" ht="15.75">
      <c r="D750" s="37">
        <f t="shared" si="38"/>
        <v>729</v>
      </c>
      <c r="E750" s="39"/>
      <c r="F750" s="42"/>
      <c r="G750" s="42"/>
      <c r="H750" s="29"/>
      <c r="I750" s="193">
        <f t="array" ref="I750">IF(NOT(ISERROR(MATCH(2,1/(('AllowedShip Class Time Charters'!$D$3:$D$16='Ship Time Charter Rates'!F750)*('AllowedShip Class Time Charters'!$E$3:$E$16='Ship Time Charter Rates'!G750))))),0,"Vessel class and Index Choosen don’t match!")</f>
        <v>0</v>
      </c>
      <c r="J750" s="36" t="s">
        <v>39</v>
      </c>
    </row>
    <row r="751" spans="4:10" ht="15.75">
      <c r="D751" s="37">
        <f t="shared" si="38"/>
        <v>730</v>
      </c>
      <c r="E751" s="39"/>
      <c r="F751" s="42"/>
      <c r="G751" s="42"/>
      <c r="H751" s="29"/>
      <c r="I751" s="193">
        <f t="array" ref="I751">IF(NOT(ISERROR(MATCH(2,1/(('AllowedShip Class Time Charters'!$D$3:$D$16='Ship Time Charter Rates'!F751)*('AllowedShip Class Time Charters'!$E$3:$E$16='Ship Time Charter Rates'!G751))))),0,"Vessel class and Index Choosen don’t match!")</f>
        <v>0</v>
      </c>
      <c r="J751" s="36" t="s">
        <v>39</v>
      </c>
    </row>
    <row r="752" spans="4:10" ht="15.75">
      <c r="D752" s="37">
        <f t="shared" si="38"/>
        <v>731</v>
      </c>
      <c r="E752" s="39"/>
      <c r="F752" s="42"/>
      <c r="G752" s="42"/>
      <c r="H752" s="29"/>
      <c r="I752" s="193">
        <f t="array" ref="I752">IF(NOT(ISERROR(MATCH(2,1/(('AllowedShip Class Time Charters'!$D$3:$D$16='Ship Time Charter Rates'!F752)*('AllowedShip Class Time Charters'!$E$3:$E$16='Ship Time Charter Rates'!G752))))),0,"Vessel class and Index Choosen don’t match!")</f>
        <v>0</v>
      </c>
      <c r="J752" s="36" t="s">
        <v>39</v>
      </c>
    </row>
    <row r="753" spans="4:10" ht="15.75">
      <c r="D753" s="37">
        <f t="shared" si="38"/>
        <v>732</v>
      </c>
      <c r="E753" s="39"/>
      <c r="F753" s="42"/>
      <c r="G753" s="42"/>
      <c r="H753" s="29"/>
      <c r="I753" s="193">
        <f t="array" ref="I753">IF(NOT(ISERROR(MATCH(2,1/(('AllowedShip Class Time Charters'!$D$3:$D$16='Ship Time Charter Rates'!F753)*('AllowedShip Class Time Charters'!$E$3:$E$16='Ship Time Charter Rates'!G753))))),0,"Vessel class and Index Choosen don’t match!")</f>
        <v>0</v>
      </c>
      <c r="J753" s="36" t="s">
        <v>39</v>
      </c>
    </row>
    <row r="754" spans="4:10" ht="15.75">
      <c r="D754" s="37">
        <f t="shared" si="38"/>
        <v>733</v>
      </c>
      <c r="E754" s="39"/>
      <c r="F754" s="42"/>
      <c r="G754" s="42"/>
      <c r="H754" s="29"/>
      <c r="I754" s="193">
        <f t="array" ref="I754">IF(NOT(ISERROR(MATCH(2,1/(('AllowedShip Class Time Charters'!$D$3:$D$16='Ship Time Charter Rates'!F754)*('AllowedShip Class Time Charters'!$E$3:$E$16='Ship Time Charter Rates'!G754))))),0,"Vessel class and Index Choosen don’t match!")</f>
        <v>0</v>
      </c>
      <c r="J754" s="36" t="s">
        <v>39</v>
      </c>
    </row>
    <row r="755" spans="4:10" ht="15.75">
      <c r="D755" s="37">
        <f t="shared" si="38"/>
        <v>734</v>
      </c>
      <c r="E755" s="39"/>
      <c r="F755" s="42"/>
      <c r="G755" s="42"/>
      <c r="H755" s="29"/>
      <c r="I755" s="193">
        <f t="array" ref="I755">IF(NOT(ISERROR(MATCH(2,1/(('AllowedShip Class Time Charters'!$D$3:$D$16='Ship Time Charter Rates'!F755)*('AllowedShip Class Time Charters'!$E$3:$E$16='Ship Time Charter Rates'!G755))))),0,"Vessel class and Index Choosen don’t match!")</f>
        <v>0</v>
      </c>
      <c r="J755" s="36" t="s">
        <v>39</v>
      </c>
    </row>
    <row r="756" spans="4:10" ht="15.75">
      <c r="D756" s="37">
        <f t="shared" si="38"/>
        <v>735</v>
      </c>
      <c r="E756" s="39"/>
      <c r="F756" s="42"/>
      <c r="G756" s="42"/>
      <c r="H756" s="29"/>
      <c r="I756" s="193">
        <f t="array" ref="I756">IF(NOT(ISERROR(MATCH(2,1/(('AllowedShip Class Time Charters'!$D$3:$D$16='Ship Time Charter Rates'!F756)*('AllowedShip Class Time Charters'!$E$3:$E$16='Ship Time Charter Rates'!G756))))),0,"Vessel class and Index Choosen don’t match!")</f>
        <v>0</v>
      </c>
      <c r="J756" s="36" t="s">
        <v>39</v>
      </c>
    </row>
    <row r="757" spans="4:10" ht="15.75">
      <c r="D757" s="37">
        <f t="shared" si="38"/>
        <v>736</v>
      </c>
      <c r="E757" s="39"/>
      <c r="F757" s="42"/>
      <c r="G757" s="42"/>
      <c r="H757" s="29"/>
      <c r="I757" s="193">
        <f t="array" ref="I757">IF(NOT(ISERROR(MATCH(2,1/(('AllowedShip Class Time Charters'!$D$3:$D$16='Ship Time Charter Rates'!F757)*('AllowedShip Class Time Charters'!$E$3:$E$16='Ship Time Charter Rates'!G757))))),0,"Vessel class and Index Choosen don’t match!")</f>
        <v>0</v>
      </c>
      <c r="J757" s="36" t="s">
        <v>39</v>
      </c>
    </row>
    <row r="758" spans="4:10" ht="15.75">
      <c r="D758" s="37">
        <f t="shared" si="38"/>
        <v>737</v>
      </c>
      <c r="E758" s="39"/>
      <c r="F758" s="42"/>
      <c r="G758" s="42"/>
      <c r="H758" s="29"/>
      <c r="I758" s="193">
        <f t="array" ref="I758">IF(NOT(ISERROR(MATCH(2,1/(('AllowedShip Class Time Charters'!$D$3:$D$16='Ship Time Charter Rates'!F758)*('AllowedShip Class Time Charters'!$E$3:$E$16='Ship Time Charter Rates'!G758))))),0,"Vessel class and Index Choosen don’t match!")</f>
        <v>0</v>
      </c>
      <c r="J758" s="36" t="s">
        <v>39</v>
      </c>
    </row>
    <row r="759" spans="4:10" ht="15.75">
      <c r="D759" s="37">
        <f t="shared" si="38"/>
        <v>738</v>
      </c>
      <c r="E759" s="39"/>
      <c r="F759" s="42"/>
      <c r="G759" s="42"/>
      <c r="H759" s="29"/>
      <c r="I759" s="193">
        <f t="array" ref="I759">IF(NOT(ISERROR(MATCH(2,1/(('AllowedShip Class Time Charters'!$D$3:$D$16='Ship Time Charter Rates'!F759)*('AllowedShip Class Time Charters'!$E$3:$E$16='Ship Time Charter Rates'!G759))))),0,"Vessel class and Index Choosen don’t match!")</f>
        <v>0</v>
      </c>
      <c r="J759" s="36" t="s">
        <v>39</v>
      </c>
    </row>
    <row r="760" spans="4:10" ht="15.75">
      <c r="D760" s="37">
        <f t="shared" si="38"/>
        <v>739</v>
      </c>
      <c r="E760" s="39"/>
      <c r="F760" s="42"/>
      <c r="G760" s="42"/>
      <c r="H760" s="29"/>
      <c r="I760" s="193">
        <f t="array" ref="I760">IF(NOT(ISERROR(MATCH(2,1/(('AllowedShip Class Time Charters'!$D$3:$D$16='Ship Time Charter Rates'!F760)*('AllowedShip Class Time Charters'!$E$3:$E$16='Ship Time Charter Rates'!G760))))),0,"Vessel class and Index Choosen don’t match!")</f>
        <v>0</v>
      </c>
      <c r="J760" s="36" t="s">
        <v>39</v>
      </c>
    </row>
    <row r="761" spans="4:10" ht="15.75">
      <c r="D761" s="37">
        <f t="shared" si="38"/>
        <v>740</v>
      </c>
      <c r="E761" s="39"/>
      <c r="F761" s="42"/>
      <c r="G761" s="42"/>
      <c r="H761" s="29"/>
      <c r="I761" s="193">
        <f t="array" ref="I761">IF(NOT(ISERROR(MATCH(2,1/(('AllowedShip Class Time Charters'!$D$3:$D$16='Ship Time Charter Rates'!F761)*('AllowedShip Class Time Charters'!$E$3:$E$16='Ship Time Charter Rates'!G761))))),0,"Vessel class and Index Choosen don’t match!")</f>
        <v>0</v>
      </c>
      <c r="J761" s="36" t="s">
        <v>39</v>
      </c>
    </row>
    <row r="762" spans="4:10" ht="15.75">
      <c r="D762" s="37">
        <f t="shared" si="38"/>
        <v>741</v>
      </c>
      <c r="E762" s="39"/>
      <c r="F762" s="42"/>
      <c r="G762" s="42"/>
      <c r="H762" s="29"/>
      <c r="I762" s="193">
        <f t="array" ref="I762">IF(NOT(ISERROR(MATCH(2,1/(('AllowedShip Class Time Charters'!$D$3:$D$16='Ship Time Charter Rates'!F762)*('AllowedShip Class Time Charters'!$E$3:$E$16='Ship Time Charter Rates'!G762))))),0,"Vessel class and Index Choosen don’t match!")</f>
        <v>0</v>
      </c>
      <c r="J762" s="36" t="s">
        <v>39</v>
      </c>
    </row>
    <row r="763" spans="4:10" ht="15.75">
      <c r="D763" s="37">
        <f t="shared" si="38"/>
        <v>742</v>
      </c>
      <c r="E763" s="39"/>
      <c r="F763" s="42"/>
      <c r="G763" s="42"/>
      <c r="H763" s="29"/>
      <c r="I763" s="193">
        <f t="array" ref="I763">IF(NOT(ISERROR(MATCH(2,1/(('AllowedShip Class Time Charters'!$D$3:$D$16='Ship Time Charter Rates'!F763)*('AllowedShip Class Time Charters'!$E$3:$E$16='Ship Time Charter Rates'!G763))))),0,"Vessel class and Index Choosen don’t match!")</f>
        <v>0</v>
      </c>
      <c r="J763" s="36" t="s">
        <v>39</v>
      </c>
    </row>
    <row r="764" spans="4:10" ht="15.75">
      <c r="D764" s="37">
        <f t="shared" si="38"/>
        <v>743</v>
      </c>
      <c r="E764" s="39"/>
      <c r="F764" s="42"/>
      <c r="G764" s="42"/>
      <c r="H764" s="29"/>
      <c r="I764" s="193">
        <f t="array" ref="I764">IF(NOT(ISERROR(MATCH(2,1/(('AllowedShip Class Time Charters'!$D$3:$D$16='Ship Time Charter Rates'!F764)*('AllowedShip Class Time Charters'!$E$3:$E$16='Ship Time Charter Rates'!G764))))),0,"Vessel class and Index Choosen don’t match!")</f>
        <v>0</v>
      </c>
      <c r="J764" s="36" t="s">
        <v>39</v>
      </c>
    </row>
    <row r="765" spans="4:10" ht="15.75">
      <c r="D765" s="37">
        <f t="shared" si="38"/>
        <v>744</v>
      </c>
      <c r="E765" s="39"/>
      <c r="F765" s="42"/>
      <c r="G765" s="42"/>
      <c r="H765" s="29"/>
      <c r="I765" s="193">
        <f t="array" ref="I765">IF(NOT(ISERROR(MATCH(2,1/(('AllowedShip Class Time Charters'!$D$3:$D$16='Ship Time Charter Rates'!F765)*('AllowedShip Class Time Charters'!$E$3:$E$16='Ship Time Charter Rates'!G765))))),0,"Vessel class and Index Choosen don’t match!")</f>
        <v>0</v>
      </c>
      <c r="J765" s="36" t="s">
        <v>39</v>
      </c>
    </row>
    <row r="766" spans="4:10" ht="15.75">
      <c r="D766" s="37">
        <f t="shared" si="38"/>
        <v>745</v>
      </c>
      <c r="E766" s="39"/>
      <c r="F766" s="42"/>
      <c r="G766" s="42"/>
      <c r="H766" s="29"/>
      <c r="I766" s="193">
        <f t="array" ref="I766">IF(NOT(ISERROR(MATCH(2,1/(('AllowedShip Class Time Charters'!$D$3:$D$16='Ship Time Charter Rates'!F766)*('AllowedShip Class Time Charters'!$E$3:$E$16='Ship Time Charter Rates'!G766))))),0,"Vessel class and Index Choosen don’t match!")</f>
        <v>0</v>
      </c>
      <c r="J766" s="36" t="s">
        <v>39</v>
      </c>
    </row>
    <row r="767" spans="4:10" ht="15.75">
      <c r="D767" s="37">
        <f t="shared" si="38"/>
        <v>746</v>
      </c>
      <c r="E767" s="39"/>
      <c r="F767" s="42"/>
      <c r="G767" s="42"/>
      <c r="H767" s="29"/>
      <c r="I767" s="193">
        <f t="array" ref="I767">IF(NOT(ISERROR(MATCH(2,1/(('AllowedShip Class Time Charters'!$D$3:$D$16='Ship Time Charter Rates'!F767)*('AllowedShip Class Time Charters'!$E$3:$E$16='Ship Time Charter Rates'!G767))))),0,"Vessel class and Index Choosen don’t match!")</f>
        <v>0</v>
      </c>
      <c r="J767" s="36" t="s">
        <v>39</v>
      </c>
    </row>
    <row r="768" spans="4:10" ht="15.75">
      <c r="D768" s="37">
        <f t="shared" si="38"/>
        <v>747</v>
      </c>
      <c r="E768" s="39"/>
      <c r="F768" s="42"/>
      <c r="G768" s="42"/>
      <c r="H768" s="29"/>
      <c r="I768" s="193">
        <f t="array" ref="I768">IF(NOT(ISERROR(MATCH(2,1/(('AllowedShip Class Time Charters'!$D$3:$D$16='Ship Time Charter Rates'!F768)*('AllowedShip Class Time Charters'!$E$3:$E$16='Ship Time Charter Rates'!G768))))),0,"Vessel class and Index Choosen don’t match!")</f>
        <v>0</v>
      </c>
      <c r="J768" s="36" t="s">
        <v>39</v>
      </c>
    </row>
    <row r="769" spans="4:10" ht="15.75">
      <c r="D769" s="37">
        <f t="shared" ref="D769:D832" si="39">D768+1</f>
        <v>748</v>
      </c>
      <c r="E769" s="39"/>
      <c r="F769" s="42"/>
      <c r="G769" s="42"/>
      <c r="H769" s="29"/>
      <c r="I769" s="193">
        <f t="array" ref="I769">IF(NOT(ISERROR(MATCH(2,1/(('AllowedShip Class Time Charters'!$D$3:$D$16='Ship Time Charter Rates'!F769)*('AllowedShip Class Time Charters'!$E$3:$E$16='Ship Time Charter Rates'!G769))))),0,"Vessel class and Index Choosen don’t match!")</f>
        <v>0</v>
      </c>
      <c r="J769" s="36" t="s">
        <v>39</v>
      </c>
    </row>
    <row r="770" spans="4:10" ht="15.75">
      <c r="D770" s="37">
        <f t="shared" si="39"/>
        <v>749</v>
      </c>
      <c r="E770" s="39"/>
      <c r="F770" s="42"/>
      <c r="G770" s="42"/>
      <c r="H770" s="29"/>
      <c r="I770" s="193">
        <f t="array" ref="I770">IF(NOT(ISERROR(MATCH(2,1/(('AllowedShip Class Time Charters'!$D$3:$D$16='Ship Time Charter Rates'!F770)*('AllowedShip Class Time Charters'!$E$3:$E$16='Ship Time Charter Rates'!G770))))),0,"Vessel class and Index Choosen don’t match!")</f>
        <v>0</v>
      </c>
      <c r="J770" s="36" t="s">
        <v>39</v>
      </c>
    </row>
    <row r="771" spans="4:10" ht="15.75">
      <c r="D771" s="37">
        <f t="shared" si="39"/>
        <v>750</v>
      </c>
      <c r="E771" s="39"/>
      <c r="F771" s="42"/>
      <c r="G771" s="42"/>
      <c r="H771" s="29"/>
      <c r="I771" s="193">
        <f t="array" ref="I771">IF(NOT(ISERROR(MATCH(2,1/(('AllowedShip Class Time Charters'!$D$3:$D$16='Ship Time Charter Rates'!F771)*('AllowedShip Class Time Charters'!$E$3:$E$16='Ship Time Charter Rates'!G771))))),0,"Vessel class and Index Choosen don’t match!")</f>
        <v>0</v>
      </c>
      <c r="J771" s="36" t="s">
        <v>39</v>
      </c>
    </row>
    <row r="772" spans="4:10" ht="15.75">
      <c r="D772" s="37">
        <f t="shared" si="39"/>
        <v>751</v>
      </c>
      <c r="E772" s="39"/>
      <c r="F772" s="42"/>
      <c r="G772" s="42"/>
      <c r="H772" s="29"/>
      <c r="I772" s="193">
        <f t="array" ref="I772">IF(NOT(ISERROR(MATCH(2,1/(('AllowedShip Class Time Charters'!$D$3:$D$16='Ship Time Charter Rates'!F772)*('AllowedShip Class Time Charters'!$E$3:$E$16='Ship Time Charter Rates'!G772))))),0,"Vessel class and Index Choosen don’t match!")</f>
        <v>0</v>
      </c>
      <c r="J772" s="36" t="s">
        <v>39</v>
      </c>
    </row>
    <row r="773" spans="4:10" ht="15.75">
      <c r="D773" s="37">
        <f t="shared" si="39"/>
        <v>752</v>
      </c>
      <c r="E773" s="39"/>
      <c r="F773" s="42"/>
      <c r="G773" s="42"/>
      <c r="H773" s="29"/>
      <c r="I773" s="193">
        <f t="array" ref="I773">IF(NOT(ISERROR(MATCH(2,1/(('AllowedShip Class Time Charters'!$D$3:$D$16='Ship Time Charter Rates'!F773)*('AllowedShip Class Time Charters'!$E$3:$E$16='Ship Time Charter Rates'!G773))))),0,"Vessel class and Index Choosen don’t match!")</f>
        <v>0</v>
      </c>
      <c r="J773" s="36" t="s">
        <v>39</v>
      </c>
    </row>
    <row r="774" spans="4:10" ht="15.75">
      <c r="D774" s="37">
        <f t="shared" si="39"/>
        <v>753</v>
      </c>
      <c r="E774" s="39"/>
      <c r="F774" s="42"/>
      <c r="G774" s="42"/>
      <c r="H774" s="29"/>
      <c r="I774" s="193">
        <f t="array" ref="I774">IF(NOT(ISERROR(MATCH(2,1/(('AllowedShip Class Time Charters'!$D$3:$D$16='Ship Time Charter Rates'!F774)*('AllowedShip Class Time Charters'!$E$3:$E$16='Ship Time Charter Rates'!G774))))),0,"Vessel class and Index Choosen don’t match!")</f>
        <v>0</v>
      </c>
      <c r="J774" s="36" t="s">
        <v>39</v>
      </c>
    </row>
    <row r="775" spans="4:10" ht="15.75">
      <c r="D775" s="37">
        <f t="shared" si="39"/>
        <v>754</v>
      </c>
      <c r="E775" s="39"/>
      <c r="F775" s="42"/>
      <c r="G775" s="42"/>
      <c r="H775" s="29"/>
      <c r="I775" s="193">
        <f t="array" ref="I775">IF(NOT(ISERROR(MATCH(2,1/(('AllowedShip Class Time Charters'!$D$3:$D$16='Ship Time Charter Rates'!F775)*('AllowedShip Class Time Charters'!$E$3:$E$16='Ship Time Charter Rates'!G775))))),0,"Vessel class and Index Choosen don’t match!")</f>
        <v>0</v>
      </c>
      <c r="J775" s="36" t="s">
        <v>39</v>
      </c>
    </row>
    <row r="776" spans="4:10" ht="15.75">
      <c r="D776" s="37">
        <f t="shared" si="39"/>
        <v>755</v>
      </c>
      <c r="E776" s="39"/>
      <c r="F776" s="42"/>
      <c r="G776" s="42"/>
      <c r="H776" s="29"/>
      <c r="I776" s="193">
        <f t="array" ref="I776">IF(NOT(ISERROR(MATCH(2,1/(('AllowedShip Class Time Charters'!$D$3:$D$16='Ship Time Charter Rates'!F776)*('AllowedShip Class Time Charters'!$E$3:$E$16='Ship Time Charter Rates'!G776))))),0,"Vessel class and Index Choosen don’t match!")</f>
        <v>0</v>
      </c>
      <c r="J776" s="36" t="s">
        <v>39</v>
      </c>
    </row>
    <row r="777" spans="4:10" ht="15.75">
      <c r="D777" s="37">
        <f t="shared" si="39"/>
        <v>756</v>
      </c>
      <c r="E777" s="39"/>
      <c r="F777" s="42"/>
      <c r="G777" s="42"/>
      <c r="H777" s="29"/>
      <c r="I777" s="193">
        <f t="array" ref="I777">IF(NOT(ISERROR(MATCH(2,1/(('AllowedShip Class Time Charters'!$D$3:$D$16='Ship Time Charter Rates'!F777)*('AllowedShip Class Time Charters'!$E$3:$E$16='Ship Time Charter Rates'!G777))))),0,"Vessel class and Index Choosen don’t match!")</f>
        <v>0</v>
      </c>
      <c r="J777" s="36" t="s">
        <v>39</v>
      </c>
    </row>
    <row r="778" spans="4:10" ht="15.75">
      <c r="D778" s="37">
        <f t="shared" si="39"/>
        <v>757</v>
      </c>
      <c r="E778" s="39"/>
      <c r="F778" s="42"/>
      <c r="G778" s="42"/>
      <c r="H778" s="29"/>
      <c r="I778" s="193">
        <f t="array" ref="I778">IF(NOT(ISERROR(MATCH(2,1/(('AllowedShip Class Time Charters'!$D$3:$D$16='Ship Time Charter Rates'!F778)*('AllowedShip Class Time Charters'!$E$3:$E$16='Ship Time Charter Rates'!G778))))),0,"Vessel class and Index Choosen don’t match!")</f>
        <v>0</v>
      </c>
      <c r="J778" s="36" t="s">
        <v>39</v>
      </c>
    </row>
    <row r="779" spans="4:10" ht="15.75">
      <c r="D779" s="37">
        <f t="shared" si="39"/>
        <v>758</v>
      </c>
      <c r="E779" s="39"/>
      <c r="F779" s="42"/>
      <c r="G779" s="42"/>
      <c r="H779" s="29"/>
      <c r="I779" s="193">
        <f t="array" ref="I779">IF(NOT(ISERROR(MATCH(2,1/(('AllowedShip Class Time Charters'!$D$3:$D$16='Ship Time Charter Rates'!F779)*('AllowedShip Class Time Charters'!$E$3:$E$16='Ship Time Charter Rates'!G779))))),0,"Vessel class and Index Choosen don’t match!")</f>
        <v>0</v>
      </c>
      <c r="J779" s="36" t="s">
        <v>39</v>
      </c>
    </row>
    <row r="780" spans="4:10" ht="15.75">
      <c r="D780" s="37">
        <f t="shared" si="39"/>
        <v>759</v>
      </c>
      <c r="E780" s="39"/>
      <c r="F780" s="42"/>
      <c r="G780" s="42"/>
      <c r="H780" s="29"/>
      <c r="I780" s="193">
        <f t="array" ref="I780">IF(NOT(ISERROR(MATCH(2,1/(('AllowedShip Class Time Charters'!$D$3:$D$16='Ship Time Charter Rates'!F780)*('AllowedShip Class Time Charters'!$E$3:$E$16='Ship Time Charter Rates'!G780))))),0,"Vessel class and Index Choosen don’t match!")</f>
        <v>0</v>
      </c>
      <c r="J780" s="36" t="s">
        <v>39</v>
      </c>
    </row>
    <row r="781" spans="4:10" ht="15.75">
      <c r="D781" s="37">
        <f t="shared" si="39"/>
        <v>760</v>
      </c>
      <c r="E781" s="39"/>
      <c r="F781" s="42"/>
      <c r="G781" s="42"/>
      <c r="H781" s="29"/>
      <c r="I781" s="193">
        <f t="array" ref="I781">IF(NOT(ISERROR(MATCH(2,1/(('AllowedShip Class Time Charters'!$D$3:$D$16='Ship Time Charter Rates'!F781)*('AllowedShip Class Time Charters'!$E$3:$E$16='Ship Time Charter Rates'!G781))))),0,"Vessel class and Index Choosen don’t match!")</f>
        <v>0</v>
      </c>
      <c r="J781" s="36" t="s">
        <v>39</v>
      </c>
    </row>
    <row r="782" spans="4:10" ht="15.75">
      <c r="D782" s="37">
        <f t="shared" si="39"/>
        <v>761</v>
      </c>
      <c r="E782" s="39"/>
      <c r="F782" s="42"/>
      <c r="G782" s="42"/>
      <c r="H782" s="29"/>
      <c r="I782" s="193">
        <f t="array" ref="I782">IF(NOT(ISERROR(MATCH(2,1/(('AllowedShip Class Time Charters'!$D$3:$D$16='Ship Time Charter Rates'!F782)*('AllowedShip Class Time Charters'!$E$3:$E$16='Ship Time Charter Rates'!G782))))),0,"Vessel class and Index Choosen don’t match!")</f>
        <v>0</v>
      </c>
      <c r="J782" s="36" t="s">
        <v>39</v>
      </c>
    </row>
    <row r="783" spans="4:10" ht="15.75">
      <c r="D783" s="37">
        <f t="shared" si="39"/>
        <v>762</v>
      </c>
      <c r="E783" s="39"/>
      <c r="F783" s="42"/>
      <c r="G783" s="42"/>
      <c r="H783" s="29"/>
      <c r="I783" s="193">
        <f t="array" ref="I783">IF(NOT(ISERROR(MATCH(2,1/(('AllowedShip Class Time Charters'!$D$3:$D$16='Ship Time Charter Rates'!F783)*('AllowedShip Class Time Charters'!$E$3:$E$16='Ship Time Charter Rates'!G783))))),0,"Vessel class and Index Choosen don’t match!")</f>
        <v>0</v>
      </c>
      <c r="J783" s="36" t="s">
        <v>39</v>
      </c>
    </row>
    <row r="784" spans="4:10" ht="15.75">
      <c r="D784" s="37">
        <f t="shared" si="39"/>
        <v>763</v>
      </c>
      <c r="E784" s="39"/>
      <c r="F784" s="42"/>
      <c r="G784" s="42"/>
      <c r="H784" s="29"/>
      <c r="I784" s="193">
        <f t="array" ref="I784">IF(NOT(ISERROR(MATCH(2,1/(('AllowedShip Class Time Charters'!$D$3:$D$16='Ship Time Charter Rates'!F784)*('AllowedShip Class Time Charters'!$E$3:$E$16='Ship Time Charter Rates'!G784))))),0,"Vessel class and Index Choosen don’t match!")</f>
        <v>0</v>
      </c>
      <c r="J784" s="36" t="s">
        <v>39</v>
      </c>
    </row>
    <row r="785" spans="4:10" ht="15.75">
      <c r="D785" s="37">
        <f t="shared" si="39"/>
        <v>764</v>
      </c>
      <c r="E785" s="39"/>
      <c r="F785" s="42"/>
      <c r="G785" s="42"/>
      <c r="H785" s="29"/>
      <c r="I785" s="193">
        <f t="array" ref="I785">IF(NOT(ISERROR(MATCH(2,1/(('AllowedShip Class Time Charters'!$D$3:$D$16='Ship Time Charter Rates'!F785)*('AllowedShip Class Time Charters'!$E$3:$E$16='Ship Time Charter Rates'!G785))))),0,"Vessel class and Index Choosen don’t match!")</f>
        <v>0</v>
      </c>
      <c r="J785" s="36" t="s">
        <v>39</v>
      </c>
    </row>
    <row r="786" spans="4:10" ht="15.75">
      <c r="D786" s="37">
        <f t="shared" si="39"/>
        <v>765</v>
      </c>
      <c r="E786" s="39"/>
      <c r="F786" s="42"/>
      <c r="G786" s="42"/>
      <c r="H786" s="29"/>
      <c r="I786" s="193">
        <f t="array" ref="I786">IF(NOT(ISERROR(MATCH(2,1/(('AllowedShip Class Time Charters'!$D$3:$D$16='Ship Time Charter Rates'!F786)*('AllowedShip Class Time Charters'!$E$3:$E$16='Ship Time Charter Rates'!G786))))),0,"Vessel class and Index Choosen don’t match!")</f>
        <v>0</v>
      </c>
      <c r="J786" s="36" t="s">
        <v>39</v>
      </c>
    </row>
    <row r="787" spans="4:10" ht="15.75">
      <c r="D787" s="37">
        <f t="shared" si="39"/>
        <v>766</v>
      </c>
      <c r="E787" s="39"/>
      <c r="F787" s="42"/>
      <c r="G787" s="42"/>
      <c r="H787" s="29"/>
      <c r="I787" s="193">
        <f t="array" ref="I787">IF(NOT(ISERROR(MATCH(2,1/(('AllowedShip Class Time Charters'!$D$3:$D$16='Ship Time Charter Rates'!F787)*('AllowedShip Class Time Charters'!$E$3:$E$16='Ship Time Charter Rates'!G787))))),0,"Vessel class and Index Choosen don’t match!")</f>
        <v>0</v>
      </c>
      <c r="J787" s="36" t="s">
        <v>39</v>
      </c>
    </row>
    <row r="788" spans="4:10" ht="15.75">
      <c r="D788" s="37">
        <f t="shared" si="39"/>
        <v>767</v>
      </c>
      <c r="E788" s="39"/>
      <c r="F788" s="42"/>
      <c r="G788" s="42"/>
      <c r="H788" s="29"/>
      <c r="I788" s="193">
        <f t="array" ref="I788">IF(NOT(ISERROR(MATCH(2,1/(('AllowedShip Class Time Charters'!$D$3:$D$16='Ship Time Charter Rates'!F788)*('AllowedShip Class Time Charters'!$E$3:$E$16='Ship Time Charter Rates'!G788))))),0,"Vessel class and Index Choosen don’t match!")</f>
        <v>0</v>
      </c>
      <c r="J788" s="36" t="s">
        <v>39</v>
      </c>
    </row>
    <row r="789" spans="4:10" ht="15.75">
      <c r="D789" s="37">
        <f t="shared" si="39"/>
        <v>768</v>
      </c>
      <c r="E789" s="39"/>
      <c r="F789" s="42"/>
      <c r="G789" s="42"/>
      <c r="H789" s="29"/>
      <c r="I789" s="193">
        <f t="array" ref="I789">IF(NOT(ISERROR(MATCH(2,1/(('AllowedShip Class Time Charters'!$D$3:$D$16='Ship Time Charter Rates'!F789)*('AllowedShip Class Time Charters'!$E$3:$E$16='Ship Time Charter Rates'!G789))))),0,"Vessel class and Index Choosen don’t match!")</f>
        <v>0</v>
      </c>
      <c r="J789" s="36" t="s">
        <v>39</v>
      </c>
    </row>
    <row r="790" spans="4:10" ht="15.75">
      <c r="D790" s="37">
        <f t="shared" si="39"/>
        <v>769</v>
      </c>
      <c r="E790" s="39"/>
      <c r="F790" s="42"/>
      <c r="G790" s="42"/>
      <c r="H790" s="29"/>
      <c r="I790" s="193">
        <f t="array" ref="I790">IF(NOT(ISERROR(MATCH(2,1/(('AllowedShip Class Time Charters'!$D$3:$D$16='Ship Time Charter Rates'!F790)*('AllowedShip Class Time Charters'!$E$3:$E$16='Ship Time Charter Rates'!G790))))),0,"Vessel class and Index Choosen don’t match!")</f>
        <v>0</v>
      </c>
      <c r="J790" s="36" t="s">
        <v>39</v>
      </c>
    </row>
    <row r="791" spans="4:10" ht="15.75">
      <c r="D791" s="37">
        <f t="shared" si="39"/>
        <v>770</v>
      </c>
      <c r="E791" s="39"/>
      <c r="F791" s="42"/>
      <c r="G791" s="42"/>
      <c r="H791" s="29"/>
      <c r="I791" s="193">
        <f t="array" ref="I791">IF(NOT(ISERROR(MATCH(2,1/(('AllowedShip Class Time Charters'!$D$3:$D$16='Ship Time Charter Rates'!F791)*('AllowedShip Class Time Charters'!$E$3:$E$16='Ship Time Charter Rates'!G791))))),0,"Vessel class and Index Choosen don’t match!")</f>
        <v>0</v>
      </c>
      <c r="J791" s="36" t="s">
        <v>39</v>
      </c>
    </row>
    <row r="792" spans="4:10" ht="15.75">
      <c r="D792" s="37">
        <f t="shared" si="39"/>
        <v>771</v>
      </c>
      <c r="E792" s="39"/>
      <c r="F792" s="42"/>
      <c r="G792" s="42"/>
      <c r="H792" s="29"/>
      <c r="I792" s="193">
        <f t="array" ref="I792">IF(NOT(ISERROR(MATCH(2,1/(('AllowedShip Class Time Charters'!$D$3:$D$16='Ship Time Charter Rates'!F792)*('AllowedShip Class Time Charters'!$E$3:$E$16='Ship Time Charter Rates'!G792))))),0,"Vessel class and Index Choosen don’t match!")</f>
        <v>0</v>
      </c>
      <c r="J792" s="36" t="s">
        <v>39</v>
      </c>
    </row>
    <row r="793" spans="4:10" ht="15.75">
      <c r="D793" s="37">
        <f t="shared" si="39"/>
        <v>772</v>
      </c>
      <c r="E793" s="39"/>
      <c r="F793" s="42"/>
      <c r="G793" s="42"/>
      <c r="H793" s="29"/>
      <c r="I793" s="193">
        <f t="array" ref="I793">IF(NOT(ISERROR(MATCH(2,1/(('AllowedShip Class Time Charters'!$D$3:$D$16='Ship Time Charter Rates'!F793)*('AllowedShip Class Time Charters'!$E$3:$E$16='Ship Time Charter Rates'!G793))))),0,"Vessel class and Index Choosen don’t match!")</f>
        <v>0</v>
      </c>
      <c r="J793" s="36" t="s">
        <v>39</v>
      </c>
    </row>
    <row r="794" spans="4:10" ht="15.75">
      <c r="D794" s="37">
        <f t="shared" si="39"/>
        <v>773</v>
      </c>
      <c r="E794" s="39"/>
      <c r="F794" s="42"/>
      <c r="G794" s="42"/>
      <c r="H794" s="29"/>
      <c r="I794" s="193">
        <f t="array" ref="I794">IF(NOT(ISERROR(MATCH(2,1/(('AllowedShip Class Time Charters'!$D$3:$D$16='Ship Time Charter Rates'!F794)*('AllowedShip Class Time Charters'!$E$3:$E$16='Ship Time Charter Rates'!G794))))),0,"Vessel class and Index Choosen don’t match!")</f>
        <v>0</v>
      </c>
      <c r="J794" s="36" t="s">
        <v>39</v>
      </c>
    </row>
    <row r="795" spans="4:10" ht="15.75">
      <c r="D795" s="37">
        <f t="shared" si="39"/>
        <v>774</v>
      </c>
      <c r="E795" s="39"/>
      <c r="F795" s="42"/>
      <c r="G795" s="42"/>
      <c r="H795" s="29"/>
      <c r="I795" s="193">
        <f t="array" ref="I795">IF(NOT(ISERROR(MATCH(2,1/(('AllowedShip Class Time Charters'!$D$3:$D$16='Ship Time Charter Rates'!F795)*('AllowedShip Class Time Charters'!$E$3:$E$16='Ship Time Charter Rates'!G795))))),0,"Vessel class and Index Choosen don’t match!")</f>
        <v>0</v>
      </c>
      <c r="J795" s="36" t="s">
        <v>39</v>
      </c>
    </row>
    <row r="796" spans="4:10" ht="15.75">
      <c r="D796" s="37">
        <f t="shared" si="39"/>
        <v>775</v>
      </c>
      <c r="E796" s="39"/>
      <c r="F796" s="42"/>
      <c r="G796" s="42"/>
      <c r="H796" s="29"/>
      <c r="I796" s="193">
        <f t="array" ref="I796">IF(NOT(ISERROR(MATCH(2,1/(('AllowedShip Class Time Charters'!$D$3:$D$16='Ship Time Charter Rates'!F796)*('AllowedShip Class Time Charters'!$E$3:$E$16='Ship Time Charter Rates'!G796))))),0,"Vessel class and Index Choosen don’t match!")</f>
        <v>0</v>
      </c>
      <c r="J796" s="36" t="s">
        <v>39</v>
      </c>
    </row>
    <row r="797" spans="4:10" ht="15.75">
      <c r="D797" s="37">
        <f t="shared" si="39"/>
        <v>776</v>
      </c>
      <c r="E797" s="39"/>
      <c r="F797" s="42"/>
      <c r="G797" s="42"/>
      <c r="H797" s="29"/>
      <c r="I797" s="193">
        <f t="array" ref="I797">IF(NOT(ISERROR(MATCH(2,1/(('AllowedShip Class Time Charters'!$D$3:$D$16='Ship Time Charter Rates'!F797)*('AllowedShip Class Time Charters'!$E$3:$E$16='Ship Time Charter Rates'!G797))))),0,"Vessel class and Index Choosen don’t match!")</f>
        <v>0</v>
      </c>
      <c r="J797" s="36" t="s">
        <v>39</v>
      </c>
    </row>
    <row r="798" spans="4:10" ht="15.75">
      <c r="D798" s="37">
        <f t="shared" si="39"/>
        <v>777</v>
      </c>
      <c r="E798" s="39"/>
      <c r="F798" s="42"/>
      <c r="G798" s="42"/>
      <c r="H798" s="29"/>
      <c r="I798" s="193">
        <f t="array" ref="I798">IF(NOT(ISERROR(MATCH(2,1/(('AllowedShip Class Time Charters'!$D$3:$D$16='Ship Time Charter Rates'!F798)*('AllowedShip Class Time Charters'!$E$3:$E$16='Ship Time Charter Rates'!G798))))),0,"Vessel class and Index Choosen don’t match!")</f>
        <v>0</v>
      </c>
      <c r="J798" s="36" t="s">
        <v>39</v>
      </c>
    </row>
    <row r="799" spans="4:10" ht="15.75">
      <c r="D799" s="37">
        <f t="shared" si="39"/>
        <v>778</v>
      </c>
      <c r="E799" s="39"/>
      <c r="F799" s="42"/>
      <c r="G799" s="42"/>
      <c r="H799" s="29"/>
      <c r="I799" s="193">
        <f t="array" ref="I799">IF(NOT(ISERROR(MATCH(2,1/(('AllowedShip Class Time Charters'!$D$3:$D$16='Ship Time Charter Rates'!F799)*('AllowedShip Class Time Charters'!$E$3:$E$16='Ship Time Charter Rates'!G799))))),0,"Vessel class and Index Choosen don’t match!")</f>
        <v>0</v>
      </c>
      <c r="J799" s="36" t="s">
        <v>39</v>
      </c>
    </row>
    <row r="800" spans="4:10" ht="15.75">
      <c r="D800" s="37">
        <f t="shared" si="39"/>
        <v>779</v>
      </c>
      <c r="E800" s="39"/>
      <c r="F800" s="42"/>
      <c r="G800" s="42"/>
      <c r="H800" s="29"/>
      <c r="I800" s="193">
        <f t="array" ref="I800">IF(NOT(ISERROR(MATCH(2,1/(('AllowedShip Class Time Charters'!$D$3:$D$16='Ship Time Charter Rates'!F800)*('AllowedShip Class Time Charters'!$E$3:$E$16='Ship Time Charter Rates'!G800))))),0,"Vessel class and Index Choosen don’t match!")</f>
        <v>0</v>
      </c>
      <c r="J800" s="36" t="s">
        <v>39</v>
      </c>
    </row>
    <row r="801" spans="4:10" ht="15.75">
      <c r="D801" s="37">
        <f t="shared" si="39"/>
        <v>780</v>
      </c>
      <c r="E801" s="39"/>
      <c r="F801" s="42"/>
      <c r="G801" s="42"/>
      <c r="H801" s="29"/>
      <c r="I801" s="193">
        <f t="array" ref="I801">IF(NOT(ISERROR(MATCH(2,1/(('AllowedShip Class Time Charters'!$D$3:$D$16='Ship Time Charter Rates'!F801)*('AllowedShip Class Time Charters'!$E$3:$E$16='Ship Time Charter Rates'!G801))))),0,"Vessel class and Index Choosen don’t match!")</f>
        <v>0</v>
      </c>
      <c r="J801" s="36" t="s">
        <v>39</v>
      </c>
    </row>
    <row r="802" spans="4:10" ht="15.75">
      <c r="D802" s="37">
        <f t="shared" si="39"/>
        <v>781</v>
      </c>
      <c r="E802" s="39"/>
      <c r="F802" s="42"/>
      <c r="G802" s="42"/>
      <c r="H802" s="29"/>
      <c r="I802" s="193">
        <f t="array" ref="I802">IF(NOT(ISERROR(MATCH(2,1/(('AllowedShip Class Time Charters'!$D$3:$D$16='Ship Time Charter Rates'!F802)*('AllowedShip Class Time Charters'!$E$3:$E$16='Ship Time Charter Rates'!G802))))),0,"Vessel class and Index Choosen don’t match!")</f>
        <v>0</v>
      </c>
      <c r="J802" s="36" t="s">
        <v>39</v>
      </c>
    </row>
    <row r="803" spans="4:10" ht="15.75">
      <c r="D803" s="37">
        <f t="shared" si="39"/>
        <v>782</v>
      </c>
      <c r="E803" s="39"/>
      <c r="F803" s="42"/>
      <c r="G803" s="42"/>
      <c r="H803" s="29"/>
      <c r="I803" s="193">
        <f t="array" ref="I803">IF(NOT(ISERROR(MATCH(2,1/(('AllowedShip Class Time Charters'!$D$3:$D$16='Ship Time Charter Rates'!F803)*('AllowedShip Class Time Charters'!$E$3:$E$16='Ship Time Charter Rates'!G803))))),0,"Vessel class and Index Choosen don’t match!")</f>
        <v>0</v>
      </c>
      <c r="J803" s="36" t="s">
        <v>39</v>
      </c>
    </row>
    <row r="804" spans="4:10" ht="15.75">
      <c r="D804" s="37">
        <f t="shared" si="39"/>
        <v>783</v>
      </c>
      <c r="E804" s="39"/>
      <c r="F804" s="42"/>
      <c r="G804" s="42"/>
      <c r="H804" s="29"/>
      <c r="I804" s="193">
        <f t="array" ref="I804">IF(NOT(ISERROR(MATCH(2,1/(('AllowedShip Class Time Charters'!$D$3:$D$16='Ship Time Charter Rates'!F804)*('AllowedShip Class Time Charters'!$E$3:$E$16='Ship Time Charter Rates'!G804))))),0,"Vessel class and Index Choosen don’t match!")</f>
        <v>0</v>
      </c>
      <c r="J804" s="36" t="s">
        <v>39</v>
      </c>
    </row>
    <row r="805" spans="4:10" ht="15.75">
      <c r="D805" s="37">
        <f t="shared" si="39"/>
        <v>784</v>
      </c>
      <c r="E805" s="39"/>
      <c r="F805" s="42"/>
      <c r="G805" s="42"/>
      <c r="H805" s="29"/>
      <c r="I805" s="193">
        <f t="array" ref="I805">IF(NOT(ISERROR(MATCH(2,1/(('AllowedShip Class Time Charters'!$D$3:$D$16='Ship Time Charter Rates'!F805)*('AllowedShip Class Time Charters'!$E$3:$E$16='Ship Time Charter Rates'!G805))))),0,"Vessel class and Index Choosen don’t match!")</f>
        <v>0</v>
      </c>
      <c r="J805" s="36" t="s">
        <v>39</v>
      </c>
    </row>
    <row r="806" spans="4:10" ht="15.75">
      <c r="D806" s="37">
        <f t="shared" si="39"/>
        <v>785</v>
      </c>
      <c r="E806" s="39"/>
      <c r="F806" s="42"/>
      <c r="G806" s="42"/>
      <c r="H806" s="29"/>
      <c r="I806" s="193">
        <f t="array" ref="I806">IF(NOT(ISERROR(MATCH(2,1/(('AllowedShip Class Time Charters'!$D$3:$D$16='Ship Time Charter Rates'!F806)*('AllowedShip Class Time Charters'!$E$3:$E$16='Ship Time Charter Rates'!G806))))),0,"Vessel class and Index Choosen don’t match!")</f>
        <v>0</v>
      </c>
      <c r="J806" s="36" t="s">
        <v>39</v>
      </c>
    </row>
    <row r="807" spans="4:10" ht="15.75">
      <c r="D807" s="37">
        <f t="shared" si="39"/>
        <v>786</v>
      </c>
      <c r="E807" s="39"/>
      <c r="F807" s="42"/>
      <c r="G807" s="42"/>
      <c r="H807" s="29"/>
      <c r="I807" s="193">
        <f t="array" ref="I807">IF(NOT(ISERROR(MATCH(2,1/(('AllowedShip Class Time Charters'!$D$3:$D$16='Ship Time Charter Rates'!F807)*('AllowedShip Class Time Charters'!$E$3:$E$16='Ship Time Charter Rates'!G807))))),0,"Vessel class and Index Choosen don’t match!")</f>
        <v>0</v>
      </c>
      <c r="J807" s="36" t="s">
        <v>39</v>
      </c>
    </row>
    <row r="808" spans="4:10" ht="15.75">
      <c r="D808" s="37">
        <f t="shared" si="39"/>
        <v>787</v>
      </c>
      <c r="E808" s="39"/>
      <c r="F808" s="42"/>
      <c r="G808" s="42"/>
      <c r="H808" s="29"/>
      <c r="I808" s="193">
        <f t="array" ref="I808">IF(NOT(ISERROR(MATCH(2,1/(('AllowedShip Class Time Charters'!$D$3:$D$16='Ship Time Charter Rates'!F808)*('AllowedShip Class Time Charters'!$E$3:$E$16='Ship Time Charter Rates'!G808))))),0,"Vessel class and Index Choosen don’t match!")</f>
        <v>0</v>
      </c>
      <c r="J808" s="36" t="s">
        <v>39</v>
      </c>
    </row>
    <row r="809" spans="4:10" ht="15.75">
      <c r="D809" s="37">
        <f t="shared" si="39"/>
        <v>788</v>
      </c>
      <c r="E809" s="39"/>
      <c r="F809" s="42"/>
      <c r="G809" s="42"/>
      <c r="H809" s="29"/>
      <c r="I809" s="193">
        <f t="array" ref="I809">IF(NOT(ISERROR(MATCH(2,1/(('AllowedShip Class Time Charters'!$D$3:$D$16='Ship Time Charter Rates'!F809)*('AllowedShip Class Time Charters'!$E$3:$E$16='Ship Time Charter Rates'!G809))))),0,"Vessel class and Index Choosen don’t match!")</f>
        <v>0</v>
      </c>
      <c r="J809" s="36" t="s">
        <v>39</v>
      </c>
    </row>
    <row r="810" spans="4:10" ht="15.75">
      <c r="D810" s="37">
        <f t="shared" si="39"/>
        <v>789</v>
      </c>
      <c r="E810" s="39"/>
      <c r="F810" s="42"/>
      <c r="G810" s="42"/>
      <c r="H810" s="29"/>
      <c r="I810" s="193">
        <f t="array" ref="I810">IF(NOT(ISERROR(MATCH(2,1/(('AllowedShip Class Time Charters'!$D$3:$D$16='Ship Time Charter Rates'!F810)*('AllowedShip Class Time Charters'!$E$3:$E$16='Ship Time Charter Rates'!G810))))),0,"Vessel class and Index Choosen don’t match!")</f>
        <v>0</v>
      </c>
      <c r="J810" s="36" t="s">
        <v>39</v>
      </c>
    </row>
    <row r="811" spans="4:10" ht="15.75">
      <c r="D811" s="37">
        <f t="shared" si="39"/>
        <v>790</v>
      </c>
      <c r="E811" s="39"/>
      <c r="F811" s="42"/>
      <c r="G811" s="42"/>
      <c r="H811" s="29"/>
      <c r="I811" s="193">
        <f t="array" ref="I811">IF(NOT(ISERROR(MATCH(2,1/(('AllowedShip Class Time Charters'!$D$3:$D$16='Ship Time Charter Rates'!F811)*('AllowedShip Class Time Charters'!$E$3:$E$16='Ship Time Charter Rates'!G811))))),0,"Vessel class and Index Choosen don’t match!")</f>
        <v>0</v>
      </c>
      <c r="J811" s="36" t="s">
        <v>39</v>
      </c>
    </row>
    <row r="812" spans="4:10" ht="15.75">
      <c r="D812" s="37">
        <f t="shared" si="39"/>
        <v>791</v>
      </c>
      <c r="E812" s="39"/>
      <c r="F812" s="42"/>
      <c r="G812" s="42"/>
      <c r="H812" s="29"/>
      <c r="I812" s="193">
        <f t="array" ref="I812">IF(NOT(ISERROR(MATCH(2,1/(('AllowedShip Class Time Charters'!$D$3:$D$16='Ship Time Charter Rates'!F812)*('AllowedShip Class Time Charters'!$E$3:$E$16='Ship Time Charter Rates'!G812))))),0,"Vessel class and Index Choosen don’t match!")</f>
        <v>0</v>
      </c>
      <c r="J812" s="36" t="s">
        <v>39</v>
      </c>
    </row>
    <row r="813" spans="4:10" ht="15.75">
      <c r="D813" s="37">
        <f t="shared" si="39"/>
        <v>792</v>
      </c>
      <c r="E813" s="39"/>
      <c r="F813" s="42"/>
      <c r="G813" s="42"/>
      <c r="H813" s="29"/>
      <c r="I813" s="193">
        <f t="array" ref="I813">IF(NOT(ISERROR(MATCH(2,1/(('AllowedShip Class Time Charters'!$D$3:$D$16='Ship Time Charter Rates'!F813)*('AllowedShip Class Time Charters'!$E$3:$E$16='Ship Time Charter Rates'!G813))))),0,"Vessel class and Index Choosen don’t match!")</f>
        <v>0</v>
      </c>
      <c r="J813" s="36" t="s">
        <v>39</v>
      </c>
    </row>
    <row r="814" spans="4:10" ht="15.75">
      <c r="D814" s="37">
        <f t="shared" si="39"/>
        <v>793</v>
      </c>
      <c r="E814" s="39"/>
      <c r="F814" s="42"/>
      <c r="G814" s="42"/>
      <c r="H814" s="29"/>
      <c r="I814" s="193">
        <f t="array" ref="I814">IF(NOT(ISERROR(MATCH(2,1/(('AllowedShip Class Time Charters'!$D$3:$D$16='Ship Time Charter Rates'!F814)*('AllowedShip Class Time Charters'!$E$3:$E$16='Ship Time Charter Rates'!G814))))),0,"Vessel class and Index Choosen don’t match!")</f>
        <v>0</v>
      </c>
      <c r="J814" s="36" t="s">
        <v>39</v>
      </c>
    </row>
    <row r="815" spans="4:10" ht="15.75">
      <c r="D815" s="37">
        <f t="shared" si="39"/>
        <v>794</v>
      </c>
      <c r="E815" s="39"/>
      <c r="F815" s="42"/>
      <c r="G815" s="42"/>
      <c r="H815" s="29"/>
      <c r="I815" s="193">
        <f t="array" ref="I815">IF(NOT(ISERROR(MATCH(2,1/(('AllowedShip Class Time Charters'!$D$3:$D$16='Ship Time Charter Rates'!F815)*('AllowedShip Class Time Charters'!$E$3:$E$16='Ship Time Charter Rates'!G815))))),0,"Vessel class and Index Choosen don’t match!")</f>
        <v>0</v>
      </c>
      <c r="J815" s="36" t="s">
        <v>39</v>
      </c>
    </row>
    <row r="816" spans="4:10" ht="15.75">
      <c r="D816" s="37">
        <f t="shared" si="39"/>
        <v>795</v>
      </c>
      <c r="E816" s="39"/>
      <c r="F816" s="42"/>
      <c r="G816" s="42"/>
      <c r="H816" s="29"/>
      <c r="I816" s="193">
        <f t="array" ref="I816">IF(NOT(ISERROR(MATCH(2,1/(('AllowedShip Class Time Charters'!$D$3:$D$16='Ship Time Charter Rates'!F816)*('AllowedShip Class Time Charters'!$E$3:$E$16='Ship Time Charter Rates'!G816))))),0,"Vessel class and Index Choosen don’t match!")</f>
        <v>0</v>
      </c>
      <c r="J816" s="36" t="s">
        <v>39</v>
      </c>
    </row>
    <row r="817" spans="4:10" ht="15.75">
      <c r="D817" s="37">
        <f t="shared" si="39"/>
        <v>796</v>
      </c>
      <c r="E817" s="39"/>
      <c r="F817" s="42"/>
      <c r="G817" s="42"/>
      <c r="H817" s="29"/>
      <c r="I817" s="193">
        <f t="array" ref="I817">IF(NOT(ISERROR(MATCH(2,1/(('AllowedShip Class Time Charters'!$D$3:$D$16='Ship Time Charter Rates'!F817)*('AllowedShip Class Time Charters'!$E$3:$E$16='Ship Time Charter Rates'!G817))))),0,"Vessel class and Index Choosen don’t match!")</f>
        <v>0</v>
      </c>
      <c r="J817" s="36" t="s">
        <v>39</v>
      </c>
    </row>
    <row r="818" spans="4:10" ht="15.75">
      <c r="D818" s="37">
        <f t="shared" si="39"/>
        <v>797</v>
      </c>
      <c r="E818" s="39"/>
      <c r="F818" s="42"/>
      <c r="G818" s="42"/>
      <c r="H818" s="29"/>
      <c r="I818" s="193">
        <f t="array" ref="I818">IF(NOT(ISERROR(MATCH(2,1/(('AllowedShip Class Time Charters'!$D$3:$D$16='Ship Time Charter Rates'!F818)*('AllowedShip Class Time Charters'!$E$3:$E$16='Ship Time Charter Rates'!G818))))),0,"Vessel class and Index Choosen don’t match!")</f>
        <v>0</v>
      </c>
      <c r="J818" s="36" t="s">
        <v>39</v>
      </c>
    </row>
    <row r="819" spans="4:10" ht="15.75">
      <c r="D819" s="37">
        <f t="shared" si="39"/>
        <v>798</v>
      </c>
      <c r="E819" s="39"/>
      <c r="F819" s="42"/>
      <c r="G819" s="42"/>
      <c r="H819" s="29"/>
      <c r="I819" s="193">
        <f t="array" ref="I819">IF(NOT(ISERROR(MATCH(2,1/(('AllowedShip Class Time Charters'!$D$3:$D$16='Ship Time Charter Rates'!F819)*('AllowedShip Class Time Charters'!$E$3:$E$16='Ship Time Charter Rates'!G819))))),0,"Vessel class and Index Choosen don’t match!")</f>
        <v>0</v>
      </c>
      <c r="J819" s="36" t="s">
        <v>39</v>
      </c>
    </row>
    <row r="820" spans="4:10" ht="15.75">
      <c r="D820" s="37">
        <f t="shared" si="39"/>
        <v>799</v>
      </c>
      <c r="E820" s="39"/>
      <c r="F820" s="42"/>
      <c r="G820" s="42"/>
      <c r="H820" s="29"/>
      <c r="I820" s="193">
        <f t="array" ref="I820">IF(NOT(ISERROR(MATCH(2,1/(('AllowedShip Class Time Charters'!$D$3:$D$16='Ship Time Charter Rates'!F820)*('AllowedShip Class Time Charters'!$E$3:$E$16='Ship Time Charter Rates'!G820))))),0,"Vessel class and Index Choosen don’t match!")</f>
        <v>0</v>
      </c>
      <c r="J820" s="36" t="s">
        <v>39</v>
      </c>
    </row>
    <row r="821" spans="4:10" ht="15.75">
      <c r="D821" s="37">
        <f t="shared" si="39"/>
        <v>800</v>
      </c>
      <c r="E821" s="39"/>
      <c r="F821" s="42"/>
      <c r="G821" s="42"/>
      <c r="H821" s="29"/>
      <c r="I821" s="193">
        <f t="array" ref="I821">IF(NOT(ISERROR(MATCH(2,1/(('AllowedShip Class Time Charters'!$D$3:$D$16='Ship Time Charter Rates'!F821)*('AllowedShip Class Time Charters'!$E$3:$E$16='Ship Time Charter Rates'!G821))))),0,"Vessel class and Index Choosen don’t match!")</f>
        <v>0</v>
      </c>
      <c r="J821" s="36" t="s">
        <v>39</v>
      </c>
    </row>
    <row r="822" spans="4:10" ht="15.75">
      <c r="D822" s="37">
        <f t="shared" si="39"/>
        <v>801</v>
      </c>
      <c r="E822" s="39"/>
      <c r="F822" s="42"/>
      <c r="G822" s="42"/>
      <c r="H822" s="29"/>
      <c r="I822" s="193">
        <f t="array" ref="I822">IF(NOT(ISERROR(MATCH(2,1/(('AllowedShip Class Time Charters'!$D$3:$D$16='Ship Time Charter Rates'!F822)*('AllowedShip Class Time Charters'!$E$3:$E$16='Ship Time Charter Rates'!G822))))),0,"Vessel class and Index Choosen don’t match!")</f>
        <v>0</v>
      </c>
      <c r="J822" s="36" t="s">
        <v>39</v>
      </c>
    </row>
    <row r="823" spans="4:10" ht="15.75">
      <c r="D823" s="37">
        <f t="shared" si="39"/>
        <v>802</v>
      </c>
      <c r="E823" s="39"/>
      <c r="F823" s="42"/>
      <c r="G823" s="42"/>
      <c r="H823" s="29"/>
      <c r="I823" s="193">
        <f t="array" ref="I823">IF(NOT(ISERROR(MATCH(2,1/(('AllowedShip Class Time Charters'!$D$3:$D$16='Ship Time Charter Rates'!F823)*('AllowedShip Class Time Charters'!$E$3:$E$16='Ship Time Charter Rates'!G823))))),0,"Vessel class and Index Choosen don’t match!")</f>
        <v>0</v>
      </c>
      <c r="J823" s="36" t="s">
        <v>39</v>
      </c>
    </row>
    <row r="824" spans="4:10" ht="15.75">
      <c r="D824" s="37">
        <f t="shared" si="39"/>
        <v>803</v>
      </c>
      <c r="E824" s="39"/>
      <c r="F824" s="42"/>
      <c r="G824" s="42"/>
      <c r="H824" s="29"/>
      <c r="I824" s="193">
        <f t="array" ref="I824">IF(NOT(ISERROR(MATCH(2,1/(('AllowedShip Class Time Charters'!$D$3:$D$16='Ship Time Charter Rates'!F824)*('AllowedShip Class Time Charters'!$E$3:$E$16='Ship Time Charter Rates'!G824))))),0,"Vessel class and Index Choosen don’t match!")</f>
        <v>0</v>
      </c>
      <c r="J824" s="36" t="s">
        <v>39</v>
      </c>
    </row>
    <row r="825" spans="4:10" ht="15.75">
      <c r="D825" s="37">
        <f t="shared" si="39"/>
        <v>804</v>
      </c>
      <c r="E825" s="39"/>
      <c r="F825" s="42"/>
      <c r="G825" s="42"/>
      <c r="H825" s="29"/>
      <c r="I825" s="193">
        <f t="array" ref="I825">IF(NOT(ISERROR(MATCH(2,1/(('AllowedShip Class Time Charters'!$D$3:$D$16='Ship Time Charter Rates'!F825)*('AllowedShip Class Time Charters'!$E$3:$E$16='Ship Time Charter Rates'!G825))))),0,"Vessel class and Index Choosen don’t match!")</f>
        <v>0</v>
      </c>
      <c r="J825" s="36" t="s">
        <v>39</v>
      </c>
    </row>
    <row r="826" spans="4:10" ht="15.75">
      <c r="D826" s="37">
        <f t="shared" si="39"/>
        <v>805</v>
      </c>
      <c r="E826" s="39"/>
      <c r="F826" s="42"/>
      <c r="G826" s="42"/>
      <c r="H826" s="29"/>
      <c r="I826" s="193">
        <f t="array" ref="I826">IF(NOT(ISERROR(MATCH(2,1/(('AllowedShip Class Time Charters'!$D$3:$D$16='Ship Time Charter Rates'!F826)*('AllowedShip Class Time Charters'!$E$3:$E$16='Ship Time Charter Rates'!G826))))),0,"Vessel class and Index Choosen don’t match!")</f>
        <v>0</v>
      </c>
      <c r="J826" s="36" t="s">
        <v>39</v>
      </c>
    </row>
    <row r="827" spans="4:10" ht="15.75">
      <c r="D827" s="37">
        <f t="shared" si="39"/>
        <v>806</v>
      </c>
      <c r="E827" s="39"/>
      <c r="F827" s="42"/>
      <c r="G827" s="42"/>
      <c r="H827" s="29"/>
      <c r="I827" s="193">
        <f t="array" ref="I827">IF(NOT(ISERROR(MATCH(2,1/(('AllowedShip Class Time Charters'!$D$3:$D$16='Ship Time Charter Rates'!F827)*('AllowedShip Class Time Charters'!$E$3:$E$16='Ship Time Charter Rates'!G827))))),0,"Vessel class and Index Choosen don’t match!")</f>
        <v>0</v>
      </c>
      <c r="J827" s="36" t="s">
        <v>39</v>
      </c>
    </row>
    <row r="828" spans="4:10" ht="15.75">
      <c r="D828" s="37">
        <f t="shared" si="39"/>
        <v>807</v>
      </c>
      <c r="E828" s="39"/>
      <c r="F828" s="42"/>
      <c r="G828" s="42"/>
      <c r="H828" s="29"/>
      <c r="I828" s="193">
        <f t="array" ref="I828">IF(NOT(ISERROR(MATCH(2,1/(('AllowedShip Class Time Charters'!$D$3:$D$16='Ship Time Charter Rates'!F828)*('AllowedShip Class Time Charters'!$E$3:$E$16='Ship Time Charter Rates'!G828))))),0,"Vessel class and Index Choosen don’t match!")</f>
        <v>0</v>
      </c>
      <c r="J828" s="36" t="s">
        <v>39</v>
      </c>
    </row>
    <row r="829" spans="4:10" ht="15.75">
      <c r="D829" s="37">
        <f t="shared" si="39"/>
        <v>808</v>
      </c>
      <c r="E829" s="39"/>
      <c r="F829" s="42"/>
      <c r="G829" s="42"/>
      <c r="H829" s="29"/>
      <c r="I829" s="193">
        <f t="array" ref="I829">IF(NOT(ISERROR(MATCH(2,1/(('AllowedShip Class Time Charters'!$D$3:$D$16='Ship Time Charter Rates'!F829)*('AllowedShip Class Time Charters'!$E$3:$E$16='Ship Time Charter Rates'!G829))))),0,"Vessel class and Index Choosen don’t match!")</f>
        <v>0</v>
      </c>
      <c r="J829" s="36" t="s">
        <v>39</v>
      </c>
    </row>
    <row r="830" spans="4:10" ht="15.75">
      <c r="D830" s="37">
        <f t="shared" si="39"/>
        <v>809</v>
      </c>
      <c r="E830" s="39"/>
      <c r="F830" s="42"/>
      <c r="G830" s="42"/>
      <c r="H830" s="29"/>
      <c r="I830" s="193">
        <f t="array" ref="I830">IF(NOT(ISERROR(MATCH(2,1/(('AllowedShip Class Time Charters'!$D$3:$D$16='Ship Time Charter Rates'!F830)*('AllowedShip Class Time Charters'!$E$3:$E$16='Ship Time Charter Rates'!G830))))),0,"Vessel class and Index Choosen don’t match!")</f>
        <v>0</v>
      </c>
      <c r="J830" s="36" t="s">
        <v>39</v>
      </c>
    </row>
    <row r="831" spans="4:10" ht="15.75">
      <c r="D831" s="37">
        <f t="shared" si="39"/>
        <v>810</v>
      </c>
      <c r="E831" s="39"/>
      <c r="F831" s="42"/>
      <c r="G831" s="42"/>
      <c r="H831" s="29"/>
      <c r="I831" s="193">
        <f t="array" ref="I831">IF(NOT(ISERROR(MATCH(2,1/(('AllowedShip Class Time Charters'!$D$3:$D$16='Ship Time Charter Rates'!F831)*('AllowedShip Class Time Charters'!$E$3:$E$16='Ship Time Charter Rates'!G831))))),0,"Vessel class and Index Choosen don’t match!")</f>
        <v>0</v>
      </c>
      <c r="J831" s="36" t="s">
        <v>39</v>
      </c>
    </row>
    <row r="832" spans="4:10" ht="15.75">
      <c r="D832" s="37">
        <f t="shared" si="39"/>
        <v>811</v>
      </c>
      <c r="E832" s="39"/>
      <c r="F832" s="42"/>
      <c r="G832" s="42"/>
      <c r="H832" s="29"/>
      <c r="I832" s="193">
        <f t="array" ref="I832">IF(NOT(ISERROR(MATCH(2,1/(('AllowedShip Class Time Charters'!$D$3:$D$16='Ship Time Charter Rates'!F832)*('AllowedShip Class Time Charters'!$E$3:$E$16='Ship Time Charter Rates'!G832))))),0,"Vessel class and Index Choosen don’t match!")</f>
        <v>0</v>
      </c>
      <c r="J832" s="36" t="s">
        <v>39</v>
      </c>
    </row>
    <row r="833" spans="4:10" ht="15.75">
      <c r="D833" s="37">
        <f t="shared" ref="D833:D896" si="40">D832+1</f>
        <v>812</v>
      </c>
      <c r="E833" s="39"/>
      <c r="F833" s="42"/>
      <c r="G833" s="42"/>
      <c r="H833" s="29"/>
      <c r="I833" s="193">
        <f t="array" ref="I833">IF(NOT(ISERROR(MATCH(2,1/(('AllowedShip Class Time Charters'!$D$3:$D$16='Ship Time Charter Rates'!F833)*('AllowedShip Class Time Charters'!$E$3:$E$16='Ship Time Charter Rates'!G833))))),0,"Vessel class and Index Choosen don’t match!")</f>
        <v>0</v>
      </c>
      <c r="J833" s="36" t="s">
        <v>39</v>
      </c>
    </row>
    <row r="834" spans="4:10" ht="15.75">
      <c r="D834" s="37">
        <f t="shared" si="40"/>
        <v>813</v>
      </c>
      <c r="E834" s="39"/>
      <c r="F834" s="42"/>
      <c r="G834" s="42"/>
      <c r="H834" s="29"/>
      <c r="I834" s="193">
        <f t="array" ref="I834">IF(NOT(ISERROR(MATCH(2,1/(('AllowedShip Class Time Charters'!$D$3:$D$16='Ship Time Charter Rates'!F834)*('AllowedShip Class Time Charters'!$E$3:$E$16='Ship Time Charter Rates'!G834))))),0,"Vessel class and Index Choosen don’t match!")</f>
        <v>0</v>
      </c>
      <c r="J834" s="36" t="s">
        <v>39</v>
      </c>
    </row>
    <row r="835" spans="4:10" ht="15.75">
      <c r="D835" s="37">
        <f t="shared" si="40"/>
        <v>814</v>
      </c>
      <c r="E835" s="39"/>
      <c r="F835" s="42"/>
      <c r="G835" s="42"/>
      <c r="H835" s="29"/>
      <c r="I835" s="193">
        <f t="array" ref="I835">IF(NOT(ISERROR(MATCH(2,1/(('AllowedShip Class Time Charters'!$D$3:$D$16='Ship Time Charter Rates'!F835)*('AllowedShip Class Time Charters'!$E$3:$E$16='Ship Time Charter Rates'!G835))))),0,"Vessel class and Index Choosen don’t match!")</f>
        <v>0</v>
      </c>
      <c r="J835" s="36" t="s">
        <v>39</v>
      </c>
    </row>
    <row r="836" spans="4:10" ht="15.75">
      <c r="D836" s="37">
        <f t="shared" si="40"/>
        <v>815</v>
      </c>
      <c r="E836" s="39"/>
      <c r="F836" s="42"/>
      <c r="G836" s="42"/>
      <c r="H836" s="29"/>
      <c r="I836" s="193">
        <f t="array" ref="I836">IF(NOT(ISERROR(MATCH(2,1/(('AllowedShip Class Time Charters'!$D$3:$D$16='Ship Time Charter Rates'!F836)*('AllowedShip Class Time Charters'!$E$3:$E$16='Ship Time Charter Rates'!G836))))),0,"Vessel class and Index Choosen don’t match!")</f>
        <v>0</v>
      </c>
      <c r="J836" s="36" t="s">
        <v>39</v>
      </c>
    </row>
    <row r="837" spans="4:10" ht="15.75">
      <c r="D837" s="37">
        <f t="shared" si="40"/>
        <v>816</v>
      </c>
      <c r="E837" s="39"/>
      <c r="F837" s="42"/>
      <c r="G837" s="42"/>
      <c r="H837" s="29"/>
      <c r="I837" s="193">
        <f t="array" ref="I837">IF(NOT(ISERROR(MATCH(2,1/(('AllowedShip Class Time Charters'!$D$3:$D$16='Ship Time Charter Rates'!F837)*('AllowedShip Class Time Charters'!$E$3:$E$16='Ship Time Charter Rates'!G837))))),0,"Vessel class and Index Choosen don’t match!")</f>
        <v>0</v>
      </c>
      <c r="J837" s="36" t="s">
        <v>39</v>
      </c>
    </row>
    <row r="838" spans="4:10" ht="15.75">
      <c r="D838" s="37">
        <f t="shared" si="40"/>
        <v>817</v>
      </c>
      <c r="E838" s="39"/>
      <c r="F838" s="42"/>
      <c r="G838" s="42"/>
      <c r="H838" s="29"/>
      <c r="I838" s="193">
        <f t="array" ref="I838">IF(NOT(ISERROR(MATCH(2,1/(('AllowedShip Class Time Charters'!$D$3:$D$16='Ship Time Charter Rates'!F838)*('AllowedShip Class Time Charters'!$E$3:$E$16='Ship Time Charter Rates'!G838))))),0,"Vessel class and Index Choosen don’t match!")</f>
        <v>0</v>
      </c>
      <c r="J838" s="36" t="s">
        <v>39</v>
      </c>
    </row>
    <row r="839" spans="4:10" ht="15.75">
      <c r="D839" s="37">
        <f t="shared" si="40"/>
        <v>818</v>
      </c>
      <c r="E839" s="39"/>
      <c r="F839" s="42"/>
      <c r="G839" s="42"/>
      <c r="H839" s="29"/>
      <c r="I839" s="193">
        <f t="array" ref="I839">IF(NOT(ISERROR(MATCH(2,1/(('AllowedShip Class Time Charters'!$D$3:$D$16='Ship Time Charter Rates'!F839)*('AllowedShip Class Time Charters'!$E$3:$E$16='Ship Time Charter Rates'!G839))))),0,"Vessel class and Index Choosen don’t match!")</f>
        <v>0</v>
      </c>
      <c r="J839" s="36" t="s">
        <v>39</v>
      </c>
    </row>
    <row r="840" spans="4:10" ht="15.75">
      <c r="D840" s="37">
        <f t="shared" si="40"/>
        <v>819</v>
      </c>
      <c r="E840" s="39"/>
      <c r="F840" s="42"/>
      <c r="G840" s="42"/>
      <c r="H840" s="29"/>
      <c r="I840" s="193">
        <f t="array" ref="I840">IF(NOT(ISERROR(MATCH(2,1/(('AllowedShip Class Time Charters'!$D$3:$D$16='Ship Time Charter Rates'!F840)*('AllowedShip Class Time Charters'!$E$3:$E$16='Ship Time Charter Rates'!G840))))),0,"Vessel class and Index Choosen don’t match!")</f>
        <v>0</v>
      </c>
      <c r="J840" s="36" t="s">
        <v>39</v>
      </c>
    </row>
    <row r="841" spans="4:10" ht="15.75">
      <c r="D841" s="37">
        <f t="shared" si="40"/>
        <v>820</v>
      </c>
      <c r="E841" s="39"/>
      <c r="F841" s="42"/>
      <c r="G841" s="42"/>
      <c r="H841" s="29"/>
      <c r="I841" s="193">
        <f t="array" ref="I841">IF(NOT(ISERROR(MATCH(2,1/(('AllowedShip Class Time Charters'!$D$3:$D$16='Ship Time Charter Rates'!F841)*('AllowedShip Class Time Charters'!$E$3:$E$16='Ship Time Charter Rates'!G841))))),0,"Vessel class and Index Choosen don’t match!")</f>
        <v>0</v>
      </c>
      <c r="J841" s="36" t="s">
        <v>39</v>
      </c>
    </row>
    <row r="842" spans="4:10" ht="15.75">
      <c r="D842" s="37">
        <f t="shared" si="40"/>
        <v>821</v>
      </c>
      <c r="E842" s="39"/>
      <c r="F842" s="42"/>
      <c r="G842" s="42"/>
      <c r="H842" s="29"/>
      <c r="I842" s="193">
        <f t="array" ref="I842">IF(NOT(ISERROR(MATCH(2,1/(('AllowedShip Class Time Charters'!$D$3:$D$16='Ship Time Charter Rates'!F842)*('AllowedShip Class Time Charters'!$E$3:$E$16='Ship Time Charter Rates'!G842))))),0,"Vessel class and Index Choosen don’t match!")</f>
        <v>0</v>
      </c>
      <c r="J842" s="36" t="s">
        <v>39</v>
      </c>
    </row>
    <row r="843" spans="4:10" ht="15.75">
      <c r="D843" s="37">
        <f t="shared" si="40"/>
        <v>822</v>
      </c>
      <c r="E843" s="39"/>
      <c r="F843" s="42"/>
      <c r="G843" s="42"/>
      <c r="H843" s="29"/>
      <c r="I843" s="193">
        <f t="array" ref="I843">IF(NOT(ISERROR(MATCH(2,1/(('AllowedShip Class Time Charters'!$D$3:$D$16='Ship Time Charter Rates'!F843)*('AllowedShip Class Time Charters'!$E$3:$E$16='Ship Time Charter Rates'!G843))))),0,"Vessel class and Index Choosen don’t match!")</f>
        <v>0</v>
      </c>
      <c r="J843" s="36" t="s">
        <v>39</v>
      </c>
    </row>
    <row r="844" spans="4:10" ht="15.75">
      <c r="D844" s="37">
        <f t="shared" si="40"/>
        <v>823</v>
      </c>
      <c r="E844" s="39"/>
      <c r="F844" s="42"/>
      <c r="G844" s="42"/>
      <c r="H844" s="29"/>
      <c r="I844" s="193">
        <f t="array" ref="I844">IF(NOT(ISERROR(MATCH(2,1/(('AllowedShip Class Time Charters'!$D$3:$D$16='Ship Time Charter Rates'!F844)*('AllowedShip Class Time Charters'!$E$3:$E$16='Ship Time Charter Rates'!G844))))),0,"Vessel class and Index Choosen don’t match!")</f>
        <v>0</v>
      </c>
      <c r="J844" s="36" t="s">
        <v>39</v>
      </c>
    </row>
    <row r="845" spans="4:10" ht="15.75">
      <c r="D845" s="37">
        <f t="shared" si="40"/>
        <v>824</v>
      </c>
      <c r="E845" s="39"/>
      <c r="F845" s="42"/>
      <c r="G845" s="42"/>
      <c r="H845" s="29"/>
      <c r="I845" s="193">
        <f t="array" ref="I845">IF(NOT(ISERROR(MATCH(2,1/(('AllowedShip Class Time Charters'!$D$3:$D$16='Ship Time Charter Rates'!F845)*('AllowedShip Class Time Charters'!$E$3:$E$16='Ship Time Charter Rates'!G845))))),0,"Vessel class and Index Choosen don’t match!")</f>
        <v>0</v>
      </c>
      <c r="J845" s="36" t="s">
        <v>39</v>
      </c>
    </row>
    <row r="846" spans="4:10" ht="15.75">
      <c r="D846" s="37">
        <f t="shared" si="40"/>
        <v>825</v>
      </c>
      <c r="E846" s="39"/>
      <c r="F846" s="42"/>
      <c r="G846" s="42"/>
      <c r="H846" s="29"/>
      <c r="I846" s="193">
        <f t="array" ref="I846">IF(NOT(ISERROR(MATCH(2,1/(('AllowedShip Class Time Charters'!$D$3:$D$16='Ship Time Charter Rates'!F846)*('AllowedShip Class Time Charters'!$E$3:$E$16='Ship Time Charter Rates'!G846))))),0,"Vessel class and Index Choosen don’t match!")</f>
        <v>0</v>
      </c>
      <c r="J846" s="36" t="s">
        <v>39</v>
      </c>
    </row>
    <row r="847" spans="4:10" ht="15.75">
      <c r="D847" s="37">
        <f t="shared" si="40"/>
        <v>826</v>
      </c>
      <c r="E847" s="39"/>
      <c r="F847" s="42"/>
      <c r="G847" s="42"/>
      <c r="H847" s="29"/>
      <c r="I847" s="193">
        <f t="array" ref="I847">IF(NOT(ISERROR(MATCH(2,1/(('AllowedShip Class Time Charters'!$D$3:$D$16='Ship Time Charter Rates'!F847)*('AllowedShip Class Time Charters'!$E$3:$E$16='Ship Time Charter Rates'!G847))))),0,"Vessel class and Index Choosen don’t match!")</f>
        <v>0</v>
      </c>
      <c r="J847" s="36" t="s">
        <v>39</v>
      </c>
    </row>
    <row r="848" spans="4:10" ht="15.75">
      <c r="D848" s="37">
        <f t="shared" si="40"/>
        <v>827</v>
      </c>
      <c r="E848" s="39"/>
      <c r="F848" s="42"/>
      <c r="G848" s="42"/>
      <c r="H848" s="29"/>
      <c r="I848" s="193">
        <f t="array" ref="I848">IF(NOT(ISERROR(MATCH(2,1/(('AllowedShip Class Time Charters'!$D$3:$D$16='Ship Time Charter Rates'!F848)*('AllowedShip Class Time Charters'!$E$3:$E$16='Ship Time Charter Rates'!G848))))),0,"Vessel class and Index Choosen don’t match!")</f>
        <v>0</v>
      </c>
      <c r="J848" s="36" t="s">
        <v>39</v>
      </c>
    </row>
    <row r="849" spans="4:10" ht="15.75">
      <c r="D849" s="37">
        <f t="shared" si="40"/>
        <v>828</v>
      </c>
      <c r="E849" s="39"/>
      <c r="F849" s="42"/>
      <c r="G849" s="42"/>
      <c r="H849" s="29"/>
      <c r="I849" s="193">
        <f t="array" ref="I849">IF(NOT(ISERROR(MATCH(2,1/(('AllowedShip Class Time Charters'!$D$3:$D$16='Ship Time Charter Rates'!F849)*('AllowedShip Class Time Charters'!$E$3:$E$16='Ship Time Charter Rates'!G849))))),0,"Vessel class and Index Choosen don’t match!")</f>
        <v>0</v>
      </c>
      <c r="J849" s="36" t="s">
        <v>39</v>
      </c>
    </row>
    <row r="850" spans="4:10" ht="15.75">
      <c r="D850" s="37">
        <f t="shared" si="40"/>
        <v>829</v>
      </c>
      <c r="E850" s="39"/>
      <c r="F850" s="42"/>
      <c r="G850" s="42"/>
      <c r="H850" s="29"/>
      <c r="I850" s="193">
        <f t="array" ref="I850">IF(NOT(ISERROR(MATCH(2,1/(('AllowedShip Class Time Charters'!$D$3:$D$16='Ship Time Charter Rates'!F850)*('AllowedShip Class Time Charters'!$E$3:$E$16='Ship Time Charter Rates'!G850))))),0,"Vessel class and Index Choosen don’t match!")</f>
        <v>0</v>
      </c>
      <c r="J850" s="36" t="s">
        <v>39</v>
      </c>
    </row>
    <row r="851" spans="4:10" ht="15.75">
      <c r="D851" s="37">
        <f t="shared" si="40"/>
        <v>830</v>
      </c>
      <c r="E851" s="39"/>
      <c r="F851" s="42"/>
      <c r="G851" s="42"/>
      <c r="H851" s="29"/>
      <c r="I851" s="193">
        <f t="array" ref="I851">IF(NOT(ISERROR(MATCH(2,1/(('AllowedShip Class Time Charters'!$D$3:$D$16='Ship Time Charter Rates'!F851)*('AllowedShip Class Time Charters'!$E$3:$E$16='Ship Time Charter Rates'!G851))))),0,"Vessel class and Index Choosen don’t match!")</f>
        <v>0</v>
      </c>
      <c r="J851" s="36" t="s">
        <v>39</v>
      </c>
    </row>
    <row r="852" spans="4:10" ht="15.75">
      <c r="D852" s="37">
        <f t="shared" si="40"/>
        <v>831</v>
      </c>
      <c r="E852" s="39"/>
      <c r="F852" s="42"/>
      <c r="G852" s="42"/>
      <c r="H852" s="29"/>
      <c r="I852" s="193">
        <f t="array" ref="I852">IF(NOT(ISERROR(MATCH(2,1/(('AllowedShip Class Time Charters'!$D$3:$D$16='Ship Time Charter Rates'!F852)*('AllowedShip Class Time Charters'!$E$3:$E$16='Ship Time Charter Rates'!G852))))),0,"Vessel class and Index Choosen don’t match!")</f>
        <v>0</v>
      </c>
      <c r="J852" s="36" t="s">
        <v>39</v>
      </c>
    </row>
    <row r="853" spans="4:10" ht="15.75">
      <c r="D853" s="37">
        <f t="shared" si="40"/>
        <v>832</v>
      </c>
      <c r="E853" s="39"/>
      <c r="F853" s="42"/>
      <c r="G853" s="42"/>
      <c r="H853" s="29"/>
      <c r="I853" s="193">
        <f t="array" ref="I853">IF(NOT(ISERROR(MATCH(2,1/(('AllowedShip Class Time Charters'!$D$3:$D$16='Ship Time Charter Rates'!F853)*('AllowedShip Class Time Charters'!$E$3:$E$16='Ship Time Charter Rates'!G853))))),0,"Vessel class and Index Choosen don’t match!")</f>
        <v>0</v>
      </c>
      <c r="J853" s="36" t="s">
        <v>39</v>
      </c>
    </row>
    <row r="854" spans="4:10" ht="15.75">
      <c r="D854" s="37">
        <f t="shared" si="40"/>
        <v>833</v>
      </c>
      <c r="E854" s="39"/>
      <c r="F854" s="42"/>
      <c r="G854" s="42"/>
      <c r="H854" s="29"/>
      <c r="I854" s="193">
        <f t="array" ref="I854">IF(NOT(ISERROR(MATCH(2,1/(('AllowedShip Class Time Charters'!$D$3:$D$16='Ship Time Charter Rates'!F854)*('AllowedShip Class Time Charters'!$E$3:$E$16='Ship Time Charter Rates'!G854))))),0,"Vessel class and Index Choosen don’t match!")</f>
        <v>0</v>
      </c>
      <c r="J854" s="36" t="s">
        <v>39</v>
      </c>
    </row>
    <row r="855" spans="4:10" ht="15.75">
      <c r="D855" s="37">
        <f t="shared" si="40"/>
        <v>834</v>
      </c>
      <c r="E855" s="39"/>
      <c r="F855" s="42"/>
      <c r="G855" s="42"/>
      <c r="H855" s="29"/>
      <c r="I855" s="193">
        <f t="array" ref="I855">IF(NOT(ISERROR(MATCH(2,1/(('AllowedShip Class Time Charters'!$D$3:$D$16='Ship Time Charter Rates'!F855)*('AllowedShip Class Time Charters'!$E$3:$E$16='Ship Time Charter Rates'!G855))))),0,"Vessel class and Index Choosen don’t match!")</f>
        <v>0</v>
      </c>
      <c r="J855" s="36" t="s">
        <v>39</v>
      </c>
    </row>
    <row r="856" spans="4:10" ht="15.75">
      <c r="D856" s="37">
        <f t="shared" si="40"/>
        <v>835</v>
      </c>
      <c r="E856" s="39"/>
      <c r="F856" s="42"/>
      <c r="G856" s="42"/>
      <c r="H856" s="29"/>
      <c r="I856" s="193">
        <f t="array" ref="I856">IF(NOT(ISERROR(MATCH(2,1/(('AllowedShip Class Time Charters'!$D$3:$D$16='Ship Time Charter Rates'!F856)*('AllowedShip Class Time Charters'!$E$3:$E$16='Ship Time Charter Rates'!G856))))),0,"Vessel class and Index Choosen don’t match!")</f>
        <v>0</v>
      </c>
      <c r="J856" s="36" t="s">
        <v>39</v>
      </c>
    </row>
    <row r="857" spans="4:10" ht="15.75">
      <c r="D857" s="37">
        <f t="shared" si="40"/>
        <v>836</v>
      </c>
      <c r="E857" s="39"/>
      <c r="F857" s="42"/>
      <c r="G857" s="42"/>
      <c r="H857" s="29"/>
      <c r="I857" s="193">
        <f t="array" ref="I857">IF(NOT(ISERROR(MATCH(2,1/(('AllowedShip Class Time Charters'!$D$3:$D$16='Ship Time Charter Rates'!F857)*('AllowedShip Class Time Charters'!$E$3:$E$16='Ship Time Charter Rates'!G857))))),0,"Vessel class and Index Choosen don’t match!")</f>
        <v>0</v>
      </c>
      <c r="J857" s="36" t="s">
        <v>39</v>
      </c>
    </row>
    <row r="858" spans="4:10" ht="15.75">
      <c r="D858" s="37">
        <f t="shared" si="40"/>
        <v>837</v>
      </c>
      <c r="E858" s="39"/>
      <c r="F858" s="42"/>
      <c r="G858" s="42"/>
      <c r="H858" s="29"/>
      <c r="I858" s="193">
        <f t="array" ref="I858">IF(NOT(ISERROR(MATCH(2,1/(('AllowedShip Class Time Charters'!$D$3:$D$16='Ship Time Charter Rates'!F858)*('AllowedShip Class Time Charters'!$E$3:$E$16='Ship Time Charter Rates'!G858))))),0,"Vessel class and Index Choosen don’t match!")</f>
        <v>0</v>
      </c>
      <c r="J858" s="36" t="s">
        <v>39</v>
      </c>
    </row>
    <row r="859" spans="4:10" ht="15.75">
      <c r="D859" s="37">
        <f t="shared" si="40"/>
        <v>838</v>
      </c>
      <c r="E859" s="39"/>
      <c r="F859" s="42"/>
      <c r="G859" s="42"/>
      <c r="H859" s="29"/>
      <c r="I859" s="193">
        <f t="array" ref="I859">IF(NOT(ISERROR(MATCH(2,1/(('AllowedShip Class Time Charters'!$D$3:$D$16='Ship Time Charter Rates'!F859)*('AllowedShip Class Time Charters'!$E$3:$E$16='Ship Time Charter Rates'!G859))))),0,"Vessel class and Index Choosen don’t match!")</f>
        <v>0</v>
      </c>
      <c r="J859" s="36" t="s">
        <v>39</v>
      </c>
    </row>
    <row r="860" spans="4:10" ht="15.75">
      <c r="D860" s="37">
        <f t="shared" si="40"/>
        <v>839</v>
      </c>
      <c r="E860" s="39"/>
      <c r="F860" s="42"/>
      <c r="G860" s="42"/>
      <c r="H860" s="29"/>
      <c r="I860" s="193">
        <f t="array" ref="I860">IF(NOT(ISERROR(MATCH(2,1/(('AllowedShip Class Time Charters'!$D$3:$D$16='Ship Time Charter Rates'!F860)*('AllowedShip Class Time Charters'!$E$3:$E$16='Ship Time Charter Rates'!G860))))),0,"Vessel class and Index Choosen don’t match!")</f>
        <v>0</v>
      </c>
      <c r="J860" s="36" t="s">
        <v>39</v>
      </c>
    </row>
    <row r="861" spans="4:10" ht="15.75">
      <c r="D861" s="37">
        <f t="shared" si="40"/>
        <v>840</v>
      </c>
      <c r="E861" s="39"/>
      <c r="F861" s="42"/>
      <c r="G861" s="42"/>
      <c r="H861" s="29"/>
      <c r="I861" s="193">
        <f t="array" ref="I861">IF(NOT(ISERROR(MATCH(2,1/(('AllowedShip Class Time Charters'!$D$3:$D$16='Ship Time Charter Rates'!F861)*('AllowedShip Class Time Charters'!$E$3:$E$16='Ship Time Charter Rates'!G861))))),0,"Vessel class and Index Choosen don’t match!")</f>
        <v>0</v>
      </c>
      <c r="J861" s="36" t="s">
        <v>39</v>
      </c>
    </row>
    <row r="862" spans="4:10" ht="15.75">
      <c r="D862" s="37">
        <f t="shared" si="40"/>
        <v>841</v>
      </c>
      <c r="E862" s="39"/>
      <c r="F862" s="42"/>
      <c r="G862" s="42"/>
      <c r="H862" s="29"/>
      <c r="I862" s="193">
        <f t="array" ref="I862">IF(NOT(ISERROR(MATCH(2,1/(('AllowedShip Class Time Charters'!$D$3:$D$16='Ship Time Charter Rates'!F862)*('AllowedShip Class Time Charters'!$E$3:$E$16='Ship Time Charter Rates'!G862))))),0,"Vessel class and Index Choosen don’t match!")</f>
        <v>0</v>
      </c>
      <c r="J862" s="36" t="s">
        <v>39</v>
      </c>
    </row>
    <row r="863" spans="4:10" ht="15.75">
      <c r="D863" s="37">
        <f t="shared" si="40"/>
        <v>842</v>
      </c>
      <c r="E863" s="39"/>
      <c r="F863" s="42"/>
      <c r="G863" s="42"/>
      <c r="H863" s="29"/>
      <c r="I863" s="193">
        <f t="array" ref="I863">IF(NOT(ISERROR(MATCH(2,1/(('AllowedShip Class Time Charters'!$D$3:$D$16='Ship Time Charter Rates'!F863)*('AllowedShip Class Time Charters'!$E$3:$E$16='Ship Time Charter Rates'!G863))))),0,"Vessel class and Index Choosen don’t match!")</f>
        <v>0</v>
      </c>
      <c r="J863" s="36" t="s">
        <v>39</v>
      </c>
    </row>
    <row r="864" spans="4:10" ht="15.75">
      <c r="D864" s="37">
        <f t="shared" si="40"/>
        <v>843</v>
      </c>
      <c r="E864" s="39"/>
      <c r="F864" s="42"/>
      <c r="G864" s="42"/>
      <c r="H864" s="29"/>
      <c r="I864" s="193">
        <f t="array" ref="I864">IF(NOT(ISERROR(MATCH(2,1/(('AllowedShip Class Time Charters'!$D$3:$D$16='Ship Time Charter Rates'!F864)*('AllowedShip Class Time Charters'!$E$3:$E$16='Ship Time Charter Rates'!G864))))),0,"Vessel class and Index Choosen don’t match!")</f>
        <v>0</v>
      </c>
      <c r="J864" s="36" t="s">
        <v>39</v>
      </c>
    </row>
    <row r="865" spans="4:10" ht="15.75">
      <c r="D865" s="37">
        <f t="shared" si="40"/>
        <v>844</v>
      </c>
      <c r="E865" s="39"/>
      <c r="F865" s="42"/>
      <c r="G865" s="42"/>
      <c r="H865" s="29"/>
      <c r="I865" s="193">
        <f t="array" ref="I865">IF(NOT(ISERROR(MATCH(2,1/(('AllowedShip Class Time Charters'!$D$3:$D$16='Ship Time Charter Rates'!F865)*('AllowedShip Class Time Charters'!$E$3:$E$16='Ship Time Charter Rates'!G865))))),0,"Vessel class and Index Choosen don’t match!")</f>
        <v>0</v>
      </c>
      <c r="J865" s="36" t="s">
        <v>39</v>
      </c>
    </row>
    <row r="866" spans="4:10" ht="15.75">
      <c r="D866" s="37">
        <f t="shared" si="40"/>
        <v>845</v>
      </c>
      <c r="E866" s="39"/>
      <c r="F866" s="42"/>
      <c r="G866" s="42"/>
      <c r="H866" s="29"/>
      <c r="I866" s="193">
        <f t="array" ref="I866">IF(NOT(ISERROR(MATCH(2,1/(('AllowedShip Class Time Charters'!$D$3:$D$16='Ship Time Charter Rates'!F866)*('AllowedShip Class Time Charters'!$E$3:$E$16='Ship Time Charter Rates'!G866))))),0,"Vessel class and Index Choosen don’t match!")</f>
        <v>0</v>
      </c>
      <c r="J866" s="36" t="s">
        <v>39</v>
      </c>
    </row>
    <row r="867" spans="4:10" ht="15.75">
      <c r="D867" s="37">
        <f t="shared" si="40"/>
        <v>846</v>
      </c>
      <c r="E867" s="39"/>
      <c r="F867" s="42"/>
      <c r="G867" s="42"/>
      <c r="H867" s="29"/>
      <c r="I867" s="193">
        <f t="array" ref="I867">IF(NOT(ISERROR(MATCH(2,1/(('AllowedShip Class Time Charters'!$D$3:$D$16='Ship Time Charter Rates'!F867)*('AllowedShip Class Time Charters'!$E$3:$E$16='Ship Time Charter Rates'!G867))))),0,"Vessel class and Index Choosen don’t match!")</f>
        <v>0</v>
      </c>
      <c r="J867" s="36" t="s">
        <v>39</v>
      </c>
    </row>
    <row r="868" spans="4:10" ht="15.75">
      <c r="D868" s="37">
        <f t="shared" si="40"/>
        <v>847</v>
      </c>
      <c r="E868" s="39"/>
      <c r="F868" s="42"/>
      <c r="G868" s="42"/>
      <c r="H868" s="29"/>
      <c r="I868" s="193">
        <f t="array" ref="I868">IF(NOT(ISERROR(MATCH(2,1/(('AllowedShip Class Time Charters'!$D$3:$D$16='Ship Time Charter Rates'!F868)*('AllowedShip Class Time Charters'!$E$3:$E$16='Ship Time Charter Rates'!G868))))),0,"Vessel class and Index Choosen don’t match!")</f>
        <v>0</v>
      </c>
      <c r="J868" s="36" t="s">
        <v>39</v>
      </c>
    </row>
    <row r="869" spans="4:10" ht="15.75">
      <c r="D869" s="37">
        <f t="shared" si="40"/>
        <v>848</v>
      </c>
      <c r="E869" s="39"/>
      <c r="F869" s="42"/>
      <c r="G869" s="42"/>
      <c r="H869" s="29"/>
      <c r="I869" s="193">
        <f t="array" ref="I869">IF(NOT(ISERROR(MATCH(2,1/(('AllowedShip Class Time Charters'!$D$3:$D$16='Ship Time Charter Rates'!F869)*('AllowedShip Class Time Charters'!$E$3:$E$16='Ship Time Charter Rates'!G869))))),0,"Vessel class and Index Choosen don’t match!")</f>
        <v>0</v>
      </c>
      <c r="J869" s="36" t="s">
        <v>39</v>
      </c>
    </row>
    <row r="870" spans="4:10" ht="15.75">
      <c r="D870" s="37">
        <f t="shared" si="40"/>
        <v>849</v>
      </c>
      <c r="E870" s="39"/>
      <c r="F870" s="42"/>
      <c r="G870" s="42"/>
      <c r="H870" s="29"/>
      <c r="I870" s="193">
        <f t="array" ref="I870">IF(NOT(ISERROR(MATCH(2,1/(('AllowedShip Class Time Charters'!$D$3:$D$16='Ship Time Charter Rates'!F870)*('AllowedShip Class Time Charters'!$E$3:$E$16='Ship Time Charter Rates'!G870))))),0,"Vessel class and Index Choosen don’t match!")</f>
        <v>0</v>
      </c>
      <c r="J870" s="36" t="s">
        <v>39</v>
      </c>
    </row>
    <row r="871" spans="4:10" ht="15.75">
      <c r="D871" s="37">
        <f t="shared" si="40"/>
        <v>850</v>
      </c>
      <c r="E871" s="39"/>
      <c r="F871" s="42"/>
      <c r="G871" s="42"/>
      <c r="H871" s="29"/>
      <c r="I871" s="193">
        <f t="array" ref="I871">IF(NOT(ISERROR(MATCH(2,1/(('AllowedShip Class Time Charters'!$D$3:$D$16='Ship Time Charter Rates'!F871)*('AllowedShip Class Time Charters'!$E$3:$E$16='Ship Time Charter Rates'!G871))))),0,"Vessel class and Index Choosen don’t match!")</f>
        <v>0</v>
      </c>
      <c r="J871" s="36" t="s">
        <v>39</v>
      </c>
    </row>
    <row r="872" spans="4:10" ht="15.75">
      <c r="D872" s="37">
        <f t="shared" si="40"/>
        <v>851</v>
      </c>
      <c r="E872" s="39"/>
      <c r="F872" s="42"/>
      <c r="G872" s="42"/>
      <c r="H872" s="29"/>
      <c r="I872" s="193">
        <f t="array" ref="I872">IF(NOT(ISERROR(MATCH(2,1/(('AllowedShip Class Time Charters'!$D$3:$D$16='Ship Time Charter Rates'!F872)*('AllowedShip Class Time Charters'!$E$3:$E$16='Ship Time Charter Rates'!G872))))),0,"Vessel class and Index Choosen don’t match!")</f>
        <v>0</v>
      </c>
      <c r="J872" s="36" t="s">
        <v>39</v>
      </c>
    </row>
    <row r="873" spans="4:10" ht="15.75">
      <c r="D873" s="37">
        <f t="shared" si="40"/>
        <v>852</v>
      </c>
      <c r="E873" s="39"/>
      <c r="F873" s="42"/>
      <c r="G873" s="42"/>
      <c r="H873" s="29"/>
      <c r="I873" s="193">
        <f t="array" ref="I873">IF(NOT(ISERROR(MATCH(2,1/(('AllowedShip Class Time Charters'!$D$3:$D$16='Ship Time Charter Rates'!F873)*('AllowedShip Class Time Charters'!$E$3:$E$16='Ship Time Charter Rates'!G873))))),0,"Vessel class and Index Choosen don’t match!")</f>
        <v>0</v>
      </c>
      <c r="J873" s="36" t="s">
        <v>39</v>
      </c>
    </row>
    <row r="874" spans="4:10" ht="15.75">
      <c r="D874" s="37">
        <f t="shared" si="40"/>
        <v>853</v>
      </c>
      <c r="E874" s="39"/>
      <c r="F874" s="42"/>
      <c r="G874" s="42"/>
      <c r="H874" s="29"/>
      <c r="I874" s="193">
        <f t="array" ref="I874">IF(NOT(ISERROR(MATCH(2,1/(('AllowedShip Class Time Charters'!$D$3:$D$16='Ship Time Charter Rates'!F874)*('AllowedShip Class Time Charters'!$E$3:$E$16='Ship Time Charter Rates'!G874))))),0,"Vessel class and Index Choosen don’t match!")</f>
        <v>0</v>
      </c>
      <c r="J874" s="36" t="s">
        <v>39</v>
      </c>
    </row>
    <row r="875" spans="4:10" ht="15.75">
      <c r="D875" s="37">
        <f t="shared" si="40"/>
        <v>854</v>
      </c>
      <c r="E875" s="39"/>
      <c r="F875" s="42"/>
      <c r="G875" s="42"/>
      <c r="H875" s="29"/>
      <c r="I875" s="193">
        <f t="array" ref="I875">IF(NOT(ISERROR(MATCH(2,1/(('AllowedShip Class Time Charters'!$D$3:$D$16='Ship Time Charter Rates'!F875)*('AllowedShip Class Time Charters'!$E$3:$E$16='Ship Time Charter Rates'!G875))))),0,"Vessel class and Index Choosen don’t match!")</f>
        <v>0</v>
      </c>
      <c r="J875" s="36" t="s">
        <v>39</v>
      </c>
    </row>
    <row r="876" spans="4:10" ht="15.75">
      <c r="D876" s="37">
        <f t="shared" si="40"/>
        <v>855</v>
      </c>
      <c r="E876" s="39"/>
      <c r="F876" s="42"/>
      <c r="G876" s="42"/>
      <c r="H876" s="29"/>
      <c r="I876" s="193">
        <f t="array" ref="I876">IF(NOT(ISERROR(MATCH(2,1/(('AllowedShip Class Time Charters'!$D$3:$D$16='Ship Time Charter Rates'!F876)*('AllowedShip Class Time Charters'!$E$3:$E$16='Ship Time Charter Rates'!G876))))),0,"Vessel class and Index Choosen don’t match!")</f>
        <v>0</v>
      </c>
      <c r="J876" s="36" t="s">
        <v>39</v>
      </c>
    </row>
    <row r="877" spans="4:10" ht="15.75">
      <c r="D877" s="37">
        <f t="shared" si="40"/>
        <v>856</v>
      </c>
      <c r="E877" s="39"/>
      <c r="F877" s="42"/>
      <c r="G877" s="42"/>
      <c r="H877" s="29"/>
      <c r="I877" s="193">
        <f t="array" ref="I877">IF(NOT(ISERROR(MATCH(2,1/(('AllowedShip Class Time Charters'!$D$3:$D$16='Ship Time Charter Rates'!F877)*('AllowedShip Class Time Charters'!$E$3:$E$16='Ship Time Charter Rates'!G877))))),0,"Vessel class and Index Choosen don’t match!")</f>
        <v>0</v>
      </c>
      <c r="J877" s="36" t="s">
        <v>39</v>
      </c>
    </row>
    <row r="878" spans="4:10" ht="15.75">
      <c r="D878" s="37">
        <f t="shared" si="40"/>
        <v>857</v>
      </c>
      <c r="E878" s="39"/>
      <c r="F878" s="42"/>
      <c r="G878" s="42"/>
      <c r="H878" s="29"/>
      <c r="I878" s="193">
        <f t="array" ref="I878">IF(NOT(ISERROR(MATCH(2,1/(('AllowedShip Class Time Charters'!$D$3:$D$16='Ship Time Charter Rates'!F878)*('AllowedShip Class Time Charters'!$E$3:$E$16='Ship Time Charter Rates'!G878))))),0,"Vessel class and Index Choosen don’t match!")</f>
        <v>0</v>
      </c>
      <c r="J878" s="36" t="s">
        <v>39</v>
      </c>
    </row>
    <row r="879" spans="4:10" ht="15.75">
      <c r="D879" s="37">
        <f t="shared" si="40"/>
        <v>858</v>
      </c>
      <c r="E879" s="39"/>
      <c r="F879" s="42"/>
      <c r="G879" s="42"/>
      <c r="H879" s="29"/>
      <c r="I879" s="193">
        <f t="array" ref="I879">IF(NOT(ISERROR(MATCH(2,1/(('AllowedShip Class Time Charters'!$D$3:$D$16='Ship Time Charter Rates'!F879)*('AllowedShip Class Time Charters'!$E$3:$E$16='Ship Time Charter Rates'!G879))))),0,"Vessel class and Index Choosen don’t match!")</f>
        <v>0</v>
      </c>
      <c r="J879" s="36" t="s">
        <v>39</v>
      </c>
    </row>
    <row r="880" spans="4:10" ht="15.75">
      <c r="D880" s="37">
        <f t="shared" si="40"/>
        <v>859</v>
      </c>
      <c r="E880" s="39"/>
      <c r="F880" s="42"/>
      <c r="G880" s="42"/>
      <c r="H880" s="29"/>
      <c r="I880" s="193">
        <f t="array" ref="I880">IF(NOT(ISERROR(MATCH(2,1/(('AllowedShip Class Time Charters'!$D$3:$D$16='Ship Time Charter Rates'!F880)*('AllowedShip Class Time Charters'!$E$3:$E$16='Ship Time Charter Rates'!G880))))),0,"Vessel class and Index Choosen don’t match!")</f>
        <v>0</v>
      </c>
      <c r="J880" s="36" t="s">
        <v>39</v>
      </c>
    </row>
    <row r="881" spans="4:10" ht="15.75">
      <c r="D881" s="37">
        <f t="shared" si="40"/>
        <v>860</v>
      </c>
      <c r="E881" s="39"/>
      <c r="F881" s="42"/>
      <c r="G881" s="42"/>
      <c r="H881" s="29"/>
      <c r="I881" s="193">
        <f t="array" ref="I881">IF(NOT(ISERROR(MATCH(2,1/(('AllowedShip Class Time Charters'!$D$3:$D$16='Ship Time Charter Rates'!F881)*('AllowedShip Class Time Charters'!$E$3:$E$16='Ship Time Charter Rates'!G881))))),0,"Vessel class and Index Choosen don’t match!")</f>
        <v>0</v>
      </c>
      <c r="J881" s="36" t="s">
        <v>39</v>
      </c>
    </row>
    <row r="882" spans="4:10" ht="15.75">
      <c r="D882" s="37">
        <f t="shared" si="40"/>
        <v>861</v>
      </c>
      <c r="E882" s="39"/>
      <c r="F882" s="42"/>
      <c r="G882" s="42"/>
      <c r="H882" s="29"/>
      <c r="I882" s="193">
        <f t="array" ref="I882">IF(NOT(ISERROR(MATCH(2,1/(('AllowedShip Class Time Charters'!$D$3:$D$16='Ship Time Charter Rates'!F882)*('AllowedShip Class Time Charters'!$E$3:$E$16='Ship Time Charter Rates'!G882))))),0,"Vessel class and Index Choosen don’t match!")</f>
        <v>0</v>
      </c>
      <c r="J882" s="36" t="s">
        <v>39</v>
      </c>
    </row>
    <row r="883" spans="4:10" ht="15.75">
      <c r="D883" s="37">
        <f t="shared" si="40"/>
        <v>862</v>
      </c>
      <c r="E883" s="39"/>
      <c r="F883" s="42"/>
      <c r="G883" s="42"/>
      <c r="H883" s="29"/>
      <c r="I883" s="193">
        <f t="array" ref="I883">IF(NOT(ISERROR(MATCH(2,1/(('AllowedShip Class Time Charters'!$D$3:$D$16='Ship Time Charter Rates'!F883)*('AllowedShip Class Time Charters'!$E$3:$E$16='Ship Time Charter Rates'!G883))))),0,"Vessel class and Index Choosen don’t match!")</f>
        <v>0</v>
      </c>
      <c r="J883" s="36" t="s">
        <v>39</v>
      </c>
    </row>
    <row r="884" spans="4:10" ht="15.75">
      <c r="D884" s="37">
        <f t="shared" si="40"/>
        <v>863</v>
      </c>
      <c r="E884" s="39"/>
      <c r="F884" s="42"/>
      <c r="G884" s="42"/>
      <c r="H884" s="29"/>
      <c r="I884" s="193">
        <f t="array" ref="I884">IF(NOT(ISERROR(MATCH(2,1/(('AllowedShip Class Time Charters'!$D$3:$D$16='Ship Time Charter Rates'!F884)*('AllowedShip Class Time Charters'!$E$3:$E$16='Ship Time Charter Rates'!G884))))),0,"Vessel class and Index Choosen don’t match!")</f>
        <v>0</v>
      </c>
      <c r="J884" s="36" t="s">
        <v>39</v>
      </c>
    </row>
    <row r="885" spans="4:10" ht="15.75">
      <c r="D885" s="37">
        <f t="shared" si="40"/>
        <v>864</v>
      </c>
      <c r="E885" s="39"/>
      <c r="F885" s="42"/>
      <c r="G885" s="42"/>
      <c r="H885" s="29"/>
      <c r="I885" s="193">
        <f t="array" ref="I885">IF(NOT(ISERROR(MATCH(2,1/(('AllowedShip Class Time Charters'!$D$3:$D$16='Ship Time Charter Rates'!F885)*('AllowedShip Class Time Charters'!$E$3:$E$16='Ship Time Charter Rates'!G885))))),0,"Vessel class and Index Choosen don’t match!")</f>
        <v>0</v>
      </c>
      <c r="J885" s="36" t="s">
        <v>39</v>
      </c>
    </row>
    <row r="886" spans="4:10" ht="15.75">
      <c r="D886" s="37">
        <f t="shared" si="40"/>
        <v>865</v>
      </c>
      <c r="E886" s="39"/>
      <c r="F886" s="42"/>
      <c r="G886" s="42"/>
      <c r="H886" s="29"/>
      <c r="I886" s="193">
        <f t="array" ref="I886">IF(NOT(ISERROR(MATCH(2,1/(('AllowedShip Class Time Charters'!$D$3:$D$16='Ship Time Charter Rates'!F886)*('AllowedShip Class Time Charters'!$E$3:$E$16='Ship Time Charter Rates'!G886))))),0,"Vessel class and Index Choosen don’t match!")</f>
        <v>0</v>
      </c>
      <c r="J886" s="36" t="s">
        <v>39</v>
      </c>
    </row>
    <row r="887" spans="4:10" ht="15.75">
      <c r="D887" s="37">
        <f t="shared" si="40"/>
        <v>866</v>
      </c>
      <c r="E887" s="39"/>
      <c r="F887" s="42"/>
      <c r="G887" s="42"/>
      <c r="H887" s="29"/>
      <c r="I887" s="193">
        <f t="array" ref="I887">IF(NOT(ISERROR(MATCH(2,1/(('AllowedShip Class Time Charters'!$D$3:$D$16='Ship Time Charter Rates'!F887)*('AllowedShip Class Time Charters'!$E$3:$E$16='Ship Time Charter Rates'!G887))))),0,"Vessel class and Index Choosen don’t match!")</f>
        <v>0</v>
      </c>
      <c r="J887" s="36" t="s">
        <v>39</v>
      </c>
    </row>
    <row r="888" spans="4:10" ht="15.75">
      <c r="D888" s="37">
        <f t="shared" si="40"/>
        <v>867</v>
      </c>
      <c r="E888" s="39"/>
      <c r="F888" s="42"/>
      <c r="G888" s="42"/>
      <c r="H888" s="29"/>
      <c r="I888" s="193">
        <f t="array" ref="I888">IF(NOT(ISERROR(MATCH(2,1/(('AllowedShip Class Time Charters'!$D$3:$D$16='Ship Time Charter Rates'!F888)*('AllowedShip Class Time Charters'!$E$3:$E$16='Ship Time Charter Rates'!G888))))),0,"Vessel class and Index Choosen don’t match!")</f>
        <v>0</v>
      </c>
      <c r="J888" s="36" t="s">
        <v>39</v>
      </c>
    </row>
    <row r="889" spans="4:10" ht="15.75">
      <c r="D889" s="37">
        <f t="shared" si="40"/>
        <v>868</v>
      </c>
      <c r="E889" s="39"/>
      <c r="F889" s="42"/>
      <c r="G889" s="42"/>
      <c r="H889" s="29"/>
      <c r="I889" s="193">
        <f t="array" ref="I889">IF(NOT(ISERROR(MATCH(2,1/(('AllowedShip Class Time Charters'!$D$3:$D$16='Ship Time Charter Rates'!F889)*('AllowedShip Class Time Charters'!$E$3:$E$16='Ship Time Charter Rates'!G889))))),0,"Vessel class and Index Choosen don’t match!")</f>
        <v>0</v>
      </c>
      <c r="J889" s="36" t="s">
        <v>39</v>
      </c>
    </row>
    <row r="890" spans="4:10" ht="15.75">
      <c r="D890" s="37">
        <f t="shared" si="40"/>
        <v>869</v>
      </c>
      <c r="E890" s="39"/>
      <c r="F890" s="42"/>
      <c r="G890" s="42"/>
      <c r="H890" s="29"/>
      <c r="I890" s="193">
        <f t="array" ref="I890">IF(NOT(ISERROR(MATCH(2,1/(('AllowedShip Class Time Charters'!$D$3:$D$16='Ship Time Charter Rates'!F890)*('AllowedShip Class Time Charters'!$E$3:$E$16='Ship Time Charter Rates'!G890))))),0,"Vessel class and Index Choosen don’t match!")</f>
        <v>0</v>
      </c>
      <c r="J890" s="36" t="s">
        <v>39</v>
      </c>
    </row>
    <row r="891" spans="4:10" ht="15.75">
      <c r="D891" s="37">
        <f t="shared" si="40"/>
        <v>870</v>
      </c>
      <c r="E891" s="39"/>
      <c r="F891" s="42"/>
      <c r="G891" s="42"/>
      <c r="H891" s="29"/>
      <c r="I891" s="193">
        <f t="array" ref="I891">IF(NOT(ISERROR(MATCH(2,1/(('AllowedShip Class Time Charters'!$D$3:$D$16='Ship Time Charter Rates'!F891)*('AllowedShip Class Time Charters'!$E$3:$E$16='Ship Time Charter Rates'!G891))))),0,"Vessel class and Index Choosen don’t match!")</f>
        <v>0</v>
      </c>
      <c r="J891" s="36" t="s">
        <v>39</v>
      </c>
    </row>
    <row r="892" spans="4:10" ht="15.75">
      <c r="D892" s="37">
        <f t="shared" si="40"/>
        <v>871</v>
      </c>
      <c r="E892" s="39"/>
      <c r="F892" s="42"/>
      <c r="G892" s="42"/>
      <c r="H892" s="29"/>
      <c r="I892" s="193">
        <f t="array" ref="I892">IF(NOT(ISERROR(MATCH(2,1/(('AllowedShip Class Time Charters'!$D$3:$D$16='Ship Time Charter Rates'!F892)*('AllowedShip Class Time Charters'!$E$3:$E$16='Ship Time Charter Rates'!G892))))),0,"Vessel class and Index Choosen don’t match!")</f>
        <v>0</v>
      </c>
      <c r="J892" s="36" t="s">
        <v>39</v>
      </c>
    </row>
    <row r="893" spans="4:10" ht="15.75">
      <c r="D893" s="37">
        <f t="shared" si="40"/>
        <v>872</v>
      </c>
      <c r="E893" s="39"/>
      <c r="F893" s="42"/>
      <c r="G893" s="42"/>
      <c r="H893" s="29"/>
      <c r="I893" s="193">
        <f t="array" ref="I893">IF(NOT(ISERROR(MATCH(2,1/(('AllowedShip Class Time Charters'!$D$3:$D$16='Ship Time Charter Rates'!F893)*('AllowedShip Class Time Charters'!$E$3:$E$16='Ship Time Charter Rates'!G893))))),0,"Vessel class and Index Choosen don’t match!")</f>
        <v>0</v>
      </c>
      <c r="J893" s="36" t="s">
        <v>39</v>
      </c>
    </row>
    <row r="894" spans="4:10" ht="15.75">
      <c r="D894" s="37">
        <f t="shared" si="40"/>
        <v>873</v>
      </c>
      <c r="E894" s="39"/>
      <c r="F894" s="42"/>
      <c r="G894" s="42"/>
      <c r="H894" s="29"/>
      <c r="I894" s="193">
        <f t="array" ref="I894">IF(NOT(ISERROR(MATCH(2,1/(('AllowedShip Class Time Charters'!$D$3:$D$16='Ship Time Charter Rates'!F894)*('AllowedShip Class Time Charters'!$E$3:$E$16='Ship Time Charter Rates'!G894))))),0,"Vessel class and Index Choosen don’t match!")</f>
        <v>0</v>
      </c>
      <c r="J894" s="36" t="s">
        <v>39</v>
      </c>
    </row>
    <row r="895" spans="4:10" ht="15.75">
      <c r="D895" s="37">
        <f t="shared" si="40"/>
        <v>874</v>
      </c>
      <c r="E895" s="39"/>
      <c r="F895" s="42"/>
      <c r="G895" s="42"/>
      <c r="H895" s="29"/>
      <c r="I895" s="193">
        <f t="array" ref="I895">IF(NOT(ISERROR(MATCH(2,1/(('AllowedShip Class Time Charters'!$D$3:$D$16='Ship Time Charter Rates'!F895)*('AllowedShip Class Time Charters'!$E$3:$E$16='Ship Time Charter Rates'!G895))))),0,"Vessel class and Index Choosen don’t match!")</f>
        <v>0</v>
      </c>
      <c r="J895" s="36" t="s">
        <v>39</v>
      </c>
    </row>
    <row r="896" spans="4:10" ht="15.75">
      <c r="D896" s="37">
        <f t="shared" si="40"/>
        <v>875</v>
      </c>
      <c r="E896" s="39"/>
      <c r="F896" s="42"/>
      <c r="G896" s="42"/>
      <c r="H896" s="29"/>
      <c r="I896" s="193">
        <f t="array" ref="I896">IF(NOT(ISERROR(MATCH(2,1/(('AllowedShip Class Time Charters'!$D$3:$D$16='Ship Time Charter Rates'!F896)*('AllowedShip Class Time Charters'!$E$3:$E$16='Ship Time Charter Rates'!G896))))),0,"Vessel class and Index Choosen don’t match!")</f>
        <v>0</v>
      </c>
      <c r="J896" s="36" t="s">
        <v>39</v>
      </c>
    </row>
    <row r="897" spans="4:10" ht="15.75">
      <c r="D897" s="37">
        <f t="shared" ref="D897:D960" si="41">D896+1</f>
        <v>876</v>
      </c>
      <c r="E897" s="39"/>
      <c r="F897" s="42"/>
      <c r="G897" s="42"/>
      <c r="H897" s="29"/>
      <c r="I897" s="193">
        <f t="array" ref="I897">IF(NOT(ISERROR(MATCH(2,1/(('AllowedShip Class Time Charters'!$D$3:$D$16='Ship Time Charter Rates'!F897)*('AllowedShip Class Time Charters'!$E$3:$E$16='Ship Time Charter Rates'!G897))))),0,"Vessel class and Index Choosen don’t match!")</f>
        <v>0</v>
      </c>
      <c r="J897" s="36" t="s">
        <v>39</v>
      </c>
    </row>
    <row r="898" spans="4:10" ht="15.75">
      <c r="D898" s="37">
        <f t="shared" si="41"/>
        <v>877</v>
      </c>
      <c r="E898" s="39"/>
      <c r="F898" s="42"/>
      <c r="G898" s="42"/>
      <c r="H898" s="29"/>
      <c r="I898" s="193">
        <f t="array" ref="I898">IF(NOT(ISERROR(MATCH(2,1/(('AllowedShip Class Time Charters'!$D$3:$D$16='Ship Time Charter Rates'!F898)*('AllowedShip Class Time Charters'!$E$3:$E$16='Ship Time Charter Rates'!G898))))),0,"Vessel class and Index Choosen don’t match!")</f>
        <v>0</v>
      </c>
      <c r="J898" s="36" t="s">
        <v>39</v>
      </c>
    </row>
    <row r="899" spans="4:10" ht="15.75">
      <c r="D899" s="37">
        <f t="shared" si="41"/>
        <v>878</v>
      </c>
      <c r="E899" s="39"/>
      <c r="F899" s="42"/>
      <c r="G899" s="42"/>
      <c r="H899" s="29"/>
      <c r="I899" s="193">
        <f t="array" ref="I899">IF(NOT(ISERROR(MATCH(2,1/(('AllowedShip Class Time Charters'!$D$3:$D$16='Ship Time Charter Rates'!F899)*('AllowedShip Class Time Charters'!$E$3:$E$16='Ship Time Charter Rates'!G899))))),0,"Vessel class and Index Choosen don’t match!")</f>
        <v>0</v>
      </c>
      <c r="J899" s="36" t="s">
        <v>39</v>
      </c>
    </row>
    <row r="900" spans="4:10" ht="15.75">
      <c r="D900" s="37">
        <f t="shared" si="41"/>
        <v>879</v>
      </c>
      <c r="E900" s="39"/>
      <c r="F900" s="42"/>
      <c r="G900" s="42"/>
      <c r="H900" s="29"/>
      <c r="I900" s="193">
        <f t="array" ref="I900">IF(NOT(ISERROR(MATCH(2,1/(('AllowedShip Class Time Charters'!$D$3:$D$16='Ship Time Charter Rates'!F900)*('AllowedShip Class Time Charters'!$E$3:$E$16='Ship Time Charter Rates'!G900))))),0,"Vessel class and Index Choosen don’t match!")</f>
        <v>0</v>
      </c>
      <c r="J900" s="36" t="s">
        <v>39</v>
      </c>
    </row>
    <row r="901" spans="4:10" ht="15.75">
      <c r="D901" s="37">
        <f t="shared" si="41"/>
        <v>880</v>
      </c>
      <c r="E901" s="39"/>
      <c r="F901" s="42"/>
      <c r="G901" s="42"/>
      <c r="H901" s="29"/>
      <c r="I901" s="193">
        <f t="array" ref="I901">IF(NOT(ISERROR(MATCH(2,1/(('AllowedShip Class Time Charters'!$D$3:$D$16='Ship Time Charter Rates'!F901)*('AllowedShip Class Time Charters'!$E$3:$E$16='Ship Time Charter Rates'!G901))))),0,"Vessel class and Index Choosen don’t match!")</f>
        <v>0</v>
      </c>
      <c r="J901" s="36" t="s">
        <v>39</v>
      </c>
    </row>
    <row r="902" spans="4:10" ht="15.75">
      <c r="D902" s="37">
        <f t="shared" si="41"/>
        <v>881</v>
      </c>
      <c r="E902" s="39"/>
      <c r="F902" s="42"/>
      <c r="G902" s="42"/>
      <c r="H902" s="29"/>
      <c r="I902" s="193">
        <f t="array" ref="I902">IF(NOT(ISERROR(MATCH(2,1/(('AllowedShip Class Time Charters'!$D$3:$D$16='Ship Time Charter Rates'!F902)*('AllowedShip Class Time Charters'!$E$3:$E$16='Ship Time Charter Rates'!G902))))),0,"Vessel class and Index Choosen don’t match!")</f>
        <v>0</v>
      </c>
      <c r="J902" s="36" t="s">
        <v>39</v>
      </c>
    </row>
    <row r="903" spans="4:10" ht="15.75">
      <c r="D903" s="37">
        <f t="shared" si="41"/>
        <v>882</v>
      </c>
      <c r="E903" s="39"/>
      <c r="F903" s="42"/>
      <c r="G903" s="42"/>
      <c r="H903" s="29"/>
      <c r="I903" s="193">
        <f t="array" ref="I903">IF(NOT(ISERROR(MATCH(2,1/(('AllowedShip Class Time Charters'!$D$3:$D$16='Ship Time Charter Rates'!F903)*('AllowedShip Class Time Charters'!$E$3:$E$16='Ship Time Charter Rates'!G903))))),0,"Vessel class and Index Choosen don’t match!")</f>
        <v>0</v>
      </c>
      <c r="J903" s="36" t="s">
        <v>39</v>
      </c>
    </row>
    <row r="904" spans="4:10" ht="15.75">
      <c r="D904" s="37">
        <f t="shared" si="41"/>
        <v>883</v>
      </c>
      <c r="E904" s="39"/>
      <c r="F904" s="42"/>
      <c r="G904" s="42"/>
      <c r="H904" s="29"/>
      <c r="I904" s="193">
        <f t="array" ref="I904">IF(NOT(ISERROR(MATCH(2,1/(('AllowedShip Class Time Charters'!$D$3:$D$16='Ship Time Charter Rates'!F904)*('AllowedShip Class Time Charters'!$E$3:$E$16='Ship Time Charter Rates'!G904))))),0,"Vessel class and Index Choosen don’t match!")</f>
        <v>0</v>
      </c>
      <c r="J904" s="36" t="s">
        <v>39</v>
      </c>
    </row>
    <row r="905" spans="4:10" ht="15.75">
      <c r="D905" s="37">
        <f t="shared" si="41"/>
        <v>884</v>
      </c>
      <c r="E905" s="39"/>
      <c r="F905" s="42"/>
      <c r="G905" s="42"/>
      <c r="H905" s="29"/>
      <c r="I905" s="193">
        <f t="array" ref="I905">IF(NOT(ISERROR(MATCH(2,1/(('AllowedShip Class Time Charters'!$D$3:$D$16='Ship Time Charter Rates'!F905)*('AllowedShip Class Time Charters'!$E$3:$E$16='Ship Time Charter Rates'!G905))))),0,"Vessel class and Index Choosen don’t match!")</f>
        <v>0</v>
      </c>
      <c r="J905" s="36" t="s">
        <v>39</v>
      </c>
    </row>
    <row r="906" spans="4:10" ht="15.75">
      <c r="D906" s="37">
        <f t="shared" si="41"/>
        <v>885</v>
      </c>
      <c r="E906" s="39"/>
      <c r="F906" s="42"/>
      <c r="G906" s="42"/>
      <c r="H906" s="29"/>
      <c r="I906" s="193">
        <f t="array" ref="I906">IF(NOT(ISERROR(MATCH(2,1/(('AllowedShip Class Time Charters'!$D$3:$D$16='Ship Time Charter Rates'!F906)*('AllowedShip Class Time Charters'!$E$3:$E$16='Ship Time Charter Rates'!G906))))),0,"Vessel class and Index Choosen don’t match!")</f>
        <v>0</v>
      </c>
      <c r="J906" s="36" t="s">
        <v>39</v>
      </c>
    </row>
    <row r="907" spans="4:10" ht="15.75">
      <c r="D907" s="37">
        <f t="shared" si="41"/>
        <v>886</v>
      </c>
      <c r="E907" s="39"/>
      <c r="F907" s="42"/>
      <c r="G907" s="42"/>
      <c r="H907" s="29"/>
      <c r="I907" s="193">
        <f t="array" ref="I907">IF(NOT(ISERROR(MATCH(2,1/(('AllowedShip Class Time Charters'!$D$3:$D$16='Ship Time Charter Rates'!F907)*('AllowedShip Class Time Charters'!$E$3:$E$16='Ship Time Charter Rates'!G907))))),0,"Vessel class and Index Choosen don’t match!")</f>
        <v>0</v>
      </c>
      <c r="J907" s="36" t="s">
        <v>39</v>
      </c>
    </row>
    <row r="908" spans="4:10" ht="15.75">
      <c r="D908" s="37">
        <f t="shared" si="41"/>
        <v>887</v>
      </c>
      <c r="E908" s="39"/>
      <c r="F908" s="42"/>
      <c r="G908" s="42"/>
      <c r="H908" s="29"/>
      <c r="I908" s="193">
        <f t="array" ref="I908">IF(NOT(ISERROR(MATCH(2,1/(('AllowedShip Class Time Charters'!$D$3:$D$16='Ship Time Charter Rates'!F908)*('AllowedShip Class Time Charters'!$E$3:$E$16='Ship Time Charter Rates'!G908))))),0,"Vessel class and Index Choosen don’t match!")</f>
        <v>0</v>
      </c>
      <c r="J908" s="36" t="s">
        <v>39</v>
      </c>
    </row>
    <row r="909" spans="4:10" ht="15.75">
      <c r="D909" s="37">
        <f t="shared" si="41"/>
        <v>888</v>
      </c>
      <c r="E909" s="39"/>
      <c r="F909" s="42"/>
      <c r="G909" s="42"/>
      <c r="H909" s="29"/>
      <c r="I909" s="193">
        <f t="array" ref="I909">IF(NOT(ISERROR(MATCH(2,1/(('AllowedShip Class Time Charters'!$D$3:$D$16='Ship Time Charter Rates'!F909)*('AllowedShip Class Time Charters'!$E$3:$E$16='Ship Time Charter Rates'!G909))))),0,"Vessel class and Index Choosen don’t match!")</f>
        <v>0</v>
      </c>
      <c r="J909" s="36" t="s">
        <v>39</v>
      </c>
    </row>
    <row r="910" spans="4:10" ht="15.75">
      <c r="D910" s="37">
        <f t="shared" si="41"/>
        <v>889</v>
      </c>
      <c r="E910" s="39"/>
      <c r="F910" s="42"/>
      <c r="G910" s="42"/>
      <c r="H910" s="29"/>
      <c r="I910" s="193">
        <f t="array" ref="I910">IF(NOT(ISERROR(MATCH(2,1/(('AllowedShip Class Time Charters'!$D$3:$D$16='Ship Time Charter Rates'!F910)*('AllowedShip Class Time Charters'!$E$3:$E$16='Ship Time Charter Rates'!G910))))),0,"Vessel class and Index Choosen don’t match!")</f>
        <v>0</v>
      </c>
      <c r="J910" s="36" t="s">
        <v>39</v>
      </c>
    </row>
    <row r="911" spans="4:10" ht="15.75">
      <c r="D911" s="37">
        <f t="shared" si="41"/>
        <v>890</v>
      </c>
      <c r="E911" s="39"/>
      <c r="F911" s="42"/>
      <c r="G911" s="42"/>
      <c r="H911" s="29"/>
      <c r="I911" s="193">
        <f t="array" ref="I911">IF(NOT(ISERROR(MATCH(2,1/(('AllowedShip Class Time Charters'!$D$3:$D$16='Ship Time Charter Rates'!F911)*('AllowedShip Class Time Charters'!$E$3:$E$16='Ship Time Charter Rates'!G911))))),0,"Vessel class and Index Choosen don’t match!")</f>
        <v>0</v>
      </c>
      <c r="J911" s="36" t="s">
        <v>39</v>
      </c>
    </row>
    <row r="912" spans="4:10" ht="15.75">
      <c r="D912" s="37">
        <f t="shared" si="41"/>
        <v>891</v>
      </c>
      <c r="E912" s="39"/>
      <c r="F912" s="42"/>
      <c r="G912" s="42"/>
      <c r="H912" s="29"/>
      <c r="I912" s="193">
        <f t="array" ref="I912">IF(NOT(ISERROR(MATCH(2,1/(('AllowedShip Class Time Charters'!$D$3:$D$16='Ship Time Charter Rates'!F912)*('AllowedShip Class Time Charters'!$E$3:$E$16='Ship Time Charter Rates'!G912))))),0,"Vessel class and Index Choosen don’t match!")</f>
        <v>0</v>
      </c>
      <c r="J912" s="36" t="s">
        <v>39</v>
      </c>
    </row>
    <row r="913" spans="4:10" ht="15.75">
      <c r="D913" s="37">
        <f t="shared" si="41"/>
        <v>892</v>
      </c>
      <c r="E913" s="39"/>
      <c r="F913" s="42"/>
      <c r="G913" s="42"/>
      <c r="H913" s="29"/>
      <c r="I913" s="193">
        <f t="array" ref="I913">IF(NOT(ISERROR(MATCH(2,1/(('AllowedShip Class Time Charters'!$D$3:$D$16='Ship Time Charter Rates'!F913)*('AllowedShip Class Time Charters'!$E$3:$E$16='Ship Time Charter Rates'!G913))))),0,"Vessel class and Index Choosen don’t match!")</f>
        <v>0</v>
      </c>
      <c r="J913" s="36" t="s">
        <v>39</v>
      </c>
    </row>
    <row r="914" spans="4:10" ht="15.75">
      <c r="D914" s="37">
        <f t="shared" si="41"/>
        <v>893</v>
      </c>
      <c r="E914" s="39"/>
      <c r="F914" s="42"/>
      <c r="G914" s="42"/>
      <c r="H914" s="29"/>
      <c r="I914" s="193">
        <f t="array" ref="I914">IF(NOT(ISERROR(MATCH(2,1/(('AllowedShip Class Time Charters'!$D$3:$D$16='Ship Time Charter Rates'!F914)*('AllowedShip Class Time Charters'!$E$3:$E$16='Ship Time Charter Rates'!G914))))),0,"Vessel class and Index Choosen don’t match!")</f>
        <v>0</v>
      </c>
      <c r="J914" s="36" t="s">
        <v>39</v>
      </c>
    </row>
    <row r="915" spans="4:10" ht="15.75">
      <c r="D915" s="37">
        <f t="shared" si="41"/>
        <v>894</v>
      </c>
      <c r="E915" s="39"/>
      <c r="F915" s="42"/>
      <c r="G915" s="42"/>
      <c r="H915" s="29"/>
      <c r="I915" s="193">
        <f t="array" ref="I915">IF(NOT(ISERROR(MATCH(2,1/(('AllowedShip Class Time Charters'!$D$3:$D$16='Ship Time Charter Rates'!F915)*('AllowedShip Class Time Charters'!$E$3:$E$16='Ship Time Charter Rates'!G915))))),0,"Vessel class and Index Choosen don’t match!")</f>
        <v>0</v>
      </c>
      <c r="J915" s="36" t="s">
        <v>39</v>
      </c>
    </row>
    <row r="916" spans="4:10" ht="15.75">
      <c r="D916" s="37">
        <f t="shared" si="41"/>
        <v>895</v>
      </c>
      <c r="E916" s="39"/>
      <c r="F916" s="42"/>
      <c r="G916" s="42"/>
      <c r="H916" s="29"/>
      <c r="I916" s="193">
        <f t="array" ref="I916">IF(NOT(ISERROR(MATCH(2,1/(('AllowedShip Class Time Charters'!$D$3:$D$16='Ship Time Charter Rates'!F916)*('AllowedShip Class Time Charters'!$E$3:$E$16='Ship Time Charter Rates'!G916))))),0,"Vessel class and Index Choosen don’t match!")</f>
        <v>0</v>
      </c>
      <c r="J916" s="36" t="s">
        <v>39</v>
      </c>
    </row>
    <row r="917" spans="4:10" ht="15.75">
      <c r="D917" s="37">
        <f t="shared" si="41"/>
        <v>896</v>
      </c>
      <c r="E917" s="39"/>
      <c r="F917" s="42"/>
      <c r="G917" s="42"/>
      <c r="H917" s="29"/>
      <c r="I917" s="193">
        <f t="array" ref="I917">IF(NOT(ISERROR(MATCH(2,1/(('AllowedShip Class Time Charters'!$D$3:$D$16='Ship Time Charter Rates'!F917)*('AllowedShip Class Time Charters'!$E$3:$E$16='Ship Time Charter Rates'!G917))))),0,"Vessel class and Index Choosen don’t match!")</f>
        <v>0</v>
      </c>
      <c r="J917" s="36" t="s">
        <v>39</v>
      </c>
    </row>
    <row r="918" spans="4:10" ht="15.75">
      <c r="D918" s="37">
        <f t="shared" si="41"/>
        <v>897</v>
      </c>
      <c r="E918" s="39"/>
      <c r="F918" s="42"/>
      <c r="G918" s="42"/>
      <c r="H918" s="29"/>
      <c r="I918" s="193">
        <f t="array" ref="I918">IF(NOT(ISERROR(MATCH(2,1/(('AllowedShip Class Time Charters'!$D$3:$D$16='Ship Time Charter Rates'!F918)*('AllowedShip Class Time Charters'!$E$3:$E$16='Ship Time Charter Rates'!G918))))),0,"Vessel class and Index Choosen don’t match!")</f>
        <v>0</v>
      </c>
      <c r="J918" s="36" t="s">
        <v>39</v>
      </c>
    </row>
    <row r="919" spans="4:10" ht="15.75">
      <c r="D919" s="37">
        <f t="shared" si="41"/>
        <v>898</v>
      </c>
      <c r="E919" s="39"/>
      <c r="F919" s="42"/>
      <c r="G919" s="42"/>
      <c r="H919" s="29"/>
      <c r="I919" s="193">
        <f t="array" ref="I919">IF(NOT(ISERROR(MATCH(2,1/(('AllowedShip Class Time Charters'!$D$3:$D$16='Ship Time Charter Rates'!F919)*('AllowedShip Class Time Charters'!$E$3:$E$16='Ship Time Charter Rates'!G919))))),0,"Vessel class and Index Choosen don’t match!")</f>
        <v>0</v>
      </c>
      <c r="J919" s="36" t="s">
        <v>39</v>
      </c>
    </row>
    <row r="920" spans="4:10" ht="15.75">
      <c r="D920" s="37">
        <f t="shared" si="41"/>
        <v>899</v>
      </c>
      <c r="E920" s="39"/>
      <c r="F920" s="42"/>
      <c r="G920" s="42"/>
      <c r="H920" s="29"/>
      <c r="I920" s="193">
        <f t="array" ref="I920">IF(NOT(ISERROR(MATCH(2,1/(('AllowedShip Class Time Charters'!$D$3:$D$16='Ship Time Charter Rates'!F920)*('AllowedShip Class Time Charters'!$E$3:$E$16='Ship Time Charter Rates'!G920))))),0,"Vessel class and Index Choosen don’t match!")</f>
        <v>0</v>
      </c>
      <c r="J920" s="36" t="s">
        <v>39</v>
      </c>
    </row>
    <row r="921" spans="4:10" ht="15.75">
      <c r="D921" s="37">
        <f t="shared" si="41"/>
        <v>900</v>
      </c>
      <c r="E921" s="39"/>
      <c r="F921" s="42"/>
      <c r="G921" s="42"/>
      <c r="H921" s="29"/>
      <c r="I921" s="193">
        <f t="array" ref="I921">IF(NOT(ISERROR(MATCH(2,1/(('AllowedShip Class Time Charters'!$D$3:$D$16='Ship Time Charter Rates'!F921)*('AllowedShip Class Time Charters'!$E$3:$E$16='Ship Time Charter Rates'!G921))))),0,"Vessel class and Index Choosen don’t match!")</f>
        <v>0</v>
      </c>
      <c r="J921" s="36" t="s">
        <v>39</v>
      </c>
    </row>
    <row r="922" spans="4:10" ht="15.75">
      <c r="D922" s="37">
        <f t="shared" si="41"/>
        <v>901</v>
      </c>
      <c r="E922" s="39"/>
      <c r="F922" s="42"/>
      <c r="G922" s="42"/>
      <c r="H922" s="29"/>
      <c r="I922" s="193">
        <f t="array" ref="I922">IF(NOT(ISERROR(MATCH(2,1/(('AllowedShip Class Time Charters'!$D$3:$D$16='Ship Time Charter Rates'!F922)*('AllowedShip Class Time Charters'!$E$3:$E$16='Ship Time Charter Rates'!G922))))),0,"Vessel class and Index Choosen don’t match!")</f>
        <v>0</v>
      </c>
      <c r="J922" s="36" t="s">
        <v>39</v>
      </c>
    </row>
    <row r="923" spans="4:10" ht="15.75">
      <c r="D923" s="37">
        <f t="shared" si="41"/>
        <v>902</v>
      </c>
      <c r="E923" s="39"/>
      <c r="F923" s="42"/>
      <c r="G923" s="42"/>
      <c r="H923" s="29"/>
      <c r="I923" s="193">
        <f t="array" ref="I923">IF(NOT(ISERROR(MATCH(2,1/(('AllowedShip Class Time Charters'!$D$3:$D$16='Ship Time Charter Rates'!F923)*('AllowedShip Class Time Charters'!$E$3:$E$16='Ship Time Charter Rates'!G923))))),0,"Vessel class and Index Choosen don’t match!")</f>
        <v>0</v>
      </c>
      <c r="J923" s="36" t="s">
        <v>39</v>
      </c>
    </row>
    <row r="924" spans="4:10" ht="15.75">
      <c r="D924" s="37">
        <f t="shared" si="41"/>
        <v>903</v>
      </c>
      <c r="E924" s="39"/>
      <c r="F924" s="42"/>
      <c r="G924" s="42"/>
      <c r="H924" s="29"/>
      <c r="I924" s="193">
        <f t="array" ref="I924">IF(NOT(ISERROR(MATCH(2,1/(('AllowedShip Class Time Charters'!$D$3:$D$16='Ship Time Charter Rates'!F924)*('AllowedShip Class Time Charters'!$E$3:$E$16='Ship Time Charter Rates'!G924))))),0,"Vessel class and Index Choosen don’t match!")</f>
        <v>0</v>
      </c>
      <c r="J924" s="36" t="s">
        <v>39</v>
      </c>
    </row>
    <row r="925" spans="4:10" ht="15.75">
      <c r="D925" s="37">
        <f t="shared" si="41"/>
        <v>904</v>
      </c>
      <c r="E925" s="39"/>
      <c r="F925" s="42"/>
      <c r="G925" s="42"/>
      <c r="H925" s="29"/>
      <c r="I925" s="193">
        <f t="array" ref="I925">IF(NOT(ISERROR(MATCH(2,1/(('AllowedShip Class Time Charters'!$D$3:$D$16='Ship Time Charter Rates'!F925)*('AllowedShip Class Time Charters'!$E$3:$E$16='Ship Time Charter Rates'!G925))))),0,"Vessel class and Index Choosen don’t match!")</f>
        <v>0</v>
      </c>
      <c r="J925" s="36" t="s">
        <v>39</v>
      </c>
    </row>
    <row r="926" spans="4:10" ht="15.75">
      <c r="D926" s="37">
        <f t="shared" si="41"/>
        <v>905</v>
      </c>
      <c r="E926" s="39"/>
      <c r="F926" s="42"/>
      <c r="G926" s="42"/>
      <c r="H926" s="29"/>
      <c r="I926" s="193">
        <f t="array" ref="I926">IF(NOT(ISERROR(MATCH(2,1/(('AllowedShip Class Time Charters'!$D$3:$D$16='Ship Time Charter Rates'!F926)*('AllowedShip Class Time Charters'!$E$3:$E$16='Ship Time Charter Rates'!G926))))),0,"Vessel class and Index Choosen don’t match!")</f>
        <v>0</v>
      </c>
      <c r="J926" s="36" t="s">
        <v>39</v>
      </c>
    </row>
    <row r="927" spans="4:10" ht="15.75">
      <c r="D927" s="37">
        <f t="shared" si="41"/>
        <v>906</v>
      </c>
      <c r="E927" s="39"/>
      <c r="F927" s="42"/>
      <c r="G927" s="42"/>
      <c r="H927" s="29"/>
      <c r="I927" s="193">
        <f t="array" ref="I927">IF(NOT(ISERROR(MATCH(2,1/(('AllowedShip Class Time Charters'!$D$3:$D$16='Ship Time Charter Rates'!F927)*('AllowedShip Class Time Charters'!$E$3:$E$16='Ship Time Charter Rates'!G927))))),0,"Vessel class and Index Choosen don’t match!")</f>
        <v>0</v>
      </c>
      <c r="J927" s="36" t="s">
        <v>39</v>
      </c>
    </row>
    <row r="928" spans="4:10" ht="15.75">
      <c r="D928" s="37">
        <f t="shared" si="41"/>
        <v>907</v>
      </c>
      <c r="E928" s="39"/>
      <c r="F928" s="42"/>
      <c r="G928" s="42"/>
      <c r="H928" s="29"/>
      <c r="I928" s="193">
        <f t="array" ref="I928">IF(NOT(ISERROR(MATCH(2,1/(('AllowedShip Class Time Charters'!$D$3:$D$16='Ship Time Charter Rates'!F928)*('AllowedShip Class Time Charters'!$E$3:$E$16='Ship Time Charter Rates'!G928))))),0,"Vessel class and Index Choosen don’t match!")</f>
        <v>0</v>
      </c>
      <c r="J928" s="36" t="s">
        <v>39</v>
      </c>
    </row>
    <row r="929" spans="4:10" ht="15.75">
      <c r="D929" s="37">
        <f t="shared" si="41"/>
        <v>908</v>
      </c>
      <c r="E929" s="39"/>
      <c r="F929" s="42"/>
      <c r="G929" s="42"/>
      <c r="H929" s="29"/>
      <c r="I929" s="193">
        <f t="array" ref="I929">IF(NOT(ISERROR(MATCH(2,1/(('AllowedShip Class Time Charters'!$D$3:$D$16='Ship Time Charter Rates'!F929)*('AllowedShip Class Time Charters'!$E$3:$E$16='Ship Time Charter Rates'!G929))))),0,"Vessel class and Index Choosen don’t match!")</f>
        <v>0</v>
      </c>
      <c r="J929" s="36" t="s">
        <v>39</v>
      </c>
    </row>
    <row r="930" spans="4:10" ht="15.75">
      <c r="D930" s="37">
        <f t="shared" si="41"/>
        <v>909</v>
      </c>
      <c r="E930" s="39"/>
      <c r="F930" s="42"/>
      <c r="G930" s="42"/>
      <c r="H930" s="29"/>
      <c r="I930" s="193">
        <f t="array" ref="I930">IF(NOT(ISERROR(MATCH(2,1/(('AllowedShip Class Time Charters'!$D$3:$D$16='Ship Time Charter Rates'!F930)*('AllowedShip Class Time Charters'!$E$3:$E$16='Ship Time Charter Rates'!G930))))),0,"Vessel class and Index Choosen don’t match!")</f>
        <v>0</v>
      </c>
      <c r="J930" s="36" t="s">
        <v>39</v>
      </c>
    </row>
    <row r="931" spans="4:10" ht="15.75">
      <c r="D931" s="37">
        <f t="shared" si="41"/>
        <v>910</v>
      </c>
      <c r="E931" s="39"/>
      <c r="F931" s="42"/>
      <c r="G931" s="42"/>
      <c r="H931" s="29"/>
      <c r="I931" s="193">
        <f t="array" ref="I931">IF(NOT(ISERROR(MATCH(2,1/(('AllowedShip Class Time Charters'!$D$3:$D$16='Ship Time Charter Rates'!F931)*('AllowedShip Class Time Charters'!$E$3:$E$16='Ship Time Charter Rates'!G931))))),0,"Vessel class and Index Choosen don’t match!")</f>
        <v>0</v>
      </c>
      <c r="J931" s="36" t="s">
        <v>39</v>
      </c>
    </row>
    <row r="932" spans="4:10" ht="15.75">
      <c r="D932" s="37">
        <f t="shared" si="41"/>
        <v>911</v>
      </c>
      <c r="E932" s="39"/>
      <c r="F932" s="42"/>
      <c r="G932" s="42"/>
      <c r="H932" s="29"/>
      <c r="I932" s="193">
        <f t="array" ref="I932">IF(NOT(ISERROR(MATCH(2,1/(('AllowedShip Class Time Charters'!$D$3:$D$16='Ship Time Charter Rates'!F932)*('AllowedShip Class Time Charters'!$E$3:$E$16='Ship Time Charter Rates'!G932))))),0,"Vessel class and Index Choosen don’t match!")</f>
        <v>0</v>
      </c>
      <c r="J932" s="36" t="s">
        <v>39</v>
      </c>
    </row>
    <row r="933" spans="4:10" ht="15.75">
      <c r="D933" s="37">
        <f t="shared" si="41"/>
        <v>912</v>
      </c>
      <c r="E933" s="39"/>
      <c r="F933" s="42"/>
      <c r="G933" s="42"/>
      <c r="H933" s="29"/>
      <c r="I933" s="193">
        <f t="array" ref="I933">IF(NOT(ISERROR(MATCH(2,1/(('AllowedShip Class Time Charters'!$D$3:$D$16='Ship Time Charter Rates'!F933)*('AllowedShip Class Time Charters'!$E$3:$E$16='Ship Time Charter Rates'!G933))))),0,"Vessel class and Index Choosen don’t match!")</f>
        <v>0</v>
      </c>
      <c r="J933" s="36" t="s">
        <v>39</v>
      </c>
    </row>
    <row r="934" spans="4:10" ht="15.75">
      <c r="D934" s="37">
        <f t="shared" si="41"/>
        <v>913</v>
      </c>
      <c r="E934" s="39"/>
      <c r="F934" s="42"/>
      <c r="G934" s="42"/>
      <c r="H934" s="29"/>
      <c r="I934" s="193">
        <f t="array" ref="I934">IF(NOT(ISERROR(MATCH(2,1/(('AllowedShip Class Time Charters'!$D$3:$D$16='Ship Time Charter Rates'!F934)*('AllowedShip Class Time Charters'!$E$3:$E$16='Ship Time Charter Rates'!G934))))),0,"Vessel class and Index Choosen don’t match!")</f>
        <v>0</v>
      </c>
      <c r="J934" s="36" t="s">
        <v>39</v>
      </c>
    </row>
    <row r="935" spans="4:10" ht="15.75">
      <c r="D935" s="37">
        <f t="shared" si="41"/>
        <v>914</v>
      </c>
      <c r="E935" s="39"/>
      <c r="F935" s="42"/>
      <c r="G935" s="42"/>
      <c r="H935" s="29"/>
      <c r="I935" s="193">
        <f t="array" ref="I935">IF(NOT(ISERROR(MATCH(2,1/(('AllowedShip Class Time Charters'!$D$3:$D$16='Ship Time Charter Rates'!F935)*('AllowedShip Class Time Charters'!$E$3:$E$16='Ship Time Charter Rates'!G935))))),0,"Vessel class and Index Choosen don’t match!")</f>
        <v>0</v>
      </c>
      <c r="J935" s="36" t="s">
        <v>39</v>
      </c>
    </row>
    <row r="936" spans="4:10" ht="15.75">
      <c r="D936" s="37">
        <f t="shared" si="41"/>
        <v>915</v>
      </c>
      <c r="E936" s="39"/>
      <c r="F936" s="42"/>
      <c r="G936" s="42"/>
      <c r="H936" s="29"/>
      <c r="I936" s="193">
        <f t="array" ref="I936">IF(NOT(ISERROR(MATCH(2,1/(('AllowedShip Class Time Charters'!$D$3:$D$16='Ship Time Charter Rates'!F936)*('AllowedShip Class Time Charters'!$E$3:$E$16='Ship Time Charter Rates'!G936))))),0,"Vessel class and Index Choosen don’t match!")</f>
        <v>0</v>
      </c>
      <c r="J936" s="36" t="s">
        <v>39</v>
      </c>
    </row>
    <row r="937" spans="4:10" ht="15.75">
      <c r="D937" s="37">
        <f t="shared" si="41"/>
        <v>916</v>
      </c>
      <c r="E937" s="39"/>
      <c r="F937" s="42"/>
      <c r="G937" s="42"/>
      <c r="H937" s="29"/>
      <c r="I937" s="193">
        <f t="array" ref="I937">IF(NOT(ISERROR(MATCH(2,1/(('AllowedShip Class Time Charters'!$D$3:$D$16='Ship Time Charter Rates'!F937)*('AllowedShip Class Time Charters'!$E$3:$E$16='Ship Time Charter Rates'!G937))))),0,"Vessel class and Index Choosen don’t match!")</f>
        <v>0</v>
      </c>
      <c r="J937" s="36" t="s">
        <v>39</v>
      </c>
    </row>
    <row r="938" spans="4:10" ht="15.75">
      <c r="D938" s="37">
        <f t="shared" si="41"/>
        <v>917</v>
      </c>
      <c r="E938" s="39"/>
      <c r="F938" s="42"/>
      <c r="G938" s="42"/>
      <c r="H938" s="29"/>
      <c r="I938" s="193">
        <f t="array" ref="I938">IF(NOT(ISERROR(MATCH(2,1/(('AllowedShip Class Time Charters'!$D$3:$D$16='Ship Time Charter Rates'!F938)*('AllowedShip Class Time Charters'!$E$3:$E$16='Ship Time Charter Rates'!G938))))),0,"Vessel class and Index Choosen don’t match!")</f>
        <v>0</v>
      </c>
      <c r="J938" s="36" t="s">
        <v>39</v>
      </c>
    </row>
    <row r="939" spans="4:10" ht="15.75">
      <c r="D939" s="37">
        <f t="shared" si="41"/>
        <v>918</v>
      </c>
      <c r="E939" s="39"/>
      <c r="F939" s="42"/>
      <c r="G939" s="42"/>
      <c r="H939" s="29"/>
      <c r="I939" s="193">
        <f t="array" ref="I939">IF(NOT(ISERROR(MATCH(2,1/(('AllowedShip Class Time Charters'!$D$3:$D$16='Ship Time Charter Rates'!F939)*('AllowedShip Class Time Charters'!$E$3:$E$16='Ship Time Charter Rates'!G939))))),0,"Vessel class and Index Choosen don’t match!")</f>
        <v>0</v>
      </c>
      <c r="J939" s="36" t="s">
        <v>39</v>
      </c>
    </row>
    <row r="940" spans="4:10" ht="15.75">
      <c r="D940" s="37">
        <f t="shared" si="41"/>
        <v>919</v>
      </c>
      <c r="E940" s="39"/>
      <c r="F940" s="42"/>
      <c r="G940" s="42"/>
      <c r="H940" s="29"/>
      <c r="I940" s="193">
        <f t="array" ref="I940">IF(NOT(ISERROR(MATCH(2,1/(('AllowedShip Class Time Charters'!$D$3:$D$16='Ship Time Charter Rates'!F940)*('AllowedShip Class Time Charters'!$E$3:$E$16='Ship Time Charter Rates'!G940))))),0,"Vessel class and Index Choosen don’t match!")</f>
        <v>0</v>
      </c>
      <c r="J940" s="36" t="s">
        <v>39</v>
      </c>
    </row>
    <row r="941" spans="4:10" ht="15.75">
      <c r="D941" s="37">
        <f t="shared" si="41"/>
        <v>920</v>
      </c>
      <c r="E941" s="39"/>
      <c r="F941" s="42"/>
      <c r="G941" s="42"/>
      <c r="H941" s="29"/>
      <c r="I941" s="193">
        <f t="array" ref="I941">IF(NOT(ISERROR(MATCH(2,1/(('AllowedShip Class Time Charters'!$D$3:$D$16='Ship Time Charter Rates'!F941)*('AllowedShip Class Time Charters'!$E$3:$E$16='Ship Time Charter Rates'!G941))))),0,"Vessel class and Index Choosen don’t match!")</f>
        <v>0</v>
      </c>
      <c r="J941" s="36" t="s">
        <v>39</v>
      </c>
    </row>
    <row r="942" spans="4:10" ht="15.75">
      <c r="D942" s="37">
        <f t="shared" si="41"/>
        <v>921</v>
      </c>
      <c r="E942" s="39"/>
      <c r="F942" s="42"/>
      <c r="G942" s="42"/>
      <c r="H942" s="29"/>
      <c r="I942" s="193">
        <f t="array" ref="I942">IF(NOT(ISERROR(MATCH(2,1/(('AllowedShip Class Time Charters'!$D$3:$D$16='Ship Time Charter Rates'!F942)*('AllowedShip Class Time Charters'!$E$3:$E$16='Ship Time Charter Rates'!G942))))),0,"Vessel class and Index Choosen don’t match!")</f>
        <v>0</v>
      </c>
      <c r="J942" s="36" t="s">
        <v>39</v>
      </c>
    </row>
    <row r="943" spans="4:10" ht="15.75">
      <c r="D943" s="37">
        <f t="shared" si="41"/>
        <v>922</v>
      </c>
      <c r="E943" s="39"/>
      <c r="F943" s="42"/>
      <c r="G943" s="42"/>
      <c r="H943" s="29"/>
      <c r="I943" s="193">
        <f t="array" ref="I943">IF(NOT(ISERROR(MATCH(2,1/(('AllowedShip Class Time Charters'!$D$3:$D$16='Ship Time Charter Rates'!F943)*('AllowedShip Class Time Charters'!$E$3:$E$16='Ship Time Charter Rates'!G943))))),0,"Vessel class and Index Choosen don’t match!")</f>
        <v>0</v>
      </c>
      <c r="J943" s="36" t="s">
        <v>39</v>
      </c>
    </row>
    <row r="944" spans="4:10" ht="15.75">
      <c r="D944" s="37">
        <f t="shared" si="41"/>
        <v>923</v>
      </c>
      <c r="E944" s="39"/>
      <c r="F944" s="42"/>
      <c r="G944" s="42"/>
      <c r="H944" s="29"/>
      <c r="I944" s="193">
        <f t="array" ref="I944">IF(NOT(ISERROR(MATCH(2,1/(('AllowedShip Class Time Charters'!$D$3:$D$16='Ship Time Charter Rates'!F944)*('AllowedShip Class Time Charters'!$E$3:$E$16='Ship Time Charter Rates'!G944))))),0,"Vessel class and Index Choosen don’t match!")</f>
        <v>0</v>
      </c>
      <c r="J944" s="36" t="s">
        <v>39</v>
      </c>
    </row>
    <row r="945" spans="4:10" ht="15.75">
      <c r="D945" s="37">
        <f t="shared" si="41"/>
        <v>924</v>
      </c>
      <c r="E945" s="39"/>
      <c r="F945" s="42"/>
      <c r="G945" s="42"/>
      <c r="H945" s="29"/>
      <c r="I945" s="193">
        <f t="array" ref="I945">IF(NOT(ISERROR(MATCH(2,1/(('AllowedShip Class Time Charters'!$D$3:$D$16='Ship Time Charter Rates'!F945)*('AllowedShip Class Time Charters'!$E$3:$E$16='Ship Time Charter Rates'!G945))))),0,"Vessel class and Index Choosen don’t match!")</f>
        <v>0</v>
      </c>
      <c r="J945" s="36" t="s">
        <v>39</v>
      </c>
    </row>
    <row r="946" spans="4:10" ht="15.75">
      <c r="D946" s="37">
        <f t="shared" si="41"/>
        <v>925</v>
      </c>
      <c r="E946" s="39"/>
      <c r="F946" s="42"/>
      <c r="G946" s="42"/>
      <c r="H946" s="29"/>
      <c r="I946" s="193">
        <f t="array" ref="I946">IF(NOT(ISERROR(MATCH(2,1/(('AllowedShip Class Time Charters'!$D$3:$D$16='Ship Time Charter Rates'!F946)*('AllowedShip Class Time Charters'!$E$3:$E$16='Ship Time Charter Rates'!G946))))),0,"Vessel class and Index Choosen don’t match!")</f>
        <v>0</v>
      </c>
      <c r="J946" s="36" t="s">
        <v>39</v>
      </c>
    </row>
    <row r="947" spans="4:10" ht="15.75">
      <c r="D947" s="37">
        <f t="shared" si="41"/>
        <v>926</v>
      </c>
      <c r="E947" s="39"/>
      <c r="F947" s="42"/>
      <c r="G947" s="42"/>
      <c r="H947" s="29"/>
      <c r="I947" s="193">
        <f t="array" ref="I947">IF(NOT(ISERROR(MATCH(2,1/(('AllowedShip Class Time Charters'!$D$3:$D$16='Ship Time Charter Rates'!F947)*('AllowedShip Class Time Charters'!$E$3:$E$16='Ship Time Charter Rates'!G947))))),0,"Vessel class and Index Choosen don’t match!")</f>
        <v>0</v>
      </c>
      <c r="J947" s="36" t="s">
        <v>39</v>
      </c>
    </row>
    <row r="948" spans="4:10" ht="15.75">
      <c r="D948" s="37">
        <f t="shared" si="41"/>
        <v>927</v>
      </c>
      <c r="E948" s="39"/>
      <c r="F948" s="42"/>
      <c r="G948" s="42"/>
      <c r="H948" s="29"/>
      <c r="I948" s="193">
        <f t="array" ref="I948">IF(NOT(ISERROR(MATCH(2,1/(('AllowedShip Class Time Charters'!$D$3:$D$16='Ship Time Charter Rates'!F948)*('AllowedShip Class Time Charters'!$E$3:$E$16='Ship Time Charter Rates'!G948))))),0,"Vessel class and Index Choosen don’t match!")</f>
        <v>0</v>
      </c>
      <c r="J948" s="36" t="s">
        <v>39</v>
      </c>
    </row>
    <row r="949" spans="4:10" ht="15.75">
      <c r="D949" s="37">
        <f t="shared" si="41"/>
        <v>928</v>
      </c>
      <c r="E949" s="39"/>
      <c r="F949" s="42"/>
      <c r="G949" s="42"/>
      <c r="H949" s="29"/>
      <c r="I949" s="193">
        <f t="array" ref="I949">IF(NOT(ISERROR(MATCH(2,1/(('AllowedShip Class Time Charters'!$D$3:$D$16='Ship Time Charter Rates'!F949)*('AllowedShip Class Time Charters'!$E$3:$E$16='Ship Time Charter Rates'!G949))))),0,"Vessel class and Index Choosen don’t match!")</f>
        <v>0</v>
      </c>
      <c r="J949" s="36" t="s">
        <v>39</v>
      </c>
    </row>
    <row r="950" spans="4:10" ht="15.75">
      <c r="D950" s="37">
        <f t="shared" si="41"/>
        <v>929</v>
      </c>
      <c r="E950" s="39"/>
      <c r="F950" s="42"/>
      <c r="G950" s="42"/>
      <c r="H950" s="29"/>
      <c r="I950" s="193">
        <f t="array" ref="I950">IF(NOT(ISERROR(MATCH(2,1/(('AllowedShip Class Time Charters'!$D$3:$D$16='Ship Time Charter Rates'!F950)*('AllowedShip Class Time Charters'!$E$3:$E$16='Ship Time Charter Rates'!G950))))),0,"Vessel class and Index Choosen don’t match!")</f>
        <v>0</v>
      </c>
      <c r="J950" s="36" t="s">
        <v>39</v>
      </c>
    </row>
    <row r="951" spans="4:10" ht="15.75">
      <c r="D951" s="37">
        <f t="shared" si="41"/>
        <v>930</v>
      </c>
      <c r="E951" s="39"/>
      <c r="F951" s="42"/>
      <c r="G951" s="42"/>
      <c r="H951" s="29"/>
      <c r="I951" s="193">
        <f t="array" ref="I951">IF(NOT(ISERROR(MATCH(2,1/(('AllowedShip Class Time Charters'!$D$3:$D$16='Ship Time Charter Rates'!F951)*('AllowedShip Class Time Charters'!$E$3:$E$16='Ship Time Charter Rates'!G951))))),0,"Vessel class and Index Choosen don’t match!")</f>
        <v>0</v>
      </c>
      <c r="J951" s="36" t="s">
        <v>39</v>
      </c>
    </row>
    <row r="952" spans="4:10" ht="15.75">
      <c r="D952" s="37">
        <f t="shared" si="41"/>
        <v>931</v>
      </c>
      <c r="E952" s="39"/>
      <c r="F952" s="42"/>
      <c r="G952" s="42"/>
      <c r="H952" s="29"/>
      <c r="I952" s="193">
        <f t="array" ref="I952">IF(NOT(ISERROR(MATCH(2,1/(('AllowedShip Class Time Charters'!$D$3:$D$16='Ship Time Charter Rates'!F952)*('AllowedShip Class Time Charters'!$E$3:$E$16='Ship Time Charter Rates'!G952))))),0,"Vessel class and Index Choosen don’t match!")</f>
        <v>0</v>
      </c>
      <c r="J952" s="36" t="s">
        <v>39</v>
      </c>
    </row>
    <row r="953" spans="4:10" ht="15.75">
      <c r="D953" s="37">
        <f t="shared" si="41"/>
        <v>932</v>
      </c>
      <c r="E953" s="39"/>
      <c r="F953" s="42"/>
      <c r="G953" s="42"/>
      <c r="H953" s="29"/>
      <c r="I953" s="193">
        <f t="array" ref="I953">IF(NOT(ISERROR(MATCH(2,1/(('AllowedShip Class Time Charters'!$D$3:$D$16='Ship Time Charter Rates'!F953)*('AllowedShip Class Time Charters'!$E$3:$E$16='Ship Time Charter Rates'!G953))))),0,"Vessel class and Index Choosen don’t match!")</f>
        <v>0</v>
      </c>
      <c r="J953" s="36" t="s">
        <v>39</v>
      </c>
    </row>
    <row r="954" spans="4:10" ht="15.75">
      <c r="D954" s="37">
        <f t="shared" si="41"/>
        <v>933</v>
      </c>
      <c r="E954" s="39"/>
      <c r="F954" s="42"/>
      <c r="G954" s="42"/>
      <c r="H954" s="29"/>
      <c r="I954" s="193">
        <f t="array" ref="I954">IF(NOT(ISERROR(MATCH(2,1/(('AllowedShip Class Time Charters'!$D$3:$D$16='Ship Time Charter Rates'!F954)*('AllowedShip Class Time Charters'!$E$3:$E$16='Ship Time Charter Rates'!G954))))),0,"Vessel class and Index Choosen don’t match!")</f>
        <v>0</v>
      </c>
      <c r="J954" s="36" t="s">
        <v>39</v>
      </c>
    </row>
    <row r="955" spans="4:10" ht="15.75">
      <c r="D955" s="37">
        <f t="shared" si="41"/>
        <v>934</v>
      </c>
      <c r="E955" s="39"/>
      <c r="F955" s="42"/>
      <c r="G955" s="42"/>
      <c r="H955" s="29"/>
      <c r="I955" s="193">
        <f t="array" ref="I955">IF(NOT(ISERROR(MATCH(2,1/(('AllowedShip Class Time Charters'!$D$3:$D$16='Ship Time Charter Rates'!F955)*('AllowedShip Class Time Charters'!$E$3:$E$16='Ship Time Charter Rates'!G955))))),0,"Vessel class and Index Choosen don’t match!")</f>
        <v>0</v>
      </c>
      <c r="J955" s="36" t="s">
        <v>39</v>
      </c>
    </row>
    <row r="956" spans="4:10" ht="15.75">
      <c r="D956" s="37">
        <f t="shared" si="41"/>
        <v>935</v>
      </c>
      <c r="E956" s="39"/>
      <c r="F956" s="42"/>
      <c r="G956" s="42"/>
      <c r="H956" s="29"/>
      <c r="I956" s="193">
        <f t="array" ref="I956">IF(NOT(ISERROR(MATCH(2,1/(('AllowedShip Class Time Charters'!$D$3:$D$16='Ship Time Charter Rates'!F956)*('AllowedShip Class Time Charters'!$E$3:$E$16='Ship Time Charter Rates'!G956))))),0,"Vessel class and Index Choosen don’t match!")</f>
        <v>0</v>
      </c>
      <c r="J956" s="36" t="s">
        <v>39</v>
      </c>
    </row>
    <row r="957" spans="4:10" ht="15.75">
      <c r="D957" s="37">
        <f t="shared" si="41"/>
        <v>936</v>
      </c>
      <c r="E957" s="39"/>
      <c r="F957" s="42"/>
      <c r="G957" s="42"/>
      <c r="H957" s="29"/>
      <c r="I957" s="193">
        <f t="array" ref="I957">IF(NOT(ISERROR(MATCH(2,1/(('AllowedShip Class Time Charters'!$D$3:$D$16='Ship Time Charter Rates'!F957)*('AllowedShip Class Time Charters'!$E$3:$E$16='Ship Time Charter Rates'!G957))))),0,"Vessel class and Index Choosen don’t match!")</f>
        <v>0</v>
      </c>
      <c r="J957" s="36" t="s">
        <v>39</v>
      </c>
    </row>
    <row r="958" spans="4:10" ht="15.75">
      <c r="D958" s="37">
        <f t="shared" si="41"/>
        <v>937</v>
      </c>
      <c r="E958" s="39"/>
      <c r="F958" s="42"/>
      <c r="G958" s="42"/>
      <c r="H958" s="29"/>
      <c r="I958" s="193">
        <f t="array" ref="I958">IF(NOT(ISERROR(MATCH(2,1/(('AllowedShip Class Time Charters'!$D$3:$D$16='Ship Time Charter Rates'!F958)*('AllowedShip Class Time Charters'!$E$3:$E$16='Ship Time Charter Rates'!G958))))),0,"Vessel class and Index Choosen don’t match!")</f>
        <v>0</v>
      </c>
      <c r="J958" s="36" t="s">
        <v>39</v>
      </c>
    </row>
    <row r="959" spans="4:10" ht="15.75">
      <c r="D959" s="37">
        <f t="shared" si="41"/>
        <v>938</v>
      </c>
      <c r="E959" s="39"/>
      <c r="F959" s="42"/>
      <c r="G959" s="42"/>
      <c r="H959" s="29"/>
      <c r="I959" s="193">
        <f t="array" ref="I959">IF(NOT(ISERROR(MATCH(2,1/(('AllowedShip Class Time Charters'!$D$3:$D$16='Ship Time Charter Rates'!F959)*('AllowedShip Class Time Charters'!$E$3:$E$16='Ship Time Charter Rates'!G959))))),0,"Vessel class and Index Choosen don’t match!")</f>
        <v>0</v>
      </c>
      <c r="J959" s="36" t="s">
        <v>39</v>
      </c>
    </row>
    <row r="960" spans="4:10" ht="15.75">
      <c r="D960" s="37">
        <f t="shared" si="41"/>
        <v>939</v>
      </c>
      <c r="E960" s="39"/>
      <c r="F960" s="42"/>
      <c r="G960" s="42"/>
      <c r="H960" s="29"/>
      <c r="I960" s="193">
        <f t="array" ref="I960">IF(NOT(ISERROR(MATCH(2,1/(('AllowedShip Class Time Charters'!$D$3:$D$16='Ship Time Charter Rates'!F960)*('AllowedShip Class Time Charters'!$E$3:$E$16='Ship Time Charter Rates'!G960))))),0,"Vessel class and Index Choosen don’t match!")</f>
        <v>0</v>
      </c>
      <c r="J960" s="36" t="s">
        <v>39</v>
      </c>
    </row>
    <row r="961" spans="4:10" ht="15.75">
      <c r="D961" s="37">
        <f t="shared" ref="D961:D1021" si="42">D960+1</f>
        <v>940</v>
      </c>
      <c r="E961" s="39"/>
      <c r="F961" s="42"/>
      <c r="G961" s="42"/>
      <c r="H961" s="29"/>
      <c r="I961" s="193">
        <f t="array" ref="I961">IF(NOT(ISERROR(MATCH(2,1/(('AllowedShip Class Time Charters'!$D$3:$D$16='Ship Time Charter Rates'!F961)*('AllowedShip Class Time Charters'!$E$3:$E$16='Ship Time Charter Rates'!G961))))),0,"Vessel class and Index Choosen don’t match!")</f>
        <v>0</v>
      </c>
      <c r="J961" s="36" t="s">
        <v>39</v>
      </c>
    </row>
    <row r="962" spans="4:10" ht="15.75">
      <c r="D962" s="37">
        <f t="shared" si="42"/>
        <v>941</v>
      </c>
      <c r="E962" s="39"/>
      <c r="F962" s="42"/>
      <c r="G962" s="42"/>
      <c r="H962" s="29"/>
      <c r="I962" s="193">
        <f t="array" ref="I962">IF(NOT(ISERROR(MATCH(2,1/(('AllowedShip Class Time Charters'!$D$3:$D$16='Ship Time Charter Rates'!F962)*('AllowedShip Class Time Charters'!$E$3:$E$16='Ship Time Charter Rates'!G962))))),0,"Vessel class and Index Choosen don’t match!")</f>
        <v>0</v>
      </c>
      <c r="J962" s="36" t="s">
        <v>39</v>
      </c>
    </row>
    <row r="963" spans="4:10" ht="15.75">
      <c r="D963" s="37">
        <f t="shared" si="42"/>
        <v>942</v>
      </c>
      <c r="E963" s="39"/>
      <c r="F963" s="42"/>
      <c r="G963" s="42"/>
      <c r="H963" s="29"/>
      <c r="I963" s="193">
        <f t="array" ref="I963">IF(NOT(ISERROR(MATCH(2,1/(('AllowedShip Class Time Charters'!$D$3:$D$16='Ship Time Charter Rates'!F963)*('AllowedShip Class Time Charters'!$E$3:$E$16='Ship Time Charter Rates'!G963))))),0,"Vessel class and Index Choosen don’t match!")</f>
        <v>0</v>
      </c>
      <c r="J963" s="36" t="s">
        <v>39</v>
      </c>
    </row>
    <row r="964" spans="4:10" ht="15.75">
      <c r="D964" s="37">
        <f t="shared" si="42"/>
        <v>943</v>
      </c>
      <c r="E964" s="39"/>
      <c r="F964" s="42"/>
      <c r="G964" s="42"/>
      <c r="H964" s="29"/>
      <c r="I964" s="193">
        <f t="array" ref="I964">IF(NOT(ISERROR(MATCH(2,1/(('AllowedShip Class Time Charters'!$D$3:$D$16='Ship Time Charter Rates'!F964)*('AllowedShip Class Time Charters'!$E$3:$E$16='Ship Time Charter Rates'!G964))))),0,"Vessel class and Index Choosen don’t match!")</f>
        <v>0</v>
      </c>
      <c r="J964" s="36" t="s">
        <v>39</v>
      </c>
    </row>
    <row r="965" spans="4:10" ht="15.75">
      <c r="D965" s="37">
        <f t="shared" si="42"/>
        <v>944</v>
      </c>
      <c r="E965" s="39"/>
      <c r="F965" s="42"/>
      <c r="G965" s="42"/>
      <c r="H965" s="29"/>
      <c r="I965" s="193">
        <f t="array" ref="I965">IF(NOT(ISERROR(MATCH(2,1/(('AllowedShip Class Time Charters'!$D$3:$D$16='Ship Time Charter Rates'!F965)*('AllowedShip Class Time Charters'!$E$3:$E$16='Ship Time Charter Rates'!G965))))),0,"Vessel class and Index Choosen don’t match!")</f>
        <v>0</v>
      </c>
      <c r="J965" s="36" t="s">
        <v>39</v>
      </c>
    </row>
    <row r="966" spans="4:10" ht="15.75">
      <c r="D966" s="37">
        <f t="shared" si="42"/>
        <v>945</v>
      </c>
      <c r="E966" s="39"/>
      <c r="F966" s="42"/>
      <c r="G966" s="42"/>
      <c r="H966" s="29"/>
      <c r="I966" s="193">
        <f t="array" ref="I966">IF(NOT(ISERROR(MATCH(2,1/(('AllowedShip Class Time Charters'!$D$3:$D$16='Ship Time Charter Rates'!F966)*('AllowedShip Class Time Charters'!$E$3:$E$16='Ship Time Charter Rates'!G966))))),0,"Vessel class and Index Choosen don’t match!")</f>
        <v>0</v>
      </c>
      <c r="J966" s="36" t="s">
        <v>39</v>
      </c>
    </row>
    <row r="967" spans="4:10" ht="15.75">
      <c r="D967" s="37">
        <f t="shared" si="42"/>
        <v>946</v>
      </c>
      <c r="E967" s="39"/>
      <c r="F967" s="42"/>
      <c r="G967" s="42"/>
      <c r="H967" s="29"/>
      <c r="I967" s="193">
        <f t="array" ref="I967">IF(NOT(ISERROR(MATCH(2,1/(('AllowedShip Class Time Charters'!$D$3:$D$16='Ship Time Charter Rates'!F967)*('AllowedShip Class Time Charters'!$E$3:$E$16='Ship Time Charter Rates'!G967))))),0,"Vessel class and Index Choosen don’t match!")</f>
        <v>0</v>
      </c>
      <c r="J967" s="36" t="s">
        <v>39</v>
      </c>
    </row>
    <row r="968" spans="4:10" ht="15.75">
      <c r="D968" s="37">
        <f t="shared" si="42"/>
        <v>947</v>
      </c>
      <c r="E968" s="39"/>
      <c r="F968" s="42"/>
      <c r="G968" s="42"/>
      <c r="H968" s="29"/>
      <c r="I968" s="193">
        <f t="array" ref="I968">IF(NOT(ISERROR(MATCH(2,1/(('AllowedShip Class Time Charters'!$D$3:$D$16='Ship Time Charter Rates'!F968)*('AllowedShip Class Time Charters'!$E$3:$E$16='Ship Time Charter Rates'!G968))))),0,"Vessel class and Index Choosen don’t match!")</f>
        <v>0</v>
      </c>
      <c r="J968" s="36" t="s">
        <v>39</v>
      </c>
    </row>
    <row r="969" spans="4:10" ht="15.75">
      <c r="D969" s="37">
        <f t="shared" si="42"/>
        <v>948</v>
      </c>
      <c r="E969" s="39"/>
      <c r="F969" s="42"/>
      <c r="G969" s="42"/>
      <c r="H969" s="29"/>
      <c r="I969" s="193">
        <f t="array" ref="I969">IF(NOT(ISERROR(MATCH(2,1/(('AllowedShip Class Time Charters'!$D$3:$D$16='Ship Time Charter Rates'!F969)*('AllowedShip Class Time Charters'!$E$3:$E$16='Ship Time Charter Rates'!G969))))),0,"Vessel class and Index Choosen don’t match!")</f>
        <v>0</v>
      </c>
      <c r="J969" s="36" t="s">
        <v>39</v>
      </c>
    </row>
    <row r="970" spans="4:10" ht="15.75">
      <c r="D970" s="37">
        <f t="shared" si="42"/>
        <v>949</v>
      </c>
      <c r="E970" s="39"/>
      <c r="F970" s="42"/>
      <c r="G970" s="42"/>
      <c r="H970" s="29"/>
      <c r="I970" s="193">
        <f t="array" ref="I970">IF(NOT(ISERROR(MATCH(2,1/(('AllowedShip Class Time Charters'!$D$3:$D$16='Ship Time Charter Rates'!F970)*('AllowedShip Class Time Charters'!$E$3:$E$16='Ship Time Charter Rates'!G970))))),0,"Vessel class and Index Choosen don’t match!")</f>
        <v>0</v>
      </c>
      <c r="J970" s="36" t="s">
        <v>39</v>
      </c>
    </row>
    <row r="971" spans="4:10" ht="15.75">
      <c r="D971" s="37">
        <f t="shared" si="42"/>
        <v>950</v>
      </c>
      <c r="E971" s="39"/>
      <c r="F971" s="42"/>
      <c r="G971" s="42"/>
      <c r="H971" s="29"/>
      <c r="I971" s="193">
        <f t="array" ref="I971">IF(NOT(ISERROR(MATCH(2,1/(('AllowedShip Class Time Charters'!$D$3:$D$16='Ship Time Charter Rates'!F971)*('AllowedShip Class Time Charters'!$E$3:$E$16='Ship Time Charter Rates'!G971))))),0,"Vessel class and Index Choosen don’t match!")</f>
        <v>0</v>
      </c>
      <c r="J971" s="36" t="s">
        <v>39</v>
      </c>
    </row>
    <row r="972" spans="4:10" ht="15.75">
      <c r="D972" s="37">
        <f t="shared" si="42"/>
        <v>951</v>
      </c>
      <c r="E972" s="39"/>
      <c r="F972" s="42"/>
      <c r="G972" s="42"/>
      <c r="H972" s="29"/>
      <c r="I972" s="193">
        <f t="array" ref="I972">IF(NOT(ISERROR(MATCH(2,1/(('AllowedShip Class Time Charters'!$D$3:$D$16='Ship Time Charter Rates'!F972)*('AllowedShip Class Time Charters'!$E$3:$E$16='Ship Time Charter Rates'!G972))))),0,"Vessel class and Index Choosen don’t match!")</f>
        <v>0</v>
      </c>
      <c r="J972" s="36" t="s">
        <v>39</v>
      </c>
    </row>
    <row r="973" spans="4:10" ht="15.75">
      <c r="D973" s="37">
        <f t="shared" si="42"/>
        <v>952</v>
      </c>
      <c r="E973" s="39"/>
      <c r="F973" s="42"/>
      <c r="G973" s="42"/>
      <c r="H973" s="29"/>
      <c r="I973" s="193">
        <f t="array" ref="I973">IF(NOT(ISERROR(MATCH(2,1/(('AllowedShip Class Time Charters'!$D$3:$D$16='Ship Time Charter Rates'!F973)*('AllowedShip Class Time Charters'!$E$3:$E$16='Ship Time Charter Rates'!G973))))),0,"Vessel class and Index Choosen don’t match!")</f>
        <v>0</v>
      </c>
      <c r="J973" s="36" t="s">
        <v>39</v>
      </c>
    </row>
    <row r="974" spans="4:10" ht="15.75">
      <c r="D974" s="37">
        <f t="shared" si="42"/>
        <v>953</v>
      </c>
      <c r="E974" s="39"/>
      <c r="F974" s="42"/>
      <c r="G974" s="42"/>
      <c r="H974" s="29"/>
      <c r="I974" s="193">
        <f t="array" ref="I974">IF(NOT(ISERROR(MATCH(2,1/(('AllowedShip Class Time Charters'!$D$3:$D$16='Ship Time Charter Rates'!F974)*('AllowedShip Class Time Charters'!$E$3:$E$16='Ship Time Charter Rates'!G974))))),0,"Vessel class and Index Choosen don’t match!")</f>
        <v>0</v>
      </c>
      <c r="J974" s="36" t="s">
        <v>39</v>
      </c>
    </row>
    <row r="975" spans="4:10" ht="15.75">
      <c r="D975" s="37">
        <f t="shared" si="42"/>
        <v>954</v>
      </c>
      <c r="E975" s="39"/>
      <c r="F975" s="42"/>
      <c r="G975" s="42"/>
      <c r="H975" s="29"/>
      <c r="I975" s="193">
        <f t="array" ref="I975">IF(NOT(ISERROR(MATCH(2,1/(('AllowedShip Class Time Charters'!$D$3:$D$16='Ship Time Charter Rates'!F975)*('AllowedShip Class Time Charters'!$E$3:$E$16='Ship Time Charter Rates'!G975))))),0,"Vessel class and Index Choosen don’t match!")</f>
        <v>0</v>
      </c>
      <c r="J975" s="36" t="s">
        <v>39</v>
      </c>
    </row>
    <row r="976" spans="4:10" ht="15.75">
      <c r="D976" s="37">
        <f t="shared" si="42"/>
        <v>955</v>
      </c>
      <c r="E976" s="39"/>
      <c r="F976" s="42"/>
      <c r="G976" s="42"/>
      <c r="H976" s="29"/>
      <c r="I976" s="193">
        <f t="array" ref="I976">IF(NOT(ISERROR(MATCH(2,1/(('AllowedShip Class Time Charters'!$D$3:$D$16='Ship Time Charter Rates'!F976)*('AllowedShip Class Time Charters'!$E$3:$E$16='Ship Time Charter Rates'!G976))))),0,"Vessel class and Index Choosen don’t match!")</f>
        <v>0</v>
      </c>
      <c r="J976" s="36" t="s">
        <v>39</v>
      </c>
    </row>
    <row r="977" spans="4:10" ht="15.75">
      <c r="D977" s="37">
        <f t="shared" si="42"/>
        <v>956</v>
      </c>
      <c r="E977" s="39"/>
      <c r="F977" s="42"/>
      <c r="G977" s="42"/>
      <c r="H977" s="29"/>
      <c r="I977" s="193">
        <f t="array" ref="I977">IF(NOT(ISERROR(MATCH(2,1/(('AllowedShip Class Time Charters'!$D$3:$D$16='Ship Time Charter Rates'!F977)*('AllowedShip Class Time Charters'!$E$3:$E$16='Ship Time Charter Rates'!G977))))),0,"Vessel class and Index Choosen don’t match!")</f>
        <v>0</v>
      </c>
      <c r="J977" s="36" t="s">
        <v>39</v>
      </c>
    </row>
    <row r="978" spans="4:10" ht="15.75">
      <c r="D978" s="37">
        <f t="shared" si="42"/>
        <v>957</v>
      </c>
      <c r="E978" s="39"/>
      <c r="F978" s="42"/>
      <c r="G978" s="42"/>
      <c r="H978" s="29"/>
      <c r="I978" s="193">
        <f t="array" ref="I978">IF(NOT(ISERROR(MATCH(2,1/(('AllowedShip Class Time Charters'!$D$3:$D$16='Ship Time Charter Rates'!F978)*('AllowedShip Class Time Charters'!$E$3:$E$16='Ship Time Charter Rates'!G978))))),0,"Vessel class and Index Choosen don’t match!")</f>
        <v>0</v>
      </c>
      <c r="J978" s="36" t="s">
        <v>39</v>
      </c>
    </row>
    <row r="979" spans="4:10" ht="15.75">
      <c r="D979" s="37">
        <f t="shared" si="42"/>
        <v>958</v>
      </c>
      <c r="E979" s="39"/>
      <c r="F979" s="42"/>
      <c r="G979" s="42"/>
      <c r="H979" s="29"/>
      <c r="I979" s="193">
        <f t="array" ref="I979">IF(NOT(ISERROR(MATCH(2,1/(('AllowedShip Class Time Charters'!$D$3:$D$16='Ship Time Charter Rates'!F979)*('AllowedShip Class Time Charters'!$E$3:$E$16='Ship Time Charter Rates'!G979))))),0,"Vessel class and Index Choosen don’t match!")</f>
        <v>0</v>
      </c>
      <c r="J979" s="36" t="s">
        <v>39</v>
      </c>
    </row>
    <row r="980" spans="4:10" ht="15.75">
      <c r="D980" s="37">
        <f t="shared" si="42"/>
        <v>959</v>
      </c>
      <c r="E980" s="39"/>
      <c r="F980" s="42"/>
      <c r="G980" s="42"/>
      <c r="H980" s="29"/>
      <c r="I980" s="193">
        <f t="array" ref="I980">IF(NOT(ISERROR(MATCH(2,1/(('AllowedShip Class Time Charters'!$D$3:$D$16='Ship Time Charter Rates'!F980)*('AllowedShip Class Time Charters'!$E$3:$E$16='Ship Time Charter Rates'!G980))))),0,"Vessel class and Index Choosen don’t match!")</f>
        <v>0</v>
      </c>
      <c r="J980" s="36" t="s">
        <v>39</v>
      </c>
    </row>
    <row r="981" spans="4:10" ht="15.75">
      <c r="D981" s="37">
        <f t="shared" si="42"/>
        <v>960</v>
      </c>
      <c r="E981" s="39"/>
      <c r="F981" s="42"/>
      <c r="G981" s="42"/>
      <c r="H981" s="29"/>
      <c r="I981" s="193">
        <f t="array" ref="I981">IF(NOT(ISERROR(MATCH(2,1/(('AllowedShip Class Time Charters'!$D$3:$D$16='Ship Time Charter Rates'!F981)*('AllowedShip Class Time Charters'!$E$3:$E$16='Ship Time Charter Rates'!G981))))),0,"Vessel class and Index Choosen don’t match!")</f>
        <v>0</v>
      </c>
      <c r="J981" s="36" t="s">
        <v>39</v>
      </c>
    </row>
    <row r="982" spans="4:10" ht="15.75">
      <c r="D982" s="37">
        <f t="shared" si="42"/>
        <v>961</v>
      </c>
      <c r="E982" s="39"/>
      <c r="F982" s="42"/>
      <c r="G982" s="42"/>
      <c r="H982" s="29"/>
      <c r="I982" s="193">
        <f t="array" ref="I982">IF(NOT(ISERROR(MATCH(2,1/(('AllowedShip Class Time Charters'!$D$3:$D$16='Ship Time Charter Rates'!F982)*('AllowedShip Class Time Charters'!$E$3:$E$16='Ship Time Charter Rates'!G982))))),0,"Vessel class and Index Choosen don’t match!")</f>
        <v>0</v>
      </c>
      <c r="J982" s="36" t="s">
        <v>39</v>
      </c>
    </row>
    <row r="983" spans="4:10" ht="15.75">
      <c r="D983" s="37">
        <f t="shared" si="42"/>
        <v>962</v>
      </c>
      <c r="E983" s="39"/>
      <c r="F983" s="42"/>
      <c r="G983" s="42"/>
      <c r="H983" s="29"/>
      <c r="I983" s="193">
        <f t="array" ref="I983">IF(NOT(ISERROR(MATCH(2,1/(('AllowedShip Class Time Charters'!$D$3:$D$16='Ship Time Charter Rates'!F983)*('AllowedShip Class Time Charters'!$E$3:$E$16='Ship Time Charter Rates'!G983))))),0,"Vessel class and Index Choosen don’t match!")</f>
        <v>0</v>
      </c>
      <c r="J983" s="36" t="s">
        <v>39</v>
      </c>
    </row>
    <row r="984" spans="4:10" ht="15.75">
      <c r="D984" s="37">
        <f t="shared" si="42"/>
        <v>963</v>
      </c>
      <c r="E984" s="39"/>
      <c r="F984" s="42"/>
      <c r="G984" s="42"/>
      <c r="H984" s="29"/>
      <c r="I984" s="193">
        <f t="array" ref="I984">IF(NOT(ISERROR(MATCH(2,1/(('AllowedShip Class Time Charters'!$D$3:$D$16='Ship Time Charter Rates'!F984)*('AllowedShip Class Time Charters'!$E$3:$E$16='Ship Time Charter Rates'!G984))))),0,"Vessel class and Index Choosen don’t match!")</f>
        <v>0</v>
      </c>
      <c r="J984" s="36" t="s">
        <v>39</v>
      </c>
    </row>
    <row r="985" spans="4:10" ht="15.75">
      <c r="D985" s="37">
        <f t="shared" si="42"/>
        <v>964</v>
      </c>
      <c r="E985" s="39"/>
      <c r="F985" s="42"/>
      <c r="G985" s="42"/>
      <c r="H985" s="29"/>
      <c r="I985" s="193">
        <f t="array" ref="I985">IF(NOT(ISERROR(MATCH(2,1/(('AllowedShip Class Time Charters'!$D$3:$D$16='Ship Time Charter Rates'!F985)*('AllowedShip Class Time Charters'!$E$3:$E$16='Ship Time Charter Rates'!G985))))),0,"Vessel class and Index Choosen don’t match!")</f>
        <v>0</v>
      </c>
      <c r="J985" s="36" t="s">
        <v>39</v>
      </c>
    </row>
    <row r="986" spans="4:10" ht="15.75">
      <c r="D986" s="37">
        <f t="shared" si="42"/>
        <v>965</v>
      </c>
      <c r="E986" s="39"/>
      <c r="F986" s="42"/>
      <c r="G986" s="42"/>
      <c r="H986" s="29"/>
      <c r="I986" s="193">
        <f t="array" ref="I986">IF(NOT(ISERROR(MATCH(2,1/(('AllowedShip Class Time Charters'!$D$3:$D$16='Ship Time Charter Rates'!F986)*('AllowedShip Class Time Charters'!$E$3:$E$16='Ship Time Charter Rates'!G986))))),0,"Vessel class and Index Choosen don’t match!")</f>
        <v>0</v>
      </c>
      <c r="J986" s="36" t="s">
        <v>39</v>
      </c>
    </row>
    <row r="987" spans="4:10" ht="15.75">
      <c r="D987" s="37">
        <f t="shared" si="42"/>
        <v>966</v>
      </c>
      <c r="E987" s="39"/>
      <c r="F987" s="42"/>
      <c r="G987" s="42"/>
      <c r="H987" s="29"/>
      <c r="I987" s="193">
        <f t="array" ref="I987">IF(NOT(ISERROR(MATCH(2,1/(('AllowedShip Class Time Charters'!$D$3:$D$16='Ship Time Charter Rates'!F987)*('AllowedShip Class Time Charters'!$E$3:$E$16='Ship Time Charter Rates'!G987))))),0,"Vessel class and Index Choosen don’t match!")</f>
        <v>0</v>
      </c>
      <c r="J987" s="36" t="s">
        <v>39</v>
      </c>
    </row>
    <row r="988" spans="4:10" ht="15.75">
      <c r="D988" s="37">
        <f t="shared" si="42"/>
        <v>967</v>
      </c>
      <c r="E988" s="39"/>
      <c r="F988" s="42"/>
      <c r="G988" s="42"/>
      <c r="H988" s="29"/>
      <c r="I988" s="193">
        <f t="array" ref="I988">IF(NOT(ISERROR(MATCH(2,1/(('AllowedShip Class Time Charters'!$D$3:$D$16='Ship Time Charter Rates'!F988)*('AllowedShip Class Time Charters'!$E$3:$E$16='Ship Time Charter Rates'!G988))))),0,"Vessel class and Index Choosen don’t match!")</f>
        <v>0</v>
      </c>
      <c r="J988" s="36" t="s">
        <v>39</v>
      </c>
    </row>
    <row r="989" spans="4:10" ht="15.75">
      <c r="D989" s="37">
        <f t="shared" si="42"/>
        <v>968</v>
      </c>
      <c r="E989" s="39"/>
      <c r="F989" s="42"/>
      <c r="G989" s="42"/>
      <c r="H989" s="29"/>
      <c r="I989" s="193">
        <f t="array" ref="I989">IF(NOT(ISERROR(MATCH(2,1/(('AllowedShip Class Time Charters'!$D$3:$D$16='Ship Time Charter Rates'!F989)*('AllowedShip Class Time Charters'!$E$3:$E$16='Ship Time Charter Rates'!G989))))),0,"Vessel class and Index Choosen don’t match!")</f>
        <v>0</v>
      </c>
      <c r="J989" s="36" t="s">
        <v>39</v>
      </c>
    </row>
    <row r="990" spans="4:10" ht="15.75">
      <c r="D990" s="37">
        <f t="shared" si="42"/>
        <v>969</v>
      </c>
      <c r="E990" s="39"/>
      <c r="F990" s="42"/>
      <c r="G990" s="42"/>
      <c r="H990" s="29"/>
      <c r="I990" s="193">
        <f t="array" ref="I990">IF(NOT(ISERROR(MATCH(2,1/(('AllowedShip Class Time Charters'!$D$3:$D$16='Ship Time Charter Rates'!F990)*('AllowedShip Class Time Charters'!$E$3:$E$16='Ship Time Charter Rates'!G990))))),0,"Vessel class and Index Choosen don’t match!")</f>
        <v>0</v>
      </c>
      <c r="J990" s="36" t="s">
        <v>39</v>
      </c>
    </row>
    <row r="991" spans="4:10" ht="15.75">
      <c r="D991" s="37">
        <f t="shared" si="42"/>
        <v>970</v>
      </c>
      <c r="E991" s="39"/>
      <c r="F991" s="42"/>
      <c r="G991" s="42"/>
      <c r="H991" s="29"/>
      <c r="I991" s="193">
        <f t="array" ref="I991">IF(NOT(ISERROR(MATCH(2,1/(('AllowedShip Class Time Charters'!$D$3:$D$16='Ship Time Charter Rates'!F991)*('AllowedShip Class Time Charters'!$E$3:$E$16='Ship Time Charter Rates'!G991))))),0,"Vessel class and Index Choosen don’t match!")</f>
        <v>0</v>
      </c>
      <c r="J991" s="36" t="s">
        <v>39</v>
      </c>
    </row>
    <row r="992" spans="4:10" ht="15.75">
      <c r="D992" s="37">
        <f t="shared" si="42"/>
        <v>971</v>
      </c>
      <c r="E992" s="39"/>
      <c r="F992" s="42"/>
      <c r="G992" s="42"/>
      <c r="H992" s="29"/>
      <c r="I992" s="193">
        <f t="array" ref="I992">IF(NOT(ISERROR(MATCH(2,1/(('AllowedShip Class Time Charters'!$D$3:$D$16='Ship Time Charter Rates'!F992)*('AllowedShip Class Time Charters'!$E$3:$E$16='Ship Time Charter Rates'!G992))))),0,"Vessel class and Index Choosen don’t match!")</f>
        <v>0</v>
      </c>
      <c r="J992" s="36" t="s">
        <v>39</v>
      </c>
    </row>
    <row r="993" spans="4:10" ht="15.75">
      <c r="D993" s="37">
        <f t="shared" si="42"/>
        <v>972</v>
      </c>
      <c r="E993" s="39"/>
      <c r="F993" s="42"/>
      <c r="G993" s="42"/>
      <c r="H993" s="29"/>
      <c r="I993" s="193">
        <f t="array" ref="I993">IF(NOT(ISERROR(MATCH(2,1/(('AllowedShip Class Time Charters'!$D$3:$D$16='Ship Time Charter Rates'!F993)*('AllowedShip Class Time Charters'!$E$3:$E$16='Ship Time Charter Rates'!G993))))),0,"Vessel class and Index Choosen don’t match!")</f>
        <v>0</v>
      </c>
      <c r="J993" s="36" t="s">
        <v>39</v>
      </c>
    </row>
    <row r="994" spans="4:10" ht="15.75">
      <c r="D994" s="37">
        <f t="shared" si="42"/>
        <v>973</v>
      </c>
      <c r="E994" s="39"/>
      <c r="F994" s="42"/>
      <c r="G994" s="42"/>
      <c r="H994" s="29"/>
      <c r="I994" s="193">
        <f t="array" ref="I994">IF(NOT(ISERROR(MATCH(2,1/(('AllowedShip Class Time Charters'!$D$3:$D$16='Ship Time Charter Rates'!F994)*('AllowedShip Class Time Charters'!$E$3:$E$16='Ship Time Charter Rates'!G994))))),0,"Vessel class and Index Choosen don’t match!")</f>
        <v>0</v>
      </c>
      <c r="J994" s="36" t="s">
        <v>39</v>
      </c>
    </row>
    <row r="995" spans="4:10" ht="15.75">
      <c r="D995" s="37">
        <f t="shared" si="42"/>
        <v>974</v>
      </c>
      <c r="E995" s="39"/>
      <c r="F995" s="42"/>
      <c r="G995" s="42"/>
      <c r="H995" s="29"/>
      <c r="I995" s="193">
        <f t="array" ref="I995">IF(NOT(ISERROR(MATCH(2,1/(('AllowedShip Class Time Charters'!$D$3:$D$16='Ship Time Charter Rates'!F995)*('AllowedShip Class Time Charters'!$E$3:$E$16='Ship Time Charter Rates'!G995))))),0,"Vessel class and Index Choosen don’t match!")</f>
        <v>0</v>
      </c>
      <c r="J995" s="36" t="s">
        <v>39</v>
      </c>
    </row>
    <row r="996" spans="4:10" ht="15.75">
      <c r="D996" s="37">
        <f t="shared" si="42"/>
        <v>975</v>
      </c>
      <c r="E996" s="39"/>
      <c r="F996" s="42"/>
      <c r="G996" s="42"/>
      <c r="H996" s="29"/>
      <c r="I996" s="193">
        <f t="array" ref="I996">IF(NOT(ISERROR(MATCH(2,1/(('AllowedShip Class Time Charters'!$D$3:$D$16='Ship Time Charter Rates'!F996)*('AllowedShip Class Time Charters'!$E$3:$E$16='Ship Time Charter Rates'!G996))))),0,"Vessel class and Index Choosen don’t match!")</f>
        <v>0</v>
      </c>
      <c r="J996" s="36" t="s">
        <v>39</v>
      </c>
    </row>
    <row r="997" spans="4:10" ht="15.75">
      <c r="D997" s="37">
        <f t="shared" si="42"/>
        <v>976</v>
      </c>
      <c r="E997" s="39"/>
      <c r="F997" s="42"/>
      <c r="G997" s="42"/>
      <c r="H997" s="29"/>
      <c r="I997" s="193">
        <f t="array" ref="I997">IF(NOT(ISERROR(MATCH(2,1/(('AllowedShip Class Time Charters'!$D$3:$D$16='Ship Time Charter Rates'!F997)*('AllowedShip Class Time Charters'!$E$3:$E$16='Ship Time Charter Rates'!G997))))),0,"Vessel class and Index Choosen don’t match!")</f>
        <v>0</v>
      </c>
      <c r="J997" s="36" t="s">
        <v>39</v>
      </c>
    </row>
    <row r="998" spans="4:10" ht="15.75">
      <c r="D998" s="37">
        <f t="shared" si="42"/>
        <v>977</v>
      </c>
      <c r="E998" s="39"/>
      <c r="F998" s="42"/>
      <c r="G998" s="42"/>
      <c r="H998" s="29"/>
      <c r="I998" s="193">
        <f t="array" ref="I998">IF(NOT(ISERROR(MATCH(2,1/(('AllowedShip Class Time Charters'!$D$3:$D$16='Ship Time Charter Rates'!F998)*('AllowedShip Class Time Charters'!$E$3:$E$16='Ship Time Charter Rates'!G998))))),0,"Vessel class and Index Choosen don’t match!")</f>
        <v>0</v>
      </c>
      <c r="J998" s="36" t="s">
        <v>39</v>
      </c>
    </row>
    <row r="999" spans="4:10" ht="15.75">
      <c r="D999" s="37">
        <f t="shared" si="42"/>
        <v>978</v>
      </c>
      <c r="E999" s="39"/>
      <c r="F999" s="42"/>
      <c r="G999" s="42"/>
      <c r="H999" s="29"/>
      <c r="I999" s="193">
        <f t="array" ref="I999">IF(NOT(ISERROR(MATCH(2,1/(('AllowedShip Class Time Charters'!$D$3:$D$16='Ship Time Charter Rates'!F999)*('AllowedShip Class Time Charters'!$E$3:$E$16='Ship Time Charter Rates'!G999))))),0,"Vessel class and Index Choosen don’t match!")</f>
        <v>0</v>
      </c>
      <c r="J999" s="36" t="s">
        <v>39</v>
      </c>
    </row>
    <row r="1000" spans="4:10" ht="15.75">
      <c r="D1000" s="37">
        <f t="shared" si="42"/>
        <v>979</v>
      </c>
      <c r="E1000" s="39"/>
      <c r="F1000" s="42"/>
      <c r="G1000" s="42"/>
      <c r="H1000" s="29"/>
      <c r="I1000" s="193">
        <f t="array" ref="I1000">IF(NOT(ISERROR(MATCH(2,1/(('AllowedShip Class Time Charters'!$D$3:$D$16='Ship Time Charter Rates'!F1000)*('AllowedShip Class Time Charters'!$E$3:$E$16='Ship Time Charter Rates'!G1000))))),0,"Vessel class and Index Choosen don’t match!")</f>
        <v>0</v>
      </c>
      <c r="J1000" s="36" t="s">
        <v>39</v>
      </c>
    </row>
    <row r="1001" spans="4:10" ht="15.75">
      <c r="D1001" s="37">
        <f t="shared" si="42"/>
        <v>980</v>
      </c>
      <c r="E1001" s="39"/>
      <c r="F1001" s="42"/>
      <c r="G1001" s="42"/>
      <c r="H1001" s="29"/>
      <c r="I1001" s="193">
        <f t="array" ref="I1001">IF(NOT(ISERROR(MATCH(2,1/(('AllowedShip Class Time Charters'!$D$3:$D$16='Ship Time Charter Rates'!F1001)*('AllowedShip Class Time Charters'!$E$3:$E$16='Ship Time Charter Rates'!G1001))))),0,"Vessel class and Index Choosen don’t match!")</f>
        <v>0</v>
      </c>
      <c r="J1001" s="36" t="s">
        <v>39</v>
      </c>
    </row>
    <row r="1002" spans="4:10" ht="15.75">
      <c r="D1002" s="37">
        <f t="shared" si="42"/>
        <v>981</v>
      </c>
      <c r="E1002" s="39"/>
      <c r="F1002" s="42"/>
      <c r="G1002" s="42"/>
      <c r="H1002" s="29"/>
      <c r="I1002" s="193">
        <f t="array" ref="I1002">IF(NOT(ISERROR(MATCH(2,1/(('AllowedShip Class Time Charters'!$D$3:$D$16='Ship Time Charter Rates'!F1002)*('AllowedShip Class Time Charters'!$E$3:$E$16='Ship Time Charter Rates'!G1002))))),0,"Vessel class and Index Choosen don’t match!")</f>
        <v>0</v>
      </c>
      <c r="J1002" s="36" t="s">
        <v>39</v>
      </c>
    </row>
    <row r="1003" spans="4:10" ht="15.75">
      <c r="D1003" s="37">
        <f t="shared" si="42"/>
        <v>982</v>
      </c>
      <c r="E1003" s="39"/>
      <c r="F1003" s="42"/>
      <c r="G1003" s="42"/>
      <c r="H1003" s="29"/>
      <c r="I1003" s="193">
        <f t="array" ref="I1003">IF(NOT(ISERROR(MATCH(2,1/(('AllowedShip Class Time Charters'!$D$3:$D$16='Ship Time Charter Rates'!F1003)*('AllowedShip Class Time Charters'!$E$3:$E$16='Ship Time Charter Rates'!G1003))))),0,"Vessel class and Index Choosen don’t match!")</f>
        <v>0</v>
      </c>
      <c r="J1003" s="36" t="s">
        <v>39</v>
      </c>
    </row>
    <row r="1004" spans="4:10" ht="15.75">
      <c r="D1004" s="37">
        <f t="shared" si="42"/>
        <v>983</v>
      </c>
      <c r="E1004" s="39"/>
      <c r="F1004" s="42"/>
      <c r="G1004" s="42"/>
      <c r="H1004" s="29"/>
      <c r="I1004" s="193">
        <f t="array" ref="I1004">IF(NOT(ISERROR(MATCH(2,1/(('AllowedShip Class Time Charters'!$D$3:$D$16='Ship Time Charter Rates'!F1004)*('AllowedShip Class Time Charters'!$E$3:$E$16='Ship Time Charter Rates'!G1004))))),0,"Vessel class and Index Choosen don’t match!")</f>
        <v>0</v>
      </c>
      <c r="J1004" s="36" t="s">
        <v>39</v>
      </c>
    </row>
    <row r="1005" spans="4:10" ht="15.75">
      <c r="D1005" s="37">
        <f t="shared" si="42"/>
        <v>984</v>
      </c>
      <c r="E1005" s="39"/>
      <c r="F1005" s="42"/>
      <c r="G1005" s="42"/>
      <c r="H1005" s="29"/>
      <c r="I1005" s="193">
        <f t="array" ref="I1005">IF(NOT(ISERROR(MATCH(2,1/(('AllowedShip Class Time Charters'!$D$3:$D$16='Ship Time Charter Rates'!F1005)*('AllowedShip Class Time Charters'!$E$3:$E$16='Ship Time Charter Rates'!G1005))))),0,"Vessel class and Index Choosen don’t match!")</f>
        <v>0</v>
      </c>
      <c r="J1005" s="36" t="s">
        <v>39</v>
      </c>
    </row>
    <row r="1006" spans="4:10" ht="15.75">
      <c r="D1006" s="37">
        <f t="shared" si="42"/>
        <v>985</v>
      </c>
      <c r="E1006" s="39"/>
      <c r="F1006" s="42"/>
      <c r="G1006" s="42"/>
      <c r="H1006" s="29"/>
      <c r="I1006" s="193">
        <f t="array" ref="I1006">IF(NOT(ISERROR(MATCH(2,1/(('AllowedShip Class Time Charters'!$D$3:$D$16='Ship Time Charter Rates'!F1006)*('AllowedShip Class Time Charters'!$E$3:$E$16='Ship Time Charter Rates'!G1006))))),0,"Vessel class and Index Choosen don’t match!")</f>
        <v>0</v>
      </c>
      <c r="J1006" s="36" t="s">
        <v>39</v>
      </c>
    </row>
    <row r="1007" spans="4:10" ht="15.75">
      <c r="D1007" s="37">
        <f t="shared" si="42"/>
        <v>986</v>
      </c>
      <c r="E1007" s="39"/>
      <c r="F1007" s="42"/>
      <c r="G1007" s="42"/>
      <c r="H1007" s="29"/>
      <c r="I1007" s="193">
        <f t="array" ref="I1007">IF(NOT(ISERROR(MATCH(2,1/(('AllowedShip Class Time Charters'!$D$3:$D$16='Ship Time Charter Rates'!F1007)*('AllowedShip Class Time Charters'!$E$3:$E$16='Ship Time Charter Rates'!G1007))))),0,"Vessel class and Index Choosen don’t match!")</f>
        <v>0</v>
      </c>
      <c r="J1007" s="36" t="s">
        <v>39</v>
      </c>
    </row>
    <row r="1008" spans="4:10" ht="15.75">
      <c r="D1008" s="37">
        <f t="shared" si="42"/>
        <v>987</v>
      </c>
      <c r="E1008" s="39"/>
      <c r="F1008" s="42"/>
      <c r="G1008" s="42"/>
      <c r="H1008" s="29"/>
      <c r="I1008" s="193">
        <f t="array" ref="I1008">IF(NOT(ISERROR(MATCH(2,1/(('AllowedShip Class Time Charters'!$D$3:$D$16='Ship Time Charter Rates'!F1008)*('AllowedShip Class Time Charters'!$E$3:$E$16='Ship Time Charter Rates'!G1008))))),0,"Vessel class and Index Choosen don’t match!")</f>
        <v>0</v>
      </c>
      <c r="J1008" s="36" t="s">
        <v>39</v>
      </c>
    </row>
    <row r="1009" spans="1:10" ht="15.75">
      <c r="D1009" s="37">
        <f t="shared" si="42"/>
        <v>988</v>
      </c>
      <c r="E1009" s="39"/>
      <c r="F1009" s="42"/>
      <c r="G1009" s="42"/>
      <c r="H1009" s="29"/>
      <c r="I1009" s="193">
        <f t="array" ref="I1009">IF(NOT(ISERROR(MATCH(2,1/(('AllowedShip Class Time Charters'!$D$3:$D$16='Ship Time Charter Rates'!F1009)*('AllowedShip Class Time Charters'!$E$3:$E$16='Ship Time Charter Rates'!G1009))))),0,"Vessel class and Index Choosen don’t match!")</f>
        <v>0</v>
      </c>
      <c r="J1009" s="36" t="s">
        <v>39</v>
      </c>
    </row>
    <row r="1010" spans="1:10" ht="15.75">
      <c r="D1010" s="37">
        <f t="shared" si="42"/>
        <v>989</v>
      </c>
      <c r="E1010" s="39"/>
      <c r="F1010" s="42"/>
      <c r="G1010" s="42"/>
      <c r="H1010" s="29"/>
      <c r="I1010" s="193">
        <f t="array" ref="I1010">IF(NOT(ISERROR(MATCH(2,1/(('AllowedShip Class Time Charters'!$D$3:$D$16='Ship Time Charter Rates'!F1010)*('AllowedShip Class Time Charters'!$E$3:$E$16='Ship Time Charter Rates'!G1010))))),0,"Vessel class and Index Choosen don’t match!")</f>
        <v>0</v>
      </c>
      <c r="J1010" s="36" t="s">
        <v>39</v>
      </c>
    </row>
    <row r="1011" spans="1:10" ht="15.75">
      <c r="D1011" s="37">
        <f t="shared" si="42"/>
        <v>990</v>
      </c>
      <c r="E1011" s="39"/>
      <c r="F1011" s="42"/>
      <c r="G1011" s="42"/>
      <c r="H1011" s="29"/>
      <c r="I1011" s="193">
        <f t="array" ref="I1011">IF(NOT(ISERROR(MATCH(2,1/(('AllowedShip Class Time Charters'!$D$3:$D$16='Ship Time Charter Rates'!F1011)*('AllowedShip Class Time Charters'!$E$3:$E$16='Ship Time Charter Rates'!G1011))))),0,"Vessel class and Index Choosen don’t match!")</f>
        <v>0</v>
      </c>
      <c r="J1011" s="36" t="s">
        <v>39</v>
      </c>
    </row>
    <row r="1012" spans="1:10" ht="15.75">
      <c r="D1012" s="37">
        <f t="shared" si="42"/>
        <v>991</v>
      </c>
      <c r="E1012" s="39"/>
      <c r="F1012" s="42"/>
      <c r="G1012" s="42"/>
      <c r="H1012" s="29"/>
      <c r="I1012" s="193">
        <f t="array" ref="I1012">IF(NOT(ISERROR(MATCH(2,1/(('AllowedShip Class Time Charters'!$D$3:$D$16='Ship Time Charter Rates'!F1012)*('AllowedShip Class Time Charters'!$E$3:$E$16='Ship Time Charter Rates'!G1012))))),0,"Vessel class and Index Choosen don’t match!")</f>
        <v>0</v>
      </c>
      <c r="J1012" s="36" t="s">
        <v>39</v>
      </c>
    </row>
    <row r="1013" spans="1:10" ht="15.75">
      <c r="D1013" s="37">
        <f t="shared" si="42"/>
        <v>992</v>
      </c>
      <c r="E1013" s="39"/>
      <c r="F1013" s="42"/>
      <c r="G1013" s="42"/>
      <c r="H1013" s="29"/>
      <c r="I1013" s="193">
        <f t="array" ref="I1013">IF(NOT(ISERROR(MATCH(2,1/(('AllowedShip Class Time Charters'!$D$3:$D$16='Ship Time Charter Rates'!F1013)*('AllowedShip Class Time Charters'!$E$3:$E$16='Ship Time Charter Rates'!G1013))))),0,"Vessel class and Index Choosen don’t match!")</f>
        <v>0</v>
      </c>
      <c r="J1013" s="36" t="s">
        <v>39</v>
      </c>
    </row>
    <row r="1014" spans="1:10" ht="15.75">
      <c r="D1014" s="37">
        <f t="shared" si="42"/>
        <v>993</v>
      </c>
      <c r="E1014" s="39"/>
      <c r="F1014" s="42"/>
      <c r="G1014" s="42"/>
      <c r="H1014" s="29"/>
      <c r="I1014" s="193">
        <f t="array" ref="I1014">IF(NOT(ISERROR(MATCH(2,1/(('AllowedShip Class Time Charters'!$D$3:$D$16='Ship Time Charter Rates'!F1014)*('AllowedShip Class Time Charters'!$E$3:$E$16='Ship Time Charter Rates'!G1014))))),0,"Vessel class and Index Choosen don’t match!")</f>
        <v>0</v>
      </c>
      <c r="J1014" s="36" t="s">
        <v>39</v>
      </c>
    </row>
    <row r="1015" spans="1:10" ht="15.75">
      <c r="D1015" s="37">
        <f t="shared" si="42"/>
        <v>994</v>
      </c>
      <c r="E1015" s="39"/>
      <c r="F1015" s="42"/>
      <c r="G1015" s="42"/>
      <c r="H1015" s="29"/>
      <c r="I1015" s="193">
        <f t="array" ref="I1015">IF(NOT(ISERROR(MATCH(2,1/(('AllowedShip Class Time Charters'!$D$3:$D$16='Ship Time Charter Rates'!F1015)*('AllowedShip Class Time Charters'!$E$3:$E$16='Ship Time Charter Rates'!G1015))))),0,"Vessel class and Index Choosen don’t match!")</f>
        <v>0</v>
      </c>
      <c r="J1015" s="36" t="s">
        <v>39</v>
      </c>
    </row>
    <row r="1016" spans="1:10" ht="15.75">
      <c r="D1016" s="37">
        <f t="shared" si="42"/>
        <v>995</v>
      </c>
      <c r="E1016" s="39"/>
      <c r="F1016" s="42"/>
      <c r="G1016" s="42"/>
      <c r="H1016" s="29"/>
      <c r="I1016" s="193">
        <f t="array" ref="I1016">IF(NOT(ISERROR(MATCH(2,1/(('AllowedShip Class Time Charters'!$D$3:$D$16='Ship Time Charter Rates'!F1016)*('AllowedShip Class Time Charters'!$E$3:$E$16='Ship Time Charter Rates'!G1016))))),0,"Vessel class and Index Choosen don’t match!")</f>
        <v>0</v>
      </c>
      <c r="J1016" s="36" t="s">
        <v>39</v>
      </c>
    </row>
    <row r="1017" spans="1:10" ht="15.75">
      <c r="D1017" s="37">
        <f t="shared" si="42"/>
        <v>996</v>
      </c>
      <c r="E1017" s="39"/>
      <c r="F1017" s="42"/>
      <c r="G1017" s="42"/>
      <c r="H1017" s="29"/>
      <c r="I1017" s="193">
        <f t="array" ref="I1017">IF(NOT(ISERROR(MATCH(2,1/(('AllowedShip Class Time Charters'!$D$3:$D$16='Ship Time Charter Rates'!F1017)*('AllowedShip Class Time Charters'!$E$3:$E$16='Ship Time Charter Rates'!G1017))))),0,"Vessel class and Index Choosen don’t match!")</f>
        <v>0</v>
      </c>
      <c r="J1017" s="36" t="s">
        <v>39</v>
      </c>
    </row>
    <row r="1018" spans="1:10" ht="15.75">
      <c r="D1018" s="37">
        <f t="shared" si="42"/>
        <v>997</v>
      </c>
      <c r="E1018" s="39"/>
      <c r="F1018" s="42"/>
      <c r="G1018" s="42"/>
      <c r="H1018" s="29"/>
      <c r="I1018" s="193">
        <f t="array" ref="I1018">IF(NOT(ISERROR(MATCH(2,1/(('AllowedShip Class Time Charters'!$D$3:$D$16='Ship Time Charter Rates'!F1018)*('AllowedShip Class Time Charters'!$E$3:$E$16='Ship Time Charter Rates'!G1018))))),0,"Vessel class and Index Choosen don’t match!")</f>
        <v>0</v>
      </c>
      <c r="J1018" s="36" t="s">
        <v>39</v>
      </c>
    </row>
    <row r="1019" spans="1:10" ht="15.75">
      <c r="D1019" s="37">
        <f t="shared" si="42"/>
        <v>998</v>
      </c>
      <c r="E1019" s="39"/>
      <c r="F1019" s="42"/>
      <c r="G1019" s="42"/>
      <c r="H1019" s="29"/>
      <c r="I1019" s="193">
        <f t="array" ref="I1019">IF(NOT(ISERROR(MATCH(2,1/(('AllowedShip Class Time Charters'!$D$3:$D$16='Ship Time Charter Rates'!F1019)*('AllowedShip Class Time Charters'!$E$3:$E$16='Ship Time Charter Rates'!G1019))))),0,"Vessel class and Index Choosen don’t match!")</f>
        <v>0</v>
      </c>
      <c r="J1019" s="36" t="s">
        <v>39</v>
      </c>
    </row>
    <row r="1020" spans="1:10" ht="15.75">
      <c r="D1020" s="37">
        <f t="shared" si="42"/>
        <v>999</v>
      </c>
      <c r="E1020" s="39"/>
      <c r="F1020" s="42"/>
      <c r="G1020" s="42"/>
      <c r="H1020" s="29"/>
      <c r="I1020" s="193">
        <f t="array" ref="I1020">IF(NOT(ISERROR(MATCH(2,1/(('AllowedShip Class Time Charters'!$D$3:$D$16='Ship Time Charter Rates'!F1020)*('AllowedShip Class Time Charters'!$E$3:$E$16='Ship Time Charter Rates'!G1020))))),0,"Vessel class and Index Choosen don’t match!")</f>
        <v>0</v>
      </c>
      <c r="J1020" s="36" t="s">
        <v>39</v>
      </c>
    </row>
    <row r="1021" spans="1:10" ht="15.75">
      <c r="D1021" s="37">
        <f t="shared" si="42"/>
        <v>1000</v>
      </c>
      <c r="E1021" s="39"/>
      <c r="F1021" s="42"/>
      <c r="G1021" s="42"/>
      <c r="H1021" s="29"/>
      <c r="I1021" s="193">
        <f t="array" ref="I1021">IF(NOT(ISERROR(MATCH(2,1/(('AllowedShip Class Time Charters'!$D$3:$D$16='Ship Time Charter Rates'!F1021)*('AllowedShip Class Time Charters'!$E$3:$E$16='Ship Time Charter Rates'!G1021))))),0,"Vessel class and Index Choosen don’t match!")</f>
        <v>0</v>
      </c>
      <c r="J1021" s="36" t="s">
        <v>39</v>
      </c>
    </row>
    <row r="1022" spans="1:10">
      <c r="A1022" s="36" t="s">
        <v>39</v>
      </c>
      <c r="B1022" s="36" t="s">
        <v>39</v>
      </c>
      <c r="C1022" s="36" t="s">
        <v>39</v>
      </c>
      <c r="D1022" s="36" t="s">
        <v>39</v>
      </c>
      <c r="E1022" s="36" t="s">
        <v>39</v>
      </c>
      <c r="F1022" s="36" t="s">
        <v>39</v>
      </c>
      <c r="G1022" s="36" t="s">
        <v>39</v>
      </c>
      <c r="H1022" s="36" t="s">
        <v>39</v>
      </c>
      <c r="I1022" s="36" t="s">
        <v>39</v>
      </c>
      <c r="J1022" s="36" t="s">
        <v>39</v>
      </c>
    </row>
  </sheetData>
  <dataValidations disablePrompts="1" count="1">
    <dataValidation type="list" allowBlank="1" showInputMessage="1" showErrorMessage="1" sqref="F22:F1021">
      <formula1>$F$3:$F$7</formula1>
    </dataValidation>
  </dataValidations>
  <pageMargins left="0.75000000000000011" right="0.75000000000000011" top="1" bottom="1" header="0.5" footer="0.5"/>
  <pageSetup paperSize="9" scale="53" orientation="portrait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'AllowedShip Class Time Charters'!$E$3:$E$15</xm:f>
          </x14:formula1>
          <xm:sqref>G22:G1021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1011"/>
  <sheetViews>
    <sheetView topLeftCell="A6" zoomScale="110" zoomScaleNormal="110" zoomScalePageLayoutView="90" workbookViewId="0">
      <selection activeCell="F19" sqref="F19"/>
    </sheetView>
  </sheetViews>
  <sheetFormatPr defaultColWidth="10" defaultRowHeight="15"/>
  <cols>
    <col min="1" max="1" width="17.625" style="36" customWidth="1"/>
    <col min="2" max="2" width="12.375" style="36" bestFit="1" customWidth="1"/>
    <col min="3" max="3" width="10.875" style="36" customWidth="1"/>
    <col min="4" max="4" width="8.125" style="36" customWidth="1"/>
    <col min="5" max="5" width="12.125" style="36" bestFit="1" customWidth="1"/>
    <col min="6" max="6" width="18.875" style="36" bestFit="1" customWidth="1"/>
    <col min="7" max="7" width="10.5" style="36" customWidth="1"/>
    <col min="8" max="16384" width="10" style="36"/>
  </cols>
  <sheetData>
    <row r="1" spans="4:8">
      <c r="H1" s="36" t="s">
        <v>39</v>
      </c>
    </row>
    <row r="2" spans="4:8">
      <c r="H2" s="36" t="s">
        <v>39</v>
      </c>
    </row>
    <row r="3" spans="4:8">
      <c r="H3" s="36" t="s">
        <v>39</v>
      </c>
    </row>
    <row r="4" spans="4:8">
      <c r="E4" s="178" t="s">
        <v>262</v>
      </c>
      <c r="H4" s="36" t="s">
        <v>39</v>
      </c>
    </row>
    <row r="5" spans="4:8">
      <c r="H5" s="36" t="s">
        <v>39</v>
      </c>
    </row>
    <row r="6" spans="4:8">
      <c r="H6" s="36" t="s">
        <v>39</v>
      </c>
    </row>
    <row r="7" spans="4:8">
      <c r="E7" s="171"/>
      <c r="F7" s="171"/>
      <c r="G7" s="171"/>
      <c r="H7" s="36" t="s">
        <v>39</v>
      </c>
    </row>
    <row r="8" spans="4:8">
      <c r="E8" s="172"/>
      <c r="F8" s="175"/>
      <c r="G8" s="175"/>
      <c r="H8" s="36" t="s">
        <v>39</v>
      </c>
    </row>
    <row r="9" spans="4:8" ht="45">
      <c r="D9" s="37" t="s">
        <v>53</v>
      </c>
      <c r="E9" s="176" t="s">
        <v>0</v>
      </c>
      <c r="F9" s="176" t="s">
        <v>251</v>
      </c>
      <c r="G9" s="176" t="s">
        <v>261</v>
      </c>
      <c r="H9" s="36" t="s">
        <v>39</v>
      </c>
    </row>
    <row r="10" spans="4:8">
      <c r="D10" s="37"/>
      <c r="E10" s="177" t="s">
        <v>14</v>
      </c>
      <c r="F10" s="177" t="s">
        <v>29</v>
      </c>
      <c r="G10" s="177" t="s">
        <v>25</v>
      </c>
      <c r="H10" s="36" t="s">
        <v>39</v>
      </c>
    </row>
    <row r="11" spans="4:8" ht="15.75">
      <c r="D11" s="37">
        <v>1</v>
      </c>
      <c r="E11" s="39">
        <v>43831</v>
      </c>
      <c r="F11" s="42" t="s">
        <v>108</v>
      </c>
      <c r="G11" s="30">
        <v>11</v>
      </c>
      <c r="H11" s="36" t="s">
        <v>39</v>
      </c>
    </row>
    <row r="12" spans="4:8" ht="15.75">
      <c r="D12" s="37">
        <f>D11+1</f>
        <v>2</v>
      </c>
      <c r="E12" s="39">
        <v>43831</v>
      </c>
      <c r="F12" s="42" t="s">
        <v>59</v>
      </c>
      <c r="G12" s="30">
        <v>11</v>
      </c>
      <c r="H12" s="36" t="s">
        <v>39</v>
      </c>
    </row>
    <row r="13" spans="4:8" ht="15.75">
      <c r="D13" s="37">
        <f t="shared" ref="D13:D76" si="0">D12+1</f>
        <v>3</v>
      </c>
      <c r="E13" s="39">
        <v>43831</v>
      </c>
      <c r="F13" s="42" t="s">
        <v>58</v>
      </c>
      <c r="G13" s="30">
        <v>11</v>
      </c>
      <c r="H13" s="36" t="s">
        <v>39</v>
      </c>
    </row>
    <row r="14" spans="4:8" ht="15.75">
      <c r="D14" s="37">
        <f t="shared" si="0"/>
        <v>4</v>
      </c>
      <c r="E14" s="39">
        <v>43831</v>
      </c>
      <c r="F14" s="42" t="s">
        <v>255</v>
      </c>
      <c r="G14" s="30">
        <v>11</v>
      </c>
      <c r="H14" s="36" t="s">
        <v>39</v>
      </c>
    </row>
    <row r="15" spans="4:8" ht="15.75">
      <c r="D15" s="37">
        <f t="shared" si="0"/>
        <v>5</v>
      </c>
      <c r="E15" s="39">
        <v>43831</v>
      </c>
      <c r="F15" s="42" t="s">
        <v>57</v>
      </c>
      <c r="G15" s="30">
        <v>11</v>
      </c>
      <c r="H15" s="36" t="s">
        <v>39</v>
      </c>
    </row>
    <row r="16" spans="4:8" ht="15.75">
      <c r="D16" s="37">
        <f t="shared" si="0"/>
        <v>6</v>
      </c>
      <c r="E16" s="39"/>
      <c r="F16" s="42"/>
      <c r="G16" s="30"/>
      <c r="H16" s="36" t="s">
        <v>39</v>
      </c>
    </row>
    <row r="17" spans="4:8" ht="15.75">
      <c r="D17" s="37">
        <f t="shared" si="0"/>
        <v>7</v>
      </c>
      <c r="E17" s="39"/>
      <c r="F17" s="42"/>
      <c r="G17" s="30"/>
      <c r="H17" s="36" t="s">
        <v>39</v>
      </c>
    </row>
    <row r="18" spans="4:8" ht="15.75">
      <c r="D18" s="37">
        <f t="shared" si="0"/>
        <v>8</v>
      </c>
      <c r="E18" s="39"/>
      <c r="F18" s="42"/>
      <c r="G18" s="30"/>
      <c r="H18" s="36" t="s">
        <v>39</v>
      </c>
    </row>
    <row r="19" spans="4:8" ht="15.75">
      <c r="D19" s="37">
        <f t="shared" si="0"/>
        <v>9</v>
      </c>
      <c r="E19" s="39"/>
      <c r="F19" s="42"/>
      <c r="G19" s="30"/>
      <c r="H19" s="36" t="s">
        <v>39</v>
      </c>
    </row>
    <row r="20" spans="4:8" ht="15.75">
      <c r="D20" s="37">
        <f t="shared" si="0"/>
        <v>10</v>
      </c>
      <c r="E20" s="39"/>
      <c r="F20" s="42"/>
      <c r="G20" s="30"/>
      <c r="H20" s="36" t="s">
        <v>39</v>
      </c>
    </row>
    <row r="21" spans="4:8" ht="15.75">
      <c r="D21" s="37">
        <f>D20+1</f>
        <v>11</v>
      </c>
      <c r="E21" s="39"/>
      <c r="F21" s="42"/>
      <c r="G21" s="30"/>
      <c r="H21" s="36" t="s">
        <v>39</v>
      </c>
    </row>
    <row r="22" spans="4:8" ht="15.75">
      <c r="D22" s="37">
        <f t="shared" si="0"/>
        <v>12</v>
      </c>
      <c r="E22" s="39"/>
      <c r="F22" s="42"/>
      <c r="G22" s="30"/>
      <c r="H22" s="36" t="s">
        <v>39</v>
      </c>
    </row>
    <row r="23" spans="4:8" ht="15.75">
      <c r="D23" s="37">
        <f t="shared" si="0"/>
        <v>13</v>
      </c>
      <c r="E23" s="39"/>
      <c r="F23" s="42"/>
      <c r="G23" s="30"/>
      <c r="H23" s="36" t="s">
        <v>39</v>
      </c>
    </row>
    <row r="24" spans="4:8" ht="15.75">
      <c r="D24" s="37">
        <f t="shared" si="0"/>
        <v>14</v>
      </c>
      <c r="E24" s="39"/>
      <c r="F24" s="42"/>
      <c r="G24" s="30"/>
      <c r="H24" s="36" t="s">
        <v>39</v>
      </c>
    </row>
    <row r="25" spans="4:8" ht="15.75">
      <c r="D25" s="37">
        <f t="shared" si="0"/>
        <v>15</v>
      </c>
      <c r="E25" s="39"/>
      <c r="F25" s="42"/>
      <c r="G25" s="30"/>
      <c r="H25" s="36" t="s">
        <v>39</v>
      </c>
    </row>
    <row r="26" spans="4:8" ht="15.75">
      <c r="D26" s="37">
        <f t="shared" si="0"/>
        <v>16</v>
      </c>
      <c r="E26" s="39"/>
      <c r="F26" s="42"/>
      <c r="G26" s="30"/>
      <c r="H26" s="36" t="s">
        <v>39</v>
      </c>
    </row>
    <row r="27" spans="4:8" ht="15.75">
      <c r="D27" s="37">
        <f t="shared" si="0"/>
        <v>17</v>
      </c>
      <c r="E27" s="39"/>
      <c r="F27" s="42"/>
      <c r="G27" s="30"/>
      <c r="H27" s="36" t="s">
        <v>39</v>
      </c>
    </row>
    <row r="28" spans="4:8" ht="15.75">
      <c r="D28" s="37">
        <f t="shared" si="0"/>
        <v>18</v>
      </c>
      <c r="E28" s="39"/>
      <c r="F28" s="42"/>
      <c r="G28" s="30"/>
      <c r="H28" s="36" t="s">
        <v>39</v>
      </c>
    </row>
    <row r="29" spans="4:8" ht="15.75">
      <c r="D29" s="37">
        <f t="shared" si="0"/>
        <v>19</v>
      </c>
      <c r="E29" s="39"/>
      <c r="F29" s="42"/>
      <c r="G29" s="30"/>
      <c r="H29" s="36" t="s">
        <v>39</v>
      </c>
    </row>
    <row r="30" spans="4:8" ht="15.75">
      <c r="D30" s="37">
        <f t="shared" si="0"/>
        <v>20</v>
      </c>
      <c r="E30" s="39"/>
      <c r="F30" s="42"/>
      <c r="G30" s="30"/>
      <c r="H30" s="36" t="s">
        <v>39</v>
      </c>
    </row>
    <row r="31" spans="4:8" ht="15.75">
      <c r="D31" s="37">
        <f>D30+1</f>
        <v>21</v>
      </c>
      <c r="E31" s="39"/>
      <c r="F31" s="42"/>
      <c r="G31" s="30"/>
      <c r="H31" s="36" t="s">
        <v>39</v>
      </c>
    </row>
    <row r="32" spans="4:8" ht="15.75">
      <c r="D32" s="37">
        <f>D31+1</f>
        <v>22</v>
      </c>
      <c r="E32" s="39"/>
      <c r="F32" s="42"/>
      <c r="G32" s="30"/>
      <c r="H32" s="36" t="s">
        <v>39</v>
      </c>
    </row>
    <row r="33" spans="4:8" ht="15.75">
      <c r="D33" s="37">
        <f>D32+1</f>
        <v>23</v>
      </c>
      <c r="E33" s="39"/>
      <c r="F33" s="42"/>
      <c r="G33" s="30"/>
      <c r="H33" s="36" t="s">
        <v>39</v>
      </c>
    </row>
    <row r="34" spans="4:8" ht="15.75">
      <c r="D34" s="37">
        <f>D33+1</f>
        <v>24</v>
      </c>
      <c r="E34" s="39"/>
      <c r="F34" s="42"/>
      <c r="G34" s="30"/>
      <c r="H34" s="36" t="s">
        <v>39</v>
      </c>
    </row>
    <row r="35" spans="4:8" ht="15.75">
      <c r="D35" s="37">
        <f>D34+1</f>
        <v>25</v>
      </c>
      <c r="E35" s="39"/>
      <c r="F35" s="42"/>
      <c r="G35" s="30"/>
      <c r="H35" s="36" t="s">
        <v>39</v>
      </c>
    </row>
    <row r="36" spans="4:8" ht="15.75">
      <c r="D36" s="37">
        <f t="shared" si="0"/>
        <v>26</v>
      </c>
      <c r="E36" s="39"/>
      <c r="F36" s="42"/>
      <c r="G36" s="30"/>
      <c r="H36" s="36" t="s">
        <v>39</v>
      </c>
    </row>
    <row r="37" spans="4:8" ht="15.75">
      <c r="D37" s="37">
        <f t="shared" si="0"/>
        <v>27</v>
      </c>
      <c r="E37" s="39"/>
      <c r="F37" s="42"/>
      <c r="G37" s="30"/>
      <c r="H37" s="36" t="s">
        <v>39</v>
      </c>
    </row>
    <row r="38" spans="4:8" ht="15.75">
      <c r="D38" s="37">
        <f t="shared" si="0"/>
        <v>28</v>
      </c>
      <c r="E38" s="39"/>
      <c r="F38" s="42"/>
      <c r="G38" s="30"/>
      <c r="H38" s="36" t="s">
        <v>39</v>
      </c>
    </row>
    <row r="39" spans="4:8" ht="15.75">
      <c r="D39" s="37">
        <f t="shared" si="0"/>
        <v>29</v>
      </c>
      <c r="E39" s="39"/>
      <c r="F39" s="42"/>
      <c r="G39" s="30"/>
      <c r="H39" s="36" t="s">
        <v>39</v>
      </c>
    </row>
    <row r="40" spans="4:8" ht="15.75">
      <c r="D40" s="37">
        <f t="shared" si="0"/>
        <v>30</v>
      </c>
      <c r="E40" s="39"/>
      <c r="F40" s="42"/>
      <c r="G40" s="30"/>
      <c r="H40" s="36" t="s">
        <v>39</v>
      </c>
    </row>
    <row r="41" spans="4:8" ht="15.75">
      <c r="D41" s="37">
        <f>D40+1</f>
        <v>31</v>
      </c>
      <c r="E41" s="39"/>
      <c r="F41" s="42"/>
      <c r="G41" s="30"/>
      <c r="H41" s="36" t="s">
        <v>39</v>
      </c>
    </row>
    <row r="42" spans="4:8" ht="15.75">
      <c r="D42" s="37">
        <f t="shared" si="0"/>
        <v>32</v>
      </c>
      <c r="E42" s="39"/>
      <c r="F42" s="42"/>
      <c r="G42" s="30"/>
      <c r="H42" s="36" t="s">
        <v>39</v>
      </c>
    </row>
    <row r="43" spans="4:8" ht="15.75">
      <c r="D43" s="37">
        <f t="shared" si="0"/>
        <v>33</v>
      </c>
      <c r="E43" s="39"/>
      <c r="F43" s="42"/>
      <c r="G43" s="30"/>
      <c r="H43" s="36" t="s">
        <v>39</v>
      </c>
    </row>
    <row r="44" spans="4:8" ht="15.75">
      <c r="D44" s="37">
        <f t="shared" si="0"/>
        <v>34</v>
      </c>
      <c r="E44" s="39"/>
      <c r="F44" s="42"/>
      <c r="G44" s="30"/>
      <c r="H44" s="36" t="s">
        <v>39</v>
      </c>
    </row>
    <row r="45" spans="4:8" ht="15.75">
      <c r="D45" s="37">
        <f t="shared" si="0"/>
        <v>35</v>
      </c>
      <c r="E45" s="39"/>
      <c r="F45" s="42"/>
      <c r="G45" s="30"/>
      <c r="H45" s="36" t="s">
        <v>39</v>
      </c>
    </row>
    <row r="46" spans="4:8" ht="15.75">
      <c r="D46" s="37">
        <f t="shared" si="0"/>
        <v>36</v>
      </c>
      <c r="E46" s="39"/>
      <c r="F46" s="42"/>
      <c r="G46" s="30"/>
      <c r="H46" s="36" t="s">
        <v>39</v>
      </c>
    </row>
    <row r="47" spans="4:8" ht="15.75">
      <c r="D47" s="37">
        <f t="shared" si="0"/>
        <v>37</v>
      </c>
      <c r="E47" s="39"/>
      <c r="F47" s="42"/>
      <c r="G47" s="30"/>
      <c r="H47" s="36" t="s">
        <v>39</v>
      </c>
    </row>
    <row r="48" spans="4:8" ht="15.75">
      <c r="D48" s="37">
        <f t="shared" si="0"/>
        <v>38</v>
      </c>
      <c r="E48" s="39"/>
      <c r="F48" s="42"/>
      <c r="G48" s="30"/>
      <c r="H48" s="36" t="s">
        <v>39</v>
      </c>
    </row>
    <row r="49" spans="4:8" ht="15.75">
      <c r="D49" s="37">
        <f t="shared" si="0"/>
        <v>39</v>
      </c>
      <c r="E49" s="39"/>
      <c r="F49" s="42"/>
      <c r="G49" s="30"/>
      <c r="H49" s="36" t="s">
        <v>39</v>
      </c>
    </row>
    <row r="50" spans="4:8" ht="15.75">
      <c r="D50" s="37">
        <f t="shared" si="0"/>
        <v>40</v>
      </c>
      <c r="E50" s="39"/>
      <c r="F50" s="42"/>
      <c r="G50" s="30"/>
      <c r="H50" s="36" t="s">
        <v>39</v>
      </c>
    </row>
    <row r="51" spans="4:8" ht="15.75">
      <c r="D51" s="37">
        <f>D50+1</f>
        <v>41</v>
      </c>
      <c r="E51" s="39"/>
      <c r="F51" s="42"/>
      <c r="G51" s="30"/>
      <c r="H51" s="36" t="s">
        <v>39</v>
      </c>
    </row>
    <row r="52" spans="4:8" ht="15.75">
      <c r="D52" s="37">
        <f t="shared" si="0"/>
        <v>42</v>
      </c>
      <c r="E52" s="39"/>
      <c r="F52" s="42"/>
      <c r="G52" s="30"/>
      <c r="H52" s="36" t="s">
        <v>39</v>
      </c>
    </row>
    <row r="53" spans="4:8" ht="15.75">
      <c r="D53" s="37">
        <f t="shared" si="0"/>
        <v>43</v>
      </c>
      <c r="E53" s="39"/>
      <c r="F53" s="42"/>
      <c r="G53" s="30"/>
      <c r="H53" s="36" t="s">
        <v>39</v>
      </c>
    </row>
    <row r="54" spans="4:8" ht="15.75">
      <c r="D54" s="37">
        <f t="shared" si="0"/>
        <v>44</v>
      </c>
      <c r="E54" s="39"/>
      <c r="F54" s="42"/>
      <c r="G54" s="30"/>
      <c r="H54" s="36" t="s">
        <v>39</v>
      </c>
    </row>
    <row r="55" spans="4:8" ht="15.75">
      <c r="D55" s="37">
        <f t="shared" si="0"/>
        <v>45</v>
      </c>
      <c r="E55" s="39"/>
      <c r="F55" s="42"/>
      <c r="G55" s="30"/>
      <c r="H55" s="36" t="s">
        <v>39</v>
      </c>
    </row>
    <row r="56" spans="4:8" ht="15.75">
      <c r="D56" s="37">
        <f t="shared" si="0"/>
        <v>46</v>
      </c>
      <c r="E56" s="39"/>
      <c r="F56" s="42"/>
      <c r="G56" s="30"/>
      <c r="H56" s="36" t="s">
        <v>39</v>
      </c>
    </row>
    <row r="57" spans="4:8" ht="15.75">
      <c r="D57" s="37">
        <f t="shared" si="0"/>
        <v>47</v>
      </c>
      <c r="E57" s="39"/>
      <c r="F57" s="42"/>
      <c r="G57" s="30"/>
      <c r="H57" s="36" t="s">
        <v>39</v>
      </c>
    </row>
    <row r="58" spans="4:8" ht="15.75">
      <c r="D58" s="37">
        <f t="shared" si="0"/>
        <v>48</v>
      </c>
      <c r="E58" s="39"/>
      <c r="F58" s="42"/>
      <c r="G58" s="30"/>
      <c r="H58" s="36" t="s">
        <v>39</v>
      </c>
    </row>
    <row r="59" spans="4:8" ht="15.75">
      <c r="D59" s="37">
        <f t="shared" si="0"/>
        <v>49</v>
      </c>
      <c r="E59" s="39"/>
      <c r="F59" s="42"/>
      <c r="G59" s="30"/>
      <c r="H59" s="36" t="s">
        <v>39</v>
      </c>
    </row>
    <row r="60" spans="4:8" ht="15.75">
      <c r="D60" s="37">
        <f t="shared" si="0"/>
        <v>50</v>
      </c>
      <c r="E60" s="39"/>
      <c r="F60" s="42"/>
      <c r="G60" s="30"/>
      <c r="H60" s="36" t="s">
        <v>39</v>
      </c>
    </row>
    <row r="61" spans="4:8" ht="15.75">
      <c r="D61" s="37">
        <f>D60+1</f>
        <v>51</v>
      </c>
      <c r="E61" s="39"/>
      <c r="F61" s="42"/>
      <c r="G61" s="30"/>
      <c r="H61" s="36" t="s">
        <v>39</v>
      </c>
    </row>
    <row r="62" spans="4:8" ht="15.75">
      <c r="D62" s="37">
        <f t="shared" si="0"/>
        <v>52</v>
      </c>
      <c r="E62" s="39"/>
      <c r="F62" s="42"/>
      <c r="G62" s="30"/>
      <c r="H62" s="36" t="s">
        <v>39</v>
      </c>
    </row>
    <row r="63" spans="4:8" ht="15.75">
      <c r="D63" s="37">
        <f t="shared" si="0"/>
        <v>53</v>
      </c>
      <c r="E63" s="39"/>
      <c r="F63" s="42"/>
      <c r="G63" s="30"/>
      <c r="H63" s="36" t="s">
        <v>39</v>
      </c>
    </row>
    <row r="64" spans="4:8" ht="15.75">
      <c r="D64" s="37">
        <f t="shared" si="0"/>
        <v>54</v>
      </c>
      <c r="E64" s="39"/>
      <c r="F64" s="42"/>
      <c r="G64" s="30"/>
      <c r="H64" s="36" t="s">
        <v>39</v>
      </c>
    </row>
    <row r="65" spans="4:8" ht="15.75">
      <c r="D65" s="37">
        <f t="shared" si="0"/>
        <v>55</v>
      </c>
      <c r="E65" s="39"/>
      <c r="F65" s="42"/>
      <c r="G65" s="30"/>
      <c r="H65" s="36" t="s">
        <v>39</v>
      </c>
    </row>
    <row r="66" spans="4:8" ht="15.75">
      <c r="D66" s="37">
        <f t="shared" si="0"/>
        <v>56</v>
      </c>
      <c r="E66" s="39"/>
      <c r="F66" s="42"/>
      <c r="G66" s="30"/>
      <c r="H66" s="36" t="s">
        <v>39</v>
      </c>
    </row>
    <row r="67" spans="4:8" ht="15.75">
      <c r="D67" s="37">
        <f t="shared" si="0"/>
        <v>57</v>
      </c>
      <c r="E67" s="39"/>
      <c r="F67" s="42"/>
      <c r="G67" s="30"/>
      <c r="H67" s="36" t="s">
        <v>39</v>
      </c>
    </row>
    <row r="68" spans="4:8" ht="15.75">
      <c r="D68" s="37">
        <f t="shared" si="0"/>
        <v>58</v>
      </c>
      <c r="E68" s="39"/>
      <c r="F68" s="42"/>
      <c r="G68" s="30"/>
      <c r="H68" s="36" t="s">
        <v>39</v>
      </c>
    </row>
    <row r="69" spans="4:8" ht="15.75">
      <c r="D69" s="37">
        <f t="shared" si="0"/>
        <v>59</v>
      </c>
      <c r="E69" s="39"/>
      <c r="F69" s="42"/>
      <c r="G69" s="30"/>
      <c r="H69" s="36" t="s">
        <v>39</v>
      </c>
    </row>
    <row r="70" spans="4:8" ht="15.75">
      <c r="D70" s="37">
        <f t="shared" si="0"/>
        <v>60</v>
      </c>
      <c r="E70" s="39"/>
      <c r="F70" s="42"/>
      <c r="G70" s="30"/>
      <c r="H70" s="36" t="s">
        <v>39</v>
      </c>
    </row>
    <row r="71" spans="4:8" ht="15.75">
      <c r="D71" s="37">
        <f>D70+1</f>
        <v>61</v>
      </c>
      <c r="E71" s="39"/>
      <c r="F71" s="42"/>
      <c r="G71" s="30"/>
      <c r="H71" s="36" t="s">
        <v>39</v>
      </c>
    </row>
    <row r="72" spans="4:8" ht="15.75">
      <c r="D72" s="37">
        <f t="shared" si="0"/>
        <v>62</v>
      </c>
      <c r="E72" s="39"/>
      <c r="F72" s="42"/>
      <c r="G72" s="30"/>
      <c r="H72" s="36" t="s">
        <v>39</v>
      </c>
    </row>
    <row r="73" spans="4:8" ht="15.75">
      <c r="D73" s="37">
        <f t="shared" si="0"/>
        <v>63</v>
      </c>
      <c r="E73" s="39"/>
      <c r="F73" s="42"/>
      <c r="G73" s="30"/>
      <c r="H73" s="36" t="s">
        <v>39</v>
      </c>
    </row>
    <row r="74" spans="4:8" ht="15.75">
      <c r="D74" s="37">
        <f t="shared" si="0"/>
        <v>64</v>
      </c>
      <c r="E74" s="39"/>
      <c r="F74" s="42"/>
      <c r="G74" s="30"/>
      <c r="H74" s="36" t="s">
        <v>39</v>
      </c>
    </row>
    <row r="75" spans="4:8" ht="15.75">
      <c r="D75" s="37">
        <f t="shared" si="0"/>
        <v>65</v>
      </c>
      <c r="E75" s="39"/>
      <c r="F75" s="42"/>
      <c r="G75" s="30"/>
      <c r="H75" s="36" t="s">
        <v>39</v>
      </c>
    </row>
    <row r="76" spans="4:8" ht="15.75">
      <c r="D76" s="37">
        <f t="shared" si="0"/>
        <v>66</v>
      </c>
      <c r="E76" s="39"/>
      <c r="F76" s="42"/>
      <c r="G76" s="30"/>
      <c r="H76" s="36" t="s">
        <v>39</v>
      </c>
    </row>
    <row r="77" spans="4:8" ht="15.75">
      <c r="D77" s="37">
        <f t="shared" ref="D77:D100" si="1">D76+1</f>
        <v>67</v>
      </c>
      <c r="E77" s="39"/>
      <c r="F77" s="42"/>
      <c r="G77" s="30"/>
      <c r="H77" s="36" t="s">
        <v>39</v>
      </c>
    </row>
    <row r="78" spans="4:8" ht="15.75">
      <c r="D78" s="37">
        <f t="shared" si="1"/>
        <v>68</v>
      </c>
      <c r="E78" s="39"/>
      <c r="F78" s="42"/>
      <c r="G78" s="30"/>
      <c r="H78" s="36" t="s">
        <v>39</v>
      </c>
    </row>
    <row r="79" spans="4:8" ht="15.75">
      <c r="D79" s="37">
        <f t="shared" si="1"/>
        <v>69</v>
      </c>
      <c r="E79" s="39"/>
      <c r="F79" s="42"/>
      <c r="G79" s="30"/>
      <c r="H79" s="36" t="s">
        <v>39</v>
      </c>
    </row>
    <row r="80" spans="4:8" ht="15.75">
      <c r="D80" s="37">
        <f t="shared" si="1"/>
        <v>70</v>
      </c>
      <c r="E80" s="39"/>
      <c r="F80" s="42"/>
      <c r="G80" s="30"/>
      <c r="H80" s="36" t="s">
        <v>39</v>
      </c>
    </row>
    <row r="81" spans="4:8" ht="15.75">
      <c r="D81" s="37">
        <f>D80+1</f>
        <v>71</v>
      </c>
      <c r="E81" s="39"/>
      <c r="F81" s="42"/>
      <c r="G81" s="30"/>
      <c r="H81" s="36" t="s">
        <v>39</v>
      </c>
    </row>
    <row r="82" spans="4:8" ht="15.75">
      <c r="D82" s="37">
        <f t="shared" si="1"/>
        <v>72</v>
      </c>
      <c r="E82" s="39"/>
      <c r="F82" s="42"/>
      <c r="G82" s="30"/>
      <c r="H82" s="36" t="s">
        <v>39</v>
      </c>
    </row>
    <row r="83" spans="4:8" ht="15.75">
      <c r="D83" s="37">
        <f t="shared" si="1"/>
        <v>73</v>
      </c>
      <c r="E83" s="39"/>
      <c r="F83" s="42"/>
      <c r="G83" s="30"/>
      <c r="H83" s="36" t="s">
        <v>39</v>
      </c>
    </row>
    <row r="84" spans="4:8" ht="15.75">
      <c r="D84" s="37">
        <f t="shared" si="1"/>
        <v>74</v>
      </c>
      <c r="E84" s="39"/>
      <c r="F84" s="42"/>
      <c r="G84" s="30"/>
      <c r="H84" s="36" t="s">
        <v>39</v>
      </c>
    </row>
    <row r="85" spans="4:8" ht="15.75">
      <c r="D85" s="37">
        <f t="shared" si="1"/>
        <v>75</v>
      </c>
      <c r="E85" s="39"/>
      <c r="F85" s="42"/>
      <c r="G85" s="30"/>
      <c r="H85" s="36" t="s">
        <v>39</v>
      </c>
    </row>
    <row r="86" spans="4:8" ht="15.75">
      <c r="D86" s="37">
        <f t="shared" si="1"/>
        <v>76</v>
      </c>
      <c r="E86" s="39"/>
      <c r="F86" s="42"/>
      <c r="G86" s="30"/>
      <c r="H86" s="36" t="s">
        <v>39</v>
      </c>
    </row>
    <row r="87" spans="4:8" ht="15.75">
      <c r="D87" s="37">
        <f t="shared" si="1"/>
        <v>77</v>
      </c>
      <c r="E87" s="39"/>
      <c r="F87" s="42"/>
      <c r="G87" s="30"/>
      <c r="H87" s="36" t="s">
        <v>39</v>
      </c>
    </row>
    <row r="88" spans="4:8" ht="15.75">
      <c r="D88" s="37">
        <f t="shared" si="1"/>
        <v>78</v>
      </c>
      <c r="E88" s="39"/>
      <c r="F88" s="42"/>
      <c r="G88" s="30"/>
      <c r="H88" s="36" t="s">
        <v>39</v>
      </c>
    </row>
    <row r="89" spans="4:8" ht="15.75">
      <c r="D89" s="37">
        <f t="shared" si="1"/>
        <v>79</v>
      </c>
      <c r="E89" s="39"/>
      <c r="F89" s="42"/>
      <c r="G89" s="30"/>
      <c r="H89" s="36" t="s">
        <v>39</v>
      </c>
    </row>
    <row r="90" spans="4:8" ht="15.75">
      <c r="D90" s="37">
        <f t="shared" si="1"/>
        <v>80</v>
      </c>
      <c r="E90" s="39"/>
      <c r="F90" s="42"/>
      <c r="G90" s="30"/>
      <c r="H90" s="36" t="s">
        <v>39</v>
      </c>
    </row>
    <row r="91" spans="4:8" ht="15.75">
      <c r="D91" s="37">
        <f>D90+1</f>
        <v>81</v>
      </c>
      <c r="E91" s="39"/>
      <c r="F91" s="42"/>
      <c r="G91" s="30"/>
      <c r="H91" s="36" t="s">
        <v>39</v>
      </c>
    </row>
    <row r="92" spans="4:8" ht="15.75">
      <c r="D92" s="37">
        <f t="shared" si="1"/>
        <v>82</v>
      </c>
      <c r="E92" s="39"/>
      <c r="F92" s="42"/>
      <c r="G92" s="30"/>
      <c r="H92" s="36" t="s">
        <v>39</v>
      </c>
    </row>
    <row r="93" spans="4:8" ht="15.75">
      <c r="D93" s="37">
        <f t="shared" si="1"/>
        <v>83</v>
      </c>
      <c r="E93" s="39"/>
      <c r="F93" s="42"/>
      <c r="G93" s="30"/>
      <c r="H93" s="36" t="s">
        <v>39</v>
      </c>
    </row>
    <row r="94" spans="4:8" ht="15.75">
      <c r="D94" s="37">
        <f t="shared" si="1"/>
        <v>84</v>
      </c>
      <c r="E94" s="39"/>
      <c r="F94" s="42"/>
      <c r="G94" s="30"/>
      <c r="H94" s="36" t="s">
        <v>39</v>
      </c>
    </row>
    <row r="95" spans="4:8" ht="15.75">
      <c r="D95" s="37">
        <f t="shared" si="1"/>
        <v>85</v>
      </c>
      <c r="E95" s="39"/>
      <c r="F95" s="42"/>
      <c r="G95" s="30"/>
      <c r="H95" s="36" t="s">
        <v>39</v>
      </c>
    </row>
    <row r="96" spans="4:8" ht="15.75">
      <c r="D96" s="37">
        <f t="shared" si="1"/>
        <v>86</v>
      </c>
      <c r="E96" s="39"/>
      <c r="F96" s="42"/>
      <c r="G96" s="30"/>
      <c r="H96" s="36" t="s">
        <v>39</v>
      </c>
    </row>
    <row r="97" spans="4:8" ht="15.75">
      <c r="D97" s="37">
        <f t="shared" si="1"/>
        <v>87</v>
      </c>
      <c r="E97" s="39"/>
      <c r="F97" s="42"/>
      <c r="G97" s="30"/>
      <c r="H97" s="36" t="s">
        <v>39</v>
      </c>
    </row>
    <row r="98" spans="4:8" ht="15.75">
      <c r="D98" s="37">
        <f t="shared" si="1"/>
        <v>88</v>
      </c>
      <c r="E98" s="39"/>
      <c r="F98" s="42"/>
      <c r="G98" s="30"/>
      <c r="H98" s="36" t="s">
        <v>39</v>
      </c>
    </row>
    <row r="99" spans="4:8" ht="15.75">
      <c r="D99" s="37">
        <f t="shared" si="1"/>
        <v>89</v>
      </c>
      <c r="E99" s="39"/>
      <c r="F99" s="42"/>
      <c r="G99" s="30"/>
      <c r="H99" s="36" t="s">
        <v>39</v>
      </c>
    </row>
    <row r="100" spans="4:8" ht="15.75">
      <c r="D100" s="37">
        <f t="shared" si="1"/>
        <v>90</v>
      </c>
      <c r="E100" s="39"/>
      <c r="F100" s="42"/>
      <c r="G100" s="30"/>
      <c r="H100" s="36" t="s">
        <v>39</v>
      </c>
    </row>
    <row r="101" spans="4:8" ht="15.75">
      <c r="D101" s="37">
        <f>D100+1</f>
        <v>91</v>
      </c>
      <c r="E101" s="39"/>
      <c r="F101" s="42"/>
      <c r="G101" s="30"/>
      <c r="H101" s="36" t="s">
        <v>39</v>
      </c>
    </row>
    <row r="102" spans="4:8" ht="15.75">
      <c r="D102" s="37">
        <f t="shared" ref="D102:D165" si="2">D101+1</f>
        <v>92</v>
      </c>
      <c r="E102" s="39"/>
      <c r="F102" s="42"/>
      <c r="G102" s="30"/>
      <c r="H102" s="36" t="s">
        <v>39</v>
      </c>
    </row>
    <row r="103" spans="4:8" ht="15.75">
      <c r="D103" s="37">
        <f t="shared" si="2"/>
        <v>93</v>
      </c>
      <c r="E103" s="39"/>
      <c r="F103" s="42"/>
      <c r="G103" s="30"/>
      <c r="H103" s="36" t="s">
        <v>39</v>
      </c>
    </row>
    <row r="104" spans="4:8" ht="15.75">
      <c r="D104" s="37">
        <f t="shared" si="2"/>
        <v>94</v>
      </c>
      <c r="E104" s="39"/>
      <c r="F104" s="42"/>
      <c r="G104" s="30"/>
      <c r="H104" s="36" t="s">
        <v>39</v>
      </c>
    </row>
    <row r="105" spans="4:8" ht="15.75">
      <c r="D105" s="37">
        <f t="shared" si="2"/>
        <v>95</v>
      </c>
      <c r="E105" s="39"/>
      <c r="F105" s="42"/>
      <c r="G105" s="30"/>
      <c r="H105" s="36" t="s">
        <v>39</v>
      </c>
    </row>
    <row r="106" spans="4:8" ht="15.75">
      <c r="D106" s="37">
        <f t="shared" si="2"/>
        <v>96</v>
      </c>
      <c r="E106" s="39"/>
      <c r="F106" s="42"/>
      <c r="G106" s="30"/>
      <c r="H106" s="36" t="s">
        <v>39</v>
      </c>
    </row>
    <row r="107" spans="4:8" ht="15.75">
      <c r="D107" s="37">
        <f t="shared" si="2"/>
        <v>97</v>
      </c>
      <c r="E107" s="39"/>
      <c r="F107" s="42"/>
      <c r="G107" s="30"/>
      <c r="H107" s="36" t="s">
        <v>39</v>
      </c>
    </row>
    <row r="108" spans="4:8" ht="15.75">
      <c r="D108" s="37">
        <f t="shared" si="2"/>
        <v>98</v>
      </c>
      <c r="E108" s="39"/>
      <c r="F108" s="42"/>
      <c r="G108" s="30"/>
      <c r="H108" s="36" t="s">
        <v>39</v>
      </c>
    </row>
    <row r="109" spans="4:8" ht="15.75">
      <c r="D109" s="37">
        <f t="shared" si="2"/>
        <v>99</v>
      </c>
      <c r="E109" s="39"/>
      <c r="F109" s="42"/>
      <c r="G109" s="30"/>
      <c r="H109" s="36" t="s">
        <v>39</v>
      </c>
    </row>
    <row r="110" spans="4:8" ht="15.75">
      <c r="D110" s="37">
        <f t="shared" si="2"/>
        <v>100</v>
      </c>
      <c r="E110" s="39"/>
      <c r="F110" s="42"/>
      <c r="G110" s="30"/>
      <c r="H110" s="36" t="s">
        <v>39</v>
      </c>
    </row>
    <row r="111" spans="4:8" ht="15.75">
      <c r="D111" s="37">
        <f>D110+1</f>
        <v>101</v>
      </c>
      <c r="E111" s="39"/>
      <c r="F111" s="42"/>
      <c r="G111" s="30"/>
      <c r="H111" s="36" t="s">
        <v>39</v>
      </c>
    </row>
    <row r="112" spans="4:8" ht="15.75">
      <c r="D112" s="37">
        <f t="shared" si="2"/>
        <v>102</v>
      </c>
      <c r="E112" s="39"/>
      <c r="F112" s="42"/>
      <c r="G112" s="30"/>
      <c r="H112" s="36" t="s">
        <v>39</v>
      </c>
    </row>
    <row r="113" spans="4:8" ht="15.75">
      <c r="D113" s="37">
        <f t="shared" si="2"/>
        <v>103</v>
      </c>
      <c r="E113" s="39"/>
      <c r="F113" s="42"/>
      <c r="G113" s="30"/>
      <c r="H113" s="36" t="s">
        <v>39</v>
      </c>
    </row>
    <row r="114" spans="4:8" ht="15.75">
      <c r="D114" s="37">
        <f t="shared" si="2"/>
        <v>104</v>
      </c>
      <c r="E114" s="39"/>
      <c r="F114" s="42"/>
      <c r="G114" s="30"/>
      <c r="H114" s="36" t="s">
        <v>39</v>
      </c>
    </row>
    <row r="115" spans="4:8" ht="15.75">
      <c r="D115" s="37">
        <f t="shared" si="2"/>
        <v>105</v>
      </c>
      <c r="E115" s="39"/>
      <c r="F115" s="42"/>
      <c r="G115" s="30"/>
      <c r="H115" s="36" t="s">
        <v>39</v>
      </c>
    </row>
    <row r="116" spans="4:8" ht="15.75">
      <c r="D116" s="37">
        <f t="shared" si="2"/>
        <v>106</v>
      </c>
      <c r="E116" s="39"/>
      <c r="F116" s="42"/>
      <c r="G116" s="30"/>
      <c r="H116" s="36" t="s">
        <v>39</v>
      </c>
    </row>
    <row r="117" spans="4:8" ht="15.75">
      <c r="D117" s="37">
        <f t="shared" si="2"/>
        <v>107</v>
      </c>
      <c r="E117" s="39"/>
      <c r="F117" s="42"/>
      <c r="G117" s="30"/>
      <c r="H117" s="36" t="s">
        <v>39</v>
      </c>
    </row>
    <row r="118" spans="4:8" ht="15.75">
      <c r="D118" s="37">
        <f t="shared" si="2"/>
        <v>108</v>
      </c>
      <c r="E118" s="39"/>
      <c r="F118" s="42"/>
      <c r="G118" s="30"/>
      <c r="H118" s="36" t="s">
        <v>39</v>
      </c>
    </row>
    <row r="119" spans="4:8" ht="15.75">
      <c r="D119" s="37">
        <f t="shared" si="2"/>
        <v>109</v>
      </c>
      <c r="E119" s="39"/>
      <c r="F119" s="42"/>
      <c r="G119" s="30"/>
      <c r="H119" s="36" t="s">
        <v>39</v>
      </c>
    </row>
    <row r="120" spans="4:8" ht="15.75">
      <c r="D120" s="37">
        <f t="shared" si="2"/>
        <v>110</v>
      </c>
      <c r="E120" s="39"/>
      <c r="F120" s="42"/>
      <c r="G120" s="30"/>
      <c r="H120" s="36" t="s">
        <v>39</v>
      </c>
    </row>
    <row r="121" spans="4:8" ht="15.75">
      <c r="D121" s="37">
        <f>D120+1</f>
        <v>111</v>
      </c>
      <c r="E121" s="39"/>
      <c r="F121" s="42"/>
      <c r="G121" s="30"/>
      <c r="H121" s="36" t="s">
        <v>39</v>
      </c>
    </row>
    <row r="122" spans="4:8" ht="15.75">
      <c r="D122" s="37">
        <f t="shared" si="2"/>
        <v>112</v>
      </c>
      <c r="E122" s="39"/>
      <c r="F122" s="42"/>
      <c r="G122" s="30"/>
      <c r="H122" s="36" t="s">
        <v>39</v>
      </c>
    </row>
    <row r="123" spans="4:8" ht="15.75">
      <c r="D123" s="37">
        <f t="shared" si="2"/>
        <v>113</v>
      </c>
      <c r="E123" s="39"/>
      <c r="F123" s="42"/>
      <c r="G123" s="30"/>
      <c r="H123" s="36" t="s">
        <v>39</v>
      </c>
    </row>
    <row r="124" spans="4:8" ht="15.75">
      <c r="D124" s="37">
        <f t="shared" si="2"/>
        <v>114</v>
      </c>
      <c r="E124" s="39"/>
      <c r="F124" s="42"/>
      <c r="G124" s="30"/>
      <c r="H124" s="36" t="s">
        <v>39</v>
      </c>
    </row>
    <row r="125" spans="4:8" ht="15.75">
      <c r="D125" s="37">
        <f t="shared" si="2"/>
        <v>115</v>
      </c>
      <c r="E125" s="39"/>
      <c r="F125" s="42"/>
      <c r="G125" s="30"/>
      <c r="H125" s="36" t="s">
        <v>39</v>
      </c>
    </row>
    <row r="126" spans="4:8" ht="15.75">
      <c r="D126" s="37">
        <f t="shared" si="2"/>
        <v>116</v>
      </c>
      <c r="E126" s="39"/>
      <c r="F126" s="42"/>
      <c r="G126" s="30"/>
      <c r="H126" s="36" t="s">
        <v>39</v>
      </c>
    </row>
    <row r="127" spans="4:8" ht="15.75">
      <c r="D127" s="37">
        <f t="shared" si="2"/>
        <v>117</v>
      </c>
      <c r="E127" s="39"/>
      <c r="F127" s="42"/>
      <c r="G127" s="30"/>
      <c r="H127" s="36" t="s">
        <v>39</v>
      </c>
    </row>
    <row r="128" spans="4:8" ht="15.75">
      <c r="D128" s="37">
        <f t="shared" si="2"/>
        <v>118</v>
      </c>
      <c r="E128" s="39"/>
      <c r="F128" s="42"/>
      <c r="G128" s="30"/>
      <c r="H128" s="36" t="s">
        <v>39</v>
      </c>
    </row>
    <row r="129" spans="4:8" ht="15.75">
      <c r="D129" s="37">
        <f t="shared" si="2"/>
        <v>119</v>
      </c>
      <c r="E129" s="39"/>
      <c r="F129" s="42"/>
      <c r="G129" s="30"/>
      <c r="H129" s="36" t="s">
        <v>39</v>
      </c>
    </row>
    <row r="130" spans="4:8" ht="15.75">
      <c r="D130" s="37">
        <f t="shared" si="2"/>
        <v>120</v>
      </c>
      <c r="E130" s="39"/>
      <c r="F130" s="42"/>
      <c r="G130" s="30"/>
      <c r="H130" s="36" t="s">
        <v>39</v>
      </c>
    </row>
    <row r="131" spans="4:8" ht="15.75">
      <c r="D131" s="37">
        <f>D130+1</f>
        <v>121</v>
      </c>
      <c r="E131" s="39"/>
      <c r="F131" s="42"/>
      <c r="G131" s="30"/>
      <c r="H131" s="36" t="s">
        <v>39</v>
      </c>
    </row>
    <row r="132" spans="4:8" ht="15.75">
      <c r="D132" s="37">
        <f t="shared" si="2"/>
        <v>122</v>
      </c>
      <c r="E132" s="39"/>
      <c r="F132" s="42"/>
      <c r="G132" s="30"/>
      <c r="H132" s="36" t="s">
        <v>39</v>
      </c>
    </row>
    <row r="133" spans="4:8" ht="15.75">
      <c r="D133" s="37">
        <f t="shared" si="2"/>
        <v>123</v>
      </c>
      <c r="E133" s="39"/>
      <c r="F133" s="42"/>
      <c r="G133" s="30"/>
      <c r="H133" s="36" t="s">
        <v>39</v>
      </c>
    </row>
    <row r="134" spans="4:8" ht="15.75">
      <c r="D134" s="37">
        <f t="shared" si="2"/>
        <v>124</v>
      </c>
      <c r="E134" s="39"/>
      <c r="F134" s="42"/>
      <c r="G134" s="30"/>
      <c r="H134" s="36" t="s">
        <v>39</v>
      </c>
    </row>
    <row r="135" spans="4:8" ht="15.75">
      <c r="D135" s="37">
        <f t="shared" si="2"/>
        <v>125</v>
      </c>
      <c r="E135" s="39"/>
      <c r="F135" s="42"/>
      <c r="G135" s="30"/>
      <c r="H135" s="36" t="s">
        <v>39</v>
      </c>
    </row>
    <row r="136" spans="4:8" ht="15.75">
      <c r="D136" s="37">
        <f t="shared" si="2"/>
        <v>126</v>
      </c>
      <c r="E136" s="39"/>
      <c r="F136" s="42"/>
      <c r="G136" s="30"/>
      <c r="H136" s="36" t="s">
        <v>39</v>
      </c>
    </row>
    <row r="137" spans="4:8" ht="15.75">
      <c r="D137" s="37">
        <f t="shared" si="2"/>
        <v>127</v>
      </c>
      <c r="E137" s="39"/>
      <c r="F137" s="42"/>
      <c r="G137" s="30"/>
      <c r="H137" s="36" t="s">
        <v>39</v>
      </c>
    </row>
    <row r="138" spans="4:8" ht="15.75">
      <c r="D138" s="37">
        <f t="shared" si="2"/>
        <v>128</v>
      </c>
      <c r="E138" s="39"/>
      <c r="F138" s="42"/>
      <c r="G138" s="30"/>
      <c r="H138" s="36" t="s">
        <v>39</v>
      </c>
    </row>
    <row r="139" spans="4:8" ht="15.75">
      <c r="D139" s="37">
        <f t="shared" si="2"/>
        <v>129</v>
      </c>
      <c r="E139" s="39"/>
      <c r="F139" s="42"/>
      <c r="G139" s="30"/>
      <c r="H139" s="36" t="s">
        <v>39</v>
      </c>
    </row>
    <row r="140" spans="4:8" ht="15.75">
      <c r="D140" s="37">
        <f t="shared" si="2"/>
        <v>130</v>
      </c>
      <c r="E140" s="39"/>
      <c r="F140" s="42"/>
      <c r="G140" s="30"/>
      <c r="H140" s="36" t="s">
        <v>39</v>
      </c>
    </row>
    <row r="141" spans="4:8" ht="15.75">
      <c r="D141" s="37">
        <f>D140+1</f>
        <v>131</v>
      </c>
      <c r="E141" s="39"/>
      <c r="F141" s="42"/>
      <c r="G141" s="30"/>
      <c r="H141" s="36" t="s">
        <v>39</v>
      </c>
    </row>
    <row r="142" spans="4:8" ht="15.75">
      <c r="D142" s="37">
        <f t="shared" si="2"/>
        <v>132</v>
      </c>
      <c r="E142" s="39"/>
      <c r="F142" s="42"/>
      <c r="G142" s="30"/>
      <c r="H142" s="36" t="s">
        <v>39</v>
      </c>
    </row>
    <row r="143" spans="4:8" ht="15.75">
      <c r="D143" s="37">
        <f t="shared" si="2"/>
        <v>133</v>
      </c>
      <c r="E143" s="39"/>
      <c r="F143" s="42"/>
      <c r="G143" s="30"/>
      <c r="H143" s="36" t="s">
        <v>39</v>
      </c>
    </row>
    <row r="144" spans="4:8" ht="15.75">
      <c r="D144" s="37">
        <f t="shared" si="2"/>
        <v>134</v>
      </c>
      <c r="E144" s="39"/>
      <c r="F144" s="42"/>
      <c r="G144" s="30"/>
      <c r="H144" s="36" t="s">
        <v>39</v>
      </c>
    </row>
    <row r="145" spans="4:8" ht="15.75">
      <c r="D145" s="37">
        <f t="shared" si="2"/>
        <v>135</v>
      </c>
      <c r="E145" s="39"/>
      <c r="F145" s="42"/>
      <c r="G145" s="30"/>
      <c r="H145" s="36" t="s">
        <v>39</v>
      </c>
    </row>
    <row r="146" spans="4:8" ht="15.75">
      <c r="D146" s="37">
        <f t="shared" si="2"/>
        <v>136</v>
      </c>
      <c r="E146" s="39"/>
      <c r="F146" s="42"/>
      <c r="G146" s="30"/>
      <c r="H146" s="36" t="s">
        <v>39</v>
      </c>
    </row>
    <row r="147" spans="4:8" ht="15.75">
      <c r="D147" s="37">
        <f t="shared" si="2"/>
        <v>137</v>
      </c>
      <c r="E147" s="39"/>
      <c r="F147" s="42"/>
      <c r="G147" s="30"/>
      <c r="H147" s="36" t="s">
        <v>39</v>
      </c>
    </row>
    <row r="148" spans="4:8" ht="15.75">
      <c r="D148" s="37">
        <f t="shared" si="2"/>
        <v>138</v>
      </c>
      <c r="E148" s="39"/>
      <c r="F148" s="42"/>
      <c r="G148" s="30"/>
      <c r="H148" s="36" t="s">
        <v>39</v>
      </c>
    </row>
    <row r="149" spans="4:8" ht="15.75">
      <c r="D149" s="37">
        <f t="shared" si="2"/>
        <v>139</v>
      </c>
      <c r="E149" s="39"/>
      <c r="F149" s="42"/>
      <c r="G149" s="30"/>
      <c r="H149" s="36" t="s">
        <v>39</v>
      </c>
    </row>
    <row r="150" spans="4:8" ht="15.75">
      <c r="D150" s="37">
        <f t="shared" si="2"/>
        <v>140</v>
      </c>
      <c r="E150" s="39"/>
      <c r="F150" s="42"/>
      <c r="G150" s="30"/>
      <c r="H150" s="36" t="s">
        <v>39</v>
      </c>
    </row>
    <row r="151" spans="4:8" ht="15.75">
      <c r="D151" s="37">
        <f>D150+1</f>
        <v>141</v>
      </c>
      <c r="E151" s="39"/>
      <c r="F151" s="42"/>
      <c r="G151" s="30"/>
      <c r="H151" s="36" t="s">
        <v>39</v>
      </c>
    </row>
    <row r="152" spans="4:8" ht="15.75">
      <c r="D152" s="37">
        <f t="shared" si="2"/>
        <v>142</v>
      </c>
      <c r="E152" s="39"/>
      <c r="F152" s="42"/>
      <c r="G152" s="30"/>
      <c r="H152" s="36" t="s">
        <v>39</v>
      </c>
    </row>
    <row r="153" spans="4:8" ht="15.75">
      <c r="D153" s="37">
        <f t="shared" si="2"/>
        <v>143</v>
      </c>
      <c r="E153" s="39"/>
      <c r="F153" s="42"/>
      <c r="G153" s="30"/>
      <c r="H153" s="36" t="s">
        <v>39</v>
      </c>
    </row>
    <row r="154" spans="4:8" ht="15.75">
      <c r="D154" s="37">
        <f t="shared" si="2"/>
        <v>144</v>
      </c>
      <c r="E154" s="39"/>
      <c r="F154" s="42"/>
      <c r="G154" s="30"/>
      <c r="H154" s="36" t="s">
        <v>39</v>
      </c>
    </row>
    <row r="155" spans="4:8" ht="15.75">
      <c r="D155" s="37">
        <f t="shared" si="2"/>
        <v>145</v>
      </c>
      <c r="E155" s="39"/>
      <c r="F155" s="42"/>
      <c r="G155" s="30"/>
      <c r="H155" s="36" t="s">
        <v>39</v>
      </c>
    </row>
    <row r="156" spans="4:8" ht="15.75">
      <c r="D156" s="37">
        <f t="shared" si="2"/>
        <v>146</v>
      </c>
      <c r="E156" s="39"/>
      <c r="F156" s="42"/>
      <c r="G156" s="30"/>
      <c r="H156" s="36" t="s">
        <v>39</v>
      </c>
    </row>
    <row r="157" spans="4:8" ht="15.75">
      <c r="D157" s="37">
        <f t="shared" si="2"/>
        <v>147</v>
      </c>
      <c r="E157" s="39"/>
      <c r="F157" s="42"/>
      <c r="G157" s="30"/>
      <c r="H157" s="36" t="s">
        <v>39</v>
      </c>
    </row>
    <row r="158" spans="4:8" ht="15.75">
      <c r="D158" s="37">
        <f t="shared" si="2"/>
        <v>148</v>
      </c>
      <c r="E158" s="39"/>
      <c r="F158" s="42"/>
      <c r="G158" s="30"/>
      <c r="H158" s="36" t="s">
        <v>39</v>
      </c>
    </row>
    <row r="159" spans="4:8" ht="15.75">
      <c r="D159" s="37">
        <f t="shared" si="2"/>
        <v>149</v>
      </c>
      <c r="E159" s="39"/>
      <c r="F159" s="42"/>
      <c r="G159" s="30"/>
      <c r="H159" s="36" t="s">
        <v>39</v>
      </c>
    </row>
    <row r="160" spans="4:8" ht="15.75">
      <c r="D160" s="37">
        <f t="shared" si="2"/>
        <v>150</v>
      </c>
      <c r="E160" s="39"/>
      <c r="F160" s="42"/>
      <c r="G160" s="30"/>
      <c r="H160" s="36" t="s">
        <v>39</v>
      </c>
    </row>
    <row r="161" spans="4:8" ht="15.75">
      <c r="D161" s="37">
        <f>D160+1</f>
        <v>151</v>
      </c>
      <c r="E161" s="39"/>
      <c r="F161" s="42"/>
      <c r="G161" s="30"/>
      <c r="H161" s="36" t="s">
        <v>39</v>
      </c>
    </row>
    <row r="162" spans="4:8" ht="15.75">
      <c r="D162" s="37">
        <f t="shared" si="2"/>
        <v>152</v>
      </c>
      <c r="E162" s="39"/>
      <c r="F162" s="42"/>
      <c r="G162" s="30"/>
      <c r="H162" s="36" t="s">
        <v>39</v>
      </c>
    </row>
    <row r="163" spans="4:8" ht="15.75">
      <c r="D163" s="37">
        <f t="shared" si="2"/>
        <v>153</v>
      </c>
      <c r="E163" s="39"/>
      <c r="F163" s="42"/>
      <c r="G163" s="30"/>
      <c r="H163" s="36" t="s">
        <v>39</v>
      </c>
    </row>
    <row r="164" spans="4:8" ht="15.75">
      <c r="D164" s="37">
        <f t="shared" si="2"/>
        <v>154</v>
      </c>
      <c r="E164" s="39"/>
      <c r="F164" s="42"/>
      <c r="G164" s="30"/>
      <c r="H164" s="36" t="s">
        <v>39</v>
      </c>
    </row>
    <row r="165" spans="4:8" ht="15.75">
      <c r="D165" s="37">
        <f t="shared" si="2"/>
        <v>155</v>
      </c>
      <c r="E165" s="39"/>
      <c r="F165" s="42"/>
      <c r="G165" s="30"/>
      <c r="H165" s="36" t="s">
        <v>39</v>
      </c>
    </row>
    <row r="166" spans="4:8" ht="15.75">
      <c r="D166" s="37">
        <f t="shared" ref="D166:D180" si="3">D165+1</f>
        <v>156</v>
      </c>
      <c r="E166" s="39"/>
      <c r="F166" s="42"/>
      <c r="G166" s="30"/>
      <c r="H166" s="36" t="s">
        <v>39</v>
      </c>
    </row>
    <row r="167" spans="4:8" ht="15.75">
      <c r="D167" s="37">
        <f t="shared" si="3"/>
        <v>157</v>
      </c>
      <c r="E167" s="39"/>
      <c r="F167" s="42"/>
      <c r="G167" s="30"/>
      <c r="H167" s="36" t="s">
        <v>39</v>
      </c>
    </row>
    <row r="168" spans="4:8" ht="15.75">
      <c r="D168" s="37">
        <f t="shared" si="3"/>
        <v>158</v>
      </c>
      <c r="E168" s="39"/>
      <c r="F168" s="42"/>
      <c r="G168" s="30"/>
      <c r="H168" s="36" t="s">
        <v>39</v>
      </c>
    </row>
    <row r="169" spans="4:8" ht="15.75">
      <c r="D169" s="37">
        <f t="shared" si="3"/>
        <v>159</v>
      </c>
      <c r="E169" s="39"/>
      <c r="F169" s="42"/>
      <c r="G169" s="30"/>
      <c r="H169" s="36" t="s">
        <v>39</v>
      </c>
    </row>
    <row r="170" spans="4:8" ht="15.75">
      <c r="D170" s="37">
        <f t="shared" si="3"/>
        <v>160</v>
      </c>
      <c r="E170" s="39"/>
      <c r="F170" s="42"/>
      <c r="G170" s="30"/>
      <c r="H170" s="36" t="s">
        <v>39</v>
      </c>
    </row>
    <row r="171" spans="4:8" ht="15.75">
      <c r="D171" s="37">
        <f>D170+1</f>
        <v>161</v>
      </c>
      <c r="E171" s="39"/>
      <c r="F171" s="42"/>
      <c r="G171" s="30"/>
      <c r="H171" s="36" t="s">
        <v>39</v>
      </c>
    </row>
    <row r="172" spans="4:8" ht="15.75">
      <c r="D172" s="37">
        <f t="shared" si="3"/>
        <v>162</v>
      </c>
      <c r="E172" s="39"/>
      <c r="F172" s="42"/>
      <c r="G172" s="30"/>
      <c r="H172" s="36" t="s">
        <v>39</v>
      </c>
    </row>
    <row r="173" spans="4:8" ht="15.75">
      <c r="D173" s="37">
        <f t="shared" si="3"/>
        <v>163</v>
      </c>
      <c r="E173" s="39"/>
      <c r="F173" s="42"/>
      <c r="G173" s="30"/>
      <c r="H173" s="36" t="s">
        <v>39</v>
      </c>
    </row>
    <row r="174" spans="4:8" ht="15.75">
      <c r="D174" s="37">
        <f t="shared" si="3"/>
        <v>164</v>
      </c>
      <c r="E174" s="39"/>
      <c r="F174" s="42"/>
      <c r="G174" s="30"/>
      <c r="H174" s="36" t="s">
        <v>39</v>
      </c>
    </row>
    <row r="175" spans="4:8" ht="15.75">
      <c r="D175" s="37">
        <f t="shared" si="3"/>
        <v>165</v>
      </c>
      <c r="E175" s="39"/>
      <c r="F175" s="42"/>
      <c r="G175" s="30"/>
      <c r="H175" s="36" t="s">
        <v>39</v>
      </c>
    </row>
    <row r="176" spans="4:8" ht="15.75">
      <c r="D176" s="37">
        <f t="shared" si="3"/>
        <v>166</v>
      </c>
      <c r="E176" s="39"/>
      <c r="F176" s="42"/>
      <c r="G176" s="30"/>
      <c r="H176" s="36" t="s">
        <v>39</v>
      </c>
    </row>
    <row r="177" spans="4:8" ht="15.75">
      <c r="D177" s="37">
        <f t="shared" si="3"/>
        <v>167</v>
      </c>
      <c r="E177" s="39"/>
      <c r="F177" s="42"/>
      <c r="G177" s="30"/>
      <c r="H177" s="36" t="s">
        <v>39</v>
      </c>
    </row>
    <row r="178" spans="4:8" ht="15.75">
      <c r="D178" s="37">
        <f t="shared" si="3"/>
        <v>168</v>
      </c>
      <c r="E178" s="39"/>
      <c r="F178" s="42"/>
      <c r="G178" s="30"/>
      <c r="H178" s="36" t="s">
        <v>39</v>
      </c>
    </row>
    <row r="179" spans="4:8" ht="15.75">
      <c r="D179" s="37">
        <f t="shared" si="3"/>
        <v>169</v>
      </c>
      <c r="E179" s="39"/>
      <c r="F179" s="42"/>
      <c r="G179" s="30"/>
      <c r="H179" s="36" t="s">
        <v>39</v>
      </c>
    </row>
    <row r="180" spans="4:8" ht="15.75">
      <c r="D180" s="37">
        <f t="shared" si="3"/>
        <v>170</v>
      </c>
      <c r="E180" s="39"/>
      <c r="F180" s="42"/>
      <c r="G180" s="30"/>
      <c r="H180" s="36" t="s">
        <v>39</v>
      </c>
    </row>
    <row r="181" spans="4:8" ht="15.75">
      <c r="D181" s="37">
        <f>D180+1</f>
        <v>171</v>
      </c>
      <c r="E181" s="39"/>
      <c r="F181" s="42"/>
      <c r="G181" s="30"/>
      <c r="H181" s="36" t="s">
        <v>39</v>
      </c>
    </row>
    <row r="182" spans="4:8" ht="15.75">
      <c r="D182" s="37">
        <f t="shared" ref="D182:D245" si="4">D181+1</f>
        <v>172</v>
      </c>
      <c r="E182" s="39"/>
      <c r="F182" s="42"/>
      <c r="G182" s="30"/>
      <c r="H182" s="36" t="s">
        <v>39</v>
      </c>
    </row>
    <row r="183" spans="4:8" ht="15.75">
      <c r="D183" s="37">
        <f t="shared" si="4"/>
        <v>173</v>
      </c>
      <c r="E183" s="39"/>
      <c r="F183" s="42"/>
      <c r="G183" s="30"/>
      <c r="H183" s="36" t="s">
        <v>39</v>
      </c>
    </row>
    <row r="184" spans="4:8" ht="15.75">
      <c r="D184" s="37">
        <f t="shared" si="4"/>
        <v>174</v>
      </c>
      <c r="E184" s="39"/>
      <c r="F184" s="42"/>
      <c r="G184" s="30"/>
      <c r="H184" s="36" t="s">
        <v>39</v>
      </c>
    </row>
    <row r="185" spans="4:8" ht="15.75">
      <c r="D185" s="37">
        <f t="shared" si="4"/>
        <v>175</v>
      </c>
      <c r="E185" s="39"/>
      <c r="F185" s="42"/>
      <c r="G185" s="30"/>
      <c r="H185" s="36" t="s">
        <v>39</v>
      </c>
    </row>
    <row r="186" spans="4:8" ht="15.75">
      <c r="D186" s="37">
        <f t="shared" si="4"/>
        <v>176</v>
      </c>
      <c r="E186" s="39"/>
      <c r="F186" s="42"/>
      <c r="G186" s="30"/>
      <c r="H186" s="36" t="s">
        <v>39</v>
      </c>
    </row>
    <row r="187" spans="4:8" ht="15.75">
      <c r="D187" s="37">
        <f t="shared" si="4"/>
        <v>177</v>
      </c>
      <c r="E187" s="39"/>
      <c r="F187" s="42"/>
      <c r="G187" s="30"/>
      <c r="H187" s="36" t="s">
        <v>39</v>
      </c>
    </row>
    <row r="188" spans="4:8" ht="15.75">
      <c r="D188" s="37">
        <f t="shared" si="4"/>
        <v>178</v>
      </c>
      <c r="E188" s="39"/>
      <c r="F188" s="42"/>
      <c r="G188" s="30"/>
      <c r="H188" s="36" t="s">
        <v>39</v>
      </c>
    </row>
    <row r="189" spans="4:8" ht="15.75">
      <c r="D189" s="37">
        <f t="shared" si="4"/>
        <v>179</v>
      </c>
      <c r="E189" s="39"/>
      <c r="F189" s="42"/>
      <c r="G189" s="30"/>
      <c r="H189" s="36" t="s">
        <v>39</v>
      </c>
    </row>
    <row r="190" spans="4:8" ht="15.75">
      <c r="D190" s="37">
        <f t="shared" si="4"/>
        <v>180</v>
      </c>
      <c r="E190" s="39"/>
      <c r="F190" s="42"/>
      <c r="G190" s="30"/>
      <c r="H190" s="36" t="s">
        <v>39</v>
      </c>
    </row>
    <row r="191" spans="4:8" ht="15.75">
      <c r="D191" s="37">
        <f>D190+1</f>
        <v>181</v>
      </c>
      <c r="E191" s="39"/>
      <c r="F191" s="42"/>
      <c r="G191" s="30"/>
      <c r="H191" s="36" t="s">
        <v>39</v>
      </c>
    </row>
    <row r="192" spans="4:8" ht="15.75">
      <c r="D192" s="37">
        <f t="shared" si="4"/>
        <v>182</v>
      </c>
      <c r="E192" s="39"/>
      <c r="F192" s="42"/>
      <c r="G192" s="30"/>
      <c r="H192" s="36" t="s">
        <v>39</v>
      </c>
    </row>
    <row r="193" spans="4:8" ht="15.75">
      <c r="D193" s="37">
        <f t="shared" si="4"/>
        <v>183</v>
      </c>
      <c r="E193" s="39"/>
      <c r="F193" s="42"/>
      <c r="G193" s="30"/>
      <c r="H193" s="36" t="s">
        <v>39</v>
      </c>
    </row>
    <row r="194" spans="4:8" ht="15.75">
      <c r="D194" s="37">
        <f t="shared" si="4"/>
        <v>184</v>
      </c>
      <c r="E194" s="39"/>
      <c r="F194" s="42"/>
      <c r="G194" s="30"/>
      <c r="H194" s="36" t="s">
        <v>39</v>
      </c>
    </row>
    <row r="195" spans="4:8" ht="15.75">
      <c r="D195" s="37">
        <f t="shared" si="4"/>
        <v>185</v>
      </c>
      <c r="E195" s="39"/>
      <c r="F195" s="42"/>
      <c r="G195" s="30"/>
      <c r="H195" s="36" t="s">
        <v>39</v>
      </c>
    </row>
    <row r="196" spans="4:8" ht="15.75">
      <c r="D196" s="37">
        <f t="shared" si="4"/>
        <v>186</v>
      </c>
      <c r="E196" s="39"/>
      <c r="F196" s="42"/>
      <c r="G196" s="30"/>
      <c r="H196" s="36" t="s">
        <v>39</v>
      </c>
    </row>
    <row r="197" spans="4:8" ht="15.75">
      <c r="D197" s="37">
        <f t="shared" si="4"/>
        <v>187</v>
      </c>
      <c r="E197" s="39"/>
      <c r="F197" s="42"/>
      <c r="G197" s="30"/>
      <c r="H197" s="36" t="s">
        <v>39</v>
      </c>
    </row>
    <row r="198" spans="4:8" ht="15.75">
      <c r="D198" s="37">
        <f t="shared" si="4"/>
        <v>188</v>
      </c>
      <c r="E198" s="39"/>
      <c r="F198" s="42"/>
      <c r="G198" s="30"/>
      <c r="H198" s="36" t="s">
        <v>39</v>
      </c>
    </row>
    <row r="199" spans="4:8" ht="15.75">
      <c r="D199" s="37">
        <f t="shared" si="4"/>
        <v>189</v>
      </c>
      <c r="E199" s="39"/>
      <c r="F199" s="42"/>
      <c r="G199" s="30"/>
      <c r="H199" s="36" t="s">
        <v>39</v>
      </c>
    </row>
    <row r="200" spans="4:8" ht="15.75">
      <c r="D200" s="37">
        <f t="shared" si="4"/>
        <v>190</v>
      </c>
      <c r="E200" s="39"/>
      <c r="F200" s="42"/>
      <c r="G200" s="30"/>
      <c r="H200" s="36" t="s">
        <v>39</v>
      </c>
    </row>
    <row r="201" spans="4:8" ht="15.75">
      <c r="D201" s="37">
        <f>D200+1</f>
        <v>191</v>
      </c>
      <c r="E201" s="39"/>
      <c r="F201" s="42"/>
      <c r="G201" s="30"/>
      <c r="H201" s="36" t="s">
        <v>39</v>
      </c>
    </row>
    <row r="202" spans="4:8" ht="15.75">
      <c r="D202" s="37">
        <f t="shared" si="4"/>
        <v>192</v>
      </c>
      <c r="E202" s="39"/>
      <c r="F202" s="42"/>
      <c r="G202" s="30"/>
      <c r="H202" s="36" t="s">
        <v>39</v>
      </c>
    </row>
    <row r="203" spans="4:8" ht="15.75">
      <c r="D203" s="37">
        <f t="shared" si="4"/>
        <v>193</v>
      </c>
      <c r="E203" s="39"/>
      <c r="F203" s="42"/>
      <c r="G203" s="30"/>
      <c r="H203" s="36" t="s">
        <v>39</v>
      </c>
    </row>
    <row r="204" spans="4:8" ht="15.75">
      <c r="D204" s="37">
        <f t="shared" si="4"/>
        <v>194</v>
      </c>
      <c r="E204" s="39"/>
      <c r="F204" s="42"/>
      <c r="G204" s="30"/>
      <c r="H204" s="36" t="s">
        <v>39</v>
      </c>
    </row>
    <row r="205" spans="4:8" ht="15.75">
      <c r="D205" s="37">
        <f t="shared" si="4"/>
        <v>195</v>
      </c>
      <c r="E205" s="39"/>
      <c r="F205" s="42"/>
      <c r="G205" s="30"/>
      <c r="H205" s="36" t="s">
        <v>39</v>
      </c>
    </row>
    <row r="206" spans="4:8" ht="15.75">
      <c r="D206" s="37">
        <f t="shared" si="4"/>
        <v>196</v>
      </c>
      <c r="E206" s="39"/>
      <c r="F206" s="42"/>
      <c r="G206" s="30"/>
      <c r="H206" s="36" t="s">
        <v>39</v>
      </c>
    </row>
    <row r="207" spans="4:8" ht="15.75">
      <c r="D207" s="37">
        <f t="shared" si="4"/>
        <v>197</v>
      </c>
      <c r="E207" s="39"/>
      <c r="F207" s="42"/>
      <c r="G207" s="30"/>
      <c r="H207" s="36" t="s">
        <v>39</v>
      </c>
    </row>
    <row r="208" spans="4:8" ht="15.75">
      <c r="D208" s="37">
        <f t="shared" si="4"/>
        <v>198</v>
      </c>
      <c r="E208" s="39"/>
      <c r="F208" s="42"/>
      <c r="G208" s="30"/>
      <c r="H208" s="36" t="s">
        <v>39</v>
      </c>
    </row>
    <row r="209" spans="4:8" ht="15.75">
      <c r="D209" s="37">
        <f t="shared" si="4"/>
        <v>199</v>
      </c>
      <c r="E209" s="39"/>
      <c r="F209" s="42"/>
      <c r="G209" s="30"/>
      <c r="H209" s="36" t="s">
        <v>39</v>
      </c>
    </row>
    <row r="210" spans="4:8" ht="15.75">
      <c r="D210" s="37">
        <f t="shared" si="4"/>
        <v>200</v>
      </c>
      <c r="E210" s="39"/>
      <c r="F210" s="42"/>
      <c r="G210" s="30"/>
      <c r="H210" s="36" t="s">
        <v>39</v>
      </c>
    </row>
    <row r="211" spans="4:8" ht="15.75">
      <c r="D211" s="37">
        <f>D210+1</f>
        <v>201</v>
      </c>
      <c r="E211" s="39"/>
      <c r="F211" s="42"/>
      <c r="G211" s="30"/>
      <c r="H211" s="36" t="s">
        <v>39</v>
      </c>
    </row>
    <row r="212" spans="4:8" ht="15.75">
      <c r="D212" s="37">
        <f t="shared" si="4"/>
        <v>202</v>
      </c>
      <c r="E212" s="39"/>
      <c r="F212" s="42"/>
      <c r="G212" s="30"/>
      <c r="H212" s="36" t="s">
        <v>39</v>
      </c>
    </row>
    <row r="213" spans="4:8" ht="15.75">
      <c r="D213" s="37">
        <f t="shared" si="4"/>
        <v>203</v>
      </c>
      <c r="E213" s="39"/>
      <c r="F213" s="42"/>
      <c r="G213" s="30"/>
      <c r="H213" s="36" t="s">
        <v>39</v>
      </c>
    </row>
    <row r="214" spans="4:8" ht="15.75">
      <c r="D214" s="37">
        <f t="shared" si="4"/>
        <v>204</v>
      </c>
      <c r="E214" s="39"/>
      <c r="F214" s="42"/>
      <c r="G214" s="30"/>
      <c r="H214" s="36" t="s">
        <v>39</v>
      </c>
    </row>
    <row r="215" spans="4:8" ht="15.75">
      <c r="D215" s="37">
        <f t="shared" si="4"/>
        <v>205</v>
      </c>
      <c r="E215" s="39"/>
      <c r="F215" s="42"/>
      <c r="G215" s="30"/>
      <c r="H215" s="36" t="s">
        <v>39</v>
      </c>
    </row>
    <row r="216" spans="4:8" ht="15.75">
      <c r="D216" s="37">
        <f t="shared" si="4"/>
        <v>206</v>
      </c>
      <c r="E216" s="39"/>
      <c r="F216" s="42"/>
      <c r="G216" s="30"/>
      <c r="H216" s="36" t="s">
        <v>39</v>
      </c>
    </row>
    <row r="217" spans="4:8" ht="15.75">
      <c r="D217" s="37">
        <f t="shared" si="4"/>
        <v>207</v>
      </c>
      <c r="E217" s="39"/>
      <c r="F217" s="42"/>
      <c r="G217" s="30"/>
      <c r="H217" s="36" t="s">
        <v>39</v>
      </c>
    </row>
    <row r="218" spans="4:8" ht="15.75">
      <c r="D218" s="37">
        <f t="shared" si="4"/>
        <v>208</v>
      </c>
      <c r="E218" s="39"/>
      <c r="F218" s="42"/>
      <c r="G218" s="30"/>
      <c r="H218" s="36" t="s">
        <v>39</v>
      </c>
    </row>
    <row r="219" spans="4:8" ht="15.75">
      <c r="D219" s="37">
        <f t="shared" si="4"/>
        <v>209</v>
      </c>
      <c r="E219" s="39"/>
      <c r="F219" s="42"/>
      <c r="G219" s="30"/>
      <c r="H219" s="36" t="s">
        <v>39</v>
      </c>
    </row>
    <row r="220" spans="4:8" ht="15.75">
      <c r="D220" s="37">
        <f t="shared" si="4"/>
        <v>210</v>
      </c>
      <c r="E220" s="39"/>
      <c r="F220" s="42"/>
      <c r="G220" s="30"/>
      <c r="H220" s="36" t="s">
        <v>39</v>
      </c>
    </row>
    <row r="221" spans="4:8" ht="15.75">
      <c r="D221" s="37">
        <f>D220+1</f>
        <v>211</v>
      </c>
      <c r="E221" s="39"/>
      <c r="F221" s="42"/>
      <c r="G221" s="30"/>
      <c r="H221" s="36" t="s">
        <v>39</v>
      </c>
    </row>
    <row r="222" spans="4:8" ht="15.75">
      <c r="D222" s="37">
        <f t="shared" si="4"/>
        <v>212</v>
      </c>
      <c r="E222" s="39"/>
      <c r="F222" s="42"/>
      <c r="G222" s="30"/>
      <c r="H222" s="36" t="s">
        <v>39</v>
      </c>
    </row>
    <row r="223" spans="4:8" ht="15.75">
      <c r="D223" s="37">
        <f t="shared" si="4"/>
        <v>213</v>
      </c>
      <c r="E223" s="39"/>
      <c r="F223" s="42"/>
      <c r="G223" s="30"/>
      <c r="H223" s="36" t="s">
        <v>39</v>
      </c>
    </row>
    <row r="224" spans="4:8" ht="15.75">
      <c r="D224" s="37">
        <f t="shared" si="4"/>
        <v>214</v>
      </c>
      <c r="E224" s="39"/>
      <c r="F224" s="42"/>
      <c r="G224" s="30"/>
      <c r="H224" s="36" t="s">
        <v>39</v>
      </c>
    </row>
    <row r="225" spans="4:8" ht="15.75">
      <c r="D225" s="37">
        <f t="shared" si="4"/>
        <v>215</v>
      </c>
      <c r="E225" s="39"/>
      <c r="F225" s="42"/>
      <c r="G225" s="30"/>
      <c r="H225" s="36" t="s">
        <v>39</v>
      </c>
    </row>
    <row r="226" spans="4:8" ht="15.75">
      <c r="D226" s="37">
        <f t="shared" si="4"/>
        <v>216</v>
      </c>
      <c r="E226" s="39"/>
      <c r="F226" s="42"/>
      <c r="G226" s="30"/>
      <c r="H226" s="36" t="s">
        <v>39</v>
      </c>
    </row>
    <row r="227" spans="4:8" ht="15.75">
      <c r="D227" s="37">
        <f t="shared" si="4"/>
        <v>217</v>
      </c>
      <c r="E227" s="39"/>
      <c r="F227" s="42"/>
      <c r="G227" s="30"/>
      <c r="H227" s="36" t="s">
        <v>39</v>
      </c>
    </row>
    <row r="228" spans="4:8" ht="15.75">
      <c r="D228" s="37">
        <f t="shared" si="4"/>
        <v>218</v>
      </c>
      <c r="E228" s="39"/>
      <c r="F228" s="42"/>
      <c r="G228" s="30"/>
      <c r="H228" s="36" t="s">
        <v>39</v>
      </c>
    </row>
    <row r="229" spans="4:8" ht="15.75">
      <c r="D229" s="37">
        <f t="shared" si="4"/>
        <v>219</v>
      </c>
      <c r="E229" s="39"/>
      <c r="F229" s="42"/>
      <c r="G229" s="30"/>
      <c r="H229" s="36" t="s">
        <v>39</v>
      </c>
    </row>
    <row r="230" spans="4:8" ht="15.75">
      <c r="D230" s="37">
        <f t="shared" si="4"/>
        <v>220</v>
      </c>
      <c r="E230" s="39"/>
      <c r="F230" s="42"/>
      <c r="G230" s="30"/>
      <c r="H230" s="36" t="s">
        <v>39</v>
      </c>
    </row>
    <row r="231" spans="4:8" ht="15.75">
      <c r="D231" s="37">
        <f t="shared" si="4"/>
        <v>221</v>
      </c>
      <c r="E231" s="39"/>
      <c r="F231" s="42"/>
      <c r="G231" s="30"/>
      <c r="H231" s="36" t="s">
        <v>39</v>
      </c>
    </row>
    <row r="232" spans="4:8" ht="15.75">
      <c r="D232" s="37">
        <f t="shared" si="4"/>
        <v>222</v>
      </c>
      <c r="E232" s="39"/>
      <c r="F232" s="42"/>
      <c r="G232" s="30"/>
      <c r="H232" s="36" t="s">
        <v>39</v>
      </c>
    </row>
    <row r="233" spans="4:8" ht="15.75">
      <c r="D233" s="37">
        <f t="shared" si="4"/>
        <v>223</v>
      </c>
      <c r="E233" s="39"/>
      <c r="F233" s="42"/>
      <c r="G233" s="30"/>
      <c r="H233" s="36" t="s">
        <v>39</v>
      </c>
    </row>
    <row r="234" spans="4:8" ht="15.75">
      <c r="D234" s="37">
        <f t="shared" si="4"/>
        <v>224</v>
      </c>
      <c r="E234" s="39"/>
      <c r="F234" s="42"/>
      <c r="G234" s="30"/>
      <c r="H234" s="36" t="s">
        <v>39</v>
      </c>
    </row>
    <row r="235" spans="4:8" ht="15.75">
      <c r="D235" s="37">
        <f t="shared" si="4"/>
        <v>225</v>
      </c>
      <c r="E235" s="39"/>
      <c r="F235" s="42"/>
      <c r="G235" s="30"/>
      <c r="H235" s="36" t="s">
        <v>39</v>
      </c>
    </row>
    <row r="236" spans="4:8" ht="15.75">
      <c r="D236" s="37">
        <f t="shared" si="4"/>
        <v>226</v>
      </c>
      <c r="E236" s="39"/>
      <c r="F236" s="42"/>
      <c r="G236" s="30"/>
      <c r="H236" s="36" t="s">
        <v>39</v>
      </c>
    </row>
    <row r="237" spans="4:8" ht="15.75">
      <c r="D237" s="37">
        <f t="shared" si="4"/>
        <v>227</v>
      </c>
      <c r="E237" s="39"/>
      <c r="F237" s="42"/>
      <c r="G237" s="30"/>
      <c r="H237" s="36" t="s">
        <v>39</v>
      </c>
    </row>
    <row r="238" spans="4:8" ht="15.75">
      <c r="D238" s="37">
        <f t="shared" si="4"/>
        <v>228</v>
      </c>
      <c r="E238" s="39"/>
      <c r="F238" s="42"/>
      <c r="G238" s="30"/>
      <c r="H238" s="36" t="s">
        <v>39</v>
      </c>
    </row>
    <row r="239" spans="4:8" ht="15.75">
      <c r="D239" s="37">
        <f t="shared" si="4"/>
        <v>229</v>
      </c>
      <c r="E239" s="39"/>
      <c r="F239" s="42"/>
      <c r="G239" s="30"/>
      <c r="H239" s="36" t="s">
        <v>39</v>
      </c>
    </row>
    <row r="240" spans="4:8" ht="15.75">
      <c r="D240" s="37">
        <f t="shared" si="4"/>
        <v>230</v>
      </c>
      <c r="E240" s="39"/>
      <c r="F240" s="42"/>
      <c r="G240" s="30"/>
      <c r="H240" s="36" t="s">
        <v>39</v>
      </c>
    </row>
    <row r="241" spans="4:8" ht="15.75">
      <c r="D241" s="37">
        <f t="shared" si="4"/>
        <v>231</v>
      </c>
      <c r="E241" s="39"/>
      <c r="F241" s="42"/>
      <c r="G241" s="30"/>
      <c r="H241" s="36" t="s">
        <v>39</v>
      </c>
    </row>
    <row r="242" spans="4:8" ht="15.75">
      <c r="D242" s="37">
        <f t="shared" si="4"/>
        <v>232</v>
      </c>
      <c r="E242" s="39"/>
      <c r="F242" s="42"/>
      <c r="G242" s="30"/>
      <c r="H242" s="36" t="s">
        <v>39</v>
      </c>
    </row>
    <row r="243" spans="4:8" ht="15.75">
      <c r="D243" s="37">
        <f t="shared" si="4"/>
        <v>233</v>
      </c>
      <c r="E243" s="39"/>
      <c r="F243" s="42"/>
      <c r="G243" s="30"/>
      <c r="H243" s="36" t="s">
        <v>39</v>
      </c>
    </row>
    <row r="244" spans="4:8" ht="15.75">
      <c r="D244" s="37">
        <f t="shared" si="4"/>
        <v>234</v>
      </c>
      <c r="E244" s="39"/>
      <c r="F244" s="42"/>
      <c r="G244" s="30"/>
      <c r="H244" s="36" t="s">
        <v>39</v>
      </c>
    </row>
    <row r="245" spans="4:8" ht="15.75">
      <c r="D245" s="37">
        <f t="shared" si="4"/>
        <v>235</v>
      </c>
      <c r="E245" s="39"/>
      <c r="F245" s="42"/>
      <c r="G245" s="30"/>
      <c r="H245" s="36" t="s">
        <v>39</v>
      </c>
    </row>
    <row r="246" spans="4:8" ht="15.75">
      <c r="D246" s="37">
        <f t="shared" ref="D246:D254" si="5">D245+1</f>
        <v>236</v>
      </c>
      <c r="E246" s="39"/>
      <c r="F246" s="42"/>
      <c r="G246" s="30"/>
      <c r="H246" s="36" t="s">
        <v>39</v>
      </c>
    </row>
    <row r="247" spans="4:8" ht="15.75">
      <c r="D247" s="37">
        <f t="shared" si="5"/>
        <v>237</v>
      </c>
      <c r="E247" s="39"/>
      <c r="F247" s="42"/>
      <c r="G247" s="30"/>
      <c r="H247" s="36" t="s">
        <v>39</v>
      </c>
    </row>
    <row r="248" spans="4:8" ht="15.75">
      <c r="D248" s="37">
        <f t="shared" si="5"/>
        <v>238</v>
      </c>
      <c r="E248" s="39"/>
      <c r="F248" s="42"/>
      <c r="G248" s="30"/>
      <c r="H248" s="36" t="s">
        <v>39</v>
      </c>
    </row>
    <row r="249" spans="4:8" ht="15.75">
      <c r="D249" s="37">
        <f t="shared" si="5"/>
        <v>239</v>
      </c>
      <c r="E249" s="39"/>
      <c r="F249" s="42"/>
      <c r="G249" s="30"/>
      <c r="H249" s="36" t="s">
        <v>39</v>
      </c>
    </row>
    <row r="250" spans="4:8" ht="15.75">
      <c r="D250" s="37">
        <f t="shared" si="5"/>
        <v>240</v>
      </c>
      <c r="E250" s="39"/>
      <c r="F250" s="42"/>
      <c r="G250" s="30"/>
      <c r="H250" s="36" t="s">
        <v>39</v>
      </c>
    </row>
    <row r="251" spans="4:8" ht="15.75">
      <c r="D251" s="37">
        <f t="shared" si="5"/>
        <v>241</v>
      </c>
      <c r="E251" s="39"/>
      <c r="F251" s="42"/>
      <c r="G251" s="30"/>
      <c r="H251" s="36" t="s">
        <v>39</v>
      </c>
    </row>
    <row r="252" spans="4:8" ht="15.75">
      <c r="D252" s="37">
        <f t="shared" si="5"/>
        <v>242</v>
      </c>
      <c r="E252" s="39"/>
      <c r="F252" s="42"/>
      <c r="G252" s="30"/>
      <c r="H252" s="36" t="s">
        <v>39</v>
      </c>
    </row>
    <row r="253" spans="4:8" ht="15.75">
      <c r="D253" s="37">
        <f t="shared" si="5"/>
        <v>243</v>
      </c>
      <c r="E253" s="39"/>
      <c r="F253" s="42"/>
      <c r="G253" s="30"/>
      <c r="H253" s="36" t="s">
        <v>39</v>
      </c>
    </row>
    <row r="254" spans="4:8" ht="15.75">
      <c r="D254" s="37">
        <f t="shared" si="5"/>
        <v>244</v>
      </c>
      <c r="E254" s="39"/>
      <c r="F254" s="42"/>
      <c r="G254" s="30"/>
      <c r="H254" s="36" t="s">
        <v>39</v>
      </c>
    </row>
    <row r="255" spans="4:8" ht="15.75">
      <c r="D255" s="37">
        <f t="shared" ref="D255:D260" si="6">D254+1</f>
        <v>245</v>
      </c>
      <c r="E255" s="39"/>
      <c r="F255" s="42"/>
      <c r="G255" s="30"/>
      <c r="H255" s="36" t="s">
        <v>39</v>
      </c>
    </row>
    <row r="256" spans="4:8" ht="15.75">
      <c r="D256" s="37">
        <f t="shared" si="6"/>
        <v>246</v>
      </c>
      <c r="E256" s="39"/>
      <c r="F256" s="42"/>
      <c r="G256" s="30"/>
      <c r="H256" s="36" t="s">
        <v>39</v>
      </c>
    </row>
    <row r="257" spans="4:8" ht="15.75">
      <c r="D257" s="37">
        <f t="shared" si="6"/>
        <v>247</v>
      </c>
      <c r="E257" s="39"/>
      <c r="F257" s="42"/>
      <c r="G257" s="30"/>
      <c r="H257" s="36" t="s">
        <v>39</v>
      </c>
    </row>
    <row r="258" spans="4:8" ht="15.75">
      <c r="D258" s="37">
        <f t="shared" si="6"/>
        <v>248</v>
      </c>
      <c r="E258" s="39"/>
      <c r="F258" s="42"/>
      <c r="G258" s="30"/>
      <c r="H258" s="36" t="s">
        <v>39</v>
      </c>
    </row>
    <row r="259" spans="4:8" ht="15.75">
      <c r="D259" s="37">
        <f t="shared" si="6"/>
        <v>249</v>
      </c>
      <c r="E259" s="39"/>
      <c r="F259" s="42"/>
      <c r="G259" s="30"/>
      <c r="H259" s="36" t="s">
        <v>39</v>
      </c>
    </row>
    <row r="260" spans="4:8" ht="15.75">
      <c r="D260" s="37">
        <f t="shared" si="6"/>
        <v>250</v>
      </c>
      <c r="E260" s="39"/>
      <c r="F260" s="42"/>
      <c r="G260" s="30"/>
      <c r="H260" s="36" t="s">
        <v>39</v>
      </c>
    </row>
    <row r="261" spans="4:8" ht="15.75">
      <c r="D261" s="37">
        <f>D260+1</f>
        <v>251</v>
      </c>
      <c r="E261" s="39"/>
      <c r="F261" s="42"/>
      <c r="G261" s="30"/>
      <c r="H261" s="36" t="s">
        <v>39</v>
      </c>
    </row>
    <row r="262" spans="4:8" ht="15.75">
      <c r="D262" s="37">
        <f t="shared" ref="D262:D325" si="7">D261+1</f>
        <v>252</v>
      </c>
      <c r="E262" s="39"/>
      <c r="F262" s="42"/>
      <c r="G262" s="30"/>
      <c r="H262" s="36" t="s">
        <v>39</v>
      </c>
    </row>
    <row r="263" spans="4:8" ht="15.75">
      <c r="D263" s="37">
        <f t="shared" si="7"/>
        <v>253</v>
      </c>
      <c r="E263" s="39"/>
      <c r="F263" s="42"/>
      <c r="G263" s="30"/>
      <c r="H263" s="36" t="s">
        <v>39</v>
      </c>
    </row>
    <row r="264" spans="4:8" ht="15.75">
      <c r="D264" s="37">
        <f t="shared" si="7"/>
        <v>254</v>
      </c>
      <c r="E264" s="39"/>
      <c r="F264" s="42"/>
      <c r="G264" s="30"/>
      <c r="H264" s="36" t="s">
        <v>39</v>
      </c>
    </row>
    <row r="265" spans="4:8" ht="15.75">
      <c r="D265" s="37">
        <f t="shared" si="7"/>
        <v>255</v>
      </c>
      <c r="E265" s="39"/>
      <c r="F265" s="42"/>
      <c r="G265" s="30"/>
      <c r="H265" s="36" t="s">
        <v>39</v>
      </c>
    </row>
    <row r="266" spans="4:8" ht="15.75">
      <c r="D266" s="37">
        <f t="shared" si="7"/>
        <v>256</v>
      </c>
      <c r="E266" s="39"/>
      <c r="F266" s="42"/>
      <c r="G266" s="30"/>
      <c r="H266" s="36" t="s">
        <v>39</v>
      </c>
    </row>
    <row r="267" spans="4:8" ht="15.75">
      <c r="D267" s="37">
        <f t="shared" si="7"/>
        <v>257</v>
      </c>
      <c r="E267" s="39"/>
      <c r="F267" s="42"/>
      <c r="G267" s="30"/>
      <c r="H267" s="36" t="s">
        <v>39</v>
      </c>
    </row>
    <row r="268" spans="4:8" ht="15.75">
      <c r="D268" s="37">
        <f t="shared" si="7"/>
        <v>258</v>
      </c>
      <c r="E268" s="39"/>
      <c r="F268" s="42"/>
      <c r="G268" s="30"/>
      <c r="H268" s="36" t="s">
        <v>39</v>
      </c>
    </row>
    <row r="269" spans="4:8" ht="15.75">
      <c r="D269" s="37">
        <f t="shared" si="7"/>
        <v>259</v>
      </c>
      <c r="E269" s="39"/>
      <c r="F269" s="42"/>
      <c r="G269" s="30"/>
      <c r="H269" s="36" t="s">
        <v>39</v>
      </c>
    </row>
    <row r="270" spans="4:8" ht="15.75">
      <c r="D270" s="37">
        <f t="shared" si="7"/>
        <v>260</v>
      </c>
      <c r="E270" s="39"/>
      <c r="F270" s="42"/>
      <c r="G270" s="30"/>
      <c r="H270" s="36" t="s">
        <v>39</v>
      </c>
    </row>
    <row r="271" spans="4:8" ht="15.75">
      <c r="D271" s="37">
        <f>D270+1</f>
        <v>261</v>
      </c>
      <c r="E271" s="39"/>
      <c r="F271" s="42"/>
      <c r="G271" s="30"/>
      <c r="H271" s="36" t="s">
        <v>39</v>
      </c>
    </row>
    <row r="272" spans="4:8" ht="15.75">
      <c r="D272" s="37">
        <f t="shared" si="7"/>
        <v>262</v>
      </c>
      <c r="E272" s="39"/>
      <c r="F272" s="42"/>
      <c r="G272" s="30"/>
      <c r="H272" s="36" t="s">
        <v>39</v>
      </c>
    </row>
    <row r="273" spans="4:8" ht="15.75">
      <c r="D273" s="37">
        <f t="shared" si="7"/>
        <v>263</v>
      </c>
      <c r="E273" s="39"/>
      <c r="F273" s="42"/>
      <c r="G273" s="30"/>
      <c r="H273" s="36" t="s">
        <v>39</v>
      </c>
    </row>
    <row r="274" spans="4:8" ht="15.75">
      <c r="D274" s="37">
        <f t="shared" si="7"/>
        <v>264</v>
      </c>
      <c r="E274" s="39"/>
      <c r="F274" s="42"/>
      <c r="G274" s="30"/>
      <c r="H274" s="36" t="s">
        <v>39</v>
      </c>
    </row>
    <row r="275" spans="4:8" ht="15.75">
      <c r="D275" s="37">
        <f t="shared" si="7"/>
        <v>265</v>
      </c>
      <c r="E275" s="39"/>
      <c r="F275" s="42"/>
      <c r="G275" s="30"/>
      <c r="H275" s="36" t="s">
        <v>39</v>
      </c>
    </row>
    <row r="276" spans="4:8" ht="15.75">
      <c r="D276" s="37">
        <f t="shared" si="7"/>
        <v>266</v>
      </c>
      <c r="E276" s="39"/>
      <c r="F276" s="42"/>
      <c r="G276" s="30"/>
      <c r="H276" s="36" t="s">
        <v>39</v>
      </c>
    </row>
    <row r="277" spans="4:8" ht="15.75">
      <c r="D277" s="37">
        <f t="shared" si="7"/>
        <v>267</v>
      </c>
      <c r="E277" s="39"/>
      <c r="F277" s="42"/>
      <c r="G277" s="30"/>
      <c r="H277" s="36" t="s">
        <v>39</v>
      </c>
    </row>
    <row r="278" spans="4:8" ht="15.75">
      <c r="D278" s="37">
        <f t="shared" si="7"/>
        <v>268</v>
      </c>
      <c r="E278" s="39"/>
      <c r="F278" s="42"/>
      <c r="G278" s="30"/>
      <c r="H278" s="36" t="s">
        <v>39</v>
      </c>
    </row>
    <row r="279" spans="4:8" ht="15.75">
      <c r="D279" s="37">
        <f t="shared" si="7"/>
        <v>269</v>
      </c>
      <c r="E279" s="39"/>
      <c r="F279" s="42"/>
      <c r="G279" s="30"/>
      <c r="H279" s="36" t="s">
        <v>39</v>
      </c>
    </row>
    <row r="280" spans="4:8" ht="15.75">
      <c r="D280" s="37">
        <f t="shared" si="7"/>
        <v>270</v>
      </c>
      <c r="E280" s="39"/>
      <c r="F280" s="42"/>
      <c r="G280" s="30"/>
      <c r="H280" s="36" t="s">
        <v>39</v>
      </c>
    </row>
    <row r="281" spans="4:8" ht="15.75">
      <c r="D281" s="37">
        <f>D280+1</f>
        <v>271</v>
      </c>
      <c r="E281" s="39"/>
      <c r="F281" s="42"/>
      <c r="G281" s="30"/>
      <c r="H281" s="36" t="s">
        <v>39</v>
      </c>
    </row>
    <row r="282" spans="4:8" ht="15.75">
      <c r="D282" s="37">
        <f t="shared" si="7"/>
        <v>272</v>
      </c>
      <c r="E282" s="39"/>
      <c r="F282" s="42"/>
      <c r="G282" s="30"/>
      <c r="H282" s="36" t="s">
        <v>39</v>
      </c>
    </row>
    <row r="283" spans="4:8" ht="15.75">
      <c r="D283" s="37">
        <f t="shared" si="7"/>
        <v>273</v>
      </c>
      <c r="E283" s="39"/>
      <c r="F283" s="42"/>
      <c r="G283" s="30"/>
      <c r="H283" s="36" t="s">
        <v>39</v>
      </c>
    </row>
    <row r="284" spans="4:8" ht="15.75">
      <c r="D284" s="37">
        <f t="shared" si="7"/>
        <v>274</v>
      </c>
      <c r="E284" s="39"/>
      <c r="F284" s="42"/>
      <c r="G284" s="30"/>
      <c r="H284" s="36" t="s">
        <v>39</v>
      </c>
    </row>
    <row r="285" spans="4:8" ht="15.75">
      <c r="D285" s="37">
        <f t="shared" si="7"/>
        <v>275</v>
      </c>
      <c r="E285" s="39"/>
      <c r="F285" s="42"/>
      <c r="G285" s="30"/>
      <c r="H285" s="36" t="s">
        <v>39</v>
      </c>
    </row>
    <row r="286" spans="4:8" ht="15.75">
      <c r="D286" s="37">
        <f t="shared" si="7"/>
        <v>276</v>
      </c>
      <c r="E286" s="39"/>
      <c r="F286" s="42"/>
      <c r="G286" s="30"/>
      <c r="H286" s="36" t="s">
        <v>39</v>
      </c>
    </row>
    <row r="287" spans="4:8" ht="15.75">
      <c r="D287" s="37">
        <f t="shared" si="7"/>
        <v>277</v>
      </c>
      <c r="E287" s="39"/>
      <c r="F287" s="42"/>
      <c r="G287" s="30"/>
      <c r="H287" s="36" t="s">
        <v>39</v>
      </c>
    </row>
    <row r="288" spans="4:8" ht="15.75">
      <c r="D288" s="37">
        <f t="shared" si="7"/>
        <v>278</v>
      </c>
      <c r="E288" s="39"/>
      <c r="F288" s="42"/>
      <c r="G288" s="30"/>
      <c r="H288" s="36" t="s">
        <v>39</v>
      </c>
    </row>
    <row r="289" spans="4:8" ht="15.75">
      <c r="D289" s="37">
        <f t="shared" si="7"/>
        <v>279</v>
      </c>
      <c r="E289" s="39"/>
      <c r="F289" s="42"/>
      <c r="G289" s="30"/>
      <c r="H289" s="36" t="s">
        <v>39</v>
      </c>
    </row>
    <row r="290" spans="4:8" ht="15.75">
      <c r="D290" s="37">
        <f t="shared" si="7"/>
        <v>280</v>
      </c>
      <c r="E290" s="39"/>
      <c r="F290" s="42"/>
      <c r="G290" s="30"/>
      <c r="H290" s="36" t="s">
        <v>39</v>
      </c>
    </row>
    <row r="291" spans="4:8" ht="15.75">
      <c r="D291" s="37">
        <f>D290+1</f>
        <v>281</v>
      </c>
      <c r="E291" s="39"/>
      <c r="F291" s="42"/>
      <c r="G291" s="30"/>
      <c r="H291" s="36" t="s">
        <v>39</v>
      </c>
    </row>
    <row r="292" spans="4:8" ht="15.75">
      <c r="D292" s="37">
        <f t="shared" si="7"/>
        <v>282</v>
      </c>
      <c r="E292" s="39"/>
      <c r="F292" s="42"/>
      <c r="G292" s="30"/>
      <c r="H292" s="36" t="s">
        <v>39</v>
      </c>
    </row>
    <row r="293" spans="4:8" ht="15.75">
      <c r="D293" s="37">
        <f t="shared" si="7"/>
        <v>283</v>
      </c>
      <c r="E293" s="39"/>
      <c r="F293" s="42"/>
      <c r="G293" s="30"/>
      <c r="H293" s="36" t="s">
        <v>39</v>
      </c>
    </row>
    <row r="294" spans="4:8" ht="15.75">
      <c r="D294" s="37">
        <f t="shared" si="7"/>
        <v>284</v>
      </c>
      <c r="E294" s="39"/>
      <c r="F294" s="42"/>
      <c r="G294" s="30"/>
      <c r="H294" s="36" t="s">
        <v>39</v>
      </c>
    </row>
    <row r="295" spans="4:8" ht="15.75">
      <c r="D295" s="37">
        <f t="shared" si="7"/>
        <v>285</v>
      </c>
      <c r="E295" s="39"/>
      <c r="F295" s="42"/>
      <c r="G295" s="30"/>
      <c r="H295" s="36" t="s">
        <v>39</v>
      </c>
    </row>
    <row r="296" spans="4:8" ht="15.75">
      <c r="D296" s="37">
        <f t="shared" si="7"/>
        <v>286</v>
      </c>
      <c r="E296" s="39"/>
      <c r="F296" s="42"/>
      <c r="G296" s="30"/>
      <c r="H296" s="36" t="s">
        <v>39</v>
      </c>
    </row>
    <row r="297" spans="4:8" ht="15.75">
      <c r="D297" s="37">
        <f t="shared" si="7"/>
        <v>287</v>
      </c>
      <c r="E297" s="39"/>
      <c r="F297" s="42"/>
      <c r="G297" s="30"/>
      <c r="H297" s="36" t="s">
        <v>39</v>
      </c>
    </row>
    <row r="298" spans="4:8" ht="15.75">
      <c r="D298" s="37">
        <f t="shared" si="7"/>
        <v>288</v>
      </c>
      <c r="E298" s="39"/>
      <c r="F298" s="42"/>
      <c r="G298" s="30"/>
      <c r="H298" s="36" t="s">
        <v>39</v>
      </c>
    </row>
    <row r="299" spans="4:8" ht="15.75">
      <c r="D299" s="37">
        <f t="shared" si="7"/>
        <v>289</v>
      </c>
      <c r="E299" s="39"/>
      <c r="F299" s="42"/>
      <c r="G299" s="30"/>
      <c r="H299" s="36" t="s">
        <v>39</v>
      </c>
    </row>
    <row r="300" spans="4:8" ht="15.75">
      <c r="D300" s="37">
        <f t="shared" si="7"/>
        <v>290</v>
      </c>
      <c r="E300" s="39"/>
      <c r="F300" s="42"/>
      <c r="G300" s="30"/>
      <c r="H300" s="36" t="s">
        <v>39</v>
      </c>
    </row>
    <row r="301" spans="4:8" ht="15.75">
      <c r="D301" s="37">
        <f>D300+1</f>
        <v>291</v>
      </c>
      <c r="E301" s="39"/>
      <c r="F301" s="42"/>
      <c r="G301" s="30"/>
      <c r="H301" s="36" t="s">
        <v>39</v>
      </c>
    </row>
    <row r="302" spans="4:8" ht="15.75">
      <c r="D302" s="37">
        <f t="shared" si="7"/>
        <v>292</v>
      </c>
      <c r="E302" s="39"/>
      <c r="F302" s="42"/>
      <c r="G302" s="30"/>
      <c r="H302" s="36" t="s">
        <v>39</v>
      </c>
    </row>
    <row r="303" spans="4:8" ht="15.75">
      <c r="D303" s="37">
        <f t="shared" si="7"/>
        <v>293</v>
      </c>
      <c r="E303" s="39"/>
      <c r="F303" s="42"/>
      <c r="G303" s="30"/>
      <c r="H303" s="36" t="s">
        <v>39</v>
      </c>
    </row>
    <row r="304" spans="4:8" ht="15.75">
      <c r="D304" s="37">
        <f t="shared" si="7"/>
        <v>294</v>
      </c>
      <c r="E304" s="39"/>
      <c r="F304" s="42"/>
      <c r="G304" s="30"/>
      <c r="H304" s="36" t="s">
        <v>39</v>
      </c>
    </row>
    <row r="305" spans="4:8" ht="15.75">
      <c r="D305" s="37">
        <f t="shared" si="7"/>
        <v>295</v>
      </c>
      <c r="E305" s="39"/>
      <c r="F305" s="42"/>
      <c r="G305" s="30"/>
      <c r="H305" s="36" t="s">
        <v>39</v>
      </c>
    </row>
    <row r="306" spans="4:8" ht="15.75">
      <c r="D306" s="37">
        <f t="shared" si="7"/>
        <v>296</v>
      </c>
      <c r="E306" s="39"/>
      <c r="F306" s="42"/>
      <c r="G306" s="30"/>
      <c r="H306" s="36" t="s">
        <v>39</v>
      </c>
    </row>
    <row r="307" spans="4:8" ht="15.75">
      <c r="D307" s="37">
        <f t="shared" si="7"/>
        <v>297</v>
      </c>
      <c r="E307" s="39"/>
      <c r="F307" s="42"/>
      <c r="G307" s="30"/>
      <c r="H307" s="36" t="s">
        <v>39</v>
      </c>
    </row>
    <row r="308" spans="4:8" ht="15.75">
      <c r="D308" s="37">
        <f t="shared" si="7"/>
        <v>298</v>
      </c>
      <c r="E308" s="39"/>
      <c r="F308" s="42"/>
      <c r="G308" s="30"/>
      <c r="H308" s="36" t="s">
        <v>39</v>
      </c>
    </row>
    <row r="309" spans="4:8" ht="15.75">
      <c r="D309" s="37">
        <f t="shared" si="7"/>
        <v>299</v>
      </c>
      <c r="E309" s="39"/>
      <c r="F309" s="42"/>
      <c r="G309" s="30"/>
      <c r="H309" s="36" t="s">
        <v>39</v>
      </c>
    </row>
    <row r="310" spans="4:8" ht="15.75">
      <c r="D310" s="37">
        <f t="shared" si="7"/>
        <v>300</v>
      </c>
      <c r="E310" s="39"/>
      <c r="F310" s="42"/>
      <c r="G310" s="30"/>
      <c r="H310" s="36" t="s">
        <v>39</v>
      </c>
    </row>
    <row r="311" spans="4:8" ht="15.75">
      <c r="D311" s="37">
        <f>D310+1</f>
        <v>301</v>
      </c>
      <c r="E311" s="39"/>
      <c r="F311" s="42"/>
      <c r="G311" s="30"/>
      <c r="H311" s="36" t="s">
        <v>39</v>
      </c>
    </row>
    <row r="312" spans="4:8" ht="15.75">
      <c r="D312" s="37">
        <f t="shared" si="7"/>
        <v>302</v>
      </c>
      <c r="E312" s="39"/>
      <c r="F312" s="42"/>
      <c r="G312" s="30"/>
      <c r="H312" s="36" t="s">
        <v>39</v>
      </c>
    </row>
    <row r="313" spans="4:8" ht="15.75">
      <c r="D313" s="37">
        <f t="shared" si="7"/>
        <v>303</v>
      </c>
      <c r="E313" s="39"/>
      <c r="F313" s="42"/>
      <c r="G313" s="30"/>
      <c r="H313" s="36" t="s">
        <v>39</v>
      </c>
    </row>
    <row r="314" spans="4:8" ht="15.75">
      <c r="D314" s="37">
        <f t="shared" si="7"/>
        <v>304</v>
      </c>
      <c r="E314" s="39"/>
      <c r="F314" s="42"/>
      <c r="G314" s="30"/>
      <c r="H314" s="36" t="s">
        <v>39</v>
      </c>
    </row>
    <row r="315" spans="4:8" ht="15.75">
      <c r="D315" s="37">
        <f t="shared" si="7"/>
        <v>305</v>
      </c>
      <c r="E315" s="39"/>
      <c r="F315" s="42"/>
      <c r="G315" s="30"/>
      <c r="H315" s="36" t="s">
        <v>39</v>
      </c>
    </row>
    <row r="316" spans="4:8" ht="15.75">
      <c r="D316" s="37">
        <f t="shared" si="7"/>
        <v>306</v>
      </c>
      <c r="E316" s="39"/>
      <c r="F316" s="42"/>
      <c r="G316" s="30"/>
      <c r="H316" s="36" t="s">
        <v>39</v>
      </c>
    </row>
    <row r="317" spans="4:8" ht="15.75">
      <c r="D317" s="37">
        <f t="shared" si="7"/>
        <v>307</v>
      </c>
      <c r="E317" s="39"/>
      <c r="F317" s="42"/>
      <c r="G317" s="30"/>
      <c r="H317" s="36" t="s">
        <v>39</v>
      </c>
    </row>
    <row r="318" spans="4:8" ht="15.75">
      <c r="D318" s="37">
        <f t="shared" si="7"/>
        <v>308</v>
      </c>
      <c r="E318" s="39"/>
      <c r="F318" s="42"/>
      <c r="G318" s="30"/>
      <c r="H318" s="36" t="s">
        <v>39</v>
      </c>
    </row>
    <row r="319" spans="4:8" ht="15.75">
      <c r="D319" s="37">
        <f t="shared" si="7"/>
        <v>309</v>
      </c>
      <c r="E319" s="39"/>
      <c r="F319" s="42"/>
      <c r="G319" s="30"/>
      <c r="H319" s="36" t="s">
        <v>39</v>
      </c>
    </row>
    <row r="320" spans="4:8" ht="15.75">
      <c r="D320" s="37">
        <f t="shared" si="7"/>
        <v>310</v>
      </c>
      <c r="E320" s="39"/>
      <c r="F320" s="42"/>
      <c r="G320" s="30"/>
      <c r="H320" s="36" t="s">
        <v>39</v>
      </c>
    </row>
    <row r="321" spans="4:8" ht="15.75">
      <c r="D321" s="37">
        <f t="shared" si="7"/>
        <v>311</v>
      </c>
      <c r="E321" s="39"/>
      <c r="F321" s="42"/>
      <c r="G321" s="30"/>
      <c r="H321" s="36" t="s">
        <v>39</v>
      </c>
    </row>
    <row r="322" spans="4:8" ht="15.75">
      <c r="D322" s="37">
        <f t="shared" si="7"/>
        <v>312</v>
      </c>
      <c r="E322" s="39"/>
      <c r="F322" s="42"/>
      <c r="G322" s="30"/>
      <c r="H322" s="36" t="s">
        <v>39</v>
      </c>
    </row>
    <row r="323" spans="4:8" ht="15.75">
      <c r="D323" s="37">
        <f t="shared" si="7"/>
        <v>313</v>
      </c>
      <c r="E323" s="39"/>
      <c r="F323" s="42"/>
      <c r="G323" s="30"/>
      <c r="H323" s="36" t="s">
        <v>39</v>
      </c>
    </row>
    <row r="324" spans="4:8" ht="15.75">
      <c r="D324" s="37">
        <f t="shared" si="7"/>
        <v>314</v>
      </c>
      <c r="E324" s="39"/>
      <c r="F324" s="42"/>
      <c r="G324" s="30"/>
      <c r="H324" s="36" t="s">
        <v>39</v>
      </c>
    </row>
    <row r="325" spans="4:8" ht="15.75">
      <c r="D325" s="37">
        <f t="shared" si="7"/>
        <v>315</v>
      </c>
      <c r="E325" s="39"/>
      <c r="F325" s="42"/>
      <c r="G325" s="30"/>
      <c r="H325" s="36" t="s">
        <v>39</v>
      </c>
    </row>
    <row r="326" spans="4:8" ht="15.75">
      <c r="D326" s="37">
        <f t="shared" ref="D326:D389" si="8">D325+1</f>
        <v>316</v>
      </c>
      <c r="E326" s="39"/>
      <c r="F326" s="42"/>
      <c r="G326" s="30"/>
      <c r="H326" s="36" t="s">
        <v>39</v>
      </c>
    </row>
    <row r="327" spans="4:8" ht="15.75">
      <c r="D327" s="37">
        <f t="shared" si="8"/>
        <v>317</v>
      </c>
      <c r="E327" s="39"/>
      <c r="F327" s="42"/>
      <c r="G327" s="30"/>
      <c r="H327" s="36" t="s">
        <v>39</v>
      </c>
    </row>
    <row r="328" spans="4:8" ht="15.75">
      <c r="D328" s="37">
        <f t="shared" si="8"/>
        <v>318</v>
      </c>
      <c r="E328" s="39"/>
      <c r="F328" s="42"/>
      <c r="G328" s="30"/>
      <c r="H328" s="36" t="s">
        <v>39</v>
      </c>
    </row>
    <row r="329" spans="4:8" ht="15.75">
      <c r="D329" s="37">
        <f t="shared" si="8"/>
        <v>319</v>
      </c>
      <c r="E329" s="39"/>
      <c r="F329" s="42"/>
      <c r="G329" s="30"/>
      <c r="H329" s="36" t="s">
        <v>39</v>
      </c>
    </row>
    <row r="330" spans="4:8" ht="15.75">
      <c r="D330" s="37">
        <f t="shared" si="8"/>
        <v>320</v>
      </c>
      <c r="E330" s="39"/>
      <c r="F330" s="42"/>
      <c r="G330" s="30"/>
      <c r="H330" s="36" t="s">
        <v>39</v>
      </c>
    </row>
    <row r="331" spans="4:8" ht="15.75">
      <c r="D331" s="37">
        <f t="shared" si="8"/>
        <v>321</v>
      </c>
      <c r="E331" s="39"/>
      <c r="F331" s="42"/>
      <c r="G331" s="30"/>
      <c r="H331" s="36" t="s">
        <v>39</v>
      </c>
    </row>
    <row r="332" spans="4:8" ht="15.75">
      <c r="D332" s="37">
        <f t="shared" si="8"/>
        <v>322</v>
      </c>
      <c r="E332" s="39"/>
      <c r="F332" s="42"/>
      <c r="G332" s="30"/>
      <c r="H332" s="36" t="s">
        <v>39</v>
      </c>
    </row>
    <row r="333" spans="4:8" ht="15.75">
      <c r="D333" s="37">
        <f t="shared" si="8"/>
        <v>323</v>
      </c>
      <c r="E333" s="39"/>
      <c r="F333" s="42"/>
      <c r="G333" s="30"/>
      <c r="H333" s="36" t="s">
        <v>39</v>
      </c>
    </row>
    <row r="334" spans="4:8" ht="15.75">
      <c r="D334" s="37">
        <f t="shared" si="8"/>
        <v>324</v>
      </c>
      <c r="E334" s="39"/>
      <c r="F334" s="42"/>
      <c r="G334" s="30"/>
      <c r="H334" s="36" t="s">
        <v>39</v>
      </c>
    </row>
    <row r="335" spans="4:8" ht="15.75">
      <c r="D335" s="37">
        <f t="shared" si="8"/>
        <v>325</v>
      </c>
      <c r="E335" s="39"/>
      <c r="F335" s="42"/>
      <c r="G335" s="30"/>
      <c r="H335" s="36" t="s">
        <v>39</v>
      </c>
    </row>
    <row r="336" spans="4:8" ht="15.75">
      <c r="D336" s="37">
        <f t="shared" si="8"/>
        <v>326</v>
      </c>
      <c r="E336" s="39"/>
      <c r="F336" s="42"/>
      <c r="G336" s="30"/>
      <c r="H336" s="36" t="s">
        <v>39</v>
      </c>
    </row>
    <row r="337" spans="4:8" ht="15.75">
      <c r="D337" s="37">
        <f t="shared" si="8"/>
        <v>327</v>
      </c>
      <c r="E337" s="39"/>
      <c r="F337" s="42"/>
      <c r="G337" s="30"/>
      <c r="H337" s="36" t="s">
        <v>39</v>
      </c>
    </row>
    <row r="338" spans="4:8" ht="15.75">
      <c r="D338" s="37">
        <f t="shared" si="8"/>
        <v>328</v>
      </c>
      <c r="E338" s="39"/>
      <c r="F338" s="42"/>
      <c r="G338" s="30"/>
      <c r="H338" s="36" t="s">
        <v>39</v>
      </c>
    </row>
    <row r="339" spans="4:8" ht="15.75">
      <c r="D339" s="37">
        <f t="shared" si="8"/>
        <v>329</v>
      </c>
      <c r="E339" s="39"/>
      <c r="F339" s="42"/>
      <c r="G339" s="30"/>
      <c r="H339" s="36" t="s">
        <v>39</v>
      </c>
    </row>
    <row r="340" spans="4:8" ht="15.75">
      <c r="D340" s="37">
        <f t="shared" si="8"/>
        <v>330</v>
      </c>
      <c r="E340" s="39"/>
      <c r="F340" s="42"/>
      <c r="G340" s="30"/>
      <c r="H340" s="36" t="s">
        <v>39</v>
      </c>
    </row>
    <row r="341" spans="4:8" ht="15.75">
      <c r="D341" s="37">
        <f t="shared" si="8"/>
        <v>331</v>
      </c>
      <c r="E341" s="39"/>
      <c r="F341" s="42"/>
      <c r="G341" s="30"/>
      <c r="H341" s="36" t="s">
        <v>39</v>
      </c>
    </row>
    <row r="342" spans="4:8" ht="15.75">
      <c r="D342" s="37">
        <f t="shared" si="8"/>
        <v>332</v>
      </c>
      <c r="E342" s="39"/>
      <c r="F342" s="42"/>
      <c r="G342" s="30"/>
      <c r="H342" s="36" t="s">
        <v>39</v>
      </c>
    </row>
    <row r="343" spans="4:8" ht="15.75">
      <c r="D343" s="37">
        <f t="shared" si="8"/>
        <v>333</v>
      </c>
      <c r="E343" s="39"/>
      <c r="F343" s="42"/>
      <c r="G343" s="30"/>
      <c r="H343" s="36" t="s">
        <v>39</v>
      </c>
    </row>
    <row r="344" spans="4:8" ht="15.75">
      <c r="D344" s="37">
        <f t="shared" si="8"/>
        <v>334</v>
      </c>
      <c r="E344" s="39"/>
      <c r="F344" s="42"/>
      <c r="G344" s="30"/>
      <c r="H344" s="36" t="s">
        <v>39</v>
      </c>
    </row>
    <row r="345" spans="4:8" ht="15.75">
      <c r="D345" s="37">
        <f t="shared" si="8"/>
        <v>335</v>
      </c>
      <c r="E345" s="39"/>
      <c r="F345" s="42"/>
      <c r="G345" s="30"/>
      <c r="H345" s="36" t="s">
        <v>39</v>
      </c>
    </row>
    <row r="346" spans="4:8" ht="15.75">
      <c r="D346" s="37">
        <f t="shared" si="8"/>
        <v>336</v>
      </c>
      <c r="E346" s="39"/>
      <c r="F346" s="42"/>
      <c r="G346" s="30"/>
      <c r="H346" s="36" t="s">
        <v>39</v>
      </c>
    </row>
    <row r="347" spans="4:8" ht="15.75">
      <c r="D347" s="37">
        <f t="shared" si="8"/>
        <v>337</v>
      </c>
      <c r="E347" s="39"/>
      <c r="F347" s="42"/>
      <c r="G347" s="30"/>
      <c r="H347" s="36" t="s">
        <v>39</v>
      </c>
    </row>
    <row r="348" spans="4:8" ht="15.75">
      <c r="D348" s="37">
        <f t="shared" si="8"/>
        <v>338</v>
      </c>
      <c r="E348" s="39"/>
      <c r="F348" s="42"/>
      <c r="G348" s="30"/>
      <c r="H348" s="36" t="s">
        <v>39</v>
      </c>
    </row>
    <row r="349" spans="4:8" ht="15.75">
      <c r="D349" s="37">
        <f t="shared" si="8"/>
        <v>339</v>
      </c>
      <c r="E349" s="39"/>
      <c r="F349" s="42"/>
      <c r="G349" s="30"/>
      <c r="H349" s="36" t="s">
        <v>39</v>
      </c>
    </row>
    <row r="350" spans="4:8" ht="15.75">
      <c r="D350" s="37">
        <f t="shared" si="8"/>
        <v>340</v>
      </c>
      <c r="E350" s="39"/>
      <c r="F350" s="42"/>
      <c r="G350" s="30"/>
      <c r="H350" s="36" t="s">
        <v>39</v>
      </c>
    </row>
    <row r="351" spans="4:8" ht="15.75">
      <c r="D351" s="37">
        <f t="shared" si="8"/>
        <v>341</v>
      </c>
      <c r="E351" s="39"/>
      <c r="F351" s="42"/>
      <c r="G351" s="30"/>
      <c r="H351" s="36" t="s">
        <v>39</v>
      </c>
    </row>
    <row r="352" spans="4:8" ht="15.75">
      <c r="D352" s="37">
        <f t="shared" si="8"/>
        <v>342</v>
      </c>
      <c r="E352" s="39"/>
      <c r="F352" s="42"/>
      <c r="G352" s="30"/>
      <c r="H352" s="36" t="s">
        <v>39</v>
      </c>
    </row>
    <row r="353" spans="4:8" ht="15.75">
      <c r="D353" s="37">
        <f t="shared" si="8"/>
        <v>343</v>
      </c>
      <c r="E353" s="39"/>
      <c r="F353" s="42"/>
      <c r="G353" s="30"/>
      <c r="H353" s="36" t="s">
        <v>39</v>
      </c>
    </row>
    <row r="354" spans="4:8" ht="15.75">
      <c r="D354" s="37">
        <f t="shared" si="8"/>
        <v>344</v>
      </c>
      <c r="E354" s="39"/>
      <c r="F354" s="42"/>
      <c r="G354" s="30"/>
      <c r="H354" s="36" t="s">
        <v>39</v>
      </c>
    </row>
    <row r="355" spans="4:8" ht="15.75">
      <c r="D355" s="37">
        <f t="shared" si="8"/>
        <v>345</v>
      </c>
      <c r="E355" s="39"/>
      <c r="F355" s="42"/>
      <c r="G355" s="30"/>
      <c r="H355" s="36" t="s">
        <v>39</v>
      </c>
    </row>
    <row r="356" spans="4:8" ht="15.75">
      <c r="D356" s="37">
        <f t="shared" si="8"/>
        <v>346</v>
      </c>
      <c r="E356" s="39"/>
      <c r="F356" s="42"/>
      <c r="G356" s="30"/>
      <c r="H356" s="36" t="s">
        <v>39</v>
      </c>
    </row>
    <row r="357" spans="4:8" ht="15.75">
      <c r="D357" s="37">
        <f t="shared" si="8"/>
        <v>347</v>
      </c>
      <c r="E357" s="39"/>
      <c r="F357" s="42"/>
      <c r="G357" s="30"/>
      <c r="H357" s="36" t="s">
        <v>39</v>
      </c>
    </row>
    <row r="358" spans="4:8" ht="15.75">
      <c r="D358" s="37">
        <f t="shared" si="8"/>
        <v>348</v>
      </c>
      <c r="E358" s="39"/>
      <c r="F358" s="42"/>
      <c r="G358" s="30"/>
      <c r="H358" s="36" t="s">
        <v>39</v>
      </c>
    </row>
    <row r="359" spans="4:8" ht="15.75">
      <c r="D359" s="37">
        <f t="shared" si="8"/>
        <v>349</v>
      </c>
      <c r="E359" s="39"/>
      <c r="F359" s="42"/>
      <c r="G359" s="30"/>
      <c r="H359" s="36" t="s">
        <v>39</v>
      </c>
    </row>
    <row r="360" spans="4:8" ht="15.75">
      <c r="D360" s="37">
        <f t="shared" si="8"/>
        <v>350</v>
      </c>
      <c r="E360" s="39"/>
      <c r="F360" s="42"/>
      <c r="G360" s="30"/>
      <c r="H360" s="36" t="s">
        <v>39</v>
      </c>
    </row>
    <row r="361" spans="4:8" ht="15.75">
      <c r="D361" s="37">
        <f t="shared" si="8"/>
        <v>351</v>
      </c>
      <c r="E361" s="39"/>
      <c r="F361" s="42"/>
      <c r="G361" s="30"/>
      <c r="H361" s="36" t="s">
        <v>39</v>
      </c>
    </row>
    <row r="362" spans="4:8" ht="15.75">
      <c r="D362" s="37">
        <f t="shared" si="8"/>
        <v>352</v>
      </c>
      <c r="E362" s="39"/>
      <c r="F362" s="42"/>
      <c r="G362" s="30"/>
      <c r="H362" s="36" t="s">
        <v>39</v>
      </c>
    </row>
    <row r="363" spans="4:8" ht="15.75">
      <c r="D363" s="37">
        <f t="shared" si="8"/>
        <v>353</v>
      </c>
      <c r="E363" s="39"/>
      <c r="F363" s="42"/>
      <c r="G363" s="30"/>
      <c r="H363" s="36" t="s">
        <v>39</v>
      </c>
    </row>
    <row r="364" spans="4:8" ht="15.75">
      <c r="D364" s="37">
        <f t="shared" si="8"/>
        <v>354</v>
      </c>
      <c r="E364" s="39"/>
      <c r="F364" s="42"/>
      <c r="G364" s="30"/>
      <c r="H364" s="36" t="s">
        <v>39</v>
      </c>
    </row>
    <row r="365" spans="4:8" ht="15.75">
      <c r="D365" s="37">
        <f t="shared" si="8"/>
        <v>355</v>
      </c>
      <c r="E365" s="39"/>
      <c r="F365" s="42"/>
      <c r="G365" s="30"/>
      <c r="H365" s="36" t="s">
        <v>39</v>
      </c>
    </row>
    <row r="366" spans="4:8" ht="15.75">
      <c r="D366" s="37">
        <f t="shared" si="8"/>
        <v>356</v>
      </c>
      <c r="E366" s="39"/>
      <c r="F366" s="42"/>
      <c r="G366" s="30"/>
      <c r="H366" s="36" t="s">
        <v>39</v>
      </c>
    </row>
    <row r="367" spans="4:8" ht="15.75">
      <c r="D367" s="37">
        <f t="shared" si="8"/>
        <v>357</v>
      </c>
      <c r="E367" s="39"/>
      <c r="F367" s="42"/>
      <c r="G367" s="30"/>
      <c r="H367" s="36" t="s">
        <v>39</v>
      </c>
    </row>
    <row r="368" spans="4:8" ht="15.75">
      <c r="D368" s="37">
        <f t="shared" si="8"/>
        <v>358</v>
      </c>
      <c r="E368" s="39"/>
      <c r="F368" s="42"/>
      <c r="G368" s="30"/>
      <c r="H368" s="36" t="s">
        <v>39</v>
      </c>
    </row>
    <row r="369" spans="4:8" ht="15.75">
      <c r="D369" s="37">
        <f t="shared" si="8"/>
        <v>359</v>
      </c>
      <c r="E369" s="39"/>
      <c r="F369" s="42"/>
      <c r="G369" s="30"/>
      <c r="H369" s="36" t="s">
        <v>39</v>
      </c>
    </row>
    <row r="370" spans="4:8" ht="15.75">
      <c r="D370" s="37">
        <f t="shared" si="8"/>
        <v>360</v>
      </c>
      <c r="E370" s="39"/>
      <c r="F370" s="42"/>
      <c r="G370" s="30"/>
      <c r="H370" s="36" t="s">
        <v>39</v>
      </c>
    </row>
    <row r="371" spans="4:8" ht="15.75">
      <c r="D371" s="37">
        <f t="shared" si="8"/>
        <v>361</v>
      </c>
      <c r="E371" s="39"/>
      <c r="F371" s="42"/>
      <c r="G371" s="30"/>
      <c r="H371" s="36" t="s">
        <v>39</v>
      </c>
    </row>
    <row r="372" spans="4:8" ht="15.75">
      <c r="D372" s="37">
        <f t="shared" si="8"/>
        <v>362</v>
      </c>
      <c r="E372" s="39"/>
      <c r="F372" s="42"/>
      <c r="G372" s="30"/>
      <c r="H372" s="36" t="s">
        <v>39</v>
      </c>
    </row>
    <row r="373" spans="4:8" ht="15.75">
      <c r="D373" s="37">
        <f t="shared" si="8"/>
        <v>363</v>
      </c>
      <c r="E373" s="39"/>
      <c r="F373" s="42"/>
      <c r="G373" s="30"/>
      <c r="H373" s="36" t="s">
        <v>39</v>
      </c>
    </row>
    <row r="374" spans="4:8" ht="15.75">
      <c r="D374" s="37">
        <f t="shared" si="8"/>
        <v>364</v>
      </c>
      <c r="E374" s="39"/>
      <c r="F374" s="42"/>
      <c r="G374" s="30"/>
      <c r="H374" s="36" t="s">
        <v>39</v>
      </c>
    </row>
    <row r="375" spans="4:8" ht="15.75">
      <c r="D375" s="37">
        <f t="shared" si="8"/>
        <v>365</v>
      </c>
      <c r="E375" s="39"/>
      <c r="F375" s="42"/>
      <c r="G375" s="30"/>
      <c r="H375" s="36" t="s">
        <v>39</v>
      </c>
    </row>
    <row r="376" spans="4:8" ht="15.75">
      <c r="D376" s="37">
        <f t="shared" si="8"/>
        <v>366</v>
      </c>
      <c r="E376" s="39"/>
      <c r="F376" s="42"/>
      <c r="G376" s="30"/>
      <c r="H376" s="36" t="s">
        <v>39</v>
      </c>
    </row>
    <row r="377" spans="4:8" ht="15.75">
      <c r="D377" s="37">
        <f t="shared" si="8"/>
        <v>367</v>
      </c>
      <c r="E377" s="39"/>
      <c r="F377" s="42"/>
      <c r="G377" s="30"/>
      <c r="H377" s="36" t="s">
        <v>39</v>
      </c>
    </row>
    <row r="378" spans="4:8" ht="15.75">
      <c r="D378" s="37">
        <f t="shared" si="8"/>
        <v>368</v>
      </c>
      <c r="E378" s="39"/>
      <c r="F378" s="42"/>
      <c r="G378" s="30"/>
      <c r="H378" s="36" t="s">
        <v>39</v>
      </c>
    </row>
    <row r="379" spans="4:8" ht="15.75">
      <c r="D379" s="37">
        <f t="shared" si="8"/>
        <v>369</v>
      </c>
      <c r="E379" s="39"/>
      <c r="F379" s="42"/>
      <c r="G379" s="30"/>
      <c r="H379" s="36" t="s">
        <v>39</v>
      </c>
    </row>
    <row r="380" spans="4:8" ht="15.75">
      <c r="D380" s="37">
        <f t="shared" si="8"/>
        <v>370</v>
      </c>
      <c r="E380" s="39"/>
      <c r="F380" s="42"/>
      <c r="G380" s="30"/>
      <c r="H380" s="36" t="s">
        <v>39</v>
      </c>
    </row>
    <row r="381" spans="4:8" ht="15.75">
      <c r="D381" s="37">
        <f t="shared" si="8"/>
        <v>371</v>
      </c>
      <c r="E381" s="39"/>
      <c r="F381" s="42"/>
      <c r="G381" s="30"/>
      <c r="H381" s="36" t="s">
        <v>39</v>
      </c>
    </row>
    <row r="382" spans="4:8" ht="15.75">
      <c r="D382" s="37">
        <f t="shared" si="8"/>
        <v>372</v>
      </c>
      <c r="E382" s="39"/>
      <c r="F382" s="42"/>
      <c r="G382" s="30"/>
      <c r="H382" s="36" t="s">
        <v>39</v>
      </c>
    </row>
    <row r="383" spans="4:8" ht="15.75">
      <c r="D383" s="37">
        <f t="shared" si="8"/>
        <v>373</v>
      </c>
      <c r="E383" s="39"/>
      <c r="F383" s="42"/>
      <c r="G383" s="30"/>
      <c r="H383" s="36" t="s">
        <v>39</v>
      </c>
    </row>
    <row r="384" spans="4:8" ht="15.75">
      <c r="D384" s="37">
        <f t="shared" si="8"/>
        <v>374</v>
      </c>
      <c r="E384" s="39"/>
      <c r="F384" s="42"/>
      <c r="G384" s="30"/>
      <c r="H384" s="36" t="s">
        <v>39</v>
      </c>
    </row>
    <row r="385" spans="4:8" ht="15.75">
      <c r="D385" s="37">
        <f t="shared" si="8"/>
        <v>375</v>
      </c>
      <c r="E385" s="39"/>
      <c r="F385" s="42"/>
      <c r="G385" s="30"/>
      <c r="H385" s="36" t="s">
        <v>39</v>
      </c>
    </row>
    <row r="386" spans="4:8" ht="15.75">
      <c r="D386" s="37">
        <f t="shared" si="8"/>
        <v>376</v>
      </c>
      <c r="E386" s="39"/>
      <c r="F386" s="42"/>
      <c r="G386" s="30"/>
      <c r="H386" s="36" t="s">
        <v>39</v>
      </c>
    </row>
    <row r="387" spans="4:8" ht="15.75">
      <c r="D387" s="37">
        <f t="shared" si="8"/>
        <v>377</v>
      </c>
      <c r="E387" s="39"/>
      <c r="F387" s="42"/>
      <c r="G387" s="30"/>
      <c r="H387" s="36" t="s">
        <v>39</v>
      </c>
    </row>
    <row r="388" spans="4:8" ht="15.75">
      <c r="D388" s="37">
        <f t="shared" si="8"/>
        <v>378</v>
      </c>
      <c r="E388" s="39"/>
      <c r="F388" s="42"/>
      <c r="G388" s="30"/>
      <c r="H388" s="36" t="s">
        <v>39</v>
      </c>
    </row>
    <row r="389" spans="4:8" ht="15.75">
      <c r="D389" s="37">
        <f t="shared" si="8"/>
        <v>379</v>
      </c>
      <c r="E389" s="39"/>
      <c r="F389" s="42"/>
      <c r="G389" s="30"/>
      <c r="H389" s="36" t="s">
        <v>39</v>
      </c>
    </row>
    <row r="390" spans="4:8" ht="15.75">
      <c r="D390" s="37">
        <f t="shared" ref="D390:D453" si="9">D389+1</f>
        <v>380</v>
      </c>
      <c r="E390" s="39"/>
      <c r="F390" s="42"/>
      <c r="G390" s="30"/>
      <c r="H390" s="36" t="s">
        <v>39</v>
      </c>
    </row>
    <row r="391" spans="4:8" ht="15.75">
      <c r="D391" s="37">
        <f t="shared" si="9"/>
        <v>381</v>
      </c>
      <c r="E391" s="39"/>
      <c r="F391" s="42"/>
      <c r="G391" s="30"/>
      <c r="H391" s="36" t="s">
        <v>39</v>
      </c>
    </row>
    <row r="392" spans="4:8" ht="15.75">
      <c r="D392" s="37">
        <f t="shared" si="9"/>
        <v>382</v>
      </c>
      <c r="E392" s="39"/>
      <c r="F392" s="42"/>
      <c r="G392" s="30"/>
      <c r="H392" s="36" t="s">
        <v>39</v>
      </c>
    </row>
    <row r="393" spans="4:8" ht="15.75">
      <c r="D393" s="37">
        <f t="shared" si="9"/>
        <v>383</v>
      </c>
      <c r="E393" s="39"/>
      <c r="F393" s="42"/>
      <c r="G393" s="30"/>
      <c r="H393" s="36" t="s">
        <v>39</v>
      </c>
    </row>
    <row r="394" spans="4:8" ht="15.75">
      <c r="D394" s="37">
        <f t="shared" si="9"/>
        <v>384</v>
      </c>
      <c r="E394" s="39"/>
      <c r="F394" s="42"/>
      <c r="G394" s="30"/>
      <c r="H394" s="36" t="s">
        <v>39</v>
      </c>
    </row>
    <row r="395" spans="4:8" ht="15.75">
      <c r="D395" s="37">
        <f t="shared" si="9"/>
        <v>385</v>
      </c>
      <c r="E395" s="39"/>
      <c r="F395" s="42"/>
      <c r="G395" s="30"/>
      <c r="H395" s="36" t="s">
        <v>39</v>
      </c>
    </row>
    <row r="396" spans="4:8" ht="15.75">
      <c r="D396" s="37">
        <f t="shared" si="9"/>
        <v>386</v>
      </c>
      <c r="E396" s="39"/>
      <c r="F396" s="42"/>
      <c r="G396" s="30"/>
      <c r="H396" s="36" t="s">
        <v>39</v>
      </c>
    </row>
    <row r="397" spans="4:8" ht="15.75">
      <c r="D397" s="37">
        <f t="shared" si="9"/>
        <v>387</v>
      </c>
      <c r="E397" s="39"/>
      <c r="F397" s="42"/>
      <c r="G397" s="30"/>
      <c r="H397" s="36" t="s">
        <v>39</v>
      </c>
    </row>
    <row r="398" spans="4:8" ht="15.75">
      <c r="D398" s="37">
        <f t="shared" si="9"/>
        <v>388</v>
      </c>
      <c r="E398" s="39"/>
      <c r="F398" s="42"/>
      <c r="G398" s="30"/>
      <c r="H398" s="36" t="s">
        <v>39</v>
      </c>
    </row>
    <row r="399" spans="4:8" ht="15.75">
      <c r="D399" s="37">
        <f t="shared" si="9"/>
        <v>389</v>
      </c>
      <c r="E399" s="39"/>
      <c r="F399" s="42"/>
      <c r="G399" s="30"/>
      <c r="H399" s="36" t="s">
        <v>39</v>
      </c>
    </row>
    <row r="400" spans="4:8" ht="15.75">
      <c r="D400" s="37">
        <f t="shared" si="9"/>
        <v>390</v>
      </c>
      <c r="E400" s="39"/>
      <c r="F400" s="42"/>
      <c r="G400" s="30"/>
      <c r="H400" s="36" t="s">
        <v>39</v>
      </c>
    </row>
    <row r="401" spans="4:8" ht="15.75">
      <c r="D401" s="37">
        <f t="shared" si="9"/>
        <v>391</v>
      </c>
      <c r="E401" s="39"/>
      <c r="F401" s="42"/>
      <c r="G401" s="30"/>
      <c r="H401" s="36" t="s">
        <v>39</v>
      </c>
    </row>
    <row r="402" spans="4:8" ht="15.75">
      <c r="D402" s="37">
        <f t="shared" si="9"/>
        <v>392</v>
      </c>
      <c r="E402" s="39"/>
      <c r="F402" s="42"/>
      <c r="G402" s="30"/>
      <c r="H402" s="36" t="s">
        <v>39</v>
      </c>
    </row>
    <row r="403" spans="4:8" ht="15.75">
      <c r="D403" s="37">
        <f t="shared" si="9"/>
        <v>393</v>
      </c>
      <c r="E403" s="39"/>
      <c r="F403" s="42"/>
      <c r="G403" s="30"/>
      <c r="H403" s="36" t="s">
        <v>39</v>
      </c>
    </row>
    <row r="404" spans="4:8" ht="15.75">
      <c r="D404" s="37">
        <f t="shared" si="9"/>
        <v>394</v>
      </c>
      <c r="E404" s="39"/>
      <c r="F404" s="42"/>
      <c r="G404" s="30"/>
      <c r="H404" s="36" t="s">
        <v>39</v>
      </c>
    </row>
    <row r="405" spans="4:8" ht="15.75">
      <c r="D405" s="37">
        <f>D404+1</f>
        <v>395</v>
      </c>
      <c r="E405" s="39"/>
      <c r="F405" s="42"/>
      <c r="G405" s="30"/>
      <c r="H405" s="36" t="s">
        <v>39</v>
      </c>
    </row>
    <row r="406" spans="4:8" ht="15.75">
      <c r="D406" s="37">
        <f t="shared" si="9"/>
        <v>396</v>
      </c>
      <c r="E406" s="39"/>
      <c r="F406" s="42"/>
      <c r="G406" s="30"/>
      <c r="H406" s="36" t="s">
        <v>39</v>
      </c>
    </row>
    <row r="407" spans="4:8" ht="15.75">
      <c r="D407" s="37">
        <f t="shared" si="9"/>
        <v>397</v>
      </c>
      <c r="E407" s="39"/>
      <c r="F407" s="42"/>
      <c r="G407" s="30"/>
      <c r="H407" s="36" t="s">
        <v>39</v>
      </c>
    </row>
    <row r="408" spans="4:8" ht="15.75">
      <c r="D408" s="37">
        <f t="shared" si="9"/>
        <v>398</v>
      </c>
      <c r="E408" s="39"/>
      <c r="F408" s="42"/>
      <c r="G408" s="30"/>
      <c r="H408" s="36" t="s">
        <v>39</v>
      </c>
    </row>
    <row r="409" spans="4:8" ht="15.75">
      <c r="D409" s="37">
        <f t="shared" si="9"/>
        <v>399</v>
      </c>
      <c r="E409" s="39"/>
      <c r="F409" s="42"/>
      <c r="G409" s="30"/>
      <c r="H409" s="36" t="s">
        <v>39</v>
      </c>
    </row>
    <row r="410" spans="4:8" ht="15.75">
      <c r="D410" s="37">
        <f t="shared" si="9"/>
        <v>400</v>
      </c>
      <c r="E410" s="39"/>
      <c r="F410" s="42"/>
      <c r="G410" s="30"/>
      <c r="H410" s="36" t="s">
        <v>39</v>
      </c>
    </row>
    <row r="411" spans="4:8" ht="15.75">
      <c r="D411" s="37">
        <f t="shared" si="9"/>
        <v>401</v>
      </c>
      <c r="E411" s="39"/>
      <c r="F411" s="42"/>
      <c r="G411" s="30"/>
      <c r="H411" s="36" t="s">
        <v>39</v>
      </c>
    </row>
    <row r="412" spans="4:8" ht="15.75">
      <c r="D412" s="37">
        <f t="shared" si="9"/>
        <v>402</v>
      </c>
      <c r="E412" s="39"/>
      <c r="F412" s="42"/>
      <c r="G412" s="30"/>
      <c r="H412" s="36" t="s">
        <v>39</v>
      </c>
    </row>
    <row r="413" spans="4:8" ht="15.75">
      <c r="D413" s="37">
        <f t="shared" si="9"/>
        <v>403</v>
      </c>
      <c r="E413" s="39"/>
      <c r="F413" s="42"/>
      <c r="G413" s="30"/>
      <c r="H413" s="36" t="s">
        <v>39</v>
      </c>
    </row>
    <row r="414" spans="4:8" ht="15.75">
      <c r="D414" s="37">
        <f t="shared" si="9"/>
        <v>404</v>
      </c>
      <c r="E414" s="39"/>
      <c r="F414" s="42"/>
      <c r="G414" s="30"/>
      <c r="H414" s="36" t="s">
        <v>39</v>
      </c>
    </row>
    <row r="415" spans="4:8" ht="15.75">
      <c r="D415" s="37">
        <f t="shared" si="9"/>
        <v>405</v>
      </c>
      <c r="E415" s="39"/>
      <c r="F415" s="42"/>
      <c r="G415" s="30"/>
      <c r="H415" s="36" t="s">
        <v>39</v>
      </c>
    </row>
    <row r="416" spans="4:8" ht="15.75">
      <c r="D416" s="37">
        <f t="shared" si="9"/>
        <v>406</v>
      </c>
      <c r="E416" s="39"/>
      <c r="F416" s="42"/>
      <c r="G416" s="30"/>
      <c r="H416" s="36" t="s">
        <v>39</v>
      </c>
    </row>
    <row r="417" spans="4:8" ht="15.75">
      <c r="D417" s="37">
        <f t="shared" si="9"/>
        <v>407</v>
      </c>
      <c r="E417" s="39"/>
      <c r="F417" s="42"/>
      <c r="G417" s="30"/>
      <c r="H417" s="36" t="s">
        <v>39</v>
      </c>
    </row>
    <row r="418" spans="4:8" ht="15.75">
      <c r="D418" s="37">
        <f t="shared" si="9"/>
        <v>408</v>
      </c>
      <c r="E418" s="39"/>
      <c r="F418" s="42"/>
      <c r="G418" s="30"/>
      <c r="H418" s="36" t="s">
        <v>39</v>
      </c>
    </row>
    <row r="419" spans="4:8" ht="15.75">
      <c r="D419" s="37">
        <f t="shared" si="9"/>
        <v>409</v>
      </c>
      <c r="E419" s="39"/>
      <c r="F419" s="42"/>
      <c r="G419" s="30"/>
      <c r="H419" s="36" t="s">
        <v>39</v>
      </c>
    </row>
    <row r="420" spans="4:8" ht="15.75">
      <c r="D420" s="37">
        <f t="shared" si="9"/>
        <v>410</v>
      </c>
      <c r="E420" s="39"/>
      <c r="F420" s="42"/>
      <c r="G420" s="30"/>
      <c r="H420" s="36" t="s">
        <v>39</v>
      </c>
    </row>
    <row r="421" spans="4:8" ht="15.75">
      <c r="D421" s="37">
        <f t="shared" si="9"/>
        <v>411</v>
      </c>
      <c r="E421" s="39"/>
      <c r="F421" s="42"/>
      <c r="G421" s="30"/>
      <c r="H421" s="36" t="s">
        <v>39</v>
      </c>
    </row>
    <row r="422" spans="4:8" ht="15.75">
      <c r="D422" s="37">
        <f t="shared" si="9"/>
        <v>412</v>
      </c>
      <c r="E422" s="39"/>
      <c r="F422" s="42"/>
      <c r="G422" s="30"/>
      <c r="H422" s="36" t="s">
        <v>39</v>
      </c>
    </row>
    <row r="423" spans="4:8" ht="15.75">
      <c r="D423" s="37">
        <f t="shared" si="9"/>
        <v>413</v>
      </c>
      <c r="E423" s="39"/>
      <c r="F423" s="42"/>
      <c r="G423" s="30"/>
      <c r="H423" s="36" t="s">
        <v>39</v>
      </c>
    </row>
    <row r="424" spans="4:8" ht="15.75">
      <c r="D424" s="37">
        <f t="shared" si="9"/>
        <v>414</v>
      </c>
      <c r="E424" s="39"/>
      <c r="F424" s="42"/>
      <c r="G424" s="30"/>
      <c r="H424" s="36" t="s">
        <v>39</v>
      </c>
    </row>
    <row r="425" spans="4:8" ht="15.75">
      <c r="D425" s="37">
        <f t="shared" si="9"/>
        <v>415</v>
      </c>
      <c r="E425" s="39"/>
      <c r="F425" s="42"/>
      <c r="G425" s="30"/>
      <c r="H425" s="36" t="s">
        <v>39</v>
      </c>
    </row>
    <row r="426" spans="4:8" ht="15.75">
      <c r="D426" s="37">
        <f t="shared" si="9"/>
        <v>416</v>
      </c>
      <c r="E426" s="39"/>
      <c r="F426" s="42"/>
      <c r="G426" s="30"/>
      <c r="H426" s="36" t="s">
        <v>39</v>
      </c>
    </row>
    <row r="427" spans="4:8" ht="15.75">
      <c r="D427" s="37">
        <f t="shared" si="9"/>
        <v>417</v>
      </c>
      <c r="E427" s="39"/>
      <c r="F427" s="42"/>
      <c r="G427" s="30"/>
      <c r="H427" s="36" t="s">
        <v>39</v>
      </c>
    </row>
    <row r="428" spans="4:8" ht="15.75">
      <c r="D428" s="37">
        <f t="shared" si="9"/>
        <v>418</v>
      </c>
      <c r="E428" s="39"/>
      <c r="F428" s="42"/>
      <c r="G428" s="30"/>
      <c r="H428" s="36" t="s">
        <v>39</v>
      </c>
    </row>
    <row r="429" spans="4:8" ht="15.75">
      <c r="D429" s="37">
        <f t="shared" si="9"/>
        <v>419</v>
      </c>
      <c r="E429" s="39"/>
      <c r="F429" s="42"/>
      <c r="G429" s="30"/>
      <c r="H429" s="36" t="s">
        <v>39</v>
      </c>
    </row>
    <row r="430" spans="4:8" ht="15.75">
      <c r="D430" s="37">
        <f t="shared" si="9"/>
        <v>420</v>
      </c>
      <c r="E430" s="39"/>
      <c r="F430" s="42"/>
      <c r="G430" s="30"/>
      <c r="H430" s="36" t="s">
        <v>39</v>
      </c>
    </row>
    <row r="431" spans="4:8" ht="15.75">
      <c r="D431" s="37">
        <f t="shared" si="9"/>
        <v>421</v>
      </c>
      <c r="E431" s="39"/>
      <c r="F431" s="42"/>
      <c r="G431" s="30"/>
      <c r="H431" s="36" t="s">
        <v>39</v>
      </c>
    </row>
    <row r="432" spans="4:8" ht="15.75">
      <c r="D432" s="37">
        <f t="shared" si="9"/>
        <v>422</v>
      </c>
      <c r="E432" s="39"/>
      <c r="F432" s="42"/>
      <c r="G432" s="30"/>
      <c r="H432" s="36" t="s">
        <v>39</v>
      </c>
    </row>
    <row r="433" spans="4:8" ht="15.75">
      <c r="D433" s="37">
        <f t="shared" si="9"/>
        <v>423</v>
      </c>
      <c r="E433" s="39"/>
      <c r="F433" s="42"/>
      <c r="G433" s="30"/>
      <c r="H433" s="36" t="s">
        <v>39</v>
      </c>
    </row>
    <row r="434" spans="4:8" ht="15.75">
      <c r="D434" s="37">
        <f t="shared" si="9"/>
        <v>424</v>
      </c>
      <c r="E434" s="39"/>
      <c r="F434" s="42"/>
      <c r="G434" s="30"/>
      <c r="H434" s="36" t="s">
        <v>39</v>
      </c>
    </row>
    <row r="435" spans="4:8" ht="15.75">
      <c r="D435" s="37">
        <f t="shared" si="9"/>
        <v>425</v>
      </c>
      <c r="E435" s="39"/>
      <c r="F435" s="42"/>
      <c r="G435" s="30"/>
      <c r="H435" s="36" t="s">
        <v>39</v>
      </c>
    </row>
    <row r="436" spans="4:8" ht="15.75">
      <c r="D436" s="37">
        <f t="shared" si="9"/>
        <v>426</v>
      </c>
      <c r="E436" s="39"/>
      <c r="F436" s="42"/>
      <c r="G436" s="30"/>
      <c r="H436" s="36" t="s">
        <v>39</v>
      </c>
    </row>
    <row r="437" spans="4:8" ht="15.75">
      <c r="D437" s="37">
        <f t="shared" si="9"/>
        <v>427</v>
      </c>
      <c r="E437" s="39"/>
      <c r="F437" s="42"/>
      <c r="G437" s="30"/>
      <c r="H437" s="36" t="s">
        <v>39</v>
      </c>
    </row>
    <row r="438" spans="4:8" ht="15.75">
      <c r="D438" s="37">
        <f t="shared" si="9"/>
        <v>428</v>
      </c>
      <c r="E438" s="39"/>
      <c r="F438" s="42"/>
      <c r="G438" s="30"/>
      <c r="H438" s="36" t="s">
        <v>39</v>
      </c>
    </row>
    <row r="439" spans="4:8" ht="15.75">
      <c r="D439" s="37">
        <f t="shared" si="9"/>
        <v>429</v>
      </c>
      <c r="E439" s="39"/>
      <c r="F439" s="42"/>
      <c r="G439" s="30"/>
      <c r="H439" s="36" t="s">
        <v>39</v>
      </c>
    </row>
    <row r="440" spans="4:8" ht="15.75">
      <c r="D440" s="37">
        <f t="shared" si="9"/>
        <v>430</v>
      </c>
      <c r="E440" s="39"/>
      <c r="F440" s="42"/>
      <c r="G440" s="30"/>
      <c r="H440" s="36" t="s">
        <v>39</v>
      </c>
    </row>
    <row r="441" spans="4:8" ht="15.75">
      <c r="D441" s="37">
        <f t="shared" si="9"/>
        <v>431</v>
      </c>
      <c r="E441" s="39"/>
      <c r="F441" s="42"/>
      <c r="G441" s="30"/>
      <c r="H441" s="36" t="s">
        <v>39</v>
      </c>
    </row>
    <row r="442" spans="4:8" ht="15.75">
      <c r="D442" s="37">
        <f t="shared" si="9"/>
        <v>432</v>
      </c>
      <c r="E442" s="39"/>
      <c r="F442" s="42"/>
      <c r="G442" s="30"/>
      <c r="H442" s="36" t="s">
        <v>39</v>
      </c>
    </row>
    <row r="443" spans="4:8" ht="15.75">
      <c r="D443" s="37">
        <f t="shared" si="9"/>
        <v>433</v>
      </c>
      <c r="E443" s="39"/>
      <c r="F443" s="42"/>
      <c r="G443" s="30"/>
      <c r="H443" s="36" t="s">
        <v>39</v>
      </c>
    </row>
    <row r="444" spans="4:8" s="41" customFormat="1" ht="15.75">
      <c r="D444" s="37">
        <f t="shared" si="9"/>
        <v>434</v>
      </c>
      <c r="E444" s="39"/>
      <c r="F444" s="42"/>
      <c r="G444" s="30"/>
      <c r="H444" s="36" t="s">
        <v>39</v>
      </c>
    </row>
    <row r="445" spans="4:8" ht="15.75">
      <c r="D445" s="37">
        <f t="shared" si="9"/>
        <v>435</v>
      </c>
      <c r="E445" s="39"/>
      <c r="F445" s="42"/>
      <c r="G445" s="30"/>
      <c r="H445" s="36" t="s">
        <v>39</v>
      </c>
    </row>
    <row r="446" spans="4:8" ht="15.75">
      <c r="D446" s="37">
        <f t="shared" si="9"/>
        <v>436</v>
      </c>
      <c r="E446" s="39"/>
      <c r="F446" s="42"/>
      <c r="G446" s="30"/>
      <c r="H446" s="36" t="s">
        <v>39</v>
      </c>
    </row>
    <row r="447" spans="4:8" ht="15.75">
      <c r="D447" s="37">
        <f t="shared" si="9"/>
        <v>437</v>
      </c>
      <c r="E447" s="39"/>
      <c r="F447" s="42"/>
      <c r="G447" s="30"/>
      <c r="H447" s="36" t="s">
        <v>39</v>
      </c>
    </row>
    <row r="448" spans="4:8" ht="15.75">
      <c r="D448" s="37">
        <f t="shared" si="9"/>
        <v>438</v>
      </c>
      <c r="E448" s="39"/>
      <c r="F448" s="42"/>
      <c r="G448" s="30"/>
      <c r="H448" s="36" t="s">
        <v>39</v>
      </c>
    </row>
    <row r="449" spans="4:8" ht="15.75">
      <c r="D449" s="37">
        <f t="shared" si="9"/>
        <v>439</v>
      </c>
      <c r="E449" s="39"/>
      <c r="F449" s="42"/>
      <c r="G449" s="30"/>
      <c r="H449" s="36" t="s">
        <v>39</v>
      </c>
    </row>
    <row r="450" spans="4:8" ht="15.75">
      <c r="D450" s="37">
        <f t="shared" si="9"/>
        <v>440</v>
      </c>
      <c r="E450" s="39"/>
      <c r="F450" s="42"/>
      <c r="G450" s="30"/>
      <c r="H450" s="36" t="s">
        <v>39</v>
      </c>
    </row>
    <row r="451" spans="4:8" ht="15.75">
      <c r="D451" s="37">
        <f t="shared" si="9"/>
        <v>441</v>
      </c>
      <c r="E451" s="39"/>
      <c r="F451" s="42"/>
      <c r="G451" s="30"/>
      <c r="H451" s="36" t="s">
        <v>39</v>
      </c>
    </row>
    <row r="452" spans="4:8" ht="15.75">
      <c r="D452" s="37">
        <f t="shared" si="9"/>
        <v>442</v>
      </c>
      <c r="E452" s="39"/>
      <c r="F452" s="42"/>
      <c r="G452" s="30"/>
      <c r="H452" s="36" t="s">
        <v>39</v>
      </c>
    </row>
    <row r="453" spans="4:8" ht="15.75">
      <c r="D453" s="37">
        <f t="shared" si="9"/>
        <v>443</v>
      </c>
      <c r="E453" s="39"/>
      <c r="F453" s="42"/>
      <c r="G453" s="30"/>
      <c r="H453" s="36" t="s">
        <v>39</v>
      </c>
    </row>
    <row r="454" spans="4:8" ht="15.75">
      <c r="D454" s="37">
        <f t="shared" ref="D454:D500" si="10">D453+1</f>
        <v>444</v>
      </c>
      <c r="E454" s="39"/>
      <c r="F454" s="42"/>
      <c r="G454" s="30"/>
      <c r="H454" s="36" t="s">
        <v>39</v>
      </c>
    </row>
    <row r="455" spans="4:8" ht="15.75">
      <c r="D455" s="37">
        <f t="shared" si="10"/>
        <v>445</v>
      </c>
      <c r="E455" s="39"/>
      <c r="F455" s="42"/>
      <c r="G455" s="30"/>
      <c r="H455" s="36" t="s">
        <v>39</v>
      </c>
    </row>
    <row r="456" spans="4:8" ht="15.75">
      <c r="D456" s="37">
        <f t="shared" si="10"/>
        <v>446</v>
      </c>
      <c r="E456" s="39"/>
      <c r="F456" s="42"/>
      <c r="G456" s="30"/>
      <c r="H456" s="36" t="s">
        <v>39</v>
      </c>
    </row>
    <row r="457" spans="4:8" ht="15.75">
      <c r="D457" s="37">
        <f t="shared" si="10"/>
        <v>447</v>
      </c>
      <c r="E457" s="39"/>
      <c r="F457" s="42"/>
      <c r="G457" s="30"/>
      <c r="H457" s="36" t="s">
        <v>39</v>
      </c>
    </row>
    <row r="458" spans="4:8" ht="15.75">
      <c r="D458" s="37">
        <f t="shared" si="10"/>
        <v>448</v>
      </c>
      <c r="E458" s="39"/>
      <c r="F458" s="42"/>
      <c r="G458" s="30"/>
      <c r="H458" s="36" t="s">
        <v>39</v>
      </c>
    </row>
    <row r="459" spans="4:8" ht="15.75">
      <c r="D459" s="37">
        <f t="shared" si="10"/>
        <v>449</v>
      </c>
      <c r="E459" s="39"/>
      <c r="F459" s="42"/>
      <c r="G459" s="30"/>
      <c r="H459" s="36" t="s">
        <v>39</v>
      </c>
    </row>
    <row r="460" spans="4:8" ht="15.75">
      <c r="D460" s="37">
        <f t="shared" si="10"/>
        <v>450</v>
      </c>
      <c r="E460" s="39"/>
      <c r="F460" s="42"/>
      <c r="G460" s="30"/>
      <c r="H460" s="36" t="s">
        <v>39</v>
      </c>
    </row>
    <row r="461" spans="4:8" ht="15.75">
      <c r="D461" s="37">
        <f>D460+1</f>
        <v>451</v>
      </c>
      <c r="E461" s="39"/>
      <c r="F461" s="42"/>
      <c r="G461" s="30"/>
      <c r="H461" s="36" t="s">
        <v>39</v>
      </c>
    </row>
    <row r="462" spans="4:8" ht="15.75">
      <c r="D462" s="37">
        <f t="shared" si="10"/>
        <v>452</v>
      </c>
      <c r="E462" s="39"/>
      <c r="F462" s="42"/>
      <c r="G462" s="30"/>
      <c r="H462" s="36" t="s">
        <v>39</v>
      </c>
    </row>
    <row r="463" spans="4:8" ht="15.75">
      <c r="D463" s="37">
        <f t="shared" si="10"/>
        <v>453</v>
      </c>
      <c r="E463" s="39"/>
      <c r="F463" s="42"/>
      <c r="G463" s="30"/>
      <c r="H463" s="36" t="s">
        <v>39</v>
      </c>
    </row>
    <row r="464" spans="4:8" ht="15.75">
      <c r="D464" s="37">
        <f t="shared" si="10"/>
        <v>454</v>
      </c>
      <c r="E464" s="39"/>
      <c r="F464" s="42"/>
      <c r="G464" s="30"/>
      <c r="H464" s="36" t="s">
        <v>39</v>
      </c>
    </row>
    <row r="465" spans="4:8" ht="15.75">
      <c r="D465" s="37">
        <f t="shared" si="10"/>
        <v>455</v>
      </c>
      <c r="E465" s="39"/>
      <c r="F465" s="42"/>
      <c r="G465" s="30"/>
      <c r="H465" s="36" t="s">
        <v>39</v>
      </c>
    </row>
    <row r="466" spans="4:8" ht="15.75">
      <c r="D466" s="37">
        <f t="shared" si="10"/>
        <v>456</v>
      </c>
      <c r="E466" s="39"/>
      <c r="F466" s="42"/>
      <c r="G466" s="30"/>
      <c r="H466" s="36" t="s">
        <v>39</v>
      </c>
    </row>
    <row r="467" spans="4:8" ht="15.75">
      <c r="D467" s="37">
        <f t="shared" si="10"/>
        <v>457</v>
      </c>
      <c r="E467" s="39"/>
      <c r="F467" s="42"/>
      <c r="G467" s="30"/>
      <c r="H467" s="36" t="s">
        <v>39</v>
      </c>
    </row>
    <row r="468" spans="4:8" ht="15.75">
      <c r="D468" s="37">
        <f t="shared" si="10"/>
        <v>458</v>
      </c>
      <c r="E468" s="39"/>
      <c r="F468" s="42"/>
      <c r="G468" s="30"/>
      <c r="H468" s="36" t="s">
        <v>39</v>
      </c>
    </row>
    <row r="469" spans="4:8" ht="15.75">
      <c r="D469" s="37">
        <f t="shared" si="10"/>
        <v>459</v>
      </c>
      <c r="E469" s="39"/>
      <c r="F469" s="42"/>
      <c r="G469" s="30"/>
      <c r="H469" s="36" t="s">
        <v>39</v>
      </c>
    </row>
    <row r="470" spans="4:8" ht="15.75">
      <c r="D470" s="37">
        <f t="shared" si="10"/>
        <v>460</v>
      </c>
      <c r="E470" s="39"/>
      <c r="F470" s="42"/>
      <c r="G470" s="30"/>
      <c r="H470" s="36" t="s">
        <v>39</v>
      </c>
    </row>
    <row r="471" spans="4:8" ht="15.75">
      <c r="D471" s="37">
        <f>D470+1</f>
        <v>461</v>
      </c>
      <c r="E471" s="39"/>
      <c r="F471" s="42"/>
      <c r="G471" s="30"/>
      <c r="H471" s="36" t="s">
        <v>39</v>
      </c>
    </row>
    <row r="472" spans="4:8" ht="15.75">
      <c r="D472" s="37">
        <f t="shared" si="10"/>
        <v>462</v>
      </c>
      <c r="E472" s="39"/>
      <c r="F472" s="42"/>
      <c r="G472" s="30"/>
      <c r="H472" s="36" t="s">
        <v>39</v>
      </c>
    </row>
    <row r="473" spans="4:8" ht="15.75">
      <c r="D473" s="37">
        <f t="shared" si="10"/>
        <v>463</v>
      </c>
      <c r="E473" s="39"/>
      <c r="F473" s="42"/>
      <c r="G473" s="30"/>
      <c r="H473" s="36" t="s">
        <v>39</v>
      </c>
    </row>
    <row r="474" spans="4:8" ht="15.75">
      <c r="D474" s="37">
        <f t="shared" si="10"/>
        <v>464</v>
      </c>
      <c r="E474" s="39"/>
      <c r="F474" s="42"/>
      <c r="G474" s="30"/>
      <c r="H474" s="36" t="s">
        <v>39</v>
      </c>
    </row>
    <row r="475" spans="4:8" ht="15.75">
      <c r="D475" s="37">
        <f t="shared" si="10"/>
        <v>465</v>
      </c>
      <c r="E475" s="39"/>
      <c r="F475" s="42"/>
      <c r="G475" s="30"/>
      <c r="H475" s="36" t="s">
        <v>39</v>
      </c>
    </row>
    <row r="476" spans="4:8" ht="15.75">
      <c r="D476" s="37">
        <f t="shared" si="10"/>
        <v>466</v>
      </c>
      <c r="E476" s="39"/>
      <c r="F476" s="42"/>
      <c r="G476" s="30"/>
      <c r="H476" s="36" t="s">
        <v>39</v>
      </c>
    </row>
    <row r="477" spans="4:8" ht="15.75">
      <c r="D477" s="37">
        <f t="shared" si="10"/>
        <v>467</v>
      </c>
      <c r="E477" s="39"/>
      <c r="F477" s="42"/>
      <c r="G477" s="30"/>
      <c r="H477" s="36" t="s">
        <v>39</v>
      </c>
    </row>
    <row r="478" spans="4:8" ht="15.75">
      <c r="D478" s="37">
        <f t="shared" si="10"/>
        <v>468</v>
      </c>
      <c r="E478" s="39"/>
      <c r="F478" s="42"/>
      <c r="G478" s="30"/>
      <c r="H478" s="36" t="s">
        <v>39</v>
      </c>
    </row>
    <row r="479" spans="4:8" ht="15.75">
      <c r="D479" s="37">
        <f t="shared" si="10"/>
        <v>469</v>
      </c>
      <c r="E479" s="39"/>
      <c r="F479" s="42"/>
      <c r="G479" s="30"/>
      <c r="H479" s="36" t="s">
        <v>39</v>
      </c>
    </row>
    <row r="480" spans="4:8" ht="15.75">
      <c r="D480" s="37">
        <f t="shared" si="10"/>
        <v>470</v>
      </c>
      <c r="E480" s="39"/>
      <c r="F480" s="42"/>
      <c r="G480" s="30"/>
      <c r="H480" s="36" t="s">
        <v>39</v>
      </c>
    </row>
    <row r="481" spans="4:8" ht="15.75">
      <c r="D481" s="37">
        <f>D480+1</f>
        <v>471</v>
      </c>
      <c r="E481" s="39"/>
      <c r="F481" s="42"/>
      <c r="G481" s="30"/>
      <c r="H481" s="36" t="s">
        <v>39</v>
      </c>
    </row>
    <row r="482" spans="4:8" ht="15.75">
      <c r="D482" s="37">
        <f t="shared" si="10"/>
        <v>472</v>
      </c>
      <c r="E482" s="39"/>
      <c r="F482" s="42"/>
      <c r="G482" s="30"/>
      <c r="H482" s="36" t="s">
        <v>39</v>
      </c>
    </row>
    <row r="483" spans="4:8" ht="15.75">
      <c r="D483" s="37">
        <f t="shared" si="10"/>
        <v>473</v>
      </c>
      <c r="E483" s="39"/>
      <c r="F483" s="42"/>
      <c r="G483" s="30"/>
      <c r="H483" s="36" t="s">
        <v>39</v>
      </c>
    </row>
    <row r="484" spans="4:8" ht="15.75">
      <c r="D484" s="37">
        <f t="shared" si="10"/>
        <v>474</v>
      </c>
      <c r="E484" s="39"/>
      <c r="F484" s="42"/>
      <c r="G484" s="30"/>
      <c r="H484" s="36" t="s">
        <v>39</v>
      </c>
    </row>
    <row r="485" spans="4:8" ht="15.75">
      <c r="D485" s="37">
        <f t="shared" si="10"/>
        <v>475</v>
      </c>
      <c r="E485" s="39"/>
      <c r="F485" s="42"/>
      <c r="G485" s="30"/>
      <c r="H485" s="36" t="s">
        <v>39</v>
      </c>
    </row>
    <row r="486" spans="4:8" ht="15.75">
      <c r="D486" s="37">
        <f t="shared" si="10"/>
        <v>476</v>
      </c>
      <c r="E486" s="39"/>
      <c r="F486" s="42"/>
      <c r="G486" s="30"/>
      <c r="H486" s="36" t="s">
        <v>39</v>
      </c>
    </row>
    <row r="487" spans="4:8" ht="15.75">
      <c r="D487" s="37">
        <f t="shared" si="10"/>
        <v>477</v>
      </c>
      <c r="E487" s="39"/>
      <c r="F487" s="42"/>
      <c r="G487" s="30"/>
      <c r="H487" s="36" t="s">
        <v>39</v>
      </c>
    </row>
    <row r="488" spans="4:8" ht="15.75">
      <c r="D488" s="37">
        <f t="shared" si="10"/>
        <v>478</v>
      </c>
      <c r="E488" s="39"/>
      <c r="F488" s="42"/>
      <c r="G488" s="30"/>
      <c r="H488" s="36" t="s">
        <v>39</v>
      </c>
    </row>
    <row r="489" spans="4:8" ht="15.75">
      <c r="D489" s="37">
        <f t="shared" si="10"/>
        <v>479</v>
      </c>
      <c r="E489" s="39"/>
      <c r="F489" s="42"/>
      <c r="G489" s="30"/>
      <c r="H489" s="36" t="s">
        <v>39</v>
      </c>
    </row>
    <row r="490" spans="4:8" ht="15.75">
      <c r="D490" s="37">
        <f t="shared" si="10"/>
        <v>480</v>
      </c>
      <c r="E490" s="39"/>
      <c r="F490" s="42"/>
      <c r="G490" s="30"/>
      <c r="H490" s="36" t="s">
        <v>39</v>
      </c>
    </row>
    <row r="491" spans="4:8" ht="15.75">
      <c r="D491" s="37">
        <f>D490+1</f>
        <v>481</v>
      </c>
      <c r="E491" s="39"/>
      <c r="F491" s="42"/>
      <c r="G491" s="30"/>
      <c r="H491" s="36" t="s">
        <v>39</v>
      </c>
    </row>
    <row r="492" spans="4:8" ht="15.75">
      <c r="D492" s="37">
        <f t="shared" si="10"/>
        <v>482</v>
      </c>
      <c r="E492" s="39"/>
      <c r="F492" s="42"/>
      <c r="G492" s="30"/>
      <c r="H492" s="36" t="s">
        <v>39</v>
      </c>
    </row>
    <row r="493" spans="4:8" ht="15.75">
      <c r="D493" s="37">
        <f t="shared" si="10"/>
        <v>483</v>
      </c>
      <c r="E493" s="39"/>
      <c r="F493" s="42"/>
      <c r="G493" s="30"/>
      <c r="H493" s="36" t="s">
        <v>39</v>
      </c>
    </row>
    <row r="494" spans="4:8" ht="15.75">
      <c r="D494" s="37">
        <f t="shared" si="10"/>
        <v>484</v>
      </c>
      <c r="E494" s="39"/>
      <c r="F494" s="42"/>
      <c r="G494" s="30"/>
      <c r="H494" s="36" t="s">
        <v>39</v>
      </c>
    </row>
    <row r="495" spans="4:8" ht="15.75">
      <c r="D495" s="37">
        <f t="shared" si="10"/>
        <v>485</v>
      </c>
      <c r="E495" s="39"/>
      <c r="F495" s="42"/>
      <c r="G495" s="30"/>
      <c r="H495" s="36" t="s">
        <v>39</v>
      </c>
    </row>
    <row r="496" spans="4:8" ht="15.75">
      <c r="D496" s="37">
        <f t="shared" si="10"/>
        <v>486</v>
      </c>
      <c r="E496" s="39"/>
      <c r="F496" s="42"/>
      <c r="G496" s="30"/>
      <c r="H496" s="36" t="s">
        <v>39</v>
      </c>
    </row>
    <row r="497" spans="4:8" ht="15.75">
      <c r="D497" s="37">
        <f t="shared" si="10"/>
        <v>487</v>
      </c>
      <c r="E497" s="39"/>
      <c r="F497" s="42"/>
      <c r="G497" s="30"/>
      <c r="H497" s="36" t="s">
        <v>39</v>
      </c>
    </row>
    <row r="498" spans="4:8" ht="15.75">
      <c r="D498" s="37">
        <f t="shared" si="10"/>
        <v>488</v>
      </c>
      <c r="E498" s="39"/>
      <c r="F498" s="42"/>
      <c r="G498" s="30"/>
      <c r="H498" s="36" t="s">
        <v>39</v>
      </c>
    </row>
    <row r="499" spans="4:8" ht="15.75">
      <c r="D499" s="37">
        <f t="shared" si="10"/>
        <v>489</v>
      </c>
      <c r="E499" s="39"/>
      <c r="F499" s="42"/>
      <c r="G499" s="30"/>
      <c r="H499" s="36" t="s">
        <v>39</v>
      </c>
    </row>
    <row r="500" spans="4:8" ht="15.75">
      <c r="D500" s="37">
        <f t="shared" si="10"/>
        <v>490</v>
      </c>
      <c r="E500" s="39"/>
      <c r="F500" s="42"/>
      <c r="G500" s="30"/>
      <c r="H500" s="36" t="s">
        <v>39</v>
      </c>
    </row>
    <row r="501" spans="4:8" ht="15.75">
      <c r="D501" s="37">
        <f>D500+1</f>
        <v>491</v>
      </c>
      <c r="E501" s="39"/>
      <c r="F501" s="42"/>
      <c r="G501" s="30"/>
      <c r="H501" s="36" t="s">
        <v>39</v>
      </c>
    </row>
    <row r="502" spans="4:8" ht="15.75">
      <c r="D502" s="37">
        <f t="shared" ref="D502:D565" si="11">D501+1</f>
        <v>492</v>
      </c>
      <c r="E502" s="39"/>
      <c r="F502" s="42"/>
      <c r="G502" s="30"/>
      <c r="H502" s="36" t="s">
        <v>39</v>
      </c>
    </row>
    <row r="503" spans="4:8" ht="15.75">
      <c r="D503" s="37">
        <f t="shared" si="11"/>
        <v>493</v>
      </c>
      <c r="E503" s="39"/>
      <c r="F503" s="42"/>
      <c r="G503" s="30"/>
      <c r="H503" s="36" t="s">
        <v>39</v>
      </c>
    </row>
    <row r="504" spans="4:8" ht="15.75">
      <c r="D504" s="37">
        <f t="shared" si="11"/>
        <v>494</v>
      </c>
      <c r="E504" s="39"/>
      <c r="F504" s="42"/>
      <c r="G504" s="30"/>
      <c r="H504" s="36" t="s">
        <v>39</v>
      </c>
    </row>
    <row r="505" spans="4:8" ht="15.75">
      <c r="D505" s="37">
        <f t="shared" si="11"/>
        <v>495</v>
      </c>
      <c r="E505" s="39"/>
      <c r="F505" s="42"/>
      <c r="G505" s="30"/>
      <c r="H505" s="36" t="s">
        <v>39</v>
      </c>
    </row>
    <row r="506" spans="4:8" ht="15.75">
      <c r="D506" s="37">
        <f t="shared" si="11"/>
        <v>496</v>
      </c>
      <c r="E506" s="39"/>
      <c r="F506" s="42"/>
      <c r="G506" s="30"/>
      <c r="H506" s="36" t="s">
        <v>39</v>
      </c>
    </row>
    <row r="507" spans="4:8" ht="15.75">
      <c r="D507" s="37">
        <f t="shared" si="11"/>
        <v>497</v>
      </c>
      <c r="E507" s="39"/>
      <c r="F507" s="42"/>
      <c r="G507" s="30"/>
      <c r="H507" s="36" t="s">
        <v>39</v>
      </c>
    </row>
    <row r="508" spans="4:8" ht="15.75">
      <c r="D508" s="37">
        <f t="shared" si="11"/>
        <v>498</v>
      </c>
      <c r="E508" s="39"/>
      <c r="F508" s="42"/>
      <c r="G508" s="30"/>
      <c r="H508" s="36" t="s">
        <v>39</v>
      </c>
    </row>
    <row r="509" spans="4:8" ht="15.75">
      <c r="D509" s="37">
        <f t="shared" si="11"/>
        <v>499</v>
      </c>
      <c r="E509" s="39"/>
      <c r="F509" s="42"/>
      <c r="G509" s="30"/>
      <c r="H509" s="36" t="s">
        <v>39</v>
      </c>
    </row>
    <row r="510" spans="4:8" ht="15.75">
      <c r="D510" s="37">
        <f t="shared" si="11"/>
        <v>500</v>
      </c>
      <c r="E510" s="39"/>
      <c r="F510" s="42"/>
      <c r="G510" s="30"/>
      <c r="H510" s="36" t="s">
        <v>39</v>
      </c>
    </row>
    <row r="511" spans="4:8" ht="15.75">
      <c r="D511" s="37">
        <f t="shared" si="11"/>
        <v>501</v>
      </c>
      <c r="E511" s="39"/>
      <c r="F511" s="42"/>
      <c r="G511" s="30"/>
      <c r="H511" s="36" t="s">
        <v>39</v>
      </c>
    </row>
    <row r="512" spans="4:8" ht="15.75">
      <c r="D512" s="37">
        <f t="shared" si="11"/>
        <v>502</v>
      </c>
      <c r="E512" s="39"/>
      <c r="F512" s="42"/>
      <c r="G512" s="30"/>
      <c r="H512" s="36" t="s">
        <v>39</v>
      </c>
    </row>
    <row r="513" spans="4:8" ht="15.75">
      <c r="D513" s="37">
        <f t="shared" si="11"/>
        <v>503</v>
      </c>
      <c r="E513" s="39"/>
      <c r="F513" s="42"/>
      <c r="G513" s="30"/>
      <c r="H513" s="36" t="s">
        <v>39</v>
      </c>
    </row>
    <row r="514" spans="4:8" ht="15.75">
      <c r="D514" s="37">
        <f t="shared" si="11"/>
        <v>504</v>
      </c>
      <c r="E514" s="39"/>
      <c r="F514" s="42"/>
      <c r="G514" s="30"/>
      <c r="H514" s="36" t="s">
        <v>39</v>
      </c>
    </row>
    <row r="515" spans="4:8" ht="15.75">
      <c r="D515" s="37">
        <f t="shared" si="11"/>
        <v>505</v>
      </c>
      <c r="E515" s="39"/>
      <c r="F515" s="42"/>
      <c r="G515" s="30"/>
      <c r="H515" s="36" t="s">
        <v>39</v>
      </c>
    </row>
    <row r="516" spans="4:8" ht="15.75">
      <c r="D516" s="37">
        <f t="shared" si="11"/>
        <v>506</v>
      </c>
      <c r="E516" s="39"/>
      <c r="F516" s="42"/>
      <c r="G516" s="30"/>
      <c r="H516" s="36" t="s">
        <v>39</v>
      </c>
    </row>
    <row r="517" spans="4:8" ht="15.75">
      <c r="D517" s="37">
        <f t="shared" si="11"/>
        <v>507</v>
      </c>
      <c r="E517" s="39"/>
      <c r="F517" s="42"/>
      <c r="G517" s="30"/>
      <c r="H517" s="36" t="s">
        <v>39</v>
      </c>
    </row>
    <row r="518" spans="4:8" ht="15.75">
      <c r="D518" s="37">
        <f t="shared" si="11"/>
        <v>508</v>
      </c>
      <c r="E518" s="39"/>
      <c r="F518" s="42"/>
      <c r="G518" s="30"/>
      <c r="H518" s="36" t="s">
        <v>39</v>
      </c>
    </row>
    <row r="519" spans="4:8" ht="15.75">
      <c r="D519" s="37">
        <f t="shared" si="11"/>
        <v>509</v>
      </c>
      <c r="E519" s="39"/>
      <c r="F519" s="42"/>
      <c r="G519" s="30"/>
      <c r="H519" s="36" t="s">
        <v>39</v>
      </c>
    </row>
    <row r="520" spans="4:8" ht="15.75">
      <c r="D520" s="37">
        <f t="shared" si="11"/>
        <v>510</v>
      </c>
      <c r="E520" s="39"/>
      <c r="F520" s="42"/>
      <c r="G520" s="30"/>
      <c r="H520" s="36" t="s">
        <v>39</v>
      </c>
    </row>
    <row r="521" spans="4:8" ht="15.75">
      <c r="D521" s="37">
        <f t="shared" si="11"/>
        <v>511</v>
      </c>
      <c r="E521" s="39"/>
      <c r="F521" s="42"/>
      <c r="G521" s="30"/>
      <c r="H521" s="36" t="s">
        <v>39</v>
      </c>
    </row>
    <row r="522" spans="4:8" ht="15.75">
      <c r="D522" s="37">
        <f t="shared" si="11"/>
        <v>512</v>
      </c>
      <c r="E522" s="39"/>
      <c r="F522" s="42"/>
      <c r="G522" s="30"/>
      <c r="H522" s="36" t="s">
        <v>39</v>
      </c>
    </row>
    <row r="523" spans="4:8" ht="15.75">
      <c r="D523" s="37">
        <f t="shared" si="11"/>
        <v>513</v>
      </c>
      <c r="E523" s="39"/>
      <c r="F523" s="42"/>
      <c r="G523" s="30"/>
      <c r="H523" s="36" t="s">
        <v>39</v>
      </c>
    </row>
    <row r="524" spans="4:8" ht="15.75">
      <c r="D524" s="37">
        <f t="shared" si="11"/>
        <v>514</v>
      </c>
      <c r="E524" s="39"/>
      <c r="F524" s="42"/>
      <c r="G524" s="30"/>
      <c r="H524" s="36" t="s">
        <v>39</v>
      </c>
    </row>
    <row r="525" spans="4:8" ht="15.75">
      <c r="D525" s="37">
        <f t="shared" si="11"/>
        <v>515</v>
      </c>
      <c r="E525" s="39"/>
      <c r="F525" s="42"/>
      <c r="G525" s="30"/>
      <c r="H525" s="36" t="s">
        <v>39</v>
      </c>
    </row>
    <row r="526" spans="4:8" ht="15.75">
      <c r="D526" s="37">
        <f t="shared" si="11"/>
        <v>516</v>
      </c>
      <c r="E526" s="39"/>
      <c r="F526" s="42"/>
      <c r="G526" s="30"/>
      <c r="H526" s="36" t="s">
        <v>39</v>
      </c>
    </row>
    <row r="527" spans="4:8" ht="15.75">
      <c r="D527" s="37">
        <f t="shared" si="11"/>
        <v>517</v>
      </c>
      <c r="E527" s="39"/>
      <c r="F527" s="42"/>
      <c r="G527" s="30"/>
      <c r="H527" s="36" t="s">
        <v>39</v>
      </c>
    </row>
    <row r="528" spans="4:8" ht="15.75">
      <c r="D528" s="37">
        <f t="shared" si="11"/>
        <v>518</v>
      </c>
      <c r="E528" s="39"/>
      <c r="F528" s="42"/>
      <c r="G528" s="30"/>
      <c r="H528" s="36" t="s">
        <v>39</v>
      </c>
    </row>
    <row r="529" spans="4:8" ht="15.75">
      <c r="D529" s="37">
        <f t="shared" si="11"/>
        <v>519</v>
      </c>
      <c r="E529" s="39"/>
      <c r="F529" s="42"/>
      <c r="G529" s="30"/>
      <c r="H529" s="36" t="s">
        <v>39</v>
      </c>
    </row>
    <row r="530" spans="4:8" ht="15.75">
      <c r="D530" s="37">
        <f t="shared" si="11"/>
        <v>520</v>
      </c>
      <c r="E530" s="39"/>
      <c r="F530" s="42"/>
      <c r="G530" s="30"/>
      <c r="H530" s="36" t="s">
        <v>39</v>
      </c>
    </row>
    <row r="531" spans="4:8" ht="15.75">
      <c r="D531" s="37">
        <f t="shared" si="11"/>
        <v>521</v>
      </c>
      <c r="E531" s="39"/>
      <c r="F531" s="42"/>
      <c r="G531" s="30"/>
      <c r="H531" s="36" t="s">
        <v>39</v>
      </c>
    </row>
    <row r="532" spans="4:8" ht="15.75">
      <c r="D532" s="37">
        <f t="shared" si="11"/>
        <v>522</v>
      </c>
      <c r="E532" s="39"/>
      <c r="F532" s="42"/>
      <c r="G532" s="30"/>
      <c r="H532" s="36" t="s">
        <v>39</v>
      </c>
    </row>
    <row r="533" spans="4:8" ht="15.75">
      <c r="D533" s="37">
        <f t="shared" si="11"/>
        <v>523</v>
      </c>
      <c r="E533" s="39"/>
      <c r="F533" s="42"/>
      <c r="G533" s="30"/>
      <c r="H533" s="36" t="s">
        <v>39</v>
      </c>
    </row>
    <row r="534" spans="4:8" ht="15.75">
      <c r="D534" s="37">
        <f t="shared" si="11"/>
        <v>524</v>
      </c>
      <c r="E534" s="39"/>
      <c r="F534" s="42"/>
      <c r="G534" s="30"/>
      <c r="H534" s="36" t="s">
        <v>39</v>
      </c>
    </row>
    <row r="535" spans="4:8" ht="15.75">
      <c r="D535" s="37">
        <f t="shared" si="11"/>
        <v>525</v>
      </c>
      <c r="E535" s="39"/>
      <c r="F535" s="42"/>
      <c r="G535" s="30"/>
      <c r="H535" s="36" t="s">
        <v>39</v>
      </c>
    </row>
    <row r="536" spans="4:8" ht="15.75">
      <c r="D536" s="37">
        <f t="shared" si="11"/>
        <v>526</v>
      </c>
      <c r="E536" s="39"/>
      <c r="F536" s="42"/>
      <c r="G536" s="30"/>
      <c r="H536" s="36" t="s">
        <v>39</v>
      </c>
    </row>
    <row r="537" spans="4:8" ht="15.75">
      <c r="D537" s="37">
        <f t="shared" si="11"/>
        <v>527</v>
      </c>
      <c r="E537" s="39"/>
      <c r="F537" s="42"/>
      <c r="G537" s="30"/>
      <c r="H537" s="36" t="s">
        <v>39</v>
      </c>
    </row>
    <row r="538" spans="4:8" ht="15.75">
      <c r="D538" s="37">
        <f t="shared" si="11"/>
        <v>528</v>
      </c>
      <c r="E538" s="39"/>
      <c r="F538" s="42"/>
      <c r="G538" s="30"/>
      <c r="H538" s="36" t="s">
        <v>39</v>
      </c>
    </row>
    <row r="539" spans="4:8" ht="15.75">
      <c r="D539" s="37">
        <f t="shared" si="11"/>
        <v>529</v>
      </c>
      <c r="E539" s="39"/>
      <c r="F539" s="42"/>
      <c r="G539" s="30"/>
      <c r="H539" s="36" t="s">
        <v>39</v>
      </c>
    </row>
    <row r="540" spans="4:8" ht="15.75">
      <c r="D540" s="37">
        <f t="shared" si="11"/>
        <v>530</v>
      </c>
      <c r="E540" s="39"/>
      <c r="F540" s="42"/>
      <c r="G540" s="30"/>
      <c r="H540" s="36" t="s">
        <v>39</v>
      </c>
    </row>
    <row r="541" spans="4:8" ht="15.75">
      <c r="D541" s="37">
        <f t="shared" si="11"/>
        <v>531</v>
      </c>
      <c r="E541" s="39"/>
      <c r="F541" s="42"/>
      <c r="G541" s="30"/>
      <c r="H541" s="36" t="s">
        <v>39</v>
      </c>
    </row>
    <row r="542" spans="4:8" ht="15.75">
      <c r="D542" s="37">
        <f t="shared" si="11"/>
        <v>532</v>
      </c>
      <c r="E542" s="39"/>
      <c r="F542" s="42"/>
      <c r="G542" s="30"/>
      <c r="H542" s="36" t="s">
        <v>39</v>
      </c>
    </row>
    <row r="543" spans="4:8" ht="15.75">
      <c r="D543" s="37">
        <f t="shared" si="11"/>
        <v>533</v>
      </c>
      <c r="E543" s="39"/>
      <c r="F543" s="42"/>
      <c r="G543" s="30"/>
      <c r="H543" s="36" t="s">
        <v>39</v>
      </c>
    </row>
    <row r="544" spans="4:8" ht="15.75">
      <c r="D544" s="37">
        <f t="shared" si="11"/>
        <v>534</v>
      </c>
      <c r="E544" s="39"/>
      <c r="F544" s="42"/>
      <c r="G544" s="30"/>
      <c r="H544" s="36" t="s">
        <v>39</v>
      </c>
    </row>
    <row r="545" spans="4:8" ht="15.75">
      <c r="D545" s="37">
        <f t="shared" si="11"/>
        <v>535</v>
      </c>
      <c r="E545" s="39"/>
      <c r="F545" s="42"/>
      <c r="G545" s="30"/>
      <c r="H545" s="36" t="s">
        <v>39</v>
      </c>
    </row>
    <row r="546" spans="4:8" ht="15.75">
      <c r="D546" s="37">
        <f t="shared" si="11"/>
        <v>536</v>
      </c>
      <c r="E546" s="39"/>
      <c r="F546" s="42"/>
      <c r="G546" s="30"/>
      <c r="H546" s="36" t="s">
        <v>39</v>
      </c>
    </row>
    <row r="547" spans="4:8" ht="15.75">
      <c r="D547" s="37">
        <f t="shared" si="11"/>
        <v>537</v>
      </c>
      <c r="E547" s="39"/>
      <c r="F547" s="42"/>
      <c r="G547" s="30"/>
      <c r="H547" s="36" t="s">
        <v>39</v>
      </c>
    </row>
    <row r="548" spans="4:8" ht="15.75">
      <c r="D548" s="37">
        <f t="shared" si="11"/>
        <v>538</v>
      </c>
      <c r="E548" s="39"/>
      <c r="F548" s="42"/>
      <c r="G548" s="30"/>
      <c r="H548" s="36" t="s">
        <v>39</v>
      </c>
    </row>
    <row r="549" spans="4:8" ht="15.75">
      <c r="D549" s="37">
        <f t="shared" si="11"/>
        <v>539</v>
      </c>
      <c r="E549" s="39"/>
      <c r="F549" s="42"/>
      <c r="G549" s="30"/>
      <c r="H549" s="36" t="s">
        <v>39</v>
      </c>
    </row>
    <row r="550" spans="4:8" ht="15.75">
      <c r="D550" s="37">
        <f t="shared" si="11"/>
        <v>540</v>
      </c>
      <c r="E550" s="39"/>
      <c r="F550" s="42"/>
      <c r="G550" s="30"/>
      <c r="H550" s="36" t="s">
        <v>39</v>
      </c>
    </row>
    <row r="551" spans="4:8" ht="15.75">
      <c r="D551" s="37">
        <f t="shared" si="11"/>
        <v>541</v>
      </c>
      <c r="E551" s="39"/>
      <c r="F551" s="42"/>
      <c r="G551" s="30"/>
      <c r="H551" s="36" t="s">
        <v>39</v>
      </c>
    </row>
    <row r="552" spans="4:8" ht="15.75">
      <c r="D552" s="37">
        <f t="shared" si="11"/>
        <v>542</v>
      </c>
      <c r="E552" s="39"/>
      <c r="F552" s="42"/>
      <c r="G552" s="30"/>
      <c r="H552" s="36" t="s">
        <v>39</v>
      </c>
    </row>
    <row r="553" spans="4:8" ht="15.75">
      <c r="D553" s="37">
        <f t="shared" si="11"/>
        <v>543</v>
      </c>
      <c r="E553" s="39"/>
      <c r="F553" s="42"/>
      <c r="G553" s="30"/>
      <c r="H553" s="36" t="s">
        <v>39</v>
      </c>
    </row>
    <row r="554" spans="4:8" ht="15.75">
      <c r="D554" s="37">
        <f t="shared" si="11"/>
        <v>544</v>
      </c>
      <c r="E554" s="39"/>
      <c r="F554" s="42"/>
      <c r="G554" s="30"/>
      <c r="H554" s="36" t="s">
        <v>39</v>
      </c>
    </row>
    <row r="555" spans="4:8" ht="15.75">
      <c r="D555" s="37">
        <f t="shared" si="11"/>
        <v>545</v>
      </c>
      <c r="E555" s="39"/>
      <c r="F555" s="42"/>
      <c r="G555" s="30"/>
      <c r="H555" s="36" t="s">
        <v>39</v>
      </c>
    </row>
    <row r="556" spans="4:8" ht="15.75">
      <c r="D556" s="37">
        <f t="shared" si="11"/>
        <v>546</v>
      </c>
      <c r="E556" s="39"/>
      <c r="F556" s="42"/>
      <c r="G556" s="30"/>
      <c r="H556" s="36" t="s">
        <v>39</v>
      </c>
    </row>
    <row r="557" spans="4:8" ht="15.75">
      <c r="D557" s="37">
        <f t="shared" si="11"/>
        <v>547</v>
      </c>
      <c r="E557" s="39"/>
      <c r="F557" s="42"/>
      <c r="G557" s="30"/>
      <c r="H557" s="36" t="s">
        <v>39</v>
      </c>
    </row>
    <row r="558" spans="4:8" ht="15.75">
      <c r="D558" s="37">
        <f t="shared" si="11"/>
        <v>548</v>
      </c>
      <c r="E558" s="39"/>
      <c r="F558" s="42"/>
      <c r="G558" s="30"/>
      <c r="H558" s="36" t="s">
        <v>39</v>
      </c>
    </row>
    <row r="559" spans="4:8" ht="15.75">
      <c r="D559" s="37">
        <f t="shared" si="11"/>
        <v>549</v>
      </c>
      <c r="E559" s="39"/>
      <c r="F559" s="42"/>
      <c r="G559" s="30"/>
      <c r="H559" s="36" t="s">
        <v>39</v>
      </c>
    </row>
    <row r="560" spans="4:8" ht="15.75">
      <c r="D560" s="37">
        <f t="shared" si="11"/>
        <v>550</v>
      </c>
      <c r="E560" s="39"/>
      <c r="F560" s="42"/>
      <c r="G560" s="30"/>
      <c r="H560" s="36" t="s">
        <v>39</v>
      </c>
    </row>
    <row r="561" spans="4:8" ht="15.75">
      <c r="D561" s="37">
        <f t="shared" si="11"/>
        <v>551</v>
      </c>
      <c r="E561" s="39"/>
      <c r="F561" s="42"/>
      <c r="G561" s="30"/>
      <c r="H561" s="36" t="s">
        <v>39</v>
      </c>
    </row>
    <row r="562" spans="4:8" ht="15.75">
      <c r="D562" s="37">
        <f t="shared" si="11"/>
        <v>552</v>
      </c>
      <c r="E562" s="39"/>
      <c r="F562" s="42"/>
      <c r="G562" s="30"/>
      <c r="H562" s="36" t="s">
        <v>39</v>
      </c>
    </row>
    <row r="563" spans="4:8" ht="15.75">
      <c r="D563" s="37">
        <f t="shared" si="11"/>
        <v>553</v>
      </c>
      <c r="E563" s="39"/>
      <c r="F563" s="42"/>
      <c r="G563" s="30"/>
      <c r="H563" s="36" t="s">
        <v>39</v>
      </c>
    </row>
    <row r="564" spans="4:8" ht="15.75">
      <c r="D564" s="37">
        <f t="shared" si="11"/>
        <v>554</v>
      </c>
      <c r="E564" s="39"/>
      <c r="F564" s="42"/>
      <c r="G564" s="30"/>
      <c r="H564" s="36" t="s">
        <v>39</v>
      </c>
    </row>
    <row r="565" spans="4:8" ht="15.75">
      <c r="D565" s="37">
        <f t="shared" si="11"/>
        <v>555</v>
      </c>
      <c r="E565" s="39"/>
      <c r="F565" s="42"/>
      <c r="G565" s="30"/>
      <c r="H565" s="36" t="s">
        <v>39</v>
      </c>
    </row>
    <row r="566" spans="4:8" ht="15.75">
      <c r="D566" s="37">
        <f t="shared" ref="D566:D629" si="12">D565+1</f>
        <v>556</v>
      </c>
      <c r="E566" s="39"/>
      <c r="F566" s="42"/>
      <c r="G566" s="30"/>
      <c r="H566" s="36" t="s">
        <v>39</v>
      </c>
    </row>
    <row r="567" spans="4:8" ht="15.75">
      <c r="D567" s="37">
        <f t="shared" si="12"/>
        <v>557</v>
      </c>
      <c r="E567" s="39"/>
      <c r="F567" s="42"/>
      <c r="G567" s="30"/>
      <c r="H567" s="36" t="s">
        <v>39</v>
      </c>
    </row>
    <row r="568" spans="4:8" ht="15.75">
      <c r="D568" s="37">
        <f t="shared" si="12"/>
        <v>558</v>
      </c>
      <c r="E568" s="39"/>
      <c r="F568" s="42"/>
      <c r="G568" s="30"/>
      <c r="H568" s="36" t="s">
        <v>39</v>
      </c>
    </row>
    <row r="569" spans="4:8" ht="15.75">
      <c r="D569" s="37">
        <f t="shared" si="12"/>
        <v>559</v>
      </c>
      <c r="E569" s="39"/>
      <c r="F569" s="42"/>
      <c r="G569" s="30"/>
      <c r="H569" s="36" t="s">
        <v>39</v>
      </c>
    </row>
    <row r="570" spans="4:8" ht="15.75">
      <c r="D570" s="37">
        <f t="shared" si="12"/>
        <v>560</v>
      </c>
      <c r="E570" s="39"/>
      <c r="F570" s="42"/>
      <c r="G570" s="30"/>
      <c r="H570" s="36" t="s">
        <v>39</v>
      </c>
    </row>
    <row r="571" spans="4:8" ht="15.75">
      <c r="D571" s="37">
        <f t="shared" si="12"/>
        <v>561</v>
      </c>
      <c r="E571" s="39"/>
      <c r="F571" s="42"/>
      <c r="G571" s="30"/>
      <c r="H571" s="36" t="s">
        <v>39</v>
      </c>
    </row>
    <row r="572" spans="4:8" ht="15.75">
      <c r="D572" s="37">
        <f t="shared" si="12"/>
        <v>562</v>
      </c>
      <c r="E572" s="39"/>
      <c r="F572" s="42"/>
      <c r="G572" s="30"/>
      <c r="H572" s="36" t="s">
        <v>39</v>
      </c>
    </row>
    <row r="573" spans="4:8" ht="15.75">
      <c r="D573" s="37">
        <f t="shared" si="12"/>
        <v>563</v>
      </c>
      <c r="E573" s="39"/>
      <c r="F573" s="42"/>
      <c r="G573" s="30"/>
      <c r="H573" s="36" t="s">
        <v>39</v>
      </c>
    </row>
    <row r="574" spans="4:8" ht="15.75">
      <c r="D574" s="37">
        <f t="shared" si="12"/>
        <v>564</v>
      </c>
      <c r="E574" s="39"/>
      <c r="F574" s="42"/>
      <c r="G574" s="30"/>
      <c r="H574" s="36" t="s">
        <v>39</v>
      </c>
    </row>
    <row r="575" spans="4:8" ht="15.75">
      <c r="D575" s="37">
        <f t="shared" si="12"/>
        <v>565</v>
      </c>
      <c r="E575" s="39"/>
      <c r="F575" s="42"/>
      <c r="G575" s="30"/>
      <c r="H575" s="36" t="s">
        <v>39</v>
      </c>
    </row>
    <row r="576" spans="4:8" ht="15.75">
      <c r="D576" s="37">
        <f t="shared" si="12"/>
        <v>566</v>
      </c>
      <c r="E576" s="39"/>
      <c r="F576" s="42"/>
      <c r="G576" s="30"/>
      <c r="H576" s="36" t="s">
        <v>39</v>
      </c>
    </row>
    <row r="577" spans="4:8" ht="15.75">
      <c r="D577" s="37">
        <f t="shared" si="12"/>
        <v>567</v>
      </c>
      <c r="E577" s="39"/>
      <c r="F577" s="42"/>
      <c r="G577" s="30"/>
      <c r="H577" s="36" t="s">
        <v>39</v>
      </c>
    </row>
    <row r="578" spans="4:8" ht="15.75">
      <c r="D578" s="37">
        <f t="shared" si="12"/>
        <v>568</v>
      </c>
      <c r="E578" s="39"/>
      <c r="F578" s="42"/>
      <c r="G578" s="30"/>
      <c r="H578" s="36" t="s">
        <v>39</v>
      </c>
    </row>
    <row r="579" spans="4:8" ht="15.75">
      <c r="D579" s="37">
        <f t="shared" si="12"/>
        <v>569</v>
      </c>
      <c r="E579" s="39"/>
      <c r="F579" s="42"/>
      <c r="G579" s="30"/>
      <c r="H579" s="36" t="s">
        <v>39</v>
      </c>
    </row>
    <row r="580" spans="4:8" ht="15.75">
      <c r="D580" s="37">
        <f t="shared" si="12"/>
        <v>570</v>
      </c>
      <c r="E580" s="39"/>
      <c r="F580" s="42"/>
      <c r="G580" s="30"/>
      <c r="H580" s="36" t="s">
        <v>39</v>
      </c>
    </row>
    <row r="581" spans="4:8" ht="15.75">
      <c r="D581" s="37">
        <f t="shared" si="12"/>
        <v>571</v>
      </c>
      <c r="E581" s="39"/>
      <c r="F581" s="42"/>
      <c r="G581" s="30"/>
      <c r="H581" s="36" t="s">
        <v>39</v>
      </c>
    </row>
    <row r="582" spans="4:8" ht="15.75">
      <c r="D582" s="37">
        <f t="shared" si="12"/>
        <v>572</v>
      </c>
      <c r="E582" s="39"/>
      <c r="F582" s="42"/>
      <c r="G582" s="30"/>
      <c r="H582" s="36" t="s">
        <v>39</v>
      </c>
    </row>
    <row r="583" spans="4:8" ht="15.75">
      <c r="D583" s="37">
        <f t="shared" si="12"/>
        <v>573</v>
      </c>
      <c r="E583" s="39"/>
      <c r="F583" s="42"/>
      <c r="G583" s="30"/>
      <c r="H583" s="36" t="s">
        <v>39</v>
      </c>
    </row>
    <row r="584" spans="4:8" ht="15.75">
      <c r="D584" s="37">
        <f t="shared" si="12"/>
        <v>574</v>
      </c>
      <c r="E584" s="39"/>
      <c r="F584" s="42"/>
      <c r="G584" s="30"/>
      <c r="H584" s="36" t="s">
        <v>39</v>
      </c>
    </row>
    <row r="585" spans="4:8" ht="15.75">
      <c r="D585" s="37">
        <f t="shared" si="12"/>
        <v>575</v>
      </c>
      <c r="E585" s="39"/>
      <c r="F585" s="42"/>
      <c r="G585" s="30"/>
      <c r="H585" s="36" t="s">
        <v>39</v>
      </c>
    </row>
    <row r="586" spans="4:8" ht="15.75">
      <c r="D586" s="37">
        <f t="shared" si="12"/>
        <v>576</v>
      </c>
      <c r="E586" s="39"/>
      <c r="F586" s="42"/>
      <c r="G586" s="30"/>
      <c r="H586" s="36" t="s">
        <v>39</v>
      </c>
    </row>
    <row r="587" spans="4:8" ht="15.75">
      <c r="D587" s="37">
        <f t="shared" si="12"/>
        <v>577</v>
      </c>
      <c r="E587" s="39"/>
      <c r="F587" s="42"/>
      <c r="G587" s="30"/>
      <c r="H587" s="36" t="s">
        <v>39</v>
      </c>
    </row>
    <row r="588" spans="4:8" ht="15.75">
      <c r="D588" s="37">
        <f t="shared" si="12"/>
        <v>578</v>
      </c>
      <c r="E588" s="39"/>
      <c r="F588" s="42"/>
      <c r="G588" s="30"/>
      <c r="H588" s="36" t="s">
        <v>39</v>
      </c>
    </row>
    <row r="589" spans="4:8" ht="15.75">
      <c r="D589" s="37">
        <f t="shared" si="12"/>
        <v>579</v>
      </c>
      <c r="E589" s="39"/>
      <c r="F589" s="42"/>
      <c r="G589" s="30"/>
      <c r="H589" s="36" t="s">
        <v>39</v>
      </c>
    </row>
    <row r="590" spans="4:8" ht="15.75">
      <c r="D590" s="37">
        <f t="shared" si="12"/>
        <v>580</v>
      </c>
      <c r="E590" s="39"/>
      <c r="F590" s="42"/>
      <c r="G590" s="30"/>
      <c r="H590" s="36" t="s">
        <v>39</v>
      </c>
    </row>
    <row r="591" spans="4:8" ht="15.75">
      <c r="D591" s="37">
        <f t="shared" si="12"/>
        <v>581</v>
      </c>
      <c r="E591" s="39"/>
      <c r="F591" s="42"/>
      <c r="G591" s="30"/>
      <c r="H591" s="36" t="s">
        <v>39</v>
      </c>
    </row>
    <row r="592" spans="4:8" ht="15.75">
      <c r="D592" s="37">
        <f t="shared" si="12"/>
        <v>582</v>
      </c>
      <c r="E592" s="39"/>
      <c r="F592" s="42"/>
      <c r="G592" s="30"/>
      <c r="H592" s="36" t="s">
        <v>39</v>
      </c>
    </row>
    <row r="593" spans="4:8" ht="15.75">
      <c r="D593" s="37">
        <f t="shared" si="12"/>
        <v>583</v>
      </c>
      <c r="E593" s="39"/>
      <c r="F593" s="42"/>
      <c r="G593" s="30"/>
      <c r="H593" s="36" t="s">
        <v>39</v>
      </c>
    </row>
    <row r="594" spans="4:8" ht="15.75">
      <c r="D594" s="37">
        <f t="shared" si="12"/>
        <v>584</v>
      </c>
      <c r="E594" s="39"/>
      <c r="F594" s="42"/>
      <c r="G594" s="30"/>
      <c r="H594" s="36" t="s">
        <v>39</v>
      </c>
    </row>
    <row r="595" spans="4:8" ht="15.75">
      <c r="D595" s="37">
        <f t="shared" si="12"/>
        <v>585</v>
      </c>
      <c r="E595" s="39"/>
      <c r="F595" s="42"/>
      <c r="G595" s="30"/>
      <c r="H595" s="36" t="s">
        <v>39</v>
      </c>
    </row>
    <row r="596" spans="4:8" ht="15.75">
      <c r="D596" s="37">
        <f t="shared" si="12"/>
        <v>586</v>
      </c>
      <c r="E596" s="39"/>
      <c r="F596" s="42"/>
      <c r="G596" s="30"/>
      <c r="H596" s="36" t="s">
        <v>39</v>
      </c>
    </row>
    <row r="597" spans="4:8" ht="15.75">
      <c r="D597" s="37">
        <f t="shared" si="12"/>
        <v>587</v>
      </c>
      <c r="E597" s="39"/>
      <c r="F597" s="42"/>
      <c r="G597" s="30"/>
      <c r="H597" s="36" t="s">
        <v>39</v>
      </c>
    </row>
    <row r="598" spans="4:8" ht="15.75">
      <c r="D598" s="37">
        <f t="shared" si="12"/>
        <v>588</v>
      </c>
      <c r="E598" s="39"/>
      <c r="F598" s="42"/>
      <c r="G598" s="30"/>
      <c r="H598" s="36" t="s">
        <v>39</v>
      </c>
    </row>
    <row r="599" spans="4:8" ht="15.75">
      <c r="D599" s="37">
        <f t="shared" si="12"/>
        <v>589</v>
      </c>
      <c r="E599" s="39"/>
      <c r="F599" s="42"/>
      <c r="G599" s="30"/>
      <c r="H599" s="36" t="s">
        <v>39</v>
      </c>
    </row>
    <row r="600" spans="4:8" ht="15.75">
      <c r="D600" s="37">
        <f t="shared" si="12"/>
        <v>590</v>
      </c>
      <c r="E600" s="39"/>
      <c r="F600" s="42"/>
      <c r="G600" s="30"/>
      <c r="H600" s="36" t="s">
        <v>39</v>
      </c>
    </row>
    <row r="601" spans="4:8" ht="15.75">
      <c r="D601" s="37">
        <f t="shared" si="12"/>
        <v>591</v>
      </c>
      <c r="E601" s="39"/>
      <c r="F601" s="42"/>
      <c r="G601" s="30"/>
      <c r="H601" s="36" t="s">
        <v>39</v>
      </c>
    </row>
    <row r="602" spans="4:8" ht="15.75">
      <c r="D602" s="37">
        <f t="shared" si="12"/>
        <v>592</v>
      </c>
      <c r="E602" s="39"/>
      <c r="F602" s="42"/>
      <c r="G602" s="30"/>
      <c r="H602" s="36" t="s">
        <v>39</v>
      </c>
    </row>
    <row r="603" spans="4:8" ht="15.75">
      <c r="D603" s="37">
        <f t="shared" si="12"/>
        <v>593</v>
      </c>
      <c r="E603" s="39"/>
      <c r="F603" s="42"/>
      <c r="G603" s="30"/>
      <c r="H603" s="36" t="s">
        <v>39</v>
      </c>
    </row>
    <row r="604" spans="4:8" ht="15.75">
      <c r="D604" s="37">
        <f t="shared" si="12"/>
        <v>594</v>
      </c>
      <c r="E604" s="39"/>
      <c r="F604" s="42"/>
      <c r="G604" s="30"/>
      <c r="H604" s="36" t="s">
        <v>39</v>
      </c>
    </row>
    <row r="605" spans="4:8" ht="15.75">
      <c r="D605" s="37">
        <f t="shared" si="12"/>
        <v>595</v>
      </c>
      <c r="E605" s="39"/>
      <c r="F605" s="42"/>
      <c r="G605" s="30"/>
      <c r="H605" s="36" t="s">
        <v>39</v>
      </c>
    </row>
    <row r="606" spans="4:8" ht="15.75">
      <c r="D606" s="37">
        <f t="shared" si="12"/>
        <v>596</v>
      </c>
      <c r="E606" s="39"/>
      <c r="F606" s="42"/>
      <c r="G606" s="30"/>
      <c r="H606" s="36" t="s">
        <v>39</v>
      </c>
    </row>
    <row r="607" spans="4:8" ht="15.75">
      <c r="D607" s="37">
        <f t="shared" si="12"/>
        <v>597</v>
      </c>
      <c r="E607" s="39"/>
      <c r="F607" s="42"/>
      <c r="G607" s="30"/>
      <c r="H607" s="36" t="s">
        <v>39</v>
      </c>
    </row>
    <row r="608" spans="4:8" ht="15.75">
      <c r="D608" s="37">
        <f t="shared" si="12"/>
        <v>598</v>
      </c>
      <c r="E608" s="39"/>
      <c r="F608" s="42"/>
      <c r="G608" s="30"/>
      <c r="H608" s="36" t="s">
        <v>39</v>
      </c>
    </row>
    <row r="609" spans="4:8" ht="15.75">
      <c r="D609" s="37">
        <f t="shared" si="12"/>
        <v>599</v>
      </c>
      <c r="E609" s="39"/>
      <c r="F609" s="42"/>
      <c r="G609" s="30"/>
      <c r="H609" s="36" t="s">
        <v>39</v>
      </c>
    </row>
    <row r="610" spans="4:8" ht="15.75">
      <c r="D610" s="37">
        <f t="shared" si="12"/>
        <v>600</v>
      </c>
      <c r="E610" s="39"/>
      <c r="F610" s="42"/>
      <c r="G610" s="30"/>
      <c r="H610" s="36" t="s">
        <v>39</v>
      </c>
    </row>
    <row r="611" spans="4:8" ht="15.75">
      <c r="D611" s="37">
        <f t="shared" si="12"/>
        <v>601</v>
      </c>
      <c r="E611" s="39"/>
      <c r="F611" s="42"/>
      <c r="G611" s="30"/>
      <c r="H611" s="36" t="s">
        <v>39</v>
      </c>
    </row>
    <row r="612" spans="4:8" ht="15.75">
      <c r="D612" s="37">
        <f t="shared" si="12"/>
        <v>602</v>
      </c>
      <c r="E612" s="39"/>
      <c r="F612" s="42"/>
      <c r="G612" s="30"/>
      <c r="H612" s="36" t="s">
        <v>39</v>
      </c>
    </row>
    <row r="613" spans="4:8" ht="15.75">
      <c r="D613" s="37">
        <f t="shared" si="12"/>
        <v>603</v>
      </c>
      <c r="E613" s="39"/>
      <c r="F613" s="42"/>
      <c r="G613" s="30"/>
      <c r="H613" s="36" t="s">
        <v>39</v>
      </c>
    </row>
    <row r="614" spans="4:8" ht="15.75">
      <c r="D614" s="37">
        <f t="shared" si="12"/>
        <v>604</v>
      </c>
      <c r="E614" s="39"/>
      <c r="F614" s="42"/>
      <c r="G614" s="30"/>
      <c r="H614" s="36" t="s">
        <v>39</v>
      </c>
    </row>
    <row r="615" spans="4:8" ht="15.75">
      <c r="D615" s="37">
        <f t="shared" si="12"/>
        <v>605</v>
      </c>
      <c r="E615" s="39"/>
      <c r="F615" s="42"/>
      <c r="G615" s="30"/>
      <c r="H615" s="36" t="s">
        <v>39</v>
      </c>
    </row>
    <row r="616" spans="4:8" ht="15.75">
      <c r="D616" s="37">
        <f t="shared" si="12"/>
        <v>606</v>
      </c>
      <c r="E616" s="39"/>
      <c r="F616" s="42"/>
      <c r="G616" s="30"/>
      <c r="H616" s="36" t="s">
        <v>39</v>
      </c>
    </row>
    <row r="617" spans="4:8" ht="15.75">
      <c r="D617" s="37">
        <f t="shared" si="12"/>
        <v>607</v>
      </c>
      <c r="E617" s="39"/>
      <c r="F617" s="42"/>
      <c r="G617" s="30"/>
      <c r="H617" s="36" t="s">
        <v>39</v>
      </c>
    </row>
    <row r="618" spans="4:8" ht="15.75">
      <c r="D618" s="37">
        <f t="shared" si="12"/>
        <v>608</v>
      </c>
      <c r="E618" s="39"/>
      <c r="F618" s="42"/>
      <c r="G618" s="30"/>
      <c r="H618" s="36" t="s">
        <v>39</v>
      </c>
    </row>
    <row r="619" spans="4:8" ht="15.75">
      <c r="D619" s="37">
        <f t="shared" si="12"/>
        <v>609</v>
      </c>
      <c r="E619" s="39"/>
      <c r="F619" s="42"/>
      <c r="G619" s="30"/>
      <c r="H619" s="36" t="s">
        <v>39</v>
      </c>
    </row>
    <row r="620" spans="4:8" ht="15.75">
      <c r="D620" s="37">
        <f t="shared" si="12"/>
        <v>610</v>
      </c>
      <c r="E620" s="39"/>
      <c r="F620" s="42"/>
      <c r="G620" s="30"/>
      <c r="H620" s="36" t="s">
        <v>39</v>
      </c>
    </row>
    <row r="621" spans="4:8" ht="15.75">
      <c r="D621" s="37">
        <f t="shared" si="12"/>
        <v>611</v>
      </c>
      <c r="E621" s="39"/>
      <c r="F621" s="42"/>
      <c r="G621" s="30"/>
      <c r="H621" s="36" t="s">
        <v>39</v>
      </c>
    </row>
    <row r="622" spans="4:8" ht="15.75">
      <c r="D622" s="37">
        <f t="shared" si="12"/>
        <v>612</v>
      </c>
      <c r="E622" s="39"/>
      <c r="F622" s="42"/>
      <c r="G622" s="30"/>
      <c r="H622" s="36" t="s">
        <v>39</v>
      </c>
    </row>
    <row r="623" spans="4:8" ht="15.75">
      <c r="D623" s="37">
        <f t="shared" si="12"/>
        <v>613</v>
      </c>
      <c r="E623" s="39"/>
      <c r="F623" s="42"/>
      <c r="G623" s="30"/>
      <c r="H623" s="36" t="s">
        <v>39</v>
      </c>
    </row>
    <row r="624" spans="4:8" ht="15.75">
      <c r="D624" s="37">
        <f t="shared" si="12"/>
        <v>614</v>
      </c>
      <c r="E624" s="39"/>
      <c r="F624" s="42"/>
      <c r="G624" s="30"/>
      <c r="H624" s="36" t="s">
        <v>39</v>
      </c>
    </row>
    <row r="625" spans="4:8" ht="15.75">
      <c r="D625" s="37">
        <f t="shared" si="12"/>
        <v>615</v>
      </c>
      <c r="E625" s="39"/>
      <c r="F625" s="42"/>
      <c r="G625" s="30"/>
      <c r="H625" s="36" t="s">
        <v>39</v>
      </c>
    </row>
    <row r="626" spans="4:8" ht="15.75">
      <c r="D626" s="37">
        <f t="shared" si="12"/>
        <v>616</v>
      </c>
      <c r="E626" s="39"/>
      <c r="F626" s="42"/>
      <c r="G626" s="30"/>
      <c r="H626" s="36" t="s">
        <v>39</v>
      </c>
    </row>
    <row r="627" spans="4:8" ht="15.75">
      <c r="D627" s="37">
        <f t="shared" si="12"/>
        <v>617</v>
      </c>
      <c r="E627" s="39"/>
      <c r="F627" s="42"/>
      <c r="G627" s="30"/>
      <c r="H627" s="36" t="s">
        <v>39</v>
      </c>
    </row>
    <row r="628" spans="4:8" ht="15.75">
      <c r="D628" s="37">
        <f t="shared" si="12"/>
        <v>618</v>
      </c>
      <c r="E628" s="39"/>
      <c r="F628" s="42"/>
      <c r="G628" s="30"/>
      <c r="H628" s="36" t="s">
        <v>39</v>
      </c>
    </row>
    <row r="629" spans="4:8" ht="15.75">
      <c r="D629" s="37">
        <f t="shared" si="12"/>
        <v>619</v>
      </c>
      <c r="E629" s="39"/>
      <c r="F629" s="42"/>
      <c r="G629" s="30"/>
      <c r="H629" s="36" t="s">
        <v>39</v>
      </c>
    </row>
    <row r="630" spans="4:8" ht="15.75">
      <c r="D630" s="37">
        <f t="shared" ref="D630:D693" si="13">D629+1</f>
        <v>620</v>
      </c>
      <c r="E630" s="39"/>
      <c r="F630" s="42"/>
      <c r="G630" s="30"/>
      <c r="H630" s="36" t="s">
        <v>39</v>
      </c>
    </row>
    <row r="631" spans="4:8" ht="15.75">
      <c r="D631" s="37">
        <f t="shared" si="13"/>
        <v>621</v>
      </c>
      <c r="E631" s="39"/>
      <c r="F631" s="42"/>
      <c r="G631" s="30"/>
      <c r="H631" s="36" t="s">
        <v>39</v>
      </c>
    </row>
    <row r="632" spans="4:8" ht="15.75">
      <c r="D632" s="37">
        <f t="shared" si="13"/>
        <v>622</v>
      </c>
      <c r="E632" s="39"/>
      <c r="F632" s="42"/>
      <c r="G632" s="30"/>
      <c r="H632" s="36" t="s">
        <v>39</v>
      </c>
    </row>
    <row r="633" spans="4:8" ht="15.75">
      <c r="D633" s="37">
        <f t="shared" si="13"/>
        <v>623</v>
      </c>
      <c r="E633" s="39"/>
      <c r="F633" s="42"/>
      <c r="G633" s="30"/>
      <c r="H633" s="36" t="s">
        <v>39</v>
      </c>
    </row>
    <row r="634" spans="4:8" ht="15.75">
      <c r="D634" s="37">
        <f t="shared" si="13"/>
        <v>624</v>
      </c>
      <c r="E634" s="39"/>
      <c r="F634" s="42"/>
      <c r="G634" s="30"/>
      <c r="H634" s="36" t="s">
        <v>39</v>
      </c>
    </row>
    <row r="635" spans="4:8" ht="15.75">
      <c r="D635" s="37">
        <f t="shared" si="13"/>
        <v>625</v>
      </c>
      <c r="E635" s="39"/>
      <c r="F635" s="42"/>
      <c r="G635" s="30"/>
      <c r="H635" s="36" t="s">
        <v>39</v>
      </c>
    </row>
    <row r="636" spans="4:8" ht="15.75">
      <c r="D636" s="37">
        <f t="shared" si="13"/>
        <v>626</v>
      </c>
      <c r="E636" s="39"/>
      <c r="F636" s="42"/>
      <c r="G636" s="30"/>
      <c r="H636" s="36" t="s">
        <v>39</v>
      </c>
    </row>
    <row r="637" spans="4:8" ht="15.75">
      <c r="D637" s="37">
        <f t="shared" si="13"/>
        <v>627</v>
      </c>
      <c r="E637" s="39"/>
      <c r="F637" s="42"/>
      <c r="G637" s="30"/>
      <c r="H637" s="36" t="s">
        <v>39</v>
      </c>
    </row>
    <row r="638" spans="4:8" ht="15.75">
      <c r="D638" s="37">
        <f t="shared" si="13"/>
        <v>628</v>
      </c>
      <c r="E638" s="39"/>
      <c r="F638" s="42"/>
      <c r="G638" s="30"/>
      <c r="H638" s="36" t="s">
        <v>39</v>
      </c>
    </row>
    <row r="639" spans="4:8" ht="15.75">
      <c r="D639" s="37">
        <f t="shared" si="13"/>
        <v>629</v>
      </c>
      <c r="E639" s="39"/>
      <c r="F639" s="42"/>
      <c r="G639" s="30"/>
      <c r="H639" s="36" t="s">
        <v>39</v>
      </c>
    </row>
    <row r="640" spans="4:8" ht="15.75">
      <c r="D640" s="37">
        <f t="shared" si="13"/>
        <v>630</v>
      </c>
      <c r="E640" s="39"/>
      <c r="F640" s="42"/>
      <c r="G640" s="30"/>
      <c r="H640" s="36" t="s">
        <v>39</v>
      </c>
    </row>
    <row r="641" spans="4:8" ht="15.75">
      <c r="D641" s="37">
        <f t="shared" si="13"/>
        <v>631</v>
      </c>
      <c r="E641" s="39"/>
      <c r="F641" s="42"/>
      <c r="G641" s="30"/>
      <c r="H641" s="36" t="s">
        <v>39</v>
      </c>
    </row>
    <row r="642" spans="4:8" ht="15.75">
      <c r="D642" s="37">
        <f t="shared" si="13"/>
        <v>632</v>
      </c>
      <c r="E642" s="39"/>
      <c r="F642" s="42"/>
      <c r="G642" s="30"/>
      <c r="H642" s="36" t="s">
        <v>39</v>
      </c>
    </row>
    <row r="643" spans="4:8" ht="15.75">
      <c r="D643" s="37">
        <f t="shared" si="13"/>
        <v>633</v>
      </c>
      <c r="E643" s="39"/>
      <c r="F643" s="42"/>
      <c r="G643" s="30"/>
      <c r="H643" s="36" t="s">
        <v>39</v>
      </c>
    </row>
    <row r="644" spans="4:8" ht="15.75">
      <c r="D644" s="37">
        <f t="shared" si="13"/>
        <v>634</v>
      </c>
      <c r="E644" s="39"/>
      <c r="F644" s="42"/>
      <c r="G644" s="30"/>
      <c r="H644" s="36" t="s">
        <v>39</v>
      </c>
    </row>
    <row r="645" spans="4:8" ht="15.75">
      <c r="D645" s="37">
        <f t="shared" si="13"/>
        <v>635</v>
      </c>
      <c r="E645" s="39"/>
      <c r="F645" s="42"/>
      <c r="G645" s="30"/>
      <c r="H645" s="36" t="s">
        <v>39</v>
      </c>
    </row>
    <row r="646" spans="4:8" ht="15.75">
      <c r="D646" s="37">
        <f t="shared" si="13"/>
        <v>636</v>
      </c>
      <c r="E646" s="39"/>
      <c r="F646" s="42"/>
      <c r="G646" s="30"/>
      <c r="H646" s="36" t="s">
        <v>39</v>
      </c>
    </row>
    <row r="647" spans="4:8" ht="15.75">
      <c r="D647" s="37">
        <f t="shared" si="13"/>
        <v>637</v>
      </c>
      <c r="E647" s="39"/>
      <c r="F647" s="42"/>
      <c r="G647" s="30"/>
      <c r="H647" s="36" t="s">
        <v>39</v>
      </c>
    </row>
    <row r="648" spans="4:8" ht="15.75">
      <c r="D648" s="37">
        <f t="shared" si="13"/>
        <v>638</v>
      </c>
      <c r="E648" s="39"/>
      <c r="F648" s="42"/>
      <c r="G648" s="30"/>
      <c r="H648" s="36" t="s">
        <v>39</v>
      </c>
    </row>
    <row r="649" spans="4:8" ht="15.75">
      <c r="D649" s="37">
        <f t="shared" si="13"/>
        <v>639</v>
      </c>
      <c r="E649" s="39"/>
      <c r="F649" s="42"/>
      <c r="G649" s="30"/>
      <c r="H649" s="36" t="s">
        <v>39</v>
      </c>
    </row>
    <row r="650" spans="4:8" ht="15.75">
      <c r="D650" s="37">
        <f t="shared" si="13"/>
        <v>640</v>
      </c>
      <c r="E650" s="39"/>
      <c r="F650" s="42"/>
      <c r="G650" s="30"/>
      <c r="H650" s="36" t="s">
        <v>39</v>
      </c>
    </row>
    <row r="651" spans="4:8" ht="15.75">
      <c r="D651" s="37">
        <f t="shared" si="13"/>
        <v>641</v>
      </c>
      <c r="E651" s="39"/>
      <c r="F651" s="42"/>
      <c r="G651" s="30"/>
      <c r="H651" s="36" t="s">
        <v>39</v>
      </c>
    </row>
    <row r="652" spans="4:8" ht="15.75">
      <c r="D652" s="37">
        <f t="shared" si="13"/>
        <v>642</v>
      </c>
      <c r="E652" s="39"/>
      <c r="F652" s="42"/>
      <c r="G652" s="30"/>
      <c r="H652" s="36" t="s">
        <v>39</v>
      </c>
    </row>
    <row r="653" spans="4:8" ht="15.75">
      <c r="D653" s="37">
        <f t="shared" si="13"/>
        <v>643</v>
      </c>
      <c r="E653" s="39"/>
      <c r="F653" s="42"/>
      <c r="G653" s="30"/>
      <c r="H653" s="36" t="s">
        <v>39</v>
      </c>
    </row>
    <row r="654" spans="4:8" ht="15.75">
      <c r="D654" s="37">
        <f t="shared" si="13"/>
        <v>644</v>
      </c>
      <c r="E654" s="39"/>
      <c r="F654" s="42"/>
      <c r="G654" s="30"/>
      <c r="H654" s="36" t="s">
        <v>39</v>
      </c>
    </row>
    <row r="655" spans="4:8" ht="15.75">
      <c r="D655" s="37">
        <f t="shared" si="13"/>
        <v>645</v>
      </c>
      <c r="E655" s="39"/>
      <c r="F655" s="42"/>
      <c r="G655" s="30"/>
      <c r="H655" s="36" t="s">
        <v>39</v>
      </c>
    </row>
    <row r="656" spans="4:8" ht="15.75">
      <c r="D656" s="37">
        <f t="shared" si="13"/>
        <v>646</v>
      </c>
      <c r="E656" s="39"/>
      <c r="F656" s="42"/>
      <c r="G656" s="30"/>
      <c r="H656" s="36" t="s">
        <v>39</v>
      </c>
    </row>
    <row r="657" spans="4:8" ht="15.75">
      <c r="D657" s="37">
        <f t="shared" si="13"/>
        <v>647</v>
      </c>
      <c r="E657" s="39"/>
      <c r="F657" s="42"/>
      <c r="G657" s="30"/>
      <c r="H657" s="36" t="s">
        <v>39</v>
      </c>
    </row>
    <row r="658" spans="4:8" ht="15.75">
      <c r="D658" s="37">
        <f t="shared" si="13"/>
        <v>648</v>
      </c>
      <c r="E658" s="39"/>
      <c r="F658" s="42"/>
      <c r="G658" s="30"/>
      <c r="H658" s="36" t="s">
        <v>39</v>
      </c>
    </row>
    <row r="659" spans="4:8" ht="15.75">
      <c r="D659" s="37">
        <f t="shared" si="13"/>
        <v>649</v>
      </c>
      <c r="E659" s="39"/>
      <c r="F659" s="42"/>
      <c r="G659" s="30"/>
      <c r="H659" s="36" t="s">
        <v>39</v>
      </c>
    </row>
    <row r="660" spans="4:8" ht="15.75">
      <c r="D660" s="37">
        <f t="shared" si="13"/>
        <v>650</v>
      </c>
      <c r="E660" s="39"/>
      <c r="F660" s="42"/>
      <c r="G660" s="30"/>
      <c r="H660" s="36" t="s">
        <v>39</v>
      </c>
    </row>
    <row r="661" spans="4:8" ht="15.75">
      <c r="D661" s="37">
        <f t="shared" si="13"/>
        <v>651</v>
      </c>
      <c r="E661" s="39"/>
      <c r="F661" s="42"/>
      <c r="G661" s="30"/>
      <c r="H661" s="36" t="s">
        <v>39</v>
      </c>
    </row>
    <row r="662" spans="4:8" ht="15.75">
      <c r="D662" s="37">
        <f t="shared" si="13"/>
        <v>652</v>
      </c>
      <c r="E662" s="39"/>
      <c r="F662" s="42"/>
      <c r="G662" s="30"/>
      <c r="H662" s="36" t="s">
        <v>39</v>
      </c>
    </row>
    <row r="663" spans="4:8" ht="15.75">
      <c r="D663" s="37">
        <f t="shared" si="13"/>
        <v>653</v>
      </c>
      <c r="E663" s="39"/>
      <c r="F663" s="42"/>
      <c r="G663" s="30"/>
      <c r="H663" s="36" t="s">
        <v>39</v>
      </c>
    </row>
    <row r="664" spans="4:8" ht="15.75">
      <c r="D664" s="37">
        <f t="shared" si="13"/>
        <v>654</v>
      </c>
      <c r="E664" s="39"/>
      <c r="F664" s="42"/>
      <c r="G664" s="30"/>
      <c r="H664" s="36" t="s">
        <v>39</v>
      </c>
    </row>
    <row r="665" spans="4:8" ht="15.75">
      <c r="D665" s="37">
        <f t="shared" si="13"/>
        <v>655</v>
      </c>
      <c r="E665" s="39"/>
      <c r="F665" s="42"/>
      <c r="G665" s="30"/>
      <c r="H665" s="36" t="s">
        <v>39</v>
      </c>
    </row>
    <row r="666" spans="4:8" ht="15.75">
      <c r="D666" s="37">
        <f t="shared" si="13"/>
        <v>656</v>
      </c>
      <c r="E666" s="39"/>
      <c r="F666" s="42"/>
      <c r="G666" s="30"/>
      <c r="H666" s="36" t="s">
        <v>39</v>
      </c>
    </row>
    <row r="667" spans="4:8" ht="15.75">
      <c r="D667" s="37">
        <f t="shared" si="13"/>
        <v>657</v>
      </c>
      <c r="E667" s="39"/>
      <c r="F667" s="42"/>
      <c r="G667" s="30"/>
      <c r="H667" s="36" t="s">
        <v>39</v>
      </c>
    </row>
    <row r="668" spans="4:8" ht="15.75">
      <c r="D668" s="37">
        <f t="shared" si="13"/>
        <v>658</v>
      </c>
      <c r="E668" s="39"/>
      <c r="F668" s="42"/>
      <c r="G668" s="30"/>
      <c r="H668" s="36" t="s">
        <v>39</v>
      </c>
    </row>
    <row r="669" spans="4:8" ht="15.75">
      <c r="D669" s="37">
        <f t="shared" si="13"/>
        <v>659</v>
      </c>
      <c r="E669" s="39"/>
      <c r="F669" s="42"/>
      <c r="G669" s="30"/>
      <c r="H669" s="36" t="s">
        <v>39</v>
      </c>
    </row>
    <row r="670" spans="4:8" ht="15.75">
      <c r="D670" s="37">
        <f t="shared" si="13"/>
        <v>660</v>
      </c>
      <c r="E670" s="39"/>
      <c r="F670" s="42"/>
      <c r="G670" s="30"/>
      <c r="H670" s="36" t="s">
        <v>39</v>
      </c>
    </row>
    <row r="671" spans="4:8" ht="15.75">
      <c r="D671" s="37">
        <f t="shared" si="13"/>
        <v>661</v>
      </c>
      <c r="E671" s="39"/>
      <c r="F671" s="42"/>
      <c r="G671" s="30"/>
      <c r="H671" s="36" t="s">
        <v>39</v>
      </c>
    </row>
    <row r="672" spans="4:8" ht="15.75">
      <c r="D672" s="37">
        <f t="shared" si="13"/>
        <v>662</v>
      </c>
      <c r="E672" s="39"/>
      <c r="F672" s="42"/>
      <c r="G672" s="30"/>
      <c r="H672" s="36" t="s">
        <v>39</v>
      </c>
    </row>
    <row r="673" spans="4:8" ht="15.75">
      <c r="D673" s="37">
        <f t="shared" si="13"/>
        <v>663</v>
      </c>
      <c r="E673" s="39"/>
      <c r="F673" s="42"/>
      <c r="G673" s="30"/>
      <c r="H673" s="36" t="s">
        <v>39</v>
      </c>
    </row>
    <row r="674" spans="4:8" ht="15.75">
      <c r="D674" s="37">
        <f t="shared" si="13"/>
        <v>664</v>
      </c>
      <c r="E674" s="39"/>
      <c r="F674" s="42"/>
      <c r="G674" s="30"/>
      <c r="H674" s="36" t="s">
        <v>39</v>
      </c>
    </row>
    <row r="675" spans="4:8" ht="15.75">
      <c r="D675" s="37">
        <f t="shared" si="13"/>
        <v>665</v>
      </c>
      <c r="E675" s="39"/>
      <c r="F675" s="42"/>
      <c r="G675" s="30"/>
      <c r="H675" s="36" t="s">
        <v>39</v>
      </c>
    </row>
    <row r="676" spans="4:8" ht="15.75">
      <c r="D676" s="37">
        <f t="shared" si="13"/>
        <v>666</v>
      </c>
      <c r="E676" s="39"/>
      <c r="F676" s="42"/>
      <c r="G676" s="30"/>
      <c r="H676" s="36" t="s">
        <v>39</v>
      </c>
    </row>
    <row r="677" spans="4:8" ht="15.75">
      <c r="D677" s="37">
        <f t="shared" si="13"/>
        <v>667</v>
      </c>
      <c r="E677" s="39"/>
      <c r="F677" s="42"/>
      <c r="G677" s="30"/>
      <c r="H677" s="36" t="s">
        <v>39</v>
      </c>
    </row>
    <row r="678" spans="4:8" ht="15.75">
      <c r="D678" s="37">
        <f t="shared" si="13"/>
        <v>668</v>
      </c>
      <c r="E678" s="39"/>
      <c r="F678" s="42"/>
      <c r="G678" s="30"/>
      <c r="H678" s="36" t="s">
        <v>39</v>
      </c>
    </row>
    <row r="679" spans="4:8" ht="15.75">
      <c r="D679" s="37">
        <f t="shared" si="13"/>
        <v>669</v>
      </c>
      <c r="E679" s="39"/>
      <c r="F679" s="42"/>
      <c r="G679" s="30"/>
      <c r="H679" s="36" t="s">
        <v>39</v>
      </c>
    </row>
    <row r="680" spans="4:8" ht="15.75">
      <c r="D680" s="37">
        <f t="shared" si="13"/>
        <v>670</v>
      </c>
      <c r="E680" s="39"/>
      <c r="F680" s="42"/>
      <c r="G680" s="30"/>
      <c r="H680" s="36" t="s">
        <v>39</v>
      </c>
    </row>
    <row r="681" spans="4:8" ht="15.75">
      <c r="D681" s="37">
        <f t="shared" si="13"/>
        <v>671</v>
      </c>
      <c r="E681" s="39"/>
      <c r="F681" s="42"/>
      <c r="G681" s="30"/>
      <c r="H681" s="36" t="s">
        <v>39</v>
      </c>
    </row>
    <row r="682" spans="4:8" ht="15.75">
      <c r="D682" s="37">
        <f t="shared" si="13"/>
        <v>672</v>
      </c>
      <c r="E682" s="39"/>
      <c r="F682" s="42"/>
      <c r="G682" s="30"/>
      <c r="H682" s="36" t="s">
        <v>39</v>
      </c>
    </row>
    <row r="683" spans="4:8" ht="15.75">
      <c r="D683" s="37">
        <f t="shared" si="13"/>
        <v>673</v>
      </c>
      <c r="E683" s="39"/>
      <c r="F683" s="42"/>
      <c r="G683" s="30"/>
      <c r="H683" s="36" t="s">
        <v>39</v>
      </c>
    </row>
    <row r="684" spans="4:8" ht="15.75">
      <c r="D684" s="37">
        <f t="shared" si="13"/>
        <v>674</v>
      </c>
      <c r="E684" s="39"/>
      <c r="F684" s="42"/>
      <c r="G684" s="30"/>
      <c r="H684" s="36" t="s">
        <v>39</v>
      </c>
    </row>
    <row r="685" spans="4:8" ht="15.75">
      <c r="D685" s="37">
        <f t="shared" si="13"/>
        <v>675</v>
      </c>
      <c r="E685" s="39"/>
      <c r="F685" s="42"/>
      <c r="G685" s="30"/>
      <c r="H685" s="36" t="s">
        <v>39</v>
      </c>
    </row>
    <row r="686" spans="4:8" ht="15.75">
      <c r="D686" s="37">
        <f t="shared" si="13"/>
        <v>676</v>
      </c>
      <c r="E686" s="39"/>
      <c r="F686" s="42"/>
      <c r="G686" s="30"/>
      <c r="H686" s="36" t="s">
        <v>39</v>
      </c>
    </row>
    <row r="687" spans="4:8" ht="15.75">
      <c r="D687" s="37">
        <f t="shared" si="13"/>
        <v>677</v>
      </c>
      <c r="E687" s="39"/>
      <c r="F687" s="42"/>
      <c r="G687" s="30"/>
      <c r="H687" s="36" t="s">
        <v>39</v>
      </c>
    </row>
    <row r="688" spans="4:8" ht="15.75">
      <c r="D688" s="37">
        <f t="shared" si="13"/>
        <v>678</v>
      </c>
      <c r="E688" s="39"/>
      <c r="F688" s="42"/>
      <c r="G688" s="30"/>
      <c r="H688" s="36" t="s">
        <v>39</v>
      </c>
    </row>
    <row r="689" spans="4:8" ht="15.75">
      <c r="D689" s="37">
        <f t="shared" si="13"/>
        <v>679</v>
      </c>
      <c r="E689" s="39"/>
      <c r="F689" s="42"/>
      <c r="G689" s="30"/>
      <c r="H689" s="36" t="s">
        <v>39</v>
      </c>
    </row>
    <row r="690" spans="4:8" ht="15.75">
      <c r="D690" s="37">
        <f t="shared" si="13"/>
        <v>680</v>
      </c>
      <c r="E690" s="39"/>
      <c r="F690" s="42"/>
      <c r="G690" s="30"/>
      <c r="H690" s="36" t="s">
        <v>39</v>
      </c>
    </row>
    <row r="691" spans="4:8" ht="15.75">
      <c r="D691" s="37">
        <f t="shared" si="13"/>
        <v>681</v>
      </c>
      <c r="E691" s="39"/>
      <c r="F691" s="42"/>
      <c r="G691" s="30"/>
      <c r="H691" s="36" t="s">
        <v>39</v>
      </c>
    </row>
    <row r="692" spans="4:8" ht="15.75">
      <c r="D692" s="37">
        <f t="shared" si="13"/>
        <v>682</v>
      </c>
      <c r="E692" s="39"/>
      <c r="F692" s="42"/>
      <c r="G692" s="30"/>
      <c r="H692" s="36" t="s">
        <v>39</v>
      </c>
    </row>
    <row r="693" spans="4:8" ht="15.75">
      <c r="D693" s="37">
        <f t="shared" si="13"/>
        <v>683</v>
      </c>
      <c r="E693" s="39"/>
      <c r="F693" s="42"/>
      <c r="G693" s="30"/>
      <c r="H693" s="36" t="s">
        <v>39</v>
      </c>
    </row>
    <row r="694" spans="4:8" ht="15.75">
      <c r="D694" s="37">
        <f t="shared" ref="D694:D757" si="14">D693+1</f>
        <v>684</v>
      </c>
      <c r="E694" s="39"/>
      <c r="F694" s="42"/>
      <c r="G694" s="30"/>
      <c r="H694" s="36" t="s">
        <v>39</v>
      </c>
    </row>
    <row r="695" spans="4:8" ht="15.75">
      <c r="D695" s="37">
        <f t="shared" si="14"/>
        <v>685</v>
      </c>
      <c r="E695" s="39"/>
      <c r="F695" s="42"/>
      <c r="G695" s="30"/>
      <c r="H695" s="36" t="s">
        <v>39</v>
      </c>
    </row>
    <row r="696" spans="4:8" ht="15.75">
      <c r="D696" s="37">
        <f t="shared" si="14"/>
        <v>686</v>
      </c>
      <c r="E696" s="39"/>
      <c r="F696" s="42"/>
      <c r="G696" s="30"/>
      <c r="H696" s="36" t="s">
        <v>39</v>
      </c>
    </row>
    <row r="697" spans="4:8" ht="15.75">
      <c r="D697" s="37">
        <f t="shared" si="14"/>
        <v>687</v>
      </c>
      <c r="E697" s="39"/>
      <c r="F697" s="42"/>
      <c r="G697" s="30"/>
      <c r="H697" s="36" t="s">
        <v>39</v>
      </c>
    </row>
    <row r="698" spans="4:8" ht="15.75">
      <c r="D698" s="37">
        <f t="shared" si="14"/>
        <v>688</v>
      </c>
      <c r="E698" s="39"/>
      <c r="F698" s="42"/>
      <c r="G698" s="30"/>
      <c r="H698" s="36" t="s">
        <v>39</v>
      </c>
    </row>
    <row r="699" spans="4:8" ht="15.75">
      <c r="D699" s="37">
        <f t="shared" si="14"/>
        <v>689</v>
      </c>
      <c r="E699" s="39"/>
      <c r="F699" s="42"/>
      <c r="G699" s="30"/>
      <c r="H699" s="36" t="s">
        <v>39</v>
      </c>
    </row>
    <row r="700" spans="4:8" ht="15.75">
      <c r="D700" s="37">
        <f t="shared" si="14"/>
        <v>690</v>
      </c>
      <c r="E700" s="39"/>
      <c r="F700" s="42"/>
      <c r="G700" s="30"/>
      <c r="H700" s="36" t="s">
        <v>39</v>
      </c>
    </row>
    <row r="701" spans="4:8" ht="15.75">
      <c r="D701" s="37">
        <f t="shared" si="14"/>
        <v>691</v>
      </c>
      <c r="E701" s="39"/>
      <c r="F701" s="42"/>
      <c r="G701" s="30"/>
      <c r="H701" s="36" t="s">
        <v>39</v>
      </c>
    </row>
    <row r="702" spans="4:8" ht="15.75">
      <c r="D702" s="37">
        <f t="shared" si="14"/>
        <v>692</v>
      </c>
      <c r="E702" s="39"/>
      <c r="F702" s="42"/>
      <c r="G702" s="30"/>
      <c r="H702" s="36" t="s">
        <v>39</v>
      </c>
    </row>
    <row r="703" spans="4:8" ht="15.75">
      <c r="D703" s="37">
        <f t="shared" si="14"/>
        <v>693</v>
      </c>
      <c r="E703" s="39"/>
      <c r="F703" s="42"/>
      <c r="G703" s="30"/>
      <c r="H703" s="36" t="s">
        <v>39</v>
      </c>
    </row>
    <row r="704" spans="4:8" ht="15.75">
      <c r="D704" s="37">
        <f t="shared" si="14"/>
        <v>694</v>
      </c>
      <c r="E704" s="39"/>
      <c r="F704" s="42"/>
      <c r="G704" s="30"/>
      <c r="H704" s="36" t="s">
        <v>39</v>
      </c>
    </row>
    <row r="705" spans="4:8" ht="15.75">
      <c r="D705" s="37">
        <f t="shared" si="14"/>
        <v>695</v>
      </c>
      <c r="E705" s="39"/>
      <c r="F705" s="42"/>
      <c r="G705" s="30"/>
      <c r="H705" s="36" t="s">
        <v>39</v>
      </c>
    </row>
    <row r="706" spans="4:8" ht="15.75">
      <c r="D706" s="37">
        <f t="shared" si="14"/>
        <v>696</v>
      </c>
      <c r="E706" s="39"/>
      <c r="F706" s="42"/>
      <c r="G706" s="30"/>
      <c r="H706" s="36" t="s">
        <v>39</v>
      </c>
    </row>
    <row r="707" spans="4:8" ht="15.75">
      <c r="D707" s="37">
        <f t="shared" si="14"/>
        <v>697</v>
      </c>
      <c r="E707" s="39"/>
      <c r="F707" s="42"/>
      <c r="G707" s="30"/>
      <c r="H707" s="36" t="s">
        <v>39</v>
      </c>
    </row>
    <row r="708" spans="4:8" ht="15.75">
      <c r="D708" s="37">
        <f t="shared" si="14"/>
        <v>698</v>
      </c>
      <c r="E708" s="39"/>
      <c r="F708" s="42"/>
      <c r="G708" s="30"/>
      <c r="H708" s="36" t="s">
        <v>39</v>
      </c>
    </row>
    <row r="709" spans="4:8" ht="15.75">
      <c r="D709" s="37">
        <f t="shared" si="14"/>
        <v>699</v>
      </c>
      <c r="E709" s="39"/>
      <c r="F709" s="42"/>
      <c r="G709" s="30"/>
      <c r="H709" s="36" t="s">
        <v>39</v>
      </c>
    </row>
    <row r="710" spans="4:8" ht="15.75">
      <c r="D710" s="37">
        <f t="shared" si="14"/>
        <v>700</v>
      </c>
      <c r="E710" s="39"/>
      <c r="F710" s="42"/>
      <c r="G710" s="30"/>
      <c r="H710" s="36" t="s">
        <v>39</v>
      </c>
    </row>
    <row r="711" spans="4:8" ht="15.75">
      <c r="D711" s="37">
        <f t="shared" si="14"/>
        <v>701</v>
      </c>
      <c r="E711" s="39"/>
      <c r="F711" s="42"/>
      <c r="G711" s="30"/>
      <c r="H711" s="36" t="s">
        <v>39</v>
      </c>
    </row>
    <row r="712" spans="4:8" ht="15.75">
      <c r="D712" s="37">
        <f t="shared" si="14"/>
        <v>702</v>
      </c>
      <c r="E712" s="39"/>
      <c r="F712" s="42"/>
      <c r="G712" s="30"/>
      <c r="H712" s="36" t="s">
        <v>39</v>
      </c>
    </row>
    <row r="713" spans="4:8" ht="15.75">
      <c r="D713" s="37">
        <f t="shared" si="14"/>
        <v>703</v>
      </c>
      <c r="E713" s="39"/>
      <c r="F713" s="42"/>
      <c r="G713" s="30"/>
      <c r="H713" s="36" t="s">
        <v>39</v>
      </c>
    </row>
    <row r="714" spans="4:8" ht="15.75">
      <c r="D714" s="37">
        <f t="shared" si="14"/>
        <v>704</v>
      </c>
      <c r="E714" s="39"/>
      <c r="F714" s="42"/>
      <c r="G714" s="30"/>
      <c r="H714" s="36" t="s">
        <v>39</v>
      </c>
    </row>
    <row r="715" spans="4:8" ht="15.75">
      <c r="D715" s="37">
        <f t="shared" si="14"/>
        <v>705</v>
      </c>
      <c r="E715" s="39"/>
      <c r="F715" s="42"/>
      <c r="G715" s="30"/>
      <c r="H715" s="36" t="s">
        <v>39</v>
      </c>
    </row>
    <row r="716" spans="4:8" ht="15.75">
      <c r="D716" s="37">
        <f t="shared" si="14"/>
        <v>706</v>
      </c>
      <c r="E716" s="39"/>
      <c r="F716" s="42"/>
      <c r="G716" s="30"/>
      <c r="H716" s="36" t="s">
        <v>39</v>
      </c>
    </row>
    <row r="717" spans="4:8" ht="15.75">
      <c r="D717" s="37">
        <f t="shared" si="14"/>
        <v>707</v>
      </c>
      <c r="E717" s="39"/>
      <c r="F717" s="42"/>
      <c r="G717" s="30"/>
      <c r="H717" s="36" t="s">
        <v>39</v>
      </c>
    </row>
    <row r="718" spans="4:8" ht="15.75">
      <c r="D718" s="37">
        <f t="shared" si="14"/>
        <v>708</v>
      </c>
      <c r="E718" s="39"/>
      <c r="F718" s="42"/>
      <c r="G718" s="30"/>
      <c r="H718" s="36" t="s">
        <v>39</v>
      </c>
    </row>
    <row r="719" spans="4:8" ht="15.75">
      <c r="D719" s="37">
        <f t="shared" si="14"/>
        <v>709</v>
      </c>
      <c r="E719" s="39"/>
      <c r="F719" s="42"/>
      <c r="G719" s="30"/>
      <c r="H719" s="36" t="s">
        <v>39</v>
      </c>
    </row>
    <row r="720" spans="4:8" ht="15.75">
      <c r="D720" s="37">
        <f t="shared" si="14"/>
        <v>710</v>
      </c>
      <c r="E720" s="39"/>
      <c r="F720" s="42"/>
      <c r="G720" s="30"/>
      <c r="H720" s="36" t="s">
        <v>39</v>
      </c>
    </row>
    <row r="721" spans="4:8" ht="15.75">
      <c r="D721" s="37">
        <f t="shared" si="14"/>
        <v>711</v>
      </c>
      <c r="E721" s="39"/>
      <c r="F721" s="42"/>
      <c r="G721" s="30"/>
      <c r="H721" s="36" t="s">
        <v>39</v>
      </c>
    </row>
    <row r="722" spans="4:8" ht="15.75">
      <c r="D722" s="37">
        <f t="shared" si="14"/>
        <v>712</v>
      </c>
      <c r="E722" s="39"/>
      <c r="F722" s="42"/>
      <c r="G722" s="30"/>
      <c r="H722" s="36" t="s">
        <v>39</v>
      </c>
    </row>
    <row r="723" spans="4:8" ht="15.75">
      <c r="D723" s="37">
        <f t="shared" si="14"/>
        <v>713</v>
      </c>
      <c r="E723" s="39"/>
      <c r="F723" s="42"/>
      <c r="G723" s="30"/>
      <c r="H723" s="36" t="s">
        <v>39</v>
      </c>
    </row>
    <row r="724" spans="4:8" ht="15.75">
      <c r="D724" s="37">
        <f t="shared" si="14"/>
        <v>714</v>
      </c>
      <c r="E724" s="39"/>
      <c r="F724" s="42"/>
      <c r="G724" s="30"/>
      <c r="H724" s="36" t="s">
        <v>39</v>
      </c>
    </row>
    <row r="725" spans="4:8" ht="15.75">
      <c r="D725" s="37">
        <f t="shared" si="14"/>
        <v>715</v>
      </c>
      <c r="E725" s="39"/>
      <c r="F725" s="42"/>
      <c r="G725" s="30"/>
      <c r="H725" s="36" t="s">
        <v>39</v>
      </c>
    </row>
    <row r="726" spans="4:8" ht="15.75">
      <c r="D726" s="37">
        <f t="shared" si="14"/>
        <v>716</v>
      </c>
      <c r="E726" s="39"/>
      <c r="F726" s="42"/>
      <c r="G726" s="30"/>
      <c r="H726" s="36" t="s">
        <v>39</v>
      </c>
    </row>
    <row r="727" spans="4:8" ht="15.75">
      <c r="D727" s="37">
        <f t="shared" si="14"/>
        <v>717</v>
      </c>
      <c r="E727" s="39"/>
      <c r="F727" s="42"/>
      <c r="G727" s="30"/>
      <c r="H727" s="36" t="s">
        <v>39</v>
      </c>
    </row>
    <row r="728" spans="4:8" ht="15.75">
      <c r="D728" s="37">
        <f t="shared" si="14"/>
        <v>718</v>
      </c>
      <c r="E728" s="39"/>
      <c r="F728" s="42"/>
      <c r="G728" s="30"/>
      <c r="H728" s="36" t="s">
        <v>39</v>
      </c>
    </row>
    <row r="729" spans="4:8" ht="15.75">
      <c r="D729" s="37">
        <f t="shared" si="14"/>
        <v>719</v>
      </c>
      <c r="E729" s="39"/>
      <c r="F729" s="42"/>
      <c r="G729" s="30"/>
      <c r="H729" s="36" t="s">
        <v>39</v>
      </c>
    </row>
    <row r="730" spans="4:8" ht="15.75">
      <c r="D730" s="37">
        <f t="shared" si="14"/>
        <v>720</v>
      </c>
      <c r="E730" s="39"/>
      <c r="F730" s="42"/>
      <c r="G730" s="30"/>
      <c r="H730" s="36" t="s">
        <v>39</v>
      </c>
    </row>
    <row r="731" spans="4:8" ht="15.75">
      <c r="D731" s="37">
        <f t="shared" si="14"/>
        <v>721</v>
      </c>
      <c r="E731" s="39"/>
      <c r="F731" s="42"/>
      <c r="G731" s="30"/>
      <c r="H731" s="36" t="s">
        <v>39</v>
      </c>
    </row>
    <row r="732" spans="4:8" ht="15.75">
      <c r="D732" s="37">
        <f t="shared" si="14"/>
        <v>722</v>
      </c>
      <c r="E732" s="39"/>
      <c r="F732" s="42"/>
      <c r="G732" s="30"/>
      <c r="H732" s="36" t="s">
        <v>39</v>
      </c>
    </row>
    <row r="733" spans="4:8" ht="15.75">
      <c r="D733" s="37">
        <f t="shared" si="14"/>
        <v>723</v>
      </c>
      <c r="E733" s="39"/>
      <c r="F733" s="42"/>
      <c r="G733" s="30"/>
      <c r="H733" s="36" t="s">
        <v>39</v>
      </c>
    </row>
    <row r="734" spans="4:8" ht="15.75">
      <c r="D734" s="37">
        <f t="shared" si="14"/>
        <v>724</v>
      </c>
      <c r="E734" s="39"/>
      <c r="F734" s="42"/>
      <c r="G734" s="30"/>
      <c r="H734" s="36" t="s">
        <v>39</v>
      </c>
    </row>
    <row r="735" spans="4:8" ht="15.75">
      <c r="D735" s="37">
        <f t="shared" si="14"/>
        <v>725</v>
      </c>
      <c r="E735" s="39"/>
      <c r="F735" s="42"/>
      <c r="G735" s="30"/>
      <c r="H735" s="36" t="s">
        <v>39</v>
      </c>
    </row>
    <row r="736" spans="4:8" ht="15.75">
      <c r="D736" s="37">
        <f t="shared" si="14"/>
        <v>726</v>
      </c>
      <c r="E736" s="39"/>
      <c r="F736" s="42"/>
      <c r="G736" s="30"/>
      <c r="H736" s="36" t="s">
        <v>39</v>
      </c>
    </row>
    <row r="737" spans="4:8" ht="15.75">
      <c r="D737" s="37">
        <f t="shared" si="14"/>
        <v>727</v>
      </c>
      <c r="E737" s="39"/>
      <c r="F737" s="42"/>
      <c r="G737" s="30"/>
      <c r="H737" s="36" t="s">
        <v>39</v>
      </c>
    </row>
    <row r="738" spans="4:8" ht="15.75">
      <c r="D738" s="37">
        <f t="shared" si="14"/>
        <v>728</v>
      </c>
      <c r="E738" s="39"/>
      <c r="F738" s="42"/>
      <c r="G738" s="30"/>
      <c r="H738" s="36" t="s">
        <v>39</v>
      </c>
    </row>
    <row r="739" spans="4:8" ht="15.75">
      <c r="D739" s="37">
        <f t="shared" si="14"/>
        <v>729</v>
      </c>
      <c r="E739" s="39"/>
      <c r="F739" s="42"/>
      <c r="G739" s="30"/>
      <c r="H739" s="36" t="s">
        <v>39</v>
      </c>
    </row>
    <row r="740" spans="4:8" ht="15.75">
      <c r="D740" s="37">
        <f t="shared" si="14"/>
        <v>730</v>
      </c>
      <c r="E740" s="39"/>
      <c r="F740" s="42"/>
      <c r="G740" s="30"/>
      <c r="H740" s="36" t="s">
        <v>39</v>
      </c>
    </row>
    <row r="741" spans="4:8" ht="15.75">
      <c r="D741" s="37">
        <f t="shared" si="14"/>
        <v>731</v>
      </c>
      <c r="E741" s="39"/>
      <c r="F741" s="42"/>
      <c r="G741" s="30"/>
      <c r="H741" s="36" t="s">
        <v>39</v>
      </c>
    </row>
    <row r="742" spans="4:8" ht="15.75">
      <c r="D742" s="37">
        <f t="shared" si="14"/>
        <v>732</v>
      </c>
      <c r="E742" s="39"/>
      <c r="F742" s="42"/>
      <c r="G742" s="30"/>
      <c r="H742" s="36" t="s">
        <v>39</v>
      </c>
    </row>
    <row r="743" spans="4:8" ht="15.75">
      <c r="D743" s="37">
        <f t="shared" si="14"/>
        <v>733</v>
      </c>
      <c r="E743" s="39"/>
      <c r="F743" s="42"/>
      <c r="G743" s="30"/>
      <c r="H743" s="36" t="s">
        <v>39</v>
      </c>
    </row>
    <row r="744" spans="4:8" ht="15.75">
      <c r="D744" s="37">
        <f t="shared" si="14"/>
        <v>734</v>
      </c>
      <c r="E744" s="39"/>
      <c r="F744" s="42"/>
      <c r="G744" s="30"/>
      <c r="H744" s="36" t="s">
        <v>39</v>
      </c>
    </row>
    <row r="745" spans="4:8" ht="15.75">
      <c r="D745" s="37">
        <f t="shared" si="14"/>
        <v>735</v>
      </c>
      <c r="E745" s="39"/>
      <c r="F745" s="42"/>
      <c r="G745" s="30"/>
      <c r="H745" s="36" t="s">
        <v>39</v>
      </c>
    </row>
    <row r="746" spans="4:8" ht="15.75">
      <c r="D746" s="37">
        <f t="shared" si="14"/>
        <v>736</v>
      </c>
      <c r="E746" s="39"/>
      <c r="F746" s="42"/>
      <c r="G746" s="30"/>
      <c r="H746" s="36" t="s">
        <v>39</v>
      </c>
    </row>
    <row r="747" spans="4:8" ht="15.75">
      <c r="D747" s="37">
        <f t="shared" si="14"/>
        <v>737</v>
      </c>
      <c r="E747" s="39"/>
      <c r="F747" s="42"/>
      <c r="G747" s="30"/>
      <c r="H747" s="36" t="s">
        <v>39</v>
      </c>
    </row>
    <row r="748" spans="4:8" ht="15.75">
      <c r="D748" s="37">
        <f t="shared" si="14"/>
        <v>738</v>
      </c>
      <c r="E748" s="39"/>
      <c r="F748" s="42"/>
      <c r="G748" s="30"/>
      <c r="H748" s="36" t="s">
        <v>39</v>
      </c>
    </row>
    <row r="749" spans="4:8" ht="15.75">
      <c r="D749" s="37">
        <f t="shared" si="14"/>
        <v>739</v>
      </c>
      <c r="E749" s="39"/>
      <c r="F749" s="42"/>
      <c r="G749" s="30"/>
      <c r="H749" s="36" t="s">
        <v>39</v>
      </c>
    </row>
    <row r="750" spans="4:8" ht="15.75">
      <c r="D750" s="37">
        <f t="shared" si="14"/>
        <v>740</v>
      </c>
      <c r="E750" s="39"/>
      <c r="F750" s="42"/>
      <c r="G750" s="30"/>
      <c r="H750" s="36" t="s">
        <v>39</v>
      </c>
    </row>
    <row r="751" spans="4:8" ht="15.75">
      <c r="D751" s="37">
        <f t="shared" si="14"/>
        <v>741</v>
      </c>
      <c r="E751" s="39"/>
      <c r="F751" s="42"/>
      <c r="G751" s="30"/>
      <c r="H751" s="36" t="s">
        <v>39</v>
      </c>
    </row>
    <row r="752" spans="4:8" ht="15.75">
      <c r="D752" s="37">
        <f t="shared" si="14"/>
        <v>742</v>
      </c>
      <c r="E752" s="39"/>
      <c r="F752" s="42"/>
      <c r="G752" s="30"/>
      <c r="H752" s="36" t="s">
        <v>39</v>
      </c>
    </row>
    <row r="753" spans="4:8" ht="15.75">
      <c r="D753" s="37">
        <f t="shared" si="14"/>
        <v>743</v>
      </c>
      <c r="E753" s="39"/>
      <c r="F753" s="42"/>
      <c r="G753" s="30"/>
      <c r="H753" s="36" t="s">
        <v>39</v>
      </c>
    </row>
    <row r="754" spans="4:8" ht="15.75">
      <c r="D754" s="37">
        <f t="shared" si="14"/>
        <v>744</v>
      </c>
      <c r="E754" s="39"/>
      <c r="F754" s="42"/>
      <c r="G754" s="30"/>
      <c r="H754" s="36" t="s">
        <v>39</v>
      </c>
    </row>
    <row r="755" spans="4:8" ht="15.75">
      <c r="D755" s="37">
        <f t="shared" si="14"/>
        <v>745</v>
      </c>
      <c r="E755" s="39"/>
      <c r="F755" s="42"/>
      <c r="G755" s="30"/>
      <c r="H755" s="36" t="s">
        <v>39</v>
      </c>
    </row>
    <row r="756" spans="4:8" ht="15.75">
      <c r="D756" s="37">
        <f t="shared" si="14"/>
        <v>746</v>
      </c>
      <c r="E756" s="39"/>
      <c r="F756" s="42"/>
      <c r="G756" s="30"/>
      <c r="H756" s="36" t="s">
        <v>39</v>
      </c>
    </row>
    <row r="757" spans="4:8" ht="15.75">
      <c r="D757" s="37">
        <f t="shared" si="14"/>
        <v>747</v>
      </c>
      <c r="E757" s="39"/>
      <c r="F757" s="42"/>
      <c r="G757" s="30"/>
      <c r="H757" s="36" t="s">
        <v>39</v>
      </c>
    </row>
    <row r="758" spans="4:8" ht="15.75">
      <c r="D758" s="37">
        <f t="shared" ref="D758:D821" si="15">D757+1</f>
        <v>748</v>
      </c>
      <c r="E758" s="39"/>
      <c r="F758" s="42"/>
      <c r="G758" s="30"/>
      <c r="H758" s="36" t="s">
        <v>39</v>
      </c>
    </row>
    <row r="759" spans="4:8" ht="15.75">
      <c r="D759" s="37">
        <f t="shared" si="15"/>
        <v>749</v>
      </c>
      <c r="E759" s="39"/>
      <c r="F759" s="42"/>
      <c r="G759" s="30"/>
      <c r="H759" s="36" t="s">
        <v>39</v>
      </c>
    </row>
    <row r="760" spans="4:8" ht="15.75">
      <c r="D760" s="37">
        <f t="shared" si="15"/>
        <v>750</v>
      </c>
      <c r="E760" s="39"/>
      <c r="F760" s="42"/>
      <c r="G760" s="30"/>
      <c r="H760" s="36" t="s">
        <v>39</v>
      </c>
    </row>
    <row r="761" spans="4:8" ht="15.75">
      <c r="D761" s="37">
        <f t="shared" si="15"/>
        <v>751</v>
      </c>
      <c r="E761" s="39"/>
      <c r="F761" s="42"/>
      <c r="G761" s="30"/>
      <c r="H761" s="36" t="s">
        <v>39</v>
      </c>
    </row>
    <row r="762" spans="4:8" ht="15.75">
      <c r="D762" s="37">
        <f t="shared" si="15"/>
        <v>752</v>
      </c>
      <c r="E762" s="39"/>
      <c r="F762" s="42"/>
      <c r="G762" s="30"/>
      <c r="H762" s="36" t="s">
        <v>39</v>
      </c>
    </row>
    <row r="763" spans="4:8" ht="15.75">
      <c r="D763" s="37">
        <f t="shared" si="15"/>
        <v>753</v>
      </c>
      <c r="E763" s="39"/>
      <c r="F763" s="42"/>
      <c r="G763" s="30"/>
      <c r="H763" s="36" t="s">
        <v>39</v>
      </c>
    </row>
    <row r="764" spans="4:8" ht="15.75">
      <c r="D764" s="37">
        <f t="shared" si="15"/>
        <v>754</v>
      </c>
      <c r="E764" s="39"/>
      <c r="F764" s="42"/>
      <c r="G764" s="30"/>
      <c r="H764" s="36" t="s">
        <v>39</v>
      </c>
    </row>
    <row r="765" spans="4:8" ht="15.75">
      <c r="D765" s="37">
        <f t="shared" si="15"/>
        <v>755</v>
      </c>
      <c r="E765" s="39"/>
      <c r="F765" s="42"/>
      <c r="G765" s="30"/>
      <c r="H765" s="36" t="s">
        <v>39</v>
      </c>
    </row>
    <row r="766" spans="4:8" ht="15.75">
      <c r="D766" s="37">
        <f t="shared" si="15"/>
        <v>756</v>
      </c>
      <c r="E766" s="39"/>
      <c r="F766" s="42"/>
      <c r="G766" s="30"/>
      <c r="H766" s="36" t="s">
        <v>39</v>
      </c>
    </row>
    <row r="767" spans="4:8" ht="15.75">
      <c r="D767" s="37">
        <f t="shared" si="15"/>
        <v>757</v>
      </c>
      <c r="E767" s="39"/>
      <c r="F767" s="42"/>
      <c r="G767" s="30"/>
      <c r="H767" s="36" t="s">
        <v>39</v>
      </c>
    </row>
    <row r="768" spans="4:8" ht="15.75">
      <c r="D768" s="37">
        <f t="shared" si="15"/>
        <v>758</v>
      </c>
      <c r="E768" s="39"/>
      <c r="F768" s="42"/>
      <c r="G768" s="30"/>
      <c r="H768" s="36" t="s">
        <v>39</v>
      </c>
    </row>
    <row r="769" spans="4:8" ht="15.75">
      <c r="D769" s="37">
        <f t="shared" si="15"/>
        <v>759</v>
      </c>
      <c r="E769" s="39"/>
      <c r="F769" s="42"/>
      <c r="G769" s="30"/>
      <c r="H769" s="36" t="s">
        <v>39</v>
      </c>
    </row>
    <row r="770" spans="4:8" ht="15.75">
      <c r="D770" s="37">
        <f t="shared" si="15"/>
        <v>760</v>
      </c>
      <c r="E770" s="39"/>
      <c r="F770" s="42"/>
      <c r="G770" s="30"/>
      <c r="H770" s="36" t="s">
        <v>39</v>
      </c>
    </row>
    <row r="771" spans="4:8" ht="15.75">
      <c r="D771" s="37">
        <f t="shared" si="15"/>
        <v>761</v>
      </c>
      <c r="E771" s="39"/>
      <c r="F771" s="42"/>
      <c r="G771" s="30"/>
      <c r="H771" s="36" t="s">
        <v>39</v>
      </c>
    </row>
    <row r="772" spans="4:8" ht="15.75">
      <c r="D772" s="37">
        <f t="shared" si="15"/>
        <v>762</v>
      </c>
      <c r="E772" s="39"/>
      <c r="F772" s="42"/>
      <c r="G772" s="30"/>
      <c r="H772" s="36" t="s">
        <v>39</v>
      </c>
    </row>
    <row r="773" spans="4:8" ht="15.75">
      <c r="D773" s="37">
        <f t="shared" si="15"/>
        <v>763</v>
      </c>
      <c r="E773" s="39"/>
      <c r="F773" s="42"/>
      <c r="G773" s="30"/>
      <c r="H773" s="36" t="s">
        <v>39</v>
      </c>
    </row>
    <row r="774" spans="4:8" ht="15.75">
      <c r="D774" s="37">
        <f t="shared" si="15"/>
        <v>764</v>
      </c>
      <c r="E774" s="39"/>
      <c r="F774" s="42"/>
      <c r="G774" s="30"/>
      <c r="H774" s="36" t="s">
        <v>39</v>
      </c>
    </row>
    <row r="775" spans="4:8" ht="15.75">
      <c r="D775" s="37">
        <f t="shared" si="15"/>
        <v>765</v>
      </c>
      <c r="E775" s="39"/>
      <c r="F775" s="42"/>
      <c r="G775" s="30"/>
      <c r="H775" s="36" t="s">
        <v>39</v>
      </c>
    </row>
    <row r="776" spans="4:8" ht="15.75">
      <c r="D776" s="37">
        <f t="shared" si="15"/>
        <v>766</v>
      </c>
      <c r="E776" s="39"/>
      <c r="F776" s="42"/>
      <c r="G776" s="30"/>
      <c r="H776" s="36" t="s">
        <v>39</v>
      </c>
    </row>
    <row r="777" spans="4:8" ht="15.75">
      <c r="D777" s="37">
        <f t="shared" si="15"/>
        <v>767</v>
      </c>
      <c r="E777" s="39"/>
      <c r="F777" s="42"/>
      <c r="G777" s="30"/>
      <c r="H777" s="36" t="s">
        <v>39</v>
      </c>
    </row>
    <row r="778" spans="4:8" ht="15.75">
      <c r="D778" s="37">
        <f t="shared" si="15"/>
        <v>768</v>
      </c>
      <c r="E778" s="39"/>
      <c r="F778" s="42"/>
      <c r="G778" s="30"/>
      <c r="H778" s="36" t="s">
        <v>39</v>
      </c>
    </row>
    <row r="779" spans="4:8" ht="15.75">
      <c r="D779" s="37">
        <f t="shared" si="15"/>
        <v>769</v>
      </c>
      <c r="E779" s="39"/>
      <c r="F779" s="42"/>
      <c r="G779" s="30"/>
      <c r="H779" s="36" t="s">
        <v>39</v>
      </c>
    </row>
    <row r="780" spans="4:8" ht="15.75">
      <c r="D780" s="37">
        <f t="shared" si="15"/>
        <v>770</v>
      </c>
      <c r="E780" s="39"/>
      <c r="F780" s="42"/>
      <c r="G780" s="30"/>
      <c r="H780" s="36" t="s">
        <v>39</v>
      </c>
    </row>
    <row r="781" spans="4:8" ht="15.75">
      <c r="D781" s="37">
        <f t="shared" si="15"/>
        <v>771</v>
      </c>
      <c r="E781" s="39"/>
      <c r="F781" s="42"/>
      <c r="G781" s="30"/>
      <c r="H781" s="36" t="s">
        <v>39</v>
      </c>
    </row>
    <row r="782" spans="4:8" ht="15.75">
      <c r="D782" s="37">
        <f t="shared" si="15"/>
        <v>772</v>
      </c>
      <c r="E782" s="39"/>
      <c r="F782" s="42"/>
      <c r="G782" s="30"/>
      <c r="H782" s="36" t="s">
        <v>39</v>
      </c>
    </row>
    <row r="783" spans="4:8" ht="15.75">
      <c r="D783" s="37">
        <f t="shared" si="15"/>
        <v>773</v>
      </c>
      <c r="E783" s="39"/>
      <c r="F783" s="42"/>
      <c r="G783" s="30"/>
      <c r="H783" s="36" t="s">
        <v>39</v>
      </c>
    </row>
    <row r="784" spans="4:8" ht="15.75">
      <c r="D784" s="37">
        <f t="shared" si="15"/>
        <v>774</v>
      </c>
      <c r="E784" s="39"/>
      <c r="F784" s="42"/>
      <c r="G784" s="30"/>
      <c r="H784" s="36" t="s">
        <v>39</v>
      </c>
    </row>
    <row r="785" spans="4:8" ht="15.75">
      <c r="D785" s="37">
        <f t="shared" si="15"/>
        <v>775</v>
      </c>
      <c r="E785" s="39"/>
      <c r="F785" s="42"/>
      <c r="G785" s="30"/>
      <c r="H785" s="36" t="s">
        <v>39</v>
      </c>
    </row>
    <row r="786" spans="4:8" ht="15.75">
      <c r="D786" s="37">
        <f t="shared" si="15"/>
        <v>776</v>
      </c>
      <c r="E786" s="39"/>
      <c r="F786" s="42"/>
      <c r="G786" s="30"/>
      <c r="H786" s="36" t="s">
        <v>39</v>
      </c>
    </row>
    <row r="787" spans="4:8" ht="15.75">
      <c r="D787" s="37">
        <f t="shared" si="15"/>
        <v>777</v>
      </c>
      <c r="E787" s="39"/>
      <c r="F787" s="42"/>
      <c r="G787" s="30"/>
      <c r="H787" s="36" t="s">
        <v>39</v>
      </c>
    </row>
    <row r="788" spans="4:8" ht="15.75">
      <c r="D788" s="37">
        <f t="shared" si="15"/>
        <v>778</v>
      </c>
      <c r="E788" s="39"/>
      <c r="F788" s="42"/>
      <c r="G788" s="30"/>
      <c r="H788" s="36" t="s">
        <v>39</v>
      </c>
    </row>
    <row r="789" spans="4:8" ht="15.75">
      <c r="D789" s="37">
        <f t="shared" si="15"/>
        <v>779</v>
      </c>
      <c r="E789" s="39"/>
      <c r="F789" s="42"/>
      <c r="G789" s="30"/>
      <c r="H789" s="36" t="s">
        <v>39</v>
      </c>
    </row>
    <row r="790" spans="4:8" ht="15.75">
      <c r="D790" s="37">
        <f t="shared" si="15"/>
        <v>780</v>
      </c>
      <c r="E790" s="39"/>
      <c r="F790" s="42"/>
      <c r="G790" s="30"/>
      <c r="H790" s="36" t="s">
        <v>39</v>
      </c>
    </row>
    <row r="791" spans="4:8" ht="15.75">
      <c r="D791" s="37">
        <f t="shared" si="15"/>
        <v>781</v>
      </c>
      <c r="E791" s="39"/>
      <c r="F791" s="42"/>
      <c r="G791" s="30"/>
      <c r="H791" s="36" t="s">
        <v>39</v>
      </c>
    </row>
    <row r="792" spans="4:8" ht="15.75">
      <c r="D792" s="37">
        <f t="shared" si="15"/>
        <v>782</v>
      </c>
      <c r="E792" s="39"/>
      <c r="F792" s="42"/>
      <c r="G792" s="30"/>
      <c r="H792" s="36" t="s">
        <v>39</v>
      </c>
    </row>
    <row r="793" spans="4:8" ht="15.75">
      <c r="D793" s="37">
        <f t="shared" si="15"/>
        <v>783</v>
      </c>
      <c r="E793" s="39"/>
      <c r="F793" s="42"/>
      <c r="G793" s="30"/>
      <c r="H793" s="36" t="s">
        <v>39</v>
      </c>
    </row>
    <row r="794" spans="4:8" ht="15.75">
      <c r="D794" s="37">
        <f t="shared" si="15"/>
        <v>784</v>
      </c>
      <c r="E794" s="39"/>
      <c r="F794" s="42"/>
      <c r="G794" s="30"/>
      <c r="H794" s="36" t="s">
        <v>39</v>
      </c>
    </row>
    <row r="795" spans="4:8" ht="15.75">
      <c r="D795" s="37">
        <f t="shared" si="15"/>
        <v>785</v>
      </c>
      <c r="E795" s="39"/>
      <c r="F795" s="42"/>
      <c r="G795" s="30"/>
      <c r="H795" s="36" t="s">
        <v>39</v>
      </c>
    </row>
    <row r="796" spans="4:8" ht="15.75">
      <c r="D796" s="37">
        <f t="shared" si="15"/>
        <v>786</v>
      </c>
      <c r="E796" s="39"/>
      <c r="F796" s="42"/>
      <c r="G796" s="30"/>
      <c r="H796" s="36" t="s">
        <v>39</v>
      </c>
    </row>
    <row r="797" spans="4:8" ht="15.75">
      <c r="D797" s="37">
        <f t="shared" si="15"/>
        <v>787</v>
      </c>
      <c r="E797" s="39"/>
      <c r="F797" s="42"/>
      <c r="G797" s="30"/>
      <c r="H797" s="36" t="s">
        <v>39</v>
      </c>
    </row>
    <row r="798" spans="4:8" ht="15.75">
      <c r="D798" s="37">
        <f t="shared" si="15"/>
        <v>788</v>
      </c>
      <c r="E798" s="39"/>
      <c r="F798" s="42"/>
      <c r="G798" s="30"/>
      <c r="H798" s="36" t="s">
        <v>39</v>
      </c>
    </row>
    <row r="799" spans="4:8" ht="15.75">
      <c r="D799" s="37">
        <f t="shared" si="15"/>
        <v>789</v>
      </c>
      <c r="E799" s="39"/>
      <c r="F799" s="42"/>
      <c r="G799" s="30"/>
      <c r="H799" s="36" t="s">
        <v>39</v>
      </c>
    </row>
    <row r="800" spans="4:8" ht="15.75">
      <c r="D800" s="37">
        <f t="shared" si="15"/>
        <v>790</v>
      </c>
      <c r="E800" s="39"/>
      <c r="F800" s="42"/>
      <c r="G800" s="30"/>
      <c r="H800" s="36" t="s">
        <v>39</v>
      </c>
    </row>
    <row r="801" spans="4:8" ht="15.75">
      <c r="D801" s="37">
        <f t="shared" si="15"/>
        <v>791</v>
      </c>
      <c r="E801" s="39"/>
      <c r="F801" s="42"/>
      <c r="G801" s="30"/>
      <c r="H801" s="36" t="s">
        <v>39</v>
      </c>
    </row>
    <row r="802" spans="4:8" ht="15.75">
      <c r="D802" s="37">
        <f t="shared" si="15"/>
        <v>792</v>
      </c>
      <c r="E802" s="39"/>
      <c r="F802" s="42"/>
      <c r="G802" s="30"/>
      <c r="H802" s="36" t="s">
        <v>39</v>
      </c>
    </row>
    <row r="803" spans="4:8" ht="15.75">
      <c r="D803" s="37">
        <f t="shared" si="15"/>
        <v>793</v>
      </c>
      <c r="E803" s="39"/>
      <c r="F803" s="42"/>
      <c r="G803" s="30"/>
      <c r="H803" s="36" t="s">
        <v>39</v>
      </c>
    </row>
    <row r="804" spans="4:8" ht="15.75">
      <c r="D804" s="37">
        <f t="shared" si="15"/>
        <v>794</v>
      </c>
      <c r="E804" s="39"/>
      <c r="F804" s="42"/>
      <c r="G804" s="30"/>
      <c r="H804" s="36" t="s">
        <v>39</v>
      </c>
    </row>
    <row r="805" spans="4:8" ht="15.75">
      <c r="D805" s="37">
        <f t="shared" si="15"/>
        <v>795</v>
      </c>
      <c r="E805" s="39"/>
      <c r="F805" s="42"/>
      <c r="G805" s="30"/>
      <c r="H805" s="36" t="s">
        <v>39</v>
      </c>
    </row>
    <row r="806" spans="4:8" ht="15.75">
      <c r="D806" s="37">
        <f t="shared" si="15"/>
        <v>796</v>
      </c>
      <c r="E806" s="39"/>
      <c r="F806" s="42"/>
      <c r="G806" s="30"/>
      <c r="H806" s="36" t="s">
        <v>39</v>
      </c>
    </row>
    <row r="807" spans="4:8" ht="15.75">
      <c r="D807" s="37">
        <f t="shared" si="15"/>
        <v>797</v>
      </c>
      <c r="E807" s="39"/>
      <c r="F807" s="42"/>
      <c r="G807" s="30"/>
      <c r="H807" s="36" t="s">
        <v>39</v>
      </c>
    </row>
    <row r="808" spans="4:8" ht="15.75">
      <c r="D808" s="37">
        <f t="shared" si="15"/>
        <v>798</v>
      </c>
      <c r="E808" s="39"/>
      <c r="F808" s="42"/>
      <c r="G808" s="30"/>
      <c r="H808" s="36" t="s">
        <v>39</v>
      </c>
    </row>
    <row r="809" spans="4:8" ht="15.75">
      <c r="D809" s="37">
        <f t="shared" si="15"/>
        <v>799</v>
      </c>
      <c r="E809" s="39"/>
      <c r="F809" s="42"/>
      <c r="G809" s="30"/>
      <c r="H809" s="36" t="s">
        <v>39</v>
      </c>
    </row>
    <row r="810" spans="4:8" ht="15.75">
      <c r="D810" s="37">
        <f t="shared" si="15"/>
        <v>800</v>
      </c>
      <c r="E810" s="39"/>
      <c r="F810" s="42"/>
      <c r="G810" s="30"/>
      <c r="H810" s="36" t="s">
        <v>39</v>
      </c>
    </row>
    <row r="811" spans="4:8" ht="15.75">
      <c r="D811" s="37">
        <f t="shared" si="15"/>
        <v>801</v>
      </c>
      <c r="E811" s="39"/>
      <c r="F811" s="42"/>
      <c r="G811" s="30"/>
      <c r="H811" s="36" t="s">
        <v>39</v>
      </c>
    </row>
    <row r="812" spans="4:8" ht="15.75">
      <c r="D812" s="37">
        <f t="shared" si="15"/>
        <v>802</v>
      </c>
      <c r="E812" s="39"/>
      <c r="F812" s="42"/>
      <c r="G812" s="30"/>
      <c r="H812" s="36" t="s">
        <v>39</v>
      </c>
    </row>
    <row r="813" spans="4:8" ht="15.75">
      <c r="D813" s="37">
        <f t="shared" si="15"/>
        <v>803</v>
      </c>
      <c r="E813" s="39"/>
      <c r="F813" s="42"/>
      <c r="G813" s="30"/>
      <c r="H813" s="36" t="s">
        <v>39</v>
      </c>
    </row>
    <row r="814" spans="4:8" ht="15.75">
      <c r="D814" s="37">
        <f t="shared" si="15"/>
        <v>804</v>
      </c>
      <c r="E814" s="39"/>
      <c r="F814" s="42"/>
      <c r="G814" s="30"/>
      <c r="H814" s="36" t="s">
        <v>39</v>
      </c>
    </row>
    <row r="815" spans="4:8" ht="15.75">
      <c r="D815" s="37">
        <f t="shared" si="15"/>
        <v>805</v>
      </c>
      <c r="E815" s="39"/>
      <c r="F815" s="42"/>
      <c r="G815" s="30"/>
      <c r="H815" s="36" t="s">
        <v>39</v>
      </c>
    </row>
    <row r="816" spans="4:8" ht="15.75">
      <c r="D816" s="37">
        <f t="shared" si="15"/>
        <v>806</v>
      </c>
      <c r="E816" s="39"/>
      <c r="F816" s="42"/>
      <c r="G816" s="30"/>
      <c r="H816" s="36" t="s">
        <v>39</v>
      </c>
    </row>
    <row r="817" spans="4:8" ht="15.75">
      <c r="D817" s="37">
        <f t="shared" si="15"/>
        <v>807</v>
      </c>
      <c r="E817" s="39"/>
      <c r="F817" s="42"/>
      <c r="G817" s="30"/>
      <c r="H817" s="36" t="s">
        <v>39</v>
      </c>
    </row>
    <row r="818" spans="4:8" ht="15.75">
      <c r="D818" s="37">
        <f t="shared" si="15"/>
        <v>808</v>
      </c>
      <c r="E818" s="39"/>
      <c r="F818" s="42"/>
      <c r="G818" s="30"/>
      <c r="H818" s="36" t="s">
        <v>39</v>
      </c>
    </row>
    <row r="819" spans="4:8" ht="15.75">
      <c r="D819" s="37">
        <f t="shared" si="15"/>
        <v>809</v>
      </c>
      <c r="E819" s="39"/>
      <c r="F819" s="42"/>
      <c r="G819" s="30"/>
      <c r="H819" s="36" t="s">
        <v>39</v>
      </c>
    </row>
    <row r="820" spans="4:8" ht="15.75">
      <c r="D820" s="37">
        <f t="shared" si="15"/>
        <v>810</v>
      </c>
      <c r="E820" s="39"/>
      <c r="F820" s="42"/>
      <c r="G820" s="30"/>
      <c r="H820" s="36" t="s">
        <v>39</v>
      </c>
    </row>
    <row r="821" spans="4:8" ht="15.75">
      <c r="D821" s="37">
        <f t="shared" si="15"/>
        <v>811</v>
      </c>
      <c r="E821" s="39"/>
      <c r="F821" s="42"/>
      <c r="G821" s="30"/>
      <c r="H821" s="36" t="s">
        <v>39</v>
      </c>
    </row>
    <row r="822" spans="4:8" ht="15.75">
      <c r="D822" s="37">
        <f t="shared" ref="D822:D885" si="16">D821+1</f>
        <v>812</v>
      </c>
      <c r="E822" s="39"/>
      <c r="F822" s="42"/>
      <c r="G822" s="30"/>
      <c r="H822" s="36" t="s">
        <v>39</v>
      </c>
    </row>
    <row r="823" spans="4:8" ht="15.75">
      <c r="D823" s="37">
        <f t="shared" si="16"/>
        <v>813</v>
      </c>
      <c r="E823" s="39"/>
      <c r="F823" s="42"/>
      <c r="G823" s="30"/>
      <c r="H823" s="36" t="s">
        <v>39</v>
      </c>
    </row>
    <row r="824" spans="4:8" ht="15.75">
      <c r="D824" s="37">
        <f t="shared" si="16"/>
        <v>814</v>
      </c>
      <c r="E824" s="39"/>
      <c r="F824" s="42"/>
      <c r="G824" s="30"/>
      <c r="H824" s="36" t="s">
        <v>39</v>
      </c>
    </row>
    <row r="825" spans="4:8" ht="15.75">
      <c r="D825" s="37">
        <f t="shared" si="16"/>
        <v>815</v>
      </c>
      <c r="E825" s="39"/>
      <c r="F825" s="42"/>
      <c r="G825" s="30"/>
      <c r="H825" s="36" t="s">
        <v>39</v>
      </c>
    </row>
    <row r="826" spans="4:8" ht="15.75">
      <c r="D826" s="37">
        <f t="shared" si="16"/>
        <v>816</v>
      </c>
      <c r="E826" s="39"/>
      <c r="F826" s="42"/>
      <c r="G826" s="30"/>
      <c r="H826" s="36" t="s">
        <v>39</v>
      </c>
    </row>
    <row r="827" spans="4:8" ht="15.75">
      <c r="D827" s="37">
        <f t="shared" si="16"/>
        <v>817</v>
      </c>
      <c r="E827" s="39"/>
      <c r="F827" s="42"/>
      <c r="G827" s="30"/>
      <c r="H827" s="36" t="s">
        <v>39</v>
      </c>
    </row>
    <row r="828" spans="4:8" ht="15.75">
      <c r="D828" s="37">
        <f t="shared" si="16"/>
        <v>818</v>
      </c>
      <c r="E828" s="39"/>
      <c r="F828" s="42"/>
      <c r="G828" s="30"/>
      <c r="H828" s="36" t="s">
        <v>39</v>
      </c>
    </row>
    <row r="829" spans="4:8" ht="15.75">
      <c r="D829" s="37">
        <f t="shared" si="16"/>
        <v>819</v>
      </c>
      <c r="E829" s="39"/>
      <c r="F829" s="42"/>
      <c r="G829" s="30"/>
      <c r="H829" s="36" t="s">
        <v>39</v>
      </c>
    </row>
    <row r="830" spans="4:8" ht="15.75">
      <c r="D830" s="37">
        <f t="shared" si="16"/>
        <v>820</v>
      </c>
      <c r="E830" s="39"/>
      <c r="F830" s="42"/>
      <c r="G830" s="30"/>
      <c r="H830" s="36" t="s">
        <v>39</v>
      </c>
    </row>
    <row r="831" spans="4:8" ht="15.75">
      <c r="D831" s="37">
        <f t="shared" si="16"/>
        <v>821</v>
      </c>
      <c r="E831" s="39"/>
      <c r="F831" s="42"/>
      <c r="G831" s="30"/>
      <c r="H831" s="36" t="s">
        <v>39</v>
      </c>
    </row>
    <row r="832" spans="4:8" ht="15.75">
      <c r="D832" s="37">
        <f t="shared" si="16"/>
        <v>822</v>
      </c>
      <c r="E832" s="39"/>
      <c r="F832" s="42"/>
      <c r="G832" s="30"/>
      <c r="H832" s="36" t="s">
        <v>39</v>
      </c>
    </row>
    <row r="833" spans="4:8" ht="15.75">
      <c r="D833" s="37">
        <f t="shared" si="16"/>
        <v>823</v>
      </c>
      <c r="E833" s="39"/>
      <c r="F833" s="42"/>
      <c r="G833" s="30"/>
      <c r="H833" s="36" t="s">
        <v>39</v>
      </c>
    </row>
    <row r="834" spans="4:8" ht="15.75">
      <c r="D834" s="37">
        <f t="shared" si="16"/>
        <v>824</v>
      </c>
      <c r="E834" s="39"/>
      <c r="F834" s="42"/>
      <c r="G834" s="30"/>
      <c r="H834" s="36" t="s">
        <v>39</v>
      </c>
    </row>
    <row r="835" spans="4:8" ht="15.75">
      <c r="D835" s="37">
        <f t="shared" si="16"/>
        <v>825</v>
      </c>
      <c r="E835" s="39"/>
      <c r="F835" s="42"/>
      <c r="G835" s="30"/>
      <c r="H835" s="36" t="s">
        <v>39</v>
      </c>
    </row>
    <row r="836" spans="4:8" ht="15.75">
      <c r="D836" s="37">
        <f t="shared" si="16"/>
        <v>826</v>
      </c>
      <c r="E836" s="39"/>
      <c r="F836" s="42"/>
      <c r="G836" s="30"/>
      <c r="H836" s="36" t="s">
        <v>39</v>
      </c>
    </row>
    <row r="837" spans="4:8" ht="15.75">
      <c r="D837" s="37">
        <f t="shared" si="16"/>
        <v>827</v>
      </c>
      <c r="E837" s="39"/>
      <c r="F837" s="42"/>
      <c r="G837" s="30"/>
      <c r="H837" s="36" t="s">
        <v>39</v>
      </c>
    </row>
    <row r="838" spans="4:8" ht="15.75">
      <c r="D838" s="37">
        <f t="shared" si="16"/>
        <v>828</v>
      </c>
      <c r="E838" s="39"/>
      <c r="F838" s="42"/>
      <c r="G838" s="30"/>
      <c r="H838" s="36" t="s">
        <v>39</v>
      </c>
    </row>
    <row r="839" spans="4:8" ht="15.75">
      <c r="D839" s="37">
        <f t="shared" si="16"/>
        <v>829</v>
      </c>
      <c r="E839" s="39"/>
      <c r="F839" s="42"/>
      <c r="G839" s="30"/>
      <c r="H839" s="36" t="s">
        <v>39</v>
      </c>
    </row>
    <row r="840" spans="4:8" ht="15.75">
      <c r="D840" s="37">
        <f t="shared" si="16"/>
        <v>830</v>
      </c>
      <c r="E840" s="39"/>
      <c r="F840" s="42"/>
      <c r="G840" s="30"/>
      <c r="H840" s="36" t="s">
        <v>39</v>
      </c>
    </row>
    <row r="841" spans="4:8" ht="15.75">
      <c r="D841" s="37">
        <f t="shared" si="16"/>
        <v>831</v>
      </c>
      <c r="E841" s="39"/>
      <c r="F841" s="42"/>
      <c r="G841" s="30"/>
      <c r="H841" s="36" t="s">
        <v>39</v>
      </c>
    </row>
    <row r="842" spans="4:8" ht="15.75">
      <c r="D842" s="37">
        <f t="shared" si="16"/>
        <v>832</v>
      </c>
      <c r="E842" s="39"/>
      <c r="F842" s="42"/>
      <c r="G842" s="30"/>
      <c r="H842" s="36" t="s">
        <v>39</v>
      </c>
    </row>
    <row r="843" spans="4:8" ht="15.75">
      <c r="D843" s="37">
        <f t="shared" si="16"/>
        <v>833</v>
      </c>
      <c r="E843" s="39"/>
      <c r="F843" s="42"/>
      <c r="G843" s="30"/>
      <c r="H843" s="36" t="s">
        <v>39</v>
      </c>
    </row>
    <row r="844" spans="4:8" ht="15.75">
      <c r="D844" s="37">
        <f t="shared" si="16"/>
        <v>834</v>
      </c>
      <c r="E844" s="39"/>
      <c r="F844" s="42"/>
      <c r="G844" s="30"/>
      <c r="H844" s="36" t="s">
        <v>39</v>
      </c>
    </row>
    <row r="845" spans="4:8" ht="15.75">
      <c r="D845" s="37">
        <f t="shared" si="16"/>
        <v>835</v>
      </c>
      <c r="E845" s="39"/>
      <c r="F845" s="42"/>
      <c r="G845" s="30"/>
      <c r="H845" s="36" t="s">
        <v>39</v>
      </c>
    </row>
    <row r="846" spans="4:8" ht="15.75">
      <c r="D846" s="37">
        <f t="shared" si="16"/>
        <v>836</v>
      </c>
      <c r="E846" s="39"/>
      <c r="F846" s="42"/>
      <c r="G846" s="30"/>
      <c r="H846" s="36" t="s">
        <v>39</v>
      </c>
    </row>
    <row r="847" spans="4:8" ht="15.75">
      <c r="D847" s="37">
        <f t="shared" si="16"/>
        <v>837</v>
      </c>
      <c r="E847" s="39"/>
      <c r="F847" s="42"/>
      <c r="G847" s="30"/>
      <c r="H847" s="36" t="s">
        <v>39</v>
      </c>
    </row>
    <row r="848" spans="4:8" ht="15.75">
      <c r="D848" s="37">
        <f t="shared" si="16"/>
        <v>838</v>
      </c>
      <c r="E848" s="39"/>
      <c r="F848" s="42"/>
      <c r="G848" s="30"/>
      <c r="H848" s="36" t="s">
        <v>39</v>
      </c>
    </row>
    <row r="849" spans="4:8" ht="15.75">
      <c r="D849" s="37">
        <f t="shared" si="16"/>
        <v>839</v>
      </c>
      <c r="E849" s="39"/>
      <c r="F849" s="42"/>
      <c r="G849" s="30"/>
      <c r="H849" s="36" t="s">
        <v>39</v>
      </c>
    </row>
    <row r="850" spans="4:8" ht="15.75">
      <c r="D850" s="37">
        <f t="shared" si="16"/>
        <v>840</v>
      </c>
      <c r="E850" s="39"/>
      <c r="F850" s="42"/>
      <c r="G850" s="30"/>
      <c r="H850" s="36" t="s">
        <v>39</v>
      </c>
    </row>
    <row r="851" spans="4:8" ht="15.75">
      <c r="D851" s="37">
        <f t="shared" si="16"/>
        <v>841</v>
      </c>
      <c r="E851" s="39"/>
      <c r="F851" s="42"/>
      <c r="G851" s="30"/>
      <c r="H851" s="36" t="s">
        <v>39</v>
      </c>
    </row>
    <row r="852" spans="4:8" ht="15.75">
      <c r="D852" s="37">
        <f t="shared" si="16"/>
        <v>842</v>
      </c>
      <c r="E852" s="39"/>
      <c r="F852" s="42"/>
      <c r="G852" s="30"/>
      <c r="H852" s="36" t="s">
        <v>39</v>
      </c>
    </row>
    <row r="853" spans="4:8" ht="15.75">
      <c r="D853" s="37">
        <f t="shared" si="16"/>
        <v>843</v>
      </c>
      <c r="E853" s="39"/>
      <c r="F853" s="42"/>
      <c r="G853" s="30"/>
      <c r="H853" s="36" t="s">
        <v>39</v>
      </c>
    </row>
    <row r="854" spans="4:8" ht="15.75">
      <c r="D854" s="37">
        <f t="shared" si="16"/>
        <v>844</v>
      </c>
      <c r="E854" s="39"/>
      <c r="F854" s="42"/>
      <c r="G854" s="30"/>
      <c r="H854" s="36" t="s">
        <v>39</v>
      </c>
    </row>
    <row r="855" spans="4:8" ht="15.75">
      <c r="D855" s="37">
        <f t="shared" si="16"/>
        <v>845</v>
      </c>
      <c r="E855" s="39"/>
      <c r="F855" s="42"/>
      <c r="G855" s="30"/>
      <c r="H855" s="36" t="s">
        <v>39</v>
      </c>
    </row>
    <row r="856" spans="4:8" ht="15.75">
      <c r="D856" s="37">
        <f t="shared" si="16"/>
        <v>846</v>
      </c>
      <c r="E856" s="39"/>
      <c r="F856" s="42"/>
      <c r="G856" s="30"/>
      <c r="H856" s="36" t="s">
        <v>39</v>
      </c>
    </row>
    <row r="857" spans="4:8" ht="15.75">
      <c r="D857" s="37">
        <f t="shared" si="16"/>
        <v>847</v>
      </c>
      <c r="E857" s="39"/>
      <c r="F857" s="42"/>
      <c r="G857" s="30"/>
      <c r="H857" s="36" t="s">
        <v>39</v>
      </c>
    </row>
    <row r="858" spans="4:8" ht="15.75">
      <c r="D858" s="37">
        <f t="shared" si="16"/>
        <v>848</v>
      </c>
      <c r="E858" s="39"/>
      <c r="F858" s="42"/>
      <c r="G858" s="30"/>
      <c r="H858" s="36" t="s">
        <v>39</v>
      </c>
    </row>
    <row r="859" spans="4:8" ht="15.75">
      <c r="D859" s="37">
        <f t="shared" si="16"/>
        <v>849</v>
      </c>
      <c r="E859" s="39"/>
      <c r="F859" s="42"/>
      <c r="G859" s="30"/>
      <c r="H859" s="36" t="s">
        <v>39</v>
      </c>
    </row>
    <row r="860" spans="4:8" ht="15.75">
      <c r="D860" s="37">
        <f t="shared" si="16"/>
        <v>850</v>
      </c>
      <c r="E860" s="39"/>
      <c r="F860" s="42"/>
      <c r="G860" s="30"/>
      <c r="H860" s="36" t="s">
        <v>39</v>
      </c>
    </row>
    <row r="861" spans="4:8" ht="15.75">
      <c r="D861" s="37">
        <f t="shared" si="16"/>
        <v>851</v>
      </c>
      <c r="E861" s="39"/>
      <c r="F861" s="42"/>
      <c r="G861" s="30"/>
      <c r="H861" s="36" t="s">
        <v>39</v>
      </c>
    </row>
    <row r="862" spans="4:8" ht="15.75">
      <c r="D862" s="37">
        <f t="shared" si="16"/>
        <v>852</v>
      </c>
      <c r="E862" s="39"/>
      <c r="F862" s="42"/>
      <c r="G862" s="30"/>
      <c r="H862" s="36" t="s">
        <v>39</v>
      </c>
    </row>
    <row r="863" spans="4:8" ht="15.75">
      <c r="D863" s="37">
        <f t="shared" si="16"/>
        <v>853</v>
      </c>
      <c r="E863" s="39"/>
      <c r="F863" s="42"/>
      <c r="G863" s="30"/>
      <c r="H863" s="36" t="s">
        <v>39</v>
      </c>
    </row>
    <row r="864" spans="4:8" ht="15.75">
      <c r="D864" s="37">
        <f t="shared" si="16"/>
        <v>854</v>
      </c>
      <c r="E864" s="39"/>
      <c r="F864" s="42"/>
      <c r="G864" s="30"/>
      <c r="H864" s="36" t="s">
        <v>39</v>
      </c>
    </row>
    <row r="865" spans="4:8" ht="15.75">
      <c r="D865" s="37">
        <f t="shared" si="16"/>
        <v>855</v>
      </c>
      <c r="E865" s="39"/>
      <c r="F865" s="42"/>
      <c r="G865" s="30"/>
      <c r="H865" s="36" t="s">
        <v>39</v>
      </c>
    </row>
    <row r="866" spans="4:8" ht="15.75">
      <c r="D866" s="37">
        <f t="shared" si="16"/>
        <v>856</v>
      </c>
      <c r="E866" s="39"/>
      <c r="F866" s="42"/>
      <c r="G866" s="30"/>
      <c r="H866" s="36" t="s">
        <v>39</v>
      </c>
    </row>
    <row r="867" spans="4:8" ht="15.75">
      <c r="D867" s="37">
        <f t="shared" si="16"/>
        <v>857</v>
      </c>
      <c r="E867" s="39"/>
      <c r="F867" s="42"/>
      <c r="G867" s="30"/>
      <c r="H867" s="36" t="s">
        <v>39</v>
      </c>
    </row>
    <row r="868" spans="4:8" ht="15.75">
      <c r="D868" s="37">
        <f t="shared" si="16"/>
        <v>858</v>
      </c>
      <c r="E868" s="39"/>
      <c r="F868" s="42"/>
      <c r="G868" s="30"/>
      <c r="H868" s="36" t="s">
        <v>39</v>
      </c>
    </row>
    <row r="869" spans="4:8" ht="15.75">
      <c r="D869" s="37">
        <f t="shared" si="16"/>
        <v>859</v>
      </c>
      <c r="E869" s="39"/>
      <c r="F869" s="42"/>
      <c r="G869" s="30"/>
      <c r="H869" s="36" t="s">
        <v>39</v>
      </c>
    </row>
    <row r="870" spans="4:8" ht="15.75">
      <c r="D870" s="37">
        <f t="shared" si="16"/>
        <v>860</v>
      </c>
      <c r="E870" s="39"/>
      <c r="F870" s="42"/>
      <c r="G870" s="30"/>
      <c r="H870" s="36" t="s">
        <v>39</v>
      </c>
    </row>
    <row r="871" spans="4:8" ht="15.75">
      <c r="D871" s="37">
        <f t="shared" si="16"/>
        <v>861</v>
      </c>
      <c r="E871" s="39"/>
      <c r="F871" s="42"/>
      <c r="G871" s="30"/>
      <c r="H871" s="36" t="s">
        <v>39</v>
      </c>
    </row>
    <row r="872" spans="4:8" ht="15.75">
      <c r="D872" s="37">
        <f t="shared" si="16"/>
        <v>862</v>
      </c>
      <c r="E872" s="39"/>
      <c r="F872" s="42"/>
      <c r="G872" s="30"/>
      <c r="H872" s="36" t="s">
        <v>39</v>
      </c>
    </row>
    <row r="873" spans="4:8" ht="15.75">
      <c r="D873" s="37">
        <f t="shared" si="16"/>
        <v>863</v>
      </c>
      <c r="E873" s="39"/>
      <c r="F873" s="42"/>
      <c r="G873" s="30"/>
      <c r="H873" s="36" t="s">
        <v>39</v>
      </c>
    </row>
    <row r="874" spans="4:8" ht="15.75">
      <c r="D874" s="37">
        <f t="shared" si="16"/>
        <v>864</v>
      </c>
      <c r="E874" s="39"/>
      <c r="F874" s="42"/>
      <c r="G874" s="30"/>
      <c r="H874" s="36" t="s">
        <v>39</v>
      </c>
    </row>
    <row r="875" spans="4:8" ht="15.75">
      <c r="D875" s="37">
        <f t="shared" si="16"/>
        <v>865</v>
      </c>
      <c r="E875" s="39"/>
      <c r="F875" s="42"/>
      <c r="G875" s="30"/>
      <c r="H875" s="36" t="s">
        <v>39</v>
      </c>
    </row>
    <row r="876" spans="4:8" ht="15.75">
      <c r="D876" s="37">
        <f t="shared" si="16"/>
        <v>866</v>
      </c>
      <c r="E876" s="39"/>
      <c r="F876" s="42"/>
      <c r="G876" s="30"/>
      <c r="H876" s="36" t="s">
        <v>39</v>
      </c>
    </row>
    <row r="877" spans="4:8" ht="15.75">
      <c r="D877" s="37">
        <f t="shared" si="16"/>
        <v>867</v>
      </c>
      <c r="E877" s="39"/>
      <c r="F877" s="42"/>
      <c r="G877" s="30"/>
      <c r="H877" s="36" t="s">
        <v>39</v>
      </c>
    </row>
    <row r="878" spans="4:8" ht="15.75">
      <c r="D878" s="37">
        <f t="shared" si="16"/>
        <v>868</v>
      </c>
      <c r="E878" s="39"/>
      <c r="F878" s="42"/>
      <c r="G878" s="30"/>
      <c r="H878" s="36" t="s">
        <v>39</v>
      </c>
    </row>
    <row r="879" spans="4:8" ht="15.75">
      <c r="D879" s="37">
        <f t="shared" si="16"/>
        <v>869</v>
      </c>
      <c r="E879" s="39"/>
      <c r="F879" s="42"/>
      <c r="G879" s="30"/>
      <c r="H879" s="36" t="s">
        <v>39</v>
      </c>
    </row>
    <row r="880" spans="4:8" ht="15.75">
      <c r="D880" s="37">
        <f t="shared" si="16"/>
        <v>870</v>
      </c>
      <c r="E880" s="39"/>
      <c r="F880" s="42"/>
      <c r="G880" s="30"/>
      <c r="H880" s="36" t="s">
        <v>39</v>
      </c>
    </row>
    <row r="881" spans="4:8" ht="15.75">
      <c r="D881" s="37">
        <f t="shared" si="16"/>
        <v>871</v>
      </c>
      <c r="E881" s="39"/>
      <c r="F881" s="42"/>
      <c r="G881" s="30"/>
      <c r="H881" s="36" t="s">
        <v>39</v>
      </c>
    </row>
    <row r="882" spans="4:8" ht="15.75">
      <c r="D882" s="37">
        <f t="shared" si="16"/>
        <v>872</v>
      </c>
      <c r="E882" s="39"/>
      <c r="F882" s="42"/>
      <c r="G882" s="30"/>
      <c r="H882" s="36" t="s">
        <v>39</v>
      </c>
    </row>
    <row r="883" spans="4:8" ht="15.75">
      <c r="D883" s="37">
        <f t="shared" si="16"/>
        <v>873</v>
      </c>
      <c r="E883" s="39"/>
      <c r="F883" s="42"/>
      <c r="G883" s="30"/>
      <c r="H883" s="36" t="s">
        <v>39</v>
      </c>
    </row>
    <row r="884" spans="4:8" ht="15.75">
      <c r="D884" s="37">
        <f t="shared" si="16"/>
        <v>874</v>
      </c>
      <c r="E884" s="39"/>
      <c r="F884" s="42"/>
      <c r="G884" s="30"/>
      <c r="H884" s="36" t="s">
        <v>39</v>
      </c>
    </row>
    <row r="885" spans="4:8" ht="15.75">
      <c r="D885" s="37">
        <f t="shared" si="16"/>
        <v>875</v>
      </c>
      <c r="E885" s="39"/>
      <c r="F885" s="42"/>
      <c r="G885" s="30"/>
      <c r="H885" s="36" t="s">
        <v>39</v>
      </c>
    </row>
    <row r="886" spans="4:8" ht="15.75">
      <c r="D886" s="37">
        <f t="shared" ref="D886:D949" si="17">D885+1</f>
        <v>876</v>
      </c>
      <c r="E886" s="39"/>
      <c r="F886" s="42"/>
      <c r="G886" s="30"/>
      <c r="H886" s="36" t="s">
        <v>39</v>
      </c>
    </row>
    <row r="887" spans="4:8" ht="15.75">
      <c r="D887" s="37">
        <f t="shared" si="17"/>
        <v>877</v>
      </c>
      <c r="E887" s="39"/>
      <c r="F887" s="42"/>
      <c r="G887" s="30"/>
      <c r="H887" s="36" t="s">
        <v>39</v>
      </c>
    </row>
    <row r="888" spans="4:8" ht="15.75">
      <c r="D888" s="37">
        <f t="shared" si="17"/>
        <v>878</v>
      </c>
      <c r="E888" s="39"/>
      <c r="F888" s="42"/>
      <c r="G888" s="30"/>
      <c r="H888" s="36" t="s">
        <v>39</v>
      </c>
    </row>
    <row r="889" spans="4:8" ht="15.75">
      <c r="D889" s="37">
        <f t="shared" si="17"/>
        <v>879</v>
      </c>
      <c r="E889" s="39"/>
      <c r="F889" s="42"/>
      <c r="G889" s="30"/>
      <c r="H889" s="36" t="s">
        <v>39</v>
      </c>
    </row>
    <row r="890" spans="4:8" ht="15.75">
      <c r="D890" s="37">
        <f t="shared" si="17"/>
        <v>880</v>
      </c>
      <c r="E890" s="39"/>
      <c r="F890" s="42"/>
      <c r="G890" s="30"/>
      <c r="H890" s="36" t="s">
        <v>39</v>
      </c>
    </row>
    <row r="891" spans="4:8" ht="15.75">
      <c r="D891" s="37">
        <f t="shared" si="17"/>
        <v>881</v>
      </c>
      <c r="E891" s="39"/>
      <c r="F891" s="42"/>
      <c r="G891" s="30"/>
      <c r="H891" s="36" t="s">
        <v>39</v>
      </c>
    </row>
    <row r="892" spans="4:8" ht="15.75">
      <c r="D892" s="37">
        <f t="shared" si="17"/>
        <v>882</v>
      </c>
      <c r="E892" s="39"/>
      <c r="F892" s="42"/>
      <c r="G892" s="30"/>
      <c r="H892" s="36" t="s">
        <v>39</v>
      </c>
    </row>
    <row r="893" spans="4:8" ht="15.75">
      <c r="D893" s="37">
        <f t="shared" si="17"/>
        <v>883</v>
      </c>
      <c r="E893" s="39"/>
      <c r="F893" s="42"/>
      <c r="G893" s="30"/>
      <c r="H893" s="36" t="s">
        <v>39</v>
      </c>
    </row>
    <row r="894" spans="4:8" ht="15.75">
      <c r="D894" s="37">
        <f t="shared" si="17"/>
        <v>884</v>
      </c>
      <c r="E894" s="39"/>
      <c r="F894" s="42"/>
      <c r="G894" s="30"/>
      <c r="H894" s="36" t="s">
        <v>39</v>
      </c>
    </row>
    <row r="895" spans="4:8" ht="15.75">
      <c r="D895" s="37">
        <f t="shared" si="17"/>
        <v>885</v>
      </c>
      <c r="E895" s="39"/>
      <c r="F895" s="42"/>
      <c r="G895" s="30"/>
      <c r="H895" s="36" t="s">
        <v>39</v>
      </c>
    </row>
    <row r="896" spans="4:8" ht="15.75">
      <c r="D896" s="37">
        <f t="shared" si="17"/>
        <v>886</v>
      </c>
      <c r="E896" s="39"/>
      <c r="F896" s="42"/>
      <c r="G896" s="30"/>
      <c r="H896" s="36" t="s">
        <v>39</v>
      </c>
    </row>
    <row r="897" spans="4:8" ht="15.75">
      <c r="D897" s="37">
        <f t="shared" si="17"/>
        <v>887</v>
      </c>
      <c r="E897" s="39"/>
      <c r="F897" s="42"/>
      <c r="G897" s="30"/>
      <c r="H897" s="36" t="s">
        <v>39</v>
      </c>
    </row>
    <row r="898" spans="4:8" ht="15.75">
      <c r="D898" s="37">
        <f t="shared" si="17"/>
        <v>888</v>
      </c>
      <c r="E898" s="39"/>
      <c r="F898" s="42"/>
      <c r="G898" s="30"/>
      <c r="H898" s="36" t="s">
        <v>39</v>
      </c>
    </row>
    <row r="899" spans="4:8" ht="15.75">
      <c r="D899" s="37">
        <f t="shared" si="17"/>
        <v>889</v>
      </c>
      <c r="E899" s="39"/>
      <c r="F899" s="42"/>
      <c r="G899" s="30"/>
      <c r="H899" s="36" t="s">
        <v>39</v>
      </c>
    </row>
    <row r="900" spans="4:8" ht="15.75">
      <c r="D900" s="37">
        <f t="shared" si="17"/>
        <v>890</v>
      </c>
      <c r="E900" s="39"/>
      <c r="F900" s="42"/>
      <c r="G900" s="30"/>
      <c r="H900" s="36" t="s">
        <v>39</v>
      </c>
    </row>
    <row r="901" spans="4:8" ht="15.75">
      <c r="D901" s="37">
        <f t="shared" si="17"/>
        <v>891</v>
      </c>
      <c r="E901" s="39"/>
      <c r="F901" s="42"/>
      <c r="G901" s="30"/>
      <c r="H901" s="36" t="s">
        <v>39</v>
      </c>
    </row>
    <row r="902" spans="4:8" ht="15.75">
      <c r="D902" s="37">
        <f t="shared" si="17"/>
        <v>892</v>
      </c>
      <c r="E902" s="39"/>
      <c r="F902" s="42"/>
      <c r="G902" s="30"/>
      <c r="H902" s="36" t="s">
        <v>39</v>
      </c>
    </row>
    <row r="903" spans="4:8" ht="15.75">
      <c r="D903" s="37">
        <f t="shared" si="17"/>
        <v>893</v>
      </c>
      <c r="E903" s="39"/>
      <c r="F903" s="42"/>
      <c r="G903" s="30"/>
      <c r="H903" s="36" t="s">
        <v>39</v>
      </c>
    </row>
    <row r="904" spans="4:8" ht="15.75">
      <c r="D904" s="37">
        <f t="shared" si="17"/>
        <v>894</v>
      </c>
      <c r="E904" s="39"/>
      <c r="F904" s="42"/>
      <c r="G904" s="30"/>
      <c r="H904" s="36" t="s">
        <v>39</v>
      </c>
    </row>
    <row r="905" spans="4:8" ht="15.75">
      <c r="D905" s="37">
        <f t="shared" si="17"/>
        <v>895</v>
      </c>
      <c r="E905" s="39"/>
      <c r="F905" s="42"/>
      <c r="G905" s="30"/>
      <c r="H905" s="36" t="s">
        <v>39</v>
      </c>
    </row>
    <row r="906" spans="4:8" ht="15.75">
      <c r="D906" s="37">
        <f t="shared" si="17"/>
        <v>896</v>
      </c>
      <c r="E906" s="39"/>
      <c r="F906" s="42"/>
      <c r="G906" s="30"/>
      <c r="H906" s="36" t="s">
        <v>39</v>
      </c>
    </row>
    <row r="907" spans="4:8" ht="15.75">
      <c r="D907" s="37">
        <f t="shared" si="17"/>
        <v>897</v>
      </c>
      <c r="E907" s="39"/>
      <c r="F907" s="42"/>
      <c r="G907" s="30"/>
      <c r="H907" s="36" t="s">
        <v>39</v>
      </c>
    </row>
    <row r="908" spans="4:8" ht="15.75">
      <c r="D908" s="37">
        <f t="shared" si="17"/>
        <v>898</v>
      </c>
      <c r="E908" s="39"/>
      <c r="F908" s="42"/>
      <c r="G908" s="30"/>
      <c r="H908" s="36" t="s">
        <v>39</v>
      </c>
    </row>
    <row r="909" spans="4:8" ht="15.75">
      <c r="D909" s="37">
        <f t="shared" si="17"/>
        <v>899</v>
      </c>
      <c r="E909" s="39"/>
      <c r="F909" s="42"/>
      <c r="G909" s="30"/>
      <c r="H909" s="36" t="s">
        <v>39</v>
      </c>
    </row>
    <row r="910" spans="4:8" ht="15.75">
      <c r="D910" s="37">
        <f t="shared" si="17"/>
        <v>900</v>
      </c>
      <c r="E910" s="39"/>
      <c r="F910" s="42"/>
      <c r="G910" s="30"/>
      <c r="H910" s="36" t="s">
        <v>39</v>
      </c>
    </row>
    <row r="911" spans="4:8" ht="15.75">
      <c r="D911" s="37">
        <f t="shared" si="17"/>
        <v>901</v>
      </c>
      <c r="E911" s="39"/>
      <c r="F911" s="42"/>
      <c r="G911" s="30"/>
      <c r="H911" s="36" t="s">
        <v>39</v>
      </c>
    </row>
    <row r="912" spans="4:8" ht="15.75">
      <c r="D912" s="37">
        <f t="shared" si="17"/>
        <v>902</v>
      </c>
      <c r="E912" s="39"/>
      <c r="F912" s="42"/>
      <c r="G912" s="30"/>
      <c r="H912" s="36" t="s">
        <v>39</v>
      </c>
    </row>
    <row r="913" spans="4:8" ht="15.75">
      <c r="D913" s="37">
        <f t="shared" si="17"/>
        <v>903</v>
      </c>
      <c r="E913" s="39"/>
      <c r="F913" s="42"/>
      <c r="G913" s="30"/>
      <c r="H913" s="36" t="s">
        <v>39</v>
      </c>
    </row>
    <row r="914" spans="4:8" ht="15.75">
      <c r="D914" s="37">
        <f t="shared" si="17"/>
        <v>904</v>
      </c>
      <c r="E914" s="39"/>
      <c r="F914" s="42"/>
      <c r="G914" s="30"/>
      <c r="H914" s="36" t="s">
        <v>39</v>
      </c>
    </row>
    <row r="915" spans="4:8" ht="15.75">
      <c r="D915" s="37">
        <f t="shared" si="17"/>
        <v>905</v>
      </c>
      <c r="E915" s="39"/>
      <c r="F915" s="42"/>
      <c r="G915" s="30"/>
      <c r="H915" s="36" t="s">
        <v>39</v>
      </c>
    </row>
    <row r="916" spans="4:8" ht="15.75">
      <c r="D916" s="37">
        <f t="shared" si="17"/>
        <v>906</v>
      </c>
      <c r="E916" s="39"/>
      <c r="F916" s="42"/>
      <c r="G916" s="30"/>
      <c r="H916" s="36" t="s">
        <v>39</v>
      </c>
    </row>
    <row r="917" spans="4:8" ht="15.75">
      <c r="D917" s="37">
        <f t="shared" si="17"/>
        <v>907</v>
      </c>
      <c r="E917" s="39"/>
      <c r="F917" s="42"/>
      <c r="G917" s="30"/>
      <c r="H917" s="36" t="s">
        <v>39</v>
      </c>
    </row>
    <row r="918" spans="4:8" ht="15.75">
      <c r="D918" s="37">
        <f t="shared" si="17"/>
        <v>908</v>
      </c>
      <c r="E918" s="39"/>
      <c r="F918" s="42"/>
      <c r="G918" s="30"/>
      <c r="H918" s="36" t="s">
        <v>39</v>
      </c>
    </row>
    <row r="919" spans="4:8" ht="15.75">
      <c r="D919" s="37">
        <f t="shared" si="17"/>
        <v>909</v>
      </c>
      <c r="E919" s="39"/>
      <c r="F919" s="42"/>
      <c r="G919" s="30"/>
      <c r="H919" s="36" t="s">
        <v>39</v>
      </c>
    </row>
    <row r="920" spans="4:8" ht="15.75">
      <c r="D920" s="37">
        <f t="shared" si="17"/>
        <v>910</v>
      </c>
      <c r="E920" s="39"/>
      <c r="F920" s="42"/>
      <c r="G920" s="30"/>
      <c r="H920" s="36" t="s">
        <v>39</v>
      </c>
    </row>
    <row r="921" spans="4:8" ht="15.75">
      <c r="D921" s="37">
        <f t="shared" si="17"/>
        <v>911</v>
      </c>
      <c r="E921" s="39"/>
      <c r="F921" s="42"/>
      <c r="G921" s="30"/>
      <c r="H921" s="36" t="s">
        <v>39</v>
      </c>
    </row>
    <row r="922" spans="4:8" ht="15.75">
      <c r="D922" s="37">
        <f t="shared" si="17"/>
        <v>912</v>
      </c>
      <c r="E922" s="39"/>
      <c r="F922" s="42"/>
      <c r="G922" s="30"/>
      <c r="H922" s="36" t="s">
        <v>39</v>
      </c>
    </row>
    <row r="923" spans="4:8" ht="15.75">
      <c r="D923" s="37">
        <f t="shared" si="17"/>
        <v>913</v>
      </c>
      <c r="E923" s="39"/>
      <c r="F923" s="42"/>
      <c r="G923" s="30"/>
      <c r="H923" s="36" t="s">
        <v>39</v>
      </c>
    </row>
    <row r="924" spans="4:8" ht="15.75">
      <c r="D924" s="37">
        <f t="shared" si="17"/>
        <v>914</v>
      </c>
      <c r="E924" s="39"/>
      <c r="F924" s="42"/>
      <c r="G924" s="30"/>
      <c r="H924" s="36" t="s">
        <v>39</v>
      </c>
    </row>
    <row r="925" spans="4:8" ht="15.75">
      <c r="D925" s="37">
        <f t="shared" si="17"/>
        <v>915</v>
      </c>
      <c r="E925" s="39"/>
      <c r="F925" s="42"/>
      <c r="G925" s="30"/>
      <c r="H925" s="36" t="s">
        <v>39</v>
      </c>
    </row>
    <row r="926" spans="4:8" ht="15.75">
      <c r="D926" s="37">
        <f t="shared" si="17"/>
        <v>916</v>
      </c>
      <c r="E926" s="39"/>
      <c r="F926" s="42"/>
      <c r="G926" s="30"/>
      <c r="H926" s="36" t="s">
        <v>39</v>
      </c>
    </row>
    <row r="927" spans="4:8" ht="15.75">
      <c r="D927" s="37">
        <f t="shared" si="17"/>
        <v>917</v>
      </c>
      <c r="E927" s="39"/>
      <c r="F927" s="42"/>
      <c r="G927" s="30"/>
      <c r="H927" s="36" t="s">
        <v>39</v>
      </c>
    </row>
    <row r="928" spans="4:8" ht="15.75">
      <c r="D928" s="37">
        <f t="shared" si="17"/>
        <v>918</v>
      </c>
      <c r="E928" s="39"/>
      <c r="F928" s="42"/>
      <c r="G928" s="30"/>
      <c r="H928" s="36" t="s">
        <v>39</v>
      </c>
    </row>
    <row r="929" spans="4:8" ht="15.75">
      <c r="D929" s="37">
        <f t="shared" si="17"/>
        <v>919</v>
      </c>
      <c r="E929" s="39"/>
      <c r="F929" s="42"/>
      <c r="G929" s="30"/>
      <c r="H929" s="36" t="s">
        <v>39</v>
      </c>
    </row>
    <row r="930" spans="4:8" ht="15.75">
      <c r="D930" s="37">
        <f t="shared" si="17"/>
        <v>920</v>
      </c>
      <c r="E930" s="39"/>
      <c r="F930" s="42"/>
      <c r="G930" s="30"/>
      <c r="H930" s="36" t="s">
        <v>39</v>
      </c>
    </row>
    <row r="931" spans="4:8" ht="15.75">
      <c r="D931" s="37">
        <f t="shared" si="17"/>
        <v>921</v>
      </c>
      <c r="E931" s="39"/>
      <c r="F931" s="42"/>
      <c r="G931" s="30"/>
      <c r="H931" s="36" t="s">
        <v>39</v>
      </c>
    </row>
    <row r="932" spans="4:8" ht="15.75">
      <c r="D932" s="37">
        <f t="shared" si="17"/>
        <v>922</v>
      </c>
      <c r="E932" s="39"/>
      <c r="F932" s="42"/>
      <c r="G932" s="30"/>
      <c r="H932" s="36" t="s">
        <v>39</v>
      </c>
    </row>
    <row r="933" spans="4:8" ht="15.75">
      <c r="D933" s="37">
        <f t="shared" si="17"/>
        <v>923</v>
      </c>
      <c r="E933" s="39"/>
      <c r="F933" s="42"/>
      <c r="G933" s="30"/>
      <c r="H933" s="36" t="s">
        <v>39</v>
      </c>
    </row>
    <row r="934" spans="4:8" ht="15.75">
      <c r="D934" s="37">
        <f t="shared" si="17"/>
        <v>924</v>
      </c>
      <c r="E934" s="39"/>
      <c r="F934" s="42"/>
      <c r="G934" s="30"/>
      <c r="H934" s="36" t="s">
        <v>39</v>
      </c>
    </row>
    <row r="935" spans="4:8" ht="15.75">
      <c r="D935" s="37">
        <f t="shared" si="17"/>
        <v>925</v>
      </c>
      <c r="E935" s="39"/>
      <c r="F935" s="42"/>
      <c r="G935" s="30"/>
      <c r="H935" s="36" t="s">
        <v>39</v>
      </c>
    </row>
    <row r="936" spans="4:8" ht="15.75">
      <c r="D936" s="37">
        <f t="shared" si="17"/>
        <v>926</v>
      </c>
      <c r="E936" s="39"/>
      <c r="F936" s="42"/>
      <c r="G936" s="30"/>
      <c r="H936" s="36" t="s">
        <v>39</v>
      </c>
    </row>
    <row r="937" spans="4:8" ht="15.75">
      <c r="D937" s="37">
        <f t="shared" si="17"/>
        <v>927</v>
      </c>
      <c r="E937" s="39"/>
      <c r="F937" s="42"/>
      <c r="G937" s="30"/>
      <c r="H937" s="36" t="s">
        <v>39</v>
      </c>
    </row>
    <row r="938" spans="4:8" ht="15.75">
      <c r="D938" s="37">
        <f t="shared" si="17"/>
        <v>928</v>
      </c>
      <c r="E938" s="39"/>
      <c r="F938" s="42"/>
      <c r="G938" s="30"/>
      <c r="H938" s="36" t="s">
        <v>39</v>
      </c>
    </row>
    <row r="939" spans="4:8" ht="15.75">
      <c r="D939" s="37">
        <f t="shared" si="17"/>
        <v>929</v>
      </c>
      <c r="E939" s="39"/>
      <c r="F939" s="42"/>
      <c r="G939" s="30"/>
      <c r="H939" s="36" t="s">
        <v>39</v>
      </c>
    </row>
    <row r="940" spans="4:8" ht="15.75">
      <c r="D940" s="37">
        <f t="shared" si="17"/>
        <v>930</v>
      </c>
      <c r="E940" s="39"/>
      <c r="F940" s="42"/>
      <c r="G940" s="30"/>
      <c r="H940" s="36" t="s">
        <v>39</v>
      </c>
    </row>
    <row r="941" spans="4:8" ht="15.75">
      <c r="D941" s="37">
        <f t="shared" si="17"/>
        <v>931</v>
      </c>
      <c r="E941" s="39"/>
      <c r="F941" s="42"/>
      <c r="G941" s="30"/>
      <c r="H941" s="36" t="s">
        <v>39</v>
      </c>
    </row>
    <row r="942" spans="4:8" ht="15.75">
      <c r="D942" s="37">
        <f t="shared" si="17"/>
        <v>932</v>
      </c>
      <c r="E942" s="39"/>
      <c r="F942" s="42"/>
      <c r="G942" s="30"/>
      <c r="H942" s="36" t="s">
        <v>39</v>
      </c>
    </row>
    <row r="943" spans="4:8" ht="15.75">
      <c r="D943" s="37">
        <f t="shared" si="17"/>
        <v>933</v>
      </c>
      <c r="E943" s="39"/>
      <c r="F943" s="42"/>
      <c r="G943" s="30"/>
      <c r="H943" s="36" t="s">
        <v>39</v>
      </c>
    </row>
    <row r="944" spans="4:8" ht="15.75">
      <c r="D944" s="37">
        <f t="shared" si="17"/>
        <v>934</v>
      </c>
      <c r="E944" s="39"/>
      <c r="F944" s="42"/>
      <c r="G944" s="30"/>
      <c r="H944" s="36" t="s">
        <v>39</v>
      </c>
    </row>
    <row r="945" spans="4:8" ht="15.75">
      <c r="D945" s="37">
        <f t="shared" si="17"/>
        <v>935</v>
      </c>
      <c r="E945" s="39"/>
      <c r="F945" s="42"/>
      <c r="G945" s="30"/>
      <c r="H945" s="36" t="s">
        <v>39</v>
      </c>
    </row>
    <row r="946" spans="4:8" ht="15.75">
      <c r="D946" s="37">
        <f t="shared" si="17"/>
        <v>936</v>
      </c>
      <c r="E946" s="39"/>
      <c r="F946" s="42"/>
      <c r="G946" s="30"/>
      <c r="H946" s="36" t="s">
        <v>39</v>
      </c>
    </row>
    <row r="947" spans="4:8" ht="15.75">
      <c r="D947" s="37">
        <f t="shared" si="17"/>
        <v>937</v>
      </c>
      <c r="E947" s="39"/>
      <c r="F947" s="42"/>
      <c r="G947" s="30"/>
      <c r="H947" s="36" t="s">
        <v>39</v>
      </c>
    </row>
    <row r="948" spans="4:8" ht="15.75">
      <c r="D948" s="37">
        <f t="shared" si="17"/>
        <v>938</v>
      </c>
      <c r="E948" s="39"/>
      <c r="F948" s="42"/>
      <c r="G948" s="30"/>
      <c r="H948" s="36" t="s">
        <v>39</v>
      </c>
    </row>
    <row r="949" spans="4:8" ht="15.75">
      <c r="D949" s="37">
        <f t="shared" si="17"/>
        <v>939</v>
      </c>
      <c r="E949" s="39"/>
      <c r="F949" s="42"/>
      <c r="G949" s="30"/>
      <c r="H949" s="36" t="s">
        <v>39</v>
      </c>
    </row>
    <row r="950" spans="4:8" ht="15.75">
      <c r="D950" s="37">
        <f t="shared" ref="D950:D1010" si="18">D949+1</f>
        <v>940</v>
      </c>
      <c r="E950" s="39"/>
      <c r="F950" s="42"/>
      <c r="G950" s="30"/>
      <c r="H950" s="36" t="s">
        <v>39</v>
      </c>
    </row>
    <row r="951" spans="4:8" ht="15.75">
      <c r="D951" s="37">
        <f t="shared" si="18"/>
        <v>941</v>
      </c>
      <c r="E951" s="39"/>
      <c r="F951" s="42"/>
      <c r="G951" s="30"/>
      <c r="H951" s="36" t="s">
        <v>39</v>
      </c>
    </row>
    <row r="952" spans="4:8" ht="15.75">
      <c r="D952" s="37">
        <f t="shared" si="18"/>
        <v>942</v>
      </c>
      <c r="E952" s="39"/>
      <c r="F952" s="42"/>
      <c r="G952" s="30"/>
      <c r="H952" s="36" t="s">
        <v>39</v>
      </c>
    </row>
    <row r="953" spans="4:8" ht="15.75">
      <c r="D953" s="37">
        <f t="shared" si="18"/>
        <v>943</v>
      </c>
      <c r="E953" s="39"/>
      <c r="F953" s="42"/>
      <c r="G953" s="30"/>
      <c r="H953" s="36" t="s">
        <v>39</v>
      </c>
    </row>
    <row r="954" spans="4:8" ht="15.75">
      <c r="D954" s="37">
        <f t="shared" si="18"/>
        <v>944</v>
      </c>
      <c r="E954" s="39"/>
      <c r="F954" s="42"/>
      <c r="G954" s="30"/>
      <c r="H954" s="36" t="s">
        <v>39</v>
      </c>
    </row>
    <row r="955" spans="4:8" ht="15.75">
      <c r="D955" s="37">
        <f t="shared" si="18"/>
        <v>945</v>
      </c>
      <c r="E955" s="39"/>
      <c r="F955" s="42"/>
      <c r="G955" s="30"/>
      <c r="H955" s="36" t="s">
        <v>39</v>
      </c>
    </row>
    <row r="956" spans="4:8" ht="15.75">
      <c r="D956" s="37">
        <f t="shared" si="18"/>
        <v>946</v>
      </c>
      <c r="E956" s="39"/>
      <c r="F956" s="42"/>
      <c r="G956" s="30"/>
      <c r="H956" s="36" t="s">
        <v>39</v>
      </c>
    </row>
    <row r="957" spans="4:8" ht="15.75">
      <c r="D957" s="37">
        <f t="shared" si="18"/>
        <v>947</v>
      </c>
      <c r="E957" s="39"/>
      <c r="F957" s="42"/>
      <c r="G957" s="30"/>
      <c r="H957" s="36" t="s">
        <v>39</v>
      </c>
    </row>
    <row r="958" spans="4:8" ht="15.75">
      <c r="D958" s="37">
        <f t="shared" si="18"/>
        <v>948</v>
      </c>
      <c r="E958" s="39"/>
      <c r="F958" s="42"/>
      <c r="G958" s="30"/>
      <c r="H958" s="36" t="s">
        <v>39</v>
      </c>
    </row>
    <row r="959" spans="4:8" ht="15.75">
      <c r="D959" s="37">
        <f t="shared" si="18"/>
        <v>949</v>
      </c>
      <c r="E959" s="39"/>
      <c r="F959" s="42"/>
      <c r="G959" s="30"/>
      <c r="H959" s="36" t="s">
        <v>39</v>
      </c>
    </row>
    <row r="960" spans="4:8" ht="15.75">
      <c r="D960" s="37">
        <f t="shared" si="18"/>
        <v>950</v>
      </c>
      <c r="E960" s="39"/>
      <c r="F960" s="42"/>
      <c r="G960" s="30"/>
      <c r="H960" s="36" t="s">
        <v>39</v>
      </c>
    </row>
    <row r="961" spans="4:8" ht="15.75">
      <c r="D961" s="37">
        <f t="shared" si="18"/>
        <v>951</v>
      </c>
      <c r="E961" s="39"/>
      <c r="F961" s="42"/>
      <c r="G961" s="30"/>
      <c r="H961" s="36" t="s">
        <v>39</v>
      </c>
    </row>
    <row r="962" spans="4:8" ht="15.75">
      <c r="D962" s="37">
        <f t="shared" si="18"/>
        <v>952</v>
      </c>
      <c r="E962" s="39"/>
      <c r="F962" s="42"/>
      <c r="G962" s="30"/>
      <c r="H962" s="36" t="s">
        <v>39</v>
      </c>
    </row>
    <row r="963" spans="4:8" ht="15.75">
      <c r="D963" s="37">
        <f t="shared" si="18"/>
        <v>953</v>
      </c>
      <c r="E963" s="39"/>
      <c r="F963" s="42"/>
      <c r="G963" s="30"/>
      <c r="H963" s="36" t="s">
        <v>39</v>
      </c>
    </row>
    <row r="964" spans="4:8" ht="15.75">
      <c r="D964" s="37">
        <f t="shared" si="18"/>
        <v>954</v>
      </c>
      <c r="E964" s="39"/>
      <c r="F964" s="42"/>
      <c r="G964" s="30"/>
      <c r="H964" s="36" t="s">
        <v>39</v>
      </c>
    </row>
    <row r="965" spans="4:8" ht="15.75">
      <c r="D965" s="37">
        <f t="shared" si="18"/>
        <v>955</v>
      </c>
      <c r="E965" s="39"/>
      <c r="F965" s="42"/>
      <c r="G965" s="30"/>
      <c r="H965" s="36" t="s">
        <v>39</v>
      </c>
    </row>
    <row r="966" spans="4:8" ht="15.75">
      <c r="D966" s="37">
        <f t="shared" si="18"/>
        <v>956</v>
      </c>
      <c r="E966" s="39"/>
      <c r="F966" s="42"/>
      <c r="G966" s="30"/>
      <c r="H966" s="36" t="s">
        <v>39</v>
      </c>
    </row>
    <row r="967" spans="4:8" ht="15.75">
      <c r="D967" s="37">
        <f t="shared" si="18"/>
        <v>957</v>
      </c>
      <c r="E967" s="39"/>
      <c r="F967" s="42"/>
      <c r="G967" s="30"/>
      <c r="H967" s="36" t="s">
        <v>39</v>
      </c>
    </row>
    <row r="968" spans="4:8" ht="15.75">
      <c r="D968" s="37">
        <f t="shared" si="18"/>
        <v>958</v>
      </c>
      <c r="E968" s="39"/>
      <c r="F968" s="42"/>
      <c r="G968" s="30"/>
      <c r="H968" s="36" t="s">
        <v>39</v>
      </c>
    </row>
    <row r="969" spans="4:8" ht="15.75">
      <c r="D969" s="37">
        <f t="shared" si="18"/>
        <v>959</v>
      </c>
      <c r="E969" s="39"/>
      <c r="F969" s="42"/>
      <c r="G969" s="30"/>
      <c r="H969" s="36" t="s">
        <v>39</v>
      </c>
    </row>
    <row r="970" spans="4:8" ht="15.75">
      <c r="D970" s="37">
        <f t="shared" si="18"/>
        <v>960</v>
      </c>
      <c r="E970" s="39"/>
      <c r="F970" s="42"/>
      <c r="G970" s="30"/>
      <c r="H970" s="36" t="s">
        <v>39</v>
      </c>
    </row>
    <row r="971" spans="4:8" ht="15.75">
      <c r="D971" s="37">
        <f t="shared" si="18"/>
        <v>961</v>
      </c>
      <c r="E971" s="39"/>
      <c r="F971" s="42"/>
      <c r="G971" s="30"/>
      <c r="H971" s="36" t="s">
        <v>39</v>
      </c>
    </row>
    <row r="972" spans="4:8" ht="15.75">
      <c r="D972" s="37">
        <f t="shared" si="18"/>
        <v>962</v>
      </c>
      <c r="E972" s="39"/>
      <c r="F972" s="42"/>
      <c r="G972" s="30"/>
      <c r="H972" s="36" t="s">
        <v>39</v>
      </c>
    </row>
    <row r="973" spans="4:8" ht="15.75">
      <c r="D973" s="37">
        <f t="shared" si="18"/>
        <v>963</v>
      </c>
      <c r="E973" s="39"/>
      <c r="F973" s="42"/>
      <c r="G973" s="30"/>
      <c r="H973" s="36" t="s">
        <v>39</v>
      </c>
    </row>
    <row r="974" spans="4:8" ht="15.75">
      <c r="D974" s="37">
        <f t="shared" si="18"/>
        <v>964</v>
      </c>
      <c r="E974" s="39"/>
      <c r="F974" s="42"/>
      <c r="G974" s="30"/>
      <c r="H974" s="36" t="s">
        <v>39</v>
      </c>
    </row>
    <row r="975" spans="4:8" ht="15.75">
      <c r="D975" s="37">
        <f t="shared" si="18"/>
        <v>965</v>
      </c>
      <c r="E975" s="39"/>
      <c r="F975" s="42"/>
      <c r="G975" s="30"/>
      <c r="H975" s="36" t="s">
        <v>39</v>
      </c>
    </row>
    <row r="976" spans="4:8" ht="15.75">
      <c r="D976" s="37">
        <f t="shared" si="18"/>
        <v>966</v>
      </c>
      <c r="E976" s="39"/>
      <c r="F976" s="42"/>
      <c r="G976" s="30"/>
      <c r="H976" s="36" t="s">
        <v>39</v>
      </c>
    </row>
    <row r="977" spans="4:8" ht="15.75">
      <c r="D977" s="37">
        <f t="shared" si="18"/>
        <v>967</v>
      </c>
      <c r="E977" s="39"/>
      <c r="F977" s="42"/>
      <c r="G977" s="30"/>
      <c r="H977" s="36" t="s">
        <v>39</v>
      </c>
    </row>
    <row r="978" spans="4:8" ht="15.75">
      <c r="D978" s="37">
        <f t="shared" si="18"/>
        <v>968</v>
      </c>
      <c r="E978" s="39"/>
      <c r="F978" s="42"/>
      <c r="G978" s="30"/>
      <c r="H978" s="36" t="s">
        <v>39</v>
      </c>
    </row>
    <row r="979" spans="4:8" ht="15.75">
      <c r="D979" s="37">
        <f t="shared" si="18"/>
        <v>969</v>
      </c>
      <c r="E979" s="39"/>
      <c r="F979" s="42"/>
      <c r="G979" s="30"/>
      <c r="H979" s="36" t="s">
        <v>39</v>
      </c>
    </row>
    <row r="980" spans="4:8" ht="15.75">
      <c r="D980" s="37">
        <f t="shared" si="18"/>
        <v>970</v>
      </c>
      <c r="E980" s="39"/>
      <c r="F980" s="42"/>
      <c r="G980" s="30"/>
      <c r="H980" s="36" t="s">
        <v>39</v>
      </c>
    </row>
    <row r="981" spans="4:8" ht="15.75">
      <c r="D981" s="37">
        <f t="shared" si="18"/>
        <v>971</v>
      </c>
      <c r="E981" s="39"/>
      <c r="F981" s="42"/>
      <c r="G981" s="30"/>
      <c r="H981" s="36" t="s">
        <v>39</v>
      </c>
    </row>
    <row r="982" spans="4:8" ht="15.75">
      <c r="D982" s="37">
        <f t="shared" si="18"/>
        <v>972</v>
      </c>
      <c r="E982" s="39"/>
      <c r="F982" s="42"/>
      <c r="G982" s="30"/>
      <c r="H982" s="36" t="s">
        <v>39</v>
      </c>
    </row>
    <row r="983" spans="4:8" ht="15.75">
      <c r="D983" s="37">
        <f t="shared" si="18"/>
        <v>973</v>
      </c>
      <c r="E983" s="39"/>
      <c r="F983" s="42"/>
      <c r="G983" s="30"/>
      <c r="H983" s="36" t="s">
        <v>39</v>
      </c>
    </row>
    <row r="984" spans="4:8" ht="15.75">
      <c r="D984" s="37">
        <f t="shared" si="18"/>
        <v>974</v>
      </c>
      <c r="E984" s="39"/>
      <c r="F984" s="42"/>
      <c r="G984" s="30"/>
      <c r="H984" s="36" t="s">
        <v>39</v>
      </c>
    </row>
    <row r="985" spans="4:8" ht="15.75">
      <c r="D985" s="37">
        <f t="shared" si="18"/>
        <v>975</v>
      </c>
      <c r="E985" s="39"/>
      <c r="F985" s="42"/>
      <c r="G985" s="30"/>
      <c r="H985" s="36" t="s">
        <v>39</v>
      </c>
    </row>
    <row r="986" spans="4:8" ht="15.75">
      <c r="D986" s="37">
        <f t="shared" si="18"/>
        <v>976</v>
      </c>
      <c r="E986" s="39"/>
      <c r="F986" s="42"/>
      <c r="G986" s="30"/>
      <c r="H986" s="36" t="s">
        <v>39</v>
      </c>
    </row>
    <row r="987" spans="4:8" ht="15.75">
      <c r="D987" s="37">
        <f t="shared" si="18"/>
        <v>977</v>
      </c>
      <c r="E987" s="39"/>
      <c r="F987" s="42"/>
      <c r="G987" s="30"/>
      <c r="H987" s="36" t="s">
        <v>39</v>
      </c>
    </row>
    <row r="988" spans="4:8" ht="15.75">
      <c r="D988" s="37">
        <f t="shared" si="18"/>
        <v>978</v>
      </c>
      <c r="E988" s="39"/>
      <c r="F988" s="42"/>
      <c r="G988" s="30"/>
      <c r="H988" s="36" t="s">
        <v>39</v>
      </c>
    </row>
    <row r="989" spans="4:8" ht="15.75">
      <c r="D989" s="37">
        <f t="shared" si="18"/>
        <v>979</v>
      </c>
      <c r="E989" s="39"/>
      <c r="F989" s="42"/>
      <c r="G989" s="30"/>
      <c r="H989" s="36" t="s">
        <v>39</v>
      </c>
    </row>
    <row r="990" spans="4:8" ht="15.75">
      <c r="D990" s="37">
        <f t="shared" si="18"/>
        <v>980</v>
      </c>
      <c r="E990" s="39"/>
      <c r="F990" s="42"/>
      <c r="G990" s="30"/>
      <c r="H990" s="36" t="s">
        <v>39</v>
      </c>
    </row>
    <row r="991" spans="4:8" ht="15.75">
      <c r="D991" s="37">
        <f t="shared" si="18"/>
        <v>981</v>
      </c>
      <c r="E991" s="39"/>
      <c r="F991" s="42"/>
      <c r="G991" s="30"/>
      <c r="H991" s="36" t="s">
        <v>39</v>
      </c>
    </row>
    <row r="992" spans="4:8" ht="15.75">
      <c r="D992" s="37">
        <f t="shared" si="18"/>
        <v>982</v>
      </c>
      <c r="E992" s="39"/>
      <c r="F992" s="42"/>
      <c r="G992" s="30"/>
      <c r="H992" s="36" t="s">
        <v>39</v>
      </c>
    </row>
    <row r="993" spans="4:8" ht="15.75">
      <c r="D993" s="37">
        <f t="shared" si="18"/>
        <v>983</v>
      </c>
      <c r="E993" s="39"/>
      <c r="F993" s="42"/>
      <c r="G993" s="30"/>
      <c r="H993" s="36" t="s">
        <v>39</v>
      </c>
    </row>
    <row r="994" spans="4:8" ht="15.75">
      <c r="D994" s="37">
        <f t="shared" si="18"/>
        <v>984</v>
      </c>
      <c r="E994" s="39"/>
      <c r="F994" s="42"/>
      <c r="G994" s="30"/>
      <c r="H994" s="36" t="s">
        <v>39</v>
      </c>
    </row>
    <row r="995" spans="4:8" ht="15.75">
      <c r="D995" s="37">
        <f t="shared" si="18"/>
        <v>985</v>
      </c>
      <c r="E995" s="39"/>
      <c r="F995" s="42"/>
      <c r="G995" s="30"/>
      <c r="H995" s="36" t="s">
        <v>39</v>
      </c>
    </row>
    <row r="996" spans="4:8" ht="15.75">
      <c r="D996" s="37">
        <f t="shared" si="18"/>
        <v>986</v>
      </c>
      <c r="E996" s="39"/>
      <c r="F996" s="42"/>
      <c r="G996" s="30"/>
      <c r="H996" s="36" t="s">
        <v>39</v>
      </c>
    </row>
    <row r="997" spans="4:8" ht="15.75">
      <c r="D997" s="37">
        <f t="shared" si="18"/>
        <v>987</v>
      </c>
      <c r="E997" s="39"/>
      <c r="F997" s="42"/>
      <c r="G997" s="30"/>
      <c r="H997" s="36" t="s">
        <v>39</v>
      </c>
    </row>
    <row r="998" spans="4:8" ht="15.75">
      <c r="D998" s="37">
        <f t="shared" si="18"/>
        <v>988</v>
      </c>
      <c r="E998" s="39"/>
      <c r="F998" s="42"/>
      <c r="G998" s="30"/>
      <c r="H998" s="36" t="s">
        <v>39</v>
      </c>
    </row>
    <row r="999" spans="4:8" ht="15.75">
      <c r="D999" s="37">
        <f t="shared" si="18"/>
        <v>989</v>
      </c>
      <c r="E999" s="39"/>
      <c r="F999" s="42"/>
      <c r="G999" s="30"/>
      <c r="H999" s="36" t="s">
        <v>39</v>
      </c>
    </row>
    <row r="1000" spans="4:8" ht="15.75">
      <c r="D1000" s="37">
        <f t="shared" si="18"/>
        <v>990</v>
      </c>
      <c r="E1000" s="39"/>
      <c r="F1000" s="42"/>
      <c r="G1000" s="30"/>
      <c r="H1000" s="36" t="s">
        <v>39</v>
      </c>
    </row>
    <row r="1001" spans="4:8" ht="15.75">
      <c r="D1001" s="37">
        <f t="shared" si="18"/>
        <v>991</v>
      </c>
      <c r="E1001" s="39"/>
      <c r="F1001" s="42"/>
      <c r="G1001" s="30"/>
      <c r="H1001" s="36" t="s">
        <v>39</v>
      </c>
    </row>
    <row r="1002" spans="4:8" ht="15.75">
      <c r="D1002" s="37">
        <f t="shared" si="18"/>
        <v>992</v>
      </c>
      <c r="E1002" s="39"/>
      <c r="F1002" s="42"/>
      <c r="G1002" s="30"/>
      <c r="H1002" s="36" t="s">
        <v>39</v>
      </c>
    </row>
    <row r="1003" spans="4:8" ht="15.75">
      <c r="D1003" s="37">
        <f t="shared" si="18"/>
        <v>993</v>
      </c>
      <c r="E1003" s="39"/>
      <c r="F1003" s="42"/>
      <c r="G1003" s="30"/>
      <c r="H1003" s="36" t="s">
        <v>39</v>
      </c>
    </row>
    <row r="1004" spans="4:8" ht="15.75">
      <c r="D1004" s="37">
        <f t="shared" si="18"/>
        <v>994</v>
      </c>
      <c r="E1004" s="39"/>
      <c r="F1004" s="42"/>
      <c r="G1004" s="30"/>
      <c r="H1004" s="36" t="s">
        <v>39</v>
      </c>
    </row>
    <row r="1005" spans="4:8" ht="15.75">
      <c r="D1005" s="37">
        <f t="shared" si="18"/>
        <v>995</v>
      </c>
      <c r="E1005" s="39"/>
      <c r="F1005" s="42"/>
      <c r="G1005" s="30"/>
      <c r="H1005" s="36" t="s">
        <v>39</v>
      </c>
    </row>
    <row r="1006" spans="4:8" ht="15.75">
      <c r="D1006" s="37">
        <f t="shared" si="18"/>
        <v>996</v>
      </c>
      <c r="E1006" s="39"/>
      <c r="F1006" s="42"/>
      <c r="G1006" s="30"/>
      <c r="H1006" s="36" t="s">
        <v>39</v>
      </c>
    </row>
    <row r="1007" spans="4:8" ht="15.75">
      <c r="D1007" s="37">
        <f t="shared" si="18"/>
        <v>997</v>
      </c>
      <c r="E1007" s="39"/>
      <c r="F1007" s="42"/>
      <c r="G1007" s="30"/>
      <c r="H1007" s="36" t="s">
        <v>39</v>
      </c>
    </row>
    <row r="1008" spans="4:8" ht="15.75">
      <c r="D1008" s="37">
        <f t="shared" si="18"/>
        <v>998</v>
      </c>
      <c r="E1008" s="39"/>
      <c r="F1008" s="42"/>
      <c r="G1008" s="30"/>
      <c r="H1008" s="36" t="s">
        <v>39</v>
      </c>
    </row>
    <row r="1009" spans="1:8" ht="15.75">
      <c r="D1009" s="37">
        <f t="shared" si="18"/>
        <v>999</v>
      </c>
      <c r="E1009" s="39"/>
      <c r="F1009" s="42"/>
      <c r="G1009" s="30"/>
      <c r="H1009" s="36" t="s">
        <v>39</v>
      </c>
    </row>
    <row r="1010" spans="1:8" ht="15.75">
      <c r="D1010" s="37">
        <f t="shared" si="18"/>
        <v>1000</v>
      </c>
      <c r="E1010" s="39"/>
      <c r="F1010" s="42"/>
      <c r="G1010" s="30"/>
      <c r="H1010" s="36" t="s">
        <v>39</v>
      </c>
    </row>
    <row r="1011" spans="1:8">
      <c r="A1011" s="36" t="s">
        <v>39</v>
      </c>
      <c r="B1011" s="36" t="s">
        <v>39</v>
      </c>
      <c r="C1011" s="36" t="s">
        <v>39</v>
      </c>
      <c r="D1011" s="36" t="s">
        <v>39</v>
      </c>
      <c r="E1011" s="36" t="s">
        <v>39</v>
      </c>
      <c r="F1011" s="36" t="s">
        <v>39</v>
      </c>
      <c r="G1011" s="36" t="s">
        <v>39</v>
      </c>
      <c r="H1011" s="36" t="s">
        <v>39</v>
      </c>
    </row>
  </sheetData>
  <pageMargins left="0.75000000000000011" right="0.75000000000000011" top="1" bottom="1" header="0.5" footer="0.5"/>
  <pageSetup paperSize="9" scale="53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'Ship Time Charter Rates'!$F$3:$F$7</xm:f>
          </x14:formula1>
          <xm:sqref>F11:F1010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158"/>
  <sheetViews>
    <sheetView topLeftCell="A13" workbookViewId="0">
      <selection activeCell="BA19" sqref="BA19"/>
    </sheetView>
  </sheetViews>
  <sheetFormatPr defaultColWidth="11" defaultRowHeight="15.75"/>
  <cols>
    <col min="2" max="2" width="13.125" customWidth="1"/>
    <col min="3" max="3" width="28" style="79" customWidth="1"/>
    <col min="4" max="4" width="24" style="79" customWidth="1"/>
    <col min="5" max="5" width="8.875" style="79" customWidth="1"/>
    <col min="6" max="6" width="11.125" style="79" bestFit="1" customWidth="1"/>
    <col min="7" max="7" width="14.375" style="79" bestFit="1" customWidth="1"/>
    <col min="8" max="9" width="10.875" style="79" customWidth="1"/>
    <col min="10" max="10" width="12.875" style="79" bestFit="1" customWidth="1"/>
    <col min="11" max="11" width="12.875" style="79" customWidth="1"/>
    <col min="12" max="13" width="8.875" style="79" customWidth="1"/>
    <col min="14" max="14" width="17.375" style="79" bestFit="1" customWidth="1"/>
    <col min="15" max="16" width="10.875" style="79" customWidth="1"/>
    <col min="17" max="17" width="12.875" style="79" bestFit="1" customWidth="1"/>
    <col min="18" max="18" width="12.875" style="79" customWidth="1"/>
    <col min="19" max="19" width="12.875" style="79" bestFit="1" customWidth="1"/>
    <col min="20" max="20" width="12.875" style="79" customWidth="1"/>
    <col min="21" max="21" width="17.375" style="79" bestFit="1" customWidth="1"/>
    <col min="22" max="23" width="10.875" style="79" customWidth="1"/>
    <col min="24" max="24" width="12.875" style="79" bestFit="1" customWidth="1"/>
    <col min="25" max="25" width="12.875" style="79" customWidth="1"/>
    <col min="26" max="27" width="8.875" style="79" customWidth="1"/>
    <col min="28" max="28" width="17.375" style="79" bestFit="1" customWidth="1"/>
    <col min="29" max="30" width="10.875" style="79" customWidth="1"/>
    <col min="31" max="31" width="12.875" style="79" bestFit="1" customWidth="1"/>
    <col min="32" max="32" width="12.875" style="79" customWidth="1"/>
    <col min="33" max="34" width="8.875" style="79" customWidth="1"/>
    <col min="35" max="35" width="17.625" style="79" bestFit="1" customWidth="1"/>
    <col min="36" max="37" width="10.875" style="79" customWidth="1"/>
    <col min="38" max="38" width="12.875" style="79" bestFit="1" customWidth="1"/>
    <col min="39" max="41" width="12.875" style="79" customWidth="1"/>
    <col min="42" max="42" width="18.375" style="79" bestFit="1" customWidth="1"/>
    <col min="43" max="44" width="10.875" style="79" customWidth="1"/>
    <col min="45" max="45" width="12.875" style="79" bestFit="1" customWidth="1"/>
    <col min="46" max="46" width="8.875" style="79" customWidth="1"/>
    <col min="47" max="48" width="10.625" style="79" customWidth="1"/>
    <col min="49" max="49" width="18.375" style="79" bestFit="1" customWidth="1"/>
    <col min="50" max="51" width="10.875" style="79" customWidth="1"/>
    <col min="52" max="52" width="12.875" style="79" bestFit="1" customWidth="1"/>
    <col min="53" max="53" width="12.875" style="79" customWidth="1"/>
  </cols>
  <sheetData>
    <row r="1" spans="1:54" ht="16.5" thickBot="1">
      <c r="A1" s="251" t="str">
        <f>Canals!E4</f>
        <v>DWT&lt; tonnes</v>
      </c>
      <c r="B1" s="251" t="str">
        <f>Canals!F4</f>
        <v>Class</v>
      </c>
      <c r="C1" s="455" t="str">
        <f>Canals!G4</f>
        <v>This vessel classification is for Canals Passage only … they are not the standard definitions!</v>
      </c>
      <c r="BB1" s="79" t="s">
        <v>39</v>
      </c>
    </row>
    <row r="2" spans="1:54" ht="16.5" thickBot="1">
      <c r="A2" s="252">
        <f>Canals!E5</f>
        <v>0</v>
      </c>
      <c r="B2" s="252" t="str">
        <f>Canals!F5</f>
        <v>Handysize</v>
      </c>
      <c r="C2" s="456"/>
      <c r="BB2" s="79" t="s">
        <v>39</v>
      </c>
    </row>
    <row r="3" spans="1:54" ht="16.5" thickBot="1">
      <c r="A3" s="252">
        <f>Canals!E6</f>
        <v>40000</v>
      </c>
      <c r="B3" s="252" t="str">
        <f>Canals!F6</f>
        <v>Supramax</v>
      </c>
      <c r="C3" s="456"/>
      <c r="BB3" s="79" t="s">
        <v>39</v>
      </c>
    </row>
    <row r="4" spans="1:54" ht="16.5" thickBot="1">
      <c r="A4" s="252">
        <f>Canals!E7</f>
        <v>60000</v>
      </c>
      <c r="B4" s="252" t="str">
        <f>Canals!F7</f>
        <v>Panamax</v>
      </c>
      <c r="C4" s="456"/>
      <c r="BB4" s="79" t="s">
        <v>39</v>
      </c>
    </row>
    <row r="5" spans="1:54" ht="16.5" thickBot="1">
      <c r="A5" s="252">
        <f>Canals!E8</f>
        <v>100000</v>
      </c>
      <c r="B5" s="252" t="str">
        <f>Canals!F8</f>
        <v>NeoPanamax</v>
      </c>
      <c r="C5" s="456"/>
      <c r="BB5" s="79" t="s">
        <v>39</v>
      </c>
    </row>
    <row r="6" spans="1:54" ht="16.5" thickBot="1">
      <c r="A6" s="252">
        <f>Canals!E9</f>
        <v>120000</v>
      </c>
      <c r="B6" s="252" t="str">
        <f>Canals!F9</f>
        <v>Suezmax</v>
      </c>
      <c r="C6" s="456"/>
      <c r="BB6" s="79" t="s">
        <v>39</v>
      </c>
    </row>
    <row r="7" spans="1:54" ht="16.5" thickBot="1">
      <c r="A7" s="252">
        <f>Canals!E10</f>
        <v>160000</v>
      </c>
      <c r="B7" s="252" t="str">
        <f>Canals!F10</f>
        <v>Capesize</v>
      </c>
      <c r="C7" s="456"/>
      <c r="BB7" s="79" t="s">
        <v>39</v>
      </c>
    </row>
    <row r="8" spans="1:54" ht="16.5" thickBot="1">
      <c r="A8" s="252">
        <f>Canals!E11</f>
        <v>220000</v>
      </c>
      <c r="B8" s="252" t="str">
        <f>Canals!F11</f>
        <v>VLOC</v>
      </c>
      <c r="C8" s="456"/>
      <c r="BB8" s="79" t="s">
        <v>39</v>
      </c>
    </row>
    <row r="9" spans="1:54" ht="16.5" thickBot="1">
      <c r="A9" s="256">
        <f>Canals!E12</f>
        <v>0</v>
      </c>
      <c r="B9" s="256">
        <f>Canals!F12</f>
        <v>0</v>
      </c>
      <c r="C9" s="457"/>
      <c r="BB9" s="79" t="s">
        <v>39</v>
      </c>
    </row>
    <row r="10" spans="1:54">
      <c r="BB10" s="79" t="s">
        <v>39</v>
      </c>
    </row>
    <row r="11" spans="1:54">
      <c r="BB11" s="79" t="s">
        <v>39</v>
      </c>
    </row>
    <row r="12" spans="1:54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 s="79" t="s">
        <v>39</v>
      </c>
    </row>
    <row r="13" spans="1:54">
      <c r="AH13" s="79" t="s">
        <v>310</v>
      </c>
      <c r="BB13" s="79" t="s">
        <v>39</v>
      </c>
    </row>
    <row r="14" spans="1:54" ht="16.5" thickBot="1">
      <c r="B14" s="183" t="s">
        <v>277</v>
      </c>
      <c r="BB14" s="79" t="s">
        <v>39</v>
      </c>
    </row>
    <row r="15" spans="1:54" ht="33.950000000000003" customHeight="1">
      <c r="A15" s="128" t="s">
        <v>246</v>
      </c>
      <c r="E15" s="451" t="s">
        <v>108</v>
      </c>
      <c r="F15" s="452"/>
      <c r="G15" s="452"/>
      <c r="H15" s="452"/>
      <c r="I15" s="452"/>
      <c r="J15" s="452"/>
      <c r="K15" s="453"/>
      <c r="L15" s="451" t="s">
        <v>59</v>
      </c>
      <c r="M15" s="452"/>
      <c r="N15" s="452"/>
      <c r="O15" s="452"/>
      <c r="P15" s="452"/>
      <c r="Q15" s="452"/>
      <c r="R15" s="453"/>
      <c r="S15" s="451" t="s">
        <v>210</v>
      </c>
      <c r="T15" s="452"/>
      <c r="U15" s="452"/>
      <c r="V15" s="452"/>
      <c r="W15" s="452"/>
      <c r="X15" s="452"/>
      <c r="Y15" s="453"/>
      <c r="Z15" s="451" t="s">
        <v>214</v>
      </c>
      <c r="AA15" s="452"/>
      <c r="AB15" s="452"/>
      <c r="AC15" s="452"/>
      <c r="AD15" s="452"/>
      <c r="AE15" s="452"/>
      <c r="AF15" s="453"/>
      <c r="AG15" s="451" t="s">
        <v>58</v>
      </c>
      <c r="AH15" s="452"/>
      <c r="AI15" s="452"/>
      <c r="AJ15" s="452"/>
      <c r="AK15" s="452"/>
      <c r="AL15" s="452"/>
      <c r="AM15" s="453"/>
      <c r="AN15" s="451" t="s">
        <v>255</v>
      </c>
      <c r="AO15" s="452"/>
      <c r="AP15" s="452"/>
      <c r="AQ15" s="452"/>
      <c r="AR15" s="452"/>
      <c r="AS15" s="452"/>
      <c r="AT15" s="453"/>
      <c r="AU15" s="451" t="s">
        <v>57</v>
      </c>
      <c r="AV15" s="452"/>
      <c r="AW15" s="452"/>
      <c r="AX15" s="452"/>
      <c r="AY15" s="452"/>
      <c r="AZ15" s="452"/>
      <c r="BA15" s="453"/>
      <c r="BB15" s="79" t="s">
        <v>39</v>
      </c>
    </row>
    <row r="16" spans="1:54" ht="94.5">
      <c r="A16" s="13" t="s">
        <v>0</v>
      </c>
      <c r="B16" s="121" t="s">
        <v>200</v>
      </c>
      <c r="C16" s="13" t="s">
        <v>28</v>
      </c>
      <c r="D16" s="13" t="s">
        <v>184</v>
      </c>
      <c r="E16" s="130" t="s">
        <v>282</v>
      </c>
      <c r="F16" s="64" t="s">
        <v>283</v>
      </c>
      <c r="G16" s="64" t="s">
        <v>244</v>
      </c>
      <c r="H16" s="64" t="s">
        <v>245</v>
      </c>
      <c r="I16" s="210" t="s">
        <v>278</v>
      </c>
      <c r="J16" s="210" t="s">
        <v>279</v>
      </c>
      <c r="K16" s="131" t="s">
        <v>179</v>
      </c>
      <c r="L16" s="130" t="s">
        <v>282</v>
      </c>
      <c r="M16" s="64" t="s">
        <v>283</v>
      </c>
      <c r="N16" s="64" t="s">
        <v>244</v>
      </c>
      <c r="O16" s="64" t="s">
        <v>245</v>
      </c>
      <c r="P16" s="210" t="s">
        <v>278</v>
      </c>
      <c r="Q16" s="210" t="s">
        <v>279</v>
      </c>
      <c r="R16" s="131" t="s">
        <v>179</v>
      </c>
      <c r="S16" s="130" t="s">
        <v>282</v>
      </c>
      <c r="T16" s="64" t="s">
        <v>283</v>
      </c>
      <c r="U16" s="64" t="s">
        <v>244</v>
      </c>
      <c r="V16" s="64" t="s">
        <v>245</v>
      </c>
      <c r="W16" s="210" t="s">
        <v>278</v>
      </c>
      <c r="X16" s="210" t="s">
        <v>279</v>
      </c>
      <c r="Y16" s="131" t="s">
        <v>179</v>
      </c>
      <c r="Z16" s="130" t="s">
        <v>282</v>
      </c>
      <c r="AA16" s="64" t="s">
        <v>283</v>
      </c>
      <c r="AB16" s="64" t="s">
        <v>244</v>
      </c>
      <c r="AC16" s="64" t="s">
        <v>245</v>
      </c>
      <c r="AD16" s="210" t="s">
        <v>278</v>
      </c>
      <c r="AE16" s="210" t="s">
        <v>279</v>
      </c>
      <c r="AF16" s="131" t="s">
        <v>179</v>
      </c>
      <c r="AG16" s="130" t="s">
        <v>282</v>
      </c>
      <c r="AH16" s="64" t="s">
        <v>283</v>
      </c>
      <c r="AI16" s="64" t="s">
        <v>244</v>
      </c>
      <c r="AJ16" s="64" t="s">
        <v>245</v>
      </c>
      <c r="AK16" s="210" t="s">
        <v>278</v>
      </c>
      <c r="AL16" s="210" t="s">
        <v>279</v>
      </c>
      <c r="AM16" s="131" t="s">
        <v>179</v>
      </c>
      <c r="AN16" s="130" t="s">
        <v>282</v>
      </c>
      <c r="AO16" s="64" t="s">
        <v>283</v>
      </c>
      <c r="AP16" s="64" t="s">
        <v>244</v>
      </c>
      <c r="AQ16" s="64" t="s">
        <v>245</v>
      </c>
      <c r="AR16" s="210" t="s">
        <v>278</v>
      </c>
      <c r="AS16" s="210" t="s">
        <v>279</v>
      </c>
      <c r="AT16" s="131" t="s">
        <v>179</v>
      </c>
      <c r="AU16" s="130" t="s">
        <v>282</v>
      </c>
      <c r="AV16" s="64" t="s">
        <v>283</v>
      </c>
      <c r="AW16" s="64" t="s">
        <v>244</v>
      </c>
      <c r="AX16" s="64" t="s">
        <v>245</v>
      </c>
      <c r="AY16" s="210" t="s">
        <v>278</v>
      </c>
      <c r="AZ16" s="210" t="s">
        <v>279</v>
      </c>
      <c r="BA16" s="131" t="s">
        <v>179</v>
      </c>
      <c r="BB16" s="79" t="s">
        <v>39</v>
      </c>
    </row>
    <row r="17" spans="1:54" ht="31.5">
      <c r="A17" s="14" t="s">
        <v>14</v>
      </c>
      <c r="B17" s="122" t="s">
        <v>29</v>
      </c>
      <c r="C17" s="14" t="s">
        <v>29</v>
      </c>
      <c r="D17" s="14" t="s">
        <v>29</v>
      </c>
      <c r="E17" s="132" t="s">
        <v>199</v>
      </c>
      <c r="F17" s="173" t="s">
        <v>199</v>
      </c>
      <c r="G17" s="173" t="s">
        <v>29</v>
      </c>
      <c r="H17" s="173" t="s">
        <v>29</v>
      </c>
      <c r="I17" s="173" t="s">
        <v>29</v>
      </c>
      <c r="J17" s="173" t="s">
        <v>29</v>
      </c>
      <c r="K17" s="133" t="s">
        <v>29</v>
      </c>
      <c r="L17" s="132" t="s">
        <v>199</v>
      </c>
      <c r="M17" s="173" t="s">
        <v>199</v>
      </c>
      <c r="N17" s="173" t="s">
        <v>29</v>
      </c>
      <c r="O17" s="173" t="s">
        <v>29</v>
      </c>
      <c r="P17" s="173" t="s">
        <v>29</v>
      </c>
      <c r="Q17" s="173" t="s">
        <v>29</v>
      </c>
      <c r="R17" s="133" t="s">
        <v>29</v>
      </c>
      <c r="S17" s="132" t="s">
        <v>199</v>
      </c>
      <c r="T17" s="173" t="s">
        <v>199</v>
      </c>
      <c r="U17" s="173" t="s">
        <v>29</v>
      </c>
      <c r="V17" s="173" t="s">
        <v>29</v>
      </c>
      <c r="W17" s="173" t="s">
        <v>29</v>
      </c>
      <c r="X17" s="173" t="s">
        <v>29</v>
      </c>
      <c r="Y17" s="133" t="s">
        <v>29</v>
      </c>
      <c r="Z17" s="132" t="s">
        <v>199</v>
      </c>
      <c r="AA17" s="173" t="s">
        <v>199</v>
      </c>
      <c r="AB17" s="173" t="s">
        <v>29</v>
      </c>
      <c r="AC17" s="173" t="s">
        <v>29</v>
      </c>
      <c r="AD17" s="173" t="s">
        <v>29</v>
      </c>
      <c r="AE17" s="173" t="s">
        <v>29</v>
      </c>
      <c r="AF17" s="133" t="s">
        <v>29</v>
      </c>
      <c r="AG17" s="132" t="s">
        <v>199</v>
      </c>
      <c r="AH17" s="173" t="s">
        <v>199</v>
      </c>
      <c r="AI17" s="173" t="s">
        <v>29</v>
      </c>
      <c r="AJ17" s="173" t="s">
        <v>29</v>
      </c>
      <c r="AK17" s="173" t="s">
        <v>29</v>
      </c>
      <c r="AL17" s="173" t="s">
        <v>29</v>
      </c>
      <c r="AM17" s="133" t="s">
        <v>29</v>
      </c>
      <c r="AN17" s="132" t="s">
        <v>199</v>
      </c>
      <c r="AO17" s="173" t="s">
        <v>199</v>
      </c>
      <c r="AP17" s="173" t="s">
        <v>29</v>
      </c>
      <c r="AQ17" s="173" t="s">
        <v>29</v>
      </c>
      <c r="AR17" s="173" t="s">
        <v>29</v>
      </c>
      <c r="AS17" s="173" t="s">
        <v>29</v>
      </c>
      <c r="AT17" s="133" t="s">
        <v>29</v>
      </c>
      <c r="AU17" s="132" t="s">
        <v>199</v>
      </c>
      <c r="AV17" s="173" t="s">
        <v>199</v>
      </c>
      <c r="AW17" s="173" t="s">
        <v>29</v>
      </c>
      <c r="AX17" s="173" t="s">
        <v>29</v>
      </c>
      <c r="AY17" s="173" t="s">
        <v>29</v>
      </c>
      <c r="AZ17" s="173" t="s">
        <v>29</v>
      </c>
      <c r="BA17" s="133" t="s">
        <v>29</v>
      </c>
      <c r="BB17" s="79" t="s">
        <v>39</v>
      </c>
    </row>
    <row r="18" spans="1:54">
      <c r="A18" s="119">
        <v>43831</v>
      </c>
      <c r="B18" s="125" t="str">
        <f>INDEX('Indices Mines Exporting Ports'!$C$26:$C$51,MATCH(C18,'Indices Mines Exporting Ports'!$Q$26:$Q$51,0))</f>
        <v>MRN</v>
      </c>
      <c r="C18" s="217" t="s">
        <v>298</v>
      </c>
      <c r="D18" s="218" t="s">
        <v>95</v>
      </c>
      <c r="E18" s="228" t="e">
        <f>NA()</f>
        <v>#N/A</v>
      </c>
      <c r="F18" s="229">
        <v>0</v>
      </c>
      <c r="G18" s="230" t="s">
        <v>252</v>
      </c>
      <c r="H18" s="230" t="s">
        <v>248</v>
      </c>
      <c r="I18" s="231" t="s">
        <v>264</v>
      </c>
      <c r="J18" s="231" t="s">
        <v>266</v>
      </c>
      <c r="K18" s="232" t="s">
        <v>190</v>
      </c>
      <c r="L18" s="228" t="e">
        <f>NA()</f>
        <v>#N/A</v>
      </c>
      <c r="M18" s="229">
        <v>0</v>
      </c>
      <c r="N18" s="230" t="s">
        <v>253</v>
      </c>
      <c r="O18" s="230" t="s">
        <v>248</v>
      </c>
      <c r="P18" s="231" t="s">
        <v>264</v>
      </c>
      <c r="Q18" s="231" t="s">
        <v>266</v>
      </c>
      <c r="R18" s="232" t="s">
        <v>190</v>
      </c>
      <c r="S18" s="228" t="e">
        <f>NA()</f>
        <v>#N/A</v>
      </c>
      <c r="T18" s="229">
        <v>0</v>
      </c>
      <c r="U18" s="230" t="s">
        <v>253</v>
      </c>
      <c r="V18" s="230" t="s">
        <v>248</v>
      </c>
      <c r="W18" s="231" t="s">
        <v>264</v>
      </c>
      <c r="X18" s="231" t="s">
        <v>266</v>
      </c>
      <c r="Y18" s="232" t="s">
        <v>190</v>
      </c>
      <c r="Z18" s="228" t="e">
        <f>NA()</f>
        <v>#N/A</v>
      </c>
      <c r="AA18" s="229">
        <v>0</v>
      </c>
      <c r="AB18" s="230" t="s">
        <v>253</v>
      </c>
      <c r="AC18" s="230" t="s">
        <v>248</v>
      </c>
      <c r="AD18" s="231" t="s">
        <v>264</v>
      </c>
      <c r="AE18" s="231" t="s">
        <v>266</v>
      </c>
      <c r="AF18" s="232" t="s">
        <v>190</v>
      </c>
      <c r="AG18" s="228">
        <v>11184</v>
      </c>
      <c r="AH18" s="229">
        <v>0</v>
      </c>
      <c r="AI18" s="230" t="s">
        <v>254</v>
      </c>
      <c r="AJ18" s="230" t="s">
        <v>248</v>
      </c>
      <c r="AK18" s="231" t="s">
        <v>264</v>
      </c>
      <c r="AL18" s="231" t="s">
        <v>266</v>
      </c>
      <c r="AM18" s="232" t="s">
        <v>180</v>
      </c>
      <c r="AN18" s="228">
        <v>11184</v>
      </c>
      <c r="AO18" s="229">
        <v>0</v>
      </c>
      <c r="AP18" s="230" t="s">
        <v>258</v>
      </c>
      <c r="AQ18" s="230" t="s">
        <v>248</v>
      </c>
      <c r="AR18" s="231" t="s">
        <v>264</v>
      </c>
      <c r="AS18" s="231" t="s">
        <v>266</v>
      </c>
      <c r="AT18" s="232" t="s">
        <v>180</v>
      </c>
      <c r="AU18" s="228">
        <v>11184</v>
      </c>
      <c r="AV18" s="229">
        <v>0</v>
      </c>
      <c r="AW18" s="230" t="s">
        <v>259</v>
      </c>
      <c r="AX18" s="230" t="s">
        <v>248</v>
      </c>
      <c r="AY18" s="231" t="s">
        <v>264</v>
      </c>
      <c r="AZ18" s="231" t="s">
        <v>266</v>
      </c>
      <c r="BA18" s="232" t="s">
        <v>180</v>
      </c>
      <c r="BB18" s="216" t="s">
        <v>39</v>
      </c>
    </row>
    <row r="19" spans="1:54">
      <c r="A19" s="119">
        <v>43831</v>
      </c>
      <c r="B19" s="125" t="str">
        <f>INDEX('Indices Mines Exporting Ports'!$C$26:$C$51,MATCH(C19,'Indices Mines Exporting Ports'!$Q$26:$Q$51,0))</f>
        <v>MRN</v>
      </c>
      <c r="C19" s="217" t="s">
        <v>298</v>
      </c>
      <c r="D19" s="218" t="s">
        <v>302</v>
      </c>
      <c r="E19" s="228" t="e">
        <f>NA()</f>
        <v>#N/A</v>
      </c>
      <c r="F19" s="229">
        <v>0</v>
      </c>
      <c r="G19" s="230" t="s">
        <v>252</v>
      </c>
      <c r="H19" s="230" t="s">
        <v>248</v>
      </c>
      <c r="I19" s="231" t="s">
        <v>264</v>
      </c>
      <c r="J19" s="231" t="s">
        <v>266</v>
      </c>
      <c r="K19" s="232" t="s">
        <v>190</v>
      </c>
      <c r="L19" s="228" t="e">
        <f>NA()</f>
        <v>#N/A</v>
      </c>
      <c r="M19" s="229">
        <v>0</v>
      </c>
      <c r="N19" s="230" t="s">
        <v>253</v>
      </c>
      <c r="O19" s="230" t="s">
        <v>248</v>
      </c>
      <c r="P19" s="231" t="s">
        <v>264</v>
      </c>
      <c r="Q19" s="231" t="s">
        <v>266</v>
      </c>
      <c r="R19" s="232" t="s">
        <v>190</v>
      </c>
      <c r="S19" s="228" t="e">
        <f>NA()</f>
        <v>#N/A</v>
      </c>
      <c r="T19" s="229">
        <v>0</v>
      </c>
      <c r="U19" s="230" t="s">
        <v>253</v>
      </c>
      <c r="V19" s="230" t="s">
        <v>248</v>
      </c>
      <c r="W19" s="231" t="s">
        <v>264</v>
      </c>
      <c r="X19" s="231" t="s">
        <v>266</v>
      </c>
      <c r="Y19" s="232" t="s">
        <v>190</v>
      </c>
      <c r="Z19" s="228" t="e">
        <f>NA()</f>
        <v>#N/A</v>
      </c>
      <c r="AA19" s="229">
        <v>0</v>
      </c>
      <c r="AB19" s="230" t="s">
        <v>253</v>
      </c>
      <c r="AC19" s="230" t="s">
        <v>248</v>
      </c>
      <c r="AD19" s="231" t="s">
        <v>264</v>
      </c>
      <c r="AE19" s="231" t="s">
        <v>266</v>
      </c>
      <c r="AF19" s="232" t="s">
        <v>190</v>
      </c>
      <c r="AG19" s="228">
        <v>1623</v>
      </c>
      <c r="AH19" s="229">
        <v>0</v>
      </c>
      <c r="AI19" s="230" t="s">
        <v>254</v>
      </c>
      <c r="AJ19" s="230" t="s">
        <v>248</v>
      </c>
      <c r="AK19" s="231" t="s">
        <v>264</v>
      </c>
      <c r="AL19" s="231" t="s">
        <v>266</v>
      </c>
      <c r="AM19" s="232" t="s">
        <v>190</v>
      </c>
      <c r="AN19" s="228">
        <v>1632</v>
      </c>
      <c r="AO19" s="229">
        <v>0</v>
      </c>
      <c r="AP19" s="230" t="s">
        <v>258</v>
      </c>
      <c r="AQ19" s="230" t="s">
        <v>248</v>
      </c>
      <c r="AR19" s="231" t="s">
        <v>264</v>
      </c>
      <c r="AS19" s="231" t="s">
        <v>266</v>
      </c>
      <c r="AT19" s="232" t="s">
        <v>190</v>
      </c>
      <c r="AU19" s="228">
        <v>1632</v>
      </c>
      <c r="AV19" s="229">
        <v>0</v>
      </c>
      <c r="AW19" s="230" t="s">
        <v>259</v>
      </c>
      <c r="AX19" s="230" t="s">
        <v>248</v>
      </c>
      <c r="AY19" s="231" t="s">
        <v>264</v>
      </c>
      <c r="AZ19" s="231" t="s">
        <v>266</v>
      </c>
      <c r="BA19" s="232" t="s">
        <v>190</v>
      </c>
      <c r="BB19" s="216" t="s">
        <v>39</v>
      </c>
    </row>
    <row r="20" spans="1:54">
      <c r="A20" s="119">
        <v>43831</v>
      </c>
      <c r="B20" s="125" t="str">
        <f>INDEX('Indices Mines Exporting Ports'!$C$26:$C$51,MATCH(C20,'Indices Mines Exporting Ports'!$Q$26:$Q$51,0))</f>
        <v>MRN</v>
      </c>
      <c r="C20" s="217" t="s">
        <v>302</v>
      </c>
      <c r="D20" s="218" t="s">
        <v>95</v>
      </c>
      <c r="E20" s="228">
        <v>13157</v>
      </c>
      <c r="F20" s="229">
        <v>0</v>
      </c>
      <c r="G20" s="230" t="s">
        <v>252</v>
      </c>
      <c r="H20" s="230" t="s">
        <v>248</v>
      </c>
      <c r="I20" s="231" t="s">
        <v>264</v>
      </c>
      <c r="J20" s="231" t="s">
        <v>266</v>
      </c>
      <c r="K20" s="232" t="s">
        <v>190</v>
      </c>
      <c r="L20" s="228">
        <v>13157</v>
      </c>
      <c r="M20" s="229">
        <v>0</v>
      </c>
      <c r="N20" s="230" t="s">
        <v>253</v>
      </c>
      <c r="O20" s="230" t="s">
        <v>248</v>
      </c>
      <c r="P20" s="231" t="s">
        <v>264</v>
      </c>
      <c r="Q20" s="231" t="s">
        <v>266</v>
      </c>
      <c r="R20" s="232" t="s">
        <v>190</v>
      </c>
      <c r="S20" s="228" t="e">
        <f>NA()</f>
        <v>#N/A</v>
      </c>
      <c r="T20" s="229">
        <v>0</v>
      </c>
      <c r="U20" s="230" t="s">
        <v>253</v>
      </c>
      <c r="V20" s="230" t="s">
        <v>248</v>
      </c>
      <c r="W20" s="231" t="s">
        <v>264</v>
      </c>
      <c r="X20" s="231" t="s">
        <v>266</v>
      </c>
      <c r="Y20" s="232" t="s">
        <v>190</v>
      </c>
      <c r="Z20" s="228" t="e">
        <f>NA()</f>
        <v>#N/A</v>
      </c>
      <c r="AA20" s="229">
        <v>0</v>
      </c>
      <c r="AB20" s="230" t="s">
        <v>253</v>
      </c>
      <c r="AC20" s="230" t="s">
        <v>248</v>
      </c>
      <c r="AD20" s="231" t="s">
        <v>264</v>
      </c>
      <c r="AE20" s="231" t="s">
        <v>266</v>
      </c>
      <c r="AF20" s="232" t="s">
        <v>190</v>
      </c>
      <c r="AG20" s="228" t="e">
        <f>NA()</f>
        <v>#N/A</v>
      </c>
      <c r="AH20" s="229">
        <v>0</v>
      </c>
      <c r="AI20" s="230" t="s">
        <v>254</v>
      </c>
      <c r="AJ20" s="230" t="s">
        <v>248</v>
      </c>
      <c r="AK20" s="231" t="s">
        <v>264</v>
      </c>
      <c r="AL20" s="231" t="s">
        <v>266</v>
      </c>
      <c r="AM20" s="232" t="s">
        <v>190</v>
      </c>
      <c r="AN20" s="228" t="e">
        <f>NA()</f>
        <v>#N/A</v>
      </c>
      <c r="AO20" s="229">
        <v>0</v>
      </c>
      <c r="AP20" s="230" t="s">
        <v>258</v>
      </c>
      <c r="AQ20" s="230" t="s">
        <v>248</v>
      </c>
      <c r="AR20" s="231" t="s">
        <v>264</v>
      </c>
      <c r="AS20" s="231" t="s">
        <v>266</v>
      </c>
      <c r="AT20" s="232" t="s">
        <v>190</v>
      </c>
      <c r="AU20" s="228" t="e">
        <f>NA()</f>
        <v>#N/A</v>
      </c>
      <c r="AV20" s="229">
        <v>0</v>
      </c>
      <c r="AW20" s="230" t="s">
        <v>259</v>
      </c>
      <c r="AX20" s="230" t="s">
        <v>248</v>
      </c>
      <c r="AY20" s="231" t="s">
        <v>264</v>
      </c>
      <c r="AZ20" s="231" t="s">
        <v>266</v>
      </c>
      <c r="BA20" s="232" t="s">
        <v>190</v>
      </c>
      <c r="BB20" s="216" t="s">
        <v>39</v>
      </c>
    </row>
    <row r="21" spans="1:54">
      <c r="A21" s="119">
        <v>43831</v>
      </c>
      <c r="B21" s="125" t="str">
        <f>INDEX('Indices Mines Exporting Ports'!$C$26:$C$51,MATCH(C21,'Indices Mines Exporting Ports'!$Q$26:$Q$51,0))</f>
        <v>Juruti</v>
      </c>
      <c r="C21" s="217" t="s">
        <v>299</v>
      </c>
      <c r="D21" s="218" t="s">
        <v>95</v>
      </c>
      <c r="E21" s="228" t="e">
        <f>NA()</f>
        <v>#N/A</v>
      </c>
      <c r="F21" s="229">
        <v>0</v>
      </c>
      <c r="G21" s="230" t="s">
        <v>252</v>
      </c>
      <c r="H21" s="230" t="s">
        <v>248</v>
      </c>
      <c r="I21" s="231" t="s">
        <v>264</v>
      </c>
      <c r="J21" s="231" t="s">
        <v>266</v>
      </c>
      <c r="K21" s="232" t="s">
        <v>190</v>
      </c>
      <c r="L21" s="228" t="e">
        <f>NA()</f>
        <v>#N/A</v>
      </c>
      <c r="M21" s="229">
        <v>0</v>
      </c>
      <c r="N21" s="230" t="s">
        <v>253</v>
      </c>
      <c r="O21" s="230" t="s">
        <v>248</v>
      </c>
      <c r="P21" s="231" t="s">
        <v>264</v>
      </c>
      <c r="Q21" s="231" t="s">
        <v>266</v>
      </c>
      <c r="R21" s="232" t="s">
        <v>190</v>
      </c>
      <c r="S21" s="228" t="e">
        <f>NA()</f>
        <v>#N/A</v>
      </c>
      <c r="T21" s="229">
        <v>0</v>
      </c>
      <c r="U21" s="230" t="s">
        <v>253</v>
      </c>
      <c r="V21" s="230" t="s">
        <v>248</v>
      </c>
      <c r="W21" s="231" t="s">
        <v>264</v>
      </c>
      <c r="X21" s="231" t="s">
        <v>266</v>
      </c>
      <c r="Y21" s="232" t="s">
        <v>190</v>
      </c>
      <c r="Z21" s="228" t="e">
        <f>NA()</f>
        <v>#N/A</v>
      </c>
      <c r="AA21" s="229">
        <v>0</v>
      </c>
      <c r="AB21" s="230" t="s">
        <v>253</v>
      </c>
      <c r="AC21" s="230" t="s">
        <v>248</v>
      </c>
      <c r="AD21" s="231" t="s">
        <v>264</v>
      </c>
      <c r="AE21" s="231" t="s">
        <v>266</v>
      </c>
      <c r="AF21" s="232" t="s">
        <v>190</v>
      </c>
      <c r="AG21" s="228">
        <v>11153</v>
      </c>
      <c r="AH21" s="229">
        <v>0</v>
      </c>
      <c r="AI21" s="230" t="s">
        <v>254</v>
      </c>
      <c r="AJ21" s="230" t="s">
        <v>248</v>
      </c>
      <c r="AK21" s="231" t="s">
        <v>264</v>
      </c>
      <c r="AL21" s="231" t="s">
        <v>266</v>
      </c>
      <c r="AM21" s="232" t="s">
        <v>180</v>
      </c>
      <c r="AN21" s="228">
        <v>11153</v>
      </c>
      <c r="AO21" s="229">
        <v>0</v>
      </c>
      <c r="AP21" s="230" t="s">
        <v>258</v>
      </c>
      <c r="AQ21" s="230" t="s">
        <v>248</v>
      </c>
      <c r="AR21" s="231" t="s">
        <v>264</v>
      </c>
      <c r="AS21" s="231" t="s">
        <v>266</v>
      </c>
      <c r="AT21" s="232" t="s">
        <v>180</v>
      </c>
      <c r="AU21" s="228">
        <v>11153</v>
      </c>
      <c r="AV21" s="229">
        <v>0</v>
      </c>
      <c r="AW21" s="230" t="s">
        <v>259</v>
      </c>
      <c r="AX21" s="230" t="s">
        <v>248</v>
      </c>
      <c r="AY21" s="231" t="s">
        <v>264</v>
      </c>
      <c r="AZ21" s="231" t="s">
        <v>266</v>
      </c>
      <c r="BA21" s="232" t="s">
        <v>180</v>
      </c>
      <c r="BB21" s="216" t="s">
        <v>39</v>
      </c>
    </row>
    <row r="22" spans="1:54">
      <c r="A22" s="119">
        <v>43831</v>
      </c>
      <c r="B22" s="125" t="str">
        <f>INDEX('Indices Mines Exporting Ports'!$C$26:$C$51,MATCH(C22,'Indices Mines Exporting Ports'!$Q$26:$Q$51,0))</f>
        <v>Juruti</v>
      </c>
      <c r="C22" s="217" t="s">
        <v>299</v>
      </c>
      <c r="D22" s="218" t="s">
        <v>302</v>
      </c>
      <c r="E22" s="228" t="e">
        <f>NA()</f>
        <v>#N/A</v>
      </c>
      <c r="F22" s="229">
        <v>0</v>
      </c>
      <c r="G22" s="230" t="s">
        <v>252</v>
      </c>
      <c r="H22" s="230" t="s">
        <v>248</v>
      </c>
      <c r="I22" s="231" t="s">
        <v>264</v>
      </c>
      <c r="J22" s="231" t="s">
        <v>266</v>
      </c>
      <c r="K22" s="232" t="s">
        <v>190</v>
      </c>
      <c r="L22" s="228" t="e">
        <f>NA()</f>
        <v>#N/A</v>
      </c>
      <c r="M22" s="229">
        <v>0</v>
      </c>
      <c r="N22" s="230" t="s">
        <v>253</v>
      </c>
      <c r="O22" s="230" t="s">
        <v>248</v>
      </c>
      <c r="P22" s="231" t="s">
        <v>264</v>
      </c>
      <c r="Q22" s="231" t="s">
        <v>266</v>
      </c>
      <c r="R22" s="232" t="s">
        <v>190</v>
      </c>
      <c r="S22" s="228" t="e">
        <f>NA()</f>
        <v>#N/A</v>
      </c>
      <c r="T22" s="229">
        <v>0</v>
      </c>
      <c r="U22" s="230" t="s">
        <v>253</v>
      </c>
      <c r="V22" s="230" t="s">
        <v>248</v>
      </c>
      <c r="W22" s="231" t="s">
        <v>264</v>
      </c>
      <c r="X22" s="231" t="s">
        <v>266</v>
      </c>
      <c r="Y22" s="232" t="s">
        <v>190</v>
      </c>
      <c r="Z22" s="228" t="e">
        <f>NA()</f>
        <v>#N/A</v>
      </c>
      <c r="AA22" s="229">
        <v>0</v>
      </c>
      <c r="AB22" s="230" t="s">
        <v>253</v>
      </c>
      <c r="AC22" s="230" t="s">
        <v>248</v>
      </c>
      <c r="AD22" s="231" t="s">
        <v>264</v>
      </c>
      <c r="AE22" s="231" t="s">
        <v>266</v>
      </c>
      <c r="AF22" s="232" t="s">
        <v>190</v>
      </c>
      <c r="AG22" s="228">
        <v>1601</v>
      </c>
      <c r="AH22" s="229">
        <v>0</v>
      </c>
      <c r="AI22" s="230" t="s">
        <v>254</v>
      </c>
      <c r="AJ22" s="230" t="s">
        <v>248</v>
      </c>
      <c r="AK22" s="231" t="s">
        <v>264</v>
      </c>
      <c r="AL22" s="231" t="s">
        <v>266</v>
      </c>
      <c r="AM22" s="232" t="s">
        <v>190</v>
      </c>
      <c r="AN22" s="228">
        <v>1601</v>
      </c>
      <c r="AO22" s="229">
        <v>0</v>
      </c>
      <c r="AP22" s="230" t="s">
        <v>258</v>
      </c>
      <c r="AQ22" s="230" t="s">
        <v>248</v>
      </c>
      <c r="AR22" s="231" t="s">
        <v>264</v>
      </c>
      <c r="AS22" s="231" t="s">
        <v>266</v>
      </c>
      <c r="AT22" s="232" t="s">
        <v>190</v>
      </c>
      <c r="AU22" s="228">
        <v>1601</v>
      </c>
      <c r="AV22" s="229">
        <v>0</v>
      </c>
      <c r="AW22" s="230" t="s">
        <v>259</v>
      </c>
      <c r="AX22" s="230" t="s">
        <v>248</v>
      </c>
      <c r="AY22" s="231" t="s">
        <v>264</v>
      </c>
      <c r="AZ22" s="231" t="s">
        <v>266</v>
      </c>
      <c r="BA22" s="232" t="s">
        <v>190</v>
      </c>
      <c r="BB22" s="216" t="s">
        <v>39</v>
      </c>
    </row>
    <row r="23" spans="1:54">
      <c r="A23" s="119">
        <v>43831</v>
      </c>
      <c r="B23" s="125" t="str">
        <f>INDEX('Indices Mines Exporting Ports'!$C$26:$C$51,MATCH(C23,'Indices Mines Exporting Ports'!$Q$26:$Q$51,0))</f>
        <v>SMB Generic</v>
      </c>
      <c r="C23" s="217" t="s">
        <v>191</v>
      </c>
      <c r="D23" s="218" t="s">
        <v>95</v>
      </c>
      <c r="E23" s="228">
        <v>11150</v>
      </c>
      <c r="F23" s="229">
        <v>0</v>
      </c>
      <c r="G23" s="230" t="s">
        <v>252</v>
      </c>
      <c r="H23" s="230" t="s">
        <v>248</v>
      </c>
      <c r="I23" s="231" t="s">
        <v>264</v>
      </c>
      <c r="J23" s="231" t="s">
        <v>266</v>
      </c>
      <c r="K23" s="232" t="s">
        <v>190</v>
      </c>
      <c r="L23" s="228">
        <v>11150</v>
      </c>
      <c r="M23" s="229">
        <v>0</v>
      </c>
      <c r="N23" s="230" t="s">
        <v>253</v>
      </c>
      <c r="O23" s="230" t="s">
        <v>248</v>
      </c>
      <c r="P23" s="231" t="s">
        <v>264</v>
      </c>
      <c r="Q23" s="231" t="s">
        <v>266</v>
      </c>
      <c r="R23" s="232" t="s">
        <v>190</v>
      </c>
      <c r="S23" s="228">
        <v>11150</v>
      </c>
      <c r="T23" s="229">
        <v>0</v>
      </c>
      <c r="U23" s="230" t="s">
        <v>253</v>
      </c>
      <c r="V23" s="230" t="s">
        <v>248</v>
      </c>
      <c r="W23" s="231" t="s">
        <v>264</v>
      </c>
      <c r="X23" s="231" t="s">
        <v>266</v>
      </c>
      <c r="Y23" s="232" t="s">
        <v>190</v>
      </c>
      <c r="Z23" s="228">
        <v>11150</v>
      </c>
      <c r="AA23" s="229">
        <v>0</v>
      </c>
      <c r="AB23" s="230" t="s">
        <v>253</v>
      </c>
      <c r="AC23" s="230" t="s">
        <v>248</v>
      </c>
      <c r="AD23" s="231" t="s">
        <v>264</v>
      </c>
      <c r="AE23" s="231" t="s">
        <v>266</v>
      </c>
      <c r="AF23" s="232" t="s">
        <v>190</v>
      </c>
      <c r="AG23" s="228">
        <v>11150</v>
      </c>
      <c r="AH23" s="229">
        <v>0</v>
      </c>
      <c r="AI23" s="230" t="s">
        <v>254</v>
      </c>
      <c r="AJ23" s="230" t="s">
        <v>248</v>
      </c>
      <c r="AK23" s="231" t="s">
        <v>264</v>
      </c>
      <c r="AL23" s="231" t="s">
        <v>266</v>
      </c>
      <c r="AM23" s="232" t="s">
        <v>190</v>
      </c>
      <c r="AN23" s="228">
        <v>11150</v>
      </c>
      <c r="AO23" s="229">
        <v>0</v>
      </c>
      <c r="AP23" s="230" t="s">
        <v>258</v>
      </c>
      <c r="AQ23" s="230" t="s">
        <v>248</v>
      </c>
      <c r="AR23" s="231" t="s">
        <v>264</v>
      </c>
      <c r="AS23" s="231" t="s">
        <v>266</v>
      </c>
      <c r="AT23" s="232" t="s">
        <v>190</v>
      </c>
      <c r="AU23" s="228">
        <v>11150</v>
      </c>
      <c r="AV23" s="229">
        <v>0</v>
      </c>
      <c r="AW23" s="230" t="s">
        <v>259</v>
      </c>
      <c r="AX23" s="230" t="s">
        <v>248</v>
      </c>
      <c r="AY23" s="231" t="s">
        <v>264</v>
      </c>
      <c r="AZ23" s="231" t="s">
        <v>266</v>
      </c>
      <c r="BA23" s="232" t="s">
        <v>190</v>
      </c>
      <c r="BB23" s="216" t="s">
        <v>39</v>
      </c>
    </row>
    <row r="24" spans="1:54">
      <c r="A24" s="119">
        <v>43831</v>
      </c>
      <c r="B24" s="125" t="str">
        <f>INDEX('Indices Mines Exporting Ports'!$C$26:$C$51,MATCH(C24,'Indices Mines Exporting Ports'!$Q$26:$Q$51,0))</f>
        <v>Alufer Bel Air</v>
      </c>
      <c r="C24" s="217" t="s">
        <v>193</v>
      </c>
      <c r="D24" s="218" t="s">
        <v>95</v>
      </c>
      <c r="E24" s="228">
        <v>11100</v>
      </c>
      <c r="F24" s="229">
        <v>0</v>
      </c>
      <c r="G24" s="230" t="s">
        <v>252</v>
      </c>
      <c r="H24" s="230" t="s">
        <v>248</v>
      </c>
      <c r="I24" s="231" t="s">
        <v>264</v>
      </c>
      <c r="J24" s="231" t="s">
        <v>266</v>
      </c>
      <c r="K24" s="232" t="s">
        <v>190</v>
      </c>
      <c r="L24" s="228">
        <v>11100</v>
      </c>
      <c r="M24" s="229">
        <v>0</v>
      </c>
      <c r="N24" s="230" t="s">
        <v>253</v>
      </c>
      <c r="O24" s="230" t="s">
        <v>248</v>
      </c>
      <c r="P24" s="231" t="s">
        <v>264</v>
      </c>
      <c r="Q24" s="231" t="s">
        <v>266</v>
      </c>
      <c r="R24" s="232" t="s">
        <v>190</v>
      </c>
      <c r="S24" s="228">
        <v>11100</v>
      </c>
      <c r="T24" s="229">
        <v>0</v>
      </c>
      <c r="U24" s="230" t="s">
        <v>253</v>
      </c>
      <c r="V24" s="230" t="s">
        <v>248</v>
      </c>
      <c r="W24" s="231" t="s">
        <v>264</v>
      </c>
      <c r="X24" s="231" t="s">
        <v>266</v>
      </c>
      <c r="Y24" s="232" t="s">
        <v>190</v>
      </c>
      <c r="Z24" s="228">
        <v>11100</v>
      </c>
      <c r="AA24" s="229">
        <v>0</v>
      </c>
      <c r="AB24" s="230" t="s">
        <v>253</v>
      </c>
      <c r="AC24" s="230" t="s">
        <v>248</v>
      </c>
      <c r="AD24" s="231" t="s">
        <v>264</v>
      </c>
      <c r="AE24" s="231" t="s">
        <v>266</v>
      </c>
      <c r="AF24" s="232" t="s">
        <v>190</v>
      </c>
      <c r="AG24" s="228">
        <v>11100</v>
      </c>
      <c r="AH24" s="229">
        <v>0</v>
      </c>
      <c r="AI24" s="230" t="s">
        <v>254</v>
      </c>
      <c r="AJ24" s="230" t="s">
        <v>248</v>
      </c>
      <c r="AK24" s="231" t="s">
        <v>264</v>
      </c>
      <c r="AL24" s="231" t="s">
        <v>266</v>
      </c>
      <c r="AM24" s="232" t="s">
        <v>190</v>
      </c>
      <c r="AN24" s="228">
        <v>11100</v>
      </c>
      <c r="AO24" s="229">
        <v>0</v>
      </c>
      <c r="AP24" s="230" t="s">
        <v>258</v>
      </c>
      <c r="AQ24" s="230" t="s">
        <v>248</v>
      </c>
      <c r="AR24" s="231" t="s">
        <v>264</v>
      </c>
      <c r="AS24" s="231" t="s">
        <v>266</v>
      </c>
      <c r="AT24" s="232" t="s">
        <v>190</v>
      </c>
      <c r="AU24" s="228">
        <v>11100</v>
      </c>
      <c r="AV24" s="229">
        <v>0</v>
      </c>
      <c r="AW24" s="230" t="s">
        <v>259</v>
      </c>
      <c r="AX24" s="230" t="s">
        <v>248</v>
      </c>
      <c r="AY24" s="231" t="s">
        <v>264</v>
      </c>
      <c r="AZ24" s="231" t="s">
        <v>266</v>
      </c>
      <c r="BA24" s="232" t="s">
        <v>190</v>
      </c>
      <c r="BB24" s="216" t="s">
        <v>39</v>
      </c>
    </row>
    <row r="25" spans="1:54">
      <c r="A25" s="119">
        <v>43831</v>
      </c>
      <c r="B25" s="125" t="str">
        <f>INDEX('Indices Mines Exporting Ports'!$C$26:$C$51,MATCH(C25,'Indices Mines Exporting Ports'!$Q$26:$Q$51,0))</f>
        <v>CBG LT</v>
      </c>
      <c r="C25" s="217" t="s">
        <v>196</v>
      </c>
      <c r="D25" s="218" t="s">
        <v>95</v>
      </c>
      <c r="E25" s="228">
        <v>11170</v>
      </c>
      <c r="F25" s="229">
        <v>0</v>
      </c>
      <c r="G25" s="230" t="s">
        <v>252</v>
      </c>
      <c r="H25" s="230" t="s">
        <v>248</v>
      </c>
      <c r="I25" s="231" t="s">
        <v>264</v>
      </c>
      <c r="J25" s="231" t="s">
        <v>266</v>
      </c>
      <c r="K25" s="232" t="s">
        <v>190</v>
      </c>
      <c r="L25" s="228">
        <v>11170</v>
      </c>
      <c r="M25" s="229">
        <v>0</v>
      </c>
      <c r="N25" s="230" t="s">
        <v>253</v>
      </c>
      <c r="O25" s="230" t="s">
        <v>248</v>
      </c>
      <c r="P25" s="231" t="s">
        <v>264</v>
      </c>
      <c r="Q25" s="231" t="s">
        <v>266</v>
      </c>
      <c r="R25" s="232" t="s">
        <v>190</v>
      </c>
      <c r="S25" s="228">
        <v>11170</v>
      </c>
      <c r="T25" s="229">
        <v>0</v>
      </c>
      <c r="U25" s="230" t="s">
        <v>253</v>
      </c>
      <c r="V25" s="230" t="s">
        <v>248</v>
      </c>
      <c r="W25" s="231" t="s">
        <v>264</v>
      </c>
      <c r="X25" s="231" t="s">
        <v>266</v>
      </c>
      <c r="Y25" s="232" t="s">
        <v>190</v>
      </c>
      <c r="Z25" s="228">
        <v>11170</v>
      </c>
      <c r="AA25" s="229">
        <v>0</v>
      </c>
      <c r="AB25" s="230" t="s">
        <v>253</v>
      </c>
      <c r="AC25" s="230" t="s">
        <v>248</v>
      </c>
      <c r="AD25" s="231" t="s">
        <v>264</v>
      </c>
      <c r="AE25" s="231" t="s">
        <v>266</v>
      </c>
      <c r="AF25" s="232" t="s">
        <v>190</v>
      </c>
      <c r="AG25" s="228">
        <v>11170</v>
      </c>
      <c r="AH25" s="229">
        <v>0</v>
      </c>
      <c r="AI25" s="230" t="s">
        <v>254</v>
      </c>
      <c r="AJ25" s="230" t="s">
        <v>248</v>
      </c>
      <c r="AK25" s="231" t="s">
        <v>264</v>
      </c>
      <c r="AL25" s="231" t="s">
        <v>266</v>
      </c>
      <c r="AM25" s="232" t="s">
        <v>190</v>
      </c>
      <c r="AN25" s="228">
        <v>11170</v>
      </c>
      <c r="AO25" s="229">
        <v>0</v>
      </c>
      <c r="AP25" s="230" t="s">
        <v>258</v>
      </c>
      <c r="AQ25" s="230" t="s">
        <v>248</v>
      </c>
      <c r="AR25" s="231" t="s">
        <v>264</v>
      </c>
      <c r="AS25" s="231" t="s">
        <v>266</v>
      </c>
      <c r="AT25" s="232" t="s">
        <v>190</v>
      </c>
      <c r="AU25" s="228">
        <v>11170</v>
      </c>
      <c r="AV25" s="229">
        <v>0</v>
      </c>
      <c r="AW25" s="230" t="s">
        <v>259</v>
      </c>
      <c r="AX25" s="230" t="s">
        <v>248</v>
      </c>
      <c r="AY25" s="231" t="s">
        <v>264</v>
      </c>
      <c r="AZ25" s="231" t="s">
        <v>266</v>
      </c>
      <c r="BA25" s="232" t="s">
        <v>190</v>
      </c>
      <c r="BB25" s="216" t="s">
        <v>39</v>
      </c>
    </row>
    <row r="26" spans="1:54">
      <c r="A26" s="119">
        <v>43831</v>
      </c>
      <c r="B26" s="125" t="str">
        <f>INDEX('Indices Mines Exporting Ports'!$C$26:$C$51,MATCH(C26,'Indices Mines Exporting Ports'!$Q$26:$Q$51,0))</f>
        <v>GAC Generic</v>
      </c>
      <c r="C26" s="217" t="s">
        <v>197</v>
      </c>
      <c r="D26" s="218" t="s">
        <v>95</v>
      </c>
      <c r="E26" s="228">
        <v>11150</v>
      </c>
      <c r="F26" s="229">
        <v>0</v>
      </c>
      <c r="G26" s="230" t="s">
        <v>252</v>
      </c>
      <c r="H26" s="230" t="s">
        <v>248</v>
      </c>
      <c r="I26" s="231" t="s">
        <v>264</v>
      </c>
      <c r="J26" s="231" t="s">
        <v>266</v>
      </c>
      <c r="K26" s="232" t="s">
        <v>190</v>
      </c>
      <c r="L26" s="228">
        <v>11150</v>
      </c>
      <c r="M26" s="229">
        <v>0</v>
      </c>
      <c r="N26" s="230" t="s">
        <v>253</v>
      </c>
      <c r="O26" s="230" t="s">
        <v>248</v>
      </c>
      <c r="P26" s="231" t="s">
        <v>264</v>
      </c>
      <c r="Q26" s="231" t="s">
        <v>266</v>
      </c>
      <c r="R26" s="232" t="s">
        <v>190</v>
      </c>
      <c r="S26" s="228">
        <v>11150</v>
      </c>
      <c r="T26" s="229">
        <v>0</v>
      </c>
      <c r="U26" s="230" t="s">
        <v>253</v>
      </c>
      <c r="V26" s="230" t="s">
        <v>248</v>
      </c>
      <c r="W26" s="231" t="s">
        <v>264</v>
      </c>
      <c r="X26" s="231" t="s">
        <v>266</v>
      </c>
      <c r="Y26" s="232" t="s">
        <v>190</v>
      </c>
      <c r="Z26" s="228">
        <v>11150</v>
      </c>
      <c r="AA26" s="229">
        <v>0</v>
      </c>
      <c r="AB26" s="230" t="s">
        <v>253</v>
      </c>
      <c r="AC26" s="230" t="s">
        <v>248</v>
      </c>
      <c r="AD26" s="231" t="s">
        <v>264</v>
      </c>
      <c r="AE26" s="231" t="s">
        <v>266</v>
      </c>
      <c r="AF26" s="232" t="s">
        <v>190</v>
      </c>
      <c r="AG26" s="228">
        <v>11150</v>
      </c>
      <c r="AH26" s="229">
        <v>0</v>
      </c>
      <c r="AI26" s="230" t="s">
        <v>254</v>
      </c>
      <c r="AJ26" s="230" t="s">
        <v>248</v>
      </c>
      <c r="AK26" s="231" t="s">
        <v>264</v>
      </c>
      <c r="AL26" s="231" t="s">
        <v>266</v>
      </c>
      <c r="AM26" s="232" t="s">
        <v>190</v>
      </c>
      <c r="AN26" s="228">
        <v>11150</v>
      </c>
      <c r="AO26" s="229">
        <v>0</v>
      </c>
      <c r="AP26" s="230" t="s">
        <v>258</v>
      </c>
      <c r="AQ26" s="230" t="s">
        <v>248</v>
      </c>
      <c r="AR26" s="231" t="s">
        <v>264</v>
      </c>
      <c r="AS26" s="231" t="s">
        <v>266</v>
      </c>
      <c r="AT26" s="232" t="s">
        <v>190</v>
      </c>
      <c r="AU26" s="228">
        <v>11150</v>
      </c>
      <c r="AV26" s="229">
        <v>0</v>
      </c>
      <c r="AW26" s="230" t="s">
        <v>259</v>
      </c>
      <c r="AX26" s="230" t="s">
        <v>248</v>
      </c>
      <c r="AY26" s="231" t="s">
        <v>264</v>
      </c>
      <c r="AZ26" s="231" t="s">
        <v>266</v>
      </c>
      <c r="BA26" s="232" t="s">
        <v>190</v>
      </c>
      <c r="BB26" s="216" t="s">
        <v>39</v>
      </c>
    </row>
    <row r="27" spans="1:54">
      <c r="A27" s="119">
        <v>43831</v>
      </c>
      <c r="B27" s="125" t="str">
        <f>INDEX('Indices Mines Exporting Ports'!$C$26:$C$51,MATCH(C27,'Indices Mines Exporting Ports'!$Q$26:$Q$51,0))</f>
        <v>Weipa/Amrun Generic</v>
      </c>
      <c r="C27" s="217" t="s">
        <v>178</v>
      </c>
      <c r="D27" s="218" t="s">
        <v>95</v>
      </c>
      <c r="E27" s="228" t="e">
        <f>NA()</f>
        <v>#N/A</v>
      </c>
      <c r="F27" s="229">
        <v>0</v>
      </c>
      <c r="G27" s="230" t="s">
        <v>252</v>
      </c>
      <c r="H27" s="230" t="s">
        <v>248</v>
      </c>
      <c r="I27" s="231" t="s">
        <v>264</v>
      </c>
      <c r="J27" s="231" t="s">
        <v>266</v>
      </c>
      <c r="K27" s="232" t="s">
        <v>190</v>
      </c>
      <c r="L27" s="228" t="e">
        <f>NA()</f>
        <v>#N/A</v>
      </c>
      <c r="M27" s="229">
        <v>0</v>
      </c>
      <c r="N27" s="230" t="s">
        <v>253</v>
      </c>
      <c r="O27" s="230" t="s">
        <v>248</v>
      </c>
      <c r="P27" s="231" t="s">
        <v>264</v>
      </c>
      <c r="Q27" s="231" t="s">
        <v>266</v>
      </c>
      <c r="R27" s="232" t="s">
        <v>190</v>
      </c>
      <c r="S27" s="228" t="e">
        <f>NA()</f>
        <v>#N/A</v>
      </c>
      <c r="T27" s="229">
        <v>0</v>
      </c>
      <c r="U27" s="230" t="s">
        <v>253</v>
      </c>
      <c r="V27" s="230" t="s">
        <v>248</v>
      </c>
      <c r="W27" s="231" t="s">
        <v>264</v>
      </c>
      <c r="X27" s="231" t="s">
        <v>266</v>
      </c>
      <c r="Y27" s="232" t="s">
        <v>190</v>
      </c>
      <c r="Z27" s="228">
        <v>3280</v>
      </c>
      <c r="AA27" s="229">
        <v>0</v>
      </c>
      <c r="AB27" s="230" t="s">
        <v>253</v>
      </c>
      <c r="AC27" s="230" t="s">
        <v>248</v>
      </c>
      <c r="AD27" s="231" t="s">
        <v>264</v>
      </c>
      <c r="AE27" s="231" t="s">
        <v>266</v>
      </c>
      <c r="AF27" s="232" t="s">
        <v>190</v>
      </c>
      <c r="AG27" s="228">
        <v>3280</v>
      </c>
      <c r="AH27" s="229">
        <v>0</v>
      </c>
      <c r="AI27" s="230" t="s">
        <v>254</v>
      </c>
      <c r="AJ27" s="230" t="s">
        <v>248</v>
      </c>
      <c r="AK27" s="231" t="s">
        <v>264</v>
      </c>
      <c r="AL27" s="231" t="s">
        <v>266</v>
      </c>
      <c r="AM27" s="232" t="s">
        <v>190</v>
      </c>
      <c r="AN27" s="228">
        <v>3280</v>
      </c>
      <c r="AO27" s="229">
        <v>0</v>
      </c>
      <c r="AP27" s="230" t="s">
        <v>258</v>
      </c>
      <c r="AQ27" s="230" t="s">
        <v>248</v>
      </c>
      <c r="AR27" s="231" t="s">
        <v>264</v>
      </c>
      <c r="AS27" s="231" t="s">
        <v>266</v>
      </c>
      <c r="AT27" s="232" t="s">
        <v>190</v>
      </c>
      <c r="AU27" s="228">
        <v>3280</v>
      </c>
      <c r="AV27" s="229">
        <v>0</v>
      </c>
      <c r="AW27" s="230" t="s">
        <v>259</v>
      </c>
      <c r="AX27" s="230" t="s">
        <v>248</v>
      </c>
      <c r="AY27" s="231" t="s">
        <v>264</v>
      </c>
      <c r="AZ27" s="231" t="s">
        <v>266</v>
      </c>
      <c r="BA27" s="232" t="s">
        <v>190</v>
      </c>
      <c r="BB27" s="216" t="s">
        <v>39</v>
      </c>
    </row>
    <row r="28" spans="1:54">
      <c r="A28" s="119">
        <v>43831</v>
      </c>
      <c r="B28" s="125" t="str">
        <f>INDEX('Indices Mines Exporting Ports'!$C$26:$C$51,MATCH(C28,'Indices Mines Exporting Ports'!$Q$26:$Q$51,0))</f>
        <v>West Kalimantan Generic</v>
      </c>
      <c r="C28" s="217" t="s">
        <v>192</v>
      </c>
      <c r="D28" s="218" t="s">
        <v>95</v>
      </c>
      <c r="E28" s="228">
        <v>2326</v>
      </c>
      <c r="F28" s="229">
        <v>0</v>
      </c>
      <c r="G28" s="230" t="s">
        <v>252</v>
      </c>
      <c r="H28" s="230" t="s">
        <v>248</v>
      </c>
      <c r="I28" s="231" t="s">
        <v>264</v>
      </c>
      <c r="J28" s="231" t="s">
        <v>266</v>
      </c>
      <c r="K28" s="232" t="s">
        <v>190</v>
      </c>
      <c r="L28" s="228">
        <v>2326</v>
      </c>
      <c r="M28" s="229">
        <v>0</v>
      </c>
      <c r="N28" s="230" t="s">
        <v>253</v>
      </c>
      <c r="O28" s="230" t="s">
        <v>248</v>
      </c>
      <c r="P28" s="231" t="s">
        <v>264</v>
      </c>
      <c r="Q28" s="231" t="s">
        <v>266</v>
      </c>
      <c r="R28" s="232" t="s">
        <v>190</v>
      </c>
      <c r="S28" s="228">
        <v>2326</v>
      </c>
      <c r="T28" s="229">
        <v>0</v>
      </c>
      <c r="U28" s="230" t="s">
        <v>253</v>
      </c>
      <c r="V28" s="230" t="s">
        <v>248</v>
      </c>
      <c r="W28" s="231" t="s">
        <v>264</v>
      </c>
      <c r="X28" s="231" t="s">
        <v>266</v>
      </c>
      <c r="Y28" s="232" t="s">
        <v>190</v>
      </c>
      <c r="Z28" s="228">
        <v>2326</v>
      </c>
      <c r="AA28" s="229">
        <v>0</v>
      </c>
      <c r="AB28" s="230" t="s">
        <v>253</v>
      </c>
      <c r="AC28" s="230" t="s">
        <v>248</v>
      </c>
      <c r="AD28" s="231" t="s">
        <v>264</v>
      </c>
      <c r="AE28" s="231" t="s">
        <v>266</v>
      </c>
      <c r="AF28" s="232" t="s">
        <v>190</v>
      </c>
      <c r="AG28" s="228">
        <v>2326</v>
      </c>
      <c r="AH28" s="229">
        <v>0</v>
      </c>
      <c r="AI28" s="230" t="s">
        <v>254</v>
      </c>
      <c r="AJ28" s="230" t="s">
        <v>248</v>
      </c>
      <c r="AK28" s="231" t="s">
        <v>264</v>
      </c>
      <c r="AL28" s="231" t="s">
        <v>266</v>
      </c>
      <c r="AM28" s="232" t="s">
        <v>190</v>
      </c>
      <c r="AN28" s="228">
        <v>2326</v>
      </c>
      <c r="AO28" s="229">
        <v>0</v>
      </c>
      <c r="AP28" s="230" t="s">
        <v>258</v>
      </c>
      <c r="AQ28" s="230" t="s">
        <v>248</v>
      </c>
      <c r="AR28" s="231" t="s">
        <v>264</v>
      </c>
      <c r="AS28" s="231" t="s">
        <v>266</v>
      </c>
      <c r="AT28" s="232" t="s">
        <v>190</v>
      </c>
      <c r="AU28" s="228">
        <v>2326</v>
      </c>
      <c r="AV28" s="229">
        <v>0</v>
      </c>
      <c r="AW28" s="230" t="s">
        <v>259</v>
      </c>
      <c r="AX28" s="230" t="s">
        <v>248</v>
      </c>
      <c r="AY28" s="231" t="s">
        <v>264</v>
      </c>
      <c r="AZ28" s="231" t="s">
        <v>266</v>
      </c>
      <c r="BA28" s="232" t="s">
        <v>190</v>
      </c>
      <c r="BB28" s="216" t="s">
        <v>39</v>
      </c>
    </row>
    <row r="29" spans="1:54">
      <c r="A29" s="119">
        <v>43831</v>
      </c>
      <c r="B29" s="125" t="str">
        <f>INDEX('Indices Mines Exporting Ports'!$C$26:$C$51,MATCH(C29,'Indices Mines Exporting Ports'!$Q$26:$Q$51,0))</f>
        <v>Gove</v>
      </c>
      <c r="C29" s="217" t="s">
        <v>445</v>
      </c>
      <c r="D29" s="218" t="s">
        <v>95</v>
      </c>
      <c r="E29" s="228" t="e">
        <f>NA()</f>
        <v>#N/A</v>
      </c>
      <c r="F29" s="229">
        <v>0</v>
      </c>
      <c r="G29" s="230" t="s">
        <v>252</v>
      </c>
      <c r="H29" s="230" t="s">
        <v>248</v>
      </c>
      <c r="I29" s="231" t="s">
        <v>264</v>
      </c>
      <c r="J29" s="231" t="s">
        <v>266</v>
      </c>
      <c r="K29" s="232" t="s">
        <v>190</v>
      </c>
      <c r="L29" s="228" t="e">
        <f>NA()</f>
        <v>#N/A</v>
      </c>
      <c r="M29" s="229">
        <v>0</v>
      </c>
      <c r="N29" s="230" t="s">
        <v>253</v>
      </c>
      <c r="O29" s="230" t="s">
        <v>248</v>
      </c>
      <c r="P29" s="231" t="s">
        <v>264</v>
      </c>
      <c r="Q29" s="231" t="s">
        <v>266</v>
      </c>
      <c r="R29" s="232" t="s">
        <v>190</v>
      </c>
      <c r="S29" s="228" t="e">
        <f>NA()</f>
        <v>#N/A</v>
      </c>
      <c r="T29" s="229">
        <v>0</v>
      </c>
      <c r="U29" s="230" t="s">
        <v>253</v>
      </c>
      <c r="V29" s="230" t="s">
        <v>248</v>
      </c>
      <c r="W29" s="231" t="s">
        <v>264</v>
      </c>
      <c r="X29" s="231" t="s">
        <v>266</v>
      </c>
      <c r="Y29" s="232" t="s">
        <v>190</v>
      </c>
      <c r="Z29" s="228">
        <v>3079</v>
      </c>
      <c r="AA29" s="229">
        <v>0</v>
      </c>
      <c r="AB29" s="230" t="s">
        <v>253</v>
      </c>
      <c r="AC29" s="230" t="s">
        <v>248</v>
      </c>
      <c r="AD29" s="231" t="s">
        <v>264</v>
      </c>
      <c r="AE29" s="231" t="s">
        <v>266</v>
      </c>
      <c r="AF29" s="232" t="s">
        <v>190</v>
      </c>
      <c r="AG29" s="228">
        <v>3079</v>
      </c>
      <c r="AH29" s="229">
        <v>0</v>
      </c>
      <c r="AI29" s="230" t="s">
        <v>254</v>
      </c>
      <c r="AJ29" s="230" t="s">
        <v>248</v>
      </c>
      <c r="AK29" s="231" t="s">
        <v>264</v>
      </c>
      <c r="AL29" s="231" t="s">
        <v>266</v>
      </c>
      <c r="AM29" s="232" t="s">
        <v>190</v>
      </c>
      <c r="AN29" s="228">
        <v>3079</v>
      </c>
      <c r="AO29" s="229">
        <v>0</v>
      </c>
      <c r="AP29" s="230" t="s">
        <v>258</v>
      </c>
      <c r="AQ29" s="230" t="s">
        <v>248</v>
      </c>
      <c r="AR29" s="231" t="s">
        <v>264</v>
      </c>
      <c r="AS29" s="231" t="s">
        <v>266</v>
      </c>
      <c r="AT29" s="232" t="s">
        <v>190</v>
      </c>
      <c r="AU29" s="228">
        <v>3079</v>
      </c>
      <c r="AV29" s="229">
        <v>0</v>
      </c>
      <c r="AW29" s="230" t="s">
        <v>259</v>
      </c>
      <c r="AX29" s="230" t="s">
        <v>248</v>
      </c>
      <c r="AY29" s="231" t="s">
        <v>264</v>
      </c>
      <c r="AZ29" s="231" t="s">
        <v>266</v>
      </c>
      <c r="BA29" s="232" t="s">
        <v>190</v>
      </c>
      <c r="BB29" s="216" t="s">
        <v>39</v>
      </c>
    </row>
    <row r="30" spans="1:54">
      <c r="A30" s="119">
        <v>43831</v>
      </c>
      <c r="B30" s="125" t="str">
        <f>INDEX('Indices Mines Exporting Ports'!$C$26:$C$51,MATCH(C30,'Indices Mines Exporting Ports'!$Q$26:$Q$51,0))</f>
        <v>Central Kalimantan Generic</v>
      </c>
      <c r="C30" s="217" t="s">
        <v>450</v>
      </c>
      <c r="D30" s="218" t="s">
        <v>95</v>
      </c>
      <c r="E30" s="228">
        <v>2300</v>
      </c>
      <c r="F30" s="229">
        <v>0</v>
      </c>
      <c r="G30" s="230" t="s">
        <v>252</v>
      </c>
      <c r="H30" s="230" t="s">
        <v>248</v>
      </c>
      <c r="I30" s="231" t="s">
        <v>264</v>
      </c>
      <c r="J30" s="231" t="s">
        <v>266</v>
      </c>
      <c r="K30" s="232" t="s">
        <v>190</v>
      </c>
      <c r="L30" s="228">
        <v>2300</v>
      </c>
      <c r="M30" s="229">
        <v>0</v>
      </c>
      <c r="N30" s="230" t="s">
        <v>253</v>
      </c>
      <c r="O30" s="230" t="s">
        <v>248</v>
      </c>
      <c r="P30" s="231" t="s">
        <v>264</v>
      </c>
      <c r="Q30" s="231" t="s">
        <v>266</v>
      </c>
      <c r="R30" s="232" t="s">
        <v>190</v>
      </c>
      <c r="S30" s="228">
        <v>2300</v>
      </c>
      <c r="T30" s="229">
        <v>0</v>
      </c>
      <c r="U30" s="230" t="s">
        <v>253</v>
      </c>
      <c r="V30" s="230" t="s">
        <v>248</v>
      </c>
      <c r="W30" s="231" t="s">
        <v>264</v>
      </c>
      <c r="X30" s="231" t="s">
        <v>266</v>
      </c>
      <c r="Y30" s="232" t="s">
        <v>190</v>
      </c>
      <c r="Z30" s="228">
        <v>2300</v>
      </c>
      <c r="AA30" s="229">
        <v>0</v>
      </c>
      <c r="AB30" s="230" t="s">
        <v>253</v>
      </c>
      <c r="AC30" s="230" t="s">
        <v>248</v>
      </c>
      <c r="AD30" s="231" t="s">
        <v>264</v>
      </c>
      <c r="AE30" s="231" t="s">
        <v>266</v>
      </c>
      <c r="AF30" s="232" t="s">
        <v>190</v>
      </c>
      <c r="AG30" s="228">
        <v>2300</v>
      </c>
      <c r="AH30" s="229">
        <v>0</v>
      </c>
      <c r="AI30" s="230" t="s">
        <v>254</v>
      </c>
      <c r="AJ30" s="230" t="s">
        <v>248</v>
      </c>
      <c r="AK30" s="231" t="s">
        <v>264</v>
      </c>
      <c r="AL30" s="231" t="s">
        <v>266</v>
      </c>
      <c r="AM30" s="232" t="s">
        <v>190</v>
      </c>
      <c r="AN30" s="228">
        <v>2300</v>
      </c>
      <c r="AO30" s="229">
        <v>0</v>
      </c>
      <c r="AP30" s="230" t="s">
        <v>258</v>
      </c>
      <c r="AQ30" s="230" t="s">
        <v>248</v>
      </c>
      <c r="AR30" s="231" t="s">
        <v>264</v>
      </c>
      <c r="AS30" s="231" t="s">
        <v>266</v>
      </c>
      <c r="AT30" s="232" t="s">
        <v>190</v>
      </c>
      <c r="AU30" s="228">
        <v>2300</v>
      </c>
      <c r="AV30" s="229">
        <v>0</v>
      </c>
      <c r="AW30" s="230" t="s">
        <v>259</v>
      </c>
      <c r="AX30" s="230" t="s">
        <v>248</v>
      </c>
      <c r="AY30" s="231" t="s">
        <v>264</v>
      </c>
      <c r="AZ30" s="231" t="s">
        <v>266</v>
      </c>
      <c r="BA30" s="232" t="s">
        <v>190</v>
      </c>
      <c r="BB30" s="216" t="s">
        <v>39</v>
      </c>
    </row>
    <row r="31" spans="1:54">
      <c r="A31" s="119">
        <v>43831</v>
      </c>
      <c r="B31" s="125" t="str">
        <f>INDEX('Indices Mines Exporting Ports'!$C$26:$C$51,MATCH(C31,'Indices Mines Exporting Ports'!$Q$26:$Q$51,0))</f>
        <v>Huntly</v>
      </c>
      <c r="C31" s="217" t="s">
        <v>446</v>
      </c>
      <c r="D31" s="218" t="s">
        <v>95</v>
      </c>
      <c r="E31" s="228" t="e">
        <f>NA()</f>
        <v>#N/A</v>
      </c>
      <c r="F31" s="229">
        <v>0</v>
      </c>
      <c r="G31" s="230" t="s">
        <v>252</v>
      </c>
      <c r="H31" s="230" t="s">
        <v>248</v>
      </c>
      <c r="I31" s="231" t="s">
        <v>264</v>
      </c>
      <c r="J31" s="231" t="s">
        <v>266</v>
      </c>
      <c r="K31" s="232" t="s">
        <v>190</v>
      </c>
      <c r="L31" s="228" t="e">
        <f>NA()</f>
        <v>#N/A</v>
      </c>
      <c r="M31" s="229">
        <v>0</v>
      </c>
      <c r="N31" s="230" t="s">
        <v>253</v>
      </c>
      <c r="O31" s="230" t="s">
        <v>248</v>
      </c>
      <c r="P31" s="231" t="s">
        <v>264</v>
      </c>
      <c r="Q31" s="231" t="s">
        <v>266</v>
      </c>
      <c r="R31" s="232" t="s">
        <v>190</v>
      </c>
      <c r="S31" s="228" t="e">
        <f>NA()</f>
        <v>#N/A</v>
      </c>
      <c r="T31" s="229">
        <v>0</v>
      </c>
      <c r="U31" s="230" t="s">
        <v>253</v>
      </c>
      <c r="V31" s="230" t="s">
        <v>248</v>
      </c>
      <c r="W31" s="231" t="s">
        <v>264</v>
      </c>
      <c r="X31" s="231" t="s">
        <v>266</v>
      </c>
      <c r="Y31" s="232" t="s">
        <v>190</v>
      </c>
      <c r="Z31" s="228" t="e">
        <f>NA()</f>
        <v>#N/A</v>
      </c>
      <c r="AA31" s="229">
        <v>0</v>
      </c>
      <c r="AB31" s="230" t="s">
        <v>253</v>
      </c>
      <c r="AC31" s="230" t="s">
        <v>248</v>
      </c>
      <c r="AD31" s="231" t="s">
        <v>264</v>
      </c>
      <c r="AE31" s="231" t="s">
        <v>266</v>
      </c>
      <c r="AF31" s="232" t="s">
        <v>190</v>
      </c>
      <c r="AG31" s="228">
        <v>4250</v>
      </c>
      <c r="AH31" s="229">
        <v>0</v>
      </c>
      <c r="AI31" s="230" t="s">
        <v>254</v>
      </c>
      <c r="AJ31" s="230" t="s">
        <v>248</v>
      </c>
      <c r="AK31" s="231" t="s">
        <v>264</v>
      </c>
      <c r="AL31" s="231" t="s">
        <v>266</v>
      </c>
      <c r="AM31" s="232" t="s">
        <v>190</v>
      </c>
      <c r="AN31" s="228">
        <v>4250</v>
      </c>
      <c r="AO31" s="229">
        <v>0</v>
      </c>
      <c r="AP31" s="230" t="s">
        <v>258</v>
      </c>
      <c r="AQ31" s="230" t="s">
        <v>248</v>
      </c>
      <c r="AR31" s="231" t="s">
        <v>264</v>
      </c>
      <c r="AS31" s="231" t="s">
        <v>266</v>
      </c>
      <c r="AT31" s="232" t="s">
        <v>190</v>
      </c>
      <c r="AU31" s="228">
        <v>4250</v>
      </c>
      <c r="AV31" s="229">
        <v>0</v>
      </c>
      <c r="AW31" s="230" t="s">
        <v>259</v>
      </c>
      <c r="AX31" s="230" t="s">
        <v>248</v>
      </c>
      <c r="AY31" s="231" t="s">
        <v>264</v>
      </c>
      <c r="AZ31" s="231" t="s">
        <v>266</v>
      </c>
      <c r="BA31" s="232" t="s">
        <v>190</v>
      </c>
      <c r="BB31" s="216" t="s">
        <v>39</v>
      </c>
    </row>
    <row r="32" spans="1:54">
      <c r="A32" s="119">
        <v>43831</v>
      </c>
      <c r="B32" s="125" t="str">
        <f>INDEX('Indices Mines Exporting Ports'!$C$26:$C$51,MATCH(C32,'Indices Mines Exporting Ports'!$Q$26:$Q$51,0))</f>
        <v>Turkey</v>
      </c>
      <c r="C32" s="217" t="s">
        <v>437</v>
      </c>
      <c r="D32" s="218" t="s">
        <v>95</v>
      </c>
      <c r="E32" s="228">
        <v>14562</v>
      </c>
      <c r="F32" s="229">
        <v>0</v>
      </c>
      <c r="G32" s="230" t="s">
        <v>252</v>
      </c>
      <c r="H32" s="230" t="s">
        <v>248</v>
      </c>
      <c r="I32" s="231" t="s">
        <v>264</v>
      </c>
      <c r="J32" s="231" t="s">
        <v>266</v>
      </c>
      <c r="K32" s="232" t="s">
        <v>190</v>
      </c>
      <c r="L32" s="228">
        <v>14562</v>
      </c>
      <c r="M32" s="229">
        <v>0</v>
      </c>
      <c r="N32" s="230" t="s">
        <v>253</v>
      </c>
      <c r="O32" s="230" t="s">
        <v>248</v>
      </c>
      <c r="P32" s="231" t="s">
        <v>264</v>
      </c>
      <c r="Q32" s="231" t="s">
        <v>266</v>
      </c>
      <c r="R32" s="232" t="s">
        <v>190</v>
      </c>
      <c r="S32" s="228">
        <v>8426</v>
      </c>
      <c r="T32" s="229">
        <v>0</v>
      </c>
      <c r="U32" s="230" t="s">
        <v>253</v>
      </c>
      <c r="V32" s="230" t="s">
        <v>248</v>
      </c>
      <c r="W32" s="231" t="s">
        <v>264</v>
      </c>
      <c r="X32" s="231" t="s">
        <v>266</v>
      </c>
      <c r="Y32" s="232" t="s">
        <v>122</v>
      </c>
      <c r="Z32" s="228">
        <v>8426</v>
      </c>
      <c r="AA32" s="229">
        <v>0</v>
      </c>
      <c r="AB32" s="230" t="s">
        <v>253</v>
      </c>
      <c r="AC32" s="230" t="s">
        <v>248</v>
      </c>
      <c r="AD32" s="231" t="s">
        <v>264</v>
      </c>
      <c r="AE32" s="231" t="s">
        <v>266</v>
      </c>
      <c r="AF32" s="232" t="s">
        <v>122</v>
      </c>
      <c r="AG32" s="228">
        <v>8426</v>
      </c>
      <c r="AH32" s="229">
        <v>0</v>
      </c>
      <c r="AI32" s="230" t="s">
        <v>253</v>
      </c>
      <c r="AJ32" s="230" t="s">
        <v>248</v>
      </c>
      <c r="AK32" s="231" t="s">
        <v>264</v>
      </c>
      <c r="AL32" s="231" t="s">
        <v>266</v>
      </c>
      <c r="AM32" s="232" t="s">
        <v>122</v>
      </c>
      <c r="AN32" s="228">
        <v>8426</v>
      </c>
      <c r="AO32" s="229">
        <v>0</v>
      </c>
      <c r="AP32" s="230" t="s">
        <v>253</v>
      </c>
      <c r="AQ32" s="230" t="s">
        <v>248</v>
      </c>
      <c r="AR32" s="231" t="s">
        <v>264</v>
      </c>
      <c r="AS32" s="231" t="s">
        <v>266</v>
      </c>
      <c r="AT32" s="232" t="s">
        <v>122</v>
      </c>
      <c r="AU32" s="228">
        <v>8426</v>
      </c>
      <c r="AV32" s="229">
        <v>0</v>
      </c>
      <c r="AW32" s="230" t="s">
        <v>253</v>
      </c>
      <c r="AX32" s="230" t="s">
        <v>248</v>
      </c>
      <c r="AY32" s="231" t="s">
        <v>264</v>
      </c>
      <c r="AZ32" s="231" t="s">
        <v>266</v>
      </c>
      <c r="BA32" s="232" t="s">
        <v>122</v>
      </c>
      <c r="BB32" s="216" t="s">
        <v>39</v>
      </c>
    </row>
    <row r="33" spans="1:54">
      <c r="A33" s="119">
        <v>43831</v>
      </c>
      <c r="B33" s="125" t="str">
        <f>INDEX('Indices Mines Exporting Ports'!$C$26:$C$51,MATCH(C33,'Indices Mines Exporting Ports'!$Q$26:$Q$51,0))</f>
        <v>Bauxite Hills</v>
      </c>
      <c r="C33" s="217" t="s">
        <v>447</v>
      </c>
      <c r="D33" s="218" t="s">
        <v>95</v>
      </c>
      <c r="E33" s="228">
        <v>3270</v>
      </c>
      <c r="F33" s="229">
        <v>0</v>
      </c>
      <c r="G33" s="230" t="s">
        <v>252</v>
      </c>
      <c r="H33" s="230" t="s">
        <v>248</v>
      </c>
      <c r="I33" s="231" t="s">
        <v>264</v>
      </c>
      <c r="J33" s="231" t="s">
        <v>266</v>
      </c>
      <c r="K33" s="232" t="s">
        <v>190</v>
      </c>
      <c r="L33" s="228">
        <v>3270</v>
      </c>
      <c r="M33" s="229">
        <v>0</v>
      </c>
      <c r="N33" s="230" t="s">
        <v>253</v>
      </c>
      <c r="O33" s="230" t="s">
        <v>248</v>
      </c>
      <c r="P33" s="231" t="s">
        <v>264</v>
      </c>
      <c r="Q33" s="231" t="s">
        <v>266</v>
      </c>
      <c r="R33" s="232" t="s">
        <v>190</v>
      </c>
      <c r="S33" s="228">
        <v>3270</v>
      </c>
      <c r="T33" s="229">
        <v>0</v>
      </c>
      <c r="U33" s="230" t="s">
        <v>253</v>
      </c>
      <c r="V33" s="230" t="s">
        <v>248</v>
      </c>
      <c r="W33" s="231" t="s">
        <v>264</v>
      </c>
      <c r="X33" s="231" t="s">
        <v>266</v>
      </c>
      <c r="Y33" s="232" t="s">
        <v>122</v>
      </c>
      <c r="Z33" s="228">
        <v>3270</v>
      </c>
      <c r="AA33" s="229">
        <v>0</v>
      </c>
      <c r="AB33" s="230" t="s">
        <v>253</v>
      </c>
      <c r="AC33" s="230" t="s">
        <v>248</v>
      </c>
      <c r="AD33" s="231" t="s">
        <v>264</v>
      </c>
      <c r="AE33" s="231" t="s">
        <v>266</v>
      </c>
      <c r="AF33" s="232" t="s">
        <v>122</v>
      </c>
      <c r="AG33" s="228">
        <v>3270</v>
      </c>
      <c r="AH33" s="229">
        <v>0</v>
      </c>
      <c r="AI33" s="230" t="s">
        <v>253</v>
      </c>
      <c r="AJ33" s="230" t="s">
        <v>248</v>
      </c>
      <c r="AK33" s="231" t="s">
        <v>264</v>
      </c>
      <c r="AL33" s="231" t="s">
        <v>266</v>
      </c>
      <c r="AM33" s="232" t="s">
        <v>122</v>
      </c>
      <c r="AN33" s="228">
        <v>3270</v>
      </c>
      <c r="AO33" s="229">
        <v>0</v>
      </c>
      <c r="AP33" s="230" t="s">
        <v>253</v>
      </c>
      <c r="AQ33" s="230" t="s">
        <v>248</v>
      </c>
      <c r="AR33" s="231" t="s">
        <v>264</v>
      </c>
      <c r="AS33" s="231" t="s">
        <v>266</v>
      </c>
      <c r="AT33" s="232" t="s">
        <v>122</v>
      </c>
      <c r="AU33" s="228">
        <v>3270</v>
      </c>
      <c r="AV33" s="229">
        <v>0</v>
      </c>
      <c r="AW33" s="230" t="s">
        <v>253</v>
      </c>
      <c r="AX33" s="230" t="s">
        <v>248</v>
      </c>
      <c r="AY33" s="231" t="s">
        <v>264</v>
      </c>
      <c r="AZ33" s="231" t="s">
        <v>266</v>
      </c>
      <c r="BA33" s="232" t="s">
        <v>122</v>
      </c>
      <c r="BB33" s="216" t="s">
        <v>39</v>
      </c>
    </row>
    <row r="34" spans="1:54">
      <c r="A34" s="119">
        <v>43831</v>
      </c>
      <c r="B34" s="125" t="str">
        <f>INDEX('Indices Mines Exporting Ports'!$C$26:$C$51,MATCH(C34,'Indices Mines Exporting Ports'!$Q$26:$Q$51,0))</f>
        <v>Chalco Boffa</v>
      </c>
      <c r="C34" s="217" t="s">
        <v>451</v>
      </c>
      <c r="D34" s="218" t="s">
        <v>95</v>
      </c>
      <c r="E34" s="228">
        <v>11050</v>
      </c>
      <c r="F34" s="229">
        <v>0</v>
      </c>
      <c r="G34" s="230" t="s">
        <v>252</v>
      </c>
      <c r="H34" s="230" t="s">
        <v>248</v>
      </c>
      <c r="I34" s="231" t="s">
        <v>264</v>
      </c>
      <c r="J34" s="231" t="s">
        <v>266</v>
      </c>
      <c r="K34" s="232" t="s">
        <v>190</v>
      </c>
      <c r="L34" s="228">
        <v>11050</v>
      </c>
      <c r="M34" s="229">
        <v>0</v>
      </c>
      <c r="N34" s="230" t="s">
        <v>253</v>
      </c>
      <c r="O34" s="230" t="s">
        <v>248</v>
      </c>
      <c r="P34" s="231" t="s">
        <v>264</v>
      </c>
      <c r="Q34" s="231" t="s">
        <v>266</v>
      </c>
      <c r="R34" s="232" t="s">
        <v>190</v>
      </c>
      <c r="S34" s="228">
        <v>11050</v>
      </c>
      <c r="T34" s="229">
        <v>0</v>
      </c>
      <c r="U34" s="230" t="s">
        <v>253</v>
      </c>
      <c r="V34" s="230" t="s">
        <v>248</v>
      </c>
      <c r="W34" s="231" t="s">
        <v>264</v>
      </c>
      <c r="X34" s="231" t="s">
        <v>266</v>
      </c>
      <c r="Y34" s="232" t="s">
        <v>190</v>
      </c>
      <c r="Z34" s="228">
        <v>11050</v>
      </c>
      <c r="AA34" s="229">
        <v>0</v>
      </c>
      <c r="AB34" s="230" t="s">
        <v>253</v>
      </c>
      <c r="AC34" s="230" t="s">
        <v>248</v>
      </c>
      <c r="AD34" s="231" t="s">
        <v>264</v>
      </c>
      <c r="AE34" s="231" t="s">
        <v>266</v>
      </c>
      <c r="AF34" s="232" t="s">
        <v>190</v>
      </c>
      <c r="AG34" s="228">
        <v>11050</v>
      </c>
      <c r="AH34" s="229">
        <v>0</v>
      </c>
      <c r="AI34" s="230" t="s">
        <v>254</v>
      </c>
      <c r="AJ34" s="230" t="s">
        <v>248</v>
      </c>
      <c r="AK34" s="231" t="s">
        <v>264</v>
      </c>
      <c r="AL34" s="231" t="s">
        <v>266</v>
      </c>
      <c r="AM34" s="232" t="s">
        <v>190</v>
      </c>
      <c r="AN34" s="228">
        <v>11050</v>
      </c>
      <c r="AO34" s="229">
        <v>0</v>
      </c>
      <c r="AP34" s="230" t="s">
        <v>258</v>
      </c>
      <c r="AQ34" s="230" t="s">
        <v>248</v>
      </c>
      <c r="AR34" s="231" t="s">
        <v>264</v>
      </c>
      <c r="AS34" s="231" t="s">
        <v>266</v>
      </c>
      <c r="AT34" s="232" t="s">
        <v>190</v>
      </c>
      <c r="AU34" s="228">
        <v>11050</v>
      </c>
      <c r="AV34" s="229">
        <v>0</v>
      </c>
      <c r="AW34" s="230" t="s">
        <v>259</v>
      </c>
      <c r="AX34" s="230" t="s">
        <v>248</v>
      </c>
      <c r="AY34" s="231" t="s">
        <v>264</v>
      </c>
      <c r="AZ34" s="231" t="s">
        <v>266</v>
      </c>
      <c r="BA34" s="232" t="s">
        <v>190</v>
      </c>
      <c r="BB34" s="216" t="s">
        <v>39</v>
      </c>
    </row>
    <row r="35" spans="1:54">
      <c r="A35" s="119">
        <v>43831</v>
      </c>
      <c r="B35" s="125" t="str">
        <f>INDEX('Indices Mines Exporting Ports'!$C$26:$C$51,MATCH(C35,'Indices Mines Exporting Ports'!$Q$26:$Q$51,0))</f>
        <v>Rennell Island</v>
      </c>
      <c r="C35" s="217" t="s">
        <v>448</v>
      </c>
      <c r="D35" s="218" t="s">
        <v>95</v>
      </c>
      <c r="E35" s="228">
        <v>3542</v>
      </c>
      <c r="F35" s="229">
        <v>0</v>
      </c>
      <c r="G35" s="230" t="s">
        <v>252</v>
      </c>
      <c r="H35" s="230" t="s">
        <v>248</v>
      </c>
      <c r="I35" s="231" t="s">
        <v>264</v>
      </c>
      <c r="J35" s="231" t="s">
        <v>266</v>
      </c>
      <c r="K35" s="232" t="s">
        <v>190</v>
      </c>
      <c r="L35" s="228">
        <v>3542</v>
      </c>
      <c r="M35" s="229">
        <v>0</v>
      </c>
      <c r="N35" s="230" t="s">
        <v>253</v>
      </c>
      <c r="O35" s="230" t="s">
        <v>248</v>
      </c>
      <c r="P35" s="231" t="s">
        <v>264</v>
      </c>
      <c r="Q35" s="231" t="s">
        <v>266</v>
      </c>
      <c r="R35" s="232" t="s">
        <v>190</v>
      </c>
      <c r="S35" s="228">
        <v>3542</v>
      </c>
      <c r="T35" s="229">
        <v>0</v>
      </c>
      <c r="U35" s="230" t="s">
        <v>253</v>
      </c>
      <c r="V35" s="230" t="s">
        <v>248</v>
      </c>
      <c r="W35" s="231" t="s">
        <v>264</v>
      </c>
      <c r="X35" s="231" t="s">
        <v>266</v>
      </c>
      <c r="Y35" s="232" t="s">
        <v>190</v>
      </c>
      <c r="Z35" s="228">
        <v>3542</v>
      </c>
      <c r="AA35" s="229">
        <v>0</v>
      </c>
      <c r="AB35" s="230" t="s">
        <v>253</v>
      </c>
      <c r="AC35" s="230" t="s">
        <v>248</v>
      </c>
      <c r="AD35" s="231" t="s">
        <v>264</v>
      </c>
      <c r="AE35" s="231" t="s">
        <v>266</v>
      </c>
      <c r="AF35" s="232" t="s">
        <v>190</v>
      </c>
      <c r="AG35" s="228">
        <v>3542</v>
      </c>
      <c r="AH35" s="229">
        <v>0</v>
      </c>
      <c r="AI35" s="230" t="s">
        <v>254</v>
      </c>
      <c r="AJ35" s="230" t="s">
        <v>248</v>
      </c>
      <c r="AK35" s="231" t="s">
        <v>264</v>
      </c>
      <c r="AL35" s="231" t="s">
        <v>266</v>
      </c>
      <c r="AM35" s="232" t="s">
        <v>190</v>
      </c>
      <c r="AN35" s="228">
        <v>3542</v>
      </c>
      <c r="AO35" s="229">
        <v>0</v>
      </c>
      <c r="AP35" s="230" t="s">
        <v>258</v>
      </c>
      <c r="AQ35" s="230" t="s">
        <v>248</v>
      </c>
      <c r="AR35" s="231" t="s">
        <v>264</v>
      </c>
      <c r="AS35" s="231" t="s">
        <v>266</v>
      </c>
      <c r="AT35" s="232" t="s">
        <v>190</v>
      </c>
      <c r="AU35" s="228">
        <v>3542</v>
      </c>
      <c r="AV35" s="229">
        <v>0</v>
      </c>
      <c r="AW35" s="230" t="s">
        <v>259</v>
      </c>
      <c r="AX35" s="230" t="s">
        <v>248</v>
      </c>
      <c r="AY35" s="231" t="s">
        <v>264</v>
      </c>
      <c r="AZ35" s="231" t="s">
        <v>266</v>
      </c>
      <c r="BA35" s="232" t="s">
        <v>190</v>
      </c>
      <c r="BB35" s="216" t="s">
        <v>39</v>
      </c>
    </row>
    <row r="36" spans="1:54">
      <c r="A36" s="119">
        <v>43831</v>
      </c>
      <c r="B36" s="125" t="str">
        <f>INDEX('Indices Mines Exporting Ports'!$C$26:$C$51,MATCH(C36,'Indices Mines Exporting Ports'!$Q$26:$Q$51,0))</f>
        <v>Discovery Bay</v>
      </c>
      <c r="C36" s="217" t="s">
        <v>449</v>
      </c>
      <c r="D36" s="218" t="s">
        <v>95</v>
      </c>
      <c r="E36" s="228">
        <v>14116</v>
      </c>
      <c r="F36" s="229">
        <v>0</v>
      </c>
      <c r="G36" s="230" t="s">
        <v>252</v>
      </c>
      <c r="H36" s="230" t="s">
        <v>248</v>
      </c>
      <c r="I36" s="231" t="s">
        <v>264</v>
      </c>
      <c r="J36" s="231" t="s">
        <v>266</v>
      </c>
      <c r="K36" s="232" t="s">
        <v>190</v>
      </c>
      <c r="L36" s="228">
        <v>14116</v>
      </c>
      <c r="M36" s="229">
        <v>0</v>
      </c>
      <c r="N36" s="230" t="s">
        <v>253</v>
      </c>
      <c r="O36" s="230" t="s">
        <v>248</v>
      </c>
      <c r="P36" s="231" t="s">
        <v>264</v>
      </c>
      <c r="Q36" s="231" t="s">
        <v>266</v>
      </c>
      <c r="R36" s="232" t="s">
        <v>190</v>
      </c>
      <c r="S36" s="228">
        <v>14116</v>
      </c>
      <c r="T36" s="229">
        <v>0</v>
      </c>
      <c r="U36" s="230" t="s">
        <v>253</v>
      </c>
      <c r="V36" s="230" t="s">
        <v>248</v>
      </c>
      <c r="W36" s="231" t="s">
        <v>264</v>
      </c>
      <c r="X36" s="231" t="s">
        <v>266</v>
      </c>
      <c r="Y36" s="232" t="s">
        <v>190</v>
      </c>
      <c r="Z36" s="228">
        <v>9156</v>
      </c>
      <c r="AA36" s="229">
        <v>0</v>
      </c>
      <c r="AB36" s="230" t="s">
        <v>253</v>
      </c>
      <c r="AC36" s="230" t="s">
        <v>248</v>
      </c>
      <c r="AD36" s="231" t="s">
        <v>264</v>
      </c>
      <c r="AE36" s="231" t="s">
        <v>266</v>
      </c>
      <c r="AF36" s="232" t="s">
        <v>211</v>
      </c>
      <c r="AG36" s="228">
        <v>9156</v>
      </c>
      <c r="AH36" s="229">
        <v>0</v>
      </c>
      <c r="AI36" s="230" t="s">
        <v>253</v>
      </c>
      <c r="AJ36" s="230" t="s">
        <v>248</v>
      </c>
      <c r="AK36" s="231" t="s">
        <v>264</v>
      </c>
      <c r="AL36" s="231" t="s">
        <v>266</v>
      </c>
      <c r="AM36" s="232" t="s">
        <v>180</v>
      </c>
      <c r="AN36" s="228">
        <v>9156</v>
      </c>
      <c r="AO36" s="229">
        <v>0</v>
      </c>
      <c r="AP36" s="230" t="s">
        <v>253</v>
      </c>
      <c r="AQ36" s="230" t="s">
        <v>248</v>
      </c>
      <c r="AR36" s="231" t="s">
        <v>264</v>
      </c>
      <c r="AS36" s="231" t="s">
        <v>266</v>
      </c>
      <c r="AT36" s="232" t="s">
        <v>180</v>
      </c>
      <c r="AU36" s="228">
        <v>9156</v>
      </c>
      <c r="AV36" s="229">
        <v>0</v>
      </c>
      <c r="AW36" s="230" t="s">
        <v>253</v>
      </c>
      <c r="AX36" s="230" t="s">
        <v>248</v>
      </c>
      <c r="AY36" s="231" t="s">
        <v>264</v>
      </c>
      <c r="AZ36" s="231" t="s">
        <v>266</v>
      </c>
      <c r="BA36" s="232" t="s">
        <v>180</v>
      </c>
      <c r="BB36" s="216" t="s">
        <v>39</v>
      </c>
    </row>
    <row r="37" spans="1:54">
      <c r="A37" s="119">
        <v>43831</v>
      </c>
      <c r="B37" s="125" t="str">
        <f>INDEX('Indices Mines Exporting Ports'!$C$26:$C$51,MATCH(C37,'Indices Mines Exporting Ports'!$Q$26:$Q$51,0))</f>
        <v>Malaysia Kuantan washed</v>
      </c>
      <c r="C37" s="217" t="s">
        <v>458</v>
      </c>
      <c r="D37" s="218" t="s">
        <v>95</v>
      </c>
      <c r="E37" s="228">
        <v>2604</v>
      </c>
      <c r="F37" s="229">
        <v>0</v>
      </c>
      <c r="G37" s="230" t="s">
        <v>252</v>
      </c>
      <c r="H37" s="230" t="s">
        <v>248</v>
      </c>
      <c r="I37" s="231" t="s">
        <v>264</v>
      </c>
      <c r="J37" s="231" t="s">
        <v>266</v>
      </c>
      <c r="K37" s="232" t="s">
        <v>190</v>
      </c>
      <c r="L37" s="228">
        <v>2604</v>
      </c>
      <c r="M37" s="229">
        <v>0</v>
      </c>
      <c r="N37" s="230" t="s">
        <v>253</v>
      </c>
      <c r="O37" s="230" t="s">
        <v>248</v>
      </c>
      <c r="P37" s="231" t="s">
        <v>264</v>
      </c>
      <c r="Q37" s="231" t="s">
        <v>266</v>
      </c>
      <c r="R37" s="232" t="s">
        <v>190</v>
      </c>
      <c r="S37" s="228">
        <v>2604</v>
      </c>
      <c r="T37" s="229">
        <v>0</v>
      </c>
      <c r="U37" s="230" t="s">
        <v>253</v>
      </c>
      <c r="V37" s="230" t="s">
        <v>248</v>
      </c>
      <c r="W37" s="231" t="s">
        <v>264</v>
      </c>
      <c r="X37" s="231" t="s">
        <v>266</v>
      </c>
      <c r="Y37" s="232" t="s">
        <v>190</v>
      </c>
      <c r="Z37" s="228">
        <v>2604</v>
      </c>
      <c r="AA37" s="229">
        <v>0</v>
      </c>
      <c r="AB37" s="230" t="s">
        <v>253</v>
      </c>
      <c r="AC37" s="230" t="s">
        <v>248</v>
      </c>
      <c r="AD37" s="231" t="s">
        <v>264</v>
      </c>
      <c r="AE37" s="231" t="s">
        <v>266</v>
      </c>
      <c r="AF37" s="232" t="s">
        <v>190</v>
      </c>
      <c r="AG37" s="228">
        <v>2604</v>
      </c>
      <c r="AH37" s="229">
        <v>0</v>
      </c>
      <c r="AI37" s="230" t="s">
        <v>254</v>
      </c>
      <c r="AJ37" s="230" t="s">
        <v>248</v>
      </c>
      <c r="AK37" s="231" t="s">
        <v>264</v>
      </c>
      <c r="AL37" s="231" t="s">
        <v>266</v>
      </c>
      <c r="AM37" s="232" t="s">
        <v>190</v>
      </c>
      <c r="AN37" s="228">
        <v>2604</v>
      </c>
      <c r="AO37" s="229">
        <v>0</v>
      </c>
      <c r="AP37" s="230" t="s">
        <v>258</v>
      </c>
      <c r="AQ37" s="230" t="s">
        <v>248</v>
      </c>
      <c r="AR37" s="231" t="s">
        <v>264</v>
      </c>
      <c r="AS37" s="231" t="s">
        <v>266</v>
      </c>
      <c r="AT37" s="232" t="s">
        <v>190</v>
      </c>
      <c r="AU37" s="228">
        <v>2604</v>
      </c>
      <c r="AV37" s="229">
        <v>0</v>
      </c>
      <c r="AW37" s="230" t="s">
        <v>259</v>
      </c>
      <c r="AX37" s="230" t="s">
        <v>248</v>
      </c>
      <c r="AY37" s="231" t="s">
        <v>264</v>
      </c>
      <c r="AZ37" s="231" t="s">
        <v>266</v>
      </c>
      <c r="BA37" s="232" t="s">
        <v>190</v>
      </c>
      <c r="BB37" s="216" t="s">
        <v>39</v>
      </c>
    </row>
    <row r="38" spans="1:54">
      <c r="A38" s="119">
        <v>43831</v>
      </c>
      <c r="B38" s="125" t="str">
        <f>INDEX('Indices Mines Exporting Ports'!$C$26:$C$51,MATCH(C38,'Indices Mines Exporting Ports'!$Q$26:$Q$51,0))</f>
        <v>India Gujarat</v>
      </c>
      <c r="C38" s="217" t="s">
        <v>457</v>
      </c>
      <c r="D38" s="218" t="s">
        <v>95</v>
      </c>
      <c r="E38" s="228">
        <v>5100</v>
      </c>
      <c r="F38" s="229">
        <v>0</v>
      </c>
      <c r="G38" s="230" t="s">
        <v>252</v>
      </c>
      <c r="H38" s="230" t="s">
        <v>248</v>
      </c>
      <c r="I38" s="231" t="s">
        <v>264</v>
      </c>
      <c r="J38" s="231" t="s">
        <v>266</v>
      </c>
      <c r="K38" s="232" t="s">
        <v>190</v>
      </c>
      <c r="L38" s="228">
        <v>5100</v>
      </c>
      <c r="M38" s="229">
        <v>0</v>
      </c>
      <c r="N38" s="230" t="s">
        <v>253</v>
      </c>
      <c r="O38" s="230" t="s">
        <v>248</v>
      </c>
      <c r="P38" s="231" t="s">
        <v>264</v>
      </c>
      <c r="Q38" s="231" t="s">
        <v>266</v>
      </c>
      <c r="R38" s="232" t="s">
        <v>190</v>
      </c>
      <c r="S38" s="228">
        <v>5100</v>
      </c>
      <c r="T38" s="229">
        <v>0</v>
      </c>
      <c r="U38" s="230" t="s">
        <v>253</v>
      </c>
      <c r="V38" s="230" t="s">
        <v>248</v>
      </c>
      <c r="W38" s="231" t="s">
        <v>264</v>
      </c>
      <c r="X38" s="231" t="s">
        <v>266</v>
      </c>
      <c r="Y38" s="232" t="s">
        <v>190</v>
      </c>
      <c r="Z38" s="228">
        <v>5100</v>
      </c>
      <c r="AA38" s="229">
        <v>0</v>
      </c>
      <c r="AB38" s="230" t="s">
        <v>253</v>
      </c>
      <c r="AC38" s="230" t="s">
        <v>248</v>
      </c>
      <c r="AD38" s="231" t="s">
        <v>264</v>
      </c>
      <c r="AE38" s="231" t="s">
        <v>266</v>
      </c>
      <c r="AF38" s="232" t="s">
        <v>190</v>
      </c>
      <c r="AG38" s="228">
        <v>5100</v>
      </c>
      <c r="AH38" s="229">
        <v>0</v>
      </c>
      <c r="AI38" s="230" t="s">
        <v>254</v>
      </c>
      <c r="AJ38" s="230" t="s">
        <v>248</v>
      </c>
      <c r="AK38" s="231" t="s">
        <v>264</v>
      </c>
      <c r="AL38" s="231" t="s">
        <v>266</v>
      </c>
      <c r="AM38" s="232" t="s">
        <v>190</v>
      </c>
      <c r="AN38" s="228">
        <v>5100</v>
      </c>
      <c r="AO38" s="229">
        <v>0</v>
      </c>
      <c r="AP38" s="230" t="s">
        <v>258</v>
      </c>
      <c r="AQ38" s="230" t="s">
        <v>248</v>
      </c>
      <c r="AR38" s="231" t="s">
        <v>264</v>
      </c>
      <c r="AS38" s="231" t="s">
        <v>266</v>
      </c>
      <c r="AT38" s="232" t="s">
        <v>190</v>
      </c>
      <c r="AU38" s="228">
        <v>5100</v>
      </c>
      <c r="AV38" s="229">
        <v>0</v>
      </c>
      <c r="AW38" s="230" t="s">
        <v>259</v>
      </c>
      <c r="AX38" s="230" t="s">
        <v>248</v>
      </c>
      <c r="AY38" s="231" t="s">
        <v>264</v>
      </c>
      <c r="AZ38" s="231" t="s">
        <v>266</v>
      </c>
      <c r="BA38" s="232" t="s">
        <v>190</v>
      </c>
      <c r="BB38" s="216" t="s">
        <v>39</v>
      </c>
    </row>
    <row r="39" spans="1:54">
      <c r="A39" s="119"/>
      <c r="B39" s="123"/>
      <c r="C39" s="217"/>
      <c r="D39" s="218"/>
      <c r="E39" s="228"/>
      <c r="F39" s="229"/>
      <c r="G39" s="230"/>
      <c r="H39" s="230"/>
      <c r="I39" s="231"/>
      <c r="J39" s="231"/>
      <c r="K39" s="232"/>
      <c r="L39" s="228"/>
      <c r="M39" s="229"/>
      <c r="N39" s="230"/>
      <c r="O39" s="230"/>
      <c r="P39" s="231"/>
      <c r="Q39" s="231"/>
      <c r="R39" s="232"/>
      <c r="S39" s="233"/>
      <c r="T39" s="234"/>
      <c r="U39" s="230"/>
      <c r="V39" s="230"/>
      <c r="W39" s="231"/>
      <c r="X39" s="231"/>
      <c r="Y39" s="232"/>
      <c r="Z39" s="233"/>
      <c r="AA39" s="234"/>
      <c r="AB39" s="230"/>
      <c r="AC39" s="230"/>
      <c r="AD39" s="231"/>
      <c r="AE39" s="231"/>
      <c r="AF39" s="232"/>
      <c r="AG39" s="233"/>
      <c r="AH39" s="234"/>
      <c r="AI39" s="230"/>
      <c r="AJ39" s="230"/>
      <c r="AK39" s="231"/>
      <c r="AL39" s="231"/>
      <c r="AM39" s="232"/>
      <c r="AN39" s="233"/>
      <c r="AO39" s="234"/>
      <c r="AP39" s="230"/>
      <c r="AQ39" s="230"/>
      <c r="AR39" s="231"/>
      <c r="AS39" s="231"/>
      <c r="AT39" s="232"/>
      <c r="AU39" s="233"/>
      <c r="AV39" s="234"/>
      <c r="AW39" s="230"/>
      <c r="AX39" s="230"/>
      <c r="AY39" s="231"/>
      <c r="AZ39" s="231"/>
      <c r="BA39" s="232"/>
      <c r="BB39" s="216" t="s">
        <v>39</v>
      </c>
    </row>
    <row r="40" spans="1:54">
      <c r="A40" s="119"/>
      <c r="B40" s="123"/>
      <c r="C40" s="217"/>
      <c r="D40" s="218"/>
      <c r="E40" s="228"/>
      <c r="F40" s="229"/>
      <c r="G40" s="230"/>
      <c r="H40" s="230"/>
      <c r="I40" s="231"/>
      <c r="J40" s="231"/>
      <c r="K40" s="232"/>
      <c r="L40" s="228"/>
      <c r="M40" s="229"/>
      <c r="N40" s="230"/>
      <c r="O40" s="230"/>
      <c r="P40" s="231"/>
      <c r="Q40" s="231"/>
      <c r="R40" s="232"/>
      <c r="S40" s="233"/>
      <c r="T40" s="234"/>
      <c r="U40" s="230"/>
      <c r="V40" s="230"/>
      <c r="W40" s="231"/>
      <c r="X40" s="231"/>
      <c r="Y40" s="232"/>
      <c r="Z40" s="233"/>
      <c r="AA40" s="234"/>
      <c r="AB40" s="230"/>
      <c r="AC40" s="230"/>
      <c r="AD40" s="231"/>
      <c r="AE40" s="231"/>
      <c r="AF40" s="232"/>
      <c r="AG40" s="233"/>
      <c r="AH40" s="234"/>
      <c r="AI40" s="230"/>
      <c r="AJ40" s="230"/>
      <c r="AK40" s="231"/>
      <c r="AL40" s="231"/>
      <c r="AM40" s="232"/>
      <c r="AN40" s="233"/>
      <c r="AO40" s="234"/>
      <c r="AP40" s="230"/>
      <c r="AQ40" s="230"/>
      <c r="AR40" s="231"/>
      <c r="AS40" s="231"/>
      <c r="AT40" s="232"/>
      <c r="AU40" s="233"/>
      <c r="AV40" s="234"/>
      <c r="AW40" s="230"/>
      <c r="AX40" s="230"/>
      <c r="AY40" s="231"/>
      <c r="AZ40" s="231"/>
      <c r="BA40" s="232"/>
      <c r="BB40" s="216" t="s">
        <v>39</v>
      </c>
    </row>
    <row r="41" spans="1:54">
      <c r="A41" s="119"/>
      <c r="B41" s="123"/>
      <c r="C41" s="217"/>
      <c r="D41" s="218"/>
      <c r="E41" s="228"/>
      <c r="F41" s="229"/>
      <c r="G41" s="230"/>
      <c r="H41" s="230"/>
      <c r="I41" s="231"/>
      <c r="J41" s="231"/>
      <c r="K41" s="232"/>
      <c r="L41" s="228"/>
      <c r="M41" s="229"/>
      <c r="N41" s="230"/>
      <c r="O41" s="230"/>
      <c r="P41" s="231"/>
      <c r="Q41" s="231"/>
      <c r="R41" s="232"/>
      <c r="S41" s="233"/>
      <c r="T41" s="234"/>
      <c r="U41" s="230"/>
      <c r="V41" s="230"/>
      <c r="W41" s="231"/>
      <c r="X41" s="231"/>
      <c r="Y41" s="232"/>
      <c r="Z41" s="233"/>
      <c r="AA41" s="234"/>
      <c r="AB41" s="230"/>
      <c r="AC41" s="230"/>
      <c r="AD41" s="231"/>
      <c r="AE41" s="231"/>
      <c r="AF41" s="232"/>
      <c r="AG41" s="233"/>
      <c r="AH41" s="234"/>
      <c r="AI41" s="230"/>
      <c r="AJ41" s="230"/>
      <c r="AK41" s="231"/>
      <c r="AL41" s="231"/>
      <c r="AM41" s="232"/>
      <c r="AN41" s="233"/>
      <c r="AO41" s="234"/>
      <c r="AP41" s="230"/>
      <c r="AQ41" s="230"/>
      <c r="AR41" s="231"/>
      <c r="AS41" s="231"/>
      <c r="AT41" s="232"/>
      <c r="AU41" s="233"/>
      <c r="AV41" s="234"/>
      <c r="AW41" s="230"/>
      <c r="AX41" s="230"/>
      <c r="AY41" s="231"/>
      <c r="AZ41" s="231"/>
      <c r="BA41" s="232"/>
      <c r="BB41" s="216" t="s">
        <v>39</v>
      </c>
    </row>
    <row r="42" spans="1:54">
      <c r="A42" s="119"/>
      <c r="B42" s="123"/>
      <c r="C42" s="217"/>
      <c r="D42" s="218"/>
      <c r="E42" s="228"/>
      <c r="F42" s="229"/>
      <c r="G42" s="230"/>
      <c r="H42" s="230"/>
      <c r="I42" s="231"/>
      <c r="J42" s="231"/>
      <c r="K42" s="232"/>
      <c r="L42" s="228"/>
      <c r="M42" s="229"/>
      <c r="N42" s="230"/>
      <c r="O42" s="230"/>
      <c r="P42" s="231"/>
      <c r="Q42" s="231"/>
      <c r="R42" s="232"/>
      <c r="S42" s="233"/>
      <c r="T42" s="234"/>
      <c r="U42" s="230"/>
      <c r="V42" s="230"/>
      <c r="W42" s="231"/>
      <c r="X42" s="231"/>
      <c r="Y42" s="232"/>
      <c r="Z42" s="233"/>
      <c r="AA42" s="234"/>
      <c r="AB42" s="230"/>
      <c r="AC42" s="230"/>
      <c r="AD42" s="231"/>
      <c r="AE42" s="231"/>
      <c r="AF42" s="232"/>
      <c r="AG42" s="233"/>
      <c r="AH42" s="234"/>
      <c r="AI42" s="230"/>
      <c r="AJ42" s="230"/>
      <c r="AK42" s="231"/>
      <c r="AL42" s="231"/>
      <c r="AM42" s="232"/>
      <c r="AN42" s="233"/>
      <c r="AO42" s="234"/>
      <c r="AP42" s="230"/>
      <c r="AQ42" s="230"/>
      <c r="AR42" s="231"/>
      <c r="AS42" s="231"/>
      <c r="AT42" s="232"/>
      <c r="AU42" s="233"/>
      <c r="AV42" s="234"/>
      <c r="AW42" s="230"/>
      <c r="AX42" s="230"/>
      <c r="AY42" s="231"/>
      <c r="AZ42" s="231"/>
      <c r="BA42" s="232"/>
      <c r="BB42" s="216" t="s">
        <v>39</v>
      </c>
    </row>
    <row r="43" spans="1:54">
      <c r="A43" s="119"/>
      <c r="B43" s="123"/>
      <c r="C43" s="217"/>
      <c r="D43" s="218"/>
      <c r="E43" s="228"/>
      <c r="F43" s="229"/>
      <c r="G43" s="230"/>
      <c r="H43" s="230"/>
      <c r="I43" s="231"/>
      <c r="J43" s="231"/>
      <c r="K43" s="232"/>
      <c r="L43" s="228"/>
      <c r="M43" s="229"/>
      <c r="N43" s="230"/>
      <c r="O43" s="230"/>
      <c r="P43" s="231"/>
      <c r="Q43" s="231"/>
      <c r="R43" s="232"/>
      <c r="S43" s="233"/>
      <c r="T43" s="234"/>
      <c r="U43" s="230"/>
      <c r="V43" s="230"/>
      <c r="W43" s="231"/>
      <c r="X43" s="231"/>
      <c r="Y43" s="232"/>
      <c r="Z43" s="233"/>
      <c r="AA43" s="234"/>
      <c r="AB43" s="230"/>
      <c r="AC43" s="230"/>
      <c r="AD43" s="231"/>
      <c r="AE43" s="231"/>
      <c r="AF43" s="232"/>
      <c r="AG43" s="233"/>
      <c r="AH43" s="234"/>
      <c r="AI43" s="230"/>
      <c r="AJ43" s="230"/>
      <c r="AK43" s="231"/>
      <c r="AL43" s="231"/>
      <c r="AM43" s="232"/>
      <c r="AN43" s="233"/>
      <c r="AO43" s="234"/>
      <c r="AP43" s="230"/>
      <c r="AQ43" s="230"/>
      <c r="AR43" s="231"/>
      <c r="AS43" s="231"/>
      <c r="AT43" s="232"/>
      <c r="AU43" s="233"/>
      <c r="AV43" s="234"/>
      <c r="AW43" s="230"/>
      <c r="AX43" s="230"/>
      <c r="AY43" s="231"/>
      <c r="AZ43" s="231"/>
      <c r="BA43" s="232"/>
      <c r="BB43" s="216" t="s">
        <v>39</v>
      </c>
    </row>
    <row r="44" spans="1:54">
      <c r="A44" s="119"/>
      <c r="B44" s="123"/>
      <c r="C44" s="217"/>
      <c r="D44" s="218"/>
      <c r="E44" s="228"/>
      <c r="F44" s="229"/>
      <c r="G44" s="230"/>
      <c r="H44" s="230"/>
      <c r="I44" s="231"/>
      <c r="J44" s="231"/>
      <c r="K44" s="232"/>
      <c r="L44" s="228"/>
      <c r="M44" s="229"/>
      <c r="N44" s="230"/>
      <c r="O44" s="230"/>
      <c r="P44" s="231"/>
      <c r="Q44" s="231"/>
      <c r="R44" s="232"/>
      <c r="S44" s="233"/>
      <c r="T44" s="234"/>
      <c r="U44" s="230"/>
      <c r="V44" s="230"/>
      <c r="W44" s="231"/>
      <c r="X44" s="231"/>
      <c r="Y44" s="232"/>
      <c r="Z44" s="233"/>
      <c r="AA44" s="234"/>
      <c r="AB44" s="230"/>
      <c r="AC44" s="230"/>
      <c r="AD44" s="231"/>
      <c r="AE44" s="231"/>
      <c r="AF44" s="232"/>
      <c r="AG44" s="233"/>
      <c r="AH44" s="234"/>
      <c r="AI44" s="230"/>
      <c r="AJ44" s="230"/>
      <c r="AK44" s="231"/>
      <c r="AL44" s="231"/>
      <c r="AM44" s="232"/>
      <c r="AN44" s="233"/>
      <c r="AO44" s="234"/>
      <c r="AP44" s="230"/>
      <c r="AQ44" s="230"/>
      <c r="AR44" s="231"/>
      <c r="AS44" s="231"/>
      <c r="AT44" s="232"/>
      <c r="AU44" s="233"/>
      <c r="AV44" s="234"/>
      <c r="AW44" s="230"/>
      <c r="AX44" s="230"/>
      <c r="AY44" s="231"/>
      <c r="AZ44" s="231"/>
      <c r="BA44" s="232"/>
      <c r="BB44" s="216" t="s">
        <v>39</v>
      </c>
    </row>
    <row r="45" spans="1:54">
      <c r="A45" s="119"/>
      <c r="B45" s="123"/>
      <c r="C45" s="217"/>
      <c r="D45" s="218"/>
      <c r="E45" s="228"/>
      <c r="F45" s="229"/>
      <c r="G45" s="230"/>
      <c r="H45" s="230"/>
      <c r="I45" s="231"/>
      <c r="J45" s="231"/>
      <c r="K45" s="232"/>
      <c r="L45" s="228"/>
      <c r="M45" s="229"/>
      <c r="N45" s="230"/>
      <c r="O45" s="230"/>
      <c r="P45" s="231"/>
      <c r="Q45" s="231"/>
      <c r="R45" s="232"/>
      <c r="S45" s="233"/>
      <c r="T45" s="234"/>
      <c r="U45" s="230"/>
      <c r="V45" s="230"/>
      <c r="W45" s="231"/>
      <c r="X45" s="231"/>
      <c r="Y45" s="232"/>
      <c r="Z45" s="233"/>
      <c r="AA45" s="234"/>
      <c r="AB45" s="230"/>
      <c r="AC45" s="230"/>
      <c r="AD45" s="231"/>
      <c r="AE45" s="231"/>
      <c r="AF45" s="232"/>
      <c r="AG45" s="233"/>
      <c r="AH45" s="234"/>
      <c r="AI45" s="230"/>
      <c r="AJ45" s="230"/>
      <c r="AK45" s="231"/>
      <c r="AL45" s="231"/>
      <c r="AM45" s="232"/>
      <c r="AN45" s="233"/>
      <c r="AO45" s="234"/>
      <c r="AP45" s="230"/>
      <c r="AQ45" s="230"/>
      <c r="AR45" s="231"/>
      <c r="AS45" s="231"/>
      <c r="AT45" s="232"/>
      <c r="AU45" s="233"/>
      <c r="AV45" s="234"/>
      <c r="AW45" s="230"/>
      <c r="AX45" s="230"/>
      <c r="AY45" s="231"/>
      <c r="AZ45" s="231"/>
      <c r="BA45" s="232"/>
      <c r="BB45" s="216" t="s">
        <v>39</v>
      </c>
    </row>
    <row r="46" spans="1:54">
      <c r="A46" s="119"/>
      <c r="B46" s="123"/>
      <c r="C46" s="217"/>
      <c r="D46" s="218"/>
      <c r="E46" s="228"/>
      <c r="F46" s="229"/>
      <c r="G46" s="230"/>
      <c r="H46" s="230"/>
      <c r="I46" s="231"/>
      <c r="J46" s="231"/>
      <c r="K46" s="232"/>
      <c r="L46" s="228"/>
      <c r="M46" s="229"/>
      <c r="N46" s="230"/>
      <c r="O46" s="230"/>
      <c r="P46" s="231"/>
      <c r="Q46" s="231"/>
      <c r="R46" s="232"/>
      <c r="S46" s="233"/>
      <c r="T46" s="234"/>
      <c r="U46" s="230"/>
      <c r="V46" s="230"/>
      <c r="W46" s="231"/>
      <c r="X46" s="231"/>
      <c r="Y46" s="232"/>
      <c r="Z46" s="233"/>
      <c r="AA46" s="234"/>
      <c r="AB46" s="230"/>
      <c r="AC46" s="230"/>
      <c r="AD46" s="231"/>
      <c r="AE46" s="231"/>
      <c r="AF46" s="232"/>
      <c r="AG46" s="233"/>
      <c r="AH46" s="234"/>
      <c r="AI46" s="230"/>
      <c r="AJ46" s="230"/>
      <c r="AK46" s="231"/>
      <c r="AL46" s="231"/>
      <c r="AM46" s="232"/>
      <c r="AN46" s="233"/>
      <c r="AO46" s="234"/>
      <c r="AP46" s="230"/>
      <c r="AQ46" s="230"/>
      <c r="AR46" s="231"/>
      <c r="AS46" s="231"/>
      <c r="AT46" s="232"/>
      <c r="AU46" s="233"/>
      <c r="AV46" s="234"/>
      <c r="AW46" s="230"/>
      <c r="AX46" s="230"/>
      <c r="AY46" s="231"/>
      <c r="AZ46" s="231"/>
      <c r="BA46" s="232"/>
      <c r="BB46" s="216" t="s">
        <v>39</v>
      </c>
    </row>
    <row r="47" spans="1:54">
      <c r="A47" s="119"/>
      <c r="B47" s="123"/>
      <c r="C47" s="217"/>
      <c r="D47" s="218"/>
      <c r="E47" s="228"/>
      <c r="F47" s="229"/>
      <c r="G47" s="230"/>
      <c r="H47" s="230"/>
      <c r="I47" s="231"/>
      <c r="J47" s="231"/>
      <c r="K47" s="232"/>
      <c r="L47" s="228"/>
      <c r="M47" s="229"/>
      <c r="N47" s="230"/>
      <c r="O47" s="230"/>
      <c r="P47" s="231"/>
      <c r="Q47" s="231"/>
      <c r="R47" s="232"/>
      <c r="S47" s="233"/>
      <c r="T47" s="234"/>
      <c r="U47" s="230"/>
      <c r="V47" s="230"/>
      <c r="W47" s="231"/>
      <c r="X47" s="231"/>
      <c r="Y47" s="232"/>
      <c r="Z47" s="233"/>
      <c r="AA47" s="234"/>
      <c r="AB47" s="230"/>
      <c r="AC47" s="230"/>
      <c r="AD47" s="231"/>
      <c r="AE47" s="231"/>
      <c r="AF47" s="232"/>
      <c r="AG47" s="233"/>
      <c r="AH47" s="234"/>
      <c r="AI47" s="230"/>
      <c r="AJ47" s="230"/>
      <c r="AK47" s="231"/>
      <c r="AL47" s="231"/>
      <c r="AM47" s="232"/>
      <c r="AN47" s="233"/>
      <c r="AO47" s="234"/>
      <c r="AP47" s="230"/>
      <c r="AQ47" s="230"/>
      <c r="AR47" s="231"/>
      <c r="AS47" s="231"/>
      <c r="AT47" s="232"/>
      <c r="AU47" s="233"/>
      <c r="AV47" s="234"/>
      <c r="AW47" s="230"/>
      <c r="AX47" s="230"/>
      <c r="AY47" s="231"/>
      <c r="AZ47" s="231"/>
      <c r="BA47" s="232"/>
      <c r="BB47" s="216" t="s">
        <v>39</v>
      </c>
    </row>
    <row r="48" spans="1:54">
      <c r="A48" s="119"/>
      <c r="B48" s="123"/>
      <c r="C48" s="217"/>
      <c r="D48" s="218"/>
      <c r="E48" s="228"/>
      <c r="F48" s="229"/>
      <c r="G48" s="230"/>
      <c r="H48" s="230"/>
      <c r="I48" s="231"/>
      <c r="J48" s="231"/>
      <c r="K48" s="232"/>
      <c r="L48" s="228"/>
      <c r="M48" s="229"/>
      <c r="N48" s="230"/>
      <c r="O48" s="230"/>
      <c r="P48" s="231"/>
      <c r="Q48" s="231"/>
      <c r="R48" s="232"/>
      <c r="S48" s="233"/>
      <c r="T48" s="234"/>
      <c r="U48" s="230"/>
      <c r="V48" s="230"/>
      <c r="W48" s="231"/>
      <c r="X48" s="231"/>
      <c r="Y48" s="232"/>
      <c r="Z48" s="233"/>
      <c r="AA48" s="234"/>
      <c r="AB48" s="230"/>
      <c r="AC48" s="230"/>
      <c r="AD48" s="231"/>
      <c r="AE48" s="231"/>
      <c r="AF48" s="232"/>
      <c r="AG48" s="233"/>
      <c r="AH48" s="234"/>
      <c r="AI48" s="230"/>
      <c r="AJ48" s="230"/>
      <c r="AK48" s="231"/>
      <c r="AL48" s="231"/>
      <c r="AM48" s="232"/>
      <c r="AN48" s="233"/>
      <c r="AO48" s="234"/>
      <c r="AP48" s="230"/>
      <c r="AQ48" s="230"/>
      <c r="AR48" s="231"/>
      <c r="AS48" s="231"/>
      <c r="AT48" s="232"/>
      <c r="AU48" s="233"/>
      <c r="AV48" s="234"/>
      <c r="AW48" s="230"/>
      <c r="AX48" s="230"/>
      <c r="AY48" s="231"/>
      <c r="AZ48" s="231"/>
      <c r="BA48" s="232"/>
      <c r="BB48" s="216" t="s">
        <v>39</v>
      </c>
    </row>
    <row r="49" spans="1:54">
      <c r="A49" s="119"/>
      <c r="B49" s="123"/>
      <c r="C49" s="217"/>
      <c r="D49" s="218"/>
      <c r="E49" s="228"/>
      <c r="F49" s="229"/>
      <c r="G49" s="230"/>
      <c r="H49" s="230"/>
      <c r="I49" s="231"/>
      <c r="J49" s="231"/>
      <c r="K49" s="232"/>
      <c r="L49" s="228"/>
      <c r="M49" s="229"/>
      <c r="N49" s="230"/>
      <c r="O49" s="230"/>
      <c r="P49" s="231"/>
      <c r="Q49" s="231"/>
      <c r="R49" s="232"/>
      <c r="S49" s="233"/>
      <c r="T49" s="234"/>
      <c r="U49" s="230"/>
      <c r="V49" s="230"/>
      <c r="W49" s="231"/>
      <c r="X49" s="231"/>
      <c r="Y49" s="232"/>
      <c r="Z49" s="233"/>
      <c r="AA49" s="234"/>
      <c r="AB49" s="230"/>
      <c r="AC49" s="230"/>
      <c r="AD49" s="231"/>
      <c r="AE49" s="231"/>
      <c r="AF49" s="232"/>
      <c r="AG49" s="233"/>
      <c r="AH49" s="234"/>
      <c r="AI49" s="230"/>
      <c r="AJ49" s="230"/>
      <c r="AK49" s="231"/>
      <c r="AL49" s="231"/>
      <c r="AM49" s="232"/>
      <c r="AN49" s="233"/>
      <c r="AO49" s="234"/>
      <c r="AP49" s="230"/>
      <c r="AQ49" s="230"/>
      <c r="AR49" s="231"/>
      <c r="AS49" s="231"/>
      <c r="AT49" s="232"/>
      <c r="AU49" s="233"/>
      <c r="AV49" s="234"/>
      <c r="AW49" s="230"/>
      <c r="AX49" s="230"/>
      <c r="AY49" s="231"/>
      <c r="AZ49" s="231"/>
      <c r="BA49" s="232"/>
      <c r="BB49" s="216" t="s">
        <v>39</v>
      </c>
    </row>
    <row r="50" spans="1:54">
      <c r="A50" s="119"/>
      <c r="B50" s="123"/>
      <c r="C50" s="217"/>
      <c r="D50" s="218"/>
      <c r="E50" s="228"/>
      <c r="F50" s="229"/>
      <c r="G50" s="230"/>
      <c r="H50" s="230"/>
      <c r="I50" s="231"/>
      <c r="J50" s="231"/>
      <c r="K50" s="232"/>
      <c r="L50" s="228"/>
      <c r="M50" s="229"/>
      <c r="N50" s="230"/>
      <c r="O50" s="230"/>
      <c r="P50" s="231"/>
      <c r="Q50" s="231"/>
      <c r="R50" s="232"/>
      <c r="S50" s="233"/>
      <c r="T50" s="234"/>
      <c r="U50" s="230"/>
      <c r="V50" s="230"/>
      <c r="W50" s="231"/>
      <c r="X50" s="231"/>
      <c r="Y50" s="232"/>
      <c r="Z50" s="233"/>
      <c r="AA50" s="234"/>
      <c r="AB50" s="230"/>
      <c r="AC50" s="230"/>
      <c r="AD50" s="231"/>
      <c r="AE50" s="231"/>
      <c r="AF50" s="232"/>
      <c r="AG50" s="233"/>
      <c r="AH50" s="234"/>
      <c r="AI50" s="230"/>
      <c r="AJ50" s="230"/>
      <c r="AK50" s="231"/>
      <c r="AL50" s="231"/>
      <c r="AM50" s="232"/>
      <c r="AN50" s="233"/>
      <c r="AO50" s="234"/>
      <c r="AP50" s="230"/>
      <c r="AQ50" s="230"/>
      <c r="AR50" s="231"/>
      <c r="AS50" s="231"/>
      <c r="AT50" s="232"/>
      <c r="AU50" s="233"/>
      <c r="AV50" s="234"/>
      <c r="AW50" s="230"/>
      <c r="AX50" s="230"/>
      <c r="AY50" s="231"/>
      <c r="AZ50" s="231"/>
      <c r="BA50" s="232"/>
      <c r="BB50" s="216" t="s">
        <v>39</v>
      </c>
    </row>
    <row r="51" spans="1:54">
      <c r="A51" s="119"/>
      <c r="B51" s="123"/>
      <c r="C51" s="217"/>
      <c r="D51" s="218"/>
      <c r="E51" s="228"/>
      <c r="F51" s="229"/>
      <c r="G51" s="230"/>
      <c r="H51" s="230"/>
      <c r="I51" s="231"/>
      <c r="J51" s="231"/>
      <c r="K51" s="232"/>
      <c r="L51" s="228"/>
      <c r="M51" s="229"/>
      <c r="N51" s="230"/>
      <c r="O51" s="230"/>
      <c r="P51" s="231"/>
      <c r="Q51" s="231"/>
      <c r="R51" s="232"/>
      <c r="S51" s="233"/>
      <c r="T51" s="234"/>
      <c r="U51" s="230"/>
      <c r="V51" s="230"/>
      <c r="W51" s="231"/>
      <c r="X51" s="231"/>
      <c r="Y51" s="232"/>
      <c r="Z51" s="233"/>
      <c r="AA51" s="234"/>
      <c r="AB51" s="230"/>
      <c r="AC51" s="230"/>
      <c r="AD51" s="231"/>
      <c r="AE51" s="231"/>
      <c r="AF51" s="232"/>
      <c r="AG51" s="233"/>
      <c r="AH51" s="234"/>
      <c r="AI51" s="230"/>
      <c r="AJ51" s="230"/>
      <c r="AK51" s="231"/>
      <c r="AL51" s="231"/>
      <c r="AM51" s="232"/>
      <c r="AN51" s="233"/>
      <c r="AO51" s="234"/>
      <c r="AP51" s="230"/>
      <c r="AQ51" s="230"/>
      <c r="AR51" s="231"/>
      <c r="AS51" s="231"/>
      <c r="AT51" s="232"/>
      <c r="AU51" s="233"/>
      <c r="AV51" s="234"/>
      <c r="AW51" s="230"/>
      <c r="AX51" s="230"/>
      <c r="AY51" s="231"/>
      <c r="AZ51" s="231"/>
      <c r="BA51" s="232"/>
      <c r="BB51" s="216" t="s">
        <v>39</v>
      </c>
    </row>
    <row r="52" spans="1:54">
      <c r="A52" s="119"/>
      <c r="B52" s="123"/>
      <c r="C52" s="217"/>
      <c r="D52" s="218"/>
      <c r="E52" s="228"/>
      <c r="F52" s="229"/>
      <c r="G52" s="230"/>
      <c r="H52" s="230"/>
      <c r="I52" s="231"/>
      <c r="J52" s="231"/>
      <c r="K52" s="232"/>
      <c r="L52" s="228"/>
      <c r="M52" s="229"/>
      <c r="N52" s="230"/>
      <c r="O52" s="230"/>
      <c r="P52" s="231"/>
      <c r="Q52" s="231"/>
      <c r="R52" s="232"/>
      <c r="S52" s="233"/>
      <c r="T52" s="234"/>
      <c r="U52" s="230"/>
      <c r="V52" s="230"/>
      <c r="W52" s="231"/>
      <c r="X52" s="231"/>
      <c r="Y52" s="232"/>
      <c r="Z52" s="233"/>
      <c r="AA52" s="234"/>
      <c r="AB52" s="230"/>
      <c r="AC52" s="230"/>
      <c r="AD52" s="231"/>
      <c r="AE52" s="231"/>
      <c r="AF52" s="232"/>
      <c r="AG52" s="233"/>
      <c r="AH52" s="234"/>
      <c r="AI52" s="230"/>
      <c r="AJ52" s="230"/>
      <c r="AK52" s="231"/>
      <c r="AL52" s="231"/>
      <c r="AM52" s="232"/>
      <c r="AN52" s="233"/>
      <c r="AO52" s="234"/>
      <c r="AP52" s="230"/>
      <c r="AQ52" s="230"/>
      <c r="AR52" s="231"/>
      <c r="AS52" s="231"/>
      <c r="AT52" s="232"/>
      <c r="AU52" s="233"/>
      <c r="AV52" s="234"/>
      <c r="AW52" s="230"/>
      <c r="AX52" s="230"/>
      <c r="AY52" s="231"/>
      <c r="AZ52" s="231"/>
      <c r="BA52" s="232"/>
      <c r="BB52" s="216" t="s">
        <v>39</v>
      </c>
    </row>
    <row r="53" spans="1:54">
      <c r="A53" s="119"/>
      <c r="B53" s="123"/>
      <c r="C53" s="217"/>
      <c r="D53" s="218"/>
      <c r="E53" s="228"/>
      <c r="F53" s="229"/>
      <c r="G53" s="230"/>
      <c r="H53" s="230"/>
      <c r="I53" s="231"/>
      <c r="J53" s="231"/>
      <c r="K53" s="232"/>
      <c r="L53" s="228"/>
      <c r="M53" s="229"/>
      <c r="N53" s="230"/>
      <c r="O53" s="230"/>
      <c r="P53" s="231"/>
      <c r="Q53" s="231"/>
      <c r="R53" s="232"/>
      <c r="S53" s="233"/>
      <c r="T53" s="234"/>
      <c r="U53" s="230"/>
      <c r="V53" s="230"/>
      <c r="W53" s="231"/>
      <c r="X53" s="231"/>
      <c r="Y53" s="232"/>
      <c r="Z53" s="233"/>
      <c r="AA53" s="234"/>
      <c r="AB53" s="230"/>
      <c r="AC53" s="230"/>
      <c r="AD53" s="231"/>
      <c r="AE53" s="231"/>
      <c r="AF53" s="232"/>
      <c r="AG53" s="233"/>
      <c r="AH53" s="234"/>
      <c r="AI53" s="230"/>
      <c r="AJ53" s="230"/>
      <c r="AK53" s="231"/>
      <c r="AL53" s="231"/>
      <c r="AM53" s="232"/>
      <c r="AN53" s="233"/>
      <c r="AO53" s="234"/>
      <c r="AP53" s="230"/>
      <c r="AQ53" s="230"/>
      <c r="AR53" s="231"/>
      <c r="AS53" s="231"/>
      <c r="AT53" s="232"/>
      <c r="AU53" s="233"/>
      <c r="AV53" s="234"/>
      <c r="AW53" s="230"/>
      <c r="AX53" s="230"/>
      <c r="AY53" s="231"/>
      <c r="AZ53" s="231"/>
      <c r="BA53" s="232"/>
      <c r="BB53" s="216" t="s">
        <v>39</v>
      </c>
    </row>
    <row r="54" spans="1:54">
      <c r="A54" s="119"/>
      <c r="B54" s="123"/>
      <c r="C54" s="217"/>
      <c r="D54" s="218"/>
      <c r="E54" s="228"/>
      <c r="F54" s="229"/>
      <c r="G54" s="230"/>
      <c r="H54" s="230"/>
      <c r="I54" s="231"/>
      <c r="J54" s="231"/>
      <c r="K54" s="232"/>
      <c r="L54" s="228"/>
      <c r="M54" s="229"/>
      <c r="N54" s="230"/>
      <c r="O54" s="230"/>
      <c r="P54" s="231"/>
      <c r="Q54" s="231"/>
      <c r="R54" s="232"/>
      <c r="S54" s="233"/>
      <c r="T54" s="234"/>
      <c r="U54" s="230"/>
      <c r="V54" s="230"/>
      <c r="W54" s="231"/>
      <c r="X54" s="231"/>
      <c r="Y54" s="232"/>
      <c r="Z54" s="233"/>
      <c r="AA54" s="234"/>
      <c r="AB54" s="230"/>
      <c r="AC54" s="230"/>
      <c r="AD54" s="231"/>
      <c r="AE54" s="231"/>
      <c r="AF54" s="232"/>
      <c r="AG54" s="233"/>
      <c r="AH54" s="234"/>
      <c r="AI54" s="230"/>
      <c r="AJ54" s="230"/>
      <c r="AK54" s="231"/>
      <c r="AL54" s="231"/>
      <c r="AM54" s="232"/>
      <c r="AN54" s="233"/>
      <c r="AO54" s="234"/>
      <c r="AP54" s="230"/>
      <c r="AQ54" s="230"/>
      <c r="AR54" s="231"/>
      <c r="AS54" s="231"/>
      <c r="AT54" s="232"/>
      <c r="AU54" s="233"/>
      <c r="AV54" s="234"/>
      <c r="AW54" s="230"/>
      <c r="AX54" s="230"/>
      <c r="AY54" s="231"/>
      <c r="AZ54" s="231"/>
      <c r="BA54" s="232"/>
      <c r="BB54" s="216" t="s">
        <v>39</v>
      </c>
    </row>
    <row r="55" spans="1:54">
      <c r="A55" s="119"/>
      <c r="B55" s="123"/>
      <c r="C55" s="217"/>
      <c r="D55" s="218"/>
      <c r="E55" s="228"/>
      <c r="F55" s="229"/>
      <c r="G55" s="230"/>
      <c r="H55" s="230"/>
      <c r="I55" s="231"/>
      <c r="J55" s="231"/>
      <c r="K55" s="232"/>
      <c r="L55" s="228"/>
      <c r="M55" s="229"/>
      <c r="N55" s="230"/>
      <c r="O55" s="230"/>
      <c r="P55" s="231"/>
      <c r="Q55" s="231"/>
      <c r="R55" s="232"/>
      <c r="S55" s="233"/>
      <c r="T55" s="234"/>
      <c r="U55" s="230"/>
      <c r="V55" s="230"/>
      <c r="W55" s="231"/>
      <c r="X55" s="231"/>
      <c r="Y55" s="232"/>
      <c r="Z55" s="233"/>
      <c r="AA55" s="234"/>
      <c r="AB55" s="230"/>
      <c r="AC55" s="230"/>
      <c r="AD55" s="231"/>
      <c r="AE55" s="231"/>
      <c r="AF55" s="232"/>
      <c r="AG55" s="233"/>
      <c r="AH55" s="234"/>
      <c r="AI55" s="230"/>
      <c r="AJ55" s="230"/>
      <c r="AK55" s="231"/>
      <c r="AL55" s="231"/>
      <c r="AM55" s="232"/>
      <c r="AN55" s="233"/>
      <c r="AO55" s="234"/>
      <c r="AP55" s="230"/>
      <c r="AQ55" s="230"/>
      <c r="AR55" s="231"/>
      <c r="AS55" s="231"/>
      <c r="AT55" s="232"/>
      <c r="AU55" s="233"/>
      <c r="AV55" s="234"/>
      <c r="AW55" s="230"/>
      <c r="AX55" s="230"/>
      <c r="AY55" s="231"/>
      <c r="AZ55" s="231"/>
      <c r="BA55" s="232"/>
      <c r="BB55" s="216" t="s">
        <v>39</v>
      </c>
    </row>
    <row r="56" spans="1:54">
      <c r="A56" s="119"/>
      <c r="B56" s="123"/>
      <c r="C56" s="217"/>
      <c r="D56" s="218"/>
      <c r="E56" s="228"/>
      <c r="F56" s="229"/>
      <c r="G56" s="230"/>
      <c r="H56" s="230"/>
      <c r="I56" s="231"/>
      <c r="J56" s="231"/>
      <c r="K56" s="232"/>
      <c r="L56" s="228"/>
      <c r="M56" s="229"/>
      <c r="N56" s="230"/>
      <c r="O56" s="230"/>
      <c r="P56" s="231"/>
      <c r="Q56" s="231"/>
      <c r="R56" s="232"/>
      <c r="S56" s="233"/>
      <c r="T56" s="234"/>
      <c r="U56" s="230"/>
      <c r="V56" s="230"/>
      <c r="W56" s="231"/>
      <c r="X56" s="231"/>
      <c r="Y56" s="232"/>
      <c r="Z56" s="233"/>
      <c r="AA56" s="234"/>
      <c r="AB56" s="230"/>
      <c r="AC56" s="230"/>
      <c r="AD56" s="231"/>
      <c r="AE56" s="231"/>
      <c r="AF56" s="232"/>
      <c r="AG56" s="233"/>
      <c r="AH56" s="234"/>
      <c r="AI56" s="230"/>
      <c r="AJ56" s="230"/>
      <c r="AK56" s="231"/>
      <c r="AL56" s="231"/>
      <c r="AM56" s="232"/>
      <c r="AN56" s="233"/>
      <c r="AO56" s="234"/>
      <c r="AP56" s="230"/>
      <c r="AQ56" s="230"/>
      <c r="AR56" s="231"/>
      <c r="AS56" s="231"/>
      <c r="AT56" s="232"/>
      <c r="AU56" s="233"/>
      <c r="AV56" s="234"/>
      <c r="AW56" s="230"/>
      <c r="AX56" s="230"/>
      <c r="AY56" s="231"/>
      <c r="AZ56" s="231"/>
      <c r="BA56" s="232"/>
      <c r="BB56" s="216" t="s">
        <v>39</v>
      </c>
    </row>
    <row r="57" spans="1:54">
      <c r="A57" s="119"/>
      <c r="B57" s="123"/>
      <c r="C57" s="217"/>
      <c r="D57" s="218"/>
      <c r="E57" s="228"/>
      <c r="F57" s="229"/>
      <c r="G57" s="230"/>
      <c r="H57" s="230"/>
      <c r="I57" s="231"/>
      <c r="J57" s="231"/>
      <c r="K57" s="232"/>
      <c r="L57" s="228"/>
      <c r="M57" s="229"/>
      <c r="N57" s="230"/>
      <c r="O57" s="230"/>
      <c r="P57" s="231"/>
      <c r="Q57" s="231"/>
      <c r="R57" s="232"/>
      <c r="S57" s="233"/>
      <c r="T57" s="234"/>
      <c r="U57" s="230"/>
      <c r="V57" s="230"/>
      <c r="W57" s="231"/>
      <c r="X57" s="231"/>
      <c r="Y57" s="232"/>
      <c r="Z57" s="233"/>
      <c r="AA57" s="234"/>
      <c r="AB57" s="230"/>
      <c r="AC57" s="230"/>
      <c r="AD57" s="231"/>
      <c r="AE57" s="231"/>
      <c r="AF57" s="232"/>
      <c r="AG57" s="233"/>
      <c r="AH57" s="234"/>
      <c r="AI57" s="230"/>
      <c r="AJ57" s="230"/>
      <c r="AK57" s="231"/>
      <c r="AL57" s="231"/>
      <c r="AM57" s="232"/>
      <c r="AN57" s="233"/>
      <c r="AO57" s="234"/>
      <c r="AP57" s="230"/>
      <c r="AQ57" s="230"/>
      <c r="AR57" s="231"/>
      <c r="AS57" s="231"/>
      <c r="AT57" s="232"/>
      <c r="AU57" s="233"/>
      <c r="AV57" s="234"/>
      <c r="AW57" s="230"/>
      <c r="AX57" s="230"/>
      <c r="AY57" s="231"/>
      <c r="AZ57" s="231"/>
      <c r="BA57" s="232"/>
      <c r="BB57" s="216" t="s">
        <v>39</v>
      </c>
    </row>
    <row r="58" spans="1:54">
      <c r="A58" s="119"/>
      <c r="B58" s="123"/>
      <c r="C58" s="217"/>
      <c r="D58" s="218"/>
      <c r="E58" s="228"/>
      <c r="F58" s="229"/>
      <c r="G58" s="230"/>
      <c r="H58" s="230"/>
      <c r="I58" s="231"/>
      <c r="J58" s="231"/>
      <c r="K58" s="232"/>
      <c r="L58" s="228"/>
      <c r="M58" s="229"/>
      <c r="N58" s="230"/>
      <c r="O58" s="230"/>
      <c r="P58" s="231"/>
      <c r="Q58" s="231"/>
      <c r="R58" s="232"/>
      <c r="S58" s="233"/>
      <c r="T58" s="234"/>
      <c r="U58" s="230"/>
      <c r="V58" s="230"/>
      <c r="W58" s="231"/>
      <c r="X58" s="231"/>
      <c r="Y58" s="232"/>
      <c r="Z58" s="233"/>
      <c r="AA58" s="234"/>
      <c r="AB58" s="230"/>
      <c r="AC58" s="230"/>
      <c r="AD58" s="231"/>
      <c r="AE58" s="231"/>
      <c r="AF58" s="232"/>
      <c r="AG58" s="233"/>
      <c r="AH58" s="234"/>
      <c r="AI58" s="230"/>
      <c r="AJ58" s="230"/>
      <c r="AK58" s="231"/>
      <c r="AL58" s="231"/>
      <c r="AM58" s="232"/>
      <c r="AN58" s="233"/>
      <c r="AO58" s="234"/>
      <c r="AP58" s="230"/>
      <c r="AQ58" s="230"/>
      <c r="AR58" s="231"/>
      <c r="AS58" s="231"/>
      <c r="AT58" s="232"/>
      <c r="AU58" s="233"/>
      <c r="AV58" s="234"/>
      <c r="AW58" s="230"/>
      <c r="AX58" s="230"/>
      <c r="AY58" s="231"/>
      <c r="AZ58" s="231"/>
      <c r="BA58" s="232"/>
      <c r="BB58" s="216" t="s">
        <v>39</v>
      </c>
    </row>
    <row r="59" spans="1:54">
      <c r="A59" s="119"/>
      <c r="B59" s="123"/>
      <c r="C59" s="217"/>
      <c r="D59" s="218"/>
      <c r="E59" s="228"/>
      <c r="F59" s="229"/>
      <c r="G59" s="230"/>
      <c r="H59" s="230"/>
      <c r="I59" s="231"/>
      <c r="J59" s="231"/>
      <c r="K59" s="232"/>
      <c r="L59" s="228"/>
      <c r="M59" s="229"/>
      <c r="N59" s="230"/>
      <c r="O59" s="230"/>
      <c r="P59" s="231"/>
      <c r="Q59" s="231"/>
      <c r="R59" s="232"/>
      <c r="S59" s="233"/>
      <c r="T59" s="234"/>
      <c r="U59" s="230"/>
      <c r="V59" s="230"/>
      <c r="W59" s="231"/>
      <c r="X59" s="231"/>
      <c r="Y59" s="232"/>
      <c r="Z59" s="233"/>
      <c r="AA59" s="234"/>
      <c r="AB59" s="230"/>
      <c r="AC59" s="230"/>
      <c r="AD59" s="231"/>
      <c r="AE59" s="231"/>
      <c r="AF59" s="232"/>
      <c r="AG59" s="233"/>
      <c r="AH59" s="234"/>
      <c r="AI59" s="230"/>
      <c r="AJ59" s="230"/>
      <c r="AK59" s="231"/>
      <c r="AL59" s="231"/>
      <c r="AM59" s="232"/>
      <c r="AN59" s="233"/>
      <c r="AO59" s="234"/>
      <c r="AP59" s="230"/>
      <c r="AQ59" s="230"/>
      <c r="AR59" s="231"/>
      <c r="AS59" s="231"/>
      <c r="AT59" s="232"/>
      <c r="AU59" s="233"/>
      <c r="AV59" s="234"/>
      <c r="AW59" s="230"/>
      <c r="AX59" s="230"/>
      <c r="AY59" s="231"/>
      <c r="AZ59" s="231"/>
      <c r="BA59" s="232"/>
      <c r="BB59" s="216" t="s">
        <v>39</v>
      </c>
    </row>
    <row r="60" spans="1:54">
      <c r="A60" s="119"/>
      <c r="B60" s="123"/>
      <c r="C60" s="217"/>
      <c r="D60" s="218"/>
      <c r="E60" s="228"/>
      <c r="F60" s="229"/>
      <c r="G60" s="230"/>
      <c r="H60" s="230"/>
      <c r="I60" s="231"/>
      <c r="J60" s="231"/>
      <c r="K60" s="232"/>
      <c r="L60" s="228"/>
      <c r="M60" s="229"/>
      <c r="N60" s="230"/>
      <c r="O60" s="230"/>
      <c r="P60" s="231"/>
      <c r="Q60" s="231"/>
      <c r="R60" s="232"/>
      <c r="S60" s="233"/>
      <c r="T60" s="234"/>
      <c r="U60" s="230"/>
      <c r="V60" s="230"/>
      <c r="W60" s="231"/>
      <c r="X60" s="231"/>
      <c r="Y60" s="232"/>
      <c r="Z60" s="233"/>
      <c r="AA60" s="234"/>
      <c r="AB60" s="230"/>
      <c r="AC60" s="230"/>
      <c r="AD60" s="231"/>
      <c r="AE60" s="231"/>
      <c r="AF60" s="232"/>
      <c r="AG60" s="233"/>
      <c r="AH60" s="234"/>
      <c r="AI60" s="230"/>
      <c r="AJ60" s="230"/>
      <c r="AK60" s="231"/>
      <c r="AL60" s="231"/>
      <c r="AM60" s="232"/>
      <c r="AN60" s="233"/>
      <c r="AO60" s="234"/>
      <c r="AP60" s="230"/>
      <c r="AQ60" s="230"/>
      <c r="AR60" s="231"/>
      <c r="AS60" s="231"/>
      <c r="AT60" s="232"/>
      <c r="AU60" s="233"/>
      <c r="AV60" s="234"/>
      <c r="AW60" s="230"/>
      <c r="AX60" s="230"/>
      <c r="AY60" s="231"/>
      <c r="AZ60" s="231"/>
      <c r="BA60" s="232"/>
      <c r="BB60" s="216" t="s">
        <v>39</v>
      </c>
    </row>
    <row r="61" spans="1:54">
      <c r="A61" s="119"/>
      <c r="B61" s="123"/>
      <c r="C61" s="217"/>
      <c r="D61" s="218"/>
      <c r="E61" s="228"/>
      <c r="F61" s="229"/>
      <c r="G61" s="230"/>
      <c r="H61" s="230"/>
      <c r="I61" s="231"/>
      <c r="J61" s="231"/>
      <c r="K61" s="232"/>
      <c r="L61" s="228"/>
      <c r="M61" s="229"/>
      <c r="N61" s="230"/>
      <c r="O61" s="230"/>
      <c r="P61" s="231"/>
      <c r="Q61" s="231"/>
      <c r="R61" s="232"/>
      <c r="S61" s="233"/>
      <c r="T61" s="234"/>
      <c r="U61" s="230"/>
      <c r="V61" s="230"/>
      <c r="W61" s="231"/>
      <c r="X61" s="231"/>
      <c r="Y61" s="232"/>
      <c r="Z61" s="233"/>
      <c r="AA61" s="234"/>
      <c r="AB61" s="230"/>
      <c r="AC61" s="230"/>
      <c r="AD61" s="231"/>
      <c r="AE61" s="231"/>
      <c r="AF61" s="232"/>
      <c r="AG61" s="233"/>
      <c r="AH61" s="234"/>
      <c r="AI61" s="230"/>
      <c r="AJ61" s="230"/>
      <c r="AK61" s="231"/>
      <c r="AL61" s="231"/>
      <c r="AM61" s="232"/>
      <c r="AN61" s="233"/>
      <c r="AO61" s="234"/>
      <c r="AP61" s="230"/>
      <c r="AQ61" s="230"/>
      <c r="AR61" s="231"/>
      <c r="AS61" s="231"/>
      <c r="AT61" s="232"/>
      <c r="AU61" s="233"/>
      <c r="AV61" s="234"/>
      <c r="AW61" s="230"/>
      <c r="AX61" s="230"/>
      <c r="AY61" s="231"/>
      <c r="AZ61" s="231"/>
      <c r="BA61" s="232"/>
      <c r="BB61" s="216" t="s">
        <v>39</v>
      </c>
    </row>
    <row r="62" spans="1:54">
      <c r="A62" s="119"/>
      <c r="B62" s="123"/>
      <c r="C62" s="217"/>
      <c r="D62" s="218"/>
      <c r="E62" s="228"/>
      <c r="F62" s="229"/>
      <c r="G62" s="230"/>
      <c r="H62" s="230"/>
      <c r="I62" s="231"/>
      <c r="J62" s="231"/>
      <c r="K62" s="232"/>
      <c r="L62" s="228"/>
      <c r="M62" s="229"/>
      <c r="N62" s="230"/>
      <c r="O62" s="230"/>
      <c r="P62" s="231"/>
      <c r="Q62" s="231"/>
      <c r="R62" s="232"/>
      <c r="S62" s="233"/>
      <c r="T62" s="234"/>
      <c r="U62" s="230"/>
      <c r="V62" s="230"/>
      <c r="W62" s="231"/>
      <c r="X62" s="231"/>
      <c r="Y62" s="232"/>
      <c r="Z62" s="233"/>
      <c r="AA62" s="234"/>
      <c r="AB62" s="230"/>
      <c r="AC62" s="230"/>
      <c r="AD62" s="231"/>
      <c r="AE62" s="231"/>
      <c r="AF62" s="232"/>
      <c r="AG62" s="233"/>
      <c r="AH62" s="234"/>
      <c r="AI62" s="230"/>
      <c r="AJ62" s="230"/>
      <c r="AK62" s="231"/>
      <c r="AL62" s="231"/>
      <c r="AM62" s="232"/>
      <c r="AN62" s="233"/>
      <c r="AO62" s="234"/>
      <c r="AP62" s="230"/>
      <c r="AQ62" s="230"/>
      <c r="AR62" s="231"/>
      <c r="AS62" s="231"/>
      <c r="AT62" s="232"/>
      <c r="AU62" s="233"/>
      <c r="AV62" s="234"/>
      <c r="AW62" s="230"/>
      <c r="AX62" s="230"/>
      <c r="AY62" s="231"/>
      <c r="AZ62" s="231"/>
      <c r="BA62" s="232"/>
      <c r="BB62" s="216" t="s">
        <v>39</v>
      </c>
    </row>
    <row r="63" spans="1:54">
      <c r="A63" s="119"/>
      <c r="B63" s="123"/>
      <c r="C63" s="217"/>
      <c r="D63" s="218"/>
      <c r="E63" s="228"/>
      <c r="F63" s="229"/>
      <c r="G63" s="230"/>
      <c r="H63" s="230"/>
      <c r="I63" s="231"/>
      <c r="J63" s="231"/>
      <c r="K63" s="232"/>
      <c r="L63" s="228"/>
      <c r="M63" s="229"/>
      <c r="N63" s="230"/>
      <c r="O63" s="230"/>
      <c r="P63" s="231"/>
      <c r="Q63" s="231"/>
      <c r="R63" s="232"/>
      <c r="S63" s="233"/>
      <c r="T63" s="234"/>
      <c r="U63" s="230"/>
      <c r="V63" s="230"/>
      <c r="W63" s="231"/>
      <c r="X63" s="231"/>
      <c r="Y63" s="232"/>
      <c r="Z63" s="233"/>
      <c r="AA63" s="234"/>
      <c r="AB63" s="230"/>
      <c r="AC63" s="230"/>
      <c r="AD63" s="231"/>
      <c r="AE63" s="231"/>
      <c r="AF63" s="232"/>
      <c r="AG63" s="233"/>
      <c r="AH63" s="234"/>
      <c r="AI63" s="230"/>
      <c r="AJ63" s="230"/>
      <c r="AK63" s="231"/>
      <c r="AL63" s="231"/>
      <c r="AM63" s="232"/>
      <c r="AN63" s="233"/>
      <c r="AO63" s="234"/>
      <c r="AP63" s="230"/>
      <c r="AQ63" s="230"/>
      <c r="AR63" s="231"/>
      <c r="AS63" s="231"/>
      <c r="AT63" s="232"/>
      <c r="AU63" s="233"/>
      <c r="AV63" s="234"/>
      <c r="AW63" s="230"/>
      <c r="AX63" s="230"/>
      <c r="AY63" s="231"/>
      <c r="AZ63" s="231"/>
      <c r="BA63" s="232"/>
      <c r="BB63" s="216" t="s">
        <v>39</v>
      </c>
    </row>
    <row r="64" spans="1:54">
      <c r="A64" s="119"/>
      <c r="B64" s="123"/>
      <c r="C64" s="217"/>
      <c r="D64" s="218"/>
      <c r="E64" s="228"/>
      <c r="F64" s="229"/>
      <c r="G64" s="230"/>
      <c r="H64" s="230"/>
      <c r="I64" s="231"/>
      <c r="J64" s="231"/>
      <c r="K64" s="232"/>
      <c r="L64" s="228"/>
      <c r="M64" s="229"/>
      <c r="N64" s="230"/>
      <c r="O64" s="230"/>
      <c r="P64" s="231"/>
      <c r="Q64" s="231"/>
      <c r="R64" s="232"/>
      <c r="S64" s="233"/>
      <c r="T64" s="234"/>
      <c r="U64" s="230"/>
      <c r="V64" s="230"/>
      <c r="W64" s="231"/>
      <c r="X64" s="231"/>
      <c r="Y64" s="232"/>
      <c r="Z64" s="233"/>
      <c r="AA64" s="234"/>
      <c r="AB64" s="230"/>
      <c r="AC64" s="230"/>
      <c r="AD64" s="231"/>
      <c r="AE64" s="231"/>
      <c r="AF64" s="232"/>
      <c r="AG64" s="233"/>
      <c r="AH64" s="234"/>
      <c r="AI64" s="230"/>
      <c r="AJ64" s="230"/>
      <c r="AK64" s="231"/>
      <c r="AL64" s="231"/>
      <c r="AM64" s="232"/>
      <c r="AN64" s="233"/>
      <c r="AO64" s="234"/>
      <c r="AP64" s="230"/>
      <c r="AQ64" s="230"/>
      <c r="AR64" s="231"/>
      <c r="AS64" s="231"/>
      <c r="AT64" s="232"/>
      <c r="AU64" s="233"/>
      <c r="AV64" s="234"/>
      <c r="AW64" s="230"/>
      <c r="AX64" s="230"/>
      <c r="AY64" s="231"/>
      <c r="AZ64" s="231"/>
      <c r="BA64" s="232"/>
      <c r="BB64" s="216" t="s">
        <v>39</v>
      </c>
    </row>
    <row r="65" spans="1:54">
      <c r="A65" s="119"/>
      <c r="B65" s="123"/>
      <c r="C65" s="217"/>
      <c r="D65" s="218"/>
      <c r="E65" s="228"/>
      <c r="F65" s="229"/>
      <c r="G65" s="230"/>
      <c r="H65" s="230"/>
      <c r="I65" s="231"/>
      <c r="J65" s="231"/>
      <c r="K65" s="232"/>
      <c r="L65" s="228"/>
      <c r="M65" s="229"/>
      <c r="N65" s="230"/>
      <c r="O65" s="230"/>
      <c r="P65" s="231"/>
      <c r="Q65" s="231"/>
      <c r="R65" s="232"/>
      <c r="S65" s="233"/>
      <c r="T65" s="234"/>
      <c r="U65" s="230"/>
      <c r="V65" s="230"/>
      <c r="W65" s="231"/>
      <c r="X65" s="231"/>
      <c r="Y65" s="232"/>
      <c r="Z65" s="233"/>
      <c r="AA65" s="234"/>
      <c r="AB65" s="230"/>
      <c r="AC65" s="230"/>
      <c r="AD65" s="231"/>
      <c r="AE65" s="231"/>
      <c r="AF65" s="232"/>
      <c r="AG65" s="233"/>
      <c r="AH65" s="234"/>
      <c r="AI65" s="230"/>
      <c r="AJ65" s="230"/>
      <c r="AK65" s="231"/>
      <c r="AL65" s="231"/>
      <c r="AM65" s="232"/>
      <c r="AN65" s="233"/>
      <c r="AO65" s="234"/>
      <c r="AP65" s="230"/>
      <c r="AQ65" s="230"/>
      <c r="AR65" s="231"/>
      <c r="AS65" s="231"/>
      <c r="AT65" s="232"/>
      <c r="AU65" s="233"/>
      <c r="AV65" s="234"/>
      <c r="AW65" s="230"/>
      <c r="AX65" s="230"/>
      <c r="AY65" s="231"/>
      <c r="AZ65" s="231"/>
      <c r="BA65" s="232"/>
      <c r="BB65" s="216" t="s">
        <v>39</v>
      </c>
    </row>
    <row r="66" spans="1:54">
      <c r="A66" s="119"/>
      <c r="B66" s="123"/>
      <c r="C66" s="217"/>
      <c r="D66" s="218"/>
      <c r="E66" s="228"/>
      <c r="F66" s="229"/>
      <c r="G66" s="230"/>
      <c r="H66" s="230"/>
      <c r="I66" s="231"/>
      <c r="J66" s="231"/>
      <c r="K66" s="232"/>
      <c r="L66" s="228"/>
      <c r="M66" s="229"/>
      <c r="N66" s="230"/>
      <c r="O66" s="230"/>
      <c r="P66" s="231"/>
      <c r="Q66" s="231"/>
      <c r="R66" s="232"/>
      <c r="S66" s="233"/>
      <c r="T66" s="234"/>
      <c r="U66" s="230"/>
      <c r="V66" s="230"/>
      <c r="W66" s="231"/>
      <c r="X66" s="231"/>
      <c r="Y66" s="232"/>
      <c r="Z66" s="233"/>
      <c r="AA66" s="234"/>
      <c r="AB66" s="230"/>
      <c r="AC66" s="230"/>
      <c r="AD66" s="231"/>
      <c r="AE66" s="231"/>
      <c r="AF66" s="232"/>
      <c r="AG66" s="233"/>
      <c r="AH66" s="234"/>
      <c r="AI66" s="230"/>
      <c r="AJ66" s="230"/>
      <c r="AK66" s="231"/>
      <c r="AL66" s="231"/>
      <c r="AM66" s="232"/>
      <c r="AN66" s="233"/>
      <c r="AO66" s="234"/>
      <c r="AP66" s="230"/>
      <c r="AQ66" s="230"/>
      <c r="AR66" s="231"/>
      <c r="AS66" s="231"/>
      <c r="AT66" s="232"/>
      <c r="AU66" s="233"/>
      <c r="AV66" s="234"/>
      <c r="AW66" s="230"/>
      <c r="AX66" s="230"/>
      <c r="AY66" s="231"/>
      <c r="AZ66" s="231"/>
      <c r="BA66" s="232"/>
      <c r="BB66" s="216" t="s">
        <v>39</v>
      </c>
    </row>
    <row r="67" spans="1:54">
      <c r="A67" s="119"/>
      <c r="B67" s="123"/>
      <c r="C67" s="217"/>
      <c r="D67" s="218"/>
      <c r="E67" s="228"/>
      <c r="F67" s="229"/>
      <c r="G67" s="230"/>
      <c r="H67" s="230"/>
      <c r="I67" s="231"/>
      <c r="J67" s="231"/>
      <c r="K67" s="232"/>
      <c r="L67" s="228"/>
      <c r="M67" s="229"/>
      <c r="N67" s="230"/>
      <c r="O67" s="230"/>
      <c r="P67" s="231"/>
      <c r="Q67" s="231"/>
      <c r="R67" s="232"/>
      <c r="S67" s="233"/>
      <c r="T67" s="234"/>
      <c r="U67" s="230"/>
      <c r="V67" s="230"/>
      <c r="W67" s="231"/>
      <c r="X67" s="231"/>
      <c r="Y67" s="232"/>
      <c r="Z67" s="233"/>
      <c r="AA67" s="234"/>
      <c r="AB67" s="230"/>
      <c r="AC67" s="230"/>
      <c r="AD67" s="231"/>
      <c r="AE67" s="231"/>
      <c r="AF67" s="232"/>
      <c r="AG67" s="233"/>
      <c r="AH67" s="234"/>
      <c r="AI67" s="230"/>
      <c r="AJ67" s="230"/>
      <c r="AK67" s="231"/>
      <c r="AL67" s="231"/>
      <c r="AM67" s="232"/>
      <c r="AN67" s="233"/>
      <c r="AO67" s="234"/>
      <c r="AP67" s="230"/>
      <c r="AQ67" s="230"/>
      <c r="AR67" s="231"/>
      <c r="AS67" s="231"/>
      <c r="AT67" s="232"/>
      <c r="AU67" s="233"/>
      <c r="AV67" s="234"/>
      <c r="AW67" s="230"/>
      <c r="AX67" s="230"/>
      <c r="AY67" s="231"/>
      <c r="AZ67" s="231"/>
      <c r="BA67" s="232"/>
      <c r="BB67" s="216" t="s">
        <v>39</v>
      </c>
    </row>
    <row r="68" spans="1:54">
      <c r="A68" s="119"/>
      <c r="B68" s="123"/>
      <c r="C68" s="217"/>
      <c r="D68" s="218"/>
      <c r="E68" s="228"/>
      <c r="F68" s="229"/>
      <c r="G68" s="230"/>
      <c r="H68" s="230"/>
      <c r="I68" s="231"/>
      <c r="J68" s="231"/>
      <c r="K68" s="232"/>
      <c r="L68" s="228"/>
      <c r="M68" s="229"/>
      <c r="N68" s="230"/>
      <c r="O68" s="230"/>
      <c r="P68" s="231"/>
      <c r="Q68" s="231"/>
      <c r="R68" s="232"/>
      <c r="S68" s="233"/>
      <c r="T68" s="234"/>
      <c r="U68" s="230"/>
      <c r="V68" s="230"/>
      <c r="W68" s="231"/>
      <c r="X68" s="231"/>
      <c r="Y68" s="232"/>
      <c r="Z68" s="233"/>
      <c r="AA68" s="234"/>
      <c r="AB68" s="230"/>
      <c r="AC68" s="230"/>
      <c r="AD68" s="231"/>
      <c r="AE68" s="231"/>
      <c r="AF68" s="232"/>
      <c r="AG68" s="233"/>
      <c r="AH68" s="234"/>
      <c r="AI68" s="230"/>
      <c r="AJ68" s="230"/>
      <c r="AK68" s="231"/>
      <c r="AL68" s="231"/>
      <c r="AM68" s="232"/>
      <c r="AN68" s="233"/>
      <c r="AO68" s="234"/>
      <c r="AP68" s="230"/>
      <c r="AQ68" s="230"/>
      <c r="AR68" s="231"/>
      <c r="AS68" s="231"/>
      <c r="AT68" s="232"/>
      <c r="AU68" s="233"/>
      <c r="AV68" s="234"/>
      <c r="AW68" s="230"/>
      <c r="AX68" s="230"/>
      <c r="AY68" s="231"/>
      <c r="AZ68" s="231"/>
      <c r="BA68" s="232"/>
      <c r="BB68" s="216" t="s">
        <v>39</v>
      </c>
    </row>
    <row r="69" spans="1:54">
      <c r="A69" s="119"/>
      <c r="B69" s="123"/>
      <c r="C69" s="217"/>
      <c r="D69" s="218"/>
      <c r="E69" s="228"/>
      <c r="F69" s="229"/>
      <c r="G69" s="230"/>
      <c r="H69" s="230"/>
      <c r="I69" s="231"/>
      <c r="J69" s="231"/>
      <c r="K69" s="232"/>
      <c r="L69" s="228"/>
      <c r="M69" s="229"/>
      <c r="N69" s="230"/>
      <c r="O69" s="230"/>
      <c r="P69" s="231"/>
      <c r="Q69" s="231"/>
      <c r="R69" s="232"/>
      <c r="S69" s="233"/>
      <c r="T69" s="234"/>
      <c r="U69" s="230"/>
      <c r="V69" s="230"/>
      <c r="W69" s="231"/>
      <c r="X69" s="231"/>
      <c r="Y69" s="232"/>
      <c r="Z69" s="233"/>
      <c r="AA69" s="234"/>
      <c r="AB69" s="230"/>
      <c r="AC69" s="230"/>
      <c r="AD69" s="231"/>
      <c r="AE69" s="231"/>
      <c r="AF69" s="232"/>
      <c r="AG69" s="233"/>
      <c r="AH69" s="234"/>
      <c r="AI69" s="230"/>
      <c r="AJ69" s="230"/>
      <c r="AK69" s="231"/>
      <c r="AL69" s="231"/>
      <c r="AM69" s="232"/>
      <c r="AN69" s="233"/>
      <c r="AO69" s="234"/>
      <c r="AP69" s="230"/>
      <c r="AQ69" s="230"/>
      <c r="AR69" s="231"/>
      <c r="AS69" s="231"/>
      <c r="AT69" s="232"/>
      <c r="AU69" s="233"/>
      <c r="AV69" s="234"/>
      <c r="AW69" s="230"/>
      <c r="AX69" s="230"/>
      <c r="AY69" s="231"/>
      <c r="AZ69" s="231"/>
      <c r="BA69" s="232"/>
      <c r="BB69" s="216" t="s">
        <v>39</v>
      </c>
    </row>
    <row r="70" spans="1:54">
      <c r="A70" s="119"/>
      <c r="B70" s="123"/>
      <c r="C70" s="217"/>
      <c r="D70" s="218"/>
      <c r="E70" s="228"/>
      <c r="F70" s="229"/>
      <c r="G70" s="230"/>
      <c r="H70" s="230"/>
      <c r="I70" s="231"/>
      <c r="J70" s="231"/>
      <c r="K70" s="232"/>
      <c r="L70" s="228"/>
      <c r="M70" s="229"/>
      <c r="N70" s="230"/>
      <c r="O70" s="230"/>
      <c r="P70" s="231"/>
      <c r="Q70" s="231"/>
      <c r="R70" s="232"/>
      <c r="S70" s="233"/>
      <c r="T70" s="234"/>
      <c r="U70" s="230"/>
      <c r="V70" s="230"/>
      <c r="W70" s="231"/>
      <c r="X70" s="231"/>
      <c r="Y70" s="232"/>
      <c r="Z70" s="233"/>
      <c r="AA70" s="234"/>
      <c r="AB70" s="230"/>
      <c r="AC70" s="230"/>
      <c r="AD70" s="231"/>
      <c r="AE70" s="231"/>
      <c r="AF70" s="232"/>
      <c r="AG70" s="233"/>
      <c r="AH70" s="234"/>
      <c r="AI70" s="230"/>
      <c r="AJ70" s="230"/>
      <c r="AK70" s="231"/>
      <c r="AL70" s="231"/>
      <c r="AM70" s="232"/>
      <c r="AN70" s="233"/>
      <c r="AO70" s="234"/>
      <c r="AP70" s="230"/>
      <c r="AQ70" s="230"/>
      <c r="AR70" s="231"/>
      <c r="AS70" s="231"/>
      <c r="AT70" s="232"/>
      <c r="AU70" s="233"/>
      <c r="AV70" s="234"/>
      <c r="AW70" s="230"/>
      <c r="AX70" s="230"/>
      <c r="AY70" s="231"/>
      <c r="AZ70" s="231"/>
      <c r="BA70" s="232"/>
      <c r="BB70" s="216" t="s">
        <v>39</v>
      </c>
    </row>
    <row r="71" spans="1:54">
      <c r="A71" s="119"/>
      <c r="B71" s="123"/>
      <c r="C71" s="217"/>
      <c r="D71" s="218"/>
      <c r="E71" s="228"/>
      <c r="F71" s="229"/>
      <c r="G71" s="230"/>
      <c r="H71" s="230"/>
      <c r="I71" s="231"/>
      <c r="J71" s="231"/>
      <c r="K71" s="232"/>
      <c r="L71" s="228"/>
      <c r="M71" s="229"/>
      <c r="N71" s="230"/>
      <c r="O71" s="230"/>
      <c r="P71" s="231"/>
      <c r="Q71" s="231"/>
      <c r="R71" s="232"/>
      <c r="S71" s="233"/>
      <c r="T71" s="234"/>
      <c r="U71" s="230"/>
      <c r="V71" s="230"/>
      <c r="W71" s="231"/>
      <c r="X71" s="231"/>
      <c r="Y71" s="232"/>
      <c r="Z71" s="233"/>
      <c r="AA71" s="234"/>
      <c r="AB71" s="230"/>
      <c r="AC71" s="230"/>
      <c r="AD71" s="231"/>
      <c r="AE71" s="231"/>
      <c r="AF71" s="232"/>
      <c r="AG71" s="233"/>
      <c r="AH71" s="234"/>
      <c r="AI71" s="230"/>
      <c r="AJ71" s="230"/>
      <c r="AK71" s="231"/>
      <c r="AL71" s="231"/>
      <c r="AM71" s="232"/>
      <c r="AN71" s="233"/>
      <c r="AO71" s="234"/>
      <c r="AP71" s="230"/>
      <c r="AQ71" s="230"/>
      <c r="AR71" s="231"/>
      <c r="AS71" s="231"/>
      <c r="AT71" s="232"/>
      <c r="AU71" s="233"/>
      <c r="AV71" s="234"/>
      <c r="AW71" s="230"/>
      <c r="AX71" s="230"/>
      <c r="AY71" s="231"/>
      <c r="AZ71" s="231"/>
      <c r="BA71" s="232"/>
      <c r="BB71" s="216" t="s">
        <v>39</v>
      </c>
    </row>
    <row r="72" spans="1:54">
      <c r="A72" s="119"/>
      <c r="B72" s="123"/>
      <c r="C72" s="217"/>
      <c r="D72" s="218"/>
      <c r="E72" s="228"/>
      <c r="F72" s="229"/>
      <c r="G72" s="230"/>
      <c r="H72" s="230"/>
      <c r="I72" s="231"/>
      <c r="J72" s="231"/>
      <c r="K72" s="232"/>
      <c r="L72" s="228"/>
      <c r="M72" s="229"/>
      <c r="N72" s="230"/>
      <c r="O72" s="230"/>
      <c r="P72" s="231"/>
      <c r="Q72" s="231"/>
      <c r="R72" s="232"/>
      <c r="S72" s="233"/>
      <c r="T72" s="234"/>
      <c r="U72" s="230"/>
      <c r="V72" s="230"/>
      <c r="W72" s="231"/>
      <c r="X72" s="231"/>
      <c r="Y72" s="232"/>
      <c r="Z72" s="233"/>
      <c r="AA72" s="234"/>
      <c r="AB72" s="230"/>
      <c r="AC72" s="230"/>
      <c r="AD72" s="231"/>
      <c r="AE72" s="231"/>
      <c r="AF72" s="232"/>
      <c r="AG72" s="233"/>
      <c r="AH72" s="234"/>
      <c r="AI72" s="230"/>
      <c r="AJ72" s="230"/>
      <c r="AK72" s="231"/>
      <c r="AL72" s="231"/>
      <c r="AM72" s="232"/>
      <c r="AN72" s="233"/>
      <c r="AO72" s="234"/>
      <c r="AP72" s="230"/>
      <c r="AQ72" s="230"/>
      <c r="AR72" s="231"/>
      <c r="AS72" s="231"/>
      <c r="AT72" s="232"/>
      <c r="AU72" s="233"/>
      <c r="AV72" s="234"/>
      <c r="AW72" s="230"/>
      <c r="AX72" s="230"/>
      <c r="AY72" s="231"/>
      <c r="AZ72" s="231"/>
      <c r="BA72" s="232"/>
      <c r="BB72" s="216" t="s">
        <v>39</v>
      </c>
    </row>
    <row r="73" spans="1:54">
      <c r="A73" s="119"/>
      <c r="B73" s="123"/>
      <c r="C73" s="217"/>
      <c r="D73" s="218"/>
      <c r="E73" s="228"/>
      <c r="F73" s="229"/>
      <c r="G73" s="230"/>
      <c r="H73" s="230"/>
      <c r="I73" s="231"/>
      <c r="J73" s="231"/>
      <c r="K73" s="232"/>
      <c r="L73" s="228"/>
      <c r="M73" s="229"/>
      <c r="N73" s="230"/>
      <c r="O73" s="230"/>
      <c r="P73" s="231"/>
      <c r="Q73" s="231"/>
      <c r="R73" s="232"/>
      <c r="S73" s="233"/>
      <c r="T73" s="234"/>
      <c r="U73" s="230"/>
      <c r="V73" s="230"/>
      <c r="W73" s="231"/>
      <c r="X73" s="231"/>
      <c r="Y73" s="232"/>
      <c r="Z73" s="233"/>
      <c r="AA73" s="234"/>
      <c r="AB73" s="230"/>
      <c r="AC73" s="230"/>
      <c r="AD73" s="231"/>
      <c r="AE73" s="231"/>
      <c r="AF73" s="232"/>
      <c r="AG73" s="233"/>
      <c r="AH73" s="234"/>
      <c r="AI73" s="230"/>
      <c r="AJ73" s="230"/>
      <c r="AK73" s="231"/>
      <c r="AL73" s="231"/>
      <c r="AM73" s="232"/>
      <c r="AN73" s="233"/>
      <c r="AO73" s="234"/>
      <c r="AP73" s="230"/>
      <c r="AQ73" s="230"/>
      <c r="AR73" s="231"/>
      <c r="AS73" s="231"/>
      <c r="AT73" s="232"/>
      <c r="AU73" s="233"/>
      <c r="AV73" s="234"/>
      <c r="AW73" s="230"/>
      <c r="AX73" s="230"/>
      <c r="AY73" s="231"/>
      <c r="AZ73" s="231"/>
      <c r="BA73" s="232"/>
      <c r="BB73" s="216" t="s">
        <v>39</v>
      </c>
    </row>
    <row r="74" spans="1:54">
      <c r="A74" s="119"/>
      <c r="B74" s="123"/>
      <c r="C74" s="217"/>
      <c r="D74" s="218"/>
      <c r="E74" s="228"/>
      <c r="F74" s="229"/>
      <c r="G74" s="230"/>
      <c r="H74" s="230"/>
      <c r="I74" s="231"/>
      <c r="J74" s="231"/>
      <c r="K74" s="232"/>
      <c r="L74" s="228"/>
      <c r="M74" s="229"/>
      <c r="N74" s="230"/>
      <c r="O74" s="230"/>
      <c r="P74" s="231"/>
      <c r="Q74" s="231"/>
      <c r="R74" s="232"/>
      <c r="S74" s="233"/>
      <c r="T74" s="234"/>
      <c r="U74" s="230"/>
      <c r="V74" s="230"/>
      <c r="W74" s="231"/>
      <c r="X74" s="231"/>
      <c r="Y74" s="232"/>
      <c r="Z74" s="233"/>
      <c r="AA74" s="234"/>
      <c r="AB74" s="230"/>
      <c r="AC74" s="230"/>
      <c r="AD74" s="231"/>
      <c r="AE74" s="231"/>
      <c r="AF74" s="232"/>
      <c r="AG74" s="233"/>
      <c r="AH74" s="234"/>
      <c r="AI74" s="230"/>
      <c r="AJ74" s="230"/>
      <c r="AK74" s="231"/>
      <c r="AL74" s="231"/>
      <c r="AM74" s="232"/>
      <c r="AN74" s="233"/>
      <c r="AO74" s="234"/>
      <c r="AP74" s="230"/>
      <c r="AQ74" s="230"/>
      <c r="AR74" s="231"/>
      <c r="AS74" s="231"/>
      <c r="AT74" s="232"/>
      <c r="AU74" s="233"/>
      <c r="AV74" s="234"/>
      <c r="AW74" s="230"/>
      <c r="AX74" s="230"/>
      <c r="AY74" s="231"/>
      <c r="AZ74" s="231"/>
      <c r="BA74" s="232"/>
      <c r="BB74" s="216" t="s">
        <v>39</v>
      </c>
    </row>
    <row r="75" spans="1:54">
      <c r="A75" s="119"/>
      <c r="B75" s="123"/>
      <c r="C75" s="217"/>
      <c r="D75" s="218"/>
      <c r="E75" s="228"/>
      <c r="F75" s="229"/>
      <c r="G75" s="230"/>
      <c r="H75" s="230"/>
      <c r="I75" s="231"/>
      <c r="J75" s="231"/>
      <c r="K75" s="232"/>
      <c r="L75" s="228"/>
      <c r="M75" s="229"/>
      <c r="N75" s="230"/>
      <c r="O75" s="230"/>
      <c r="P75" s="231"/>
      <c r="Q75" s="231"/>
      <c r="R75" s="232"/>
      <c r="S75" s="233"/>
      <c r="T75" s="234"/>
      <c r="U75" s="230"/>
      <c r="V75" s="230"/>
      <c r="W75" s="231"/>
      <c r="X75" s="231"/>
      <c r="Y75" s="232"/>
      <c r="Z75" s="233"/>
      <c r="AA75" s="234"/>
      <c r="AB75" s="230"/>
      <c r="AC75" s="230"/>
      <c r="AD75" s="231"/>
      <c r="AE75" s="231"/>
      <c r="AF75" s="232"/>
      <c r="AG75" s="233"/>
      <c r="AH75" s="234"/>
      <c r="AI75" s="230"/>
      <c r="AJ75" s="230"/>
      <c r="AK75" s="231"/>
      <c r="AL75" s="231"/>
      <c r="AM75" s="232"/>
      <c r="AN75" s="233"/>
      <c r="AO75" s="234"/>
      <c r="AP75" s="230"/>
      <c r="AQ75" s="230"/>
      <c r="AR75" s="231"/>
      <c r="AS75" s="231"/>
      <c r="AT75" s="232"/>
      <c r="AU75" s="233"/>
      <c r="AV75" s="234"/>
      <c r="AW75" s="230"/>
      <c r="AX75" s="230"/>
      <c r="AY75" s="231"/>
      <c r="AZ75" s="231"/>
      <c r="BA75" s="232"/>
      <c r="BB75" s="216" t="s">
        <v>39</v>
      </c>
    </row>
    <row r="76" spans="1:54">
      <c r="A76" s="119"/>
      <c r="B76" s="123"/>
      <c r="C76" s="217"/>
      <c r="D76" s="218"/>
      <c r="E76" s="228"/>
      <c r="F76" s="229"/>
      <c r="G76" s="230"/>
      <c r="H76" s="230"/>
      <c r="I76" s="231"/>
      <c r="J76" s="231"/>
      <c r="K76" s="232"/>
      <c r="L76" s="228"/>
      <c r="M76" s="229"/>
      <c r="N76" s="230"/>
      <c r="O76" s="230"/>
      <c r="P76" s="231"/>
      <c r="Q76" s="231"/>
      <c r="R76" s="232"/>
      <c r="S76" s="233"/>
      <c r="T76" s="234"/>
      <c r="U76" s="230"/>
      <c r="V76" s="230"/>
      <c r="W76" s="231"/>
      <c r="X76" s="231"/>
      <c r="Y76" s="232"/>
      <c r="Z76" s="233"/>
      <c r="AA76" s="234"/>
      <c r="AB76" s="230"/>
      <c r="AC76" s="230"/>
      <c r="AD76" s="231"/>
      <c r="AE76" s="231"/>
      <c r="AF76" s="232"/>
      <c r="AG76" s="233"/>
      <c r="AH76" s="234"/>
      <c r="AI76" s="230"/>
      <c r="AJ76" s="230"/>
      <c r="AK76" s="231"/>
      <c r="AL76" s="231"/>
      <c r="AM76" s="232"/>
      <c r="AN76" s="233"/>
      <c r="AO76" s="234"/>
      <c r="AP76" s="230"/>
      <c r="AQ76" s="230"/>
      <c r="AR76" s="231"/>
      <c r="AS76" s="231"/>
      <c r="AT76" s="232"/>
      <c r="AU76" s="233"/>
      <c r="AV76" s="234"/>
      <c r="AW76" s="230"/>
      <c r="AX76" s="230"/>
      <c r="AY76" s="231"/>
      <c r="AZ76" s="231"/>
      <c r="BA76" s="232"/>
      <c r="BB76" s="216" t="s">
        <v>39</v>
      </c>
    </row>
    <row r="77" spans="1:54">
      <c r="A77" s="119"/>
      <c r="B77" s="123"/>
      <c r="C77" s="217"/>
      <c r="D77" s="218"/>
      <c r="E77" s="228"/>
      <c r="F77" s="229"/>
      <c r="G77" s="230"/>
      <c r="H77" s="230"/>
      <c r="I77" s="231"/>
      <c r="J77" s="231"/>
      <c r="K77" s="232"/>
      <c r="L77" s="228"/>
      <c r="M77" s="229"/>
      <c r="N77" s="230"/>
      <c r="O77" s="230"/>
      <c r="P77" s="231"/>
      <c r="Q77" s="231"/>
      <c r="R77" s="232"/>
      <c r="S77" s="233"/>
      <c r="T77" s="234"/>
      <c r="U77" s="230"/>
      <c r="V77" s="230"/>
      <c r="W77" s="231"/>
      <c r="X77" s="231"/>
      <c r="Y77" s="232"/>
      <c r="Z77" s="233"/>
      <c r="AA77" s="234"/>
      <c r="AB77" s="230"/>
      <c r="AC77" s="230"/>
      <c r="AD77" s="231"/>
      <c r="AE77" s="231"/>
      <c r="AF77" s="232"/>
      <c r="AG77" s="233"/>
      <c r="AH77" s="234"/>
      <c r="AI77" s="230"/>
      <c r="AJ77" s="230"/>
      <c r="AK77" s="231"/>
      <c r="AL77" s="231"/>
      <c r="AM77" s="232"/>
      <c r="AN77" s="233"/>
      <c r="AO77" s="234"/>
      <c r="AP77" s="230"/>
      <c r="AQ77" s="230"/>
      <c r="AR77" s="231"/>
      <c r="AS77" s="231"/>
      <c r="AT77" s="232"/>
      <c r="AU77" s="233"/>
      <c r="AV77" s="234"/>
      <c r="AW77" s="230"/>
      <c r="AX77" s="230"/>
      <c r="AY77" s="231"/>
      <c r="AZ77" s="231"/>
      <c r="BA77" s="232"/>
      <c r="BB77" s="216" t="s">
        <v>39</v>
      </c>
    </row>
    <row r="78" spans="1:54">
      <c r="A78" s="119"/>
      <c r="B78" s="123"/>
      <c r="C78" s="217"/>
      <c r="D78" s="218"/>
      <c r="E78" s="228"/>
      <c r="F78" s="229"/>
      <c r="G78" s="230"/>
      <c r="H78" s="230"/>
      <c r="I78" s="231"/>
      <c r="J78" s="231"/>
      <c r="K78" s="232"/>
      <c r="L78" s="228"/>
      <c r="M78" s="229"/>
      <c r="N78" s="230"/>
      <c r="O78" s="230"/>
      <c r="P78" s="231"/>
      <c r="Q78" s="231"/>
      <c r="R78" s="232"/>
      <c r="S78" s="233"/>
      <c r="T78" s="234"/>
      <c r="U78" s="230"/>
      <c r="V78" s="230"/>
      <c r="W78" s="231"/>
      <c r="X78" s="231"/>
      <c r="Y78" s="232"/>
      <c r="Z78" s="233"/>
      <c r="AA78" s="234"/>
      <c r="AB78" s="230"/>
      <c r="AC78" s="230"/>
      <c r="AD78" s="231"/>
      <c r="AE78" s="231"/>
      <c r="AF78" s="232"/>
      <c r="AG78" s="233"/>
      <c r="AH78" s="234"/>
      <c r="AI78" s="230"/>
      <c r="AJ78" s="230"/>
      <c r="AK78" s="231"/>
      <c r="AL78" s="231"/>
      <c r="AM78" s="232"/>
      <c r="AN78" s="233"/>
      <c r="AO78" s="234"/>
      <c r="AP78" s="230"/>
      <c r="AQ78" s="230"/>
      <c r="AR78" s="231"/>
      <c r="AS78" s="231"/>
      <c r="AT78" s="232"/>
      <c r="AU78" s="233"/>
      <c r="AV78" s="234"/>
      <c r="AW78" s="230"/>
      <c r="AX78" s="230"/>
      <c r="AY78" s="231"/>
      <c r="AZ78" s="231"/>
      <c r="BA78" s="232"/>
      <c r="BB78" s="216" t="s">
        <v>39</v>
      </c>
    </row>
    <row r="79" spans="1:54">
      <c r="A79" s="119"/>
      <c r="B79" s="123"/>
      <c r="C79" s="217"/>
      <c r="D79" s="218"/>
      <c r="E79" s="228"/>
      <c r="F79" s="229"/>
      <c r="G79" s="230"/>
      <c r="H79" s="230"/>
      <c r="I79" s="231"/>
      <c r="J79" s="231"/>
      <c r="K79" s="232"/>
      <c r="L79" s="228"/>
      <c r="M79" s="229"/>
      <c r="N79" s="230"/>
      <c r="O79" s="230"/>
      <c r="P79" s="231"/>
      <c r="Q79" s="231"/>
      <c r="R79" s="232"/>
      <c r="S79" s="233"/>
      <c r="T79" s="234"/>
      <c r="U79" s="230"/>
      <c r="V79" s="230"/>
      <c r="W79" s="231"/>
      <c r="X79" s="231"/>
      <c r="Y79" s="232"/>
      <c r="Z79" s="233"/>
      <c r="AA79" s="234"/>
      <c r="AB79" s="230"/>
      <c r="AC79" s="230"/>
      <c r="AD79" s="231"/>
      <c r="AE79" s="231"/>
      <c r="AF79" s="232"/>
      <c r="AG79" s="233"/>
      <c r="AH79" s="234"/>
      <c r="AI79" s="230"/>
      <c r="AJ79" s="230"/>
      <c r="AK79" s="231"/>
      <c r="AL79" s="231"/>
      <c r="AM79" s="232"/>
      <c r="AN79" s="233"/>
      <c r="AO79" s="234"/>
      <c r="AP79" s="230"/>
      <c r="AQ79" s="230"/>
      <c r="AR79" s="231"/>
      <c r="AS79" s="231"/>
      <c r="AT79" s="232"/>
      <c r="AU79" s="233"/>
      <c r="AV79" s="234"/>
      <c r="AW79" s="230"/>
      <c r="AX79" s="230"/>
      <c r="AY79" s="231"/>
      <c r="AZ79" s="231"/>
      <c r="BA79" s="232"/>
      <c r="BB79" s="216" t="s">
        <v>39</v>
      </c>
    </row>
    <row r="80" spans="1:54">
      <c r="A80" s="119"/>
      <c r="B80" s="123"/>
      <c r="C80" s="217"/>
      <c r="D80" s="218"/>
      <c r="E80" s="228"/>
      <c r="F80" s="229"/>
      <c r="G80" s="230"/>
      <c r="H80" s="230"/>
      <c r="I80" s="231"/>
      <c r="J80" s="231"/>
      <c r="K80" s="232"/>
      <c r="L80" s="228"/>
      <c r="M80" s="229"/>
      <c r="N80" s="230"/>
      <c r="O80" s="230"/>
      <c r="P80" s="231"/>
      <c r="Q80" s="231"/>
      <c r="R80" s="232"/>
      <c r="S80" s="233"/>
      <c r="T80" s="234"/>
      <c r="U80" s="230"/>
      <c r="V80" s="230"/>
      <c r="W80" s="231"/>
      <c r="X80" s="231"/>
      <c r="Y80" s="232"/>
      <c r="Z80" s="233"/>
      <c r="AA80" s="234"/>
      <c r="AB80" s="230"/>
      <c r="AC80" s="230"/>
      <c r="AD80" s="231"/>
      <c r="AE80" s="231"/>
      <c r="AF80" s="232"/>
      <c r="AG80" s="233"/>
      <c r="AH80" s="234"/>
      <c r="AI80" s="230"/>
      <c r="AJ80" s="230"/>
      <c r="AK80" s="231"/>
      <c r="AL80" s="231"/>
      <c r="AM80" s="232"/>
      <c r="AN80" s="233"/>
      <c r="AO80" s="234"/>
      <c r="AP80" s="230"/>
      <c r="AQ80" s="230"/>
      <c r="AR80" s="231"/>
      <c r="AS80" s="231"/>
      <c r="AT80" s="232"/>
      <c r="AU80" s="233"/>
      <c r="AV80" s="234"/>
      <c r="AW80" s="230"/>
      <c r="AX80" s="230"/>
      <c r="AY80" s="231"/>
      <c r="AZ80" s="231"/>
      <c r="BA80" s="232"/>
      <c r="BB80" s="216" t="s">
        <v>39</v>
      </c>
    </row>
    <row r="81" spans="1:54">
      <c r="A81" s="119"/>
      <c r="B81" s="123"/>
      <c r="C81" s="217"/>
      <c r="D81" s="218"/>
      <c r="E81" s="228"/>
      <c r="F81" s="229"/>
      <c r="G81" s="230"/>
      <c r="H81" s="230"/>
      <c r="I81" s="231"/>
      <c r="J81" s="231"/>
      <c r="K81" s="232"/>
      <c r="L81" s="228"/>
      <c r="M81" s="229"/>
      <c r="N81" s="230"/>
      <c r="O81" s="230"/>
      <c r="P81" s="231"/>
      <c r="Q81" s="231"/>
      <c r="R81" s="232"/>
      <c r="S81" s="233"/>
      <c r="T81" s="234"/>
      <c r="U81" s="230"/>
      <c r="V81" s="230"/>
      <c r="W81" s="231"/>
      <c r="X81" s="231"/>
      <c r="Y81" s="232"/>
      <c r="Z81" s="233"/>
      <c r="AA81" s="234"/>
      <c r="AB81" s="230"/>
      <c r="AC81" s="230"/>
      <c r="AD81" s="231"/>
      <c r="AE81" s="231"/>
      <c r="AF81" s="232"/>
      <c r="AG81" s="233"/>
      <c r="AH81" s="234"/>
      <c r="AI81" s="230"/>
      <c r="AJ81" s="230"/>
      <c r="AK81" s="231"/>
      <c r="AL81" s="231"/>
      <c r="AM81" s="232"/>
      <c r="AN81" s="233"/>
      <c r="AO81" s="234"/>
      <c r="AP81" s="230"/>
      <c r="AQ81" s="230"/>
      <c r="AR81" s="231"/>
      <c r="AS81" s="231"/>
      <c r="AT81" s="232"/>
      <c r="AU81" s="233"/>
      <c r="AV81" s="234"/>
      <c r="AW81" s="230"/>
      <c r="AX81" s="230"/>
      <c r="AY81" s="231"/>
      <c r="AZ81" s="231"/>
      <c r="BA81" s="232"/>
      <c r="BB81" s="216" t="s">
        <v>39</v>
      </c>
    </row>
    <row r="82" spans="1:54">
      <c r="A82" s="119"/>
      <c r="B82" s="123"/>
      <c r="C82" s="217"/>
      <c r="D82" s="218"/>
      <c r="E82" s="228"/>
      <c r="F82" s="229"/>
      <c r="G82" s="230"/>
      <c r="H82" s="230"/>
      <c r="I82" s="231"/>
      <c r="J82" s="231"/>
      <c r="K82" s="232"/>
      <c r="L82" s="228"/>
      <c r="M82" s="229"/>
      <c r="N82" s="230"/>
      <c r="O82" s="230"/>
      <c r="P82" s="231"/>
      <c r="Q82" s="231"/>
      <c r="R82" s="232"/>
      <c r="S82" s="233"/>
      <c r="T82" s="234"/>
      <c r="U82" s="230"/>
      <c r="V82" s="230"/>
      <c r="W82" s="231"/>
      <c r="X82" s="231"/>
      <c r="Y82" s="232"/>
      <c r="Z82" s="233"/>
      <c r="AA82" s="234"/>
      <c r="AB82" s="230"/>
      <c r="AC82" s="230"/>
      <c r="AD82" s="231"/>
      <c r="AE82" s="231"/>
      <c r="AF82" s="232"/>
      <c r="AG82" s="233"/>
      <c r="AH82" s="234"/>
      <c r="AI82" s="230"/>
      <c r="AJ82" s="230"/>
      <c r="AK82" s="231"/>
      <c r="AL82" s="231"/>
      <c r="AM82" s="232"/>
      <c r="AN82" s="233"/>
      <c r="AO82" s="234"/>
      <c r="AP82" s="230"/>
      <c r="AQ82" s="230"/>
      <c r="AR82" s="231"/>
      <c r="AS82" s="231"/>
      <c r="AT82" s="232"/>
      <c r="AU82" s="233"/>
      <c r="AV82" s="234"/>
      <c r="AW82" s="230"/>
      <c r="AX82" s="230"/>
      <c r="AY82" s="231"/>
      <c r="AZ82" s="231"/>
      <c r="BA82" s="232"/>
      <c r="BB82" s="216" t="s">
        <v>39</v>
      </c>
    </row>
    <row r="83" spans="1:54">
      <c r="A83" s="119"/>
      <c r="B83" s="123"/>
      <c r="C83" s="217"/>
      <c r="D83" s="218"/>
      <c r="E83" s="228"/>
      <c r="F83" s="229"/>
      <c r="G83" s="230"/>
      <c r="H83" s="230"/>
      <c r="I83" s="231"/>
      <c r="J83" s="231"/>
      <c r="K83" s="232"/>
      <c r="L83" s="228"/>
      <c r="M83" s="229"/>
      <c r="N83" s="230"/>
      <c r="O83" s="230"/>
      <c r="P83" s="231"/>
      <c r="Q83" s="231"/>
      <c r="R83" s="232"/>
      <c r="S83" s="233"/>
      <c r="T83" s="234"/>
      <c r="U83" s="230"/>
      <c r="V83" s="230"/>
      <c r="W83" s="231"/>
      <c r="X83" s="231"/>
      <c r="Y83" s="232"/>
      <c r="Z83" s="233"/>
      <c r="AA83" s="234"/>
      <c r="AB83" s="230"/>
      <c r="AC83" s="230"/>
      <c r="AD83" s="231"/>
      <c r="AE83" s="231"/>
      <c r="AF83" s="232"/>
      <c r="AG83" s="233"/>
      <c r="AH83" s="234"/>
      <c r="AI83" s="230"/>
      <c r="AJ83" s="230"/>
      <c r="AK83" s="231"/>
      <c r="AL83" s="231"/>
      <c r="AM83" s="232"/>
      <c r="AN83" s="233"/>
      <c r="AO83" s="234"/>
      <c r="AP83" s="230"/>
      <c r="AQ83" s="230"/>
      <c r="AR83" s="231"/>
      <c r="AS83" s="231"/>
      <c r="AT83" s="232"/>
      <c r="AU83" s="233"/>
      <c r="AV83" s="234"/>
      <c r="AW83" s="230"/>
      <c r="AX83" s="230"/>
      <c r="AY83" s="231"/>
      <c r="AZ83" s="231"/>
      <c r="BA83" s="232"/>
      <c r="BB83" s="216" t="s">
        <v>39</v>
      </c>
    </row>
    <row r="84" spans="1:54">
      <c r="A84" s="119"/>
      <c r="B84" s="123"/>
      <c r="C84" s="217"/>
      <c r="D84" s="218"/>
      <c r="E84" s="228"/>
      <c r="F84" s="229"/>
      <c r="G84" s="230"/>
      <c r="H84" s="230"/>
      <c r="I84" s="231"/>
      <c r="J84" s="231"/>
      <c r="K84" s="232"/>
      <c r="L84" s="228"/>
      <c r="M84" s="229"/>
      <c r="N84" s="230"/>
      <c r="O84" s="230"/>
      <c r="P84" s="231"/>
      <c r="Q84" s="231"/>
      <c r="R84" s="232"/>
      <c r="S84" s="233"/>
      <c r="T84" s="234"/>
      <c r="U84" s="230"/>
      <c r="V84" s="230"/>
      <c r="W84" s="231"/>
      <c r="X84" s="231"/>
      <c r="Y84" s="232"/>
      <c r="Z84" s="233"/>
      <c r="AA84" s="234"/>
      <c r="AB84" s="230"/>
      <c r="AC84" s="230"/>
      <c r="AD84" s="231"/>
      <c r="AE84" s="231"/>
      <c r="AF84" s="232"/>
      <c r="AG84" s="233"/>
      <c r="AH84" s="234"/>
      <c r="AI84" s="230"/>
      <c r="AJ84" s="230"/>
      <c r="AK84" s="231"/>
      <c r="AL84" s="231"/>
      <c r="AM84" s="232"/>
      <c r="AN84" s="233"/>
      <c r="AO84" s="234"/>
      <c r="AP84" s="230"/>
      <c r="AQ84" s="230"/>
      <c r="AR84" s="231"/>
      <c r="AS84" s="231"/>
      <c r="AT84" s="232"/>
      <c r="AU84" s="233"/>
      <c r="AV84" s="234"/>
      <c r="AW84" s="230"/>
      <c r="AX84" s="230"/>
      <c r="AY84" s="231"/>
      <c r="AZ84" s="231"/>
      <c r="BA84" s="232"/>
      <c r="BB84" s="216" t="s">
        <v>39</v>
      </c>
    </row>
    <row r="85" spans="1:54">
      <c r="A85" s="119"/>
      <c r="B85" s="123"/>
      <c r="C85" s="217"/>
      <c r="D85" s="218"/>
      <c r="E85" s="228"/>
      <c r="F85" s="229"/>
      <c r="G85" s="230"/>
      <c r="H85" s="230"/>
      <c r="I85" s="231"/>
      <c r="J85" s="231"/>
      <c r="K85" s="232"/>
      <c r="L85" s="228"/>
      <c r="M85" s="229"/>
      <c r="N85" s="230"/>
      <c r="O85" s="230"/>
      <c r="P85" s="231"/>
      <c r="Q85" s="231"/>
      <c r="R85" s="232"/>
      <c r="S85" s="233"/>
      <c r="T85" s="234"/>
      <c r="U85" s="230"/>
      <c r="V85" s="230"/>
      <c r="W85" s="231"/>
      <c r="X85" s="231"/>
      <c r="Y85" s="232"/>
      <c r="Z85" s="233"/>
      <c r="AA85" s="234"/>
      <c r="AB85" s="230"/>
      <c r="AC85" s="230"/>
      <c r="AD85" s="231"/>
      <c r="AE85" s="231"/>
      <c r="AF85" s="232"/>
      <c r="AG85" s="233"/>
      <c r="AH85" s="234"/>
      <c r="AI85" s="230"/>
      <c r="AJ85" s="230"/>
      <c r="AK85" s="231"/>
      <c r="AL85" s="231"/>
      <c r="AM85" s="232"/>
      <c r="AN85" s="233"/>
      <c r="AO85" s="234"/>
      <c r="AP85" s="230"/>
      <c r="AQ85" s="230"/>
      <c r="AR85" s="231"/>
      <c r="AS85" s="231"/>
      <c r="AT85" s="232"/>
      <c r="AU85" s="233"/>
      <c r="AV85" s="234"/>
      <c r="AW85" s="230"/>
      <c r="AX85" s="230"/>
      <c r="AY85" s="231"/>
      <c r="AZ85" s="231"/>
      <c r="BA85" s="232"/>
      <c r="BB85" s="216" t="s">
        <v>39</v>
      </c>
    </row>
    <row r="86" spans="1:54">
      <c r="A86" s="119"/>
      <c r="B86" s="123"/>
      <c r="C86" s="217"/>
      <c r="D86" s="218"/>
      <c r="E86" s="228"/>
      <c r="F86" s="229"/>
      <c r="G86" s="230"/>
      <c r="H86" s="230"/>
      <c r="I86" s="231"/>
      <c r="J86" s="231"/>
      <c r="K86" s="232"/>
      <c r="L86" s="228"/>
      <c r="M86" s="229"/>
      <c r="N86" s="230"/>
      <c r="O86" s="230"/>
      <c r="P86" s="231"/>
      <c r="Q86" s="231"/>
      <c r="R86" s="232"/>
      <c r="S86" s="233"/>
      <c r="T86" s="234"/>
      <c r="U86" s="230"/>
      <c r="V86" s="230"/>
      <c r="W86" s="231"/>
      <c r="X86" s="231"/>
      <c r="Y86" s="232"/>
      <c r="Z86" s="233"/>
      <c r="AA86" s="234"/>
      <c r="AB86" s="230"/>
      <c r="AC86" s="230"/>
      <c r="AD86" s="231"/>
      <c r="AE86" s="231"/>
      <c r="AF86" s="232"/>
      <c r="AG86" s="233"/>
      <c r="AH86" s="234"/>
      <c r="AI86" s="230"/>
      <c r="AJ86" s="230"/>
      <c r="AK86" s="231"/>
      <c r="AL86" s="231"/>
      <c r="AM86" s="232"/>
      <c r="AN86" s="233"/>
      <c r="AO86" s="234"/>
      <c r="AP86" s="230"/>
      <c r="AQ86" s="230"/>
      <c r="AR86" s="231"/>
      <c r="AS86" s="231"/>
      <c r="AT86" s="232"/>
      <c r="AU86" s="233"/>
      <c r="AV86" s="234"/>
      <c r="AW86" s="230"/>
      <c r="AX86" s="230"/>
      <c r="AY86" s="231"/>
      <c r="AZ86" s="231"/>
      <c r="BA86" s="232"/>
      <c r="BB86" s="216" t="s">
        <v>39</v>
      </c>
    </row>
    <row r="87" spans="1:54">
      <c r="A87" s="119"/>
      <c r="B87" s="123"/>
      <c r="C87" s="217"/>
      <c r="D87" s="218"/>
      <c r="E87" s="228"/>
      <c r="F87" s="229"/>
      <c r="G87" s="230"/>
      <c r="H87" s="230"/>
      <c r="I87" s="231"/>
      <c r="J87" s="231"/>
      <c r="K87" s="232"/>
      <c r="L87" s="228"/>
      <c r="M87" s="229"/>
      <c r="N87" s="230"/>
      <c r="O87" s="230"/>
      <c r="P87" s="231"/>
      <c r="Q87" s="231"/>
      <c r="R87" s="232"/>
      <c r="S87" s="233"/>
      <c r="T87" s="234"/>
      <c r="U87" s="230"/>
      <c r="V87" s="230"/>
      <c r="W87" s="231"/>
      <c r="X87" s="231"/>
      <c r="Y87" s="232"/>
      <c r="Z87" s="233"/>
      <c r="AA87" s="234"/>
      <c r="AB87" s="230"/>
      <c r="AC87" s="230"/>
      <c r="AD87" s="231"/>
      <c r="AE87" s="231"/>
      <c r="AF87" s="232"/>
      <c r="AG87" s="233"/>
      <c r="AH87" s="234"/>
      <c r="AI87" s="230"/>
      <c r="AJ87" s="230"/>
      <c r="AK87" s="231"/>
      <c r="AL87" s="231"/>
      <c r="AM87" s="232"/>
      <c r="AN87" s="233"/>
      <c r="AO87" s="234"/>
      <c r="AP87" s="230"/>
      <c r="AQ87" s="230"/>
      <c r="AR87" s="231"/>
      <c r="AS87" s="231"/>
      <c r="AT87" s="232"/>
      <c r="AU87" s="233"/>
      <c r="AV87" s="234"/>
      <c r="AW87" s="230"/>
      <c r="AX87" s="230"/>
      <c r="AY87" s="231"/>
      <c r="AZ87" s="231"/>
      <c r="BA87" s="232"/>
      <c r="BB87" s="216" t="s">
        <v>39</v>
      </c>
    </row>
    <row r="88" spans="1:54">
      <c r="A88" s="119"/>
      <c r="B88" s="123"/>
      <c r="C88" s="217"/>
      <c r="D88" s="218"/>
      <c r="E88" s="228"/>
      <c r="F88" s="229"/>
      <c r="G88" s="230"/>
      <c r="H88" s="230"/>
      <c r="I88" s="231"/>
      <c r="J88" s="231"/>
      <c r="K88" s="232"/>
      <c r="L88" s="228"/>
      <c r="M88" s="229"/>
      <c r="N88" s="230"/>
      <c r="O88" s="230"/>
      <c r="P88" s="231"/>
      <c r="Q88" s="231"/>
      <c r="R88" s="232"/>
      <c r="S88" s="233"/>
      <c r="T88" s="234"/>
      <c r="U88" s="230"/>
      <c r="V88" s="230"/>
      <c r="W88" s="231"/>
      <c r="X88" s="231"/>
      <c r="Y88" s="232"/>
      <c r="Z88" s="233"/>
      <c r="AA88" s="234"/>
      <c r="AB88" s="230"/>
      <c r="AC88" s="230"/>
      <c r="AD88" s="231"/>
      <c r="AE88" s="231"/>
      <c r="AF88" s="232"/>
      <c r="AG88" s="233"/>
      <c r="AH88" s="234"/>
      <c r="AI88" s="230"/>
      <c r="AJ88" s="230"/>
      <c r="AK88" s="231"/>
      <c r="AL88" s="231"/>
      <c r="AM88" s="232"/>
      <c r="AN88" s="233"/>
      <c r="AO88" s="234"/>
      <c r="AP88" s="230"/>
      <c r="AQ88" s="230"/>
      <c r="AR88" s="231"/>
      <c r="AS88" s="231"/>
      <c r="AT88" s="232"/>
      <c r="AU88" s="233"/>
      <c r="AV88" s="234"/>
      <c r="AW88" s="230"/>
      <c r="AX88" s="230"/>
      <c r="AY88" s="231"/>
      <c r="AZ88" s="231"/>
      <c r="BA88" s="232"/>
      <c r="BB88" s="216" t="s">
        <v>39</v>
      </c>
    </row>
    <row r="89" spans="1:54">
      <c r="A89" s="119"/>
      <c r="B89" s="123"/>
      <c r="C89" s="217"/>
      <c r="D89" s="218"/>
      <c r="E89" s="228"/>
      <c r="F89" s="229"/>
      <c r="G89" s="230"/>
      <c r="H89" s="230"/>
      <c r="I89" s="231"/>
      <c r="J89" s="231"/>
      <c r="K89" s="232"/>
      <c r="L89" s="228"/>
      <c r="M89" s="229"/>
      <c r="N89" s="230"/>
      <c r="O89" s="230"/>
      <c r="P89" s="231"/>
      <c r="Q89" s="231"/>
      <c r="R89" s="232"/>
      <c r="S89" s="233"/>
      <c r="T89" s="234"/>
      <c r="U89" s="230"/>
      <c r="V89" s="230"/>
      <c r="W89" s="231"/>
      <c r="X89" s="231"/>
      <c r="Y89" s="232"/>
      <c r="Z89" s="233"/>
      <c r="AA89" s="234"/>
      <c r="AB89" s="230"/>
      <c r="AC89" s="230"/>
      <c r="AD89" s="231"/>
      <c r="AE89" s="231"/>
      <c r="AF89" s="232"/>
      <c r="AG89" s="233"/>
      <c r="AH89" s="234"/>
      <c r="AI89" s="230"/>
      <c r="AJ89" s="230"/>
      <c r="AK89" s="231"/>
      <c r="AL89" s="231"/>
      <c r="AM89" s="232"/>
      <c r="AN89" s="233"/>
      <c r="AO89" s="234"/>
      <c r="AP89" s="230"/>
      <c r="AQ89" s="230"/>
      <c r="AR89" s="231"/>
      <c r="AS89" s="231"/>
      <c r="AT89" s="232"/>
      <c r="AU89" s="233"/>
      <c r="AV89" s="234"/>
      <c r="AW89" s="230"/>
      <c r="AX89" s="230"/>
      <c r="AY89" s="231"/>
      <c r="AZ89" s="231"/>
      <c r="BA89" s="232"/>
      <c r="BB89" s="216" t="s">
        <v>39</v>
      </c>
    </row>
    <row r="90" spans="1:54">
      <c r="A90" s="119"/>
      <c r="B90" s="123"/>
      <c r="C90" s="217"/>
      <c r="D90" s="218"/>
      <c r="E90" s="228"/>
      <c r="F90" s="229"/>
      <c r="G90" s="230"/>
      <c r="H90" s="230"/>
      <c r="I90" s="231"/>
      <c r="J90" s="231"/>
      <c r="K90" s="232"/>
      <c r="L90" s="228"/>
      <c r="M90" s="229"/>
      <c r="N90" s="230"/>
      <c r="O90" s="230"/>
      <c r="P90" s="231"/>
      <c r="Q90" s="231"/>
      <c r="R90" s="232"/>
      <c r="S90" s="233"/>
      <c r="T90" s="234"/>
      <c r="U90" s="230"/>
      <c r="V90" s="230"/>
      <c r="W90" s="231"/>
      <c r="X90" s="231"/>
      <c r="Y90" s="232"/>
      <c r="Z90" s="233"/>
      <c r="AA90" s="234"/>
      <c r="AB90" s="230"/>
      <c r="AC90" s="230"/>
      <c r="AD90" s="231"/>
      <c r="AE90" s="231"/>
      <c r="AF90" s="232"/>
      <c r="AG90" s="233"/>
      <c r="AH90" s="234"/>
      <c r="AI90" s="230"/>
      <c r="AJ90" s="230"/>
      <c r="AK90" s="231"/>
      <c r="AL90" s="231"/>
      <c r="AM90" s="232"/>
      <c r="AN90" s="233"/>
      <c r="AO90" s="234"/>
      <c r="AP90" s="230"/>
      <c r="AQ90" s="230"/>
      <c r="AR90" s="231"/>
      <c r="AS90" s="231"/>
      <c r="AT90" s="232"/>
      <c r="AU90" s="233"/>
      <c r="AV90" s="234"/>
      <c r="AW90" s="230"/>
      <c r="AX90" s="230"/>
      <c r="AY90" s="231"/>
      <c r="AZ90" s="231"/>
      <c r="BA90" s="232"/>
      <c r="BB90" s="216" t="s">
        <v>39</v>
      </c>
    </row>
    <row r="91" spans="1:54">
      <c r="A91" s="119"/>
      <c r="B91" s="123"/>
      <c r="C91" s="217"/>
      <c r="D91" s="218"/>
      <c r="E91" s="228"/>
      <c r="F91" s="229"/>
      <c r="G91" s="230"/>
      <c r="H91" s="230"/>
      <c r="I91" s="231"/>
      <c r="J91" s="231"/>
      <c r="K91" s="232"/>
      <c r="L91" s="228"/>
      <c r="M91" s="229"/>
      <c r="N91" s="230"/>
      <c r="O91" s="230"/>
      <c r="P91" s="231"/>
      <c r="Q91" s="231"/>
      <c r="R91" s="232"/>
      <c r="S91" s="233"/>
      <c r="T91" s="234"/>
      <c r="U91" s="230"/>
      <c r="V91" s="230"/>
      <c r="W91" s="231"/>
      <c r="X91" s="231"/>
      <c r="Y91" s="232"/>
      <c r="Z91" s="233"/>
      <c r="AA91" s="234"/>
      <c r="AB91" s="230"/>
      <c r="AC91" s="230"/>
      <c r="AD91" s="231"/>
      <c r="AE91" s="231"/>
      <c r="AF91" s="232"/>
      <c r="AG91" s="233"/>
      <c r="AH91" s="234"/>
      <c r="AI91" s="230"/>
      <c r="AJ91" s="230"/>
      <c r="AK91" s="231"/>
      <c r="AL91" s="231"/>
      <c r="AM91" s="232"/>
      <c r="AN91" s="233"/>
      <c r="AO91" s="234"/>
      <c r="AP91" s="230"/>
      <c r="AQ91" s="230"/>
      <c r="AR91" s="231"/>
      <c r="AS91" s="231"/>
      <c r="AT91" s="232"/>
      <c r="AU91" s="233"/>
      <c r="AV91" s="234"/>
      <c r="AW91" s="230"/>
      <c r="AX91" s="230"/>
      <c r="AY91" s="231"/>
      <c r="AZ91" s="231"/>
      <c r="BA91" s="232"/>
      <c r="BB91" s="216" t="s">
        <v>39</v>
      </c>
    </row>
    <row r="92" spans="1:54">
      <c r="A92" s="119"/>
      <c r="B92" s="123"/>
      <c r="C92" s="217"/>
      <c r="D92" s="218"/>
      <c r="E92" s="228"/>
      <c r="F92" s="229"/>
      <c r="G92" s="230"/>
      <c r="H92" s="230"/>
      <c r="I92" s="231"/>
      <c r="J92" s="231"/>
      <c r="K92" s="232"/>
      <c r="L92" s="228"/>
      <c r="M92" s="229"/>
      <c r="N92" s="230"/>
      <c r="O92" s="230"/>
      <c r="P92" s="231"/>
      <c r="Q92" s="231"/>
      <c r="R92" s="232"/>
      <c r="S92" s="233"/>
      <c r="T92" s="234"/>
      <c r="U92" s="230"/>
      <c r="V92" s="230"/>
      <c r="W92" s="231"/>
      <c r="X92" s="231"/>
      <c r="Y92" s="232"/>
      <c r="Z92" s="233"/>
      <c r="AA92" s="234"/>
      <c r="AB92" s="230"/>
      <c r="AC92" s="230"/>
      <c r="AD92" s="231"/>
      <c r="AE92" s="231"/>
      <c r="AF92" s="232"/>
      <c r="AG92" s="233"/>
      <c r="AH92" s="234"/>
      <c r="AI92" s="230"/>
      <c r="AJ92" s="230"/>
      <c r="AK92" s="231"/>
      <c r="AL92" s="231"/>
      <c r="AM92" s="232"/>
      <c r="AN92" s="233"/>
      <c r="AO92" s="234"/>
      <c r="AP92" s="230"/>
      <c r="AQ92" s="230"/>
      <c r="AR92" s="231"/>
      <c r="AS92" s="231"/>
      <c r="AT92" s="232"/>
      <c r="AU92" s="233"/>
      <c r="AV92" s="234"/>
      <c r="AW92" s="230"/>
      <c r="AX92" s="230"/>
      <c r="AY92" s="231"/>
      <c r="AZ92" s="231"/>
      <c r="BA92" s="232"/>
      <c r="BB92" s="216" t="s">
        <v>39</v>
      </c>
    </row>
    <row r="93" spans="1:54">
      <c r="A93" s="119"/>
      <c r="B93" s="123"/>
      <c r="C93" s="217"/>
      <c r="D93" s="218"/>
      <c r="E93" s="228"/>
      <c r="F93" s="229"/>
      <c r="G93" s="230"/>
      <c r="H93" s="230"/>
      <c r="I93" s="231"/>
      <c r="J93" s="231"/>
      <c r="K93" s="232"/>
      <c r="L93" s="228"/>
      <c r="M93" s="229"/>
      <c r="N93" s="230"/>
      <c r="O93" s="230"/>
      <c r="P93" s="231"/>
      <c r="Q93" s="231"/>
      <c r="R93" s="232"/>
      <c r="S93" s="233"/>
      <c r="T93" s="234"/>
      <c r="U93" s="230"/>
      <c r="V93" s="230"/>
      <c r="W93" s="231"/>
      <c r="X93" s="231"/>
      <c r="Y93" s="232"/>
      <c r="Z93" s="233"/>
      <c r="AA93" s="234"/>
      <c r="AB93" s="230"/>
      <c r="AC93" s="230"/>
      <c r="AD93" s="231"/>
      <c r="AE93" s="231"/>
      <c r="AF93" s="232"/>
      <c r="AG93" s="233"/>
      <c r="AH93" s="234"/>
      <c r="AI93" s="230"/>
      <c r="AJ93" s="230"/>
      <c r="AK93" s="231"/>
      <c r="AL93" s="231"/>
      <c r="AM93" s="232"/>
      <c r="AN93" s="233"/>
      <c r="AO93" s="234"/>
      <c r="AP93" s="230"/>
      <c r="AQ93" s="230"/>
      <c r="AR93" s="231"/>
      <c r="AS93" s="231"/>
      <c r="AT93" s="232"/>
      <c r="AU93" s="233"/>
      <c r="AV93" s="234"/>
      <c r="AW93" s="230"/>
      <c r="AX93" s="230"/>
      <c r="AY93" s="231"/>
      <c r="AZ93" s="231"/>
      <c r="BA93" s="232"/>
      <c r="BB93" s="216" t="s">
        <v>39</v>
      </c>
    </row>
    <row r="94" spans="1:54">
      <c r="A94" s="119"/>
      <c r="B94" s="123"/>
      <c r="C94" s="217"/>
      <c r="D94" s="218"/>
      <c r="E94" s="228"/>
      <c r="F94" s="229"/>
      <c r="G94" s="230"/>
      <c r="H94" s="230"/>
      <c r="I94" s="231"/>
      <c r="J94" s="231"/>
      <c r="K94" s="232"/>
      <c r="L94" s="228"/>
      <c r="M94" s="229"/>
      <c r="N94" s="230"/>
      <c r="O94" s="230"/>
      <c r="P94" s="231"/>
      <c r="Q94" s="231"/>
      <c r="R94" s="232"/>
      <c r="S94" s="233"/>
      <c r="T94" s="234"/>
      <c r="U94" s="230"/>
      <c r="V94" s="230"/>
      <c r="W94" s="231"/>
      <c r="X94" s="231"/>
      <c r="Y94" s="232"/>
      <c r="Z94" s="233"/>
      <c r="AA94" s="234"/>
      <c r="AB94" s="230"/>
      <c r="AC94" s="230"/>
      <c r="AD94" s="231"/>
      <c r="AE94" s="231"/>
      <c r="AF94" s="232"/>
      <c r="AG94" s="233"/>
      <c r="AH94" s="234"/>
      <c r="AI94" s="230"/>
      <c r="AJ94" s="230"/>
      <c r="AK94" s="231"/>
      <c r="AL94" s="231"/>
      <c r="AM94" s="232"/>
      <c r="AN94" s="233"/>
      <c r="AO94" s="234"/>
      <c r="AP94" s="230"/>
      <c r="AQ94" s="230"/>
      <c r="AR94" s="231"/>
      <c r="AS94" s="231"/>
      <c r="AT94" s="232"/>
      <c r="AU94" s="233"/>
      <c r="AV94" s="234"/>
      <c r="AW94" s="230"/>
      <c r="AX94" s="230"/>
      <c r="AY94" s="231"/>
      <c r="AZ94" s="231"/>
      <c r="BA94" s="232"/>
      <c r="BB94" s="216" t="s">
        <v>39</v>
      </c>
    </row>
    <row r="95" spans="1:54">
      <c r="A95" s="119"/>
      <c r="B95" s="123"/>
      <c r="C95" s="217"/>
      <c r="D95" s="218"/>
      <c r="E95" s="228"/>
      <c r="F95" s="229"/>
      <c r="G95" s="230"/>
      <c r="H95" s="230"/>
      <c r="I95" s="231"/>
      <c r="J95" s="231"/>
      <c r="K95" s="232"/>
      <c r="L95" s="228"/>
      <c r="M95" s="229"/>
      <c r="N95" s="230"/>
      <c r="O95" s="230"/>
      <c r="P95" s="231"/>
      <c r="Q95" s="231"/>
      <c r="R95" s="232"/>
      <c r="S95" s="233"/>
      <c r="T95" s="234"/>
      <c r="U95" s="230"/>
      <c r="V95" s="230"/>
      <c r="W95" s="231"/>
      <c r="X95" s="231"/>
      <c r="Y95" s="232"/>
      <c r="Z95" s="233"/>
      <c r="AA95" s="234"/>
      <c r="AB95" s="230"/>
      <c r="AC95" s="230"/>
      <c r="AD95" s="231"/>
      <c r="AE95" s="231"/>
      <c r="AF95" s="232"/>
      <c r="AG95" s="233"/>
      <c r="AH95" s="234"/>
      <c r="AI95" s="230"/>
      <c r="AJ95" s="230"/>
      <c r="AK95" s="231"/>
      <c r="AL95" s="231"/>
      <c r="AM95" s="232"/>
      <c r="AN95" s="233"/>
      <c r="AO95" s="234"/>
      <c r="AP95" s="230"/>
      <c r="AQ95" s="230"/>
      <c r="AR95" s="231"/>
      <c r="AS95" s="231"/>
      <c r="AT95" s="232"/>
      <c r="AU95" s="233"/>
      <c r="AV95" s="234"/>
      <c r="AW95" s="230"/>
      <c r="AX95" s="230"/>
      <c r="AY95" s="231"/>
      <c r="AZ95" s="231"/>
      <c r="BA95" s="232"/>
      <c r="BB95" s="216" t="s">
        <v>39</v>
      </c>
    </row>
    <row r="96" spans="1:54">
      <c r="A96" s="119"/>
      <c r="B96" s="123"/>
      <c r="C96" s="217"/>
      <c r="D96" s="218"/>
      <c r="E96" s="228"/>
      <c r="F96" s="229"/>
      <c r="G96" s="230"/>
      <c r="H96" s="230"/>
      <c r="I96" s="231"/>
      <c r="J96" s="231"/>
      <c r="K96" s="232"/>
      <c r="L96" s="228"/>
      <c r="M96" s="229"/>
      <c r="N96" s="230"/>
      <c r="O96" s="230"/>
      <c r="P96" s="231"/>
      <c r="Q96" s="231"/>
      <c r="R96" s="232"/>
      <c r="S96" s="233"/>
      <c r="T96" s="234"/>
      <c r="U96" s="230"/>
      <c r="V96" s="230"/>
      <c r="W96" s="231"/>
      <c r="X96" s="231"/>
      <c r="Y96" s="232"/>
      <c r="Z96" s="233"/>
      <c r="AA96" s="234"/>
      <c r="AB96" s="230"/>
      <c r="AC96" s="230"/>
      <c r="AD96" s="231"/>
      <c r="AE96" s="231"/>
      <c r="AF96" s="232"/>
      <c r="AG96" s="233"/>
      <c r="AH96" s="234"/>
      <c r="AI96" s="230"/>
      <c r="AJ96" s="230"/>
      <c r="AK96" s="231"/>
      <c r="AL96" s="231"/>
      <c r="AM96" s="232"/>
      <c r="AN96" s="233"/>
      <c r="AO96" s="234"/>
      <c r="AP96" s="230"/>
      <c r="AQ96" s="230"/>
      <c r="AR96" s="231"/>
      <c r="AS96" s="231"/>
      <c r="AT96" s="232"/>
      <c r="AU96" s="233"/>
      <c r="AV96" s="234"/>
      <c r="AW96" s="230"/>
      <c r="AX96" s="230"/>
      <c r="AY96" s="231"/>
      <c r="AZ96" s="231"/>
      <c r="BA96" s="232"/>
      <c r="BB96" s="216" t="s">
        <v>39</v>
      </c>
    </row>
    <row r="97" spans="1:54">
      <c r="A97" s="119"/>
      <c r="B97" s="123"/>
      <c r="C97" s="217"/>
      <c r="D97" s="218"/>
      <c r="E97" s="228"/>
      <c r="F97" s="229"/>
      <c r="G97" s="230"/>
      <c r="H97" s="230"/>
      <c r="I97" s="231"/>
      <c r="J97" s="231"/>
      <c r="K97" s="232"/>
      <c r="L97" s="228"/>
      <c r="M97" s="229"/>
      <c r="N97" s="230"/>
      <c r="O97" s="230"/>
      <c r="P97" s="231"/>
      <c r="Q97" s="231"/>
      <c r="R97" s="232"/>
      <c r="S97" s="233"/>
      <c r="T97" s="234"/>
      <c r="U97" s="230"/>
      <c r="V97" s="230"/>
      <c r="W97" s="231"/>
      <c r="X97" s="231"/>
      <c r="Y97" s="232"/>
      <c r="Z97" s="233"/>
      <c r="AA97" s="234"/>
      <c r="AB97" s="230"/>
      <c r="AC97" s="230"/>
      <c r="AD97" s="231"/>
      <c r="AE97" s="231"/>
      <c r="AF97" s="232"/>
      <c r="AG97" s="233"/>
      <c r="AH97" s="234"/>
      <c r="AI97" s="230"/>
      <c r="AJ97" s="230"/>
      <c r="AK97" s="231"/>
      <c r="AL97" s="231"/>
      <c r="AM97" s="232"/>
      <c r="AN97" s="233"/>
      <c r="AO97" s="234"/>
      <c r="AP97" s="230"/>
      <c r="AQ97" s="230"/>
      <c r="AR97" s="231"/>
      <c r="AS97" s="231"/>
      <c r="AT97" s="232"/>
      <c r="AU97" s="233"/>
      <c r="AV97" s="234"/>
      <c r="AW97" s="230"/>
      <c r="AX97" s="230"/>
      <c r="AY97" s="231"/>
      <c r="AZ97" s="231"/>
      <c r="BA97" s="232"/>
      <c r="BB97" s="216" t="s">
        <v>39</v>
      </c>
    </row>
    <row r="98" spans="1:54">
      <c r="A98" s="119"/>
      <c r="B98" s="123"/>
      <c r="C98" s="217"/>
      <c r="D98" s="218"/>
      <c r="E98" s="228"/>
      <c r="F98" s="229"/>
      <c r="G98" s="230"/>
      <c r="H98" s="230"/>
      <c r="I98" s="231"/>
      <c r="J98" s="231"/>
      <c r="K98" s="232"/>
      <c r="L98" s="228"/>
      <c r="M98" s="229"/>
      <c r="N98" s="230"/>
      <c r="O98" s="230"/>
      <c r="P98" s="231"/>
      <c r="Q98" s="231"/>
      <c r="R98" s="232"/>
      <c r="S98" s="233"/>
      <c r="T98" s="234"/>
      <c r="U98" s="230"/>
      <c r="V98" s="230"/>
      <c r="W98" s="231"/>
      <c r="X98" s="231"/>
      <c r="Y98" s="232"/>
      <c r="Z98" s="233"/>
      <c r="AA98" s="234"/>
      <c r="AB98" s="230"/>
      <c r="AC98" s="230"/>
      <c r="AD98" s="231"/>
      <c r="AE98" s="231"/>
      <c r="AF98" s="232"/>
      <c r="AG98" s="233"/>
      <c r="AH98" s="234"/>
      <c r="AI98" s="230"/>
      <c r="AJ98" s="230"/>
      <c r="AK98" s="231"/>
      <c r="AL98" s="231"/>
      <c r="AM98" s="232"/>
      <c r="AN98" s="233"/>
      <c r="AO98" s="234"/>
      <c r="AP98" s="230"/>
      <c r="AQ98" s="230"/>
      <c r="AR98" s="231"/>
      <c r="AS98" s="231"/>
      <c r="AT98" s="232"/>
      <c r="AU98" s="233"/>
      <c r="AV98" s="234"/>
      <c r="AW98" s="230"/>
      <c r="AX98" s="230"/>
      <c r="AY98" s="231"/>
      <c r="AZ98" s="231"/>
      <c r="BA98" s="232"/>
      <c r="BB98" s="216" t="s">
        <v>39</v>
      </c>
    </row>
    <row r="99" spans="1:54">
      <c r="A99" s="119"/>
      <c r="B99" s="123"/>
      <c r="C99" s="217"/>
      <c r="D99" s="218"/>
      <c r="E99" s="228"/>
      <c r="F99" s="229"/>
      <c r="G99" s="230"/>
      <c r="H99" s="230"/>
      <c r="I99" s="231"/>
      <c r="J99" s="231"/>
      <c r="K99" s="232"/>
      <c r="L99" s="228"/>
      <c r="M99" s="229"/>
      <c r="N99" s="230"/>
      <c r="O99" s="230"/>
      <c r="P99" s="231"/>
      <c r="Q99" s="231"/>
      <c r="R99" s="232"/>
      <c r="S99" s="233"/>
      <c r="T99" s="234"/>
      <c r="U99" s="230"/>
      <c r="V99" s="230"/>
      <c r="W99" s="231"/>
      <c r="X99" s="231"/>
      <c r="Y99" s="232"/>
      <c r="Z99" s="233"/>
      <c r="AA99" s="234"/>
      <c r="AB99" s="230"/>
      <c r="AC99" s="230"/>
      <c r="AD99" s="231"/>
      <c r="AE99" s="231"/>
      <c r="AF99" s="232"/>
      <c r="AG99" s="233"/>
      <c r="AH99" s="234"/>
      <c r="AI99" s="230"/>
      <c r="AJ99" s="230"/>
      <c r="AK99" s="231"/>
      <c r="AL99" s="231"/>
      <c r="AM99" s="232"/>
      <c r="AN99" s="233"/>
      <c r="AO99" s="234"/>
      <c r="AP99" s="230"/>
      <c r="AQ99" s="230"/>
      <c r="AR99" s="231"/>
      <c r="AS99" s="231"/>
      <c r="AT99" s="232"/>
      <c r="AU99" s="233"/>
      <c r="AV99" s="234"/>
      <c r="AW99" s="230"/>
      <c r="AX99" s="230"/>
      <c r="AY99" s="231"/>
      <c r="AZ99" s="231"/>
      <c r="BA99" s="232"/>
      <c r="BB99" s="216" t="s">
        <v>39</v>
      </c>
    </row>
    <row r="100" spans="1:54">
      <c r="A100" s="119"/>
      <c r="B100" s="123"/>
      <c r="C100" s="217"/>
      <c r="D100" s="218"/>
      <c r="E100" s="228"/>
      <c r="F100" s="229"/>
      <c r="G100" s="230"/>
      <c r="H100" s="230"/>
      <c r="I100" s="231"/>
      <c r="J100" s="231"/>
      <c r="K100" s="232"/>
      <c r="L100" s="228"/>
      <c r="M100" s="229"/>
      <c r="N100" s="230"/>
      <c r="O100" s="230"/>
      <c r="P100" s="231"/>
      <c r="Q100" s="231"/>
      <c r="R100" s="232"/>
      <c r="S100" s="233"/>
      <c r="T100" s="234"/>
      <c r="U100" s="230"/>
      <c r="V100" s="230"/>
      <c r="W100" s="231"/>
      <c r="X100" s="231"/>
      <c r="Y100" s="232"/>
      <c r="Z100" s="233"/>
      <c r="AA100" s="234"/>
      <c r="AB100" s="230"/>
      <c r="AC100" s="230"/>
      <c r="AD100" s="231"/>
      <c r="AE100" s="231"/>
      <c r="AF100" s="232"/>
      <c r="AG100" s="233"/>
      <c r="AH100" s="234"/>
      <c r="AI100" s="230"/>
      <c r="AJ100" s="230"/>
      <c r="AK100" s="231"/>
      <c r="AL100" s="231"/>
      <c r="AM100" s="232"/>
      <c r="AN100" s="233"/>
      <c r="AO100" s="234"/>
      <c r="AP100" s="230"/>
      <c r="AQ100" s="230"/>
      <c r="AR100" s="231"/>
      <c r="AS100" s="231"/>
      <c r="AT100" s="232"/>
      <c r="AU100" s="233"/>
      <c r="AV100" s="234"/>
      <c r="AW100" s="230"/>
      <c r="AX100" s="230"/>
      <c r="AY100" s="231"/>
      <c r="AZ100" s="231"/>
      <c r="BA100" s="232"/>
      <c r="BB100" s="216" t="s">
        <v>39</v>
      </c>
    </row>
    <row r="101" spans="1:54">
      <c r="A101" s="119"/>
      <c r="B101" s="123"/>
      <c r="C101" s="217"/>
      <c r="D101" s="218"/>
      <c r="E101" s="228"/>
      <c r="F101" s="229"/>
      <c r="G101" s="230"/>
      <c r="H101" s="230"/>
      <c r="I101" s="231"/>
      <c r="J101" s="231"/>
      <c r="K101" s="232"/>
      <c r="L101" s="228"/>
      <c r="M101" s="229"/>
      <c r="N101" s="230"/>
      <c r="O101" s="230"/>
      <c r="P101" s="231"/>
      <c r="Q101" s="231"/>
      <c r="R101" s="232"/>
      <c r="S101" s="233"/>
      <c r="T101" s="234"/>
      <c r="U101" s="230"/>
      <c r="V101" s="230"/>
      <c r="W101" s="231"/>
      <c r="X101" s="231"/>
      <c r="Y101" s="232"/>
      <c r="Z101" s="233"/>
      <c r="AA101" s="234"/>
      <c r="AB101" s="230"/>
      <c r="AC101" s="230"/>
      <c r="AD101" s="231"/>
      <c r="AE101" s="231"/>
      <c r="AF101" s="232"/>
      <c r="AG101" s="233"/>
      <c r="AH101" s="234"/>
      <c r="AI101" s="230"/>
      <c r="AJ101" s="230"/>
      <c r="AK101" s="231"/>
      <c r="AL101" s="231"/>
      <c r="AM101" s="232"/>
      <c r="AN101" s="233"/>
      <c r="AO101" s="234"/>
      <c r="AP101" s="230"/>
      <c r="AQ101" s="230"/>
      <c r="AR101" s="231"/>
      <c r="AS101" s="231"/>
      <c r="AT101" s="232"/>
      <c r="AU101" s="233"/>
      <c r="AV101" s="234"/>
      <c r="AW101" s="230"/>
      <c r="AX101" s="230"/>
      <c r="AY101" s="231"/>
      <c r="AZ101" s="231"/>
      <c r="BA101" s="232"/>
      <c r="BB101" s="216" t="s">
        <v>39</v>
      </c>
    </row>
    <row r="102" spans="1:54">
      <c r="A102" s="119"/>
      <c r="B102" s="123"/>
      <c r="C102" s="217"/>
      <c r="D102" s="218"/>
      <c r="E102" s="228"/>
      <c r="F102" s="229"/>
      <c r="G102" s="230"/>
      <c r="H102" s="230"/>
      <c r="I102" s="231"/>
      <c r="J102" s="231"/>
      <c r="K102" s="232"/>
      <c r="L102" s="228"/>
      <c r="M102" s="229"/>
      <c r="N102" s="230"/>
      <c r="O102" s="230"/>
      <c r="P102" s="231"/>
      <c r="Q102" s="231"/>
      <c r="R102" s="232"/>
      <c r="S102" s="233"/>
      <c r="T102" s="234"/>
      <c r="U102" s="230"/>
      <c r="V102" s="230"/>
      <c r="W102" s="231"/>
      <c r="X102" s="231"/>
      <c r="Y102" s="232"/>
      <c r="Z102" s="233"/>
      <c r="AA102" s="234"/>
      <c r="AB102" s="230"/>
      <c r="AC102" s="230"/>
      <c r="AD102" s="231"/>
      <c r="AE102" s="231"/>
      <c r="AF102" s="232"/>
      <c r="AG102" s="233"/>
      <c r="AH102" s="234"/>
      <c r="AI102" s="230"/>
      <c r="AJ102" s="230"/>
      <c r="AK102" s="231"/>
      <c r="AL102" s="231"/>
      <c r="AM102" s="232"/>
      <c r="AN102" s="233"/>
      <c r="AO102" s="234"/>
      <c r="AP102" s="230"/>
      <c r="AQ102" s="230"/>
      <c r="AR102" s="231"/>
      <c r="AS102" s="231"/>
      <c r="AT102" s="232"/>
      <c r="AU102" s="233"/>
      <c r="AV102" s="234"/>
      <c r="AW102" s="230"/>
      <c r="AX102" s="230"/>
      <c r="AY102" s="231"/>
      <c r="AZ102" s="231"/>
      <c r="BA102" s="232"/>
      <c r="BB102" s="216" t="s">
        <v>39</v>
      </c>
    </row>
    <row r="103" spans="1:54">
      <c r="A103" s="119"/>
      <c r="B103" s="123"/>
      <c r="C103" s="217"/>
      <c r="D103" s="218"/>
      <c r="E103" s="228"/>
      <c r="F103" s="229"/>
      <c r="G103" s="230"/>
      <c r="H103" s="230"/>
      <c r="I103" s="231"/>
      <c r="J103" s="231"/>
      <c r="K103" s="232"/>
      <c r="L103" s="228"/>
      <c r="M103" s="229"/>
      <c r="N103" s="230"/>
      <c r="O103" s="230"/>
      <c r="P103" s="231"/>
      <c r="Q103" s="231"/>
      <c r="R103" s="232"/>
      <c r="S103" s="233"/>
      <c r="T103" s="234"/>
      <c r="U103" s="230"/>
      <c r="V103" s="230"/>
      <c r="W103" s="231"/>
      <c r="X103" s="231"/>
      <c r="Y103" s="232"/>
      <c r="Z103" s="233"/>
      <c r="AA103" s="234"/>
      <c r="AB103" s="230"/>
      <c r="AC103" s="230"/>
      <c r="AD103" s="231"/>
      <c r="AE103" s="231"/>
      <c r="AF103" s="232"/>
      <c r="AG103" s="233"/>
      <c r="AH103" s="234"/>
      <c r="AI103" s="230"/>
      <c r="AJ103" s="230"/>
      <c r="AK103" s="231"/>
      <c r="AL103" s="231"/>
      <c r="AM103" s="232"/>
      <c r="AN103" s="233"/>
      <c r="AO103" s="234"/>
      <c r="AP103" s="230"/>
      <c r="AQ103" s="230"/>
      <c r="AR103" s="231"/>
      <c r="AS103" s="231"/>
      <c r="AT103" s="232"/>
      <c r="AU103" s="233"/>
      <c r="AV103" s="234"/>
      <c r="AW103" s="230"/>
      <c r="AX103" s="230"/>
      <c r="AY103" s="231"/>
      <c r="AZ103" s="231"/>
      <c r="BA103" s="232"/>
      <c r="BB103" s="216" t="s">
        <v>39</v>
      </c>
    </row>
    <row r="104" spans="1:54">
      <c r="A104" s="119"/>
      <c r="B104" s="123"/>
      <c r="C104" s="217"/>
      <c r="D104" s="218"/>
      <c r="E104" s="228"/>
      <c r="F104" s="229"/>
      <c r="G104" s="230"/>
      <c r="H104" s="230"/>
      <c r="I104" s="231"/>
      <c r="J104" s="231"/>
      <c r="K104" s="232"/>
      <c r="L104" s="228"/>
      <c r="M104" s="229"/>
      <c r="N104" s="230"/>
      <c r="O104" s="230"/>
      <c r="P104" s="231"/>
      <c r="Q104" s="231"/>
      <c r="R104" s="232"/>
      <c r="S104" s="233"/>
      <c r="T104" s="234"/>
      <c r="U104" s="230"/>
      <c r="V104" s="230"/>
      <c r="W104" s="231"/>
      <c r="X104" s="231"/>
      <c r="Y104" s="232"/>
      <c r="Z104" s="233"/>
      <c r="AA104" s="234"/>
      <c r="AB104" s="230"/>
      <c r="AC104" s="230"/>
      <c r="AD104" s="231"/>
      <c r="AE104" s="231"/>
      <c r="AF104" s="232"/>
      <c r="AG104" s="233"/>
      <c r="AH104" s="234"/>
      <c r="AI104" s="230"/>
      <c r="AJ104" s="230"/>
      <c r="AK104" s="231"/>
      <c r="AL104" s="231"/>
      <c r="AM104" s="232"/>
      <c r="AN104" s="233"/>
      <c r="AO104" s="234"/>
      <c r="AP104" s="230"/>
      <c r="AQ104" s="230"/>
      <c r="AR104" s="231"/>
      <c r="AS104" s="231"/>
      <c r="AT104" s="232"/>
      <c r="AU104" s="233"/>
      <c r="AV104" s="234"/>
      <c r="AW104" s="230"/>
      <c r="AX104" s="230"/>
      <c r="AY104" s="231"/>
      <c r="AZ104" s="231"/>
      <c r="BA104" s="232"/>
      <c r="BB104" s="216" t="s">
        <v>39</v>
      </c>
    </row>
    <row r="105" spans="1:54">
      <c r="A105" s="119"/>
      <c r="B105" s="123"/>
      <c r="C105" s="217"/>
      <c r="D105" s="218"/>
      <c r="E105" s="228"/>
      <c r="F105" s="229"/>
      <c r="G105" s="230"/>
      <c r="H105" s="230"/>
      <c r="I105" s="231"/>
      <c r="J105" s="231"/>
      <c r="K105" s="232"/>
      <c r="L105" s="228"/>
      <c r="M105" s="229"/>
      <c r="N105" s="230"/>
      <c r="O105" s="230"/>
      <c r="P105" s="231"/>
      <c r="Q105" s="231"/>
      <c r="R105" s="232"/>
      <c r="S105" s="233"/>
      <c r="T105" s="234"/>
      <c r="U105" s="230"/>
      <c r="V105" s="230"/>
      <c r="W105" s="231"/>
      <c r="X105" s="231"/>
      <c r="Y105" s="232"/>
      <c r="Z105" s="233"/>
      <c r="AA105" s="234"/>
      <c r="AB105" s="230"/>
      <c r="AC105" s="230"/>
      <c r="AD105" s="231"/>
      <c r="AE105" s="231"/>
      <c r="AF105" s="232"/>
      <c r="AG105" s="233"/>
      <c r="AH105" s="234"/>
      <c r="AI105" s="230"/>
      <c r="AJ105" s="230"/>
      <c r="AK105" s="231"/>
      <c r="AL105" s="231"/>
      <c r="AM105" s="232"/>
      <c r="AN105" s="233"/>
      <c r="AO105" s="234"/>
      <c r="AP105" s="230"/>
      <c r="AQ105" s="230"/>
      <c r="AR105" s="231"/>
      <c r="AS105" s="231"/>
      <c r="AT105" s="232"/>
      <c r="AU105" s="233"/>
      <c r="AV105" s="234"/>
      <c r="AW105" s="230"/>
      <c r="AX105" s="230"/>
      <c r="AY105" s="231"/>
      <c r="AZ105" s="231"/>
      <c r="BA105" s="232"/>
      <c r="BB105" s="216" t="s">
        <v>39</v>
      </c>
    </row>
    <row r="106" spans="1:54">
      <c r="A106" s="119"/>
      <c r="B106" s="123"/>
      <c r="C106" s="217"/>
      <c r="D106" s="218"/>
      <c r="E106" s="228"/>
      <c r="F106" s="229"/>
      <c r="G106" s="230"/>
      <c r="H106" s="230"/>
      <c r="I106" s="231"/>
      <c r="J106" s="231"/>
      <c r="K106" s="232"/>
      <c r="L106" s="228"/>
      <c r="M106" s="229"/>
      <c r="N106" s="230"/>
      <c r="O106" s="230"/>
      <c r="P106" s="231"/>
      <c r="Q106" s="231"/>
      <c r="R106" s="232"/>
      <c r="S106" s="233"/>
      <c r="T106" s="234"/>
      <c r="U106" s="230"/>
      <c r="V106" s="230"/>
      <c r="W106" s="231"/>
      <c r="X106" s="231"/>
      <c r="Y106" s="232"/>
      <c r="Z106" s="233"/>
      <c r="AA106" s="234"/>
      <c r="AB106" s="230"/>
      <c r="AC106" s="230"/>
      <c r="AD106" s="231"/>
      <c r="AE106" s="231"/>
      <c r="AF106" s="232"/>
      <c r="AG106" s="233"/>
      <c r="AH106" s="234"/>
      <c r="AI106" s="230"/>
      <c r="AJ106" s="230"/>
      <c r="AK106" s="231"/>
      <c r="AL106" s="231"/>
      <c r="AM106" s="232"/>
      <c r="AN106" s="233"/>
      <c r="AO106" s="234"/>
      <c r="AP106" s="230"/>
      <c r="AQ106" s="230"/>
      <c r="AR106" s="231"/>
      <c r="AS106" s="231"/>
      <c r="AT106" s="232"/>
      <c r="AU106" s="233"/>
      <c r="AV106" s="234"/>
      <c r="AW106" s="230"/>
      <c r="AX106" s="230"/>
      <c r="AY106" s="231"/>
      <c r="AZ106" s="231"/>
      <c r="BA106" s="232"/>
      <c r="BB106" s="216" t="s">
        <v>39</v>
      </c>
    </row>
    <row r="107" spans="1:54">
      <c r="A107" s="119"/>
      <c r="B107" s="123"/>
      <c r="C107" s="217"/>
      <c r="D107" s="218"/>
      <c r="E107" s="228"/>
      <c r="F107" s="229"/>
      <c r="G107" s="230"/>
      <c r="H107" s="230"/>
      <c r="I107" s="231"/>
      <c r="J107" s="231"/>
      <c r="K107" s="232"/>
      <c r="L107" s="228"/>
      <c r="M107" s="229"/>
      <c r="N107" s="230"/>
      <c r="O107" s="230"/>
      <c r="P107" s="231"/>
      <c r="Q107" s="231"/>
      <c r="R107" s="232"/>
      <c r="S107" s="233"/>
      <c r="T107" s="234"/>
      <c r="U107" s="230"/>
      <c r="V107" s="230"/>
      <c r="W107" s="231"/>
      <c r="X107" s="231"/>
      <c r="Y107" s="232"/>
      <c r="Z107" s="233"/>
      <c r="AA107" s="234"/>
      <c r="AB107" s="230"/>
      <c r="AC107" s="230"/>
      <c r="AD107" s="231"/>
      <c r="AE107" s="231"/>
      <c r="AF107" s="232"/>
      <c r="AG107" s="233"/>
      <c r="AH107" s="234"/>
      <c r="AI107" s="230"/>
      <c r="AJ107" s="230"/>
      <c r="AK107" s="231"/>
      <c r="AL107" s="231"/>
      <c r="AM107" s="232"/>
      <c r="AN107" s="233"/>
      <c r="AO107" s="234"/>
      <c r="AP107" s="230"/>
      <c r="AQ107" s="230"/>
      <c r="AR107" s="231"/>
      <c r="AS107" s="231"/>
      <c r="AT107" s="232"/>
      <c r="AU107" s="233"/>
      <c r="AV107" s="234"/>
      <c r="AW107" s="230"/>
      <c r="AX107" s="230"/>
      <c r="AY107" s="231"/>
      <c r="AZ107" s="231"/>
      <c r="BA107" s="232"/>
      <c r="BB107" s="216" t="s">
        <v>39</v>
      </c>
    </row>
    <row r="108" spans="1:54">
      <c r="A108" s="119"/>
      <c r="B108" s="123"/>
      <c r="C108" s="217"/>
      <c r="D108" s="218"/>
      <c r="E108" s="228"/>
      <c r="F108" s="229"/>
      <c r="G108" s="230"/>
      <c r="H108" s="230"/>
      <c r="I108" s="231"/>
      <c r="J108" s="231"/>
      <c r="K108" s="232"/>
      <c r="L108" s="228"/>
      <c r="M108" s="229"/>
      <c r="N108" s="230"/>
      <c r="O108" s="230"/>
      <c r="P108" s="231"/>
      <c r="Q108" s="231"/>
      <c r="R108" s="232"/>
      <c r="S108" s="233"/>
      <c r="T108" s="234"/>
      <c r="U108" s="230"/>
      <c r="V108" s="230"/>
      <c r="W108" s="231"/>
      <c r="X108" s="231"/>
      <c r="Y108" s="232"/>
      <c r="Z108" s="233"/>
      <c r="AA108" s="234"/>
      <c r="AB108" s="230"/>
      <c r="AC108" s="230"/>
      <c r="AD108" s="231"/>
      <c r="AE108" s="231"/>
      <c r="AF108" s="232"/>
      <c r="AG108" s="233"/>
      <c r="AH108" s="234"/>
      <c r="AI108" s="230"/>
      <c r="AJ108" s="230"/>
      <c r="AK108" s="231"/>
      <c r="AL108" s="231"/>
      <c r="AM108" s="232"/>
      <c r="AN108" s="233"/>
      <c r="AO108" s="234"/>
      <c r="AP108" s="230"/>
      <c r="AQ108" s="230"/>
      <c r="AR108" s="231"/>
      <c r="AS108" s="231"/>
      <c r="AT108" s="232"/>
      <c r="AU108" s="233"/>
      <c r="AV108" s="234"/>
      <c r="AW108" s="230"/>
      <c r="AX108" s="230"/>
      <c r="AY108" s="231"/>
      <c r="AZ108" s="231"/>
      <c r="BA108" s="232"/>
      <c r="BB108" s="216" t="s">
        <v>39</v>
      </c>
    </row>
    <row r="109" spans="1:54">
      <c r="A109" s="119"/>
      <c r="B109" s="123"/>
      <c r="C109" s="217"/>
      <c r="D109" s="218"/>
      <c r="E109" s="228"/>
      <c r="F109" s="229"/>
      <c r="G109" s="230"/>
      <c r="H109" s="230"/>
      <c r="I109" s="231"/>
      <c r="J109" s="231"/>
      <c r="K109" s="232"/>
      <c r="L109" s="228"/>
      <c r="M109" s="229"/>
      <c r="N109" s="230"/>
      <c r="O109" s="230"/>
      <c r="P109" s="231"/>
      <c r="Q109" s="231"/>
      <c r="R109" s="232"/>
      <c r="S109" s="233"/>
      <c r="T109" s="234"/>
      <c r="U109" s="230"/>
      <c r="V109" s="230"/>
      <c r="W109" s="231"/>
      <c r="X109" s="231"/>
      <c r="Y109" s="232"/>
      <c r="Z109" s="233"/>
      <c r="AA109" s="234"/>
      <c r="AB109" s="230"/>
      <c r="AC109" s="230"/>
      <c r="AD109" s="231"/>
      <c r="AE109" s="231"/>
      <c r="AF109" s="232"/>
      <c r="AG109" s="233"/>
      <c r="AH109" s="234"/>
      <c r="AI109" s="230"/>
      <c r="AJ109" s="230"/>
      <c r="AK109" s="231"/>
      <c r="AL109" s="231"/>
      <c r="AM109" s="232"/>
      <c r="AN109" s="233"/>
      <c r="AO109" s="234"/>
      <c r="AP109" s="230"/>
      <c r="AQ109" s="230"/>
      <c r="AR109" s="231"/>
      <c r="AS109" s="231"/>
      <c r="AT109" s="232"/>
      <c r="AU109" s="233"/>
      <c r="AV109" s="234"/>
      <c r="AW109" s="230"/>
      <c r="AX109" s="230"/>
      <c r="AY109" s="231"/>
      <c r="AZ109" s="231"/>
      <c r="BA109" s="232"/>
      <c r="BB109" s="216" t="s">
        <v>39</v>
      </c>
    </row>
    <row r="110" spans="1:54">
      <c r="A110" s="119"/>
      <c r="B110" s="123"/>
      <c r="C110" s="217"/>
      <c r="D110" s="218"/>
      <c r="E110" s="228"/>
      <c r="F110" s="229"/>
      <c r="G110" s="230"/>
      <c r="H110" s="230"/>
      <c r="I110" s="231"/>
      <c r="J110" s="231"/>
      <c r="K110" s="232"/>
      <c r="L110" s="228"/>
      <c r="M110" s="229"/>
      <c r="N110" s="230"/>
      <c r="O110" s="230"/>
      <c r="P110" s="231"/>
      <c r="Q110" s="231"/>
      <c r="R110" s="232"/>
      <c r="S110" s="233"/>
      <c r="T110" s="234"/>
      <c r="U110" s="230"/>
      <c r="V110" s="230"/>
      <c r="W110" s="231"/>
      <c r="X110" s="231"/>
      <c r="Y110" s="232"/>
      <c r="Z110" s="233"/>
      <c r="AA110" s="234"/>
      <c r="AB110" s="230"/>
      <c r="AC110" s="230"/>
      <c r="AD110" s="231"/>
      <c r="AE110" s="231"/>
      <c r="AF110" s="232"/>
      <c r="AG110" s="233"/>
      <c r="AH110" s="234"/>
      <c r="AI110" s="230"/>
      <c r="AJ110" s="230"/>
      <c r="AK110" s="231"/>
      <c r="AL110" s="231"/>
      <c r="AM110" s="232"/>
      <c r="AN110" s="233"/>
      <c r="AO110" s="234"/>
      <c r="AP110" s="230"/>
      <c r="AQ110" s="230"/>
      <c r="AR110" s="231"/>
      <c r="AS110" s="231"/>
      <c r="AT110" s="232"/>
      <c r="AU110" s="233"/>
      <c r="AV110" s="234"/>
      <c r="AW110" s="230"/>
      <c r="AX110" s="230"/>
      <c r="AY110" s="231"/>
      <c r="AZ110" s="231"/>
      <c r="BA110" s="232"/>
      <c r="BB110" s="216" t="s">
        <v>39</v>
      </c>
    </row>
    <row r="111" spans="1:54">
      <c r="A111" s="119"/>
      <c r="B111" s="123"/>
      <c r="C111" s="217"/>
      <c r="D111" s="218"/>
      <c r="E111" s="228"/>
      <c r="F111" s="229"/>
      <c r="G111" s="230"/>
      <c r="H111" s="230"/>
      <c r="I111" s="231"/>
      <c r="J111" s="231"/>
      <c r="K111" s="232"/>
      <c r="L111" s="228"/>
      <c r="M111" s="229"/>
      <c r="N111" s="230"/>
      <c r="O111" s="230"/>
      <c r="P111" s="231"/>
      <c r="Q111" s="231"/>
      <c r="R111" s="232"/>
      <c r="S111" s="233"/>
      <c r="T111" s="234"/>
      <c r="U111" s="230"/>
      <c r="V111" s="230"/>
      <c r="W111" s="231"/>
      <c r="X111" s="231"/>
      <c r="Y111" s="232"/>
      <c r="Z111" s="233"/>
      <c r="AA111" s="234"/>
      <c r="AB111" s="230"/>
      <c r="AC111" s="230"/>
      <c r="AD111" s="231"/>
      <c r="AE111" s="231"/>
      <c r="AF111" s="232"/>
      <c r="AG111" s="233"/>
      <c r="AH111" s="234"/>
      <c r="AI111" s="230"/>
      <c r="AJ111" s="230"/>
      <c r="AK111" s="231"/>
      <c r="AL111" s="231"/>
      <c r="AM111" s="232"/>
      <c r="AN111" s="233"/>
      <c r="AO111" s="234"/>
      <c r="AP111" s="230"/>
      <c r="AQ111" s="230"/>
      <c r="AR111" s="231"/>
      <c r="AS111" s="231"/>
      <c r="AT111" s="232"/>
      <c r="AU111" s="233"/>
      <c r="AV111" s="234"/>
      <c r="AW111" s="230"/>
      <c r="AX111" s="230"/>
      <c r="AY111" s="231"/>
      <c r="AZ111" s="231"/>
      <c r="BA111" s="232"/>
      <c r="BB111" s="216" t="s">
        <v>39</v>
      </c>
    </row>
    <row r="112" spans="1:54">
      <c r="A112" s="119"/>
      <c r="B112" s="123"/>
      <c r="C112" s="217"/>
      <c r="D112" s="218"/>
      <c r="E112" s="228"/>
      <c r="F112" s="229"/>
      <c r="G112" s="230"/>
      <c r="H112" s="230"/>
      <c r="I112" s="231"/>
      <c r="J112" s="231"/>
      <c r="K112" s="232"/>
      <c r="L112" s="228"/>
      <c r="M112" s="229"/>
      <c r="N112" s="230"/>
      <c r="O112" s="230"/>
      <c r="P112" s="231"/>
      <c r="Q112" s="231"/>
      <c r="R112" s="232"/>
      <c r="S112" s="233"/>
      <c r="T112" s="234"/>
      <c r="U112" s="230"/>
      <c r="V112" s="230"/>
      <c r="W112" s="231"/>
      <c r="X112" s="231"/>
      <c r="Y112" s="232"/>
      <c r="Z112" s="233"/>
      <c r="AA112" s="234"/>
      <c r="AB112" s="230"/>
      <c r="AC112" s="230"/>
      <c r="AD112" s="231"/>
      <c r="AE112" s="231"/>
      <c r="AF112" s="232"/>
      <c r="AG112" s="233"/>
      <c r="AH112" s="234"/>
      <c r="AI112" s="230"/>
      <c r="AJ112" s="230"/>
      <c r="AK112" s="231"/>
      <c r="AL112" s="231"/>
      <c r="AM112" s="232"/>
      <c r="AN112" s="233"/>
      <c r="AO112" s="234"/>
      <c r="AP112" s="230"/>
      <c r="AQ112" s="230"/>
      <c r="AR112" s="231"/>
      <c r="AS112" s="231"/>
      <c r="AT112" s="232"/>
      <c r="AU112" s="233"/>
      <c r="AV112" s="234"/>
      <c r="AW112" s="230"/>
      <c r="AX112" s="230"/>
      <c r="AY112" s="231"/>
      <c r="AZ112" s="231"/>
      <c r="BA112" s="232"/>
      <c r="BB112" s="216" t="s">
        <v>39</v>
      </c>
    </row>
    <row r="113" spans="1:54">
      <c r="A113" s="119"/>
      <c r="B113" s="123"/>
      <c r="C113" s="217"/>
      <c r="D113" s="218"/>
      <c r="E113" s="228"/>
      <c r="F113" s="229"/>
      <c r="G113" s="230"/>
      <c r="H113" s="230"/>
      <c r="I113" s="231"/>
      <c r="J113" s="231"/>
      <c r="K113" s="232"/>
      <c r="L113" s="228"/>
      <c r="M113" s="229"/>
      <c r="N113" s="230"/>
      <c r="O113" s="230"/>
      <c r="P113" s="231"/>
      <c r="Q113" s="231"/>
      <c r="R113" s="232"/>
      <c r="S113" s="233"/>
      <c r="T113" s="234"/>
      <c r="U113" s="230"/>
      <c r="V113" s="230"/>
      <c r="W113" s="231"/>
      <c r="X113" s="231"/>
      <c r="Y113" s="232"/>
      <c r="Z113" s="233"/>
      <c r="AA113" s="234"/>
      <c r="AB113" s="230"/>
      <c r="AC113" s="230"/>
      <c r="AD113" s="231"/>
      <c r="AE113" s="231"/>
      <c r="AF113" s="232"/>
      <c r="AG113" s="233"/>
      <c r="AH113" s="234"/>
      <c r="AI113" s="230"/>
      <c r="AJ113" s="230"/>
      <c r="AK113" s="231"/>
      <c r="AL113" s="231"/>
      <c r="AM113" s="232"/>
      <c r="AN113" s="233"/>
      <c r="AO113" s="234"/>
      <c r="AP113" s="230"/>
      <c r="AQ113" s="230"/>
      <c r="AR113" s="231"/>
      <c r="AS113" s="231"/>
      <c r="AT113" s="232"/>
      <c r="AU113" s="233"/>
      <c r="AV113" s="234"/>
      <c r="AW113" s="230"/>
      <c r="AX113" s="230"/>
      <c r="AY113" s="231"/>
      <c r="AZ113" s="231"/>
      <c r="BA113" s="232"/>
      <c r="BB113" s="216" t="s">
        <v>39</v>
      </c>
    </row>
    <row r="114" spans="1:54">
      <c r="A114" s="119"/>
      <c r="B114" s="123"/>
      <c r="C114" s="217"/>
      <c r="D114" s="218"/>
      <c r="E114" s="228"/>
      <c r="F114" s="229"/>
      <c r="G114" s="230"/>
      <c r="H114" s="230"/>
      <c r="I114" s="231"/>
      <c r="J114" s="231"/>
      <c r="K114" s="232"/>
      <c r="L114" s="228"/>
      <c r="M114" s="229"/>
      <c r="N114" s="230"/>
      <c r="O114" s="230"/>
      <c r="P114" s="231"/>
      <c r="Q114" s="231"/>
      <c r="R114" s="232"/>
      <c r="S114" s="233"/>
      <c r="T114" s="234"/>
      <c r="U114" s="230"/>
      <c r="V114" s="230"/>
      <c r="W114" s="231"/>
      <c r="X114" s="231"/>
      <c r="Y114" s="232"/>
      <c r="Z114" s="233"/>
      <c r="AA114" s="234"/>
      <c r="AB114" s="230"/>
      <c r="AC114" s="230"/>
      <c r="AD114" s="231"/>
      <c r="AE114" s="231"/>
      <c r="AF114" s="232"/>
      <c r="AG114" s="233"/>
      <c r="AH114" s="234"/>
      <c r="AI114" s="230"/>
      <c r="AJ114" s="230"/>
      <c r="AK114" s="231"/>
      <c r="AL114" s="231"/>
      <c r="AM114" s="232"/>
      <c r="AN114" s="233"/>
      <c r="AO114" s="234"/>
      <c r="AP114" s="230"/>
      <c r="AQ114" s="230"/>
      <c r="AR114" s="231"/>
      <c r="AS114" s="231"/>
      <c r="AT114" s="232"/>
      <c r="AU114" s="233"/>
      <c r="AV114" s="234"/>
      <c r="AW114" s="230"/>
      <c r="AX114" s="230"/>
      <c r="AY114" s="231"/>
      <c r="AZ114" s="231"/>
      <c r="BA114" s="232"/>
      <c r="BB114" s="216" t="s">
        <v>39</v>
      </c>
    </row>
    <row r="115" spans="1:54">
      <c r="A115" s="119"/>
      <c r="B115" s="123"/>
      <c r="C115" s="217"/>
      <c r="D115" s="218"/>
      <c r="E115" s="228"/>
      <c r="F115" s="229"/>
      <c r="G115" s="230"/>
      <c r="H115" s="230"/>
      <c r="I115" s="231"/>
      <c r="J115" s="231"/>
      <c r="K115" s="232"/>
      <c r="L115" s="228"/>
      <c r="M115" s="229"/>
      <c r="N115" s="230"/>
      <c r="O115" s="230"/>
      <c r="P115" s="231"/>
      <c r="Q115" s="231"/>
      <c r="R115" s="232"/>
      <c r="S115" s="233"/>
      <c r="T115" s="234"/>
      <c r="U115" s="230"/>
      <c r="V115" s="230"/>
      <c r="W115" s="231"/>
      <c r="X115" s="231"/>
      <c r="Y115" s="232"/>
      <c r="Z115" s="233"/>
      <c r="AA115" s="234"/>
      <c r="AB115" s="230"/>
      <c r="AC115" s="230"/>
      <c r="AD115" s="231"/>
      <c r="AE115" s="231"/>
      <c r="AF115" s="232"/>
      <c r="AG115" s="233"/>
      <c r="AH115" s="234"/>
      <c r="AI115" s="230"/>
      <c r="AJ115" s="230"/>
      <c r="AK115" s="231"/>
      <c r="AL115" s="231"/>
      <c r="AM115" s="232"/>
      <c r="AN115" s="233"/>
      <c r="AO115" s="234"/>
      <c r="AP115" s="230"/>
      <c r="AQ115" s="230"/>
      <c r="AR115" s="231"/>
      <c r="AS115" s="231"/>
      <c r="AT115" s="232"/>
      <c r="AU115" s="233"/>
      <c r="AV115" s="234"/>
      <c r="AW115" s="230"/>
      <c r="AX115" s="230"/>
      <c r="AY115" s="231"/>
      <c r="AZ115" s="231"/>
      <c r="BA115" s="232"/>
      <c r="BB115" s="216" t="s">
        <v>39</v>
      </c>
    </row>
    <row r="116" spans="1:54">
      <c r="A116" s="119"/>
      <c r="B116" s="123"/>
      <c r="C116" s="217"/>
      <c r="D116" s="218"/>
      <c r="E116" s="228"/>
      <c r="F116" s="229"/>
      <c r="G116" s="230"/>
      <c r="H116" s="230"/>
      <c r="I116" s="231"/>
      <c r="J116" s="231"/>
      <c r="K116" s="232"/>
      <c r="L116" s="228"/>
      <c r="M116" s="229"/>
      <c r="N116" s="230"/>
      <c r="O116" s="230"/>
      <c r="P116" s="231"/>
      <c r="Q116" s="231"/>
      <c r="R116" s="232"/>
      <c r="S116" s="233"/>
      <c r="T116" s="234"/>
      <c r="U116" s="230"/>
      <c r="V116" s="230"/>
      <c r="W116" s="231"/>
      <c r="X116" s="231"/>
      <c r="Y116" s="232"/>
      <c r="Z116" s="233"/>
      <c r="AA116" s="234"/>
      <c r="AB116" s="230"/>
      <c r="AC116" s="230"/>
      <c r="AD116" s="231"/>
      <c r="AE116" s="231"/>
      <c r="AF116" s="232"/>
      <c r="AG116" s="233"/>
      <c r="AH116" s="234"/>
      <c r="AI116" s="230"/>
      <c r="AJ116" s="230"/>
      <c r="AK116" s="231"/>
      <c r="AL116" s="231"/>
      <c r="AM116" s="232"/>
      <c r="AN116" s="233"/>
      <c r="AO116" s="234"/>
      <c r="AP116" s="230"/>
      <c r="AQ116" s="230"/>
      <c r="AR116" s="231"/>
      <c r="AS116" s="231"/>
      <c r="AT116" s="232"/>
      <c r="AU116" s="233"/>
      <c r="AV116" s="234"/>
      <c r="AW116" s="230"/>
      <c r="AX116" s="230"/>
      <c r="AY116" s="231"/>
      <c r="AZ116" s="231"/>
      <c r="BA116" s="232"/>
      <c r="BB116" s="216" t="s">
        <v>39</v>
      </c>
    </row>
    <row r="117" spans="1:54">
      <c r="A117" s="119"/>
      <c r="B117" s="123"/>
      <c r="C117" s="217"/>
      <c r="D117" s="218"/>
      <c r="E117" s="228"/>
      <c r="F117" s="229"/>
      <c r="G117" s="230"/>
      <c r="H117" s="230"/>
      <c r="I117" s="231"/>
      <c r="J117" s="231"/>
      <c r="K117" s="232"/>
      <c r="L117" s="228"/>
      <c r="M117" s="229"/>
      <c r="N117" s="230"/>
      <c r="O117" s="230"/>
      <c r="P117" s="231"/>
      <c r="Q117" s="231"/>
      <c r="R117" s="232"/>
      <c r="S117" s="233"/>
      <c r="T117" s="234"/>
      <c r="U117" s="230"/>
      <c r="V117" s="230"/>
      <c r="W117" s="231"/>
      <c r="X117" s="231"/>
      <c r="Y117" s="232"/>
      <c r="Z117" s="233"/>
      <c r="AA117" s="234"/>
      <c r="AB117" s="230"/>
      <c r="AC117" s="230"/>
      <c r="AD117" s="231"/>
      <c r="AE117" s="231"/>
      <c r="AF117" s="232"/>
      <c r="AG117" s="233"/>
      <c r="AH117" s="234"/>
      <c r="AI117" s="230"/>
      <c r="AJ117" s="230"/>
      <c r="AK117" s="231"/>
      <c r="AL117" s="231"/>
      <c r="AM117" s="232"/>
      <c r="AN117" s="233"/>
      <c r="AO117" s="234"/>
      <c r="AP117" s="230"/>
      <c r="AQ117" s="230"/>
      <c r="AR117" s="231"/>
      <c r="AS117" s="231"/>
      <c r="AT117" s="232"/>
      <c r="AU117" s="233"/>
      <c r="AV117" s="234"/>
      <c r="AW117" s="230"/>
      <c r="AX117" s="230"/>
      <c r="AY117" s="231"/>
      <c r="AZ117" s="231"/>
      <c r="BA117" s="232"/>
      <c r="BB117" s="216" t="s">
        <v>39</v>
      </c>
    </row>
    <row r="118" spans="1:54">
      <c r="A118" s="119"/>
      <c r="B118" s="123"/>
      <c r="C118" s="217"/>
      <c r="D118" s="218"/>
      <c r="E118" s="228"/>
      <c r="F118" s="229"/>
      <c r="G118" s="230"/>
      <c r="H118" s="230"/>
      <c r="I118" s="231"/>
      <c r="J118" s="231"/>
      <c r="K118" s="232"/>
      <c r="L118" s="228"/>
      <c r="M118" s="229"/>
      <c r="N118" s="230"/>
      <c r="O118" s="230"/>
      <c r="P118" s="231"/>
      <c r="Q118" s="231"/>
      <c r="R118" s="232"/>
      <c r="S118" s="233"/>
      <c r="T118" s="234"/>
      <c r="U118" s="230"/>
      <c r="V118" s="230"/>
      <c r="W118" s="231"/>
      <c r="X118" s="231"/>
      <c r="Y118" s="232"/>
      <c r="Z118" s="233"/>
      <c r="AA118" s="234"/>
      <c r="AB118" s="230"/>
      <c r="AC118" s="230"/>
      <c r="AD118" s="231"/>
      <c r="AE118" s="231"/>
      <c r="AF118" s="232"/>
      <c r="AG118" s="233"/>
      <c r="AH118" s="234"/>
      <c r="AI118" s="230"/>
      <c r="AJ118" s="230"/>
      <c r="AK118" s="231"/>
      <c r="AL118" s="231"/>
      <c r="AM118" s="232"/>
      <c r="AN118" s="233"/>
      <c r="AO118" s="234"/>
      <c r="AP118" s="230"/>
      <c r="AQ118" s="230"/>
      <c r="AR118" s="231"/>
      <c r="AS118" s="231"/>
      <c r="AT118" s="232"/>
      <c r="AU118" s="233"/>
      <c r="AV118" s="234"/>
      <c r="AW118" s="230"/>
      <c r="AX118" s="230"/>
      <c r="AY118" s="231"/>
      <c r="AZ118" s="231"/>
      <c r="BA118" s="232"/>
      <c r="BB118" s="216" t="s">
        <v>39</v>
      </c>
    </row>
    <row r="119" spans="1:54">
      <c r="A119" s="119"/>
      <c r="B119" s="123"/>
      <c r="C119" s="217"/>
      <c r="D119" s="218"/>
      <c r="E119" s="228"/>
      <c r="F119" s="229"/>
      <c r="G119" s="230"/>
      <c r="H119" s="230"/>
      <c r="I119" s="231"/>
      <c r="J119" s="231"/>
      <c r="K119" s="232"/>
      <c r="L119" s="228"/>
      <c r="M119" s="229"/>
      <c r="N119" s="230"/>
      <c r="O119" s="230"/>
      <c r="P119" s="231"/>
      <c r="Q119" s="231"/>
      <c r="R119" s="232"/>
      <c r="S119" s="233"/>
      <c r="T119" s="234"/>
      <c r="U119" s="230"/>
      <c r="V119" s="230"/>
      <c r="W119" s="231"/>
      <c r="X119" s="231"/>
      <c r="Y119" s="232"/>
      <c r="Z119" s="233"/>
      <c r="AA119" s="234"/>
      <c r="AB119" s="230"/>
      <c r="AC119" s="230"/>
      <c r="AD119" s="231"/>
      <c r="AE119" s="231"/>
      <c r="AF119" s="232"/>
      <c r="AG119" s="233"/>
      <c r="AH119" s="234"/>
      <c r="AI119" s="230"/>
      <c r="AJ119" s="230"/>
      <c r="AK119" s="231"/>
      <c r="AL119" s="231"/>
      <c r="AM119" s="232"/>
      <c r="AN119" s="233"/>
      <c r="AO119" s="234"/>
      <c r="AP119" s="230"/>
      <c r="AQ119" s="230"/>
      <c r="AR119" s="231"/>
      <c r="AS119" s="231"/>
      <c r="AT119" s="232"/>
      <c r="AU119" s="233"/>
      <c r="AV119" s="234"/>
      <c r="AW119" s="230"/>
      <c r="AX119" s="230"/>
      <c r="AY119" s="231"/>
      <c r="AZ119" s="231"/>
      <c r="BA119" s="232"/>
      <c r="BB119" s="216" t="s">
        <v>39</v>
      </c>
    </row>
    <row r="120" spans="1:54">
      <c r="A120" s="119"/>
      <c r="B120" s="123"/>
      <c r="C120" s="217"/>
      <c r="D120" s="218"/>
      <c r="E120" s="228"/>
      <c r="F120" s="229"/>
      <c r="G120" s="230"/>
      <c r="H120" s="230"/>
      <c r="I120" s="231"/>
      <c r="J120" s="231"/>
      <c r="K120" s="232"/>
      <c r="L120" s="228"/>
      <c r="M120" s="229"/>
      <c r="N120" s="230"/>
      <c r="O120" s="230"/>
      <c r="P120" s="231"/>
      <c r="Q120" s="231"/>
      <c r="R120" s="232"/>
      <c r="S120" s="233"/>
      <c r="T120" s="234"/>
      <c r="U120" s="230"/>
      <c r="V120" s="230"/>
      <c r="W120" s="231"/>
      <c r="X120" s="231"/>
      <c r="Y120" s="232"/>
      <c r="Z120" s="233"/>
      <c r="AA120" s="234"/>
      <c r="AB120" s="230"/>
      <c r="AC120" s="230"/>
      <c r="AD120" s="231"/>
      <c r="AE120" s="231"/>
      <c r="AF120" s="232"/>
      <c r="AG120" s="233"/>
      <c r="AH120" s="234"/>
      <c r="AI120" s="230"/>
      <c r="AJ120" s="230"/>
      <c r="AK120" s="231"/>
      <c r="AL120" s="231"/>
      <c r="AM120" s="232"/>
      <c r="AN120" s="233"/>
      <c r="AO120" s="234"/>
      <c r="AP120" s="230"/>
      <c r="AQ120" s="230"/>
      <c r="AR120" s="231"/>
      <c r="AS120" s="231"/>
      <c r="AT120" s="232"/>
      <c r="AU120" s="233"/>
      <c r="AV120" s="234"/>
      <c r="AW120" s="230"/>
      <c r="AX120" s="230"/>
      <c r="AY120" s="231"/>
      <c r="AZ120" s="231"/>
      <c r="BA120" s="232"/>
      <c r="BB120" s="216" t="s">
        <v>39</v>
      </c>
    </row>
    <row r="121" spans="1:54">
      <c r="A121" s="119"/>
      <c r="B121" s="123"/>
      <c r="C121" s="217"/>
      <c r="D121" s="218"/>
      <c r="E121" s="228"/>
      <c r="F121" s="229"/>
      <c r="G121" s="230"/>
      <c r="H121" s="230"/>
      <c r="I121" s="231"/>
      <c r="J121" s="231"/>
      <c r="K121" s="232"/>
      <c r="L121" s="228"/>
      <c r="M121" s="229"/>
      <c r="N121" s="230"/>
      <c r="O121" s="230"/>
      <c r="P121" s="231"/>
      <c r="Q121" s="231"/>
      <c r="R121" s="232"/>
      <c r="S121" s="233"/>
      <c r="T121" s="234"/>
      <c r="U121" s="230"/>
      <c r="V121" s="230"/>
      <c r="W121" s="231"/>
      <c r="X121" s="231"/>
      <c r="Y121" s="232"/>
      <c r="Z121" s="233"/>
      <c r="AA121" s="234"/>
      <c r="AB121" s="230"/>
      <c r="AC121" s="230"/>
      <c r="AD121" s="231"/>
      <c r="AE121" s="231"/>
      <c r="AF121" s="232"/>
      <c r="AG121" s="233"/>
      <c r="AH121" s="234"/>
      <c r="AI121" s="230"/>
      <c r="AJ121" s="230"/>
      <c r="AK121" s="231"/>
      <c r="AL121" s="231"/>
      <c r="AM121" s="232"/>
      <c r="AN121" s="233"/>
      <c r="AO121" s="234"/>
      <c r="AP121" s="230"/>
      <c r="AQ121" s="230"/>
      <c r="AR121" s="231"/>
      <c r="AS121" s="231"/>
      <c r="AT121" s="232"/>
      <c r="AU121" s="233"/>
      <c r="AV121" s="234"/>
      <c r="AW121" s="230"/>
      <c r="AX121" s="230"/>
      <c r="AY121" s="231"/>
      <c r="AZ121" s="231"/>
      <c r="BA121" s="232"/>
      <c r="BB121" s="216" t="s">
        <v>39</v>
      </c>
    </row>
    <row r="122" spans="1:54">
      <c r="A122" s="119"/>
      <c r="B122" s="123"/>
      <c r="C122" s="217"/>
      <c r="D122" s="218"/>
      <c r="E122" s="228"/>
      <c r="F122" s="229"/>
      <c r="G122" s="230"/>
      <c r="H122" s="230"/>
      <c r="I122" s="231"/>
      <c r="J122" s="231"/>
      <c r="K122" s="232"/>
      <c r="L122" s="228"/>
      <c r="M122" s="229"/>
      <c r="N122" s="230"/>
      <c r="O122" s="230"/>
      <c r="P122" s="231"/>
      <c r="Q122" s="231"/>
      <c r="R122" s="232"/>
      <c r="S122" s="233"/>
      <c r="T122" s="234"/>
      <c r="U122" s="230"/>
      <c r="V122" s="230"/>
      <c r="W122" s="231"/>
      <c r="X122" s="231"/>
      <c r="Y122" s="232"/>
      <c r="Z122" s="233"/>
      <c r="AA122" s="234"/>
      <c r="AB122" s="230"/>
      <c r="AC122" s="230"/>
      <c r="AD122" s="231"/>
      <c r="AE122" s="231"/>
      <c r="AF122" s="232"/>
      <c r="AG122" s="233"/>
      <c r="AH122" s="234"/>
      <c r="AI122" s="230"/>
      <c r="AJ122" s="230"/>
      <c r="AK122" s="231"/>
      <c r="AL122" s="231"/>
      <c r="AM122" s="232"/>
      <c r="AN122" s="233"/>
      <c r="AO122" s="234"/>
      <c r="AP122" s="230"/>
      <c r="AQ122" s="230"/>
      <c r="AR122" s="231"/>
      <c r="AS122" s="231"/>
      <c r="AT122" s="232"/>
      <c r="AU122" s="233"/>
      <c r="AV122" s="234"/>
      <c r="AW122" s="230"/>
      <c r="AX122" s="230"/>
      <c r="AY122" s="231"/>
      <c r="AZ122" s="231"/>
      <c r="BA122" s="232"/>
      <c r="BB122" s="216" t="s">
        <v>39</v>
      </c>
    </row>
    <row r="123" spans="1:54">
      <c r="A123" s="119"/>
      <c r="B123" s="123"/>
      <c r="C123" s="217"/>
      <c r="D123" s="218"/>
      <c r="E123" s="228"/>
      <c r="F123" s="229"/>
      <c r="G123" s="230"/>
      <c r="H123" s="230"/>
      <c r="I123" s="231"/>
      <c r="J123" s="231"/>
      <c r="K123" s="232"/>
      <c r="L123" s="228"/>
      <c r="M123" s="229"/>
      <c r="N123" s="230"/>
      <c r="O123" s="230"/>
      <c r="P123" s="231"/>
      <c r="Q123" s="231"/>
      <c r="R123" s="232"/>
      <c r="S123" s="233"/>
      <c r="T123" s="234"/>
      <c r="U123" s="230"/>
      <c r="V123" s="230"/>
      <c r="W123" s="231"/>
      <c r="X123" s="231"/>
      <c r="Y123" s="232"/>
      <c r="Z123" s="233"/>
      <c r="AA123" s="234"/>
      <c r="AB123" s="230"/>
      <c r="AC123" s="230"/>
      <c r="AD123" s="231"/>
      <c r="AE123" s="231"/>
      <c r="AF123" s="232"/>
      <c r="AG123" s="233"/>
      <c r="AH123" s="234"/>
      <c r="AI123" s="230"/>
      <c r="AJ123" s="230"/>
      <c r="AK123" s="231"/>
      <c r="AL123" s="231"/>
      <c r="AM123" s="232"/>
      <c r="AN123" s="233"/>
      <c r="AO123" s="234"/>
      <c r="AP123" s="230"/>
      <c r="AQ123" s="230"/>
      <c r="AR123" s="231"/>
      <c r="AS123" s="231"/>
      <c r="AT123" s="232"/>
      <c r="AU123" s="233"/>
      <c r="AV123" s="234"/>
      <c r="AW123" s="230"/>
      <c r="AX123" s="230"/>
      <c r="AY123" s="231"/>
      <c r="AZ123" s="231"/>
      <c r="BA123" s="232"/>
      <c r="BB123" s="216" t="s">
        <v>39</v>
      </c>
    </row>
    <row r="124" spans="1:54">
      <c r="A124" s="119"/>
      <c r="B124" s="123"/>
      <c r="C124" s="217"/>
      <c r="D124" s="218"/>
      <c r="E124" s="228"/>
      <c r="F124" s="229"/>
      <c r="G124" s="230"/>
      <c r="H124" s="230"/>
      <c r="I124" s="231"/>
      <c r="J124" s="231"/>
      <c r="K124" s="232"/>
      <c r="L124" s="228"/>
      <c r="M124" s="229"/>
      <c r="N124" s="230"/>
      <c r="O124" s="230"/>
      <c r="P124" s="231"/>
      <c r="Q124" s="231"/>
      <c r="R124" s="232"/>
      <c r="S124" s="233"/>
      <c r="T124" s="234"/>
      <c r="U124" s="230"/>
      <c r="V124" s="230"/>
      <c r="W124" s="231"/>
      <c r="X124" s="231"/>
      <c r="Y124" s="232"/>
      <c r="Z124" s="233"/>
      <c r="AA124" s="234"/>
      <c r="AB124" s="230"/>
      <c r="AC124" s="230"/>
      <c r="AD124" s="231"/>
      <c r="AE124" s="231"/>
      <c r="AF124" s="232"/>
      <c r="AG124" s="233"/>
      <c r="AH124" s="234"/>
      <c r="AI124" s="230"/>
      <c r="AJ124" s="230"/>
      <c r="AK124" s="231"/>
      <c r="AL124" s="231"/>
      <c r="AM124" s="232"/>
      <c r="AN124" s="233"/>
      <c r="AO124" s="234"/>
      <c r="AP124" s="230"/>
      <c r="AQ124" s="230"/>
      <c r="AR124" s="231"/>
      <c r="AS124" s="231"/>
      <c r="AT124" s="232"/>
      <c r="AU124" s="233"/>
      <c r="AV124" s="234"/>
      <c r="AW124" s="230"/>
      <c r="AX124" s="230"/>
      <c r="AY124" s="231"/>
      <c r="AZ124" s="231"/>
      <c r="BA124" s="232"/>
      <c r="BB124" s="216" t="s">
        <v>39</v>
      </c>
    </row>
    <row r="125" spans="1:54">
      <c r="A125" s="119"/>
      <c r="B125" s="123"/>
      <c r="C125" s="217"/>
      <c r="D125" s="218"/>
      <c r="E125" s="228"/>
      <c r="F125" s="229"/>
      <c r="G125" s="230"/>
      <c r="H125" s="230"/>
      <c r="I125" s="231"/>
      <c r="J125" s="231"/>
      <c r="K125" s="232"/>
      <c r="L125" s="228"/>
      <c r="M125" s="229"/>
      <c r="N125" s="230"/>
      <c r="O125" s="230"/>
      <c r="P125" s="231"/>
      <c r="Q125" s="231"/>
      <c r="R125" s="232"/>
      <c r="S125" s="233"/>
      <c r="T125" s="234"/>
      <c r="U125" s="230"/>
      <c r="V125" s="230"/>
      <c r="W125" s="231"/>
      <c r="X125" s="231"/>
      <c r="Y125" s="232"/>
      <c r="Z125" s="233"/>
      <c r="AA125" s="234"/>
      <c r="AB125" s="230"/>
      <c r="AC125" s="230"/>
      <c r="AD125" s="231"/>
      <c r="AE125" s="231"/>
      <c r="AF125" s="232"/>
      <c r="AG125" s="233"/>
      <c r="AH125" s="234"/>
      <c r="AI125" s="230"/>
      <c r="AJ125" s="230"/>
      <c r="AK125" s="231"/>
      <c r="AL125" s="231"/>
      <c r="AM125" s="232"/>
      <c r="AN125" s="233"/>
      <c r="AO125" s="234"/>
      <c r="AP125" s="230"/>
      <c r="AQ125" s="230"/>
      <c r="AR125" s="231"/>
      <c r="AS125" s="231"/>
      <c r="AT125" s="232"/>
      <c r="AU125" s="233"/>
      <c r="AV125" s="234"/>
      <c r="AW125" s="230"/>
      <c r="AX125" s="230"/>
      <c r="AY125" s="231"/>
      <c r="AZ125" s="231"/>
      <c r="BA125" s="232"/>
      <c r="BB125" s="216" t="s">
        <v>39</v>
      </c>
    </row>
    <row r="126" spans="1:54">
      <c r="A126" s="119"/>
      <c r="B126" s="123"/>
      <c r="C126" s="217"/>
      <c r="D126" s="218"/>
      <c r="E126" s="228"/>
      <c r="F126" s="229"/>
      <c r="G126" s="230"/>
      <c r="H126" s="230"/>
      <c r="I126" s="231"/>
      <c r="J126" s="231"/>
      <c r="K126" s="232"/>
      <c r="L126" s="228"/>
      <c r="M126" s="229"/>
      <c r="N126" s="230"/>
      <c r="O126" s="230"/>
      <c r="P126" s="231"/>
      <c r="Q126" s="231"/>
      <c r="R126" s="232"/>
      <c r="S126" s="233"/>
      <c r="T126" s="234"/>
      <c r="U126" s="230"/>
      <c r="V126" s="230"/>
      <c r="W126" s="231"/>
      <c r="X126" s="231"/>
      <c r="Y126" s="232"/>
      <c r="Z126" s="233"/>
      <c r="AA126" s="234"/>
      <c r="AB126" s="230"/>
      <c r="AC126" s="230"/>
      <c r="AD126" s="231"/>
      <c r="AE126" s="231"/>
      <c r="AF126" s="232"/>
      <c r="AG126" s="233"/>
      <c r="AH126" s="234"/>
      <c r="AI126" s="230"/>
      <c r="AJ126" s="230"/>
      <c r="AK126" s="231"/>
      <c r="AL126" s="231"/>
      <c r="AM126" s="232"/>
      <c r="AN126" s="233"/>
      <c r="AO126" s="234"/>
      <c r="AP126" s="230"/>
      <c r="AQ126" s="230"/>
      <c r="AR126" s="231"/>
      <c r="AS126" s="231"/>
      <c r="AT126" s="232"/>
      <c r="AU126" s="233"/>
      <c r="AV126" s="234"/>
      <c r="AW126" s="230"/>
      <c r="AX126" s="230"/>
      <c r="AY126" s="231"/>
      <c r="AZ126" s="231"/>
      <c r="BA126" s="232"/>
      <c r="BB126" s="216" t="s">
        <v>39</v>
      </c>
    </row>
    <row r="127" spans="1:54">
      <c r="A127" s="119"/>
      <c r="B127" s="123"/>
      <c r="C127" s="217"/>
      <c r="D127" s="218"/>
      <c r="E127" s="228"/>
      <c r="F127" s="229"/>
      <c r="G127" s="230"/>
      <c r="H127" s="230"/>
      <c r="I127" s="231"/>
      <c r="J127" s="231"/>
      <c r="K127" s="232"/>
      <c r="L127" s="228"/>
      <c r="M127" s="229"/>
      <c r="N127" s="230"/>
      <c r="O127" s="230"/>
      <c r="P127" s="231"/>
      <c r="Q127" s="231"/>
      <c r="R127" s="232"/>
      <c r="S127" s="233"/>
      <c r="T127" s="234"/>
      <c r="U127" s="230"/>
      <c r="V127" s="230"/>
      <c r="W127" s="231"/>
      <c r="X127" s="231"/>
      <c r="Y127" s="232"/>
      <c r="Z127" s="233"/>
      <c r="AA127" s="234"/>
      <c r="AB127" s="230"/>
      <c r="AC127" s="230"/>
      <c r="AD127" s="231"/>
      <c r="AE127" s="231"/>
      <c r="AF127" s="232"/>
      <c r="AG127" s="233"/>
      <c r="AH127" s="234"/>
      <c r="AI127" s="230"/>
      <c r="AJ127" s="230"/>
      <c r="AK127" s="231"/>
      <c r="AL127" s="231"/>
      <c r="AM127" s="232"/>
      <c r="AN127" s="233"/>
      <c r="AO127" s="234"/>
      <c r="AP127" s="230"/>
      <c r="AQ127" s="230"/>
      <c r="AR127" s="231"/>
      <c r="AS127" s="231"/>
      <c r="AT127" s="232"/>
      <c r="AU127" s="233"/>
      <c r="AV127" s="234"/>
      <c r="AW127" s="230"/>
      <c r="AX127" s="230"/>
      <c r="AY127" s="231"/>
      <c r="AZ127" s="231"/>
      <c r="BA127" s="232"/>
      <c r="BB127" s="216" t="s">
        <v>39</v>
      </c>
    </row>
    <row r="128" spans="1:54">
      <c r="A128" s="119"/>
      <c r="B128" s="123"/>
      <c r="C128" s="217"/>
      <c r="D128" s="218"/>
      <c r="E128" s="228"/>
      <c r="F128" s="229"/>
      <c r="G128" s="230"/>
      <c r="H128" s="230"/>
      <c r="I128" s="231"/>
      <c r="J128" s="231"/>
      <c r="K128" s="232"/>
      <c r="L128" s="228"/>
      <c r="M128" s="229"/>
      <c r="N128" s="230"/>
      <c r="O128" s="230"/>
      <c r="P128" s="231"/>
      <c r="Q128" s="231"/>
      <c r="R128" s="232"/>
      <c r="S128" s="233"/>
      <c r="T128" s="234"/>
      <c r="U128" s="230"/>
      <c r="V128" s="230"/>
      <c r="W128" s="231"/>
      <c r="X128" s="231"/>
      <c r="Y128" s="232"/>
      <c r="Z128" s="233"/>
      <c r="AA128" s="234"/>
      <c r="AB128" s="230"/>
      <c r="AC128" s="230"/>
      <c r="AD128" s="231"/>
      <c r="AE128" s="231"/>
      <c r="AF128" s="232"/>
      <c r="AG128" s="233"/>
      <c r="AH128" s="234"/>
      <c r="AI128" s="230"/>
      <c r="AJ128" s="230"/>
      <c r="AK128" s="231"/>
      <c r="AL128" s="231"/>
      <c r="AM128" s="232"/>
      <c r="AN128" s="233"/>
      <c r="AO128" s="234"/>
      <c r="AP128" s="230"/>
      <c r="AQ128" s="230"/>
      <c r="AR128" s="231"/>
      <c r="AS128" s="231"/>
      <c r="AT128" s="232"/>
      <c r="AU128" s="233"/>
      <c r="AV128" s="234"/>
      <c r="AW128" s="230"/>
      <c r="AX128" s="230"/>
      <c r="AY128" s="231"/>
      <c r="AZ128" s="231"/>
      <c r="BA128" s="232"/>
      <c r="BB128" s="216" t="s">
        <v>39</v>
      </c>
    </row>
    <row r="129" spans="1:54">
      <c r="A129" s="119"/>
      <c r="B129" s="123"/>
      <c r="C129" s="217"/>
      <c r="D129" s="218"/>
      <c r="E129" s="228"/>
      <c r="F129" s="229"/>
      <c r="G129" s="230"/>
      <c r="H129" s="230"/>
      <c r="I129" s="231"/>
      <c r="J129" s="231"/>
      <c r="K129" s="232"/>
      <c r="L129" s="228"/>
      <c r="M129" s="229"/>
      <c r="N129" s="230"/>
      <c r="O129" s="230"/>
      <c r="P129" s="231"/>
      <c r="Q129" s="231"/>
      <c r="R129" s="232"/>
      <c r="S129" s="233"/>
      <c r="T129" s="234"/>
      <c r="U129" s="230"/>
      <c r="V129" s="230"/>
      <c r="W129" s="231"/>
      <c r="X129" s="231"/>
      <c r="Y129" s="232"/>
      <c r="Z129" s="233"/>
      <c r="AA129" s="234"/>
      <c r="AB129" s="230"/>
      <c r="AC129" s="230"/>
      <c r="AD129" s="231"/>
      <c r="AE129" s="231"/>
      <c r="AF129" s="232"/>
      <c r="AG129" s="233"/>
      <c r="AH129" s="234"/>
      <c r="AI129" s="230"/>
      <c r="AJ129" s="230"/>
      <c r="AK129" s="231"/>
      <c r="AL129" s="231"/>
      <c r="AM129" s="232"/>
      <c r="AN129" s="233"/>
      <c r="AO129" s="234"/>
      <c r="AP129" s="230"/>
      <c r="AQ129" s="230"/>
      <c r="AR129" s="231"/>
      <c r="AS129" s="231"/>
      <c r="AT129" s="232"/>
      <c r="AU129" s="233"/>
      <c r="AV129" s="234"/>
      <c r="AW129" s="230"/>
      <c r="AX129" s="230"/>
      <c r="AY129" s="231"/>
      <c r="AZ129" s="231"/>
      <c r="BA129" s="232"/>
      <c r="BB129" s="216" t="s">
        <v>39</v>
      </c>
    </row>
    <row r="130" spans="1:54">
      <c r="A130" s="119"/>
      <c r="B130" s="123"/>
      <c r="C130" s="217"/>
      <c r="D130" s="218"/>
      <c r="E130" s="228"/>
      <c r="F130" s="229"/>
      <c r="G130" s="230"/>
      <c r="H130" s="230"/>
      <c r="I130" s="231"/>
      <c r="J130" s="231"/>
      <c r="K130" s="232"/>
      <c r="L130" s="228"/>
      <c r="M130" s="229"/>
      <c r="N130" s="230"/>
      <c r="O130" s="230"/>
      <c r="P130" s="231"/>
      <c r="Q130" s="231"/>
      <c r="R130" s="232"/>
      <c r="S130" s="233"/>
      <c r="T130" s="234"/>
      <c r="U130" s="230"/>
      <c r="V130" s="230"/>
      <c r="W130" s="231"/>
      <c r="X130" s="231"/>
      <c r="Y130" s="232"/>
      <c r="Z130" s="233"/>
      <c r="AA130" s="234"/>
      <c r="AB130" s="230"/>
      <c r="AC130" s="230"/>
      <c r="AD130" s="231"/>
      <c r="AE130" s="231"/>
      <c r="AF130" s="232"/>
      <c r="AG130" s="233"/>
      <c r="AH130" s="234"/>
      <c r="AI130" s="230"/>
      <c r="AJ130" s="230"/>
      <c r="AK130" s="231"/>
      <c r="AL130" s="231"/>
      <c r="AM130" s="232"/>
      <c r="AN130" s="233"/>
      <c r="AO130" s="234"/>
      <c r="AP130" s="230"/>
      <c r="AQ130" s="230"/>
      <c r="AR130" s="231"/>
      <c r="AS130" s="231"/>
      <c r="AT130" s="232"/>
      <c r="AU130" s="233"/>
      <c r="AV130" s="234"/>
      <c r="AW130" s="230"/>
      <c r="AX130" s="230"/>
      <c r="AY130" s="231"/>
      <c r="AZ130" s="231"/>
      <c r="BA130" s="232"/>
      <c r="BB130" s="216" t="s">
        <v>39</v>
      </c>
    </row>
    <row r="131" spans="1:54">
      <c r="A131" s="119"/>
      <c r="B131" s="123"/>
      <c r="C131" s="217"/>
      <c r="D131" s="218"/>
      <c r="E131" s="228"/>
      <c r="F131" s="229"/>
      <c r="G131" s="230"/>
      <c r="H131" s="230"/>
      <c r="I131" s="231"/>
      <c r="J131" s="231"/>
      <c r="K131" s="232"/>
      <c r="L131" s="228"/>
      <c r="M131" s="229"/>
      <c r="N131" s="230"/>
      <c r="O131" s="230"/>
      <c r="P131" s="231"/>
      <c r="Q131" s="231"/>
      <c r="R131" s="232"/>
      <c r="S131" s="233"/>
      <c r="T131" s="234"/>
      <c r="U131" s="230"/>
      <c r="V131" s="230"/>
      <c r="W131" s="231"/>
      <c r="X131" s="231"/>
      <c r="Y131" s="232"/>
      <c r="Z131" s="233"/>
      <c r="AA131" s="234"/>
      <c r="AB131" s="230"/>
      <c r="AC131" s="230"/>
      <c r="AD131" s="231"/>
      <c r="AE131" s="231"/>
      <c r="AF131" s="232"/>
      <c r="AG131" s="233"/>
      <c r="AH131" s="234"/>
      <c r="AI131" s="230"/>
      <c r="AJ131" s="230"/>
      <c r="AK131" s="231"/>
      <c r="AL131" s="231"/>
      <c r="AM131" s="232"/>
      <c r="AN131" s="233"/>
      <c r="AO131" s="234"/>
      <c r="AP131" s="230"/>
      <c r="AQ131" s="230"/>
      <c r="AR131" s="231"/>
      <c r="AS131" s="231"/>
      <c r="AT131" s="232"/>
      <c r="AU131" s="233"/>
      <c r="AV131" s="234"/>
      <c r="AW131" s="230"/>
      <c r="AX131" s="230"/>
      <c r="AY131" s="231"/>
      <c r="AZ131" s="231"/>
      <c r="BA131" s="232"/>
      <c r="BB131" s="216" t="s">
        <v>39</v>
      </c>
    </row>
    <row r="132" spans="1:54">
      <c r="A132" s="119"/>
      <c r="B132" s="123"/>
      <c r="C132" s="217"/>
      <c r="D132" s="218"/>
      <c r="E132" s="228"/>
      <c r="F132" s="229"/>
      <c r="G132" s="230"/>
      <c r="H132" s="230"/>
      <c r="I132" s="231"/>
      <c r="J132" s="231"/>
      <c r="K132" s="232"/>
      <c r="L132" s="228"/>
      <c r="M132" s="229"/>
      <c r="N132" s="230"/>
      <c r="O132" s="230"/>
      <c r="P132" s="231"/>
      <c r="Q132" s="231"/>
      <c r="R132" s="232"/>
      <c r="S132" s="233"/>
      <c r="T132" s="234"/>
      <c r="U132" s="230"/>
      <c r="V132" s="230"/>
      <c r="W132" s="231"/>
      <c r="X132" s="231"/>
      <c r="Y132" s="232"/>
      <c r="Z132" s="233"/>
      <c r="AA132" s="234"/>
      <c r="AB132" s="230"/>
      <c r="AC132" s="230"/>
      <c r="AD132" s="231"/>
      <c r="AE132" s="231"/>
      <c r="AF132" s="232"/>
      <c r="AG132" s="233"/>
      <c r="AH132" s="234"/>
      <c r="AI132" s="230"/>
      <c r="AJ132" s="230"/>
      <c r="AK132" s="231"/>
      <c r="AL132" s="231"/>
      <c r="AM132" s="232"/>
      <c r="AN132" s="233"/>
      <c r="AO132" s="234"/>
      <c r="AP132" s="230"/>
      <c r="AQ132" s="230"/>
      <c r="AR132" s="231"/>
      <c r="AS132" s="231"/>
      <c r="AT132" s="232"/>
      <c r="AU132" s="233"/>
      <c r="AV132" s="234"/>
      <c r="AW132" s="230"/>
      <c r="AX132" s="230"/>
      <c r="AY132" s="231"/>
      <c r="AZ132" s="231"/>
      <c r="BA132" s="232"/>
      <c r="BB132" s="216" t="s">
        <v>39</v>
      </c>
    </row>
    <row r="133" spans="1:54">
      <c r="A133" s="119"/>
      <c r="B133" s="123"/>
      <c r="C133" s="217"/>
      <c r="D133" s="218"/>
      <c r="E133" s="228"/>
      <c r="F133" s="229"/>
      <c r="G133" s="230"/>
      <c r="H133" s="230"/>
      <c r="I133" s="231"/>
      <c r="J133" s="231"/>
      <c r="K133" s="232"/>
      <c r="L133" s="228"/>
      <c r="M133" s="229"/>
      <c r="N133" s="230"/>
      <c r="O133" s="230"/>
      <c r="P133" s="231"/>
      <c r="Q133" s="231"/>
      <c r="R133" s="232"/>
      <c r="S133" s="233"/>
      <c r="T133" s="234"/>
      <c r="U133" s="230"/>
      <c r="V133" s="230"/>
      <c r="W133" s="231"/>
      <c r="X133" s="231"/>
      <c r="Y133" s="232"/>
      <c r="Z133" s="233"/>
      <c r="AA133" s="234"/>
      <c r="AB133" s="230"/>
      <c r="AC133" s="230"/>
      <c r="AD133" s="231"/>
      <c r="AE133" s="231"/>
      <c r="AF133" s="232"/>
      <c r="AG133" s="233"/>
      <c r="AH133" s="234"/>
      <c r="AI133" s="230"/>
      <c r="AJ133" s="230"/>
      <c r="AK133" s="231"/>
      <c r="AL133" s="231"/>
      <c r="AM133" s="232"/>
      <c r="AN133" s="233"/>
      <c r="AO133" s="234"/>
      <c r="AP133" s="230"/>
      <c r="AQ133" s="230"/>
      <c r="AR133" s="231"/>
      <c r="AS133" s="231"/>
      <c r="AT133" s="232"/>
      <c r="AU133" s="233"/>
      <c r="AV133" s="234"/>
      <c r="AW133" s="230"/>
      <c r="AX133" s="230"/>
      <c r="AY133" s="231"/>
      <c r="AZ133" s="231"/>
      <c r="BA133" s="232"/>
      <c r="BB133" s="216" t="s">
        <v>39</v>
      </c>
    </row>
    <row r="134" spans="1:54">
      <c r="A134" s="119"/>
      <c r="B134" s="123"/>
      <c r="C134" s="217"/>
      <c r="D134" s="218"/>
      <c r="E134" s="228"/>
      <c r="F134" s="229"/>
      <c r="G134" s="230"/>
      <c r="H134" s="230"/>
      <c r="I134" s="231"/>
      <c r="J134" s="231"/>
      <c r="K134" s="232"/>
      <c r="L134" s="228"/>
      <c r="M134" s="229"/>
      <c r="N134" s="230"/>
      <c r="O134" s="230"/>
      <c r="P134" s="231"/>
      <c r="Q134" s="231"/>
      <c r="R134" s="232"/>
      <c r="S134" s="233"/>
      <c r="T134" s="234"/>
      <c r="U134" s="230"/>
      <c r="V134" s="230"/>
      <c r="W134" s="231"/>
      <c r="X134" s="231"/>
      <c r="Y134" s="232"/>
      <c r="Z134" s="233"/>
      <c r="AA134" s="234"/>
      <c r="AB134" s="230"/>
      <c r="AC134" s="230"/>
      <c r="AD134" s="231"/>
      <c r="AE134" s="231"/>
      <c r="AF134" s="232"/>
      <c r="AG134" s="233"/>
      <c r="AH134" s="234"/>
      <c r="AI134" s="230"/>
      <c r="AJ134" s="230"/>
      <c r="AK134" s="231"/>
      <c r="AL134" s="231"/>
      <c r="AM134" s="232"/>
      <c r="AN134" s="233"/>
      <c r="AO134" s="234"/>
      <c r="AP134" s="230"/>
      <c r="AQ134" s="230"/>
      <c r="AR134" s="231"/>
      <c r="AS134" s="231"/>
      <c r="AT134" s="232"/>
      <c r="AU134" s="233"/>
      <c r="AV134" s="234"/>
      <c r="AW134" s="230"/>
      <c r="AX134" s="230"/>
      <c r="AY134" s="231"/>
      <c r="AZ134" s="231"/>
      <c r="BA134" s="232"/>
      <c r="BB134" s="216" t="s">
        <v>39</v>
      </c>
    </row>
    <row r="135" spans="1:54">
      <c r="A135" s="119"/>
      <c r="B135" s="123"/>
      <c r="C135" s="217"/>
      <c r="D135" s="218"/>
      <c r="E135" s="228"/>
      <c r="F135" s="229"/>
      <c r="G135" s="230"/>
      <c r="H135" s="230"/>
      <c r="I135" s="231"/>
      <c r="J135" s="231"/>
      <c r="K135" s="232"/>
      <c r="L135" s="228"/>
      <c r="M135" s="229"/>
      <c r="N135" s="230"/>
      <c r="O135" s="230"/>
      <c r="P135" s="231"/>
      <c r="Q135" s="231"/>
      <c r="R135" s="232"/>
      <c r="S135" s="233"/>
      <c r="T135" s="234"/>
      <c r="U135" s="230"/>
      <c r="V135" s="230"/>
      <c r="W135" s="231"/>
      <c r="X135" s="231"/>
      <c r="Y135" s="232"/>
      <c r="Z135" s="233"/>
      <c r="AA135" s="234"/>
      <c r="AB135" s="230"/>
      <c r="AC135" s="230"/>
      <c r="AD135" s="231"/>
      <c r="AE135" s="231"/>
      <c r="AF135" s="232"/>
      <c r="AG135" s="233"/>
      <c r="AH135" s="234"/>
      <c r="AI135" s="230"/>
      <c r="AJ135" s="230"/>
      <c r="AK135" s="231"/>
      <c r="AL135" s="231"/>
      <c r="AM135" s="232"/>
      <c r="AN135" s="233"/>
      <c r="AO135" s="234"/>
      <c r="AP135" s="230"/>
      <c r="AQ135" s="230"/>
      <c r="AR135" s="231"/>
      <c r="AS135" s="231"/>
      <c r="AT135" s="232"/>
      <c r="AU135" s="233"/>
      <c r="AV135" s="234"/>
      <c r="AW135" s="230"/>
      <c r="AX135" s="230"/>
      <c r="AY135" s="231"/>
      <c r="AZ135" s="231"/>
      <c r="BA135" s="232"/>
      <c r="BB135" s="216" t="s">
        <v>39</v>
      </c>
    </row>
    <row r="136" spans="1:54">
      <c r="A136" s="119"/>
      <c r="B136" s="123"/>
      <c r="C136" s="217"/>
      <c r="D136" s="218"/>
      <c r="E136" s="228"/>
      <c r="F136" s="229"/>
      <c r="G136" s="230"/>
      <c r="H136" s="230"/>
      <c r="I136" s="231"/>
      <c r="J136" s="231"/>
      <c r="K136" s="232"/>
      <c r="L136" s="228"/>
      <c r="M136" s="229"/>
      <c r="N136" s="230"/>
      <c r="O136" s="230"/>
      <c r="P136" s="231"/>
      <c r="Q136" s="231"/>
      <c r="R136" s="232"/>
      <c r="S136" s="233"/>
      <c r="T136" s="234"/>
      <c r="U136" s="230"/>
      <c r="V136" s="230"/>
      <c r="W136" s="231"/>
      <c r="X136" s="231"/>
      <c r="Y136" s="232"/>
      <c r="Z136" s="233"/>
      <c r="AA136" s="234"/>
      <c r="AB136" s="230"/>
      <c r="AC136" s="230"/>
      <c r="AD136" s="231"/>
      <c r="AE136" s="231"/>
      <c r="AF136" s="232"/>
      <c r="AG136" s="233"/>
      <c r="AH136" s="234"/>
      <c r="AI136" s="230"/>
      <c r="AJ136" s="230"/>
      <c r="AK136" s="231"/>
      <c r="AL136" s="231"/>
      <c r="AM136" s="232"/>
      <c r="AN136" s="233"/>
      <c r="AO136" s="234"/>
      <c r="AP136" s="230"/>
      <c r="AQ136" s="230"/>
      <c r="AR136" s="231"/>
      <c r="AS136" s="231"/>
      <c r="AT136" s="232"/>
      <c r="AU136" s="233"/>
      <c r="AV136" s="234"/>
      <c r="AW136" s="230"/>
      <c r="AX136" s="230"/>
      <c r="AY136" s="231"/>
      <c r="AZ136" s="231"/>
      <c r="BA136" s="232"/>
      <c r="BB136" s="216" t="s">
        <v>39</v>
      </c>
    </row>
    <row r="137" spans="1:54">
      <c r="A137" s="119"/>
      <c r="B137" s="123"/>
      <c r="C137" s="217"/>
      <c r="D137" s="218"/>
      <c r="E137" s="228"/>
      <c r="F137" s="229"/>
      <c r="G137" s="230"/>
      <c r="H137" s="230"/>
      <c r="I137" s="231"/>
      <c r="J137" s="231"/>
      <c r="K137" s="232"/>
      <c r="L137" s="228"/>
      <c r="M137" s="229"/>
      <c r="N137" s="230"/>
      <c r="O137" s="230"/>
      <c r="P137" s="231"/>
      <c r="Q137" s="231"/>
      <c r="R137" s="232"/>
      <c r="S137" s="233"/>
      <c r="T137" s="234"/>
      <c r="U137" s="230"/>
      <c r="V137" s="230"/>
      <c r="W137" s="231"/>
      <c r="X137" s="231"/>
      <c r="Y137" s="232"/>
      <c r="Z137" s="233"/>
      <c r="AA137" s="234"/>
      <c r="AB137" s="230"/>
      <c r="AC137" s="230"/>
      <c r="AD137" s="231"/>
      <c r="AE137" s="231"/>
      <c r="AF137" s="232"/>
      <c r="AG137" s="233"/>
      <c r="AH137" s="234"/>
      <c r="AI137" s="230"/>
      <c r="AJ137" s="230"/>
      <c r="AK137" s="231"/>
      <c r="AL137" s="231"/>
      <c r="AM137" s="232"/>
      <c r="AN137" s="233"/>
      <c r="AO137" s="234"/>
      <c r="AP137" s="230"/>
      <c r="AQ137" s="230"/>
      <c r="AR137" s="231"/>
      <c r="AS137" s="231"/>
      <c r="AT137" s="232"/>
      <c r="AU137" s="233"/>
      <c r="AV137" s="234"/>
      <c r="AW137" s="230"/>
      <c r="AX137" s="230"/>
      <c r="AY137" s="231"/>
      <c r="AZ137" s="231"/>
      <c r="BA137" s="232"/>
      <c r="BB137" s="216" t="s">
        <v>39</v>
      </c>
    </row>
    <row r="138" spans="1:54">
      <c r="A138" s="119"/>
      <c r="B138" s="123"/>
      <c r="C138" s="217"/>
      <c r="D138" s="218"/>
      <c r="E138" s="228"/>
      <c r="F138" s="229"/>
      <c r="G138" s="230"/>
      <c r="H138" s="230"/>
      <c r="I138" s="231"/>
      <c r="J138" s="231"/>
      <c r="K138" s="232"/>
      <c r="L138" s="228"/>
      <c r="M138" s="229"/>
      <c r="N138" s="230"/>
      <c r="O138" s="230"/>
      <c r="P138" s="231"/>
      <c r="Q138" s="231"/>
      <c r="R138" s="232"/>
      <c r="S138" s="233"/>
      <c r="T138" s="234"/>
      <c r="U138" s="230"/>
      <c r="V138" s="230"/>
      <c r="W138" s="231"/>
      <c r="X138" s="231"/>
      <c r="Y138" s="232"/>
      <c r="Z138" s="233"/>
      <c r="AA138" s="234"/>
      <c r="AB138" s="230"/>
      <c r="AC138" s="230"/>
      <c r="AD138" s="231"/>
      <c r="AE138" s="231"/>
      <c r="AF138" s="232"/>
      <c r="AG138" s="233"/>
      <c r="AH138" s="234"/>
      <c r="AI138" s="230"/>
      <c r="AJ138" s="230"/>
      <c r="AK138" s="231"/>
      <c r="AL138" s="231"/>
      <c r="AM138" s="232"/>
      <c r="AN138" s="233"/>
      <c r="AO138" s="234"/>
      <c r="AP138" s="230"/>
      <c r="AQ138" s="230"/>
      <c r="AR138" s="231"/>
      <c r="AS138" s="231"/>
      <c r="AT138" s="232"/>
      <c r="AU138" s="233"/>
      <c r="AV138" s="234"/>
      <c r="AW138" s="230"/>
      <c r="AX138" s="230"/>
      <c r="AY138" s="231"/>
      <c r="AZ138" s="231"/>
      <c r="BA138" s="232"/>
      <c r="BB138" s="216" t="s">
        <v>39</v>
      </c>
    </row>
    <row r="139" spans="1:54">
      <c r="A139" s="119"/>
      <c r="B139" s="123"/>
      <c r="C139" s="217"/>
      <c r="D139" s="218"/>
      <c r="E139" s="228"/>
      <c r="F139" s="229"/>
      <c r="G139" s="230"/>
      <c r="H139" s="230"/>
      <c r="I139" s="231"/>
      <c r="J139" s="231"/>
      <c r="K139" s="232"/>
      <c r="L139" s="228"/>
      <c r="M139" s="229"/>
      <c r="N139" s="230"/>
      <c r="O139" s="230"/>
      <c r="P139" s="231"/>
      <c r="Q139" s="231"/>
      <c r="R139" s="232"/>
      <c r="S139" s="233"/>
      <c r="T139" s="234"/>
      <c r="U139" s="230"/>
      <c r="V139" s="230"/>
      <c r="W139" s="231"/>
      <c r="X139" s="231"/>
      <c r="Y139" s="232"/>
      <c r="Z139" s="233"/>
      <c r="AA139" s="234"/>
      <c r="AB139" s="230"/>
      <c r="AC139" s="230"/>
      <c r="AD139" s="231"/>
      <c r="AE139" s="231"/>
      <c r="AF139" s="232"/>
      <c r="AG139" s="233"/>
      <c r="AH139" s="234"/>
      <c r="AI139" s="230"/>
      <c r="AJ139" s="230"/>
      <c r="AK139" s="231"/>
      <c r="AL139" s="231"/>
      <c r="AM139" s="232"/>
      <c r="AN139" s="233"/>
      <c r="AO139" s="234"/>
      <c r="AP139" s="230"/>
      <c r="AQ139" s="230"/>
      <c r="AR139" s="231"/>
      <c r="AS139" s="231"/>
      <c r="AT139" s="232"/>
      <c r="AU139" s="233"/>
      <c r="AV139" s="234"/>
      <c r="AW139" s="230"/>
      <c r="AX139" s="230"/>
      <c r="AY139" s="231"/>
      <c r="AZ139" s="231"/>
      <c r="BA139" s="232"/>
      <c r="BB139" s="216" t="s">
        <v>39</v>
      </c>
    </row>
    <row r="140" spans="1:54">
      <c r="A140" s="119"/>
      <c r="B140" s="123"/>
      <c r="C140" s="217"/>
      <c r="D140" s="218"/>
      <c r="E140" s="228"/>
      <c r="F140" s="229"/>
      <c r="G140" s="230"/>
      <c r="H140" s="230"/>
      <c r="I140" s="231"/>
      <c r="J140" s="231"/>
      <c r="K140" s="232"/>
      <c r="L140" s="228"/>
      <c r="M140" s="229"/>
      <c r="N140" s="230"/>
      <c r="O140" s="230"/>
      <c r="P140" s="231"/>
      <c r="Q140" s="231"/>
      <c r="R140" s="232"/>
      <c r="S140" s="233"/>
      <c r="T140" s="234"/>
      <c r="U140" s="230"/>
      <c r="V140" s="230"/>
      <c r="W140" s="231"/>
      <c r="X140" s="231"/>
      <c r="Y140" s="232"/>
      <c r="Z140" s="233"/>
      <c r="AA140" s="234"/>
      <c r="AB140" s="230"/>
      <c r="AC140" s="230"/>
      <c r="AD140" s="231"/>
      <c r="AE140" s="231"/>
      <c r="AF140" s="232"/>
      <c r="AG140" s="233"/>
      <c r="AH140" s="234"/>
      <c r="AI140" s="230"/>
      <c r="AJ140" s="230"/>
      <c r="AK140" s="231"/>
      <c r="AL140" s="231"/>
      <c r="AM140" s="232"/>
      <c r="AN140" s="233"/>
      <c r="AO140" s="234"/>
      <c r="AP140" s="230"/>
      <c r="AQ140" s="230"/>
      <c r="AR140" s="231"/>
      <c r="AS140" s="231"/>
      <c r="AT140" s="232"/>
      <c r="AU140" s="233"/>
      <c r="AV140" s="234"/>
      <c r="AW140" s="230"/>
      <c r="AX140" s="230"/>
      <c r="AY140" s="231"/>
      <c r="AZ140" s="231"/>
      <c r="BA140" s="232"/>
      <c r="BB140" s="216" t="s">
        <v>39</v>
      </c>
    </row>
    <row r="141" spans="1:54">
      <c r="A141" s="119"/>
      <c r="B141" s="123"/>
      <c r="C141" s="217"/>
      <c r="D141" s="218"/>
      <c r="E141" s="228"/>
      <c r="F141" s="229"/>
      <c r="G141" s="230"/>
      <c r="H141" s="230"/>
      <c r="I141" s="231"/>
      <c r="J141" s="231"/>
      <c r="K141" s="232"/>
      <c r="L141" s="228"/>
      <c r="M141" s="229"/>
      <c r="N141" s="230"/>
      <c r="O141" s="230"/>
      <c r="P141" s="231"/>
      <c r="Q141" s="231"/>
      <c r="R141" s="232"/>
      <c r="S141" s="233"/>
      <c r="T141" s="234"/>
      <c r="U141" s="230"/>
      <c r="V141" s="230"/>
      <c r="W141" s="231"/>
      <c r="X141" s="231"/>
      <c r="Y141" s="232"/>
      <c r="Z141" s="233"/>
      <c r="AA141" s="234"/>
      <c r="AB141" s="230"/>
      <c r="AC141" s="230"/>
      <c r="AD141" s="231"/>
      <c r="AE141" s="231"/>
      <c r="AF141" s="232"/>
      <c r="AG141" s="233"/>
      <c r="AH141" s="234"/>
      <c r="AI141" s="230"/>
      <c r="AJ141" s="230"/>
      <c r="AK141" s="231"/>
      <c r="AL141" s="231"/>
      <c r="AM141" s="232"/>
      <c r="AN141" s="233"/>
      <c r="AO141" s="234"/>
      <c r="AP141" s="230"/>
      <c r="AQ141" s="230"/>
      <c r="AR141" s="231"/>
      <c r="AS141" s="231"/>
      <c r="AT141" s="232"/>
      <c r="AU141" s="233"/>
      <c r="AV141" s="234"/>
      <c r="AW141" s="230"/>
      <c r="AX141" s="230"/>
      <c r="AY141" s="231"/>
      <c r="AZ141" s="231"/>
      <c r="BA141" s="232"/>
      <c r="BB141" s="216" t="s">
        <v>39</v>
      </c>
    </row>
    <row r="142" spans="1:54">
      <c r="A142" s="119"/>
      <c r="B142" s="123"/>
      <c r="C142" s="217"/>
      <c r="D142" s="218"/>
      <c r="E142" s="228"/>
      <c r="F142" s="229"/>
      <c r="G142" s="230"/>
      <c r="H142" s="230"/>
      <c r="I142" s="231"/>
      <c r="J142" s="231"/>
      <c r="K142" s="232"/>
      <c r="L142" s="228"/>
      <c r="M142" s="229"/>
      <c r="N142" s="230"/>
      <c r="O142" s="230"/>
      <c r="P142" s="231"/>
      <c r="Q142" s="231"/>
      <c r="R142" s="232"/>
      <c r="S142" s="233"/>
      <c r="T142" s="234"/>
      <c r="U142" s="230"/>
      <c r="V142" s="230"/>
      <c r="W142" s="231"/>
      <c r="X142" s="231"/>
      <c r="Y142" s="232"/>
      <c r="Z142" s="233"/>
      <c r="AA142" s="234"/>
      <c r="AB142" s="230"/>
      <c r="AC142" s="230"/>
      <c r="AD142" s="231"/>
      <c r="AE142" s="231"/>
      <c r="AF142" s="232"/>
      <c r="AG142" s="233"/>
      <c r="AH142" s="234"/>
      <c r="AI142" s="230"/>
      <c r="AJ142" s="230"/>
      <c r="AK142" s="231"/>
      <c r="AL142" s="231"/>
      <c r="AM142" s="232"/>
      <c r="AN142" s="233"/>
      <c r="AO142" s="234"/>
      <c r="AP142" s="230"/>
      <c r="AQ142" s="230"/>
      <c r="AR142" s="231"/>
      <c r="AS142" s="231"/>
      <c r="AT142" s="232"/>
      <c r="AU142" s="233"/>
      <c r="AV142" s="234"/>
      <c r="AW142" s="230"/>
      <c r="AX142" s="230"/>
      <c r="AY142" s="231"/>
      <c r="AZ142" s="231"/>
      <c r="BA142" s="232"/>
      <c r="BB142" s="216" t="s">
        <v>39</v>
      </c>
    </row>
    <row r="143" spans="1:54">
      <c r="A143" s="119"/>
      <c r="B143" s="123"/>
      <c r="C143" s="217"/>
      <c r="D143" s="218"/>
      <c r="E143" s="228"/>
      <c r="F143" s="229"/>
      <c r="G143" s="230"/>
      <c r="H143" s="230"/>
      <c r="I143" s="231"/>
      <c r="J143" s="231"/>
      <c r="K143" s="232"/>
      <c r="L143" s="228"/>
      <c r="M143" s="229"/>
      <c r="N143" s="230"/>
      <c r="O143" s="230"/>
      <c r="P143" s="231"/>
      <c r="Q143" s="231"/>
      <c r="R143" s="232"/>
      <c r="S143" s="233"/>
      <c r="T143" s="234"/>
      <c r="U143" s="230"/>
      <c r="V143" s="230"/>
      <c r="W143" s="231"/>
      <c r="X143" s="231"/>
      <c r="Y143" s="232"/>
      <c r="Z143" s="233"/>
      <c r="AA143" s="234"/>
      <c r="AB143" s="230"/>
      <c r="AC143" s="230"/>
      <c r="AD143" s="231"/>
      <c r="AE143" s="231"/>
      <c r="AF143" s="232"/>
      <c r="AG143" s="233"/>
      <c r="AH143" s="234"/>
      <c r="AI143" s="230"/>
      <c r="AJ143" s="230"/>
      <c r="AK143" s="231"/>
      <c r="AL143" s="231"/>
      <c r="AM143" s="232"/>
      <c r="AN143" s="233"/>
      <c r="AO143" s="234"/>
      <c r="AP143" s="230"/>
      <c r="AQ143" s="230"/>
      <c r="AR143" s="231"/>
      <c r="AS143" s="231"/>
      <c r="AT143" s="232"/>
      <c r="AU143" s="233"/>
      <c r="AV143" s="234"/>
      <c r="AW143" s="230"/>
      <c r="AX143" s="230"/>
      <c r="AY143" s="231"/>
      <c r="AZ143" s="231"/>
      <c r="BA143" s="232"/>
      <c r="BB143" s="216" t="s">
        <v>39</v>
      </c>
    </row>
    <row r="144" spans="1:54">
      <c r="A144" s="119"/>
      <c r="B144" s="123"/>
      <c r="C144" s="217"/>
      <c r="D144" s="218"/>
      <c r="E144" s="228"/>
      <c r="F144" s="229"/>
      <c r="G144" s="230"/>
      <c r="H144" s="230"/>
      <c r="I144" s="231"/>
      <c r="J144" s="231"/>
      <c r="K144" s="232"/>
      <c r="L144" s="228"/>
      <c r="M144" s="229"/>
      <c r="N144" s="230"/>
      <c r="O144" s="230"/>
      <c r="P144" s="231"/>
      <c r="Q144" s="231"/>
      <c r="R144" s="232"/>
      <c r="S144" s="233"/>
      <c r="T144" s="234"/>
      <c r="U144" s="230"/>
      <c r="V144" s="230"/>
      <c r="W144" s="231"/>
      <c r="X144" s="231"/>
      <c r="Y144" s="232"/>
      <c r="Z144" s="233"/>
      <c r="AA144" s="234"/>
      <c r="AB144" s="230"/>
      <c r="AC144" s="230"/>
      <c r="AD144" s="231"/>
      <c r="AE144" s="231"/>
      <c r="AF144" s="232"/>
      <c r="AG144" s="233"/>
      <c r="AH144" s="234"/>
      <c r="AI144" s="230"/>
      <c r="AJ144" s="230"/>
      <c r="AK144" s="231"/>
      <c r="AL144" s="231"/>
      <c r="AM144" s="232"/>
      <c r="AN144" s="233"/>
      <c r="AO144" s="234"/>
      <c r="AP144" s="230"/>
      <c r="AQ144" s="230"/>
      <c r="AR144" s="231"/>
      <c r="AS144" s="231"/>
      <c r="AT144" s="232"/>
      <c r="AU144" s="233"/>
      <c r="AV144" s="234"/>
      <c r="AW144" s="230"/>
      <c r="AX144" s="230"/>
      <c r="AY144" s="231"/>
      <c r="AZ144" s="231"/>
      <c r="BA144" s="232"/>
      <c r="BB144" s="216" t="s">
        <v>39</v>
      </c>
    </row>
    <row r="145" spans="1:54">
      <c r="A145" s="119"/>
      <c r="B145" s="123"/>
      <c r="C145" s="217"/>
      <c r="D145" s="218"/>
      <c r="E145" s="228"/>
      <c r="F145" s="229"/>
      <c r="G145" s="230"/>
      <c r="H145" s="230"/>
      <c r="I145" s="231"/>
      <c r="J145" s="231"/>
      <c r="K145" s="232"/>
      <c r="L145" s="228"/>
      <c r="M145" s="229"/>
      <c r="N145" s="230"/>
      <c r="O145" s="230"/>
      <c r="P145" s="231"/>
      <c r="Q145" s="231"/>
      <c r="R145" s="232"/>
      <c r="S145" s="233"/>
      <c r="T145" s="234"/>
      <c r="U145" s="230"/>
      <c r="V145" s="230"/>
      <c r="W145" s="231"/>
      <c r="X145" s="231"/>
      <c r="Y145" s="232"/>
      <c r="Z145" s="233"/>
      <c r="AA145" s="234"/>
      <c r="AB145" s="230"/>
      <c r="AC145" s="230"/>
      <c r="AD145" s="231"/>
      <c r="AE145" s="231"/>
      <c r="AF145" s="232"/>
      <c r="AG145" s="233"/>
      <c r="AH145" s="234"/>
      <c r="AI145" s="230"/>
      <c r="AJ145" s="230"/>
      <c r="AK145" s="231"/>
      <c r="AL145" s="231"/>
      <c r="AM145" s="232"/>
      <c r="AN145" s="233"/>
      <c r="AO145" s="234"/>
      <c r="AP145" s="230"/>
      <c r="AQ145" s="230"/>
      <c r="AR145" s="231"/>
      <c r="AS145" s="231"/>
      <c r="AT145" s="232"/>
      <c r="AU145" s="233"/>
      <c r="AV145" s="234"/>
      <c r="AW145" s="230"/>
      <c r="AX145" s="230"/>
      <c r="AY145" s="231"/>
      <c r="AZ145" s="231"/>
      <c r="BA145" s="232"/>
      <c r="BB145" s="216" t="s">
        <v>39</v>
      </c>
    </row>
    <row r="146" spans="1:54">
      <c r="A146" s="119"/>
      <c r="B146" s="123"/>
      <c r="C146" s="217"/>
      <c r="D146" s="218"/>
      <c r="E146" s="228"/>
      <c r="F146" s="229"/>
      <c r="G146" s="230"/>
      <c r="H146" s="230"/>
      <c r="I146" s="231"/>
      <c r="J146" s="231"/>
      <c r="K146" s="232"/>
      <c r="L146" s="228"/>
      <c r="M146" s="229"/>
      <c r="N146" s="230"/>
      <c r="O146" s="230"/>
      <c r="P146" s="231"/>
      <c r="Q146" s="231"/>
      <c r="R146" s="232"/>
      <c r="S146" s="233"/>
      <c r="T146" s="234"/>
      <c r="U146" s="230"/>
      <c r="V146" s="230"/>
      <c r="W146" s="231"/>
      <c r="X146" s="231"/>
      <c r="Y146" s="232"/>
      <c r="Z146" s="233"/>
      <c r="AA146" s="234"/>
      <c r="AB146" s="230"/>
      <c r="AC146" s="230"/>
      <c r="AD146" s="231"/>
      <c r="AE146" s="231"/>
      <c r="AF146" s="232"/>
      <c r="AG146" s="233"/>
      <c r="AH146" s="234"/>
      <c r="AI146" s="230"/>
      <c r="AJ146" s="230"/>
      <c r="AK146" s="231"/>
      <c r="AL146" s="231"/>
      <c r="AM146" s="232"/>
      <c r="AN146" s="233"/>
      <c r="AO146" s="234"/>
      <c r="AP146" s="230"/>
      <c r="AQ146" s="230"/>
      <c r="AR146" s="231"/>
      <c r="AS146" s="231"/>
      <c r="AT146" s="232"/>
      <c r="AU146" s="233"/>
      <c r="AV146" s="234"/>
      <c r="AW146" s="230"/>
      <c r="AX146" s="230"/>
      <c r="AY146" s="231"/>
      <c r="AZ146" s="231"/>
      <c r="BA146" s="232"/>
      <c r="BB146" s="216" t="s">
        <v>39</v>
      </c>
    </row>
    <row r="147" spans="1:54">
      <c r="A147" s="119"/>
      <c r="B147" s="123"/>
      <c r="C147" s="217"/>
      <c r="D147" s="218"/>
      <c r="E147" s="228"/>
      <c r="F147" s="229"/>
      <c r="G147" s="230"/>
      <c r="H147" s="230"/>
      <c r="I147" s="231"/>
      <c r="J147" s="231"/>
      <c r="K147" s="232"/>
      <c r="L147" s="228"/>
      <c r="M147" s="229"/>
      <c r="N147" s="230"/>
      <c r="O147" s="230"/>
      <c r="P147" s="231"/>
      <c r="Q147" s="231"/>
      <c r="R147" s="232"/>
      <c r="S147" s="233"/>
      <c r="T147" s="234"/>
      <c r="U147" s="230"/>
      <c r="V147" s="230"/>
      <c r="W147" s="231"/>
      <c r="X147" s="231"/>
      <c r="Y147" s="232"/>
      <c r="Z147" s="233"/>
      <c r="AA147" s="234"/>
      <c r="AB147" s="230"/>
      <c r="AC147" s="230"/>
      <c r="AD147" s="231"/>
      <c r="AE147" s="231"/>
      <c r="AF147" s="232"/>
      <c r="AG147" s="233"/>
      <c r="AH147" s="234"/>
      <c r="AI147" s="230"/>
      <c r="AJ147" s="230"/>
      <c r="AK147" s="231"/>
      <c r="AL147" s="231"/>
      <c r="AM147" s="232"/>
      <c r="AN147" s="233"/>
      <c r="AO147" s="234"/>
      <c r="AP147" s="230"/>
      <c r="AQ147" s="230"/>
      <c r="AR147" s="231"/>
      <c r="AS147" s="231"/>
      <c r="AT147" s="232"/>
      <c r="AU147" s="233"/>
      <c r="AV147" s="234"/>
      <c r="AW147" s="230"/>
      <c r="AX147" s="230"/>
      <c r="AY147" s="231"/>
      <c r="AZ147" s="231"/>
      <c r="BA147" s="232"/>
      <c r="BB147" s="216" t="s">
        <v>39</v>
      </c>
    </row>
    <row r="148" spans="1:54">
      <c r="A148" s="119"/>
      <c r="B148" s="123"/>
      <c r="C148" s="217"/>
      <c r="D148" s="218"/>
      <c r="E148" s="228"/>
      <c r="F148" s="229"/>
      <c r="G148" s="230"/>
      <c r="H148" s="230"/>
      <c r="I148" s="231"/>
      <c r="J148" s="231"/>
      <c r="K148" s="232"/>
      <c r="L148" s="228"/>
      <c r="M148" s="229"/>
      <c r="N148" s="230"/>
      <c r="O148" s="230"/>
      <c r="P148" s="231"/>
      <c r="Q148" s="231"/>
      <c r="R148" s="232"/>
      <c r="S148" s="233"/>
      <c r="T148" s="234"/>
      <c r="U148" s="230"/>
      <c r="V148" s="230"/>
      <c r="W148" s="231"/>
      <c r="X148" s="231"/>
      <c r="Y148" s="232"/>
      <c r="Z148" s="233"/>
      <c r="AA148" s="234"/>
      <c r="AB148" s="230"/>
      <c r="AC148" s="230"/>
      <c r="AD148" s="231"/>
      <c r="AE148" s="231"/>
      <c r="AF148" s="232"/>
      <c r="AG148" s="233"/>
      <c r="AH148" s="234"/>
      <c r="AI148" s="230"/>
      <c r="AJ148" s="230"/>
      <c r="AK148" s="231"/>
      <c r="AL148" s="231"/>
      <c r="AM148" s="232"/>
      <c r="AN148" s="233"/>
      <c r="AO148" s="234"/>
      <c r="AP148" s="230"/>
      <c r="AQ148" s="230"/>
      <c r="AR148" s="231"/>
      <c r="AS148" s="231"/>
      <c r="AT148" s="232"/>
      <c r="AU148" s="233"/>
      <c r="AV148" s="234"/>
      <c r="AW148" s="230"/>
      <c r="AX148" s="230"/>
      <c r="AY148" s="231"/>
      <c r="AZ148" s="231"/>
      <c r="BA148" s="232"/>
      <c r="BB148" s="216" t="s">
        <v>39</v>
      </c>
    </row>
    <row r="149" spans="1:54">
      <c r="A149" s="119"/>
      <c r="B149" s="123"/>
      <c r="C149" s="217"/>
      <c r="D149" s="218"/>
      <c r="E149" s="228"/>
      <c r="F149" s="229"/>
      <c r="G149" s="230"/>
      <c r="H149" s="230"/>
      <c r="I149" s="231"/>
      <c r="J149" s="231"/>
      <c r="K149" s="232"/>
      <c r="L149" s="228"/>
      <c r="M149" s="229"/>
      <c r="N149" s="230"/>
      <c r="O149" s="230"/>
      <c r="P149" s="231"/>
      <c r="Q149" s="231"/>
      <c r="R149" s="232"/>
      <c r="S149" s="233"/>
      <c r="T149" s="234"/>
      <c r="U149" s="230"/>
      <c r="V149" s="230"/>
      <c r="W149" s="231"/>
      <c r="X149" s="231"/>
      <c r="Y149" s="232"/>
      <c r="Z149" s="233"/>
      <c r="AA149" s="234"/>
      <c r="AB149" s="230"/>
      <c r="AC149" s="230"/>
      <c r="AD149" s="231"/>
      <c r="AE149" s="231"/>
      <c r="AF149" s="232"/>
      <c r="AG149" s="233"/>
      <c r="AH149" s="234"/>
      <c r="AI149" s="230"/>
      <c r="AJ149" s="230"/>
      <c r="AK149" s="231"/>
      <c r="AL149" s="231"/>
      <c r="AM149" s="232"/>
      <c r="AN149" s="233"/>
      <c r="AO149" s="234"/>
      <c r="AP149" s="230"/>
      <c r="AQ149" s="230"/>
      <c r="AR149" s="231"/>
      <c r="AS149" s="231"/>
      <c r="AT149" s="232"/>
      <c r="AU149" s="233"/>
      <c r="AV149" s="234"/>
      <c r="AW149" s="230"/>
      <c r="AX149" s="230"/>
      <c r="AY149" s="231"/>
      <c r="AZ149" s="231"/>
      <c r="BA149" s="232"/>
      <c r="BB149" s="216" t="s">
        <v>39</v>
      </c>
    </row>
    <row r="150" spans="1:54">
      <c r="A150" s="119"/>
      <c r="B150" s="123"/>
      <c r="C150" s="217"/>
      <c r="D150" s="218"/>
      <c r="E150" s="228"/>
      <c r="F150" s="229"/>
      <c r="G150" s="230"/>
      <c r="H150" s="230"/>
      <c r="I150" s="231"/>
      <c r="J150" s="231"/>
      <c r="K150" s="232"/>
      <c r="L150" s="228"/>
      <c r="M150" s="229"/>
      <c r="N150" s="230"/>
      <c r="O150" s="230"/>
      <c r="P150" s="231"/>
      <c r="Q150" s="231"/>
      <c r="R150" s="232"/>
      <c r="S150" s="233"/>
      <c r="T150" s="234"/>
      <c r="U150" s="230"/>
      <c r="V150" s="230"/>
      <c r="W150" s="231"/>
      <c r="X150" s="231"/>
      <c r="Y150" s="232"/>
      <c r="Z150" s="233"/>
      <c r="AA150" s="234"/>
      <c r="AB150" s="230"/>
      <c r="AC150" s="230"/>
      <c r="AD150" s="231"/>
      <c r="AE150" s="231"/>
      <c r="AF150" s="232"/>
      <c r="AG150" s="233"/>
      <c r="AH150" s="234"/>
      <c r="AI150" s="230"/>
      <c r="AJ150" s="230"/>
      <c r="AK150" s="231"/>
      <c r="AL150" s="231"/>
      <c r="AM150" s="232"/>
      <c r="AN150" s="233"/>
      <c r="AO150" s="234"/>
      <c r="AP150" s="230"/>
      <c r="AQ150" s="230"/>
      <c r="AR150" s="231"/>
      <c r="AS150" s="231"/>
      <c r="AT150" s="232"/>
      <c r="AU150" s="233"/>
      <c r="AV150" s="234"/>
      <c r="AW150" s="230"/>
      <c r="AX150" s="230"/>
      <c r="AY150" s="231"/>
      <c r="AZ150" s="231"/>
      <c r="BA150" s="232"/>
      <c r="BB150" s="216" t="s">
        <v>39</v>
      </c>
    </row>
    <row r="151" spans="1:54">
      <c r="A151" s="119"/>
      <c r="B151" s="123"/>
      <c r="C151" s="217"/>
      <c r="D151" s="218"/>
      <c r="E151" s="228"/>
      <c r="F151" s="229"/>
      <c r="G151" s="230"/>
      <c r="H151" s="230"/>
      <c r="I151" s="231"/>
      <c r="J151" s="231"/>
      <c r="K151" s="232"/>
      <c r="L151" s="228"/>
      <c r="M151" s="229"/>
      <c r="N151" s="230"/>
      <c r="O151" s="230"/>
      <c r="P151" s="231"/>
      <c r="Q151" s="231"/>
      <c r="R151" s="232"/>
      <c r="S151" s="233"/>
      <c r="T151" s="234"/>
      <c r="U151" s="230"/>
      <c r="V151" s="230"/>
      <c r="W151" s="231"/>
      <c r="X151" s="231"/>
      <c r="Y151" s="232"/>
      <c r="Z151" s="233"/>
      <c r="AA151" s="234"/>
      <c r="AB151" s="230"/>
      <c r="AC151" s="230"/>
      <c r="AD151" s="231"/>
      <c r="AE151" s="231"/>
      <c r="AF151" s="232"/>
      <c r="AG151" s="233"/>
      <c r="AH151" s="234"/>
      <c r="AI151" s="230"/>
      <c r="AJ151" s="230"/>
      <c r="AK151" s="231"/>
      <c r="AL151" s="231"/>
      <c r="AM151" s="232"/>
      <c r="AN151" s="233"/>
      <c r="AO151" s="234"/>
      <c r="AP151" s="230"/>
      <c r="AQ151" s="230"/>
      <c r="AR151" s="231"/>
      <c r="AS151" s="231"/>
      <c r="AT151" s="232"/>
      <c r="AU151" s="233"/>
      <c r="AV151" s="234"/>
      <c r="AW151" s="230"/>
      <c r="AX151" s="230"/>
      <c r="AY151" s="231"/>
      <c r="AZ151" s="231"/>
      <c r="BA151" s="232"/>
      <c r="BB151" s="216" t="s">
        <v>39</v>
      </c>
    </row>
    <row r="152" spans="1:54">
      <c r="A152" s="119"/>
      <c r="B152" s="123"/>
      <c r="C152" s="217"/>
      <c r="D152" s="218"/>
      <c r="E152" s="228"/>
      <c r="F152" s="229"/>
      <c r="G152" s="230"/>
      <c r="H152" s="230"/>
      <c r="I152" s="231"/>
      <c r="J152" s="231"/>
      <c r="K152" s="232"/>
      <c r="L152" s="228"/>
      <c r="M152" s="229"/>
      <c r="N152" s="230"/>
      <c r="O152" s="230"/>
      <c r="P152" s="231"/>
      <c r="Q152" s="231"/>
      <c r="R152" s="232"/>
      <c r="S152" s="233"/>
      <c r="T152" s="234"/>
      <c r="U152" s="230"/>
      <c r="V152" s="230"/>
      <c r="W152" s="231"/>
      <c r="X152" s="231"/>
      <c r="Y152" s="232"/>
      <c r="Z152" s="233"/>
      <c r="AA152" s="234"/>
      <c r="AB152" s="230"/>
      <c r="AC152" s="230"/>
      <c r="AD152" s="231"/>
      <c r="AE152" s="231"/>
      <c r="AF152" s="232"/>
      <c r="AG152" s="233"/>
      <c r="AH152" s="234"/>
      <c r="AI152" s="230"/>
      <c r="AJ152" s="230"/>
      <c r="AK152" s="231"/>
      <c r="AL152" s="231"/>
      <c r="AM152" s="232"/>
      <c r="AN152" s="233"/>
      <c r="AO152" s="234"/>
      <c r="AP152" s="230"/>
      <c r="AQ152" s="230"/>
      <c r="AR152" s="231"/>
      <c r="AS152" s="231"/>
      <c r="AT152" s="232"/>
      <c r="AU152" s="233"/>
      <c r="AV152" s="234"/>
      <c r="AW152" s="230"/>
      <c r="AX152" s="230"/>
      <c r="AY152" s="231"/>
      <c r="AZ152" s="231"/>
      <c r="BA152" s="232"/>
      <c r="BB152" s="216" t="s">
        <v>39</v>
      </c>
    </row>
    <row r="153" spans="1:54">
      <c r="A153" s="119"/>
      <c r="B153" s="123"/>
      <c r="C153" s="217"/>
      <c r="D153" s="218"/>
      <c r="E153" s="228"/>
      <c r="F153" s="229"/>
      <c r="G153" s="230"/>
      <c r="H153" s="230"/>
      <c r="I153" s="231"/>
      <c r="J153" s="231"/>
      <c r="K153" s="232"/>
      <c r="L153" s="228"/>
      <c r="M153" s="229"/>
      <c r="N153" s="230"/>
      <c r="O153" s="230"/>
      <c r="P153" s="231"/>
      <c r="Q153" s="231"/>
      <c r="R153" s="232"/>
      <c r="S153" s="233"/>
      <c r="T153" s="234"/>
      <c r="U153" s="230"/>
      <c r="V153" s="230"/>
      <c r="W153" s="231"/>
      <c r="X153" s="231"/>
      <c r="Y153" s="232"/>
      <c r="Z153" s="233"/>
      <c r="AA153" s="234"/>
      <c r="AB153" s="230"/>
      <c r="AC153" s="230"/>
      <c r="AD153" s="231"/>
      <c r="AE153" s="231"/>
      <c r="AF153" s="232"/>
      <c r="AG153" s="233"/>
      <c r="AH153" s="234"/>
      <c r="AI153" s="230"/>
      <c r="AJ153" s="230"/>
      <c r="AK153" s="231"/>
      <c r="AL153" s="231"/>
      <c r="AM153" s="232"/>
      <c r="AN153" s="233"/>
      <c r="AO153" s="234"/>
      <c r="AP153" s="230"/>
      <c r="AQ153" s="230"/>
      <c r="AR153" s="231"/>
      <c r="AS153" s="231"/>
      <c r="AT153" s="232"/>
      <c r="AU153" s="233"/>
      <c r="AV153" s="234"/>
      <c r="AW153" s="230"/>
      <c r="AX153" s="230"/>
      <c r="AY153" s="231"/>
      <c r="AZ153" s="231"/>
      <c r="BA153" s="232"/>
      <c r="BB153" s="216" t="s">
        <v>39</v>
      </c>
    </row>
    <row r="154" spans="1:54">
      <c r="A154" s="119"/>
      <c r="B154" s="123"/>
      <c r="C154" s="217"/>
      <c r="D154" s="218"/>
      <c r="E154" s="228"/>
      <c r="F154" s="229"/>
      <c r="G154" s="230"/>
      <c r="H154" s="230"/>
      <c r="I154" s="231"/>
      <c r="J154" s="231"/>
      <c r="K154" s="232"/>
      <c r="L154" s="228"/>
      <c r="M154" s="229"/>
      <c r="N154" s="230"/>
      <c r="O154" s="230"/>
      <c r="P154" s="231"/>
      <c r="Q154" s="231"/>
      <c r="R154" s="232"/>
      <c r="S154" s="233"/>
      <c r="T154" s="234"/>
      <c r="U154" s="230"/>
      <c r="V154" s="230"/>
      <c r="W154" s="231"/>
      <c r="X154" s="231"/>
      <c r="Y154" s="232"/>
      <c r="Z154" s="233"/>
      <c r="AA154" s="234"/>
      <c r="AB154" s="230"/>
      <c r="AC154" s="230"/>
      <c r="AD154" s="231"/>
      <c r="AE154" s="231"/>
      <c r="AF154" s="232"/>
      <c r="AG154" s="233"/>
      <c r="AH154" s="234"/>
      <c r="AI154" s="230"/>
      <c r="AJ154" s="230"/>
      <c r="AK154" s="231"/>
      <c r="AL154" s="231"/>
      <c r="AM154" s="232"/>
      <c r="AN154" s="233"/>
      <c r="AO154" s="234"/>
      <c r="AP154" s="230"/>
      <c r="AQ154" s="230"/>
      <c r="AR154" s="231"/>
      <c r="AS154" s="231"/>
      <c r="AT154" s="232"/>
      <c r="AU154" s="233"/>
      <c r="AV154" s="234"/>
      <c r="AW154" s="230"/>
      <c r="AX154" s="230"/>
      <c r="AY154" s="231"/>
      <c r="AZ154" s="231"/>
      <c r="BA154" s="232"/>
      <c r="BB154" s="216" t="s">
        <v>39</v>
      </c>
    </row>
    <row r="155" spans="1:54">
      <c r="A155" s="119"/>
      <c r="B155" s="123"/>
      <c r="C155" s="217"/>
      <c r="D155" s="218"/>
      <c r="E155" s="228"/>
      <c r="F155" s="229"/>
      <c r="G155" s="230"/>
      <c r="H155" s="230"/>
      <c r="I155" s="231"/>
      <c r="J155" s="231"/>
      <c r="K155" s="232"/>
      <c r="L155" s="228"/>
      <c r="M155" s="229"/>
      <c r="N155" s="230"/>
      <c r="O155" s="230"/>
      <c r="P155" s="231"/>
      <c r="Q155" s="231"/>
      <c r="R155" s="232"/>
      <c r="S155" s="233"/>
      <c r="T155" s="234"/>
      <c r="U155" s="230"/>
      <c r="V155" s="230"/>
      <c r="W155" s="231"/>
      <c r="X155" s="231"/>
      <c r="Y155" s="232"/>
      <c r="Z155" s="233"/>
      <c r="AA155" s="234"/>
      <c r="AB155" s="230"/>
      <c r="AC155" s="230"/>
      <c r="AD155" s="231"/>
      <c r="AE155" s="231"/>
      <c r="AF155" s="232"/>
      <c r="AG155" s="233"/>
      <c r="AH155" s="234"/>
      <c r="AI155" s="230"/>
      <c r="AJ155" s="230"/>
      <c r="AK155" s="231"/>
      <c r="AL155" s="231"/>
      <c r="AM155" s="232"/>
      <c r="AN155" s="233"/>
      <c r="AO155" s="234"/>
      <c r="AP155" s="230"/>
      <c r="AQ155" s="230"/>
      <c r="AR155" s="231"/>
      <c r="AS155" s="231"/>
      <c r="AT155" s="232"/>
      <c r="AU155" s="233"/>
      <c r="AV155" s="234"/>
      <c r="AW155" s="230"/>
      <c r="AX155" s="230"/>
      <c r="AY155" s="231"/>
      <c r="AZ155" s="231"/>
      <c r="BA155" s="232"/>
      <c r="BB155" s="216" t="s">
        <v>39</v>
      </c>
    </row>
    <row r="156" spans="1:54">
      <c r="A156" s="119"/>
      <c r="B156" s="123"/>
      <c r="C156" s="217"/>
      <c r="D156" s="218"/>
      <c r="E156" s="228"/>
      <c r="F156" s="229"/>
      <c r="G156" s="230"/>
      <c r="H156" s="230"/>
      <c r="I156" s="231"/>
      <c r="J156" s="231"/>
      <c r="K156" s="232"/>
      <c r="L156" s="228"/>
      <c r="M156" s="229"/>
      <c r="N156" s="230"/>
      <c r="O156" s="230"/>
      <c r="P156" s="231"/>
      <c r="Q156" s="231"/>
      <c r="R156" s="232"/>
      <c r="S156" s="233"/>
      <c r="T156" s="234"/>
      <c r="U156" s="230"/>
      <c r="V156" s="230"/>
      <c r="W156" s="231"/>
      <c r="X156" s="231"/>
      <c r="Y156" s="232"/>
      <c r="Z156" s="233"/>
      <c r="AA156" s="234"/>
      <c r="AB156" s="230"/>
      <c r="AC156" s="230"/>
      <c r="AD156" s="231"/>
      <c r="AE156" s="231"/>
      <c r="AF156" s="232"/>
      <c r="AG156" s="233"/>
      <c r="AH156" s="234"/>
      <c r="AI156" s="230"/>
      <c r="AJ156" s="230"/>
      <c r="AK156" s="231"/>
      <c r="AL156" s="231"/>
      <c r="AM156" s="232"/>
      <c r="AN156" s="233"/>
      <c r="AO156" s="234"/>
      <c r="AP156" s="230"/>
      <c r="AQ156" s="230"/>
      <c r="AR156" s="231"/>
      <c r="AS156" s="231"/>
      <c r="AT156" s="232"/>
      <c r="AU156" s="233"/>
      <c r="AV156" s="234"/>
      <c r="AW156" s="230"/>
      <c r="AX156" s="230"/>
      <c r="AY156" s="231"/>
      <c r="AZ156" s="231"/>
      <c r="BA156" s="232"/>
      <c r="BB156" s="216" t="s">
        <v>39</v>
      </c>
    </row>
    <row r="157" spans="1:54" ht="16.5" thickBot="1">
      <c r="A157" s="80" t="s">
        <v>227</v>
      </c>
      <c r="B157" s="124"/>
      <c r="C157" s="219"/>
      <c r="D157" s="220"/>
      <c r="E157" s="221"/>
      <c r="F157" s="222"/>
      <c r="G157" s="223"/>
      <c r="H157" s="223"/>
      <c r="I157" s="235"/>
      <c r="J157" s="235"/>
      <c r="K157" s="224"/>
      <c r="L157" s="221"/>
      <c r="M157" s="225"/>
      <c r="N157" s="223"/>
      <c r="O157" s="223"/>
      <c r="P157" s="235"/>
      <c r="Q157" s="235"/>
      <c r="R157" s="224"/>
      <c r="S157" s="226"/>
      <c r="T157" s="227"/>
      <c r="U157" s="223"/>
      <c r="V157" s="223"/>
      <c r="W157" s="235"/>
      <c r="X157" s="235"/>
      <c r="Y157" s="224"/>
      <c r="Z157" s="226"/>
      <c r="AA157" s="227"/>
      <c r="AB157" s="223"/>
      <c r="AC157" s="223"/>
      <c r="AD157" s="235"/>
      <c r="AE157" s="235"/>
      <c r="AF157" s="224"/>
      <c r="AG157" s="226"/>
      <c r="AH157" s="227"/>
      <c r="AI157" s="223"/>
      <c r="AJ157" s="223"/>
      <c r="AK157" s="235"/>
      <c r="AL157" s="235"/>
      <c r="AM157" s="224"/>
      <c r="AN157" s="226"/>
      <c r="AO157" s="227"/>
      <c r="AP157" s="223"/>
      <c r="AQ157" s="223"/>
      <c r="AR157" s="235"/>
      <c r="AS157" s="235"/>
      <c r="AT157" s="224"/>
      <c r="AU157" s="226"/>
      <c r="AV157" s="227"/>
      <c r="AW157" s="223"/>
      <c r="AX157" s="223"/>
      <c r="AY157" s="235"/>
      <c r="AZ157" s="235"/>
      <c r="BA157" s="224"/>
      <c r="BB157" s="216" t="s">
        <v>39</v>
      </c>
    </row>
    <row r="158" spans="1:54">
      <c r="A158" s="79" t="s">
        <v>39</v>
      </c>
      <c r="B158" s="79" t="s">
        <v>39</v>
      </c>
      <c r="C158" s="216" t="s">
        <v>39</v>
      </c>
      <c r="D158" s="216" t="s">
        <v>39</v>
      </c>
      <c r="E158" s="216" t="s">
        <v>39</v>
      </c>
      <c r="F158" s="216" t="s">
        <v>39</v>
      </c>
      <c r="G158" s="216" t="s">
        <v>39</v>
      </c>
      <c r="H158" s="216" t="s">
        <v>39</v>
      </c>
      <c r="I158" s="216" t="s">
        <v>39</v>
      </c>
      <c r="J158" s="216" t="s">
        <v>39</v>
      </c>
      <c r="K158" s="216" t="s">
        <v>39</v>
      </c>
      <c r="L158" s="216" t="s">
        <v>39</v>
      </c>
      <c r="M158" s="216" t="s">
        <v>39</v>
      </c>
      <c r="N158" s="216" t="s">
        <v>39</v>
      </c>
      <c r="O158" s="216" t="s">
        <v>39</v>
      </c>
      <c r="P158" s="216" t="s">
        <v>39</v>
      </c>
      <c r="Q158" s="216" t="s">
        <v>39</v>
      </c>
      <c r="R158" s="216" t="s">
        <v>39</v>
      </c>
      <c r="S158" s="216" t="s">
        <v>39</v>
      </c>
      <c r="T158" s="216" t="s">
        <v>39</v>
      </c>
      <c r="U158" s="216" t="s">
        <v>39</v>
      </c>
      <c r="V158" s="216" t="s">
        <v>39</v>
      </c>
      <c r="W158" s="216" t="s">
        <v>39</v>
      </c>
      <c r="X158" s="216" t="s">
        <v>39</v>
      </c>
      <c r="Y158" s="216" t="s">
        <v>39</v>
      </c>
      <c r="Z158" s="216" t="s">
        <v>39</v>
      </c>
      <c r="AA158" s="216" t="s">
        <v>39</v>
      </c>
      <c r="AB158" s="216" t="s">
        <v>39</v>
      </c>
      <c r="AC158" s="216" t="s">
        <v>39</v>
      </c>
      <c r="AD158" s="216" t="s">
        <v>39</v>
      </c>
      <c r="AE158" s="216" t="s">
        <v>39</v>
      </c>
      <c r="AF158" s="216" t="s">
        <v>39</v>
      </c>
      <c r="AG158" s="216" t="s">
        <v>39</v>
      </c>
      <c r="AH158" s="216" t="s">
        <v>39</v>
      </c>
      <c r="AI158" s="216" t="s">
        <v>39</v>
      </c>
      <c r="AJ158" s="216" t="s">
        <v>39</v>
      </c>
      <c r="AK158" s="216" t="s">
        <v>39</v>
      </c>
      <c r="AL158" s="216" t="s">
        <v>39</v>
      </c>
      <c r="AM158" s="216" t="s">
        <v>39</v>
      </c>
      <c r="AN158" s="216" t="s">
        <v>39</v>
      </c>
      <c r="AO158" s="216" t="s">
        <v>39</v>
      </c>
      <c r="AP158" s="216" t="s">
        <v>39</v>
      </c>
      <c r="AQ158" s="216" t="s">
        <v>39</v>
      </c>
      <c r="AR158" s="216" t="s">
        <v>39</v>
      </c>
      <c r="AS158" s="216" t="s">
        <v>39</v>
      </c>
      <c r="AT158" s="216" t="s">
        <v>39</v>
      </c>
      <c r="AU158" s="216" t="s">
        <v>39</v>
      </c>
      <c r="AV158" s="216" t="s">
        <v>39</v>
      </c>
      <c r="AW158" s="216" t="s">
        <v>39</v>
      </c>
      <c r="AX158" s="216" t="s">
        <v>39</v>
      </c>
      <c r="AY158" s="216" t="s">
        <v>39</v>
      </c>
      <c r="AZ158" s="216" t="s">
        <v>39</v>
      </c>
      <c r="BA158" s="216" t="s">
        <v>39</v>
      </c>
      <c r="BB158" s="216" t="s">
        <v>39</v>
      </c>
    </row>
  </sheetData>
  <autoFilter ref="A17:D158"/>
  <mergeCells count="8">
    <mergeCell ref="C1:C9"/>
    <mergeCell ref="AU15:BA15"/>
    <mergeCell ref="Z15:AF15"/>
    <mergeCell ref="E15:K15"/>
    <mergeCell ref="L15:R15"/>
    <mergeCell ref="S15:Y15"/>
    <mergeCell ref="AG15:AM15"/>
    <mergeCell ref="AN15:AT1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'China n Importing Ports'!$C$20:$C$41</xm:f>
          </x14:formula1>
          <xm:sqref>D18:D156</xm:sqref>
        </x14:dataValidation>
        <x14:dataValidation type="list" allowBlank="1" showInputMessage="1" showErrorMessage="1">
          <x14:formula1>
            <xm:f>Canals!$C$5:$C$14</xm:f>
          </x14:formula1>
          <xm:sqref>BA18:BA157 Y18:Y157 AF18:AF157 AT18:AT157 R18:R157 K18:K157 AM18:AM157</xm:sqref>
        </x14:dataValidation>
        <x14:dataValidation type="list" allowBlank="1" showInputMessage="1" showErrorMessage="1">
          <x14:formula1>
            <xm:f>'Indices Mines Exporting Ports'!$Q$26:$Q$51</xm:f>
          </x14:formula1>
          <xm:sqref>C18:C156</xm:sqref>
        </x14:dataValidation>
        <x14:dataValidation type="list" allowBlank="1" showInputMessage="1" showErrorMessage="1">
          <x14:formula1>
            <xm:f>'AllowedShip Class Time Charters'!$E$3:$E$16</xm:f>
          </x14:formula1>
          <xm:sqref>AW18:AW156 AP18:AP156 G18:G156 N18:N156 U18:U156 AB18:AB156 AI18:AI156</xm:sqref>
        </x14:dataValidation>
        <x14:dataValidation type="list" allowBlank="1" showInputMessage="1" showErrorMessage="1">
          <x14:formula1>
            <xm:f>'Ship Fuel Zones n Types'!$C$9:$C$19</xm:f>
          </x14:formula1>
          <xm:sqref>AX18:AX157 AQ18:AQ157 H18:H157 O18:O157 V18:V157 AC18:AC157 AJ18:AJ157</xm:sqref>
        </x14:dataValidation>
        <x14:dataValidation type="list" allowBlank="1" showInputMessage="1" showErrorMessage="1">
          <x14:formula1>
            <xm:f>'Ship Fuel Zones n Types'!$E$9:$E$19</xm:f>
          </x14:formula1>
          <xm:sqref>AY18:AY156 AR18:AR156 I18:I156 P18:P156 W18:W156 AD18:AD156 AK18:AK156</xm:sqref>
        </x14:dataValidation>
        <x14:dataValidation type="list" allowBlank="1" showInputMessage="1" showErrorMessage="1">
          <x14:formula1>
            <xm:f>'Ship Fuel Zones n Types'!$F$9:$F$19</xm:f>
          </x14:formula1>
          <xm:sqref>AZ18:AZ156 AS18:AS156 J18:J156 Q18:Q156 X18:X156 AE18:AE156 AL18:AL156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6:G19"/>
  <sheetViews>
    <sheetView workbookViewId="0">
      <pane xSplit="7" ySplit="19" topLeftCell="H20" activePane="bottomRight" state="frozen"/>
      <selection pane="topRight" activeCell="F1" sqref="F1"/>
      <selection pane="bottomLeft" activeCell="A14" sqref="A14"/>
      <selection pane="bottomRight" activeCell="H11" sqref="H11"/>
    </sheetView>
  </sheetViews>
  <sheetFormatPr defaultColWidth="11" defaultRowHeight="15.75"/>
  <cols>
    <col min="3" max="3" width="18.5" bestFit="1" customWidth="1"/>
    <col min="4" max="4" width="4" customWidth="1"/>
    <col min="5" max="5" width="11.125" customWidth="1"/>
    <col min="6" max="6" width="18.5" bestFit="1" customWidth="1"/>
    <col min="7" max="7" width="16.375" bestFit="1" customWidth="1"/>
    <col min="8" max="8" width="19.5" bestFit="1" customWidth="1"/>
    <col min="9" max="9" width="17" bestFit="1" customWidth="1"/>
  </cols>
  <sheetData>
    <row r="6" spans="2:6">
      <c r="C6" s="174" t="s">
        <v>247</v>
      </c>
      <c r="E6" s="174" t="s">
        <v>281</v>
      </c>
    </row>
    <row r="7" spans="2:6">
      <c r="B7" s="182" t="s">
        <v>268</v>
      </c>
    </row>
    <row r="8" spans="2:6">
      <c r="B8" s="179" t="s">
        <v>0</v>
      </c>
      <c r="C8" s="179" t="s">
        <v>250</v>
      </c>
      <c r="E8" s="107" t="s">
        <v>263</v>
      </c>
      <c r="F8" s="107" t="s">
        <v>279</v>
      </c>
    </row>
    <row r="9" spans="2:6">
      <c r="B9" s="39">
        <v>43831</v>
      </c>
      <c r="C9" s="180" t="s">
        <v>248</v>
      </c>
      <c r="E9" s="20" t="s">
        <v>264</v>
      </c>
      <c r="F9" s="20" t="s">
        <v>266</v>
      </c>
    </row>
    <row r="10" spans="2:6">
      <c r="B10" s="39">
        <v>43831</v>
      </c>
      <c r="C10" s="180" t="s">
        <v>249</v>
      </c>
      <c r="E10" s="20" t="s">
        <v>280</v>
      </c>
      <c r="F10" s="20" t="s">
        <v>265</v>
      </c>
    </row>
    <row r="11" spans="2:6">
      <c r="B11" s="39"/>
      <c r="C11" s="180"/>
      <c r="E11" s="20" t="s">
        <v>288</v>
      </c>
      <c r="F11" s="20" t="s">
        <v>288</v>
      </c>
    </row>
    <row r="12" spans="2:6">
      <c r="B12" s="39"/>
      <c r="C12" s="180"/>
      <c r="E12" s="20"/>
      <c r="F12" s="20"/>
    </row>
    <row r="13" spans="2:6">
      <c r="B13" s="39"/>
      <c r="C13" s="180"/>
      <c r="E13" s="20"/>
      <c r="F13" s="20"/>
    </row>
    <row r="14" spans="2:6">
      <c r="B14" s="39"/>
      <c r="C14" s="180"/>
      <c r="E14" s="20"/>
      <c r="F14" s="20"/>
    </row>
    <row r="15" spans="2:6">
      <c r="B15" s="39"/>
      <c r="C15" s="180"/>
      <c r="E15" s="20"/>
      <c r="F15" s="20"/>
    </row>
    <row r="16" spans="2:6">
      <c r="B16" s="39"/>
      <c r="C16" s="180"/>
      <c r="E16" s="20"/>
      <c r="F16" s="20"/>
    </row>
    <row r="17" spans="2:7">
      <c r="B17" s="39"/>
      <c r="C17" s="180"/>
      <c r="E17" s="20"/>
      <c r="F17" s="20"/>
    </row>
    <row r="18" spans="2:7">
      <c r="B18" s="39"/>
      <c r="C18" s="180"/>
      <c r="E18" s="20"/>
      <c r="F18" s="20"/>
    </row>
    <row r="19" spans="2:7">
      <c r="B19" s="181" t="s">
        <v>164</v>
      </c>
      <c r="C19" s="80"/>
      <c r="D19" s="80"/>
      <c r="E19" s="80"/>
      <c r="F19" s="80"/>
      <c r="G19" s="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G42"/>
  <sheetViews>
    <sheetView topLeftCell="D1" workbookViewId="0">
      <selection activeCell="E20" sqref="E20:AA33"/>
    </sheetView>
  </sheetViews>
  <sheetFormatPr defaultColWidth="11" defaultRowHeight="15.75"/>
  <cols>
    <col min="1" max="3" width="10.875" customWidth="1"/>
    <col min="5" max="5" width="11.5" bestFit="1" customWidth="1"/>
    <col min="8" max="8" width="12.875" customWidth="1"/>
  </cols>
  <sheetData>
    <row r="1" spans="3:33">
      <c r="AG1" s="79" t="s">
        <v>39</v>
      </c>
    </row>
    <row r="2" spans="3:33">
      <c r="AG2" s="79"/>
    </row>
    <row r="3" spans="3:33">
      <c r="AG3" s="79"/>
    </row>
    <row r="4" spans="3:33">
      <c r="AG4" s="79"/>
    </row>
    <row r="5" spans="3:33">
      <c r="AG5" s="79"/>
    </row>
    <row r="6" spans="3:33">
      <c r="AG6" s="79"/>
    </row>
    <row r="7" spans="3:33">
      <c r="AG7" s="79"/>
    </row>
    <row r="8" spans="3:33">
      <c r="AG8" s="79"/>
    </row>
    <row r="9" spans="3:33">
      <c r="AG9" s="79"/>
    </row>
    <row r="10" spans="3:33">
      <c r="AG10" s="79"/>
    </row>
    <row r="11" spans="3:33">
      <c r="AG11" s="79" t="s">
        <v>39</v>
      </c>
    </row>
    <row r="12" spans="3:33">
      <c r="AG12" s="79" t="s">
        <v>39</v>
      </c>
    </row>
    <row r="13" spans="3:33">
      <c r="C13" s="182" t="s">
        <v>269</v>
      </c>
      <c r="AG13" s="79" t="s">
        <v>39</v>
      </c>
    </row>
    <row r="14" spans="3:33">
      <c r="AG14" s="79" t="s">
        <v>39</v>
      </c>
    </row>
    <row r="15" spans="3:33">
      <c r="C15" s="12">
        <v>1</v>
      </c>
      <c r="D15" s="12">
        <v>2</v>
      </c>
      <c r="E15" s="12"/>
      <c r="F15" s="12">
        <v>3</v>
      </c>
      <c r="G15" s="12">
        <v>4</v>
      </c>
      <c r="H15" s="12"/>
      <c r="I15" s="12"/>
      <c r="J15" s="12">
        <v>5</v>
      </c>
      <c r="K15" s="12">
        <v>6</v>
      </c>
      <c r="L15" s="12"/>
      <c r="M15" s="12">
        <v>7</v>
      </c>
      <c r="N15" s="12">
        <v>8</v>
      </c>
      <c r="O15" s="12">
        <v>9</v>
      </c>
      <c r="P15" s="12">
        <v>10</v>
      </c>
      <c r="Q15" s="12">
        <v>11</v>
      </c>
      <c r="R15" s="12">
        <v>12</v>
      </c>
      <c r="S15" s="12">
        <v>13</v>
      </c>
      <c r="T15" s="12">
        <v>14</v>
      </c>
      <c r="U15" s="12">
        <v>15</v>
      </c>
      <c r="V15" s="12">
        <v>16</v>
      </c>
      <c r="W15" s="12">
        <v>17</v>
      </c>
      <c r="X15" s="12">
        <v>18</v>
      </c>
      <c r="Y15" s="12">
        <v>19</v>
      </c>
      <c r="Z15" s="12">
        <v>20</v>
      </c>
      <c r="AA15" s="12">
        <v>21</v>
      </c>
      <c r="AB15" s="12">
        <v>22</v>
      </c>
      <c r="AC15" s="12">
        <v>23</v>
      </c>
      <c r="AD15" s="12">
        <v>24</v>
      </c>
      <c r="AE15" s="12">
        <v>25</v>
      </c>
      <c r="AF15" s="12">
        <v>26</v>
      </c>
      <c r="AG15" s="79" t="s">
        <v>39</v>
      </c>
    </row>
    <row r="16" spans="3:3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79" t="s">
        <v>39</v>
      </c>
    </row>
    <row r="17" spans="3:33"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79" t="s">
        <v>39</v>
      </c>
    </row>
    <row r="18" spans="3:33" ht="63">
      <c r="C18" s="64" t="s">
        <v>162</v>
      </c>
      <c r="D18" s="64" t="s">
        <v>0</v>
      </c>
      <c r="E18" s="64" t="s">
        <v>208</v>
      </c>
      <c r="F18" s="64" t="s">
        <v>257</v>
      </c>
      <c r="G18" s="64" t="s">
        <v>148</v>
      </c>
      <c r="H18" s="64" t="s">
        <v>213</v>
      </c>
      <c r="I18" s="64" t="s">
        <v>212</v>
      </c>
      <c r="J18" s="64" t="s">
        <v>149</v>
      </c>
      <c r="K18" s="64" t="s">
        <v>150</v>
      </c>
      <c r="L18" s="64" t="s">
        <v>222</v>
      </c>
      <c r="M18" s="64" t="s">
        <v>138</v>
      </c>
      <c r="N18" s="64" t="s">
        <v>139</v>
      </c>
      <c r="O18" s="64" t="s">
        <v>140</v>
      </c>
      <c r="P18" s="64" t="s">
        <v>135</v>
      </c>
      <c r="Q18" s="64" t="s">
        <v>136</v>
      </c>
      <c r="R18" s="64" t="s">
        <v>137</v>
      </c>
      <c r="S18" s="64" t="s">
        <v>97</v>
      </c>
      <c r="T18" s="64" t="s">
        <v>141</v>
      </c>
      <c r="U18" s="64" t="s">
        <v>142</v>
      </c>
      <c r="V18" s="64" t="s">
        <v>98</v>
      </c>
      <c r="W18" s="64" t="s">
        <v>143</v>
      </c>
      <c r="X18" s="64" t="s">
        <v>144</v>
      </c>
      <c r="Y18" s="64" t="s">
        <v>99</v>
      </c>
      <c r="Z18" s="64" t="s">
        <v>145</v>
      </c>
      <c r="AA18" s="64" t="s">
        <v>146</v>
      </c>
      <c r="AB18" s="64" t="s">
        <v>27</v>
      </c>
      <c r="AC18" s="64" t="s">
        <v>27</v>
      </c>
      <c r="AD18" s="64" t="s">
        <v>27</v>
      </c>
      <c r="AE18" s="64" t="s">
        <v>27</v>
      </c>
      <c r="AF18" s="64" t="s">
        <v>186</v>
      </c>
      <c r="AG18" s="79" t="s">
        <v>39</v>
      </c>
    </row>
    <row r="19" spans="3:33">
      <c r="C19" s="65" t="s">
        <v>14</v>
      </c>
      <c r="D19" s="65" t="s">
        <v>101</v>
      </c>
      <c r="E19" s="65" t="s">
        <v>124</v>
      </c>
      <c r="F19" s="65" t="s">
        <v>124</v>
      </c>
      <c r="G19" s="65" t="s">
        <v>124</v>
      </c>
      <c r="H19" s="65" t="s">
        <v>124</v>
      </c>
      <c r="I19" s="65" t="s">
        <v>124</v>
      </c>
      <c r="J19" s="65" t="s">
        <v>124</v>
      </c>
      <c r="K19" s="65" t="s">
        <v>124</v>
      </c>
      <c r="L19" s="65" t="s">
        <v>29</v>
      </c>
      <c r="M19" s="65" t="s">
        <v>43</v>
      </c>
      <c r="N19" s="65" t="s">
        <v>43</v>
      </c>
      <c r="O19" s="65" t="s">
        <v>43</v>
      </c>
      <c r="P19" s="65" t="s">
        <v>43</v>
      </c>
      <c r="Q19" s="65" t="s">
        <v>43</v>
      </c>
      <c r="R19" s="65" t="s">
        <v>43</v>
      </c>
      <c r="S19" s="65" t="s">
        <v>43</v>
      </c>
      <c r="T19" s="65" t="s">
        <v>43</v>
      </c>
      <c r="U19" s="65" t="s">
        <v>43</v>
      </c>
      <c r="V19" s="65" t="s">
        <v>43</v>
      </c>
      <c r="W19" s="65" t="s">
        <v>43</v>
      </c>
      <c r="X19" s="65" t="s">
        <v>43</v>
      </c>
      <c r="Y19" s="65" t="s">
        <v>43</v>
      </c>
      <c r="Z19" s="65" t="s">
        <v>43</v>
      </c>
      <c r="AA19" s="65" t="s">
        <v>43</v>
      </c>
      <c r="AB19" s="65" t="s">
        <v>27</v>
      </c>
      <c r="AC19" s="65" t="s">
        <v>27</v>
      </c>
      <c r="AD19" s="65" t="s">
        <v>27</v>
      </c>
      <c r="AE19" s="65" t="s">
        <v>27</v>
      </c>
      <c r="AF19" s="65" t="s">
        <v>14</v>
      </c>
      <c r="AG19" s="79" t="s">
        <v>39</v>
      </c>
    </row>
    <row r="20" spans="3:33">
      <c r="C20" s="39" t="s">
        <v>169</v>
      </c>
      <c r="D20" s="39">
        <v>43831</v>
      </c>
      <c r="E20" s="74">
        <v>42500</v>
      </c>
      <c r="F20" s="74">
        <v>42500</v>
      </c>
      <c r="G20" s="74">
        <v>42500</v>
      </c>
      <c r="H20" s="74">
        <v>42500</v>
      </c>
      <c r="I20" s="74">
        <v>42500</v>
      </c>
      <c r="J20" s="74">
        <v>42500</v>
      </c>
      <c r="K20" s="74">
        <v>42500</v>
      </c>
      <c r="L20" s="74" t="s">
        <v>43</v>
      </c>
      <c r="M20" s="29">
        <v>12342</v>
      </c>
      <c r="N20" s="67"/>
      <c r="O20" s="67"/>
      <c r="P20" s="67">
        <v>2.64</v>
      </c>
      <c r="Q20" s="67"/>
      <c r="R20" s="67"/>
      <c r="S20" s="67">
        <v>4.53</v>
      </c>
      <c r="T20" s="67">
        <v>0.36699999999999999</v>
      </c>
      <c r="U20" s="67">
        <v>0.05</v>
      </c>
      <c r="V20" s="67"/>
      <c r="W20" s="67"/>
      <c r="X20" s="67"/>
      <c r="Y20" s="67">
        <v>197</v>
      </c>
      <c r="Z20" s="67"/>
      <c r="AA20" s="67"/>
      <c r="AB20" s="68"/>
      <c r="AC20" s="68"/>
      <c r="AD20" s="68"/>
      <c r="AE20" s="68"/>
      <c r="AF20" s="68"/>
      <c r="AG20" s="79" t="s">
        <v>39</v>
      </c>
    </row>
    <row r="21" spans="3:33">
      <c r="C21" s="39" t="s">
        <v>174</v>
      </c>
      <c r="D21" s="39">
        <v>43831</v>
      </c>
      <c r="E21" s="74">
        <v>42500</v>
      </c>
      <c r="F21" s="74">
        <v>42500</v>
      </c>
      <c r="G21" s="74">
        <v>42500</v>
      </c>
      <c r="H21" s="74">
        <v>42500</v>
      </c>
      <c r="I21" s="74">
        <v>42500</v>
      </c>
      <c r="J21" s="74">
        <v>42500</v>
      </c>
      <c r="K21" s="74">
        <v>42500</v>
      </c>
      <c r="L21" s="74" t="s">
        <v>43</v>
      </c>
      <c r="M21" s="29">
        <v>12342</v>
      </c>
      <c r="N21" s="67"/>
      <c r="O21" s="67"/>
      <c r="P21" s="67">
        <v>2.64</v>
      </c>
      <c r="Q21" s="67"/>
      <c r="R21" s="67"/>
      <c r="S21" s="67">
        <v>4.53</v>
      </c>
      <c r="T21" s="67">
        <v>0.36699999999999999</v>
      </c>
      <c r="U21" s="67">
        <v>0.05</v>
      </c>
      <c r="V21" s="67"/>
      <c r="W21" s="67"/>
      <c r="X21" s="67"/>
      <c r="Y21" s="67">
        <v>197</v>
      </c>
      <c r="Z21" s="67"/>
      <c r="AA21" s="67"/>
      <c r="AB21" s="67"/>
      <c r="AC21" s="67"/>
      <c r="AD21" s="67"/>
      <c r="AE21" s="67"/>
      <c r="AF21" s="67"/>
      <c r="AG21" s="79" t="s">
        <v>39</v>
      </c>
    </row>
    <row r="22" spans="3:33">
      <c r="C22" s="39" t="s">
        <v>176</v>
      </c>
      <c r="D22" s="39">
        <v>43831</v>
      </c>
      <c r="E22" s="74">
        <v>42500</v>
      </c>
      <c r="F22" s="74">
        <v>42500</v>
      </c>
      <c r="G22" s="74">
        <v>42500</v>
      </c>
      <c r="H22" s="74">
        <v>42500</v>
      </c>
      <c r="I22" s="74">
        <v>42500</v>
      </c>
      <c r="J22" s="74">
        <v>42500</v>
      </c>
      <c r="K22" s="74">
        <v>42500</v>
      </c>
      <c r="L22" s="74" t="s">
        <v>43</v>
      </c>
      <c r="M22" s="29">
        <v>12342</v>
      </c>
      <c r="N22" s="67"/>
      <c r="O22" s="67"/>
      <c r="P22" s="67">
        <v>2.64</v>
      </c>
      <c r="Q22" s="67"/>
      <c r="R22" s="67"/>
      <c r="S22" s="67">
        <v>4.53</v>
      </c>
      <c r="T22" s="67">
        <v>0.36699999999999999</v>
      </c>
      <c r="U22" s="67">
        <v>0.05</v>
      </c>
      <c r="V22" s="67"/>
      <c r="W22" s="67"/>
      <c r="X22" s="67"/>
      <c r="Y22" s="67">
        <v>197</v>
      </c>
      <c r="Z22" s="67"/>
      <c r="AA22" s="67"/>
      <c r="AB22" s="67"/>
      <c r="AC22" s="67"/>
      <c r="AD22" s="67"/>
      <c r="AE22" s="67"/>
      <c r="AF22" s="67"/>
      <c r="AG22" s="79" t="s">
        <v>39</v>
      </c>
    </row>
    <row r="23" spans="3:33">
      <c r="C23" s="39" t="s">
        <v>172</v>
      </c>
      <c r="D23" s="39">
        <v>43831</v>
      </c>
      <c r="E23" s="74">
        <v>42500</v>
      </c>
      <c r="F23" s="74">
        <v>42500</v>
      </c>
      <c r="G23" s="74">
        <v>42500</v>
      </c>
      <c r="H23" s="74">
        <v>42500</v>
      </c>
      <c r="I23" s="74">
        <v>42500</v>
      </c>
      <c r="J23" s="74">
        <v>42500</v>
      </c>
      <c r="K23" s="74">
        <v>42500</v>
      </c>
      <c r="L23" s="74" t="s">
        <v>43</v>
      </c>
      <c r="M23" s="29">
        <v>12342</v>
      </c>
      <c r="N23" s="67"/>
      <c r="O23" s="67"/>
      <c r="P23" s="67">
        <v>2.64</v>
      </c>
      <c r="Q23" s="67"/>
      <c r="R23" s="67"/>
      <c r="S23" s="67">
        <v>4.53</v>
      </c>
      <c r="T23" s="67">
        <v>0.36699999999999999</v>
      </c>
      <c r="U23" s="67">
        <v>0.05</v>
      </c>
      <c r="V23" s="67"/>
      <c r="W23" s="67"/>
      <c r="X23" s="67"/>
      <c r="Y23" s="67">
        <v>197</v>
      </c>
      <c r="Z23" s="67"/>
      <c r="AA23" s="67"/>
      <c r="AB23" s="67"/>
      <c r="AC23" s="67"/>
      <c r="AD23" s="67"/>
      <c r="AE23" s="67"/>
      <c r="AF23" s="67"/>
      <c r="AG23" s="79" t="s">
        <v>39</v>
      </c>
    </row>
    <row r="24" spans="3:33">
      <c r="C24" s="39" t="s">
        <v>170</v>
      </c>
      <c r="D24" s="39">
        <v>43831</v>
      </c>
      <c r="E24" s="74">
        <v>42500</v>
      </c>
      <c r="F24" s="74">
        <v>42500</v>
      </c>
      <c r="G24" s="74">
        <v>42500</v>
      </c>
      <c r="H24" s="74">
        <v>42500</v>
      </c>
      <c r="I24" s="74">
        <v>42500</v>
      </c>
      <c r="J24" s="74">
        <v>42500</v>
      </c>
      <c r="K24" s="74">
        <v>42500</v>
      </c>
      <c r="L24" s="74" t="s">
        <v>43</v>
      </c>
      <c r="M24" s="29">
        <v>12342</v>
      </c>
      <c r="N24" s="67"/>
      <c r="O24" s="67"/>
      <c r="P24" s="67">
        <v>2.64</v>
      </c>
      <c r="Q24" s="67"/>
      <c r="R24" s="67"/>
      <c r="S24" s="67">
        <v>4.53</v>
      </c>
      <c r="T24" s="67">
        <v>0.36699999999999999</v>
      </c>
      <c r="U24" s="67">
        <v>0.05</v>
      </c>
      <c r="V24" s="67"/>
      <c r="W24" s="67"/>
      <c r="X24" s="67"/>
      <c r="Y24" s="67">
        <v>197</v>
      </c>
      <c r="Z24" s="67"/>
      <c r="AA24" s="67"/>
      <c r="AB24" s="67"/>
      <c r="AC24" s="67"/>
      <c r="AD24" s="67"/>
      <c r="AE24" s="67"/>
      <c r="AF24" s="67"/>
      <c r="AG24" s="79" t="s">
        <v>39</v>
      </c>
    </row>
    <row r="25" spans="3:33">
      <c r="C25" s="39" t="s">
        <v>168</v>
      </c>
      <c r="D25" s="39">
        <v>43831</v>
      </c>
      <c r="E25" s="74">
        <v>42500</v>
      </c>
      <c r="F25" s="74">
        <v>42500</v>
      </c>
      <c r="G25" s="74">
        <v>42500</v>
      </c>
      <c r="H25" s="74">
        <v>42500</v>
      </c>
      <c r="I25" s="74">
        <v>42500</v>
      </c>
      <c r="J25" s="74">
        <v>42500</v>
      </c>
      <c r="K25" s="74">
        <v>42500</v>
      </c>
      <c r="L25" s="74" t="s">
        <v>43</v>
      </c>
      <c r="M25" s="29">
        <v>12342</v>
      </c>
      <c r="N25" s="67"/>
      <c r="O25" s="67"/>
      <c r="P25" s="67">
        <v>2.64</v>
      </c>
      <c r="Q25" s="67"/>
      <c r="R25" s="67"/>
      <c r="S25" s="67">
        <v>4.53</v>
      </c>
      <c r="T25" s="67">
        <v>0.36699999999999999</v>
      </c>
      <c r="U25" s="67">
        <v>0.05</v>
      </c>
      <c r="V25" s="67"/>
      <c r="W25" s="67"/>
      <c r="X25" s="67"/>
      <c r="Y25" s="67">
        <v>197</v>
      </c>
      <c r="Z25" s="67"/>
      <c r="AA25" s="67"/>
      <c r="AB25" s="67"/>
      <c r="AC25" s="67"/>
      <c r="AD25" s="67"/>
      <c r="AE25" s="67"/>
      <c r="AF25" s="67"/>
      <c r="AG25" s="79" t="s">
        <v>39</v>
      </c>
    </row>
    <row r="26" spans="3:33">
      <c r="C26" s="39" t="s">
        <v>167</v>
      </c>
      <c r="D26" s="39">
        <v>43831</v>
      </c>
      <c r="E26" s="74">
        <v>42500</v>
      </c>
      <c r="F26" s="74">
        <v>42500</v>
      </c>
      <c r="G26" s="74">
        <v>42500</v>
      </c>
      <c r="H26" s="74">
        <v>42500</v>
      </c>
      <c r="I26" s="74">
        <v>42500</v>
      </c>
      <c r="J26" s="74">
        <v>42500</v>
      </c>
      <c r="K26" s="74">
        <v>42500</v>
      </c>
      <c r="L26" s="74" t="s">
        <v>43</v>
      </c>
      <c r="M26" s="29">
        <v>12342</v>
      </c>
      <c r="N26" s="67"/>
      <c r="O26" s="67"/>
      <c r="P26" s="67">
        <v>2.64</v>
      </c>
      <c r="Q26" s="67"/>
      <c r="R26" s="67"/>
      <c r="S26" s="67">
        <v>4.53</v>
      </c>
      <c r="T26" s="67">
        <v>0.36699999999999999</v>
      </c>
      <c r="U26" s="67">
        <v>0.05</v>
      </c>
      <c r="V26" s="67"/>
      <c r="W26" s="67"/>
      <c r="X26" s="67"/>
      <c r="Y26" s="67">
        <v>197</v>
      </c>
      <c r="Z26" s="67"/>
      <c r="AA26" s="67"/>
      <c r="AB26" s="67"/>
      <c r="AC26" s="67"/>
      <c r="AD26" s="67"/>
      <c r="AE26" s="67"/>
      <c r="AF26" s="67"/>
      <c r="AG26" s="79" t="s">
        <v>39</v>
      </c>
    </row>
    <row r="27" spans="3:33">
      <c r="C27" s="39" t="s">
        <v>95</v>
      </c>
      <c r="D27" s="39">
        <v>43831</v>
      </c>
      <c r="E27" s="74">
        <v>42500</v>
      </c>
      <c r="F27" s="74">
        <v>42500</v>
      </c>
      <c r="G27" s="74">
        <v>42500</v>
      </c>
      <c r="H27" s="74">
        <v>42500</v>
      </c>
      <c r="I27" s="74">
        <v>42500</v>
      </c>
      <c r="J27" s="74">
        <v>42500</v>
      </c>
      <c r="K27" s="74">
        <v>42500</v>
      </c>
      <c r="L27" s="74" t="s">
        <v>43</v>
      </c>
      <c r="M27" s="29">
        <v>12342</v>
      </c>
      <c r="N27" s="67"/>
      <c r="O27" s="67"/>
      <c r="P27" s="67">
        <v>2.64</v>
      </c>
      <c r="Q27" s="67"/>
      <c r="R27" s="67"/>
      <c r="S27" s="67">
        <v>4.53</v>
      </c>
      <c r="T27" s="67">
        <v>0.36699999999999999</v>
      </c>
      <c r="U27" s="67">
        <v>0.05</v>
      </c>
      <c r="V27" s="67"/>
      <c r="W27" s="67"/>
      <c r="X27" s="67"/>
      <c r="Y27" s="67">
        <v>197</v>
      </c>
      <c r="Z27" s="67"/>
      <c r="AA27" s="67"/>
      <c r="AB27" s="67"/>
      <c r="AC27" s="67"/>
      <c r="AD27" s="67"/>
      <c r="AE27" s="67"/>
      <c r="AF27" s="67"/>
      <c r="AG27" s="79" t="s">
        <v>39</v>
      </c>
    </row>
    <row r="28" spans="3:33">
      <c r="C28" s="39" t="s">
        <v>175</v>
      </c>
      <c r="D28" s="39">
        <v>43831</v>
      </c>
      <c r="E28" s="74">
        <v>42500</v>
      </c>
      <c r="F28" s="74">
        <v>42500</v>
      </c>
      <c r="G28" s="74">
        <v>42500</v>
      </c>
      <c r="H28" s="74">
        <v>42500</v>
      </c>
      <c r="I28" s="74">
        <v>42500</v>
      </c>
      <c r="J28" s="74">
        <v>42500</v>
      </c>
      <c r="K28" s="74">
        <v>42500</v>
      </c>
      <c r="L28" s="74" t="s">
        <v>43</v>
      </c>
      <c r="M28" s="29">
        <v>12342</v>
      </c>
      <c r="N28" s="67"/>
      <c r="O28" s="67"/>
      <c r="P28" s="67">
        <v>2.64</v>
      </c>
      <c r="Q28" s="67"/>
      <c r="R28" s="67"/>
      <c r="S28" s="67">
        <v>4.53</v>
      </c>
      <c r="T28" s="67">
        <v>0.36699999999999999</v>
      </c>
      <c r="U28" s="67">
        <v>0.05</v>
      </c>
      <c r="V28" s="67"/>
      <c r="W28" s="67"/>
      <c r="X28" s="67"/>
      <c r="Y28" s="67">
        <v>197</v>
      </c>
      <c r="Z28" s="67"/>
      <c r="AA28" s="67"/>
      <c r="AB28" s="67"/>
      <c r="AC28" s="67"/>
      <c r="AD28" s="67"/>
      <c r="AE28" s="67"/>
      <c r="AF28" s="67"/>
      <c r="AG28" s="79" t="s">
        <v>39</v>
      </c>
    </row>
    <row r="29" spans="3:33">
      <c r="C29" s="39" t="s">
        <v>177</v>
      </c>
      <c r="D29" s="39">
        <v>43831</v>
      </c>
      <c r="E29" s="74">
        <v>42500</v>
      </c>
      <c r="F29" s="74">
        <v>42500</v>
      </c>
      <c r="G29" s="74">
        <v>42500</v>
      </c>
      <c r="H29" s="74">
        <v>42500</v>
      </c>
      <c r="I29" s="74">
        <v>42500</v>
      </c>
      <c r="J29" s="74">
        <v>42500</v>
      </c>
      <c r="K29" s="74">
        <v>42500</v>
      </c>
      <c r="L29" s="74" t="s">
        <v>43</v>
      </c>
      <c r="M29" s="29">
        <v>12342</v>
      </c>
      <c r="N29" s="67"/>
      <c r="O29" s="67"/>
      <c r="P29" s="67">
        <v>2.64</v>
      </c>
      <c r="Q29" s="67"/>
      <c r="R29" s="67"/>
      <c r="S29" s="67">
        <v>4.53</v>
      </c>
      <c r="T29" s="67">
        <v>0.36699999999999999</v>
      </c>
      <c r="U29" s="67">
        <v>0.05</v>
      </c>
      <c r="V29" s="67"/>
      <c r="W29" s="67"/>
      <c r="X29" s="67"/>
      <c r="Y29" s="67">
        <v>197</v>
      </c>
      <c r="Z29" s="67"/>
      <c r="AA29" s="67"/>
      <c r="AB29" s="67"/>
      <c r="AC29" s="67"/>
      <c r="AD29" s="67"/>
      <c r="AE29" s="67"/>
      <c r="AF29" s="67"/>
      <c r="AG29" s="79" t="s">
        <v>39</v>
      </c>
    </row>
    <row r="30" spans="3:33">
      <c r="C30" s="39" t="s">
        <v>96</v>
      </c>
      <c r="D30" s="39">
        <v>43831</v>
      </c>
      <c r="E30" s="74">
        <v>42500</v>
      </c>
      <c r="F30" s="74">
        <v>42500</v>
      </c>
      <c r="G30" s="74">
        <v>42500</v>
      </c>
      <c r="H30" s="74">
        <v>42500</v>
      </c>
      <c r="I30" s="74">
        <v>42500</v>
      </c>
      <c r="J30" s="74">
        <v>42500</v>
      </c>
      <c r="K30" s="74">
        <v>42500</v>
      </c>
      <c r="L30" s="74" t="s">
        <v>43</v>
      </c>
      <c r="M30" s="29">
        <v>12342</v>
      </c>
      <c r="N30" s="67"/>
      <c r="O30" s="67"/>
      <c r="P30" s="67">
        <v>2.64</v>
      </c>
      <c r="Q30" s="67"/>
      <c r="R30" s="67"/>
      <c r="S30" s="67">
        <v>4.53</v>
      </c>
      <c r="T30" s="67">
        <v>0.36699999999999999</v>
      </c>
      <c r="U30" s="67">
        <v>0.05</v>
      </c>
      <c r="V30" s="67"/>
      <c r="W30" s="67"/>
      <c r="X30" s="67"/>
      <c r="Y30" s="67">
        <v>197</v>
      </c>
      <c r="Z30" s="67"/>
      <c r="AA30" s="67"/>
      <c r="AB30" s="67"/>
      <c r="AC30" s="67"/>
      <c r="AD30" s="67"/>
      <c r="AE30" s="67"/>
      <c r="AF30" s="67"/>
      <c r="AG30" s="79" t="s">
        <v>39</v>
      </c>
    </row>
    <row r="31" spans="3:33">
      <c r="C31" s="39" t="s">
        <v>173</v>
      </c>
      <c r="D31" s="39">
        <v>43831</v>
      </c>
      <c r="E31" s="74">
        <v>42500</v>
      </c>
      <c r="F31" s="74">
        <v>42500</v>
      </c>
      <c r="G31" s="74">
        <v>42500</v>
      </c>
      <c r="H31" s="74">
        <v>42500</v>
      </c>
      <c r="I31" s="74">
        <v>42500</v>
      </c>
      <c r="J31" s="74">
        <v>42500</v>
      </c>
      <c r="K31" s="74">
        <v>42500</v>
      </c>
      <c r="L31" s="74" t="s">
        <v>43</v>
      </c>
      <c r="M31" s="29">
        <v>12342</v>
      </c>
      <c r="N31" s="67"/>
      <c r="O31" s="67"/>
      <c r="P31" s="67">
        <v>2.64</v>
      </c>
      <c r="Q31" s="67"/>
      <c r="R31" s="67"/>
      <c r="S31" s="67">
        <v>4.53</v>
      </c>
      <c r="T31" s="67">
        <v>0.36699999999999999</v>
      </c>
      <c r="U31" s="67">
        <v>0.05</v>
      </c>
      <c r="V31" s="67"/>
      <c r="W31" s="67"/>
      <c r="X31" s="67"/>
      <c r="Y31" s="67">
        <v>197</v>
      </c>
      <c r="Z31" s="67"/>
      <c r="AA31" s="67"/>
      <c r="AB31" s="67"/>
      <c r="AC31" s="67"/>
      <c r="AD31" s="67"/>
      <c r="AE31" s="67"/>
      <c r="AF31" s="67"/>
      <c r="AG31" s="79" t="s">
        <v>39</v>
      </c>
    </row>
    <row r="32" spans="3:33">
      <c r="C32" s="39" t="s">
        <v>171</v>
      </c>
      <c r="D32" s="39">
        <v>43831</v>
      </c>
      <c r="E32" s="74">
        <v>42500</v>
      </c>
      <c r="F32" s="74">
        <v>42500</v>
      </c>
      <c r="G32" s="74">
        <v>42500</v>
      </c>
      <c r="H32" s="74">
        <v>42500</v>
      </c>
      <c r="I32" s="74">
        <v>42500</v>
      </c>
      <c r="J32" s="74">
        <v>42500</v>
      </c>
      <c r="K32" s="74">
        <v>42500</v>
      </c>
      <c r="L32" s="74" t="s">
        <v>43</v>
      </c>
      <c r="M32" s="29">
        <v>12342</v>
      </c>
      <c r="N32" s="67"/>
      <c r="O32" s="67"/>
      <c r="P32" s="67">
        <v>2.64</v>
      </c>
      <c r="Q32" s="67"/>
      <c r="R32" s="67"/>
      <c r="S32" s="67">
        <v>4.53</v>
      </c>
      <c r="T32" s="67">
        <v>0.36699999999999999</v>
      </c>
      <c r="U32" s="67">
        <v>0.05</v>
      </c>
      <c r="V32" s="67"/>
      <c r="W32" s="67"/>
      <c r="X32" s="67"/>
      <c r="Y32" s="67">
        <v>197</v>
      </c>
      <c r="Z32" s="67"/>
      <c r="AA32" s="67"/>
      <c r="AB32" s="67"/>
      <c r="AC32" s="67"/>
      <c r="AD32" s="67"/>
      <c r="AE32" s="67"/>
      <c r="AF32" s="67"/>
      <c r="AG32" s="79" t="s">
        <v>39</v>
      </c>
    </row>
    <row r="33" spans="1:33">
      <c r="C33" s="39" t="s">
        <v>302</v>
      </c>
      <c r="D33" s="39">
        <v>43831</v>
      </c>
      <c r="E33" s="74">
        <v>30000</v>
      </c>
      <c r="F33" s="74">
        <v>30000</v>
      </c>
      <c r="G33" s="74">
        <v>30000</v>
      </c>
      <c r="H33" s="74">
        <v>30000</v>
      </c>
      <c r="I33" s="74">
        <v>30000</v>
      </c>
      <c r="J33" s="74">
        <v>30000</v>
      </c>
      <c r="K33" s="74">
        <v>30000</v>
      </c>
      <c r="L33" s="74" t="s">
        <v>225</v>
      </c>
      <c r="M33" s="29">
        <v>0</v>
      </c>
      <c r="N33" s="30">
        <v>0</v>
      </c>
      <c r="O33" s="30">
        <v>0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67"/>
      <c r="AC33" s="67"/>
      <c r="AD33" s="67"/>
      <c r="AE33" s="67"/>
      <c r="AF33" s="67"/>
      <c r="AG33" s="79" t="s">
        <v>39</v>
      </c>
    </row>
    <row r="34" spans="1:33">
      <c r="C34" s="39"/>
      <c r="D34" s="39"/>
      <c r="E34" s="39"/>
      <c r="F34" s="66"/>
      <c r="G34" s="66"/>
      <c r="H34" s="66"/>
      <c r="I34" s="66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79" t="s">
        <v>39</v>
      </c>
    </row>
    <row r="35" spans="1:33">
      <c r="C35" s="39"/>
      <c r="D35" s="39"/>
      <c r="E35" s="39"/>
      <c r="F35" s="66"/>
      <c r="G35" s="66"/>
      <c r="H35" s="66"/>
      <c r="I35" s="66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79" t="s">
        <v>39</v>
      </c>
    </row>
    <row r="36" spans="1:33">
      <c r="C36" s="39"/>
      <c r="D36" s="39"/>
      <c r="E36" s="39"/>
      <c r="F36" s="66"/>
      <c r="G36" s="66"/>
      <c r="H36" s="66"/>
      <c r="I36" s="66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79" t="s">
        <v>39</v>
      </c>
    </row>
    <row r="37" spans="1:33">
      <c r="C37" s="39"/>
      <c r="D37" s="39"/>
      <c r="E37" s="39"/>
      <c r="F37" s="66"/>
      <c r="G37" s="66"/>
      <c r="H37" s="66"/>
      <c r="I37" s="66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79" t="s">
        <v>39</v>
      </c>
    </row>
    <row r="38" spans="1:33">
      <c r="C38" s="39"/>
      <c r="D38" s="39"/>
      <c r="E38" s="39"/>
      <c r="F38" s="66"/>
      <c r="G38" s="66"/>
      <c r="H38" s="66"/>
      <c r="I38" s="66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79" t="s">
        <v>39</v>
      </c>
    </row>
    <row r="39" spans="1:33">
      <c r="C39" s="39"/>
      <c r="D39" s="39"/>
      <c r="E39" s="39"/>
      <c r="F39" s="66"/>
      <c r="G39" s="66"/>
      <c r="H39" s="66"/>
      <c r="I39" s="66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79" t="s">
        <v>39</v>
      </c>
    </row>
    <row r="40" spans="1:33">
      <c r="C40" s="39"/>
      <c r="D40" s="39"/>
      <c r="E40" s="39"/>
      <c r="F40" s="66"/>
      <c r="G40" s="66"/>
      <c r="H40" s="66"/>
      <c r="I40" s="66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79" t="s">
        <v>39</v>
      </c>
    </row>
    <row r="41" spans="1:33">
      <c r="B41" s="80" t="s">
        <v>164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79" t="s">
        <v>39</v>
      </c>
    </row>
    <row r="42" spans="1:33">
      <c r="A42" s="78" t="s">
        <v>39</v>
      </c>
      <c r="B42" s="78" t="s">
        <v>39</v>
      </c>
      <c r="C42" s="78" t="s">
        <v>39</v>
      </c>
      <c r="D42" s="78" t="s">
        <v>39</v>
      </c>
      <c r="E42" s="78"/>
      <c r="F42" s="78" t="s">
        <v>39</v>
      </c>
      <c r="G42" s="78" t="s">
        <v>39</v>
      </c>
      <c r="H42" s="78"/>
      <c r="I42" s="78"/>
      <c r="J42" s="78" t="s">
        <v>39</v>
      </c>
      <c r="K42" s="78" t="s">
        <v>39</v>
      </c>
      <c r="L42" s="78"/>
      <c r="M42" s="78" t="s">
        <v>39</v>
      </c>
      <c r="N42" s="78" t="s">
        <v>39</v>
      </c>
      <c r="O42" s="78" t="s">
        <v>39</v>
      </c>
      <c r="P42" s="78" t="s">
        <v>39</v>
      </c>
      <c r="Q42" s="78" t="s">
        <v>39</v>
      </c>
      <c r="R42" s="78" t="s">
        <v>39</v>
      </c>
      <c r="S42" s="78" t="s">
        <v>39</v>
      </c>
      <c r="T42" s="78" t="s">
        <v>39</v>
      </c>
      <c r="U42" s="78" t="s">
        <v>39</v>
      </c>
      <c r="V42" s="78" t="s">
        <v>39</v>
      </c>
      <c r="W42" s="78" t="s">
        <v>39</v>
      </c>
      <c r="X42" s="78" t="s">
        <v>39</v>
      </c>
      <c r="Y42" s="78" t="s">
        <v>39</v>
      </c>
      <c r="Z42" s="78" t="s">
        <v>39</v>
      </c>
      <c r="AA42" s="78" t="s">
        <v>39</v>
      </c>
      <c r="AB42" s="78" t="s">
        <v>39</v>
      </c>
      <c r="AC42" s="78" t="s">
        <v>39</v>
      </c>
      <c r="AD42" s="78" t="s">
        <v>39</v>
      </c>
      <c r="AE42" s="78" t="s">
        <v>39</v>
      </c>
      <c r="AF42" s="78" t="s">
        <v>39</v>
      </c>
      <c r="AG42" s="79" t="s">
        <v>39</v>
      </c>
    </row>
  </sheetData>
  <autoFilter ref="C18:C42"/>
  <sortState ref="F51:F63">
    <sortCondition ref="F51:F6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30"/>
  <sheetViews>
    <sheetView workbookViewId="0">
      <pane xSplit="9" ySplit="24" topLeftCell="AK25" activePane="bottomRight" state="frozen"/>
      <selection pane="topRight" activeCell="J1" sqref="J1"/>
      <selection pane="bottomLeft" activeCell="A19" sqref="A19"/>
      <selection pane="bottomRight" activeCell="F28" sqref="F28"/>
    </sheetView>
  </sheetViews>
  <sheetFormatPr defaultColWidth="11" defaultRowHeight="15.75"/>
  <cols>
    <col min="3" max="3" width="13.5" customWidth="1"/>
    <col min="7" max="7" width="14.875" customWidth="1"/>
    <col min="8" max="8" width="8.375" bestFit="1" customWidth="1"/>
    <col min="11" max="11" width="11.125" bestFit="1" customWidth="1"/>
    <col min="17" max="17" width="11.5" bestFit="1" customWidth="1"/>
    <col min="29" max="37" width="13" bestFit="1" customWidth="1"/>
  </cols>
  <sheetData>
    <row r="1" spans="1:49">
      <c r="D1" s="79" t="s">
        <v>39</v>
      </c>
      <c r="H1" s="79" t="s">
        <v>39</v>
      </c>
      <c r="AW1" s="79" t="s">
        <v>39</v>
      </c>
    </row>
    <row r="2" spans="1:49">
      <c r="D2" s="79" t="s">
        <v>39</v>
      </c>
      <c r="H2" s="79" t="s">
        <v>39</v>
      </c>
      <c r="AW2" s="79" t="s">
        <v>39</v>
      </c>
    </row>
    <row r="3" spans="1:49" ht="16.5" thickBot="1">
      <c r="D3" s="79" t="s">
        <v>39</v>
      </c>
      <c r="H3" s="79" t="s">
        <v>39</v>
      </c>
      <c r="AW3" s="79" t="s">
        <v>39</v>
      </c>
    </row>
    <row r="4" spans="1:49">
      <c r="C4" s="13" t="s">
        <v>121</v>
      </c>
      <c r="D4" s="79" t="s">
        <v>39</v>
      </c>
      <c r="E4" s="195" t="s">
        <v>105</v>
      </c>
      <c r="F4" s="196" t="s">
        <v>107</v>
      </c>
      <c r="G4" s="458" t="s">
        <v>273</v>
      </c>
      <c r="H4" s="79" t="s">
        <v>39</v>
      </c>
      <c r="AW4" s="79" t="s">
        <v>39</v>
      </c>
    </row>
    <row r="5" spans="1:49">
      <c r="B5">
        <v>1</v>
      </c>
      <c r="C5" s="20" t="s">
        <v>190</v>
      </c>
      <c r="D5" s="79" t="s">
        <v>39</v>
      </c>
      <c r="E5" s="197">
        <v>0</v>
      </c>
      <c r="F5" s="198" t="s">
        <v>57</v>
      </c>
      <c r="G5" s="459"/>
      <c r="H5" s="79" t="s">
        <v>39</v>
      </c>
      <c r="AW5" s="79" t="s">
        <v>39</v>
      </c>
    </row>
    <row r="6" spans="1:49">
      <c r="B6">
        <v>2</v>
      </c>
      <c r="C6" s="20" t="s">
        <v>180</v>
      </c>
      <c r="D6" s="79" t="s">
        <v>39</v>
      </c>
      <c r="E6" s="197">
        <v>40000</v>
      </c>
      <c r="F6" s="198" t="s">
        <v>255</v>
      </c>
      <c r="G6" s="459"/>
      <c r="H6" s="79" t="s">
        <v>39</v>
      </c>
      <c r="AW6" s="79" t="s">
        <v>39</v>
      </c>
    </row>
    <row r="7" spans="1:49">
      <c r="B7">
        <v>3</v>
      </c>
      <c r="C7" s="20" t="s">
        <v>211</v>
      </c>
      <c r="D7" s="79" t="s">
        <v>39</v>
      </c>
      <c r="E7" s="197">
        <v>60000</v>
      </c>
      <c r="F7" s="198" t="s">
        <v>58</v>
      </c>
      <c r="G7" s="459"/>
      <c r="H7" s="79" t="s">
        <v>39</v>
      </c>
      <c r="AW7" s="79" t="s">
        <v>39</v>
      </c>
    </row>
    <row r="8" spans="1:49">
      <c r="B8">
        <v>4</v>
      </c>
      <c r="C8" s="20" t="s">
        <v>122</v>
      </c>
      <c r="D8" s="79" t="s">
        <v>39</v>
      </c>
      <c r="E8" s="197">
        <v>100000</v>
      </c>
      <c r="F8" s="198" t="s">
        <v>214</v>
      </c>
      <c r="G8" s="459"/>
      <c r="H8" s="79" t="s">
        <v>39</v>
      </c>
      <c r="AW8" s="79" t="s">
        <v>39</v>
      </c>
    </row>
    <row r="9" spans="1:49">
      <c r="B9">
        <v>5</v>
      </c>
      <c r="C9" s="20"/>
      <c r="D9" s="79" t="s">
        <v>39</v>
      </c>
      <c r="E9" s="197">
        <v>120000</v>
      </c>
      <c r="F9" s="198" t="s">
        <v>210</v>
      </c>
      <c r="G9" s="459"/>
      <c r="H9" s="79" t="s">
        <v>39</v>
      </c>
      <c r="AW9" s="79" t="s">
        <v>39</v>
      </c>
    </row>
    <row r="10" spans="1:49">
      <c r="B10">
        <v>6</v>
      </c>
      <c r="C10" s="20"/>
      <c r="D10" s="79" t="s">
        <v>39</v>
      </c>
      <c r="E10" s="197">
        <v>160000</v>
      </c>
      <c r="F10" s="198" t="s">
        <v>59</v>
      </c>
      <c r="G10" s="459"/>
      <c r="H10" s="79" t="s">
        <v>39</v>
      </c>
      <c r="AW10" s="79" t="s">
        <v>39</v>
      </c>
    </row>
    <row r="11" spans="1:49">
      <c r="B11">
        <v>7</v>
      </c>
      <c r="C11" s="20"/>
      <c r="D11" s="79" t="s">
        <v>39</v>
      </c>
      <c r="E11" s="197">
        <v>220000</v>
      </c>
      <c r="F11" s="198" t="s">
        <v>108</v>
      </c>
      <c r="G11" s="459"/>
      <c r="H11" s="79" t="s">
        <v>39</v>
      </c>
      <c r="AW11" s="79" t="s">
        <v>39</v>
      </c>
    </row>
    <row r="12" spans="1:49" ht="16.5" thickBot="1">
      <c r="B12">
        <v>8</v>
      </c>
      <c r="C12" s="20"/>
      <c r="D12" s="79" t="s">
        <v>39</v>
      </c>
      <c r="E12" s="199"/>
      <c r="F12" s="200"/>
      <c r="G12" s="460"/>
      <c r="H12" s="79" t="s">
        <v>39</v>
      </c>
      <c r="AW12" s="79" t="s">
        <v>39</v>
      </c>
    </row>
    <row r="13" spans="1:49">
      <c r="B13">
        <v>9</v>
      </c>
      <c r="C13" s="20"/>
      <c r="D13" s="79" t="s">
        <v>39</v>
      </c>
      <c r="H13" s="79" t="s">
        <v>39</v>
      </c>
      <c r="AW13" s="79" t="s">
        <v>39</v>
      </c>
    </row>
    <row r="14" spans="1:49">
      <c r="B14">
        <v>10</v>
      </c>
      <c r="C14" s="20"/>
      <c r="D14" s="79" t="s">
        <v>39</v>
      </c>
      <c r="H14" s="79" t="s">
        <v>39</v>
      </c>
      <c r="AW14" s="79" t="s">
        <v>39</v>
      </c>
    </row>
    <row r="15" spans="1:49">
      <c r="A15" s="79" t="s">
        <v>39</v>
      </c>
      <c r="B15" s="79" t="s">
        <v>39</v>
      </c>
      <c r="C15" s="79" t="s">
        <v>39</v>
      </c>
      <c r="D15" s="79" t="s">
        <v>39</v>
      </c>
      <c r="E15" s="79" t="s">
        <v>39</v>
      </c>
      <c r="F15" s="79" t="s">
        <v>39</v>
      </c>
      <c r="G15" s="79" t="s">
        <v>39</v>
      </c>
      <c r="H15" s="79" t="s">
        <v>39</v>
      </c>
      <c r="AW15" s="79" t="s">
        <v>39</v>
      </c>
    </row>
    <row r="16" spans="1:49">
      <c r="A16" s="79"/>
      <c r="B16" s="79"/>
      <c r="C16" s="79"/>
      <c r="D16" s="79"/>
      <c r="AW16" s="79" t="s">
        <v>39</v>
      </c>
    </row>
    <row r="17" spans="1:49">
      <c r="A17" s="79"/>
      <c r="B17" s="79"/>
      <c r="C17" s="79"/>
      <c r="D17" s="79"/>
      <c r="AW17" s="79" t="s">
        <v>39</v>
      </c>
    </row>
    <row r="18" spans="1:49">
      <c r="A18" s="79"/>
      <c r="B18" s="79"/>
      <c r="C18" s="79"/>
      <c r="D18" s="79"/>
      <c r="AW18" s="79" t="s">
        <v>39</v>
      </c>
    </row>
    <row r="19" spans="1:49">
      <c r="A19" s="79"/>
      <c r="B19" s="79"/>
      <c r="C19" s="79"/>
      <c r="D19" s="79"/>
      <c r="AW19" s="79" t="s">
        <v>39</v>
      </c>
    </row>
    <row r="20" spans="1:49">
      <c r="A20" s="79"/>
      <c r="B20" s="79"/>
      <c r="C20" s="79"/>
      <c r="D20" s="79"/>
      <c r="AW20" s="79" t="s">
        <v>39</v>
      </c>
    </row>
    <row r="21" spans="1:49">
      <c r="A21" s="79"/>
      <c r="B21" s="79"/>
      <c r="C21" s="79"/>
      <c r="D21" s="79"/>
      <c r="F21" s="182" t="s">
        <v>293</v>
      </c>
      <c r="AW21" s="79" t="s">
        <v>39</v>
      </c>
    </row>
    <row r="22" spans="1:49" ht="31.5">
      <c r="F22" s="141" t="s">
        <v>0</v>
      </c>
      <c r="G22" s="141" t="s">
        <v>121</v>
      </c>
      <c r="H22" s="141" t="s">
        <v>222</v>
      </c>
      <c r="I22" s="141" t="s">
        <v>218</v>
      </c>
      <c r="J22" s="139" t="s">
        <v>232</v>
      </c>
      <c r="K22" s="140"/>
      <c r="L22" s="140"/>
      <c r="M22" s="140"/>
      <c r="N22" s="140"/>
      <c r="O22" s="140"/>
      <c r="P22" s="140"/>
      <c r="Q22" s="140"/>
      <c r="R22" s="140"/>
      <c r="S22" s="143" t="s">
        <v>230</v>
      </c>
      <c r="T22" s="12"/>
      <c r="U22" s="12"/>
      <c r="V22" s="12"/>
      <c r="W22" s="12"/>
      <c r="X22" s="12"/>
      <c r="Y22" s="12"/>
      <c r="Z22" s="12"/>
      <c r="AA22" s="12"/>
      <c r="AB22" s="12"/>
      <c r="AC22" s="139" t="s">
        <v>233</v>
      </c>
      <c r="AD22" s="140"/>
      <c r="AE22" s="140"/>
      <c r="AF22" s="140"/>
      <c r="AG22" s="140"/>
      <c r="AH22" s="140"/>
      <c r="AI22" s="140"/>
      <c r="AJ22" s="140"/>
      <c r="AK22" s="140"/>
      <c r="AL22" s="143" t="s">
        <v>231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39" t="s">
        <v>234</v>
      </c>
      <c r="AW22" s="79" t="s">
        <v>39</v>
      </c>
    </row>
    <row r="23" spans="1:49" ht="31.5">
      <c r="F23" s="140"/>
      <c r="G23" s="140"/>
      <c r="H23" s="140"/>
      <c r="I23" s="140"/>
      <c r="J23" s="142" t="s">
        <v>219</v>
      </c>
      <c r="K23" s="142" t="s">
        <v>152</v>
      </c>
      <c r="L23" s="142" t="s">
        <v>152</v>
      </c>
      <c r="M23" s="142" t="s">
        <v>152</v>
      </c>
      <c r="N23" s="142" t="s">
        <v>152</v>
      </c>
      <c r="O23" s="142" t="s">
        <v>152</v>
      </c>
      <c r="P23" s="142" t="s">
        <v>152</v>
      </c>
      <c r="Q23" s="142" t="s">
        <v>152</v>
      </c>
      <c r="R23" s="142" t="s">
        <v>152</v>
      </c>
      <c r="S23" s="144" t="s">
        <v>219</v>
      </c>
      <c r="T23" s="144" t="s">
        <v>152</v>
      </c>
      <c r="U23" s="144" t="s">
        <v>152</v>
      </c>
      <c r="V23" s="144" t="s">
        <v>152</v>
      </c>
      <c r="W23" s="144" t="s">
        <v>152</v>
      </c>
      <c r="X23" s="144" t="s">
        <v>152</v>
      </c>
      <c r="Y23" s="144" t="s">
        <v>152</v>
      </c>
      <c r="Z23" s="144" t="s">
        <v>152</v>
      </c>
      <c r="AA23" s="144" t="s">
        <v>152</v>
      </c>
      <c r="AB23" s="144" t="s">
        <v>221</v>
      </c>
      <c r="AC23" s="141" t="s">
        <v>219</v>
      </c>
      <c r="AD23" s="142" t="s">
        <v>152</v>
      </c>
      <c r="AE23" s="142" t="s">
        <v>152</v>
      </c>
      <c r="AF23" s="142" t="s">
        <v>152</v>
      </c>
      <c r="AG23" s="142" t="s">
        <v>152</v>
      </c>
      <c r="AH23" s="142" t="s">
        <v>152</v>
      </c>
      <c r="AI23" s="142" t="s">
        <v>152</v>
      </c>
      <c r="AJ23" s="142" t="s">
        <v>152</v>
      </c>
      <c r="AK23" s="142" t="s">
        <v>152</v>
      </c>
      <c r="AL23" s="144" t="s">
        <v>219</v>
      </c>
      <c r="AM23" s="144" t="s">
        <v>152</v>
      </c>
      <c r="AN23" s="144" t="s">
        <v>152</v>
      </c>
      <c r="AO23" s="144" t="s">
        <v>152</v>
      </c>
      <c r="AP23" s="144" t="s">
        <v>152</v>
      </c>
      <c r="AQ23" s="144" t="s">
        <v>152</v>
      </c>
      <c r="AR23" s="144" t="s">
        <v>152</v>
      </c>
      <c r="AS23" s="144" t="s">
        <v>152</v>
      </c>
      <c r="AT23" s="144" t="s">
        <v>152</v>
      </c>
      <c r="AU23" s="144" t="s">
        <v>221</v>
      </c>
      <c r="AV23" s="142" t="s">
        <v>235</v>
      </c>
      <c r="AW23" s="79" t="s">
        <v>39</v>
      </c>
    </row>
    <row r="24" spans="1:49">
      <c r="F24" s="152">
        <v>43831</v>
      </c>
      <c r="G24" s="153" t="s">
        <v>190</v>
      </c>
      <c r="H24" s="153" t="s">
        <v>225</v>
      </c>
      <c r="I24" s="153" t="s">
        <v>220</v>
      </c>
      <c r="J24" s="154">
        <v>1000000</v>
      </c>
      <c r="K24" s="154">
        <v>1100000</v>
      </c>
      <c r="L24" s="154">
        <v>1200000</v>
      </c>
      <c r="M24" s="154">
        <v>1300000</v>
      </c>
      <c r="N24" s="154">
        <v>1400000</v>
      </c>
      <c r="O24" s="154">
        <v>1500000</v>
      </c>
      <c r="P24" s="154">
        <v>1600000</v>
      </c>
      <c r="Q24" s="154">
        <v>1700000</v>
      </c>
      <c r="R24" s="154">
        <v>1800000</v>
      </c>
      <c r="S24" s="155">
        <v>0</v>
      </c>
      <c r="T24" s="155">
        <v>0</v>
      </c>
      <c r="U24" s="155">
        <v>0</v>
      </c>
      <c r="V24" s="155">
        <v>0</v>
      </c>
      <c r="W24" s="155">
        <v>0</v>
      </c>
      <c r="X24" s="155">
        <v>0</v>
      </c>
      <c r="Y24" s="155">
        <v>0</v>
      </c>
      <c r="Z24" s="155">
        <v>0</v>
      </c>
      <c r="AA24" s="155">
        <v>0</v>
      </c>
      <c r="AB24" s="155">
        <v>0</v>
      </c>
      <c r="AC24" s="164">
        <v>1000000</v>
      </c>
      <c r="AD24" s="164">
        <v>1100000</v>
      </c>
      <c r="AE24" s="164">
        <v>1200000</v>
      </c>
      <c r="AF24" s="164">
        <v>1300000</v>
      </c>
      <c r="AG24" s="164">
        <v>1400000</v>
      </c>
      <c r="AH24" s="164">
        <v>1500000</v>
      </c>
      <c r="AI24" s="164">
        <v>1600000</v>
      </c>
      <c r="AJ24" s="164">
        <v>1700000</v>
      </c>
      <c r="AK24" s="164">
        <v>1800000</v>
      </c>
      <c r="AL24" s="156">
        <v>0</v>
      </c>
      <c r="AM24" s="156">
        <v>0</v>
      </c>
      <c r="AN24" s="156">
        <v>0</v>
      </c>
      <c r="AO24" s="156">
        <v>0</v>
      </c>
      <c r="AP24" s="156">
        <v>0</v>
      </c>
      <c r="AQ24" s="156">
        <v>0</v>
      </c>
      <c r="AR24" s="156">
        <v>0</v>
      </c>
      <c r="AS24" s="156">
        <v>0</v>
      </c>
      <c r="AT24" s="156">
        <v>0</v>
      </c>
      <c r="AU24" s="156">
        <v>0</v>
      </c>
      <c r="AV24" s="154">
        <v>0</v>
      </c>
      <c r="AW24" s="79" t="s">
        <v>39</v>
      </c>
    </row>
    <row r="25" spans="1:49">
      <c r="F25" s="5">
        <v>43831</v>
      </c>
      <c r="G25" s="12" t="s">
        <v>180</v>
      </c>
      <c r="H25" s="12" t="s">
        <v>225</v>
      </c>
      <c r="I25" s="12" t="s">
        <v>220</v>
      </c>
      <c r="J25" s="147">
        <v>5000</v>
      </c>
      <c r="K25" s="147">
        <v>5000</v>
      </c>
      <c r="L25" s="147">
        <v>10000</v>
      </c>
      <c r="M25" s="147">
        <v>20000</v>
      </c>
      <c r="N25" s="147">
        <v>20000</v>
      </c>
      <c r="O25" s="147">
        <v>25000</v>
      </c>
      <c r="P25" s="147">
        <v>35000</v>
      </c>
      <c r="Q25" s="150">
        <v>1700000</v>
      </c>
      <c r="R25" s="150">
        <v>1800000</v>
      </c>
      <c r="S25" s="148">
        <f>(4.09+2.72)/2</f>
        <v>3.4050000000000002</v>
      </c>
      <c r="T25" s="148">
        <f>(3.23+2.4)/2</f>
        <v>2.8149999999999999</v>
      </c>
      <c r="U25" s="148">
        <f>(2.57+2)/2</f>
        <v>2.2850000000000001</v>
      </c>
      <c r="V25" s="148">
        <f>(2.38+1.8)/2</f>
        <v>2.09</v>
      </c>
      <c r="W25" s="148">
        <f>(2.09+1.75)/2</f>
        <v>1.92</v>
      </c>
      <c r="X25" s="148">
        <f>(1.71+1.25)/2</f>
        <v>1.48</v>
      </c>
      <c r="Y25" s="148">
        <f>(1.28+1)/2</f>
        <v>1.1400000000000001</v>
      </c>
      <c r="Z25" s="151">
        <f>(0.86+0.75)/2</f>
        <v>0.80499999999999994</v>
      </c>
      <c r="AA25" s="151">
        <v>0</v>
      </c>
      <c r="AB25" s="151">
        <v>0</v>
      </c>
      <c r="AC25" s="164">
        <v>1000000</v>
      </c>
      <c r="AD25" s="164">
        <v>1100000</v>
      </c>
      <c r="AE25" s="164">
        <v>1200000</v>
      </c>
      <c r="AF25" s="164">
        <v>1300000</v>
      </c>
      <c r="AG25" s="164">
        <v>1400000</v>
      </c>
      <c r="AH25" s="164">
        <v>1500000</v>
      </c>
      <c r="AI25" s="164">
        <v>1600000</v>
      </c>
      <c r="AJ25" s="164">
        <v>1700000</v>
      </c>
      <c r="AK25" s="164">
        <v>1800000</v>
      </c>
      <c r="AL25" s="148">
        <v>0</v>
      </c>
      <c r="AM25" s="148">
        <v>0</v>
      </c>
      <c r="AN25" s="148">
        <v>0</v>
      </c>
      <c r="AO25" s="148">
        <v>0</v>
      </c>
      <c r="AP25" s="148">
        <v>0</v>
      </c>
      <c r="AQ25" s="148">
        <v>0</v>
      </c>
      <c r="AR25" s="148">
        <v>0</v>
      </c>
      <c r="AS25" s="148">
        <v>0</v>
      </c>
      <c r="AT25" s="148">
        <v>0</v>
      </c>
      <c r="AU25" s="148">
        <v>0</v>
      </c>
      <c r="AV25" s="147">
        <v>2</v>
      </c>
      <c r="AW25" s="79" t="s">
        <v>39</v>
      </c>
    </row>
    <row r="26" spans="1:49">
      <c r="F26" s="5">
        <v>43831</v>
      </c>
      <c r="G26" s="12" t="s">
        <v>211</v>
      </c>
      <c r="H26" s="12" t="s">
        <v>225</v>
      </c>
      <c r="I26" s="12" t="s">
        <v>220</v>
      </c>
      <c r="J26" s="147">
        <v>5000</v>
      </c>
      <c r="K26" s="147">
        <v>5000</v>
      </c>
      <c r="L26" s="147">
        <v>10000</v>
      </c>
      <c r="M26" s="147">
        <v>20000</v>
      </c>
      <c r="N26" s="147">
        <v>20000</v>
      </c>
      <c r="O26" s="147">
        <v>25000</v>
      </c>
      <c r="P26" s="147">
        <v>35000</v>
      </c>
      <c r="Q26" s="150">
        <v>1700000</v>
      </c>
      <c r="R26" s="150">
        <v>1800000</v>
      </c>
      <c r="S26" s="148">
        <f>(5.74+2.75)/2</f>
        <v>4.2450000000000001</v>
      </c>
      <c r="T26" s="148">
        <f>(4.97+2.4)/2</f>
        <v>3.6849999999999996</v>
      </c>
      <c r="U26" s="148">
        <f>(4.21+2)/2</f>
        <v>3.105</v>
      </c>
      <c r="V26" s="148">
        <f>(2.68+1.8)/2</f>
        <v>2.2400000000000002</v>
      </c>
      <c r="W26" s="148">
        <f>(1.91+1.75)/2</f>
        <v>1.83</v>
      </c>
      <c r="X26" s="148">
        <f>(0.77+1.25)/2</f>
        <v>1.01</v>
      </c>
      <c r="Y26" s="148">
        <f>(0.38+1)/2</f>
        <v>0.69</v>
      </c>
      <c r="Z26" s="151">
        <f>(0.38+0.75)/2</f>
        <v>0.56499999999999995</v>
      </c>
      <c r="AA26" s="151">
        <v>0</v>
      </c>
      <c r="AB26" s="151">
        <v>0</v>
      </c>
      <c r="AC26" s="165">
        <v>5000</v>
      </c>
      <c r="AD26" s="165">
        <v>5000</v>
      </c>
      <c r="AE26" s="165">
        <v>10000</v>
      </c>
      <c r="AF26" s="165">
        <v>20000</v>
      </c>
      <c r="AG26" s="165">
        <v>20000</v>
      </c>
      <c r="AH26" s="165">
        <v>25000</v>
      </c>
      <c r="AI26" s="165">
        <v>35000</v>
      </c>
      <c r="AJ26" s="164">
        <v>1700000</v>
      </c>
      <c r="AK26" s="164">
        <v>1800000</v>
      </c>
      <c r="AL26" s="148">
        <v>0.35</v>
      </c>
      <c r="AM26" s="148">
        <v>0.34</v>
      </c>
      <c r="AN26" s="148">
        <v>0.33</v>
      </c>
      <c r="AO26" s="148">
        <v>0.3</v>
      </c>
      <c r="AP26" s="148">
        <v>0.25</v>
      </c>
      <c r="AQ26" s="148">
        <v>0.2</v>
      </c>
      <c r="AR26" s="148">
        <v>0.15</v>
      </c>
      <c r="AS26" s="148">
        <v>0.1</v>
      </c>
      <c r="AT26" s="148">
        <v>0</v>
      </c>
      <c r="AU26" s="148">
        <v>0</v>
      </c>
      <c r="AV26" s="147">
        <v>2</v>
      </c>
      <c r="AW26" s="79" t="s">
        <v>39</v>
      </c>
    </row>
    <row r="27" spans="1:49">
      <c r="F27" s="5">
        <v>43831</v>
      </c>
      <c r="G27" s="12" t="s">
        <v>122</v>
      </c>
      <c r="H27" s="12" t="s">
        <v>209</v>
      </c>
      <c r="I27" s="12" t="s">
        <v>223</v>
      </c>
      <c r="J27" s="147">
        <v>5000</v>
      </c>
      <c r="K27" s="147">
        <v>5000</v>
      </c>
      <c r="L27" s="147">
        <v>10000</v>
      </c>
      <c r="M27" s="147">
        <v>20000</v>
      </c>
      <c r="N27" s="147">
        <v>30000</v>
      </c>
      <c r="O27" s="147">
        <v>50000</v>
      </c>
      <c r="P27" s="150">
        <v>1600000</v>
      </c>
      <c r="Q27" s="150">
        <v>1700000</v>
      </c>
      <c r="R27" s="150">
        <v>1800000</v>
      </c>
      <c r="S27" s="148">
        <f>(8.27+7.04)/2</f>
        <v>7.6549999999999994</v>
      </c>
      <c r="T27" s="148">
        <f>(6.32+5.38)/2</f>
        <v>5.85</v>
      </c>
      <c r="U27" s="148">
        <f>(5+4.25)/2</f>
        <v>4.625</v>
      </c>
      <c r="V27" s="148">
        <f>(1.83+1.55)/2</f>
        <v>1.69</v>
      </c>
      <c r="W27" s="148">
        <f>(1.61+1.37)/2</f>
        <v>1.4900000000000002</v>
      </c>
      <c r="X27" s="148">
        <f>(1.51+1.28)/2</f>
        <v>1.395</v>
      </c>
      <c r="Y27" s="148">
        <f>(1.45+1.23)/2</f>
        <v>1.3399999999999999</v>
      </c>
      <c r="Z27" s="151">
        <v>0</v>
      </c>
      <c r="AA27" s="151">
        <v>0</v>
      </c>
      <c r="AB27" s="151">
        <v>0</v>
      </c>
      <c r="AC27" s="164">
        <v>1000000</v>
      </c>
      <c r="AD27" s="164">
        <v>1100000</v>
      </c>
      <c r="AE27" s="164">
        <v>1200000</v>
      </c>
      <c r="AF27" s="164">
        <v>1300000</v>
      </c>
      <c r="AG27" s="164">
        <v>1400000</v>
      </c>
      <c r="AH27" s="164">
        <v>1500000</v>
      </c>
      <c r="AI27" s="164">
        <v>1600000</v>
      </c>
      <c r="AJ27" s="164">
        <v>1700000</v>
      </c>
      <c r="AK27" s="164">
        <v>1800000</v>
      </c>
      <c r="AL27" s="148">
        <v>0</v>
      </c>
      <c r="AM27" s="148">
        <v>0</v>
      </c>
      <c r="AN27" s="148">
        <v>0</v>
      </c>
      <c r="AO27" s="148">
        <v>0</v>
      </c>
      <c r="AP27" s="148">
        <v>0</v>
      </c>
      <c r="AQ27" s="148">
        <v>0</v>
      </c>
      <c r="AR27" s="148">
        <v>0</v>
      </c>
      <c r="AS27" s="148">
        <v>0</v>
      </c>
      <c r="AT27" s="148">
        <v>0</v>
      </c>
      <c r="AU27" s="148">
        <v>0</v>
      </c>
      <c r="AV27" s="147">
        <v>2</v>
      </c>
      <c r="AW27" s="79" t="s">
        <v>39</v>
      </c>
    </row>
    <row r="28" spans="1:49">
      <c r="F28" s="5"/>
      <c r="G28" s="12"/>
      <c r="H28" s="12"/>
      <c r="I28" s="12"/>
      <c r="J28" s="147"/>
      <c r="K28" s="147"/>
      <c r="L28" s="147"/>
      <c r="M28" s="147"/>
      <c r="N28" s="147"/>
      <c r="O28" s="147"/>
      <c r="P28" s="150"/>
      <c r="Q28" s="150"/>
      <c r="R28" s="150"/>
      <c r="S28" s="148"/>
      <c r="T28" s="148"/>
      <c r="U28" s="148"/>
      <c r="V28" s="148"/>
      <c r="W28" s="148"/>
      <c r="X28" s="148"/>
      <c r="Y28" s="148"/>
      <c r="Z28" s="151"/>
      <c r="AA28" s="151"/>
      <c r="AB28" s="151"/>
      <c r="AC28" s="164"/>
      <c r="AD28" s="164"/>
      <c r="AE28" s="164"/>
      <c r="AF28" s="164"/>
      <c r="AG28" s="164"/>
      <c r="AH28" s="164"/>
      <c r="AI28" s="164"/>
      <c r="AJ28" s="164"/>
      <c r="AK28" s="164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7"/>
      <c r="AW28" s="79" t="s">
        <v>39</v>
      </c>
    </row>
    <row r="29" spans="1:49">
      <c r="F29" s="80" t="s">
        <v>227</v>
      </c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79" t="s">
        <v>39</v>
      </c>
    </row>
    <row r="30" spans="1:49">
      <c r="A30" s="79" t="s">
        <v>39</v>
      </c>
      <c r="B30" s="79" t="s">
        <v>39</v>
      </c>
      <c r="C30" s="79" t="s">
        <v>39</v>
      </c>
      <c r="D30" s="79" t="s">
        <v>39</v>
      </c>
      <c r="E30" s="79" t="s">
        <v>39</v>
      </c>
      <c r="F30" s="79" t="s">
        <v>39</v>
      </c>
      <c r="G30" s="79" t="s">
        <v>39</v>
      </c>
      <c r="H30" s="79" t="s">
        <v>39</v>
      </c>
      <c r="I30" s="79" t="s">
        <v>39</v>
      </c>
      <c r="J30" s="79" t="s">
        <v>39</v>
      </c>
      <c r="K30" s="79" t="s">
        <v>39</v>
      </c>
      <c r="L30" s="79" t="s">
        <v>39</v>
      </c>
      <c r="M30" s="79" t="s">
        <v>39</v>
      </c>
      <c r="N30" s="79" t="s">
        <v>39</v>
      </c>
      <c r="O30" s="79" t="s">
        <v>39</v>
      </c>
      <c r="P30" s="79" t="s">
        <v>39</v>
      </c>
      <c r="Q30" s="79" t="s">
        <v>39</v>
      </c>
      <c r="R30" s="79" t="s">
        <v>39</v>
      </c>
      <c r="S30" s="79" t="s">
        <v>39</v>
      </c>
      <c r="T30" s="79" t="s">
        <v>39</v>
      </c>
      <c r="U30" s="79" t="s">
        <v>39</v>
      </c>
      <c r="V30" s="79" t="s">
        <v>39</v>
      </c>
      <c r="W30" s="79" t="s">
        <v>39</v>
      </c>
      <c r="X30" s="79" t="s">
        <v>39</v>
      </c>
      <c r="Y30" s="79" t="s">
        <v>39</v>
      </c>
      <c r="Z30" s="79" t="s">
        <v>39</v>
      </c>
      <c r="AA30" s="79" t="s">
        <v>39</v>
      </c>
      <c r="AB30" s="79" t="s">
        <v>39</v>
      </c>
      <c r="AC30" s="79" t="s">
        <v>39</v>
      </c>
      <c r="AD30" s="79" t="s">
        <v>39</v>
      </c>
      <c r="AE30" s="79" t="s">
        <v>39</v>
      </c>
      <c r="AF30" s="79" t="s">
        <v>39</v>
      </c>
      <c r="AG30" s="79" t="s">
        <v>39</v>
      </c>
      <c r="AH30" s="79" t="s">
        <v>39</v>
      </c>
      <c r="AI30" s="79" t="s">
        <v>39</v>
      </c>
      <c r="AJ30" s="79" t="s">
        <v>39</v>
      </c>
      <c r="AK30" s="79" t="s">
        <v>39</v>
      </c>
      <c r="AL30" s="79" t="s">
        <v>39</v>
      </c>
      <c r="AM30" s="79" t="s">
        <v>39</v>
      </c>
      <c r="AN30" s="79" t="s">
        <v>39</v>
      </c>
      <c r="AO30" s="79" t="s">
        <v>39</v>
      </c>
      <c r="AP30" s="79" t="s">
        <v>39</v>
      </c>
      <c r="AQ30" s="79" t="s">
        <v>39</v>
      </c>
      <c r="AR30" s="79" t="s">
        <v>39</v>
      </c>
      <c r="AS30" s="79" t="s">
        <v>39</v>
      </c>
      <c r="AT30" s="79" t="s">
        <v>39</v>
      </c>
      <c r="AU30" s="79" t="s">
        <v>39</v>
      </c>
      <c r="AV30" s="79" t="s">
        <v>39</v>
      </c>
      <c r="AW30" s="79" t="s">
        <v>39</v>
      </c>
    </row>
  </sheetData>
  <mergeCells count="1">
    <mergeCell ref="G4:G12"/>
  </mergeCells>
  <phoneticPr fontId="7" type="noConversion"/>
  <dataValidations disablePrompts="1" count="2">
    <dataValidation type="list" allowBlank="1" showInputMessage="1" showErrorMessage="1" sqref="I24:I28">
      <formula1>"DWT,NRT"</formula1>
    </dataValidation>
    <dataValidation type="list" allowBlank="1" showInputMessage="1" showErrorMessage="1" sqref="G24:G28">
      <formula1>$C$5:$C$14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'FX rates'!$E$8:$H$8</xm:f>
          </x14:formula1>
          <xm:sqref>H24:H28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7"/>
  <sheetViews>
    <sheetView zoomScaleNormal="100" workbookViewId="0">
      <pane xSplit="7" ySplit="17" topLeftCell="N18" activePane="bottomRight" state="frozen"/>
      <selection pane="topRight" activeCell="H1" sqref="H1"/>
      <selection pane="bottomLeft" activeCell="A31" sqref="A31"/>
      <selection pane="bottomRight" activeCell="C15" sqref="C15"/>
    </sheetView>
  </sheetViews>
  <sheetFormatPr defaultColWidth="11" defaultRowHeight="15.75"/>
  <cols>
    <col min="3" max="3" width="13" customWidth="1"/>
    <col min="4" max="4" width="14.125" customWidth="1"/>
    <col min="5" max="5" width="28.625" customWidth="1"/>
  </cols>
  <sheetData>
    <row r="1" spans="2:7">
      <c r="G1" s="79" t="s">
        <v>39</v>
      </c>
    </row>
    <row r="2" spans="2:7" ht="16.5" thickBot="1">
      <c r="C2" s="184" t="s">
        <v>0</v>
      </c>
      <c r="D2" s="184" t="s">
        <v>251</v>
      </c>
      <c r="E2" s="184" t="s">
        <v>267</v>
      </c>
      <c r="G2" s="79" t="s">
        <v>39</v>
      </c>
    </row>
    <row r="3" spans="2:7">
      <c r="B3">
        <v>1</v>
      </c>
      <c r="C3" s="185">
        <v>43831</v>
      </c>
      <c r="D3" s="186" t="s">
        <v>108</v>
      </c>
      <c r="E3" s="187" t="s">
        <v>252</v>
      </c>
      <c r="G3" s="79" t="s">
        <v>39</v>
      </c>
    </row>
    <row r="4" spans="2:7" ht="16.5" thickBot="1">
      <c r="B4">
        <v>2</v>
      </c>
      <c r="C4" s="189"/>
      <c r="D4" s="190"/>
      <c r="E4" s="191"/>
      <c r="G4" s="79" t="s">
        <v>39</v>
      </c>
    </row>
    <row r="5" spans="2:7">
      <c r="B5">
        <v>1</v>
      </c>
      <c r="C5" s="185">
        <v>43831</v>
      </c>
      <c r="D5" s="186" t="s">
        <v>59</v>
      </c>
      <c r="E5" s="187" t="s">
        <v>253</v>
      </c>
      <c r="G5" s="79" t="s">
        <v>39</v>
      </c>
    </row>
    <row r="6" spans="2:7">
      <c r="B6">
        <v>2</v>
      </c>
      <c r="C6" s="188">
        <v>43831</v>
      </c>
      <c r="D6" s="20" t="s">
        <v>59</v>
      </c>
      <c r="E6" s="134" t="s">
        <v>242</v>
      </c>
      <c r="G6" s="79" t="s">
        <v>39</v>
      </c>
    </row>
    <row r="7" spans="2:7" ht="16.5" thickBot="1">
      <c r="B7">
        <v>3</v>
      </c>
      <c r="C7" s="189"/>
      <c r="D7" s="190"/>
      <c r="E7" s="191"/>
      <c r="G7" s="79" t="s">
        <v>39</v>
      </c>
    </row>
    <row r="8" spans="2:7">
      <c r="B8">
        <v>1</v>
      </c>
      <c r="C8" s="185">
        <v>43831</v>
      </c>
      <c r="D8" s="186" t="s">
        <v>58</v>
      </c>
      <c r="E8" s="187" t="s">
        <v>254</v>
      </c>
      <c r="G8" s="79" t="s">
        <v>39</v>
      </c>
    </row>
    <row r="9" spans="2:7">
      <c r="B9">
        <v>2</v>
      </c>
      <c r="C9" s="188">
        <v>43831</v>
      </c>
      <c r="D9" s="20" t="s">
        <v>58</v>
      </c>
      <c r="E9" s="134" t="s">
        <v>241</v>
      </c>
      <c r="G9" s="79" t="s">
        <v>39</v>
      </c>
    </row>
    <row r="10" spans="2:7" ht="16.5" thickBot="1">
      <c r="B10">
        <v>3</v>
      </c>
      <c r="C10" s="189"/>
      <c r="D10" s="190"/>
      <c r="E10" s="191"/>
      <c r="G10" s="79" t="s">
        <v>39</v>
      </c>
    </row>
    <row r="11" spans="2:7">
      <c r="B11">
        <v>1</v>
      </c>
      <c r="C11" s="185">
        <v>43831</v>
      </c>
      <c r="D11" s="186" t="s">
        <v>255</v>
      </c>
      <c r="E11" s="187" t="s">
        <v>258</v>
      </c>
      <c r="G11" s="79" t="s">
        <v>39</v>
      </c>
    </row>
    <row r="12" spans="2:7">
      <c r="B12">
        <v>2</v>
      </c>
      <c r="C12" s="188">
        <v>43831</v>
      </c>
      <c r="D12" s="20" t="s">
        <v>255</v>
      </c>
      <c r="E12" s="134" t="s">
        <v>243</v>
      </c>
      <c r="G12" s="79" t="s">
        <v>39</v>
      </c>
    </row>
    <row r="13" spans="2:7" ht="16.5" thickBot="1">
      <c r="B13">
        <v>3</v>
      </c>
      <c r="C13" s="189"/>
      <c r="D13" s="190"/>
      <c r="E13" s="191"/>
      <c r="G13" s="79" t="s">
        <v>39</v>
      </c>
    </row>
    <row r="14" spans="2:7">
      <c r="B14">
        <v>1</v>
      </c>
      <c r="C14" s="185">
        <v>43831</v>
      </c>
      <c r="D14" s="186" t="s">
        <v>57</v>
      </c>
      <c r="E14" s="187" t="s">
        <v>259</v>
      </c>
      <c r="G14" s="79" t="s">
        <v>39</v>
      </c>
    </row>
    <row r="15" spans="2:7" ht="16.5" thickBot="1">
      <c r="B15">
        <v>2</v>
      </c>
      <c r="C15" s="189"/>
      <c r="D15" s="190"/>
      <c r="E15" s="191"/>
      <c r="G15" s="79" t="s">
        <v>39</v>
      </c>
    </row>
    <row r="16" spans="2:7">
      <c r="B16" s="192" t="s">
        <v>272</v>
      </c>
      <c r="C16" s="80"/>
      <c r="D16" s="80"/>
      <c r="E16" s="80"/>
      <c r="F16" s="80"/>
      <c r="G16" s="79" t="s">
        <v>39</v>
      </c>
    </row>
    <row r="17" spans="1:7">
      <c r="A17" s="79" t="s">
        <v>39</v>
      </c>
      <c r="B17" s="79" t="s">
        <v>39</v>
      </c>
      <c r="C17" s="79" t="s">
        <v>39</v>
      </c>
      <c r="D17" s="79" t="s">
        <v>39</v>
      </c>
      <c r="E17" s="79" t="s">
        <v>39</v>
      </c>
      <c r="F17" s="79" t="s">
        <v>39</v>
      </c>
      <c r="G17" s="79" t="s">
        <v>39</v>
      </c>
    </row>
  </sheetData>
  <dataValidations disablePrompts="1" count="5">
    <dataValidation type="list" allowBlank="1" showInputMessage="1" showErrorMessage="1" sqref="D3:D4">
      <formula1>"VLOC"</formula1>
    </dataValidation>
    <dataValidation type="list" allowBlank="1" showInputMessage="1" showErrorMessage="1" sqref="D5:D7">
      <formula1>"Capesize"</formula1>
    </dataValidation>
    <dataValidation type="list" allowBlank="1" showInputMessage="1" showErrorMessage="1" sqref="D8:D10">
      <formula1>"Panamax"</formula1>
    </dataValidation>
    <dataValidation type="list" allowBlank="1" showInputMessage="1" showErrorMessage="1" sqref="D11:D13">
      <formula1>"Supramax"</formula1>
    </dataValidation>
    <dataValidation type="list" allowBlank="1" showInputMessage="1" showErrorMessage="1" sqref="D14:D15">
      <formula1>"Handysize"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K1005"/>
  <sheetViews>
    <sheetView workbookViewId="0">
      <pane xSplit="2" ySplit="5" topLeftCell="C433" activePane="bottomRight" state="frozen"/>
      <selection pane="topRight" activeCell="J1" sqref="J1"/>
      <selection pane="bottomLeft" activeCell="A6" sqref="A6"/>
      <selection pane="bottomRight" activeCell="Q433" sqref="Q433"/>
    </sheetView>
  </sheetViews>
  <sheetFormatPr defaultColWidth="11" defaultRowHeight="15.75"/>
  <cols>
    <col min="4" max="4" width="12.375" customWidth="1"/>
  </cols>
  <sheetData>
    <row r="1" spans="1:11">
      <c r="A1" s="36"/>
      <c r="B1" s="36" t="s">
        <v>52</v>
      </c>
      <c r="D1" t="s">
        <v>289</v>
      </c>
      <c r="K1" s="36" t="s">
        <v>52</v>
      </c>
    </row>
    <row r="2" spans="1:11">
      <c r="A2" s="36"/>
      <c r="B2" s="36" t="s">
        <v>52</v>
      </c>
      <c r="K2" s="36" t="s">
        <v>52</v>
      </c>
    </row>
    <row r="3" spans="1:11" ht="47.25">
      <c r="A3" s="36"/>
      <c r="B3" s="36" t="s">
        <v>52</v>
      </c>
      <c r="D3" s="211" t="s">
        <v>0</v>
      </c>
      <c r="E3" s="211" t="s">
        <v>284</v>
      </c>
      <c r="F3" s="211" t="s">
        <v>287</v>
      </c>
      <c r="G3" s="211" t="s">
        <v>264</v>
      </c>
      <c r="H3" s="212" t="s">
        <v>288</v>
      </c>
      <c r="I3" s="212" t="s">
        <v>285</v>
      </c>
      <c r="J3" s="212" t="s">
        <v>286</v>
      </c>
      <c r="K3" s="36" t="s">
        <v>52</v>
      </c>
    </row>
    <row r="4" spans="1:11">
      <c r="A4" s="36"/>
      <c r="B4" s="36" t="s">
        <v>52</v>
      </c>
      <c r="D4" s="213" t="s">
        <v>14</v>
      </c>
      <c r="E4" s="214" t="s">
        <v>29</v>
      </c>
      <c r="F4" s="215" t="s">
        <v>13</v>
      </c>
      <c r="G4" s="215" t="s">
        <v>13</v>
      </c>
      <c r="H4" s="215" t="s">
        <v>13</v>
      </c>
      <c r="I4" s="215" t="s">
        <v>13</v>
      </c>
      <c r="J4" s="215" t="s">
        <v>13</v>
      </c>
      <c r="K4" s="36" t="s">
        <v>52</v>
      </c>
    </row>
    <row r="5" spans="1:11">
      <c r="A5" s="36"/>
      <c r="B5" s="36" t="s">
        <v>52</v>
      </c>
      <c r="D5" s="406">
        <v>40724</v>
      </c>
      <c r="E5" s="120" t="s">
        <v>248</v>
      </c>
      <c r="F5" s="146">
        <v>637.15</v>
      </c>
      <c r="G5" s="146"/>
      <c r="H5" s="146"/>
      <c r="I5" s="146">
        <v>894</v>
      </c>
      <c r="J5" s="146"/>
      <c r="K5" s="36" t="s">
        <v>52</v>
      </c>
    </row>
    <row r="6" spans="1:11">
      <c r="A6" s="36"/>
      <c r="B6" s="36" t="s">
        <v>52</v>
      </c>
      <c r="D6" s="406">
        <v>40731</v>
      </c>
      <c r="E6" s="120" t="s">
        <v>248</v>
      </c>
      <c r="F6" s="146">
        <v>650</v>
      </c>
      <c r="G6" s="146"/>
      <c r="H6" s="146"/>
      <c r="I6" s="146">
        <v>912.8</v>
      </c>
      <c r="J6" s="146"/>
      <c r="K6" s="36" t="s">
        <v>52</v>
      </c>
    </row>
    <row r="7" spans="1:11">
      <c r="A7" s="36"/>
      <c r="B7" s="36" t="s">
        <v>52</v>
      </c>
      <c r="D7" s="406">
        <v>40738</v>
      </c>
      <c r="E7" s="120" t="s">
        <v>248</v>
      </c>
      <c r="F7" s="146">
        <v>666.2</v>
      </c>
      <c r="G7" s="146"/>
      <c r="H7" s="146"/>
      <c r="I7" s="146">
        <v>945.4</v>
      </c>
      <c r="J7" s="146"/>
      <c r="K7" s="36" t="s">
        <v>52</v>
      </c>
    </row>
    <row r="8" spans="1:11">
      <c r="A8" s="36"/>
      <c r="B8" s="36" t="s">
        <v>52</v>
      </c>
      <c r="D8" s="406">
        <v>40745</v>
      </c>
      <c r="E8" s="120" t="s">
        <v>248</v>
      </c>
      <c r="F8" s="146">
        <v>670.6</v>
      </c>
      <c r="G8" s="146"/>
      <c r="H8" s="146"/>
      <c r="I8" s="146">
        <v>953.2</v>
      </c>
      <c r="J8" s="146"/>
      <c r="K8" s="36" t="s">
        <v>52</v>
      </c>
    </row>
    <row r="9" spans="1:11">
      <c r="A9" s="36"/>
      <c r="B9" s="36" t="s">
        <v>52</v>
      </c>
      <c r="D9" s="406">
        <v>40752</v>
      </c>
      <c r="E9" s="120" t="s">
        <v>248</v>
      </c>
      <c r="F9" s="146">
        <v>681.2</v>
      </c>
      <c r="G9" s="146"/>
      <c r="H9" s="146"/>
      <c r="I9" s="146">
        <v>958</v>
      </c>
      <c r="J9" s="146"/>
      <c r="K9" s="36" t="s">
        <v>52</v>
      </c>
    </row>
    <row r="10" spans="1:11">
      <c r="A10" s="36"/>
      <c r="B10" s="36" t="s">
        <v>52</v>
      </c>
      <c r="D10" s="406">
        <v>40759</v>
      </c>
      <c r="E10" s="120" t="s">
        <v>248</v>
      </c>
      <c r="F10" s="146">
        <v>674.7</v>
      </c>
      <c r="G10" s="146"/>
      <c r="H10" s="146"/>
      <c r="I10" s="146">
        <v>952.8</v>
      </c>
      <c r="J10" s="146"/>
      <c r="K10" s="36" t="s">
        <v>52</v>
      </c>
    </row>
    <row r="11" spans="1:11">
      <c r="A11" s="36"/>
      <c r="B11" s="36" t="s">
        <v>52</v>
      </c>
      <c r="D11" s="406">
        <v>40766</v>
      </c>
      <c r="E11" s="120" t="s">
        <v>248</v>
      </c>
      <c r="F11" s="146">
        <v>639.9</v>
      </c>
      <c r="G11" s="146"/>
      <c r="H11" s="146"/>
      <c r="I11" s="146">
        <v>894</v>
      </c>
      <c r="J11" s="146"/>
      <c r="K11" s="36" t="s">
        <v>52</v>
      </c>
    </row>
    <row r="12" spans="1:11">
      <c r="A12" s="36"/>
      <c r="B12" s="36" t="s">
        <v>52</v>
      </c>
      <c r="D12" s="406">
        <v>40773</v>
      </c>
      <c r="E12" s="120" t="s">
        <v>248</v>
      </c>
      <c r="F12" s="146">
        <v>648.79999999999995</v>
      </c>
      <c r="G12" s="146"/>
      <c r="H12" s="146"/>
      <c r="I12" s="146">
        <v>900.6</v>
      </c>
      <c r="J12" s="146"/>
      <c r="K12" s="36" t="s">
        <v>52</v>
      </c>
    </row>
    <row r="13" spans="1:11">
      <c r="A13" s="36"/>
      <c r="B13" s="36" t="s">
        <v>52</v>
      </c>
      <c r="D13" s="406">
        <v>40780</v>
      </c>
      <c r="E13" s="120" t="s">
        <v>248</v>
      </c>
      <c r="F13" s="146">
        <v>649.20000000000005</v>
      </c>
      <c r="G13" s="146"/>
      <c r="H13" s="146"/>
      <c r="I13" s="146">
        <v>900</v>
      </c>
      <c r="J13" s="146"/>
      <c r="K13" s="36" t="s">
        <v>52</v>
      </c>
    </row>
    <row r="14" spans="1:11">
      <c r="A14" s="36"/>
      <c r="B14" s="36" t="s">
        <v>52</v>
      </c>
      <c r="D14" s="406">
        <v>40787</v>
      </c>
      <c r="E14" s="120" t="s">
        <v>248</v>
      </c>
      <c r="F14" s="146">
        <v>663.40000000000009</v>
      </c>
      <c r="G14" s="146"/>
      <c r="H14" s="146"/>
      <c r="I14" s="146">
        <v>918.8</v>
      </c>
      <c r="J14" s="146"/>
      <c r="K14" s="36" t="s">
        <v>52</v>
      </c>
    </row>
    <row r="15" spans="1:11">
      <c r="A15" s="36"/>
      <c r="B15" s="36" t="s">
        <v>52</v>
      </c>
      <c r="D15" s="406">
        <v>40794</v>
      </c>
      <c r="E15" s="120" t="s">
        <v>248</v>
      </c>
      <c r="F15" s="146">
        <v>659.7</v>
      </c>
      <c r="G15" s="146"/>
      <c r="H15" s="146"/>
      <c r="I15" s="146">
        <v>922.6</v>
      </c>
      <c r="J15" s="146"/>
      <c r="K15" s="36" t="s">
        <v>52</v>
      </c>
    </row>
    <row r="16" spans="1:11">
      <c r="A16" s="36"/>
      <c r="B16" s="36" t="s">
        <v>52</v>
      </c>
      <c r="D16" s="406">
        <v>40801</v>
      </c>
      <c r="E16" s="120" t="s">
        <v>248</v>
      </c>
      <c r="F16" s="146">
        <v>653.20000000000005</v>
      </c>
      <c r="G16" s="146"/>
      <c r="H16" s="146"/>
      <c r="I16" s="146">
        <v>910.4</v>
      </c>
      <c r="J16" s="146"/>
      <c r="K16" s="36" t="s">
        <v>52</v>
      </c>
    </row>
    <row r="17" spans="1:11">
      <c r="A17" s="36"/>
      <c r="B17" s="36" t="s">
        <v>52</v>
      </c>
      <c r="D17" s="406">
        <v>40808</v>
      </c>
      <c r="E17" s="120" t="s">
        <v>248</v>
      </c>
      <c r="F17" s="146">
        <v>655.09999999999991</v>
      </c>
      <c r="G17" s="146"/>
      <c r="H17" s="146"/>
      <c r="I17" s="146">
        <v>911.6</v>
      </c>
      <c r="J17" s="146"/>
      <c r="K17" s="36" t="s">
        <v>52</v>
      </c>
    </row>
    <row r="18" spans="1:11">
      <c r="A18" s="36"/>
      <c r="B18" s="36" t="s">
        <v>52</v>
      </c>
      <c r="D18" s="406">
        <v>40815</v>
      </c>
      <c r="E18" s="120" t="s">
        <v>248</v>
      </c>
      <c r="F18" s="146">
        <v>638.79999999999995</v>
      </c>
      <c r="G18" s="146"/>
      <c r="H18" s="146"/>
      <c r="I18" s="146">
        <v>877</v>
      </c>
      <c r="J18" s="146"/>
      <c r="K18" s="36" t="s">
        <v>52</v>
      </c>
    </row>
    <row r="19" spans="1:11">
      <c r="A19" s="36"/>
      <c r="B19" s="36" t="s">
        <v>52</v>
      </c>
      <c r="D19" s="406">
        <v>40822</v>
      </c>
      <c r="E19" s="120" t="s">
        <v>248</v>
      </c>
      <c r="F19" s="146">
        <v>638.79999999999995</v>
      </c>
      <c r="G19" s="146"/>
      <c r="H19" s="146"/>
      <c r="I19" s="146">
        <v>877</v>
      </c>
      <c r="J19" s="146"/>
      <c r="K19" s="36" t="s">
        <v>52</v>
      </c>
    </row>
    <row r="20" spans="1:11">
      <c r="A20" s="36"/>
      <c r="B20" s="36" t="s">
        <v>52</v>
      </c>
      <c r="D20" s="406">
        <v>40829</v>
      </c>
      <c r="E20" s="120" t="s">
        <v>248</v>
      </c>
      <c r="F20" s="146">
        <v>657.3</v>
      </c>
      <c r="G20" s="146"/>
      <c r="H20" s="146"/>
      <c r="I20" s="146">
        <v>880.4</v>
      </c>
      <c r="J20" s="146"/>
      <c r="K20" s="36" t="s">
        <v>52</v>
      </c>
    </row>
    <row r="21" spans="1:11">
      <c r="A21" s="36"/>
      <c r="B21" s="36" t="s">
        <v>52</v>
      </c>
      <c r="D21" s="406">
        <v>40836</v>
      </c>
      <c r="E21" s="120" t="s">
        <v>248</v>
      </c>
      <c r="F21" s="146">
        <v>678.3</v>
      </c>
      <c r="G21" s="146"/>
      <c r="H21" s="146"/>
      <c r="I21" s="146">
        <v>903.8</v>
      </c>
      <c r="J21" s="146"/>
      <c r="K21" s="36" t="s">
        <v>52</v>
      </c>
    </row>
    <row r="22" spans="1:11">
      <c r="A22" s="36"/>
      <c r="B22" s="36" t="s">
        <v>52</v>
      </c>
      <c r="D22" s="406">
        <v>40843</v>
      </c>
      <c r="E22" s="120" t="s">
        <v>248</v>
      </c>
      <c r="F22" s="146">
        <v>681.2</v>
      </c>
      <c r="G22" s="146"/>
      <c r="H22" s="146"/>
      <c r="I22" s="146">
        <v>916</v>
      </c>
      <c r="J22" s="146"/>
      <c r="K22" s="36" t="s">
        <v>52</v>
      </c>
    </row>
    <row r="23" spans="1:11">
      <c r="A23" s="36"/>
      <c r="B23" s="36" t="s">
        <v>52</v>
      </c>
      <c r="D23" s="406">
        <v>40850</v>
      </c>
      <c r="E23" s="120" t="s">
        <v>248</v>
      </c>
      <c r="F23" s="146">
        <v>683.9</v>
      </c>
      <c r="G23" s="146"/>
      <c r="H23" s="146"/>
      <c r="I23" s="146">
        <v>923</v>
      </c>
      <c r="J23" s="146"/>
      <c r="K23" s="36" t="s">
        <v>52</v>
      </c>
    </row>
    <row r="24" spans="1:11">
      <c r="A24" s="36"/>
      <c r="B24" s="36" t="s">
        <v>52</v>
      </c>
      <c r="D24" s="406">
        <v>40857</v>
      </c>
      <c r="E24" s="120" t="s">
        <v>248</v>
      </c>
      <c r="F24" s="146">
        <v>703.2</v>
      </c>
      <c r="G24" s="146"/>
      <c r="H24" s="146"/>
      <c r="I24" s="146">
        <v>947</v>
      </c>
      <c r="J24" s="146"/>
      <c r="K24" s="36" t="s">
        <v>52</v>
      </c>
    </row>
    <row r="25" spans="1:11">
      <c r="A25" s="36"/>
      <c r="B25" s="36" t="s">
        <v>52</v>
      </c>
      <c r="D25" s="406">
        <v>40864</v>
      </c>
      <c r="E25" s="120" t="s">
        <v>248</v>
      </c>
      <c r="F25" s="146">
        <v>705.4</v>
      </c>
      <c r="G25" s="146"/>
      <c r="H25" s="146"/>
      <c r="I25" s="146">
        <v>966.4</v>
      </c>
      <c r="J25" s="146"/>
      <c r="K25" s="36" t="s">
        <v>52</v>
      </c>
    </row>
    <row r="26" spans="1:11">
      <c r="A26" s="36"/>
      <c r="B26" s="36" t="s">
        <v>52</v>
      </c>
      <c r="D26" s="406">
        <v>40871</v>
      </c>
      <c r="E26" s="120" t="s">
        <v>248</v>
      </c>
      <c r="F26" s="146">
        <v>669</v>
      </c>
      <c r="G26" s="146"/>
      <c r="H26" s="146"/>
      <c r="I26" s="146">
        <v>929</v>
      </c>
      <c r="J26" s="146"/>
      <c r="K26" s="36" t="s">
        <v>52</v>
      </c>
    </row>
    <row r="27" spans="1:11">
      <c r="A27" s="36"/>
      <c r="B27" s="36" t="s">
        <v>52</v>
      </c>
      <c r="D27" s="406">
        <v>40878</v>
      </c>
      <c r="E27" s="120" t="s">
        <v>248</v>
      </c>
      <c r="F27" s="146">
        <v>676.6</v>
      </c>
      <c r="G27" s="146"/>
      <c r="H27" s="146"/>
      <c r="I27" s="146">
        <v>918.8</v>
      </c>
      <c r="J27" s="146"/>
      <c r="K27" s="36" t="s">
        <v>52</v>
      </c>
    </row>
    <row r="28" spans="1:11">
      <c r="A28" s="36"/>
      <c r="B28" s="36" t="s">
        <v>52</v>
      </c>
      <c r="D28" s="406">
        <v>40885</v>
      </c>
      <c r="E28" s="120" t="s">
        <v>248</v>
      </c>
      <c r="F28" s="146">
        <v>674.3</v>
      </c>
      <c r="G28" s="146"/>
      <c r="H28" s="146"/>
      <c r="I28" s="146">
        <v>923</v>
      </c>
      <c r="J28" s="146"/>
      <c r="K28" s="36" t="s">
        <v>52</v>
      </c>
    </row>
    <row r="29" spans="1:11">
      <c r="A29" s="36"/>
      <c r="B29" s="36" t="s">
        <v>52</v>
      </c>
      <c r="D29" s="406">
        <v>40892</v>
      </c>
      <c r="E29" s="120" t="s">
        <v>248</v>
      </c>
      <c r="F29" s="146">
        <v>655.5</v>
      </c>
      <c r="G29" s="146"/>
      <c r="H29" s="146"/>
      <c r="I29" s="146">
        <v>912.6</v>
      </c>
      <c r="J29" s="146"/>
      <c r="K29" s="36" t="s">
        <v>52</v>
      </c>
    </row>
    <row r="30" spans="1:11">
      <c r="A30" s="36"/>
      <c r="B30" s="36" t="s">
        <v>52</v>
      </c>
      <c r="D30" s="406">
        <v>40899</v>
      </c>
      <c r="E30" s="120" t="s">
        <v>248</v>
      </c>
      <c r="F30" s="146">
        <v>655.7</v>
      </c>
      <c r="G30" s="146"/>
      <c r="H30" s="146"/>
      <c r="I30" s="146">
        <v>900.6</v>
      </c>
      <c r="J30" s="146"/>
      <c r="K30" s="36" t="s">
        <v>52</v>
      </c>
    </row>
    <row r="31" spans="1:11">
      <c r="A31" s="36"/>
      <c r="B31" s="36" t="s">
        <v>52</v>
      </c>
      <c r="D31" s="406">
        <v>40906</v>
      </c>
      <c r="E31" s="120" t="s">
        <v>248</v>
      </c>
      <c r="F31" s="146">
        <v>680.125</v>
      </c>
      <c r="G31" s="146"/>
      <c r="H31" s="146"/>
      <c r="I31" s="146">
        <v>915.25</v>
      </c>
      <c r="J31" s="146"/>
      <c r="K31" s="36" t="s">
        <v>52</v>
      </c>
    </row>
    <row r="32" spans="1:11">
      <c r="A32" s="36"/>
      <c r="B32" s="36" t="s">
        <v>52</v>
      </c>
      <c r="D32" s="406">
        <v>40913</v>
      </c>
      <c r="E32" s="120" t="s">
        <v>248</v>
      </c>
      <c r="F32" s="146">
        <v>703.3</v>
      </c>
      <c r="G32" s="146"/>
      <c r="H32" s="146"/>
      <c r="I32" s="146">
        <v>1534.4</v>
      </c>
      <c r="J32" s="146"/>
      <c r="K32" s="36" t="s">
        <v>52</v>
      </c>
    </row>
    <row r="33" spans="1:11">
      <c r="A33" s="36"/>
      <c r="B33" s="36" t="s">
        <v>52</v>
      </c>
      <c r="D33" s="406">
        <v>40920</v>
      </c>
      <c r="E33" s="120" t="s">
        <v>248</v>
      </c>
      <c r="F33" s="146">
        <v>729</v>
      </c>
      <c r="G33" s="146"/>
      <c r="H33" s="146"/>
      <c r="I33" s="146">
        <v>957.8</v>
      </c>
      <c r="J33" s="146"/>
      <c r="K33" s="36" t="s">
        <v>52</v>
      </c>
    </row>
    <row r="34" spans="1:11">
      <c r="A34" s="36"/>
      <c r="B34" s="36" t="s">
        <v>52</v>
      </c>
      <c r="D34" s="406">
        <v>40927</v>
      </c>
      <c r="E34" s="120" t="s">
        <v>248</v>
      </c>
      <c r="F34" s="146">
        <v>731.2</v>
      </c>
      <c r="G34" s="146"/>
      <c r="H34" s="146"/>
      <c r="I34" s="146">
        <v>953.2</v>
      </c>
      <c r="J34" s="146"/>
      <c r="K34" s="36" t="s">
        <v>52</v>
      </c>
    </row>
    <row r="35" spans="1:11">
      <c r="A35" s="36"/>
      <c r="B35" s="36" t="s">
        <v>52</v>
      </c>
      <c r="D35" s="406">
        <v>40934</v>
      </c>
      <c r="E35" s="120" t="s">
        <v>248</v>
      </c>
      <c r="F35" s="146">
        <v>731.2</v>
      </c>
      <c r="G35" s="146"/>
      <c r="H35" s="146"/>
      <c r="I35" s="146">
        <v>953.2</v>
      </c>
      <c r="J35" s="146"/>
      <c r="K35" s="36" t="s">
        <v>52</v>
      </c>
    </row>
    <row r="36" spans="1:11">
      <c r="A36" s="36"/>
      <c r="B36" s="36" t="s">
        <v>52</v>
      </c>
      <c r="D36" s="406">
        <v>40941</v>
      </c>
      <c r="E36" s="120" t="s">
        <v>248</v>
      </c>
      <c r="F36" s="146">
        <v>735.7</v>
      </c>
      <c r="G36" s="146"/>
      <c r="H36" s="146"/>
      <c r="I36" s="146">
        <v>946.4</v>
      </c>
      <c r="J36" s="146"/>
      <c r="K36" s="36" t="s">
        <v>52</v>
      </c>
    </row>
    <row r="37" spans="1:11">
      <c r="A37" s="36"/>
      <c r="B37" s="36" t="s">
        <v>52</v>
      </c>
      <c r="D37" s="406">
        <v>40948</v>
      </c>
      <c r="E37" s="120" t="s">
        <v>248</v>
      </c>
      <c r="F37" s="146">
        <v>735.2</v>
      </c>
      <c r="G37" s="146"/>
      <c r="H37" s="146"/>
      <c r="I37" s="146">
        <v>966.6</v>
      </c>
      <c r="J37" s="146"/>
      <c r="K37" s="36" t="s">
        <v>52</v>
      </c>
    </row>
    <row r="38" spans="1:11">
      <c r="A38" s="36"/>
      <c r="B38" s="36" t="s">
        <v>52</v>
      </c>
      <c r="D38" s="406">
        <v>40955</v>
      </c>
      <c r="E38" s="120" t="s">
        <v>248</v>
      </c>
      <c r="F38" s="146">
        <v>736.8</v>
      </c>
      <c r="G38" s="146"/>
      <c r="H38" s="146"/>
      <c r="I38" s="146">
        <v>974</v>
      </c>
      <c r="J38" s="146"/>
      <c r="K38" s="36" t="s">
        <v>52</v>
      </c>
    </row>
    <row r="39" spans="1:11">
      <c r="A39" s="36"/>
      <c r="B39" s="36" t="s">
        <v>52</v>
      </c>
      <c r="D39" s="406">
        <v>40962</v>
      </c>
      <c r="E39" s="120" t="s">
        <v>248</v>
      </c>
      <c r="F39" s="146">
        <v>735.09999999999991</v>
      </c>
      <c r="G39" s="146"/>
      <c r="H39" s="146"/>
      <c r="I39" s="146">
        <v>988</v>
      </c>
      <c r="J39" s="146"/>
      <c r="K39" s="36" t="s">
        <v>52</v>
      </c>
    </row>
    <row r="40" spans="1:11">
      <c r="A40" s="36"/>
      <c r="B40" s="36" t="s">
        <v>52</v>
      </c>
      <c r="D40" s="406">
        <v>40969</v>
      </c>
      <c r="E40" s="120" t="s">
        <v>248</v>
      </c>
      <c r="F40" s="146">
        <v>734.3</v>
      </c>
      <c r="G40" s="146"/>
      <c r="H40" s="146"/>
      <c r="I40" s="146">
        <v>992</v>
      </c>
      <c r="J40" s="146"/>
      <c r="K40" s="36" t="s">
        <v>52</v>
      </c>
    </row>
    <row r="41" spans="1:11">
      <c r="A41" s="36"/>
      <c r="B41" s="36" t="s">
        <v>52</v>
      </c>
      <c r="D41" s="406">
        <v>40976</v>
      </c>
      <c r="E41" s="120" t="s">
        <v>248</v>
      </c>
      <c r="F41" s="146">
        <v>737.8</v>
      </c>
      <c r="G41" s="146"/>
      <c r="H41" s="146"/>
      <c r="I41" s="146">
        <v>987.6</v>
      </c>
      <c r="J41" s="146"/>
      <c r="K41" s="36" t="s">
        <v>52</v>
      </c>
    </row>
    <row r="42" spans="1:11">
      <c r="A42" s="36"/>
      <c r="B42" s="36" t="s">
        <v>52</v>
      </c>
      <c r="D42" s="406">
        <v>40983</v>
      </c>
      <c r="E42" s="120" t="s">
        <v>248</v>
      </c>
      <c r="F42" s="146">
        <v>732.2</v>
      </c>
      <c r="G42" s="146"/>
      <c r="H42" s="146"/>
      <c r="I42" s="146">
        <v>1004</v>
      </c>
      <c r="J42" s="146"/>
      <c r="K42" s="36" t="s">
        <v>52</v>
      </c>
    </row>
    <row r="43" spans="1:11">
      <c r="A43" s="36"/>
      <c r="B43" s="36" t="s">
        <v>52</v>
      </c>
      <c r="D43" s="406">
        <v>40990</v>
      </c>
      <c r="E43" s="120" t="s">
        <v>248</v>
      </c>
      <c r="F43" s="146">
        <v>733.2</v>
      </c>
      <c r="G43" s="146"/>
      <c r="H43" s="146"/>
      <c r="I43" s="146">
        <v>1006</v>
      </c>
      <c r="J43" s="146"/>
      <c r="K43" s="36" t="s">
        <v>52</v>
      </c>
    </row>
    <row r="44" spans="1:11">
      <c r="A44" s="36"/>
      <c r="B44" s="36" t="s">
        <v>52</v>
      </c>
      <c r="D44" s="406">
        <v>40997</v>
      </c>
      <c r="E44" s="120" t="s">
        <v>248</v>
      </c>
      <c r="F44" s="146">
        <v>734.09999999999991</v>
      </c>
      <c r="G44" s="146"/>
      <c r="H44" s="146"/>
      <c r="I44" s="146">
        <v>1007.8</v>
      </c>
      <c r="J44" s="146"/>
      <c r="K44" s="36" t="s">
        <v>52</v>
      </c>
    </row>
    <row r="45" spans="1:11">
      <c r="A45" s="36"/>
      <c r="B45" s="36" t="s">
        <v>52</v>
      </c>
      <c r="D45" s="406">
        <v>41004</v>
      </c>
      <c r="E45" s="120" t="s">
        <v>248</v>
      </c>
      <c r="F45" s="146">
        <v>733.3</v>
      </c>
      <c r="G45" s="146"/>
      <c r="H45" s="146"/>
      <c r="I45" s="146">
        <v>1003.4</v>
      </c>
      <c r="J45" s="146"/>
      <c r="K45" s="36" t="s">
        <v>52</v>
      </c>
    </row>
    <row r="46" spans="1:11">
      <c r="A46" s="36"/>
      <c r="B46" s="36" t="s">
        <v>52</v>
      </c>
      <c r="D46" s="406">
        <v>41011</v>
      </c>
      <c r="E46" s="120" t="s">
        <v>248</v>
      </c>
      <c r="F46" s="146">
        <v>727.4</v>
      </c>
      <c r="G46" s="146"/>
      <c r="H46" s="146"/>
      <c r="I46" s="146">
        <v>993</v>
      </c>
      <c r="J46" s="146"/>
      <c r="K46" s="36" t="s">
        <v>52</v>
      </c>
    </row>
    <row r="47" spans="1:11">
      <c r="A47" s="36"/>
      <c r="B47" s="36" t="s">
        <v>52</v>
      </c>
      <c r="D47" s="406">
        <v>41018</v>
      </c>
      <c r="E47" s="120" t="s">
        <v>248</v>
      </c>
      <c r="F47" s="146">
        <v>715.8</v>
      </c>
      <c r="G47" s="146"/>
      <c r="H47" s="146"/>
      <c r="I47" s="146">
        <v>977.8</v>
      </c>
      <c r="J47" s="146"/>
      <c r="K47" s="36" t="s">
        <v>52</v>
      </c>
    </row>
    <row r="48" spans="1:11">
      <c r="A48" s="36"/>
      <c r="B48" s="36" t="s">
        <v>52</v>
      </c>
      <c r="D48" s="406">
        <v>41025</v>
      </c>
      <c r="E48" s="120" t="s">
        <v>248</v>
      </c>
      <c r="F48" s="146">
        <v>716.3</v>
      </c>
      <c r="G48" s="146"/>
      <c r="H48" s="146"/>
      <c r="I48" s="146">
        <v>974.2</v>
      </c>
      <c r="J48" s="146"/>
      <c r="K48" s="36" t="s">
        <v>52</v>
      </c>
    </row>
    <row r="49" spans="1:11">
      <c r="A49" s="36"/>
      <c r="B49" s="36" t="s">
        <v>52</v>
      </c>
      <c r="D49" s="406">
        <v>41032</v>
      </c>
      <c r="E49" s="120" t="s">
        <v>248</v>
      </c>
      <c r="F49" s="146">
        <v>717.9</v>
      </c>
      <c r="G49" s="146"/>
      <c r="H49" s="146"/>
      <c r="I49" s="146">
        <v>979</v>
      </c>
      <c r="J49" s="146"/>
      <c r="K49" s="36" t="s">
        <v>52</v>
      </c>
    </row>
    <row r="50" spans="1:11">
      <c r="A50" s="36"/>
      <c r="B50" s="36" t="s">
        <v>52</v>
      </c>
      <c r="D50" s="406">
        <v>41039</v>
      </c>
      <c r="E50" s="120" t="s">
        <v>248</v>
      </c>
      <c r="F50" s="146">
        <v>685.2</v>
      </c>
      <c r="G50" s="146"/>
      <c r="H50" s="146"/>
      <c r="I50" s="146">
        <v>943.6</v>
      </c>
      <c r="J50" s="146"/>
      <c r="K50" s="36" t="s">
        <v>52</v>
      </c>
    </row>
    <row r="51" spans="1:11">
      <c r="A51" s="36"/>
      <c r="B51" s="36" t="s">
        <v>52</v>
      </c>
      <c r="D51" s="406">
        <v>41046</v>
      </c>
      <c r="E51" s="120" t="s">
        <v>248</v>
      </c>
      <c r="F51" s="146">
        <v>665</v>
      </c>
      <c r="G51" s="146"/>
      <c r="H51" s="146"/>
      <c r="I51" s="146">
        <v>925.6</v>
      </c>
      <c r="J51" s="146"/>
      <c r="K51" s="36" t="s">
        <v>52</v>
      </c>
    </row>
    <row r="52" spans="1:11">
      <c r="A52" s="36"/>
      <c r="B52" s="36" t="s">
        <v>52</v>
      </c>
      <c r="D52" s="406">
        <v>41053</v>
      </c>
      <c r="E52" s="120" t="s">
        <v>248</v>
      </c>
      <c r="F52" s="146">
        <v>648.70000000000005</v>
      </c>
      <c r="G52" s="146"/>
      <c r="H52" s="146"/>
      <c r="I52" s="146">
        <v>895.6</v>
      </c>
      <c r="J52" s="146"/>
      <c r="K52" s="36" t="s">
        <v>52</v>
      </c>
    </row>
    <row r="53" spans="1:11">
      <c r="A53" s="36"/>
      <c r="B53" s="36" t="s">
        <v>52</v>
      </c>
      <c r="D53" s="406">
        <v>41060</v>
      </c>
      <c r="E53" s="120" t="s">
        <v>248</v>
      </c>
      <c r="F53" s="146">
        <v>644.40000000000009</v>
      </c>
      <c r="G53" s="146"/>
      <c r="H53" s="146"/>
      <c r="I53" s="146">
        <v>879.6</v>
      </c>
      <c r="J53" s="146"/>
      <c r="K53" s="36" t="s">
        <v>52</v>
      </c>
    </row>
    <row r="54" spans="1:11">
      <c r="A54" s="36"/>
      <c r="B54" s="36" t="s">
        <v>52</v>
      </c>
      <c r="D54" s="406">
        <v>41067</v>
      </c>
      <c r="E54" s="120" t="s">
        <v>248</v>
      </c>
      <c r="F54" s="146">
        <v>591.20000000000005</v>
      </c>
      <c r="G54" s="146"/>
      <c r="H54" s="146"/>
      <c r="I54" s="146">
        <v>835</v>
      </c>
      <c r="J54" s="146"/>
      <c r="K54" s="36" t="s">
        <v>52</v>
      </c>
    </row>
    <row r="55" spans="1:11">
      <c r="A55" s="36"/>
      <c r="B55" s="36" t="s">
        <v>52</v>
      </c>
      <c r="D55" s="406">
        <v>41074</v>
      </c>
      <c r="E55" s="120" t="s">
        <v>248</v>
      </c>
      <c r="F55" s="146">
        <v>597.5</v>
      </c>
      <c r="G55" s="146"/>
      <c r="H55" s="146"/>
      <c r="I55" s="146">
        <v>827</v>
      </c>
      <c r="J55" s="146"/>
      <c r="K55" s="36" t="s">
        <v>52</v>
      </c>
    </row>
    <row r="56" spans="1:11">
      <c r="A56" s="36"/>
      <c r="B56" s="36" t="s">
        <v>52</v>
      </c>
      <c r="D56" s="406">
        <v>41081</v>
      </c>
      <c r="E56" s="120" t="s">
        <v>248</v>
      </c>
      <c r="F56" s="146">
        <v>594.09999999999991</v>
      </c>
      <c r="G56" s="146"/>
      <c r="H56" s="146"/>
      <c r="I56" s="146">
        <v>820</v>
      </c>
      <c r="J56" s="146"/>
      <c r="K56" s="36" t="s">
        <v>52</v>
      </c>
    </row>
    <row r="57" spans="1:11">
      <c r="A57" s="36"/>
      <c r="B57" s="36" t="s">
        <v>52</v>
      </c>
      <c r="D57" s="406">
        <v>41088</v>
      </c>
      <c r="E57" s="120" t="s">
        <v>248</v>
      </c>
      <c r="F57" s="146">
        <v>572.70000000000005</v>
      </c>
      <c r="G57" s="146"/>
      <c r="H57" s="146"/>
      <c r="I57" s="146">
        <v>792</v>
      </c>
      <c r="J57" s="146"/>
      <c r="K57" s="36" t="s">
        <v>52</v>
      </c>
    </row>
    <row r="58" spans="1:11">
      <c r="A58" s="36"/>
      <c r="B58" s="36" t="s">
        <v>52</v>
      </c>
      <c r="D58" s="406">
        <v>41095</v>
      </c>
      <c r="E58" s="120" t="s">
        <v>248</v>
      </c>
      <c r="F58" s="146">
        <v>598.1</v>
      </c>
      <c r="G58" s="146"/>
      <c r="H58" s="146"/>
      <c r="I58" s="146">
        <v>835</v>
      </c>
      <c r="J58" s="146"/>
      <c r="K58" s="36" t="s">
        <v>52</v>
      </c>
    </row>
    <row r="59" spans="1:11">
      <c r="A59" s="36"/>
      <c r="B59" s="36" t="s">
        <v>52</v>
      </c>
      <c r="D59" s="406">
        <v>41102</v>
      </c>
      <c r="E59" s="120" t="s">
        <v>248</v>
      </c>
      <c r="F59" s="146">
        <v>598</v>
      </c>
      <c r="G59" s="146"/>
      <c r="H59" s="146"/>
      <c r="I59" s="146">
        <v>843</v>
      </c>
      <c r="J59" s="146"/>
      <c r="K59" s="36" t="s">
        <v>52</v>
      </c>
    </row>
    <row r="60" spans="1:11">
      <c r="A60" s="36"/>
      <c r="B60" s="36" t="s">
        <v>52</v>
      </c>
      <c r="D60" s="406">
        <v>41109</v>
      </c>
      <c r="E60" s="120" t="s">
        <v>248</v>
      </c>
      <c r="F60" s="146">
        <v>615.59999999999991</v>
      </c>
      <c r="G60" s="146"/>
      <c r="H60" s="146"/>
      <c r="I60" s="146">
        <v>872</v>
      </c>
      <c r="J60" s="146"/>
      <c r="K60" s="36" t="s">
        <v>52</v>
      </c>
    </row>
    <row r="61" spans="1:11">
      <c r="A61" s="36"/>
      <c r="B61" s="36" t="s">
        <v>52</v>
      </c>
      <c r="D61" s="406">
        <v>41116</v>
      </c>
      <c r="E61" s="120" t="s">
        <v>248</v>
      </c>
      <c r="F61" s="146">
        <v>620.79999999999995</v>
      </c>
      <c r="G61" s="146"/>
      <c r="H61" s="146"/>
      <c r="I61" s="146">
        <v>885</v>
      </c>
      <c r="J61" s="146"/>
      <c r="K61" s="36" t="s">
        <v>52</v>
      </c>
    </row>
    <row r="62" spans="1:11">
      <c r="A62" s="36"/>
      <c r="B62" s="36" t="s">
        <v>52</v>
      </c>
      <c r="D62" s="406">
        <v>41123</v>
      </c>
      <c r="E62" s="120" t="s">
        <v>248</v>
      </c>
      <c r="F62" s="146">
        <v>633.20000000000005</v>
      </c>
      <c r="G62" s="146"/>
      <c r="H62" s="146"/>
      <c r="I62" s="146">
        <v>892</v>
      </c>
      <c r="J62" s="146"/>
      <c r="K62" s="36" t="s">
        <v>52</v>
      </c>
    </row>
    <row r="63" spans="1:11">
      <c r="A63" s="36"/>
      <c r="B63" s="36" t="s">
        <v>52</v>
      </c>
      <c r="D63" s="406">
        <v>41130</v>
      </c>
      <c r="E63" s="120" t="s">
        <v>248</v>
      </c>
      <c r="F63" s="146">
        <v>649.1</v>
      </c>
      <c r="G63" s="146"/>
      <c r="H63" s="146"/>
      <c r="I63" s="146">
        <v>921</v>
      </c>
      <c r="J63" s="146"/>
      <c r="K63" s="36" t="s">
        <v>52</v>
      </c>
    </row>
    <row r="64" spans="1:11">
      <c r="A64" s="36"/>
      <c r="B64" s="36" t="s">
        <v>52</v>
      </c>
      <c r="D64" s="406">
        <v>41137</v>
      </c>
      <c r="E64" s="120" t="s">
        <v>248</v>
      </c>
      <c r="F64" s="146">
        <v>666.7</v>
      </c>
      <c r="G64" s="146"/>
      <c r="H64" s="146"/>
      <c r="I64" s="146">
        <v>956</v>
      </c>
      <c r="J64" s="146"/>
      <c r="K64" s="36" t="s">
        <v>52</v>
      </c>
    </row>
    <row r="65" spans="1:11">
      <c r="A65" s="36"/>
      <c r="B65" s="36" t="s">
        <v>52</v>
      </c>
      <c r="D65" s="406">
        <v>41144</v>
      </c>
      <c r="E65" s="120" t="s">
        <v>248</v>
      </c>
      <c r="F65" s="146">
        <v>678.5</v>
      </c>
      <c r="G65" s="146"/>
      <c r="H65" s="146"/>
      <c r="I65" s="146">
        <v>978</v>
      </c>
      <c r="J65" s="146"/>
      <c r="K65" s="36" t="s">
        <v>52</v>
      </c>
    </row>
    <row r="66" spans="1:11">
      <c r="A66" s="36"/>
      <c r="B66" s="36" t="s">
        <v>52</v>
      </c>
      <c r="D66" s="406">
        <v>41151</v>
      </c>
      <c r="E66" s="120" t="s">
        <v>248</v>
      </c>
      <c r="F66" s="146">
        <v>676.4</v>
      </c>
      <c r="G66" s="146"/>
      <c r="H66" s="146"/>
      <c r="I66" s="146">
        <v>979</v>
      </c>
      <c r="J66" s="146"/>
      <c r="K66" s="36" t="s">
        <v>52</v>
      </c>
    </row>
    <row r="67" spans="1:11">
      <c r="A67" s="36"/>
      <c r="B67" s="36" t="s">
        <v>52</v>
      </c>
      <c r="D67" s="406">
        <v>41158</v>
      </c>
      <c r="E67" s="120" t="s">
        <v>248</v>
      </c>
      <c r="F67" s="146">
        <v>684.9</v>
      </c>
      <c r="G67" s="146"/>
      <c r="H67" s="146"/>
      <c r="I67" s="146">
        <v>984</v>
      </c>
      <c r="J67" s="146"/>
      <c r="K67" s="36" t="s">
        <v>52</v>
      </c>
    </row>
    <row r="68" spans="1:11">
      <c r="A68" s="36"/>
      <c r="B68" s="36" t="s">
        <v>52</v>
      </c>
      <c r="D68" s="406">
        <v>41165</v>
      </c>
      <c r="E68" s="120" t="s">
        <v>248</v>
      </c>
      <c r="F68" s="146">
        <v>686.2</v>
      </c>
      <c r="G68" s="146"/>
      <c r="H68" s="146"/>
      <c r="I68" s="146">
        <v>981.4</v>
      </c>
      <c r="J68" s="146"/>
      <c r="K68" s="36" t="s">
        <v>52</v>
      </c>
    </row>
    <row r="69" spans="1:11">
      <c r="A69" s="36"/>
      <c r="B69" s="36" t="s">
        <v>52</v>
      </c>
      <c r="D69" s="406">
        <v>41172</v>
      </c>
      <c r="E69" s="120" t="s">
        <v>248</v>
      </c>
      <c r="F69" s="146">
        <v>679</v>
      </c>
      <c r="G69" s="146"/>
      <c r="H69" s="146"/>
      <c r="I69" s="146">
        <v>975.2</v>
      </c>
      <c r="J69" s="146"/>
      <c r="K69" s="36" t="s">
        <v>52</v>
      </c>
    </row>
    <row r="70" spans="1:11">
      <c r="A70" s="36"/>
      <c r="B70" s="36" t="s">
        <v>52</v>
      </c>
      <c r="D70" s="406">
        <v>41179</v>
      </c>
      <c r="E70" s="120" t="s">
        <v>248</v>
      </c>
      <c r="F70" s="146">
        <v>655</v>
      </c>
      <c r="G70" s="146"/>
      <c r="H70" s="146"/>
      <c r="I70" s="146">
        <v>950</v>
      </c>
      <c r="J70" s="146"/>
      <c r="K70" s="36" t="s">
        <v>52</v>
      </c>
    </row>
    <row r="71" spans="1:11">
      <c r="A71" s="36"/>
      <c r="B71" s="36" t="s">
        <v>52</v>
      </c>
      <c r="D71" s="406">
        <v>41186</v>
      </c>
      <c r="E71" s="120" t="s">
        <v>248</v>
      </c>
      <c r="F71" s="146">
        <v>652.20000000000005</v>
      </c>
      <c r="G71" s="146"/>
      <c r="H71" s="146"/>
      <c r="I71" s="146">
        <v>948.6</v>
      </c>
      <c r="J71" s="146"/>
      <c r="K71" s="36" t="s">
        <v>52</v>
      </c>
    </row>
    <row r="72" spans="1:11">
      <c r="A72" s="36"/>
      <c r="B72" s="36" t="s">
        <v>52</v>
      </c>
      <c r="D72" s="406">
        <v>41193</v>
      </c>
      <c r="E72" s="120" t="s">
        <v>248</v>
      </c>
      <c r="F72" s="146">
        <v>644.6</v>
      </c>
      <c r="G72" s="146"/>
      <c r="H72" s="146"/>
      <c r="I72" s="146">
        <v>954</v>
      </c>
      <c r="J72" s="146"/>
      <c r="K72" s="36" t="s">
        <v>52</v>
      </c>
    </row>
    <row r="73" spans="1:11">
      <c r="A73" s="36"/>
      <c r="B73" s="36" t="s">
        <v>52</v>
      </c>
      <c r="D73" s="406">
        <v>41200</v>
      </c>
      <c r="E73" s="120" t="s">
        <v>248</v>
      </c>
      <c r="F73" s="146">
        <v>646.40000000000009</v>
      </c>
      <c r="G73" s="146"/>
      <c r="H73" s="146"/>
      <c r="I73" s="146">
        <v>956.8</v>
      </c>
      <c r="J73" s="146"/>
      <c r="K73" s="36" t="s">
        <v>52</v>
      </c>
    </row>
    <row r="74" spans="1:11">
      <c r="A74" s="36"/>
      <c r="B74" s="36" t="s">
        <v>52</v>
      </c>
      <c r="D74" s="406">
        <v>41207</v>
      </c>
      <c r="E74" s="120" t="s">
        <v>248</v>
      </c>
      <c r="F74" s="146">
        <v>635.4</v>
      </c>
      <c r="G74" s="146"/>
      <c r="H74" s="146"/>
      <c r="I74" s="146">
        <v>935</v>
      </c>
      <c r="J74" s="146"/>
      <c r="K74" s="36" t="s">
        <v>52</v>
      </c>
    </row>
    <row r="75" spans="1:11">
      <c r="A75" s="36"/>
      <c r="B75" s="36" t="s">
        <v>52</v>
      </c>
      <c r="D75" s="406">
        <v>41214</v>
      </c>
      <c r="E75" s="120" t="s">
        <v>248</v>
      </c>
      <c r="F75" s="146">
        <v>622.6</v>
      </c>
      <c r="G75" s="146"/>
      <c r="H75" s="146"/>
      <c r="I75" s="146">
        <v>923</v>
      </c>
      <c r="J75" s="146"/>
      <c r="K75" s="36" t="s">
        <v>52</v>
      </c>
    </row>
    <row r="76" spans="1:11">
      <c r="A76" s="36"/>
      <c r="B76" s="36" t="s">
        <v>52</v>
      </c>
      <c r="D76" s="406">
        <v>41221</v>
      </c>
      <c r="E76" s="120" t="s">
        <v>248</v>
      </c>
      <c r="F76" s="146">
        <v>608.5</v>
      </c>
      <c r="G76" s="146"/>
      <c r="H76" s="146"/>
      <c r="I76" s="146">
        <v>913</v>
      </c>
      <c r="J76" s="146"/>
      <c r="K76" s="36" t="s">
        <v>52</v>
      </c>
    </row>
    <row r="77" spans="1:11">
      <c r="A77" s="36"/>
      <c r="B77" s="36" t="s">
        <v>52</v>
      </c>
      <c r="D77" s="406">
        <v>41228</v>
      </c>
      <c r="E77" s="120" t="s">
        <v>248</v>
      </c>
      <c r="F77" s="146">
        <v>603</v>
      </c>
      <c r="G77" s="146"/>
      <c r="H77" s="146"/>
      <c r="I77" s="146">
        <v>909</v>
      </c>
      <c r="J77" s="146"/>
      <c r="K77" s="36" t="s">
        <v>52</v>
      </c>
    </row>
    <row r="78" spans="1:11">
      <c r="A78" s="36"/>
      <c r="B78" s="36" t="s">
        <v>52</v>
      </c>
      <c r="D78" s="406">
        <v>41235</v>
      </c>
      <c r="E78" s="120" t="s">
        <v>248</v>
      </c>
      <c r="F78" s="146">
        <v>614.79999999999995</v>
      </c>
      <c r="G78" s="146"/>
      <c r="H78" s="146"/>
      <c r="I78" s="146">
        <v>921</v>
      </c>
      <c r="J78" s="146"/>
      <c r="K78" s="36" t="s">
        <v>52</v>
      </c>
    </row>
    <row r="79" spans="1:11">
      <c r="A79" s="36"/>
      <c r="B79" s="36" t="s">
        <v>52</v>
      </c>
      <c r="D79" s="406">
        <v>41242</v>
      </c>
      <c r="E79" s="120" t="s">
        <v>248</v>
      </c>
      <c r="F79" s="146">
        <v>610.375</v>
      </c>
      <c r="G79" s="146"/>
      <c r="H79" s="146"/>
      <c r="I79" s="146">
        <v>925</v>
      </c>
      <c r="J79" s="146"/>
      <c r="K79" s="36" t="s">
        <v>52</v>
      </c>
    </row>
    <row r="80" spans="1:11">
      <c r="A80" s="36"/>
      <c r="B80" s="36" t="s">
        <v>52</v>
      </c>
      <c r="D80" s="406">
        <v>41249</v>
      </c>
      <c r="E80" s="120" t="s">
        <v>248</v>
      </c>
      <c r="F80" s="146">
        <v>606</v>
      </c>
      <c r="G80" s="146"/>
      <c r="H80" s="146"/>
      <c r="I80" s="146">
        <v>927.4</v>
      </c>
      <c r="J80" s="146"/>
      <c r="K80" s="36" t="s">
        <v>52</v>
      </c>
    </row>
    <row r="81" spans="1:11">
      <c r="A81" s="36"/>
      <c r="B81" s="36" t="s">
        <v>52</v>
      </c>
      <c r="D81" s="406">
        <v>41256</v>
      </c>
      <c r="E81" s="120" t="s">
        <v>248</v>
      </c>
      <c r="F81" s="146">
        <v>598.40000000000009</v>
      </c>
      <c r="G81" s="146"/>
      <c r="H81" s="146"/>
      <c r="I81" s="146">
        <v>907.2</v>
      </c>
      <c r="J81" s="146"/>
      <c r="K81" s="36" t="s">
        <v>52</v>
      </c>
    </row>
    <row r="82" spans="1:11">
      <c r="A82" s="36"/>
      <c r="B82" s="36" t="s">
        <v>52</v>
      </c>
      <c r="D82" s="406">
        <v>41263</v>
      </c>
      <c r="E82" s="120" t="s">
        <v>248</v>
      </c>
      <c r="F82" s="146">
        <v>606.4</v>
      </c>
      <c r="G82" s="146"/>
      <c r="H82" s="146"/>
      <c r="I82" s="146">
        <v>906</v>
      </c>
      <c r="J82" s="146"/>
      <c r="K82" s="36" t="s">
        <v>52</v>
      </c>
    </row>
    <row r="83" spans="1:11">
      <c r="A83" s="36"/>
      <c r="B83" s="36" t="s">
        <v>52</v>
      </c>
      <c r="D83" s="406">
        <v>41270</v>
      </c>
      <c r="E83" s="120" t="s">
        <v>248</v>
      </c>
      <c r="F83" s="146">
        <v>607.625</v>
      </c>
      <c r="G83" s="146"/>
      <c r="H83" s="146"/>
      <c r="I83" s="146">
        <v>916.25</v>
      </c>
      <c r="J83" s="146"/>
      <c r="K83" s="36" t="s">
        <v>52</v>
      </c>
    </row>
    <row r="84" spans="1:11">
      <c r="A84" s="36"/>
      <c r="B84" s="36" t="s">
        <v>52</v>
      </c>
      <c r="D84" s="406">
        <v>41277</v>
      </c>
      <c r="E84" s="120" t="s">
        <v>248</v>
      </c>
      <c r="F84" s="146">
        <v>609.5</v>
      </c>
      <c r="G84" s="146"/>
      <c r="H84" s="146"/>
      <c r="I84" s="146">
        <v>921.66666666666663</v>
      </c>
      <c r="J84" s="146"/>
      <c r="K84" s="36" t="s">
        <v>52</v>
      </c>
    </row>
    <row r="85" spans="1:11">
      <c r="A85" s="36"/>
      <c r="B85" s="36" t="s">
        <v>52</v>
      </c>
      <c r="D85" s="406">
        <v>41284</v>
      </c>
      <c r="E85" s="120" t="s">
        <v>248</v>
      </c>
      <c r="F85" s="146">
        <v>630</v>
      </c>
      <c r="G85" s="146"/>
      <c r="H85" s="146"/>
      <c r="I85" s="146">
        <v>927.8</v>
      </c>
      <c r="J85" s="146"/>
      <c r="K85" s="36" t="s">
        <v>52</v>
      </c>
    </row>
    <row r="86" spans="1:11">
      <c r="A86" s="36"/>
      <c r="B86" s="36" t="s">
        <v>52</v>
      </c>
      <c r="D86" s="406">
        <v>41291</v>
      </c>
      <c r="E86" s="120" t="s">
        <v>248</v>
      </c>
      <c r="F86" s="146">
        <v>631</v>
      </c>
      <c r="G86" s="146"/>
      <c r="H86" s="146"/>
      <c r="I86" s="146">
        <v>930.6</v>
      </c>
      <c r="J86" s="146"/>
      <c r="K86" s="36" t="s">
        <v>52</v>
      </c>
    </row>
    <row r="87" spans="1:11">
      <c r="A87" s="36"/>
      <c r="B87" s="36" t="s">
        <v>52</v>
      </c>
      <c r="D87" s="406">
        <v>41298</v>
      </c>
      <c r="E87" s="120" t="s">
        <v>248</v>
      </c>
      <c r="F87" s="146">
        <v>629.09999999999991</v>
      </c>
      <c r="G87" s="146"/>
      <c r="H87" s="146"/>
      <c r="I87" s="146">
        <v>931</v>
      </c>
      <c r="J87" s="146"/>
      <c r="K87" s="36" t="s">
        <v>52</v>
      </c>
    </row>
    <row r="88" spans="1:11">
      <c r="A88" s="36"/>
      <c r="B88" s="36" t="s">
        <v>52</v>
      </c>
      <c r="D88" s="406">
        <v>41305</v>
      </c>
      <c r="E88" s="120" t="s">
        <v>248</v>
      </c>
      <c r="F88" s="146">
        <v>635.5</v>
      </c>
      <c r="G88" s="146"/>
      <c r="H88" s="146"/>
      <c r="I88" s="146">
        <v>933.5</v>
      </c>
      <c r="J88" s="146"/>
      <c r="K88" s="36" t="s">
        <v>52</v>
      </c>
    </row>
    <row r="89" spans="1:11">
      <c r="A89" s="36"/>
      <c r="B89" s="36" t="s">
        <v>52</v>
      </c>
      <c r="D89" s="406">
        <v>41312</v>
      </c>
      <c r="E89" s="120" t="s">
        <v>248</v>
      </c>
      <c r="F89" s="146">
        <v>652.29999999999995</v>
      </c>
      <c r="G89" s="146"/>
      <c r="H89" s="146"/>
      <c r="I89" s="146">
        <v>957</v>
      </c>
      <c r="J89" s="146"/>
      <c r="K89" s="36" t="s">
        <v>52</v>
      </c>
    </row>
    <row r="90" spans="1:11">
      <c r="A90" s="36"/>
      <c r="B90" s="36" t="s">
        <v>52</v>
      </c>
      <c r="D90" s="406">
        <v>41319</v>
      </c>
      <c r="E90" s="120" t="s">
        <v>248</v>
      </c>
      <c r="F90" s="146">
        <v>652.29999999999995</v>
      </c>
      <c r="G90" s="146"/>
      <c r="H90" s="146"/>
      <c r="I90" s="146">
        <v>957</v>
      </c>
      <c r="J90" s="146"/>
      <c r="K90" s="36" t="s">
        <v>52</v>
      </c>
    </row>
    <row r="91" spans="1:11">
      <c r="A91" s="36"/>
      <c r="B91" s="36" t="s">
        <v>52</v>
      </c>
      <c r="D91" s="406">
        <v>41326</v>
      </c>
      <c r="E91" s="120" t="s">
        <v>248</v>
      </c>
      <c r="F91" s="146">
        <v>654.20000000000005</v>
      </c>
      <c r="G91" s="146"/>
      <c r="H91" s="146"/>
      <c r="I91" s="146">
        <v>972.4</v>
      </c>
      <c r="J91" s="146"/>
      <c r="K91" s="36" t="s">
        <v>52</v>
      </c>
    </row>
    <row r="92" spans="1:11">
      <c r="A92" s="36"/>
      <c r="B92" s="36" t="s">
        <v>52</v>
      </c>
      <c r="D92" s="406">
        <v>41333</v>
      </c>
      <c r="E92" s="120" t="s">
        <v>248</v>
      </c>
      <c r="F92" s="146">
        <v>635.79999999999995</v>
      </c>
      <c r="G92" s="146"/>
      <c r="H92" s="146"/>
      <c r="I92" s="146">
        <v>953.6</v>
      </c>
      <c r="J92" s="146"/>
      <c r="K92" s="36" t="s">
        <v>52</v>
      </c>
    </row>
    <row r="93" spans="1:11">
      <c r="A93" s="36"/>
      <c r="B93" s="36" t="s">
        <v>52</v>
      </c>
      <c r="D93" s="406">
        <v>41340</v>
      </c>
      <c r="E93" s="120" t="s">
        <v>248</v>
      </c>
      <c r="F93" s="146">
        <v>631.59999999999991</v>
      </c>
      <c r="G93" s="146"/>
      <c r="H93" s="146"/>
      <c r="I93" s="146">
        <v>923</v>
      </c>
      <c r="J93" s="146"/>
      <c r="K93" s="36" t="s">
        <v>52</v>
      </c>
    </row>
    <row r="94" spans="1:11">
      <c r="A94" s="36"/>
      <c r="B94" s="36" t="s">
        <v>52</v>
      </c>
      <c r="D94" s="406">
        <v>41347</v>
      </c>
      <c r="E94" s="120" t="s">
        <v>248</v>
      </c>
      <c r="F94" s="146">
        <v>634.6</v>
      </c>
      <c r="G94" s="146"/>
      <c r="H94" s="146"/>
      <c r="I94" s="146">
        <v>918.6</v>
      </c>
      <c r="J94" s="146"/>
      <c r="K94" s="36" t="s">
        <v>52</v>
      </c>
    </row>
    <row r="95" spans="1:11">
      <c r="A95" s="36"/>
      <c r="B95" s="36" t="s">
        <v>52</v>
      </c>
      <c r="D95" s="406">
        <v>41354</v>
      </c>
      <c r="E95" s="120" t="s">
        <v>248</v>
      </c>
      <c r="F95" s="146">
        <v>631</v>
      </c>
      <c r="G95" s="146"/>
      <c r="H95" s="146"/>
      <c r="I95" s="146">
        <v>900.2</v>
      </c>
      <c r="J95" s="146"/>
      <c r="K95" s="36" t="s">
        <v>52</v>
      </c>
    </row>
    <row r="96" spans="1:11">
      <c r="A96" s="36"/>
      <c r="B96" s="36" t="s">
        <v>52</v>
      </c>
      <c r="D96" s="406">
        <v>41361</v>
      </c>
      <c r="E96" s="120" t="s">
        <v>248</v>
      </c>
      <c r="F96" s="146">
        <v>629.59999999999991</v>
      </c>
      <c r="G96" s="146"/>
      <c r="H96" s="146"/>
      <c r="I96" s="146">
        <v>885</v>
      </c>
      <c r="J96" s="146"/>
      <c r="K96" s="36" t="s">
        <v>52</v>
      </c>
    </row>
    <row r="97" spans="1:11">
      <c r="A97" s="36"/>
      <c r="B97" s="36" t="s">
        <v>52</v>
      </c>
      <c r="D97" s="406">
        <v>41368</v>
      </c>
      <c r="E97" s="120" t="s">
        <v>248</v>
      </c>
      <c r="F97" s="146">
        <v>639.5</v>
      </c>
      <c r="G97" s="146"/>
      <c r="H97" s="146"/>
      <c r="I97" s="146">
        <v>897.5</v>
      </c>
      <c r="J97" s="146"/>
      <c r="K97" s="36" t="s">
        <v>52</v>
      </c>
    </row>
    <row r="98" spans="1:11">
      <c r="A98" s="36"/>
      <c r="B98" s="36" t="s">
        <v>52</v>
      </c>
      <c r="D98" s="406">
        <v>41375</v>
      </c>
      <c r="E98" s="120" t="s">
        <v>248</v>
      </c>
      <c r="F98" s="146">
        <v>624.6</v>
      </c>
      <c r="G98" s="146"/>
      <c r="H98" s="146"/>
      <c r="I98" s="146">
        <v>876.2</v>
      </c>
      <c r="J98" s="146"/>
      <c r="K98" s="36" t="s">
        <v>52</v>
      </c>
    </row>
    <row r="99" spans="1:11">
      <c r="A99" s="36"/>
      <c r="B99" s="36" t="s">
        <v>52</v>
      </c>
      <c r="D99" s="406">
        <v>41382</v>
      </c>
      <c r="E99" s="120" t="s">
        <v>248</v>
      </c>
      <c r="F99" s="146">
        <v>612.40000000000009</v>
      </c>
      <c r="G99" s="146"/>
      <c r="H99" s="146"/>
      <c r="I99" s="146">
        <v>844.4</v>
      </c>
      <c r="J99" s="146"/>
      <c r="K99" s="36" t="s">
        <v>52</v>
      </c>
    </row>
    <row r="100" spans="1:11">
      <c r="A100" s="36"/>
      <c r="B100" s="36" t="s">
        <v>52</v>
      </c>
      <c r="D100" s="406">
        <v>41389</v>
      </c>
      <c r="E100" s="120" t="s">
        <v>248</v>
      </c>
      <c r="F100" s="146">
        <v>627.5</v>
      </c>
      <c r="G100" s="146"/>
      <c r="H100" s="146"/>
      <c r="I100" s="146">
        <v>830.3</v>
      </c>
      <c r="J100" s="146"/>
      <c r="K100" s="36" t="s">
        <v>52</v>
      </c>
    </row>
    <row r="101" spans="1:11">
      <c r="A101" s="36"/>
      <c r="B101" s="36" t="s">
        <v>52</v>
      </c>
      <c r="D101" s="406">
        <v>41396</v>
      </c>
      <c r="E101" s="120" t="s">
        <v>248</v>
      </c>
      <c r="F101" s="146">
        <v>616.45000000000005</v>
      </c>
      <c r="G101" s="146"/>
      <c r="H101" s="146"/>
      <c r="I101" s="146">
        <v>848.2</v>
      </c>
      <c r="J101" s="146"/>
      <c r="K101" s="36" t="s">
        <v>52</v>
      </c>
    </row>
    <row r="102" spans="1:11">
      <c r="A102" s="36"/>
      <c r="B102" s="36" t="s">
        <v>52</v>
      </c>
      <c r="D102" s="406">
        <v>41403</v>
      </c>
      <c r="E102" s="120" t="s">
        <v>248</v>
      </c>
      <c r="F102" s="146">
        <v>623.4</v>
      </c>
      <c r="G102" s="146"/>
      <c r="H102" s="146"/>
      <c r="I102" s="146">
        <v>851.1</v>
      </c>
      <c r="J102" s="146"/>
      <c r="K102" s="36" t="s">
        <v>52</v>
      </c>
    </row>
    <row r="103" spans="1:11">
      <c r="A103" s="36"/>
      <c r="B103" s="36" t="s">
        <v>52</v>
      </c>
      <c r="D103" s="406">
        <v>41410</v>
      </c>
      <c r="E103" s="120" t="s">
        <v>248</v>
      </c>
      <c r="F103" s="146">
        <v>610.83333333333326</v>
      </c>
      <c r="G103" s="146"/>
      <c r="H103" s="146"/>
      <c r="I103" s="146">
        <v>851</v>
      </c>
      <c r="J103" s="146"/>
      <c r="K103" s="36" t="s">
        <v>52</v>
      </c>
    </row>
    <row r="104" spans="1:11">
      <c r="A104" s="36"/>
      <c r="B104" s="36" t="s">
        <v>52</v>
      </c>
      <c r="D104" s="406">
        <v>41417</v>
      </c>
      <c r="E104" s="120" t="s">
        <v>248</v>
      </c>
      <c r="F104" s="146">
        <v>607.25</v>
      </c>
      <c r="G104" s="146"/>
      <c r="H104" s="146"/>
      <c r="I104" s="146">
        <v>851</v>
      </c>
      <c r="J104" s="146"/>
      <c r="K104" s="36" t="s">
        <v>52</v>
      </c>
    </row>
    <row r="105" spans="1:11">
      <c r="A105" s="36"/>
      <c r="B105" s="36" t="s">
        <v>52</v>
      </c>
      <c r="D105" s="406">
        <v>41424</v>
      </c>
      <c r="E105" s="120" t="s">
        <v>248</v>
      </c>
      <c r="F105" s="146">
        <v>606.79999999999995</v>
      </c>
      <c r="G105" s="146"/>
      <c r="H105" s="146"/>
      <c r="I105" s="146">
        <v>858.6</v>
      </c>
      <c r="J105" s="146"/>
      <c r="K105" s="36" t="s">
        <v>52</v>
      </c>
    </row>
    <row r="106" spans="1:11">
      <c r="A106" s="36"/>
      <c r="B106" s="36" t="s">
        <v>52</v>
      </c>
      <c r="D106" s="406">
        <v>41431</v>
      </c>
      <c r="E106" s="120" t="s">
        <v>248</v>
      </c>
      <c r="F106" s="146">
        <v>605.04999999999995</v>
      </c>
      <c r="G106" s="146"/>
      <c r="H106" s="146"/>
      <c r="I106" s="146">
        <v>851.1</v>
      </c>
      <c r="J106" s="146"/>
      <c r="K106" s="36" t="s">
        <v>52</v>
      </c>
    </row>
    <row r="107" spans="1:11">
      <c r="A107" s="36"/>
      <c r="B107" s="36" t="s">
        <v>52</v>
      </c>
      <c r="D107" s="406">
        <v>41438</v>
      </c>
      <c r="E107" s="120" t="s">
        <v>248</v>
      </c>
      <c r="F107" s="146">
        <v>610.20000000000005</v>
      </c>
      <c r="G107" s="146"/>
      <c r="H107" s="146"/>
      <c r="I107" s="146">
        <v>865.7</v>
      </c>
      <c r="J107" s="146"/>
      <c r="K107" s="36" t="s">
        <v>52</v>
      </c>
    </row>
    <row r="108" spans="1:11">
      <c r="A108" s="36"/>
      <c r="B108" s="36" t="s">
        <v>52</v>
      </c>
      <c r="D108" s="406">
        <v>41445</v>
      </c>
      <c r="E108" s="120" t="s">
        <v>248</v>
      </c>
      <c r="F108" s="146">
        <v>620.9</v>
      </c>
      <c r="G108" s="146"/>
      <c r="H108" s="146"/>
      <c r="I108" s="146">
        <v>890.7</v>
      </c>
      <c r="J108" s="146"/>
      <c r="K108" s="36" t="s">
        <v>52</v>
      </c>
    </row>
    <row r="109" spans="1:11">
      <c r="A109" s="36"/>
      <c r="B109" s="36" t="s">
        <v>52</v>
      </c>
      <c r="D109" s="406">
        <v>41452</v>
      </c>
      <c r="E109" s="120" t="s">
        <v>248</v>
      </c>
      <c r="F109" s="146">
        <v>604.1</v>
      </c>
      <c r="G109" s="146"/>
      <c r="H109" s="146"/>
      <c r="I109" s="146">
        <v>874.3</v>
      </c>
      <c r="J109" s="146"/>
      <c r="K109" s="36" t="s">
        <v>52</v>
      </c>
    </row>
    <row r="110" spans="1:11">
      <c r="A110" s="36"/>
      <c r="B110" s="36" t="s">
        <v>52</v>
      </c>
      <c r="D110" s="406">
        <v>41459</v>
      </c>
      <c r="E110" s="120" t="s">
        <v>248</v>
      </c>
      <c r="F110" s="146">
        <v>594.8125</v>
      </c>
      <c r="G110" s="146"/>
      <c r="H110" s="146"/>
      <c r="I110" s="146">
        <v>885.875</v>
      </c>
      <c r="J110" s="146"/>
      <c r="K110" s="36" t="s">
        <v>52</v>
      </c>
    </row>
    <row r="111" spans="1:11">
      <c r="A111" s="36"/>
      <c r="B111" s="36" t="s">
        <v>52</v>
      </c>
      <c r="D111" s="406">
        <v>41466</v>
      </c>
      <c r="E111" s="120" t="s">
        <v>248</v>
      </c>
      <c r="F111" s="146">
        <v>602.20000000000005</v>
      </c>
      <c r="G111" s="146"/>
      <c r="H111" s="146"/>
      <c r="I111" s="146">
        <v>904.9</v>
      </c>
      <c r="J111" s="146"/>
      <c r="K111" s="36" t="s">
        <v>52</v>
      </c>
    </row>
    <row r="112" spans="1:11">
      <c r="A112" s="36"/>
      <c r="B112" s="36" t="s">
        <v>52</v>
      </c>
      <c r="D112" s="406">
        <v>41473</v>
      </c>
      <c r="E112" s="120" t="s">
        <v>248</v>
      </c>
      <c r="F112" s="146">
        <v>604.45000000000005</v>
      </c>
      <c r="G112" s="146"/>
      <c r="H112" s="146"/>
      <c r="I112" s="146">
        <v>914.5</v>
      </c>
      <c r="J112" s="146"/>
      <c r="K112" s="36" t="s">
        <v>52</v>
      </c>
    </row>
    <row r="113" spans="1:11">
      <c r="A113" s="36"/>
      <c r="B113" s="36" t="s">
        <v>52</v>
      </c>
      <c r="D113" s="406">
        <v>41480</v>
      </c>
      <c r="E113" s="120" t="s">
        <v>248</v>
      </c>
      <c r="F113" s="146">
        <v>606.5</v>
      </c>
      <c r="G113" s="146"/>
      <c r="H113" s="146"/>
      <c r="I113" s="146">
        <v>917</v>
      </c>
      <c r="J113" s="146"/>
      <c r="K113" s="36" t="s">
        <v>52</v>
      </c>
    </row>
    <row r="114" spans="1:11">
      <c r="A114" s="36"/>
      <c r="B114" s="36" t="s">
        <v>52</v>
      </c>
      <c r="D114" s="406">
        <v>41487</v>
      </c>
      <c r="E114" s="120" t="s">
        <v>248</v>
      </c>
      <c r="F114" s="146">
        <v>602.70000000000005</v>
      </c>
      <c r="G114" s="146"/>
      <c r="H114" s="146"/>
      <c r="I114" s="146">
        <v>910.5</v>
      </c>
      <c r="J114" s="146"/>
      <c r="K114" s="36" t="s">
        <v>52</v>
      </c>
    </row>
    <row r="115" spans="1:11">
      <c r="A115" s="36"/>
      <c r="B115" s="36" t="s">
        <v>52</v>
      </c>
      <c r="D115" s="406">
        <v>41494</v>
      </c>
      <c r="E115" s="120" t="s">
        <v>248</v>
      </c>
      <c r="F115" s="146">
        <v>603.70000000000005</v>
      </c>
      <c r="G115" s="146"/>
      <c r="H115" s="146"/>
      <c r="I115" s="146">
        <v>916.8</v>
      </c>
      <c r="J115" s="146"/>
      <c r="K115" s="36" t="s">
        <v>52</v>
      </c>
    </row>
    <row r="116" spans="1:11">
      <c r="A116" s="36"/>
      <c r="B116" s="36" t="s">
        <v>52</v>
      </c>
      <c r="D116" s="406">
        <v>41501</v>
      </c>
      <c r="E116" s="120" t="s">
        <v>248</v>
      </c>
      <c r="F116" s="146">
        <v>605.79999999999995</v>
      </c>
      <c r="G116" s="146"/>
      <c r="H116" s="146"/>
      <c r="I116" s="146">
        <v>914.6</v>
      </c>
      <c r="J116" s="146"/>
      <c r="K116" s="36" t="s">
        <v>52</v>
      </c>
    </row>
    <row r="117" spans="1:11">
      <c r="A117" s="36"/>
      <c r="B117" s="36" t="s">
        <v>52</v>
      </c>
      <c r="D117" s="406">
        <v>41508</v>
      </c>
      <c r="E117" s="120" t="s">
        <v>248</v>
      </c>
      <c r="F117" s="146">
        <v>607.6</v>
      </c>
      <c r="G117" s="146"/>
      <c r="H117" s="146"/>
      <c r="I117" s="146">
        <v>918.5</v>
      </c>
      <c r="J117" s="146"/>
      <c r="K117" s="36" t="s">
        <v>52</v>
      </c>
    </row>
    <row r="118" spans="1:11">
      <c r="A118" s="36"/>
      <c r="B118" s="36" t="s">
        <v>52</v>
      </c>
      <c r="D118" s="406">
        <v>41515</v>
      </c>
      <c r="E118" s="120" t="s">
        <v>248</v>
      </c>
      <c r="F118" s="146">
        <v>610.40000000000009</v>
      </c>
      <c r="G118" s="146"/>
      <c r="H118" s="146"/>
      <c r="I118" s="146">
        <v>929.8</v>
      </c>
      <c r="J118" s="146"/>
      <c r="K118" s="36" t="s">
        <v>52</v>
      </c>
    </row>
    <row r="119" spans="1:11">
      <c r="A119" s="36"/>
      <c r="B119" s="36" t="s">
        <v>52</v>
      </c>
      <c r="D119" s="406">
        <v>41522</v>
      </c>
      <c r="E119" s="120" t="s">
        <v>248</v>
      </c>
      <c r="F119" s="146">
        <v>609.5</v>
      </c>
      <c r="G119" s="146"/>
      <c r="H119" s="146"/>
      <c r="I119" s="146">
        <v>932.4</v>
      </c>
      <c r="J119" s="146"/>
      <c r="K119" s="36" t="s">
        <v>52</v>
      </c>
    </row>
    <row r="120" spans="1:11">
      <c r="A120" s="36"/>
      <c r="B120" s="36" t="s">
        <v>52</v>
      </c>
      <c r="D120" s="406">
        <v>41529</v>
      </c>
      <c r="E120" s="120" t="s">
        <v>248</v>
      </c>
      <c r="F120" s="146">
        <v>603.75</v>
      </c>
      <c r="G120" s="146"/>
      <c r="H120" s="146"/>
      <c r="I120" s="146">
        <v>925</v>
      </c>
      <c r="J120" s="146"/>
      <c r="K120" s="36" t="s">
        <v>52</v>
      </c>
    </row>
    <row r="121" spans="1:11">
      <c r="A121" s="36"/>
      <c r="B121" s="36" t="s">
        <v>52</v>
      </c>
      <c r="D121" s="406">
        <v>41536</v>
      </c>
      <c r="E121" s="120" t="s">
        <v>248</v>
      </c>
      <c r="F121" s="146">
        <v>603.58333333333326</v>
      </c>
      <c r="G121" s="146"/>
      <c r="H121" s="146"/>
      <c r="I121" s="146">
        <v>914.83333333333337</v>
      </c>
      <c r="J121" s="146"/>
      <c r="K121" s="36" t="s">
        <v>52</v>
      </c>
    </row>
    <row r="122" spans="1:11">
      <c r="A122" s="36"/>
      <c r="B122" s="36" t="s">
        <v>52</v>
      </c>
      <c r="D122" s="406">
        <v>41552</v>
      </c>
      <c r="E122" s="120" t="s">
        <v>248</v>
      </c>
      <c r="F122" s="146">
        <v>614.953125</v>
      </c>
      <c r="G122" s="146"/>
      <c r="H122" s="146"/>
      <c r="I122" s="146">
        <v>909.0625</v>
      </c>
      <c r="J122" s="146"/>
      <c r="K122" s="36" t="s">
        <v>52</v>
      </c>
    </row>
    <row r="123" spans="1:11">
      <c r="A123" s="36"/>
      <c r="B123" s="36" t="s">
        <v>52</v>
      </c>
      <c r="D123" s="406">
        <v>41565</v>
      </c>
      <c r="E123" s="120" t="s">
        <v>248</v>
      </c>
      <c r="F123" s="146">
        <v>618.86111111111109</v>
      </c>
      <c r="G123" s="146"/>
      <c r="H123" s="146"/>
      <c r="I123" s="146">
        <v>924.66666666666663</v>
      </c>
      <c r="J123" s="146"/>
      <c r="K123" s="36" t="s">
        <v>52</v>
      </c>
    </row>
    <row r="124" spans="1:11">
      <c r="A124" s="36"/>
      <c r="B124" s="36" t="s">
        <v>52</v>
      </c>
      <c r="D124" s="406">
        <v>41572</v>
      </c>
      <c r="E124" s="120" t="s">
        <v>248</v>
      </c>
      <c r="F124" s="146">
        <v>620.0625</v>
      </c>
      <c r="G124" s="146"/>
      <c r="H124" s="146"/>
      <c r="I124" s="146">
        <v>922.375</v>
      </c>
      <c r="J124" s="146"/>
      <c r="K124" s="36" t="s">
        <v>52</v>
      </c>
    </row>
    <row r="125" spans="1:11">
      <c r="A125" s="36"/>
      <c r="B125" s="36" t="s">
        <v>52</v>
      </c>
      <c r="D125" s="406">
        <v>41579</v>
      </c>
      <c r="E125" s="120" t="s">
        <v>248</v>
      </c>
      <c r="F125" s="146">
        <v>619.59999999999991</v>
      </c>
      <c r="G125" s="146"/>
      <c r="H125" s="146"/>
      <c r="I125" s="146">
        <v>916.8</v>
      </c>
      <c r="J125" s="146"/>
      <c r="K125" s="36" t="s">
        <v>52</v>
      </c>
    </row>
    <row r="126" spans="1:11">
      <c r="A126" s="36"/>
      <c r="B126" s="36" t="s">
        <v>52</v>
      </c>
      <c r="D126" s="406">
        <v>41586</v>
      </c>
      <c r="E126" s="120" t="s">
        <v>248</v>
      </c>
      <c r="F126" s="146">
        <v>610.375</v>
      </c>
      <c r="G126" s="146"/>
      <c r="H126" s="146"/>
      <c r="I126" s="146">
        <v>905.25</v>
      </c>
      <c r="J126" s="146"/>
      <c r="K126" s="36" t="s">
        <v>52</v>
      </c>
    </row>
    <row r="127" spans="1:11">
      <c r="A127" s="36"/>
      <c r="B127" s="36" t="s">
        <v>52</v>
      </c>
      <c r="D127" s="406">
        <v>41593</v>
      </c>
      <c r="E127" s="120" t="s">
        <v>248</v>
      </c>
      <c r="F127" s="146">
        <v>604.375</v>
      </c>
      <c r="G127" s="146"/>
      <c r="H127" s="146"/>
      <c r="I127" s="146">
        <v>893.75</v>
      </c>
      <c r="J127" s="146"/>
      <c r="K127" s="36" t="s">
        <v>52</v>
      </c>
    </row>
    <row r="128" spans="1:11">
      <c r="A128" s="36"/>
      <c r="B128" s="36" t="s">
        <v>52</v>
      </c>
      <c r="D128" s="406">
        <v>41600</v>
      </c>
      <c r="E128" s="120" t="s">
        <v>248</v>
      </c>
      <c r="F128" s="146">
        <v>608.5</v>
      </c>
      <c r="G128" s="146"/>
      <c r="H128" s="146"/>
      <c r="I128" s="146">
        <v>907.3</v>
      </c>
      <c r="J128" s="146"/>
      <c r="K128" s="36" t="s">
        <v>52</v>
      </c>
    </row>
    <row r="129" spans="1:11">
      <c r="A129" s="36"/>
      <c r="B129" s="36" t="s">
        <v>52</v>
      </c>
      <c r="D129" s="406">
        <v>41607</v>
      </c>
      <c r="E129" s="120" t="s">
        <v>248</v>
      </c>
      <c r="F129" s="146">
        <v>610.4375</v>
      </c>
      <c r="G129" s="146"/>
      <c r="H129" s="146"/>
      <c r="I129" s="146">
        <v>936.625</v>
      </c>
      <c r="J129" s="146"/>
      <c r="K129" s="36" t="s">
        <v>52</v>
      </c>
    </row>
    <row r="130" spans="1:11">
      <c r="A130" s="36"/>
      <c r="B130" s="36" t="s">
        <v>52</v>
      </c>
      <c r="D130" s="406">
        <v>41614</v>
      </c>
      <c r="E130" s="120" t="s">
        <v>248</v>
      </c>
      <c r="F130" s="146">
        <v>610.70000000000005</v>
      </c>
      <c r="G130" s="146"/>
      <c r="H130" s="146"/>
      <c r="I130" s="146">
        <v>946.4</v>
      </c>
      <c r="J130" s="146"/>
      <c r="K130" s="36" t="s">
        <v>52</v>
      </c>
    </row>
    <row r="131" spans="1:11">
      <c r="A131" s="36"/>
      <c r="B131" s="36" t="s">
        <v>52</v>
      </c>
      <c r="D131" s="406">
        <v>41621</v>
      </c>
      <c r="E131" s="120" t="s">
        <v>248</v>
      </c>
      <c r="F131" s="146">
        <v>610</v>
      </c>
      <c r="G131" s="146"/>
      <c r="H131" s="146"/>
      <c r="I131" s="146">
        <v>936.5</v>
      </c>
      <c r="J131" s="146"/>
      <c r="K131" s="36" t="s">
        <v>52</v>
      </c>
    </row>
    <row r="132" spans="1:11">
      <c r="A132" s="36"/>
      <c r="B132" s="36" t="s">
        <v>52</v>
      </c>
      <c r="D132" s="406">
        <v>41628</v>
      </c>
      <c r="E132" s="120" t="s">
        <v>248</v>
      </c>
      <c r="F132" s="146">
        <v>611</v>
      </c>
      <c r="G132" s="146"/>
      <c r="H132" s="146"/>
      <c r="I132" s="146">
        <v>925.875</v>
      </c>
      <c r="J132" s="146"/>
      <c r="K132" s="36" t="s">
        <v>52</v>
      </c>
    </row>
    <row r="133" spans="1:11">
      <c r="A133" s="36"/>
      <c r="B133" s="36" t="s">
        <v>52</v>
      </c>
      <c r="D133" s="406">
        <v>41635</v>
      </c>
      <c r="E133" s="120" t="s">
        <v>248</v>
      </c>
      <c r="F133" s="146">
        <v>619.125</v>
      </c>
      <c r="G133" s="146"/>
      <c r="H133" s="146"/>
      <c r="I133" s="146">
        <v>937.75</v>
      </c>
      <c r="J133" s="146"/>
      <c r="K133" s="36" t="s">
        <v>52</v>
      </c>
    </row>
    <row r="134" spans="1:11">
      <c r="A134" s="36"/>
      <c r="B134" s="36" t="s">
        <v>52</v>
      </c>
      <c r="D134" s="406">
        <v>41642</v>
      </c>
      <c r="E134" s="120" t="s">
        <v>248</v>
      </c>
      <c r="F134" s="146">
        <v>622</v>
      </c>
      <c r="G134" s="146"/>
      <c r="H134" s="146"/>
      <c r="I134" s="146">
        <v>938.33333333333337</v>
      </c>
      <c r="J134" s="146"/>
      <c r="K134" s="36" t="s">
        <v>52</v>
      </c>
    </row>
    <row r="135" spans="1:11">
      <c r="A135" s="36"/>
      <c r="B135" s="36" t="s">
        <v>52</v>
      </c>
      <c r="D135" s="406">
        <v>41649</v>
      </c>
      <c r="E135" s="120" t="s">
        <v>248</v>
      </c>
      <c r="F135" s="146">
        <v>607.6875</v>
      </c>
      <c r="G135" s="146"/>
      <c r="H135" s="146"/>
      <c r="I135" s="146">
        <v>901.625</v>
      </c>
      <c r="J135" s="146"/>
      <c r="K135" s="36" t="s">
        <v>52</v>
      </c>
    </row>
    <row r="136" spans="1:11">
      <c r="A136" s="36"/>
      <c r="B136" s="36" t="s">
        <v>52</v>
      </c>
      <c r="D136" s="406">
        <v>41656</v>
      </c>
      <c r="E136" s="120" t="s">
        <v>248</v>
      </c>
      <c r="F136" s="146">
        <v>609.5</v>
      </c>
      <c r="G136" s="146"/>
      <c r="H136" s="146"/>
      <c r="I136" s="146">
        <v>901.25</v>
      </c>
      <c r="J136" s="146"/>
      <c r="K136" s="36" t="s">
        <v>52</v>
      </c>
    </row>
    <row r="137" spans="1:11">
      <c r="A137" s="36"/>
      <c r="B137" s="36" t="s">
        <v>52</v>
      </c>
      <c r="D137" s="406">
        <v>41663</v>
      </c>
      <c r="E137" s="120" t="s">
        <v>248</v>
      </c>
      <c r="F137" s="146">
        <v>615.35</v>
      </c>
      <c r="G137" s="146"/>
      <c r="H137" s="146"/>
      <c r="I137" s="146">
        <v>900</v>
      </c>
      <c r="J137" s="146"/>
      <c r="K137" s="36" t="s">
        <v>52</v>
      </c>
    </row>
    <row r="138" spans="1:11">
      <c r="A138" s="36"/>
      <c r="B138" s="36" t="s">
        <v>52</v>
      </c>
      <c r="D138" s="406">
        <v>41670</v>
      </c>
      <c r="E138" s="120" t="s">
        <v>248</v>
      </c>
      <c r="F138" s="146">
        <v>624.20000000000005</v>
      </c>
      <c r="G138" s="146"/>
      <c r="H138" s="146"/>
      <c r="I138" s="146">
        <v>910.3</v>
      </c>
      <c r="J138" s="146"/>
      <c r="K138" s="36" t="s">
        <v>52</v>
      </c>
    </row>
    <row r="139" spans="1:11">
      <c r="A139" s="36"/>
      <c r="B139" s="36" t="s">
        <v>52</v>
      </c>
      <c r="D139" s="406">
        <v>41677</v>
      </c>
      <c r="E139" s="120" t="s">
        <v>248</v>
      </c>
      <c r="F139" s="146">
        <v>620.9</v>
      </c>
      <c r="G139" s="146"/>
      <c r="H139" s="146"/>
      <c r="I139" s="146">
        <v>900.4</v>
      </c>
      <c r="J139" s="146"/>
      <c r="K139" s="36" t="s">
        <v>52</v>
      </c>
    </row>
    <row r="140" spans="1:11">
      <c r="A140" s="36"/>
      <c r="B140" s="36" t="s">
        <v>52</v>
      </c>
      <c r="D140" s="406">
        <v>41684</v>
      </c>
      <c r="E140" s="120" t="s">
        <v>248</v>
      </c>
      <c r="F140" s="146">
        <v>618.0625</v>
      </c>
      <c r="G140" s="146"/>
      <c r="H140" s="146"/>
      <c r="I140" s="146">
        <v>914.375</v>
      </c>
      <c r="J140" s="146"/>
      <c r="K140" s="36" t="s">
        <v>52</v>
      </c>
    </row>
    <row r="141" spans="1:11">
      <c r="A141" s="36"/>
      <c r="B141" s="36" t="s">
        <v>52</v>
      </c>
      <c r="D141" s="406">
        <v>41691</v>
      </c>
      <c r="E141" s="120" t="s">
        <v>248</v>
      </c>
      <c r="F141" s="146">
        <v>621.25</v>
      </c>
      <c r="G141" s="146"/>
      <c r="H141" s="146"/>
      <c r="I141" s="146">
        <v>922.25</v>
      </c>
      <c r="J141" s="146"/>
      <c r="K141" s="36" t="s">
        <v>52</v>
      </c>
    </row>
    <row r="142" spans="1:11">
      <c r="A142" s="36"/>
      <c r="B142" s="36" t="s">
        <v>52</v>
      </c>
      <c r="D142" s="406">
        <v>41698</v>
      </c>
      <c r="E142" s="120" t="s">
        <v>248</v>
      </c>
      <c r="F142" s="146">
        <v>617.75</v>
      </c>
      <c r="G142" s="146"/>
      <c r="H142" s="146"/>
      <c r="I142" s="146">
        <v>923.625</v>
      </c>
      <c r="J142" s="146"/>
      <c r="K142" s="36" t="s">
        <v>52</v>
      </c>
    </row>
    <row r="143" spans="1:11">
      <c r="A143" s="36"/>
      <c r="B143" s="36" t="s">
        <v>52</v>
      </c>
      <c r="D143" s="406">
        <v>41705</v>
      </c>
      <c r="E143" s="120" t="s">
        <v>248</v>
      </c>
      <c r="F143" s="146">
        <v>610</v>
      </c>
      <c r="G143" s="146"/>
      <c r="H143" s="146"/>
      <c r="I143" s="146">
        <v>917.125</v>
      </c>
      <c r="J143" s="146"/>
      <c r="K143" s="36" t="s">
        <v>52</v>
      </c>
    </row>
    <row r="144" spans="1:11">
      <c r="A144" s="36"/>
      <c r="B144" s="36" t="s">
        <v>52</v>
      </c>
      <c r="D144" s="406">
        <v>41712</v>
      </c>
      <c r="E144" s="120" t="s">
        <v>248</v>
      </c>
      <c r="F144" s="146">
        <v>603.6875</v>
      </c>
      <c r="G144" s="146"/>
      <c r="H144" s="146"/>
      <c r="I144" s="146">
        <v>901.625</v>
      </c>
      <c r="J144" s="146"/>
      <c r="K144" s="36" t="s">
        <v>52</v>
      </c>
    </row>
    <row r="145" spans="1:11">
      <c r="A145" s="36"/>
      <c r="B145" s="36" t="s">
        <v>52</v>
      </c>
      <c r="D145" s="406">
        <v>41719</v>
      </c>
      <c r="E145" s="120" t="s">
        <v>248</v>
      </c>
      <c r="F145" s="146">
        <v>603.6875</v>
      </c>
      <c r="G145" s="146"/>
      <c r="H145" s="146"/>
      <c r="I145" s="146">
        <v>892.25</v>
      </c>
      <c r="J145" s="146"/>
      <c r="K145" s="36" t="s">
        <v>52</v>
      </c>
    </row>
    <row r="146" spans="1:11">
      <c r="A146" s="36"/>
      <c r="B146" s="36" t="s">
        <v>52</v>
      </c>
      <c r="D146" s="406">
        <v>41726</v>
      </c>
      <c r="E146" s="120" t="s">
        <v>248</v>
      </c>
      <c r="F146" s="146">
        <v>602.875</v>
      </c>
      <c r="G146" s="146"/>
      <c r="H146" s="146"/>
      <c r="I146" s="146">
        <v>897.25</v>
      </c>
      <c r="J146" s="146"/>
      <c r="K146" s="36" t="s">
        <v>52</v>
      </c>
    </row>
    <row r="147" spans="1:11">
      <c r="A147" s="36"/>
      <c r="B147" s="36" t="s">
        <v>52</v>
      </c>
      <c r="D147" s="406">
        <v>41733</v>
      </c>
      <c r="E147" s="120" t="s">
        <v>248</v>
      </c>
      <c r="F147" s="146">
        <v>596.875</v>
      </c>
      <c r="G147" s="146"/>
      <c r="H147" s="146"/>
      <c r="I147" s="146">
        <v>898.375</v>
      </c>
      <c r="J147" s="146"/>
      <c r="K147" s="36" t="s">
        <v>52</v>
      </c>
    </row>
    <row r="148" spans="1:11">
      <c r="A148" s="36"/>
      <c r="B148" s="36" t="s">
        <v>52</v>
      </c>
      <c r="D148" s="406">
        <v>41740</v>
      </c>
      <c r="E148" s="120" t="s">
        <v>248</v>
      </c>
      <c r="F148" s="146">
        <v>592.875</v>
      </c>
      <c r="G148" s="146"/>
      <c r="H148" s="146"/>
      <c r="I148" s="146">
        <v>898.875</v>
      </c>
      <c r="J148" s="146"/>
      <c r="K148" s="36" t="s">
        <v>52</v>
      </c>
    </row>
    <row r="149" spans="1:11">
      <c r="A149" s="36"/>
      <c r="B149" s="36" t="s">
        <v>52</v>
      </c>
      <c r="D149" s="406">
        <v>41747</v>
      </c>
      <c r="E149" s="120" t="s">
        <v>248</v>
      </c>
      <c r="F149" s="146">
        <v>597.875</v>
      </c>
      <c r="G149" s="146"/>
      <c r="H149" s="146"/>
      <c r="I149" s="146">
        <v>911.375</v>
      </c>
      <c r="J149" s="146"/>
      <c r="K149" s="36" t="s">
        <v>52</v>
      </c>
    </row>
    <row r="150" spans="1:11">
      <c r="A150" s="36"/>
      <c r="B150" s="36" t="s">
        <v>52</v>
      </c>
      <c r="D150" s="406">
        <v>41754</v>
      </c>
      <c r="E150" s="120" t="s">
        <v>248</v>
      </c>
      <c r="F150" s="146">
        <v>597.625</v>
      </c>
      <c r="G150" s="146"/>
      <c r="H150" s="146"/>
      <c r="I150" s="146">
        <v>919.375</v>
      </c>
      <c r="J150" s="146"/>
      <c r="K150" s="36" t="s">
        <v>52</v>
      </c>
    </row>
    <row r="151" spans="1:11">
      <c r="A151" s="36"/>
      <c r="B151" s="36" t="s">
        <v>52</v>
      </c>
      <c r="D151" s="406">
        <v>41761</v>
      </c>
      <c r="E151" s="120" t="s">
        <v>248</v>
      </c>
      <c r="F151" s="146">
        <v>596.75</v>
      </c>
      <c r="G151" s="146"/>
      <c r="H151" s="146"/>
      <c r="I151" s="146">
        <v>916.75</v>
      </c>
      <c r="J151" s="146"/>
      <c r="K151" s="36" t="s">
        <v>52</v>
      </c>
    </row>
    <row r="152" spans="1:11">
      <c r="A152" s="36"/>
      <c r="B152" s="36" t="s">
        <v>52</v>
      </c>
      <c r="D152" s="406">
        <v>41768</v>
      </c>
      <c r="E152" s="120" t="s">
        <v>248</v>
      </c>
      <c r="F152" s="146">
        <v>594.75</v>
      </c>
      <c r="G152" s="146"/>
      <c r="H152" s="146"/>
      <c r="I152" s="146">
        <v>905.1</v>
      </c>
      <c r="J152" s="146"/>
      <c r="K152" s="36" t="s">
        <v>52</v>
      </c>
    </row>
    <row r="153" spans="1:11">
      <c r="A153" s="36"/>
      <c r="B153" s="36" t="s">
        <v>52</v>
      </c>
      <c r="D153" s="406">
        <v>41775</v>
      </c>
      <c r="E153" s="120" t="s">
        <v>248</v>
      </c>
      <c r="F153" s="146">
        <v>596.16666666666674</v>
      </c>
      <c r="G153" s="146"/>
      <c r="H153" s="146"/>
      <c r="I153" s="146">
        <v>900.66666666666663</v>
      </c>
      <c r="J153" s="146"/>
      <c r="K153" s="36" t="s">
        <v>52</v>
      </c>
    </row>
    <row r="154" spans="1:11">
      <c r="A154" s="36"/>
      <c r="B154" s="36" t="s">
        <v>52</v>
      </c>
      <c r="D154" s="406">
        <v>41782</v>
      </c>
      <c r="E154" s="120" t="s">
        <v>248</v>
      </c>
      <c r="F154" s="146">
        <v>603.125</v>
      </c>
      <c r="G154" s="146"/>
      <c r="H154" s="146"/>
      <c r="I154" s="146">
        <v>903.125</v>
      </c>
      <c r="J154" s="146"/>
      <c r="K154" s="36" t="s">
        <v>52</v>
      </c>
    </row>
    <row r="155" spans="1:11">
      <c r="A155" s="36"/>
      <c r="B155" s="36" t="s">
        <v>52</v>
      </c>
      <c r="D155" s="406">
        <v>41789</v>
      </c>
      <c r="E155" s="120" t="s">
        <v>248</v>
      </c>
      <c r="F155" s="146">
        <v>610.1875</v>
      </c>
      <c r="G155" s="146"/>
      <c r="H155" s="146"/>
      <c r="I155" s="146">
        <v>902.875</v>
      </c>
      <c r="J155" s="146"/>
      <c r="K155" s="36" t="s">
        <v>52</v>
      </c>
    </row>
    <row r="156" spans="1:11">
      <c r="A156" s="36"/>
      <c r="B156" s="36" t="s">
        <v>52</v>
      </c>
      <c r="D156" s="406">
        <v>41796</v>
      </c>
      <c r="E156" s="120" t="s">
        <v>248</v>
      </c>
      <c r="F156" s="146">
        <v>608.1875</v>
      </c>
      <c r="G156" s="146"/>
      <c r="H156" s="146"/>
      <c r="I156" s="146">
        <v>884.125</v>
      </c>
      <c r="J156" s="146"/>
      <c r="K156" s="36" t="s">
        <v>52</v>
      </c>
    </row>
    <row r="157" spans="1:11">
      <c r="A157" s="36"/>
      <c r="B157" s="36" t="s">
        <v>52</v>
      </c>
      <c r="D157" s="406">
        <v>41803</v>
      </c>
      <c r="E157" s="120" t="s">
        <v>248</v>
      </c>
      <c r="F157" s="146">
        <v>607.875</v>
      </c>
      <c r="G157" s="146"/>
      <c r="H157" s="146"/>
      <c r="I157" s="146">
        <v>882.625</v>
      </c>
      <c r="J157" s="146"/>
      <c r="K157" s="36" t="s">
        <v>52</v>
      </c>
    </row>
    <row r="158" spans="1:11">
      <c r="A158" s="36"/>
      <c r="B158" s="36" t="s">
        <v>52</v>
      </c>
      <c r="D158" s="406">
        <v>41810</v>
      </c>
      <c r="E158" s="120" t="s">
        <v>248</v>
      </c>
      <c r="F158" s="146">
        <v>621.6</v>
      </c>
      <c r="G158" s="146"/>
      <c r="H158" s="146"/>
      <c r="I158" s="146">
        <v>911.4</v>
      </c>
      <c r="J158" s="146"/>
      <c r="K158" s="36" t="s">
        <v>52</v>
      </c>
    </row>
    <row r="159" spans="1:11">
      <c r="A159" s="36"/>
      <c r="B159" s="36" t="s">
        <v>52</v>
      </c>
      <c r="D159" s="406">
        <v>41817</v>
      </c>
      <c r="E159" s="120" t="s">
        <v>248</v>
      </c>
      <c r="F159" s="146">
        <v>625.83333333333337</v>
      </c>
      <c r="G159" s="146"/>
      <c r="H159" s="146"/>
      <c r="I159" s="146">
        <v>917.16666666666663</v>
      </c>
      <c r="J159" s="146"/>
      <c r="K159" s="36" t="s">
        <v>52</v>
      </c>
    </row>
    <row r="160" spans="1:11">
      <c r="A160" s="36"/>
      <c r="B160" s="36" t="s">
        <v>52</v>
      </c>
      <c r="D160" s="406">
        <v>41824</v>
      </c>
      <c r="E160" s="120" t="s">
        <v>248</v>
      </c>
      <c r="F160" s="146">
        <v>617.79999999999995</v>
      </c>
      <c r="G160" s="146"/>
      <c r="H160" s="146"/>
      <c r="I160" s="146">
        <v>903.8</v>
      </c>
      <c r="J160" s="146"/>
      <c r="K160" s="36" t="s">
        <v>52</v>
      </c>
    </row>
    <row r="161" spans="1:11">
      <c r="A161" s="36"/>
      <c r="B161" s="36" t="s">
        <v>52</v>
      </c>
      <c r="D161" s="406">
        <v>41831</v>
      </c>
      <c r="E161" s="120" t="s">
        <v>248</v>
      </c>
      <c r="F161" s="146">
        <v>603.75</v>
      </c>
      <c r="G161" s="146"/>
      <c r="H161" s="146"/>
      <c r="I161" s="146">
        <v>884.33333333333337</v>
      </c>
      <c r="J161" s="146"/>
      <c r="K161" s="36" t="s">
        <v>52</v>
      </c>
    </row>
    <row r="162" spans="1:11">
      <c r="A162" s="36"/>
      <c r="B162" s="36" t="s">
        <v>52</v>
      </c>
      <c r="D162" s="406">
        <v>41838</v>
      </c>
      <c r="E162" s="120" t="s">
        <v>248</v>
      </c>
      <c r="F162" s="146">
        <v>601.1875</v>
      </c>
      <c r="G162" s="146"/>
      <c r="H162" s="146"/>
      <c r="I162" s="146">
        <v>876.5</v>
      </c>
      <c r="J162" s="146"/>
      <c r="K162" s="36" t="s">
        <v>52</v>
      </c>
    </row>
    <row r="163" spans="1:11">
      <c r="A163" s="36"/>
      <c r="B163" s="36" t="s">
        <v>52</v>
      </c>
      <c r="D163" s="406">
        <v>41845</v>
      </c>
      <c r="E163" s="120" t="s">
        <v>248</v>
      </c>
      <c r="F163" s="146">
        <v>602.5625</v>
      </c>
      <c r="G163" s="146"/>
      <c r="H163" s="146"/>
      <c r="I163" s="146">
        <v>874.875</v>
      </c>
      <c r="J163" s="146"/>
      <c r="K163" s="36" t="s">
        <v>52</v>
      </c>
    </row>
    <row r="164" spans="1:11">
      <c r="A164" s="36"/>
      <c r="B164" s="36" t="s">
        <v>52</v>
      </c>
      <c r="D164" s="406">
        <v>41852</v>
      </c>
      <c r="E164" s="120" t="s">
        <v>248</v>
      </c>
      <c r="F164" s="146">
        <v>607.1875</v>
      </c>
      <c r="G164" s="146"/>
      <c r="H164" s="146"/>
      <c r="I164" s="146">
        <v>880.875</v>
      </c>
      <c r="J164" s="146"/>
      <c r="K164" s="36" t="s">
        <v>52</v>
      </c>
    </row>
    <row r="165" spans="1:11">
      <c r="A165" s="36"/>
      <c r="B165" s="36" t="s">
        <v>52</v>
      </c>
      <c r="D165" s="406">
        <v>41859</v>
      </c>
      <c r="E165" s="120" t="s">
        <v>248</v>
      </c>
      <c r="F165" s="146">
        <v>603.5</v>
      </c>
      <c r="G165" s="146"/>
      <c r="H165" s="146"/>
      <c r="I165" s="146">
        <v>872.375</v>
      </c>
      <c r="J165" s="146"/>
      <c r="K165" s="36" t="s">
        <v>52</v>
      </c>
    </row>
    <row r="166" spans="1:11">
      <c r="A166" s="36"/>
      <c r="B166" s="36" t="s">
        <v>52</v>
      </c>
      <c r="D166" s="406">
        <v>41866</v>
      </c>
      <c r="E166" s="120" t="s">
        <v>248</v>
      </c>
      <c r="F166" s="146">
        <v>597.3125</v>
      </c>
      <c r="G166" s="146"/>
      <c r="H166" s="146"/>
      <c r="I166" s="146">
        <v>866.875</v>
      </c>
      <c r="J166" s="146"/>
      <c r="K166" s="36" t="s">
        <v>52</v>
      </c>
    </row>
    <row r="167" spans="1:11">
      <c r="A167" s="36"/>
      <c r="B167" s="36" t="s">
        <v>52</v>
      </c>
      <c r="D167" s="406">
        <v>41873</v>
      </c>
      <c r="E167" s="120" t="s">
        <v>248</v>
      </c>
      <c r="F167" s="146">
        <v>594.25</v>
      </c>
      <c r="G167" s="146"/>
      <c r="H167" s="146"/>
      <c r="I167" s="146">
        <v>866.875</v>
      </c>
      <c r="J167" s="146"/>
      <c r="K167" s="36" t="s">
        <v>52</v>
      </c>
    </row>
    <row r="168" spans="1:11">
      <c r="A168" s="36"/>
      <c r="B168" s="36" t="s">
        <v>52</v>
      </c>
      <c r="D168" s="406">
        <v>41880</v>
      </c>
      <c r="E168" s="120" t="s">
        <v>248</v>
      </c>
      <c r="F168" s="146">
        <v>595.1875</v>
      </c>
      <c r="G168" s="146"/>
      <c r="H168" s="146"/>
      <c r="I168" s="146">
        <v>860.125</v>
      </c>
      <c r="J168" s="146"/>
      <c r="K168" s="36" t="s">
        <v>52</v>
      </c>
    </row>
    <row r="169" spans="1:11">
      <c r="A169" s="36"/>
      <c r="B169" s="36" t="s">
        <v>52</v>
      </c>
      <c r="D169" s="406">
        <v>41887</v>
      </c>
      <c r="E169" s="120" t="s">
        <v>248</v>
      </c>
      <c r="F169" s="146">
        <v>593.5</v>
      </c>
      <c r="G169" s="146"/>
      <c r="H169" s="146"/>
      <c r="I169" s="146">
        <v>857.75</v>
      </c>
      <c r="J169" s="146"/>
      <c r="K169" s="36" t="s">
        <v>52</v>
      </c>
    </row>
    <row r="170" spans="1:11">
      <c r="A170" s="36"/>
      <c r="B170" s="36" t="s">
        <v>52</v>
      </c>
      <c r="D170" s="406">
        <v>41894</v>
      </c>
      <c r="E170" s="120" t="s">
        <v>248</v>
      </c>
      <c r="F170" s="146">
        <v>587.4375</v>
      </c>
      <c r="G170" s="146"/>
      <c r="H170" s="146"/>
      <c r="I170" s="146">
        <v>839.5</v>
      </c>
      <c r="J170" s="146"/>
      <c r="K170" s="36" t="s">
        <v>52</v>
      </c>
    </row>
    <row r="171" spans="1:11">
      <c r="A171" s="36"/>
      <c r="B171" s="36" t="s">
        <v>52</v>
      </c>
      <c r="D171" s="406">
        <v>41901</v>
      </c>
      <c r="E171" s="120" t="s">
        <v>248</v>
      </c>
      <c r="F171" s="146">
        <v>579.3125</v>
      </c>
      <c r="G171" s="146"/>
      <c r="H171" s="146"/>
      <c r="I171" s="146">
        <v>825.75</v>
      </c>
      <c r="J171" s="146"/>
      <c r="K171" s="36" t="s">
        <v>52</v>
      </c>
    </row>
    <row r="172" spans="1:11">
      <c r="A172" s="36"/>
      <c r="B172" s="36" t="s">
        <v>52</v>
      </c>
      <c r="D172" s="406">
        <v>41908</v>
      </c>
      <c r="E172" s="120" t="s">
        <v>248</v>
      </c>
      <c r="F172" s="146">
        <v>574.3125</v>
      </c>
      <c r="G172" s="146"/>
      <c r="H172" s="146"/>
      <c r="I172" s="146">
        <v>813.875</v>
      </c>
      <c r="J172" s="146"/>
      <c r="K172" s="36" t="s">
        <v>52</v>
      </c>
    </row>
    <row r="173" spans="1:11">
      <c r="A173" s="36"/>
      <c r="B173" s="36" t="s">
        <v>52</v>
      </c>
      <c r="D173" s="406">
        <v>41915</v>
      </c>
      <c r="E173" s="120" t="s">
        <v>248</v>
      </c>
      <c r="F173" s="146">
        <v>565.25</v>
      </c>
      <c r="G173" s="146"/>
      <c r="H173" s="146"/>
      <c r="I173" s="146">
        <v>796.4</v>
      </c>
      <c r="J173" s="146"/>
      <c r="K173" s="36" t="s">
        <v>52</v>
      </c>
    </row>
    <row r="174" spans="1:11">
      <c r="A174" s="36"/>
      <c r="B174" s="36" t="s">
        <v>52</v>
      </c>
      <c r="D174" s="406">
        <v>41922</v>
      </c>
      <c r="E174" s="120" t="s">
        <v>248</v>
      </c>
      <c r="F174" s="146">
        <v>539.9</v>
      </c>
      <c r="G174" s="146"/>
      <c r="H174" s="146"/>
      <c r="I174" s="146">
        <v>771.8</v>
      </c>
      <c r="J174" s="146"/>
      <c r="K174" s="36" t="s">
        <v>52</v>
      </c>
    </row>
    <row r="175" spans="1:11">
      <c r="A175" s="36"/>
      <c r="B175" s="36" t="s">
        <v>52</v>
      </c>
      <c r="D175" s="406">
        <v>41929</v>
      </c>
      <c r="E175" s="120" t="s">
        <v>248</v>
      </c>
      <c r="F175" s="146">
        <v>494.25</v>
      </c>
      <c r="G175" s="146"/>
      <c r="H175" s="146"/>
      <c r="I175" s="146">
        <v>732.5</v>
      </c>
      <c r="J175" s="146"/>
      <c r="K175" s="36" t="s">
        <v>52</v>
      </c>
    </row>
    <row r="176" spans="1:11">
      <c r="A176" s="36"/>
      <c r="B176" s="36" t="s">
        <v>52</v>
      </c>
      <c r="D176" s="406">
        <v>41936</v>
      </c>
      <c r="E176" s="120" t="s">
        <v>248</v>
      </c>
      <c r="F176" s="146">
        <v>482.125</v>
      </c>
      <c r="G176" s="146"/>
      <c r="H176" s="146"/>
      <c r="I176" s="146">
        <v>718.125</v>
      </c>
      <c r="J176" s="146"/>
      <c r="K176" s="36" t="s">
        <v>52</v>
      </c>
    </row>
    <row r="177" spans="1:11">
      <c r="A177" s="36"/>
      <c r="B177" s="36" t="s">
        <v>52</v>
      </c>
      <c r="D177" s="406">
        <v>41943</v>
      </c>
      <c r="E177" s="120" t="s">
        <v>248</v>
      </c>
      <c r="F177" s="146">
        <v>482.6875</v>
      </c>
      <c r="G177" s="146"/>
      <c r="H177" s="146"/>
      <c r="I177" s="146">
        <v>720.75</v>
      </c>
      <c r="J177" s="146"/>
      <c r="K177" s="36" t="s">
        <v>52</v>
      </c>
    </row>
    <row r="178" spans="1:11">
      <c r="A178" s="36"/>
      <c r="B178" s="36" t="s">
        <v>52</v>
      </c>
      <c r="D178" s="406">
        <v>41950</v>
      </c>
      <c r="E178" s="120" t="s">
        <v>248</v>
      </c>
      <c r="F178" s="146">
        <v>473.375</v>
      </c>
      <c r="G178" s="146"/>
      <c r="H178" s="146"/>
      <c r="I178" s="146">
        <v>720.125</v>
      </c>
      <c r="J178" s="146"/>
      <c r="K178" s="36" t="s">
        <v>52</v>
      </c>
    </row>
    <row r="179" spans="1:11">
      <c r="A179" s="36"/>
      <c r="B179" s="36" t="s">
        <v>52</v>
      </c>
      <c r="D179" s="406">
        <v>41957</v>
      </c>
      <c r="E179" s="120" t="s">
        <v>248</v>
      </c>
      <c r="F179" s="146">
        <v>488.25</v>
      </c>
      <c r="G179" s="146"/>
      <c r="H179" s="146"/>
      <c r="I179" s="146">
        <v>724.875</v>
      </c>
      <c r="J179" s="146"/>
      <c r="K179" s="36" t="s">
        <v>52</v>
      </c>
    </row>
    <row r="180" spans="1:11">
      <c r="A180" s="36"/>
      <c r="B180" s="36" t="s">
        <v>52</v>
      </c>
      <c r="D180" s="406">
        <v>41964</v>
      </c>
      <c r="E180" s="120" t="s">
        <v>248</v>
      </c>
      <c r="F180" s="146">
        <v>472.9375</v>
      </c>
      <c r="G180" s="146"/>
      <c r="H180" s="146"/>
      <c r="I180" s="146">
        <v>701.75</v>
      </c>
      <c r="J180" s="146"/>
      <c r="K180" s="36" t="s">
        <v>52</v>
      </c>
    </row>
    <row r="181" spans="1:11">
      <c r="A181" s="36"/>
      <c r="B181" s="36" t="s">
        <v>52</v>
      </c>
      <c r="D181" s="406">
        <v>41971</v>
      </c>
      <c r="E181" s="120" t="s">
        <v>248</v>
      </c>
      <c r="F181" s="146">
        <v>472.25</v>
      </c>
      <c r="G181" s="146"/>
      <c r="H181" s="146"/>
      <c r="I181" s="146">
        <v>698.625</v>
      </c>
      <c r="J181" s="146"/>
      <c r="K181" s="36" t="s">
        <v>52</v>
      </c>
    </row>
    <row r="182" spans="1:11">
      <c r="A182" s="36"/>
      <c r="B182" s="36" t="s">
        <v>52</v>
      </c>
      <c r="D182" s="406">
        <v>41978</v>
      </c>
      <c r="E182" s="120" t="s">
        <v>248</v>
      </c>
      <c r="F182" s="146">
        <v>436.9375</v>
      </c>
      <c r="G182" s="146"/>
      <c r="H182" s="146"/>
      <c r="I182" s="146">
        <v>649.25</v>
      </c>
      <c r="J182" s="146"/>
      <c r="K182" s="36" t="s">
        <v>52</v>
      </c>
    </row>
    <row r="183" spans="1:11">
      <c r="A183" s="36"/>
      <c r="B183" s="36" t="s">
        <v>52</v>
      </c>
      <c r="D183" s="406">
        <v>41985</v>
      </c>
      <c r="E183" s="120" t="s">
        <v>248</v>
      </c>
      <c r="F183" s="146">
        <v>390.75</v>
      </c>
      <c r="G183" s="146"/>
      <c r="H183" s="146"/>
      <c r="I183" s="146">
        <v>604.625</v>
      </c>
      <c r="J183" s="146"/>
      <c r="K183" s="36" t="s">
        <v>52</v>
      </c>
    </row>
    <row r="184" spans="1:11">
      <c r="A184" s="36"/>
      <c r="B184" s="36" t="s">
        <v>52</v>
      </c>
      <c r="D184" s="406">
        <v>41992</v>
      </c>
      <c r="E184" s="120" t="s">
        <v>248</v>
      </c>
      <c r="F184" s="146">
        <v>346.75</v>
      </c>
      <c r="G184" s="146"/>
      <c r="H184" s="146"/>
      <c r="I184" s="146">
        <v>571.875</v>
      </c>
      <c r="J184" s="146"/>
      <c r="K184" s="36" t="s">
        <v>52</v>
      </c>
    </row>
    <row r="185" spans="1:11">
      <c r="A185" s="36"/>
      <c r="B185" s="36" t="s">
        <v>52</v>
      </c>
      <c r="D185" s="406">
        <v>41999</v>
      </c>
      <c r="E185" s="120" t="s">
        <v>248</v>
      </c>
      <c r="F185" s="146">
        <v>346.08333333333337</v>
      </c>
      <c r="G185" s="146"/>
      <c r="H185" s="146"/>
      <c r="I185" s="146">
        <v>569.5</v>
      </c>
      <c r="J185" s="146"/>
      <c r="K185" s="36" t="s">
        <v>52</v>
      </c>
    </row>
    <row r="186" spans="1:11">
      <c r="A186" s="36"/>
      <c r="B186" s="36" t="s">
        <v>52</v>
      </c>
      <c r="D186" s="406">
        <v>42006</v>
      </c>
      <c r="E186" s="120" t="s">
        <v>248</v>
      </c>
      <c r="F186" s="146">
        <v>335.375</v>
      </c>
      <c r="G186" s="146"/>
      <c r="H186" s="146"/>
      <c r="I186" s="146">
        <v>557.75</v>
      </c>
      <c r="J186" s="146"/>
      <c r="K186" s="36" t="s">
        <v>52</v>
      </c>
    </row>
    <row r="187" spans="1:11">
      <c r="A187" s="36"/>
      <c r="B187" s="36" t="s">
        <v>52</v>
      </c>
      <c r="D187" s="406">
        <v>42013</v>
      </c>
      <c r="E187" s="120" t="s">
        <v>248</v>
      </c>
      <c r="F187" s="146">
        <v>297.5625</v>
      </c>
      <c r="G187" s="146"/>
      <c r="H187" s="146"/>
      <c r="I187" s="146">
        <v>514</v>
      </c>
      <c r="J187" s="146"/>
      <c r="K187" s="36" t="s">
        <v>52</v>
      </c>
    </row>
    <row r="188" spans="1:11">
      <c r="A188" s="36"/>
      <c r="B188" s="36" t="s">
        <v>52</v>
      </c>
      <c r="D188" s="406">
        <v>42020</v>
      </c>
      <c r="E188" s="120" t="s">
        <v>248</v>
      </c>
      <c r="F188" s="146">
        <v>283.35000000000002</v>
      </c>
      <c r="G188" s="146"/>
      <c r="H188" s="146"/>
      <c r="I188" s="146">
        <v>480.2</v>
      </c>
      <c r="J188" s="146"/>
      <c r="K188" s="36" t="s">
        <v>52</v>
      </c>
    </row>
    <row r="189" spans="1:11">
      <c r="A189" s="36"/>
      <c r="B189" s="36" t="s">
        <v>52</v>
      </c>
      <c r="D189" s="406">
        <v>42027</v>
      </c>
      <c r="E189" s="120" t="s">
        <v>248</v>
      </c>
      <c r="F189" s="146">
        <v>286.04999999999995</v>
      </c>
      <c r="G189" s="146"/>
      <c r="H189" s="146"/>
      <c r="I189" s="146">
        <v>477.5</v>
      </c>
      <c r="J189" s="146"/>
      <c r="K189" s="36" t="s">
        <v>52</v>
      </c>
    </row>
    <row r="190" spans="1:11">
      <c r="A190" s="36"/>
      <c r="B190" s="36" t="s">
        <v>52</v>
      </c>
      <c r="D190" s="406">
        <v>42034</v>
      </c>
      <c r="E190" s="120" t="s">
        <v>248</v>
      </c>
      <c r="F190" s="146">
        <v>288.25</v>
      </c>
      <c r="G190" s="146"/>
      <c r="H190" s="146"/>
      <c r="I190" s="146">
        <v>476.75</v>
      </c>
      <c r="J190" s="146"/>
      <c r="K190" s="36" t="s">
        <v>52</v>
      </c>
    </row>
    <row r="191" spans="1:11">
      <c r="A191" s="36"/>
      <c r="B191" s="36" t="s">
        <v>52</v>
      </c>
      <c r="D191" s="406">
        <v>42041</v>
      </c>
      <c r="E191" s="120" t="s">
        <v>248</v>
      </c>
      <c r="F191" s="146">
        <v>326.5</v>
      </c>
      <c r="G191" s="146"/>
      <c r="H191" s="146"/>
      <c r="I191" s="146">
        <v>509.75</v>
      </c>
      <c r="J191" s="146"/>
      <c r="K191" s="36" t="s">
        <v>52</v>
      </c>
    </row>
    <row r="192" spans="1:11">
      <c r="A192" s="36"/>
      <c r="B192" s="36" t="s">
        <v>52</v>
      </c>
      <c r="D192" s="406">
        <v>42048</v>
      </c>
      <c r="E192" s="120" t="s">
        <v>248</v>
      </c>
      <c r="F192" s="146">
        <v>354.5625</v>
      </c>
      <c r="G192" s="146"/>
      <c r="H192" s="146"/>
      <c r="I192" s="146">
        <v>544.25</v>
      </c>
      <c r="J192" s="146"/>
      <c r="K192" s="36" t="s">
        <v>52</v>
      </c>
    </row>
    <row r="193" spans="1:11">
      <c r="A193" s="36"/>
      <c r="B193" s="36" t="s">
        <v>52</v>
      </c>
      <c r="D193" s="406">
        <v>42055</v>
      </c>
      <c r="E193" s="120" t="s">
        <v>248</v>
      </c>
      <c r="F193" s="146">
        <v>383.85</v>
      </c>
      <c r="G193" s="146"/>
      <c r="H193" s="146"/>
      <c r="I193" s="146">
        <v>577.9</v>
      </c>
      <c r="J193" s="146"/>
      <c r="K193" s="36" t="s">
        <v>52</v>
      </c>
    </row>
    <row r="194" spans="1:11">
      <c r="A194" s="36"/>
      <c r="B194" s="36" t="s">
        <v>52</v>
      </c>
      <c r="D194" s="406">
        <v>42062</v>
      </c>
      <c r="E194" s="120" t="s">
        <v>248</v>
      </c>
      <c r="F194" s="146">
        <v>359.35</v>
      </c>
      <c r="G194" s="146"/>
      <c r="H194" s="146"/>
      <c r="I194" s="146">
        <v>557.9</v>
      </c>
      <c r="J194" s="146"/>
      <c r="K194" s="36" t="s">
        <v>52</v>
      </c>
    </row>
    <row r="195" spans="1:11">
      <c r="A195" s="36"/>
      <c r="B195" s="36" t="s">
        <v>52</v>
      </c>
      <c r="D195" s="406">
        <v>42069</v>
      </c>
      <c r="E195" s="120" t="s">
        <v>248</v>
      </c>
      <c r="F195" s="146">
        <v>354.0625</v>
      </c>
      <c r="G195" s="146"/>
      <c r="H195" s="146"/>
      <c r="I195" s="146">
        <v>574</v>
      </c>
      <c r="J195" s="146"/>
      <c r="K195" s="36" t="s">
        <v>52</v>
      </c>
    </row>
    <row r="196" spans="1:11">
      <c r="A196" s="36"/>
      <c r="B196" s="36" t="s">
        <v>52</v>
      </c>
      <c r="D196" s="406">
        <v>42076</v>
      </c>
      <c r="E196" s="120" t="s">
        <v>248</v>
      </c>
      <c r="F196" s="146">
        <v>338.9375</v>
      </c>
      <c r="G196" s="146"/>
      <c r="H196" s="146"/>
      <c r="I196" s="146">
        <v>547.75</v>
      </c>
      <c r="J196" s="146"/>
      <c r="K196" s="36" t="s">
        <v>52</v>
      </c>
    </row>
    <row r="197" spans="1:11">
      <c r="A197" s="36"/>
      <c r="B197" s="36" t="s">
        <v>52</v>
      </c>
      <c r="D197" s="406">
        <v>42083</v>
      </c>
      <c r="E197" s="120" t="s">
        <v>248</v>
      </c>
      <c r="F197" s="146">
        <v>316.95</v>
      </c>
      <c r="G197" s="146"/>
      <c r="H197" s="146"/>
      <c r="I197" s="146">
        <v>517.5</v>
      </c>
      <c r="J197" s="146"/>
      <c r="K197" s="36" t="s">
        <v>52</v>
      </c>
    </row>
    <row r="198" spans="1:11">
      <c r="A198" s="36"/>
      <c r="B198" s="36" t="s">
        <v>52</v>
      </c>
      <c r="D198" s="406">
        <v>42090</v>
      </c>
      <c r="E198" s="120" t="s">
        <v>248</v>
      </c>
      <c r="F198" s="146">
        <v>324.625</v>
      </c>
      <c r="G198" s="146"/>
      <c r="H198" s="146"/>
      <c r="I198" s="146">
        <v>521.375</v>
      </c>
      <c r="J198" s="146"/>
      <c r="K198" s="36" t="s">
        <v>52</v>
      </c>
    </row>
    <row r="199" spans="1:11">
      <c r="A199" s="36"/>
      <c r="B199" s="36" t="s">
        <v>52</v>
      </c>
      <c r="D199" s="406">
        <v>42097</v>
      </c>
      <c r="E199" s="120" t="s">
        <v>248</v>
      </c>
      <c r="F199" s="146">
        <v>323.25</v>
      </c>
      <c r="G199" s="146"/>
      <c r="H199" s="146"/>
      <c r="I199" s="146">
        <v>519.875</v>
      </c>
      <c r="J199" s="146"/>
      <c r="K199" s="36" t="s">
        <v>52</v>
      </c>
    </row>
    <row r="200" spans="1:11">
      <c r="A200" s="36"/>
      <c r="B200" s="36" t="s">
        <v>52</v>
      </c>
      <c r="D200" s="406">
        <v>42104</v>
      </c>
      <c r="E200" s="120" t="s">
        <v>248</v>
      </c>
      <c r="F200" s="146">
        <v>330.75</v>
      </c>
      <c r="G200" s="146"/>
      <c r="H200" s="146"/>
      <c r="I200" s="146">
        <v>523.875</v>
      </c>
      <c r="J200" s="146"/>
      <c r="K200" s="36" t="s">
        <v>52</v>
      </c>
    </row>
    <row r="201" spans="1:11">
      <c r="A201" s="36"/>
      <c r="B201" s="36" t="s">
        <v>52</v>
      </c>
      <c r="D201" s="406">
        <v>42111</v>
      </c>
      <c r="E201" s="120" t="s">
        <v>248</v>
      </c>
      <c r="F201" s="146">
        <v>345.0625</v>
      </c>
      <c r="G201" s="146"/>
      <c r="H201" s="146"/>
      <c r="I201" s="146">
        <v>536.75</v>
      </c>
      <c r="J201" s="146"/>
      <c r="K201" s="36" t="s">
        <v>52</v>
      </c>
    </row>
    <row r="202" spans="1:11">
      <c r="A202" s="36"/>
      <c r="B202" s="36" t="s">
        <v>52</v>
      </c>
      <c r="D202" s="406">
        <v>42118</v>
      </c>
      <c r="E202" s="120" t="s">
        <v>248</v>
      </c>
      <c r="F202" s="146">
        <v>355.3125</v>
      </c>
      <c r="G202" s="146"/>
      <c r="H202" s="146"/>
      <c r="I202" s="146">
        <v>551.5</v>
      </c>
      <c r="J202" s="146"/>
      <c r="K202" s="36" t="s">
        <v>52</v>
      </c>
    </row>
    <row r="203" spans="1:11">
      <c r="A203" s="36"/>
      <c r="B203" s="36" t="s">
        <v>52</v>
      </c>
      <c r="D203" s="406">
        <v>42125</v>
      </c>
      <c r="E203" s="120" t="s">
        <v>248</v>
      </c>
      <c r="F203" s="146">
        <v>363</v>
      </c>
      <c r="G203" s="146"/>
      <c r="H203" s="146"/>
      <c r="I203" s="146">
        <v>566.16666666666663</v>
      </c>
      <c r="J203" s="146"/>
      <c r="K203" s="36" t="s">
        <v>52</v>
      </c>
    </row>
    <row r="204" spans="1:11">
      <c r="A204" s="36"/>
      <c r="B204" s="36" t="s">
        <v>52</v>
      </c>
      <c r="D204" s="406">
        <v>42132</v>
      </c>
      <c r="E204" s="120" t="s">
        <v>248</v>
      </c>
      <c r="F204" s="146">
        <v>391.25</v>
      </c>
      <c r="G204" s="146"/>
      <c r="H204" s="146"/>
      <c r="I204" s="146">
        <v>586.375</v>
      </c>
      <c r="J204" s="146"/>
      <c r="K204" s="36" t="s">
        <v>52</v>
      </c>
    </row>
    <row r="205" spans="1:11">
      <c r="A205" s="36"/>
      <c r="B205" s="36" t="s">
        <v>52</v>
      </c>
      <c r="D205" s="406">
        <v>42139</v>
      </c>
      <c r="E205" s="120" t="s">
        <v>248</v>
      </c>
      <c r="F205" s="146">
        <v>389.625</v>
      </c>
      <c r="G205" s="146"/>
      <c r="H205" s="146"/>
      <c r="I205" s="146">
        <v>586.25</v>
      </c>
      <c r="J205" s="146"/>
      <c r="K205" s="36" t="s">
        <v>52</v>
      </c>
    </row>
    <row r="206" spans="1:11">
      <c r="A206" s="36"/>
      <c r="B206" s="36" t="s">
        <v>52</v>
      </c>
      <c r="D206" s="406">
        <v>42146</v>
      </c>
      <c r="E206" s="120" t="s">
        <v>248</v>
      </c>
      <c r="F206" s="146">
        <v>374.875</v>
      </c>
      <c r="G206" s="146"/>
      <c r="H206" s="146"/>
      <c r="I206" s="146">
        <v>579.875</v>
      </c>
      <c r="J206" s="146"/>
      <c r="K206" s="36" t="s">
        <v>52</v>
      </c>
    </row>
    <row r="207" spans="1:11">
      <c r="A207" s="36"/>
      <c r="B207" s="36" t="s">
        <v>52</v>
      </c>
      <c r="D207" s="406">
        <v>42153</v>
      </c>
      <c r="E207" s="120" t="s">
        <v>248</v>
      </c>
      <c r="F207" s="146">
        <v>380.6875</v>
      </c>
      <c r="G207" s="146"/>
      <c r="H207" s="146"/>
      <c r="I207" s="146">
        <v>569.75</v>
      </c>
      <c r="J207" s="146"/>
      <c r="K207" s="36" t="s">
        <v>52</v>
      </c>
    </row>
    <row r="208" spans="1:11">
      <c r="A208" s="36"/>
      <c r="B208" s="36" t="s">
        <v>52</v>
      </c>
      <c r="D208" s="406">
        <v>42160</v>
      </c>
      <c r="E208" s="120" t="s">
        <v>248</v>
      </c>
      <c r="F208" s="146">
        <v>374.8</v>
      </c>
      <c r="G208" s="146"/>
      <c r="H208" s="146"/>
      <c r="I208" s="146">
        <v>565.20000000000005</v>
      </c>
      <c r="J208" s="146"/>
      <c r="K208" s="36" t="s">
        <v>52</v>
      </c>
    </row>
    <row r="209" spans="1:11">
      <c r="A209" s="36"/>
      <c r="B209" s="36" t="s">
        <v>52</v>
      </c>
      <c r="D209" s="406">
        <v>42167</v>
      </c>
      <c r="E209" s="120" t="s">
        <v>248</v>
      </c>
      <c r="F209" s="146">
        <v>369.875</v>
      </c>
      <c r="G209" s="146"/>
      <c r="H209" s="146"/>
      <c r="I209" s="146">
        <v>560.875</v>
      </c>
      <c r="J209" s="146"/>
      <c r="K209" s="36" t="s">
        <v>52</v>
      </c>
    </row>
    <row r="210" spans="1:11">
      <c r="A210" s="36"/>
      <c r="B210" s="36" t="s">
        <v>52</v>
      </c>
      <c r="D210" s="406">
        <v>42174</v>
      </c>
      <c r="E210" s="120" t="s">
        <v>248</v>
      </c>
      <c r="F210" s="146">
        <v>366.4375</v>
      </c>
      <c r="G210" s="146"/>
      <c r="H210" s="146"/>
      <c r="I210" s="146">
        <v>556.75</v>
      </c>
      <c r="J210" s="146"/>
      <c r="K210" s="36" t="s">
        <v>52</v>
      </c>
    </row>
    <row r="211" spans="1:11">
      <c r="A211" s="36"/>
      <c r="B211" s="36" t="s">
        <v>52</v>
      </c>
      <c r="D211" s="406">
        <v>42181</v>
      </c>
      <c r="E211" s="120" t="s">
        <v>248</v>
      </c>
      <c r="F211" s="146">
        <v>356.4375</v>
      </c>
      <c r="G211" s="146"/>
      <c r="H211" s="146"/>
      <c r="I211" s="146">
        <v>553.5</v>
      </c>
      <c r="J211" s="146"/>
      <c r="K211" s="36" t="s">
        <v>52</v>
      </c>
    </row>
    <row r="212" spans="1:11">
      <c r="A212" s="36"/>
      <c r="B212" s="36" t="s">
        <v>52</v>
      </c>
      <c r="D212" s="406">
        <v>42188</v>
      </c>
      <c r="E212" s="120" t="s">
        <v>248</v>
      </c>
      <c r="F212" s="146">
        <v>343.875</v>
      </c>
      <c r="G212" s="146"/>
      <c r="H212" s="146"/>
      <c r="I212" s="146">
        <v>536.125</v>
      </c>
      <c r="J212" s="146"/>
      <c r="K212" s="36" t="s">
        <v>52</v>
      </c>
    </row>
    <row r="213" spans="1:11">
      <c r="A213" s="36"/>
      <c r="B213" s="36" t="s">
        <v>52</v>
      </c>
      <c r="D213" s="406">
        <v>42195</v>
      </c>
      <c r="E213" s="120" t="s">
        <v>248</v>
      </c>
      <c r="F213" s="146">
        <v>318</v>
      </c>
      <c r="G213" s="146"/>
      <c r="H213" s="146"/>
      <c r="I213" s="146">
        <v>507.625</v>
      </c>
      <c r="J213" s="146"/>
      <c r="K213" s="36" t="s">
        <v>52</v>
      </c>
    </row>
    <row r="214" spans="1:11">
      <c r="A214" s="36"/>
      <c r="B214" s="36" t="s">
        <v>52</v>
      </c>
      <c r="D214" s="406">
        <v>42202</v>
      </c>
      <c r="E214" s="120" t="s">
        <v>248</v>
      </c>
      <c r="F214" s="146">
        <v>317.0625</v>
      </c>
      <c r="G214" s="146"/>
      <c r="H214" s="146"/>
      <c r="I214" s="146">
        <v>488.875</v>
      </c>
      <c r="J214" s="146"/>
      <c r="K214" s="36" t="s">
        <v>52</v>
      </c>
    </row>
    <row r="215" spans="1:11">
      <c r="A215" s="36"/>
      <c r="B215" s="36" t="s">
        <v>52</v>
      </c>
      <c r="D215" s="406">
        <v>42209</v>
      </c>
      <c r="E215" s="120" t="s">
        <v>248</v>
      </c>
      <c r="F215" s="146">
        <v>309.875</v>
      </c>
      <c r="G215" s="146"/>
      <c r="H215" s="146"/>
      <c r="I215" s="146">
        <v>475</v>
      </c>
      <c r="J215" s="146"/>
      <c r="K215" s="36" t="s">
        <v>52</v>
      </c>
    </row>
    <row r="216" spans="1:11">
      <c r="A216" s="36"/>
      <c r="B216" s="36" t="s">
        <v>52</v>
      </c>
      <c r="D216" s="406">
        <v>42216</v>
      </c>
      <c r="E216" s="120" t="s">
        <v>248</v>
      </c>
      <c r="F216" s="146">
        <v>292.79999999999995</v>
      </c>
      <c r="G216" s="146"/>
      <c r="H216" s="146"/>
      <c r="I216" s="146">
        <v>450.3</v>
      </c>
      <c r="J216" s="146"/>
      <c r="K216" s="36" t="s">
        <v>52</v>
      </c>
    </row>
    <row r="217" spans="1:11">
      <c r="A217" s="36"/>
      <c r="B217" s="36" t="s">
        <v>52</v>
      </c>
      <c r="D217" s="406">
        <v>42223</v>
      </c>
      <c r="E217" s="120" t="s">
        <v>248</v>
      </c>
      <c r="F217" s="146">
        <v>275.8125</v>
      </c>
      <c r="G217" s="146"/>
      <c r="H217" s="146"/>
      <c r="I217" s="146">
        <v>436.875</v>
      </c>
      <c r="J217" s="146"/>
      <c r="K217" s="36" t="s">
        <v>52</v>
      </c>
    </row>
    <row r="218" spans="1:11">
      <c r="A218" s="36"/>
      <c r="B218" s="36" t="s">
        <v>52</v>
      </c>
      <c r="D218" s="406">
        <v>42230</v>
      </c>
      <c r="E218" s="120" t="s">
        <v>248</v>
      </c>
      <c r="F218" s="146">
        <v>268.875</v>
      </c>
      <c r="G218" s="146"/>
      <c r="H218" s="146"/>
      <c r="I218" s="146">
        <v>437.5</v>
      </c>
      <c r="J218" s="146"/>
      <c r="K218" s="36" t="s">
        <v>52</v>
      </c>
    </row>
    <row r="219" spans="1:11">
      <c r="A219" s="36"/>
      <c r="B219" s="36" t="s">
        <v>54</v>
      </c>
      <c r="D219" s="406">
        <v>42237</v>
      </c>
      <c r="E219" s="120" t="s">
        <v>248</v>
      </c>
      <c r="F219" s="146">
        <v>248.065</v>
      </c>
      <c r="G219" s="146"/>
      <c r="H219" s="146"/>
      <c r="I219" s="146">
        <v>422</v>
      </c>
      <c r="J219" s="146"/>
      <c r="K219" s="36" t="s">
        <v>54</v>
      </c>
    </row>
    <row r="220" spans="1:11">
      <c r="A220" s="36"/>
      <c r="B220" s="36" t="s">
        <v>52</v>
      </c>
      <c r="D220" s="406">
        <v>42244</v>
      </c>
      <c r="E220" s="120" t="s">
        <v>248</v>
      </c>
      <c r="F220" s="146">
        <v>214.375</v>
      </c>
      <c r="G220" s="146"/>
      <c r="H220" s="146"/>
      <c r="I220" s="146">
        <v>398.875</v>
      </c>
      <c r="J220" s="146"/>
      <c r="K220" s="36" t="s">
        <v>52</v>
      </c>
    </row>
    <row r="221" spans="1:11">
      <c r="A221" s="36"/>
      <c r="B221" s="36" t="s">
        <v>52</v>
      </c>
      <c r="D221" s="406">
        <v>42251</v>
      </c>
      <c r="E221" s="120" t="s">
        <v>248</v>
      </c>
      <c r="F221" s="146">
        <v>258.7</v>
      </c>
      <c r="G221" s="146"/>
      <c r="H221" s="146"/>
      <c r="I221" s="146">
        <v>443.8</v>
      </c>
      <c r="J221" s="146"/>
      <c r="K221" s="36" t="s">
        <v>52</v>
      </c>
    </row>
    <row r="222" spans="1:11">
      <c r="A222" s="36"/>
      <c r="B222" s="36" t="s">
        <v>52</v>
      </c>
      <c r="D222" s="406">
        <v>42258</v>
      </c>
      <c r="E222" s="120" t="s">
        <v>248</v>
      </c>
      <c r="F222" s="146">
        <v>246.4375</v>
      </c>
      <c r="G222" s="146"/>
      <c r="H222" s="146"/>
      <c r="I222" s="146">
        <v>444</v>
      </c>
      <c r="J222" s="146"/>
      <c r="K222" s="36" t="s">
        <v>52</v>
      </c>
    </row>
    <row r="223" spans="1:11">
      <c r="A223" s="36"/>
      <c r="B223" s="36" t="s">
        <v>52</v>
      </c>
      <c r="D223" s="406">
        <v>42265</v>
      </c>
      <c r="E223" s="120" t="s">
        <v>248</v>
      </c>
      <c r="F223" s="146">
        <v>233.25</v>
      </c>
      <c r="G223" s="146"/>
      <c r="H223" s="146"/>
      <c r="I223" s="146">
        <v>434.5</v>
      </c>
      <c r="J223" s="146"/>
      <c r="K223" s="36" t="s">
        <v>52</v>
      </c>
    </row>
    <row r="224" spans="1:11">
      <c r="A224" s="36"/>
      <c r="B224" s="36" t="s">
        <v>52</v>
      </c>
      <c r="D224" s="406">
        <v>42272</v>
      </c>
      <c r="E224" s="120" t="s">
        <v>248</v>
      </c>
      <c r="F224" s="146">
        <v>238.25</v>
      </c>
      <c r="G224" s="146"/>
      <c r="H224" s="146"/>
      <c r="I224" s="146">
        <v>436.625</v>
      </c>
      <c r="J224" s="146"/>
      <c r="K224" s="36" t="s">
        <v>52</v>
      </c>
    </row>
    <row r="225" spans="1:11">
      <c r="A225" s="36"/>
      <c r="B225" s="36" t="s">
        <v>52</v>
      </c>
      <c r="D225" s="406">
        <v>42279</v>
      </c>
      <c r="E225" s="120" t="s">
        <v>248</v>
      </c>
      <c r="F225" s="146">
        <v>235.7</v>
      </c>
      <c r="G225" s="146"/>
      <c r="H225" s="146"/>
      <c r="I225" s="146">
        <v>429.3</v>
      </c>
      <c r="J225" s="146"/>
      <c r="K225" s="36" t="s">
        <v>52</v>
      </c>
    </row>
    <row r="226" spans="1:11">
      <c r="A226" s="36"/>
      <c r="B226" s="36" t="s">
        <v>52</v>
      </c>
      <c r="D226" s="406">
        <v>42286</v>
      </c>
      <c r="E226" s="120" t="s">
        <v>248</v>
      </c>
      <c r="F226" s="146">
        <v>253.45</v>
      </c>
      <c r="G226" s="146"/>
      <c r="H226" s="146"/>
      <c r="I226" s="146">
        <v>448</v>
      </c>
      <c r="J226" s="146"/>
      <c r="K226" s="36" t="s">
        <v>52</v>
      </c>
    </row>
    <row r="227" spans="1:11">
      <c r="A227" s="36"/>
      <c r="B227" s="36" t="s">
        <v>52</v>
      </c>
      <c r="D227" s="406">
        <v>42293</v>
      </c>
      <c r="E227" s="120" t="s">
        <v>248</v>
      </c>
      <c r="F227" s="146">
        <v>248.9375</v>
      </c>
      <c r="G227" s="146"/>
      <c r="H227" s="146"/>
      <c r="I227" s="146">
        <v>439.125</v>
      </c>
      <c r="J227" s="146"/>
      <c r="K227" s="36" t="s">
        <v>52</v>
      </c>
    </row>
    <row r="228" spans="1:11">
      <c r="A228" s="36"/>
      <c r="B228" s="36" t="s">
        <v>52</v>
      </c>
      <c r="D228" s="406">
        <v>42300</v>
      </c>
      <c r="E228" s="120" t="s">
        <v>248</v>
      </c>
      <c r="F228" s="146">
        <v>239.2</v>
      </c>
      <c r="G228" s="146"/>
      <c r="H228" s="146"/>
      <c r="I228" s="146">
        <v>427.1</v>
      </c>
      <c r="J228" s="146"/>
      <c r="K228" s="36" t="s">
        <v>52</v>
      </c>
    </row>
    <row r="229" spans="1:11">
      <c r="A229" s="36"/>
      <c r="B229" s="36" t="s">
        <v>52</v>
      </c>
      <c r="D229" s="406">
        <v>42307</v>
      </c>
      <c r="E229" s="120" t="s">
        <v>248</v>
      </c>
      <c r="F229" s="146">
        <v>240.125</v>
      </c>
      <c r="G229" s="146"/>
      <c r="H229" s="146"/>
      <c r="I229" s="146">
        <v>424.75</v>
      </c>
      <c r="J229" s="146"/>
      <c r="K229" s="36" t="s">
        <v>52</v>
      </c>
    </row>
    <row r="230" spans="1:11">
      <c r="A230" s="36"/>
      <c r="B230" s="36" t="s">
        <v>52</v>
      </c>
      <c r="D230" s="406">
        <v>42314</v>
      </c>
      <c r="E230" s="120" t="s">
        <v>248</v>
      </c>
      <c r="F230" s="146">
        <v>247.125</v>
      </c>
      <c r="G230" s="146"/>
      <c r="H230" s="146"/>
      <c r="I230" s="146">
        <v>440.5</v>
      </c>
      <c r="J230" s="146"/>
      <c r="K230" s="36" t="s">
        <v>52</v>
      </c>
    </row>
    <row r="231" spans="1:11">
      <c r="A231" s="36"/>
      <c r="B231" s="36" t="s">
        <v>52</v>
      </c>
      <c r="D231" s="406">
        <v>42321</v>
      </c>
      <c r="E231" s="120" t="s">
        <v>248</v>
      </c>
      <c r="F231" s="146">
        <v>243.41666666666666</v>
      </c>
      <c r="G231" s="146"/>
      <c r="H231" s="146"/>
      <c r="I231" s="146">
        <v>435.83333333333331</v>
      </c>
      <c r="J231" s="146"/>
      <c r="K231" s="36" t="s">
        <v>52</v>
      </c>
    </row>
    <row r="232" spans="1:11">
      <c r="A232" s="36"/>
      <c r="B232" s="36" t="s">
        <v>52</v>
      </c>
      <c r="D232" s="406">
        <v>42328</v>
      </c>
      <c r="E232" s="120" t="s">
        <v>248</v>
      </c>
      <c r="F232" s="146">
        <v>225.75</v>
      </c>
      <c r="G232" s="146"/>
      <c r="H232" s="146"/>
      <c r="I232" s="146">
        <v>412.375</v>
      </c>
      <c r="J232" s="146"/>
      <c r="K232" s="36" t="s">
        <v>52</v>
      </c>
    </row>
    <row r="233" spans="1:11">
      <c r="A233" s="36"/>
      <c r="B233" s="36" t="s">
        <v>52</v>
      </c>
      <c r="D233" s="406">
        <v>42335</v>
      </c>
      <c r="E233" s="120" t="s">
        <v>248</v>
      </c>
      <c r="F233" s="146">
        <v>227.4375</v>
      </c>
      <c r="G233" s="146"/>
      <c r="H233" s="146"/>
      <c r="I233" s="146">
        <v>417.375</v>
      </c>
      <c r="J233" s="146"/>
      <c r="K233" s="36" t="s">
        <v>52</v>
      </c>
    </row>
    <row r="234" spans="1:11">
      <c r="A234" s="36"/>
      <c r="B234" s="36" t="s">
        <v>52</v>
      </c>
      <c r="D234" s="406">
        <v>42342</v>
      </c>
      <c r="E234" s="120" t="s">
        <v>248</v>
      </c>
      <c r="F234" s="146">
        <v>218</v>
      </c>
      <c r="G234" s="146"/>
      <c r="H234" s="146"/>
      <c r="I234" s="146">
        <v>402.5</v>
      </c>
      <c r="J234" s="146"/>
      <c r="K234" s="36" t="s">
        <v>52</v>
      </c>
    </row>
    <row r="235" spans="1:11">
      <c r="A235" s="36"/>
      <c r="B235" s="36" t="s">
        <v>52</v>
      </c>
      <c r="D235" s="406">
        <v>42349</v>
      </c>
      <c r="E235" s="120" t="s">
        <v>248</v>
      </c>
      <c r="F235" s="146">
        <v>195.6875</v>
      </c>
      <c r="G235" s="146"/>
      <c r="H235" s="146"/>
      <c r="I235" s="146">
        <v>376.125</v>
      </c>
      <c r="J235" s="146"/>
      <c r="K235" s="36" t="s">
        <v>52</v>
      </c>
    </row>
    <row r="236" spans="1:11">
      <c r="A236" s="36"/>
      <c r="B236" s="36" t="s">
        <v>52</v>
      </c>
      <c r="D236" s="406">
        <v>42356</v>
      </c>
      <c r="E236" s="120" t="s">
        <v>248</v>
      </c>
      <c r="F236" s="146">
        <v>184.4375</v>
      </c>
      <c r="G236" s="146"/>
      <c r="H236" s="146"/>
      <c r="I236" s="146">
        <v>348.375</v>
      </c>
      <c r="J236" s="146"/>
      <c r="K236" s="36" t="s">
        <v>52</v>
      </c>
    </row>
    <row r="237" spans="1:11">
      <c r="A237" s="36"/>
      <c r="B237" s="36" t="s">
        <v>52</v>
      </c>
      <c r="D237" s="406">
        <v>42363</v>
      </c>
      <c r="E237" s="120" t="s">
        <v>248</v>
      </c>
      <c r="F237" s="146">
        <v>169.25</v>
      </c>
      <c r="G237" s="146"/>
      <c r="H237" s="146"/>
      <c r="I237" s="146">
        <v>324.125</v>
      </c>
      <c r="J237" s="146"/>
      <c r="K237" s="36" t="s">
        <v>52</v>
      </c>
    </row>
    <row r="238" spans="1:11">
      <c r="A238" s="36"/>
      <c r="B238" s="36" t="s">
        <v>52</v>
      </c>
      <c r="D238" s="406">
        <v>42370</v>
      </c>
      <c r="E238" s="120" t="s">
        <v>248</v>
      </c>
      <c r="F238" s="146">
        <v>169.25</v>
      </c>
      <c r="G238" s="146"/>
      <c r="H238" s="146"/>
      <c r="I238" s="146">
        <v>324.125</v>
      </c>
      <c r="J238" s="146"/>
      <c r="K238" s="36" t="s">
        <v>52</v>
      </c>
    </row>
    <row r="239" spans="1:11">
      <c r="A239" s="36"/>
      <c r="B239" s="36" t="s">
        <v>52</v>
      </c>
      <c r="D239" s="406">
        <v>42377</v>
      </c>
      <c r="E239" s="120" t="s">
        <v>248</v>
      </c>
      <c r="F239" s="146">
        <v>175.0625</v>
      </c>
      <c r="G239" s="146"/>
      <c r="H239" s="146"/>
      <c r="I239" s="146">
        <v>314.375</v>
      </c>
      <c r="J239" s="146"/>
      <c r="K239" s="36" t="s">
        <v>52</v>
      </c>
    </row>
    <row r="240" spans="1:11">
      <c r="A240" s="36"/>
      <c r="B240" s="36" t="s">
        <v>52</v>
      </c>
      <c r="D240" s="406">
        <v>42384</v>
      </c>
      <c r="E240" s="120" t="s">
        <v>248</v>
      </c>
      <c r="F240" s="146">
        <v>156.25</v>
      </c>
      <c r="G240" s="146"/>
      <c r="H240" s="146"/>
      <c r="I240" s="146">
        <v>278.875</v>
      </c>
      <c r="J240" s="146"/>
      <c r="K240" s="36" t="s">
        <v>52</v>
      </c>
    </row>
    <row r="241" spans="1:11">
      <c r="A241" s="36"/>
      <c r="B241" s="36" t="s">
        <v>52</v>
      </c>
      <c r="D241" s="406">
        <v>42391</v>
      </c>
      <c r="E241" s="120" t="s">
        <v>248</v>
      </c>
      <c r="F241" s="146">
        <v>151.875</v>
      </c>
      <c r="G241" s="146"/>
      <c r="H241" s="146"/>
      <c r="I241" s="146">
        <v>260.625</v>
      </c>
      <c r="J241" s="146"/>
      <c r="K241" s="36" t="s">
        <v>52</v>
      </c>
    </row>
    <row r="242" spans="1:11">
      <c r="A242" s="36"/>
      <c r="B242" s="36" t="s">
        <v>52</v>
      </c>
      <c r="D242" s="406">
        <v>42398</v>
      </c>
      <c r="E242" s="120" t="s">
        <v>248</v>
      </c>
      <c r="F242" s="146">
        <v>168.125</v>
      </c>
      <c r="G242" s="146"/>
      <c r="H242" s="146"/>
      <c r="I242" s="146">
        <v>259.5</v>
      </c>
      <c r="J242" s="146"/>
      <c r="K242" s="36" t="s">
        <v>52</v>
      </c>
    </row>
    <row r="243" spans="1:11">
      <c r="A243" s="36"/>
      <c r="B243" s="36" t="s">
        <v>52</v>
      </c>
      <c r="D243" s="406">
        <v>42405</v>
      </c>
      <c r="E243" s="120" t="s">
        <v>248</v>
      </c>
      <c r="F243" s="146">
        <v>170.16666666666669</v>
      </c>
      <c r="G243" s="146"/>
      <c r="H243" s="146"/>
      <c r="I243" s="146">
        <v>272.08333333333337</v>
      </c>
      <c r="J243" s="146"/>
      <c r="K243" s="36" t="s">
        <v>52</v>
      </c>
    </row>
    <row r="244" spans="1:11">
      <c r="A244" s="36"/>
      <c r="B244" s="36" t="s">
        <v>52</v>
      </c>
      <c r="D244" s="406">
        <v>42412</v>
      </c>
      <c r="E244" s="120" t="s">
        <v>248</v>
      </c>
      <c r="F244" s="146">
        <v>172.20833333333334</v>
      </c>
      <c r="G244" s="146"/>
      <c r="H244" s="146"/>
      <c r="I244" s="146">
        <v>284.66666666666669</v>
      </c>
      <c r="J244" s="146"/>
      <c r="K244" s="36" t="s">
        <v>52</v>
      </c>
    </row>
    <row r="245" spans="1:11">
      <c r="A245" s="36"/>
      <c r="B245" s="36" t="s">
        <v>52</v>
      </c>
      <c r="D245" s="406">
        <v>42419</v>
      </c>
      <c r="E245" s="120" t="s">
        <v>248</v>
      </c>
      <c r="F245" s="146">
        <v>165.9375</v>
      </c>
      <c r="G245" s="146"/>
      <c r="H245" s="146"/>
      <c r="I245" s="146">
        <v>295.75</v>
      </c>
      <c r="J245" s="146"/>
      <c r="K245" s="36" t="s">
        <v>52</v>
      </c>
    </row>
    <row r="246" spans="1:11">
      <c r="A246" s="36"/>
      <c r="B246" s="36" t="s">
        <v>52</v>
      </c>
      <c r="D246" s="406">
        <v>42426</v>
      </c>
      <c r="E246" s="120" t="s">
        <v>248</v>
      </c>
      <c r="F246" s="146">
        <v>155.375</v>
      </c>
      <c r="G246" s="146"/>
      <c r="H246" s="146"/>
      <c r="I246" s="146">
        <v>294</v>
      </c>
      <c r="J246" s="146"/>
      <c r="K246" s="36" t="s">
        <v>52</v>
      </c>
    </row>
    <row r="247" spans="1:11">
      <c r="A247" s="36"/>
      <c r="B247" s="36" t="s">
        <v>52</v>
      </c>
      <c r="D247" s="406">
        <v>42433</v>
      </c>
      <c r="E247" s="120" t="s">
        <v>248</v>
      </c>
      <c r="F247" s="146">
        <v>162.35000000000002</v>
      </c>
      <c r="G247" s="146"/>
      <c r="H247" s="146"/>
      <c r="I247" s="146">
        <v>301.8</v>
      </c>
      <c r="J247" s="146"/>
      <c r="K247" s="36" t="s">
        <v>52</v>
      </c>
    </row>
    <row r="248" spans="1:11">
      <c r="A248" s="36"/>
      <c r="B248" s="36" t="s">
        <v>52</v>
      </c>
      <c r="D248" s="406">
        <v>42440</v>
      </c>
      <c r="E248" s="120" t="s">
        <v>248</v>
      </c>
      <c r="F248" s="146">
        <v>183.25</v>
      </c>
      <c r="G248" s="146"/>
      <c r="H248" s="146"/>
      <c r="I248" s="146">
        <v>337.25</v>
      </c>
      <c r="J248" s="146"/>
      <c r="K248" s="36" t="s">
        <v>52</v>
      </c>
    </row>
    <row r="249" spans="1:11">
      <c r="A249" s="36"/>
      <c r="B249" s="36" t="s">
        <v>52</v>
      </c>
      <c r="D249" s="406">
        <v>42447</v>
      </c>
      <c r="E249" s="120" t="s">
        <v>248</v>
      </c>
      <c r="F249" s="146">
        <v>184.75</v>
      </c>
      <c r="G249" s="146"/>
      <c r="H249" s="146"/>
      <c r="I249" s="146">
        <v>340.5</v>
      </c>
      <c r="J249" s="146"/>
      <c r="K249" s="36" t="s">
        <v>52</v>
      </c>
    </row>
    <row r="250" spans="1:11">
      <c r="A250" s="36"/>
      <c r="B250" s="36" t="s">
        <v>52</v>
      </c>
      <c r="D250" s="406">
        <v>42454</v>
      </c>
      <c r="E250" s="120" t="s">
        <v>248</v>
      </c>
      <c r="F250" s="146">
        <v>186.75</v>
      </c>
      <c r="G250" s="146"/>
      <c r="H250" s="146"/>
      <c r="I250" s="146">
        <v>344.5</v>
      </c>
      <c r="J250" s="146"/>
      <c r="K250" s="36" t="s">
        <v>52</v>
      </c>
    </row>
    <row r="251" spans="1:11">
      <c r="A251" s="36"/>
      <c r="B251" s="36" t="s">
        <v>52</v>
      </c>
      <c r="D251" s="406">
        <v>42461</v>
      </c>
      <c r="E251" s="120" t="s">
        <v>248</v>
      </c>
      <c r="F251" s="146">
        <v>186.75</v>
      </c>
      <c r="G251" s="146"/>
      <c r="H251" s="146"/>
      <c r="I251" s="146">
        <v>344.5</v>
      </c>
      <c r="J251" s="146"/>
      <c r="K251" s="36" t="s">
        <v>52</v>
      </c>
    </row>
    <row r="252" spans="1:11">
      <c r="A252" s="36"/>
      <c r="B252" s="36" t="s">
        <v>52</v>
      </c>
      <c r="D252" s="406">
        <v>42468</v>
      </c>
      <c r="E252" s="120" t="s">
        <v>248</v>
      </c>
      <c r="F252" s="146">
        <v>180.15</v>
      </c>
      <c r="G252" s="146"/>
      <c r="H252" s="146"/>
      <c r="I252" s="146">
        <v>324.2</v>
      </c>
      <c r="J252" s="146"/>
      <c r="K252" s="36" t="s">
        <v>52</v>
      </c>
    </row>
    <row r="253" spans="1:11">
      <c r="A253" s="36"/>
      <c r="B253" s="36" t="s">
        <v>52</v>
      </c>
      <c r="D253" s="406">
        <v>42475</v>
      </c>
      <c r="E253" s="120" t="s">
        <v>248</v>
      </c>
      <c r="F253" s="146">
        <v>197.0625</v>
      </c>
      <c r="G253" s="146"/>
      <c r="H253" s="146"/>
      <c r="I253" s="146">
        <v>349.5</v>
      </c>
      <c r="J253" s="146"/>
      <c r="K253" s="36" t="s">
        <v>52</v>
      </c>
    </row>
    <row r="254" spans="1:11">
      <c r="A254" s="36"/>
      <c r="B254" s="36" t="s">
        <v>52</v>
      </c>
      <c r="D254" s="406">
        <v>42482</v>
      </c>
      <c r="E254" s="120" t="s">
        <v>248</v>
      </c>
      <c r="F254" s="146">
        <v>197.25</v>
      </c>
      <c r="G254" s="146"/>
      <c r="H254" s="146"/>
      <c r="I254" s="146">
        <v>354.2</v>
      </c>
      <c r="J254" s="146"/>
      <c r="K254" s="36" t="s">
        <v>52</v>
      </c>
    </row>
    <row r="255" spans="1:11">
      <c r="A255" s="36"/>
      <c r="B255" s="36" t="s">
        <v>52</v>
      </c>
      <c r="D255" s="406">
        <v>42489</v>
      </c>
      <c r="E255" s="120" t="s">
        <v>248</v>
      </c>
      <c r="F255" s="146">
        <v>210.25</v>
      </c>
      <c r="G255" s="146"/>
      <c r="H255" s="146"/>
      <c r="I255" s="146">
        <v>378</v>
      </c>
      <c r="J255" s="146"/>
      <c r="K255" s="36" t="s">
        <v>52</v>
      </c>
    </row>
    <row r="256" spans="1:11">
      <c r="A256" s="36"/>
      <c r="B256" s="36" t="s">
        <v>52</v>
      </c>
      <c r="D256" s="406">
        <v>42496</v>
      </c>
      <c r="E256" s="120" t="s">
        <v>248</v>
      </c>
      <c r="F256" s="146">
        <v>219</v>
      </c>
      <c r="G256" s="146"/>
      <c r="H256" s="146"/>
      <c r="I256" s="146">
        <v>386.66666666666669</v>
      </c>
      <c r="J256" s="146"/>
      <c r="K256" s="36" t="s">
        <v>52</v>
      </c>
    </row>
    <row r="257" spans="1:11">
      <c r="A257" s="36"/>
      <c r="B257" s="36" t="s">
        <v>52</v>
      </c>
      <c r="D257" s="406">
        <v>42503</v>
      </c>
      <c r="E257" s="120" t="s">
        <v>248</v>
      </c>
      <c r="F257" s="146">
        <v>222.95</v>
      </c>
      <c r="G257" s="146"/>
      <c r="H257" s="146"/>
      <c r="I257" s="146">
        <v>392</v>
      </c>
      <c r="J257" s="146"/>
      <c r="K257" s="36" t="s">
        <v>52</v>
      </c>
    </row>
    <row r="258" spans="1:11">
      <c r="A258" s="36"/>
      <c r="B258" s="36" t="s">
        <v>52</v>
      </c>
      <c r="D258" s="406">
        <v>42510</v>
      </c>
      <c r="E258" s="120" t="s">
        <v>248</v>
      </c>
      <c r="F258" s="146">
        <v>232.0625</v>
      </c>
      <c r="G258" s="146"/>
      <c r="H258" s="146"/>
      <c r="I258" s="146">
        <v>410</v>
      </c>
      <c r="J258" s="146"/>
      <c r="K258" s="36" t="s">
        <v>52</v>
      </c>
    </row>
    <row r="259" spans="1:11">
      <c r="A259" s="36"/>
      <c r="B259" s="36" t="s">
        <v>52</v>
      </c>
      <c r="D259" s="406">
        <v>42517</v>
      </c>
      <c r="E259" s="120" t="s">
        <v>248</v>
      </c>
      <c r="F259" s="146">
        <v>232.3125</v>
      </c>
      <c r="G259" s="146"/>
      <c r="H259" s="146"/>
      <c r="I259" s="146">
        <v>421.25</v>
      </c>
      <c r="J259" s="146"/>
      <c r="K259" s="36" t="s">
        <v>52</v>
      </c>
    </row>
    <row r="260" spans="1:11">
      <c r="A260" s="36"/>
      <c r="B260" s="36" t="s">
        <v>52</v>
      </c>
      <c r="D260" s="406">
        <v>42524</v>
      </c>
      <c r="E260" s="120" t="s">
        <v>248</v>
      </c>
      <c r="F260" s="146">
        <v>232.9375</v>
      </c>
      <c r="G260" s="146"/>
      <c r="H260" s="146"/>
      <c r="I260" s="146">
        <v>429</v>
      </c>
      <c r="J260" s="146"/>
      <c r="K260" s="36" t="s">
        <v>52</v>
      </c>
    </row>
    <row r="261" spans="1:11">
      <c r="A261" s="36"/>
      <c r="B261" s="36" t="s">
        <v>52</v>
      </c>
      <c r="D261" s="406">
        <v>42531</v>
      </c>
      <c r="E261" s="120" t="s">
        <v>248</v>
      </c>
      <c r="F261" s="146">
        <v>232.9375</v>
      </c>
      <c r="G261" s="146"/>
      <c r="H261" s="146"/>
      <c r="I261" s="146">
        <v>429</v>
      </c>
      <c r="J261" s="146"/>
      <c r="K261" s="36" t="s">
        <v>52</v>
      </c>
    </row>
    <row r="262" spans="1:11">
      <c r="A262" s="36"/>
      <c r="B262" s="36" t="s">
        <v>52</v>
      </c>
      <c r="D262" s="406">
        <v>42538</v>
      </c>
      <c r="E262" s="120" t="s">
        <v>248</v>
      </c>
      <c r="F262" s="146">
        <v>238.2</v>
      </c>
      <c r="G262" s="146"/>
      <c r="H262" s="146"/>
      <c r="I262" s="146">
        <v>427</v>
      </c>
      <c r="J262" s="146"/>
      <c r="K262" s="36" t="s">
        <v>52</v>
      </c>
    </row>
    <row r="263" spans="1:11">
      <c r="A263" s="36"/>
      <c r="B263" s="36" t="s">
        <v>52</v>
      </c>
      <c r="D263" s="406">
        <v>42545</v>
      </c>
      <c r="E263" s="120" t="s">
        <v>248</v>
      </c>
      <c r="F263" s="146">
        <v>248.5</v>
      </c>
      <c r="G263" s="146"/>
      <c r="H263" s="146"/>
      <c r="I263" s="146">
        <v>433</v>
      </c>
      <c r="J263" s="146"/>
      <c r="K263" s="36" t="s">
        <v>52</v>
      </c>
    </row>
    <row r="264" spans="1:11">
      <c r="A264" s="36"/>
      <c r="B264" s="36" t="s">
        <v>52</v>
      </c>
      <c r="D264" s="406">
        <v>42552</v>
      </c>
      <c r="E264" s="120" t="s">
        <v>248</v>
      </c>
      <c r="F264" s="146">
        <v>251.9375</v>
      </c>
      <c r="G264" s="146"/>
      <c r="H264" s="146"/>
      <c r="I264" s="146">
        <v>429</v>
      </c>
      <c r="J264" s="146"/>
      <c r="K264" s="36" t="s">
        <v>52</v>
      </c>
    </row>
    <row r="265" spans="1:11">
      <c r="A265" s="36"/>
      <c r="B265" s="36" t="s">
        <v>52</v>
      </c>
      <c r="D265" s="406">
        <v>42559</v>
      </c>
      <c r="E265" s="120" t="s">
        <v>248</v>
      </c>
      <c r="F265" s="146">
        <v>254.75</v>
      </c>
      <c r="G265" s="146"/>
      <c r="H265" s="146"/>
      <c r="I265" s="146">
        <v>430.75</v>
      </c>
      <c r="J265" s="146"/>
      <c r="K265" s="36" t="s">
        <v>52</v>
      </c>
    </row>
    <row r="266" spans="1:11">
      <c r="A266" s="36"/>
      <c r="B266" s="36" t="s">
        <v>52</v>
      </c>
      <c r="D266" s="406">
        <v>42566</v>
      </c>
      <c r="E266" s="120" t="s">
        <v>248</v>
      </c>
      <c r="F266" s="146">
        <v>249.75</v>
      </c>
      <c r="G266" s="146"/>
      <c r="H266" s="146"/>
      <c r="I266" s="146">
        <v>416.5</v>
      </c>
      <c r="J266" s="146"/>
      <c r="K266" s="36" t="s">
        <v>52</v>
      </c>
    </row>
    <row r="267" spans="1:11">
      <c r="A267" s="36"/>
      <c r="B267" s="36" t="s">
        <v>52</v>
      </c>
      <c r="D267" s="406">
        <v>42573</v>
      </c>
      <c r="E267" s="120" t="s">
        <v>248</v>
      </c>
      <c r="F267" s="146">
        <v>247.0625</v>
      </c>
      <c r="G267" s="146"/>
      <c r="H267" s="146"/>
      <c r="I267" s="146">
        <v>400.25</v>
      </c>
      <c r="J267" s="146"/>
      <c r="K267" s="36" t="s">
        <v>52</v>
      </c>
    </row>
    <row r="268" spans="1:11">
      <c r="A268" s="36"/>
      <c r="B268" s="36" t="s">
        <v>52</v>
      </c>
      <c r="D268" s="406">
        <v>42580</v>
      </c>
      <c r="E268" s="120" t="s">
        <v>248</v>
      </c>
      <c r="F268" s="146">
        <v>231.8125</v>
      </c>
      <c r="G268" s="146"/>
      <c r="H268" s="146"/>
      <c r="I268" s="146">
        <v>385.75</v>
      </c>
      <c r="J268" s="146"/>
      <c r="K268" s="36" t="s">
        <v>52</v>
      </c>
    </row>
    <row r="269" spans="1:11">
      <c r="A269" s="36"/>
      <c r="B269" s="36" t="s">
        <v>52</v>
      </c>
      <c r="D269" s="406">
        <v>42587</v>
      </c>
      <c r="E269" s="120" t="s">
        <v>248</v>
      </c>
      <c r="F269" s="146">
        <v>221</v>
      </c>
      <c r="G269" s="146"/>
      <c r="H269" s="146"/>
      <c r="I269" s="146">
        <v>360</v>
      </c>
      <c r="J269" s="146"/>
      <c r="K269" s="36" t="s">
        <v>52</v>
      </c>
    </row>
    <row r="270" spans="1:11">
      <c r="A270" s="36"/>
      <c r="B270" s="36" t="s">
        <v>52</v>
      </c>
      <c r="D270" s="406">
        <v>42594</v>
      </c>
      <c r="E270" s="120" t="s">
        <v>248</v>
      </c>
      <c r="F270" s="146">
        <v>228.375</v>
      </c>
      <c r="G270" s="146"/>
      <c r="H270" s="146"/>
      <c r="I270" s="146">
        <v>373.5</v>
      </c>
      <c r="J270" s="146"/>
      <c r="K270" s="36" t="s">
        <v>52</v>
      </c>
    </row>
    <row r="271" spans="1:11">
      <c r="A271" s="36"/>
      <c r="B271" s="36" t="s">
        <v>52</v>
      </c>
      <c r="D271" s="406">
        <v>42601</v>
      </c>
      <c r="E271" s="120" t="s">
        <v>248</v>
      </c>
      <c r="F271" s="146">
        <v>255.75</v>
      </c>
      <c r="G271" s="146"/>
      <c r="H271" s="146"/>
      <c r="I271" s="146">
        <v>410</v>
      </c>
      <c r="J271" s="146"/>
      <c r="K271" s="36" t="s">
        <v>52</v>
      </c>
    </row>
    <row r="272" spans="1:11">
      <c r="A272" s="36"/>
      <c r="B272" s="36" t="s">
        <v>52</v>
      </c>
      <c r="D272" s="406">
        <v>42608</v>
      </c>
      <c r="E272" s="120" t="s">
        <v>248</v>
      </c>
      <c r="F272" s="146">
        <v>260.8125</v>
      </c>
      <c r="G272" s="146"/>
      <c r="H272" s="146"/>
      <c r="I272" s="146">
        <v>417.5</v>
      </c>
      <c r="J272" s="146"/>
      <c r="K272" s="36" t="s">
        <v>52</v>
      </c>
    </row>
    <row r="273" spans="1:11">
      <c r="A273" s="36"/>
      <c r="B273" s="36" t="s">
        <v>52</v>
      </c>
      <c r="D273" s="406">
        <v>42615</v>
      </c>
      <c r="E273" s="120" t="s">
        <v>248</v>
      </c>
      <c r="F273" s="146">
        <v>261.91666666666669</v>
      </c>
      <c r="G273" s="146"/>
      <c r="H273" s="146"/>
      <c r="I273" s="146">
        <v>410.33333333333331</v>
      </c>
      <c r="J273" s="146"/>
      <c r="K273" s="36" t="s">
        <v>52</v>
      </c>
    </row>
    <row r="274" spans="1:11">
      <c r="A274" s="36"/>
      <c r="B274" s="36" t="s">
        <v>52</v>
      </c>
      <c r="D274" s="406">
        <v>42622</v>
      </c>
      <c r="E274" s="120" t="s">
        <v>248</v>
      </c>
      <c r="F274" s="146">
        <v>264.125</v>
      </c>
      <c r="G274" s="146"/>
      <c r="H274" s="146"/>
      <c r="I274" s="146">
        <v>407.75</v>
      </c>
      <c r="J274" s="146"/>
      <c r="K274" s="36" t="s">
        <v>52</v>
      </c>
    </row>
    <row r="275" spans="1:11">
      <c r="A275" s="36"/>
      <c r="B275" s="36" t="s">
        <v>52</v>
      </c>
      <c r="D275" s="406">
        <v>42629</v>
      </c>
      <c r="E275" s="120" t="s">
        <v>248</v>
      </c>
      <c r="F275" s="146">
        <v>258.5</v>
      </c>
      <c r="G275" s="146"/>
      <c r="H275" s="146"/>
      <c r="I275" s="146">
        <v>403.4</v>
      </c>
      <c r="J275" s="146"/>
      <c r="K275" s="36" t="s">
        <v>52</v>
      </c>
    </row>
    <row r="276" spans="1:11">
      <c r="A276" s="36"/>
      <c r="B276" s="36" t="s">
        <v>52</v>
      </c>
      <c r="D276" s="406">
        <v>42636</v>
      </c>
      <c r="E276" s="120" t="s">
        <v>248</v>
      </c>
      <c r="F276" s="146">
        <v>259.375</v>
      </c>
      <c r="G276" s="146"/>
      <c r="H276" s="146"/>
      <c r="I276" s="146">
        <v>400.5</v>
      </c>
      <c r="J276" s="146"/>
      <c r="K276" s="36" t="s">
        <v>52</v>
      </c>
    </row>
    <row r="277" spans="1:11">
      <c r="A277" s="36"/>
      <c r="B277" s="36" t="s">
        <v>52</v>
      </c>
      <c r="D277" s="406">
        <v>42643</v>
      </c>
      <c r="E277" s="120" t="s">
        <v>248</v>
      </c>
      <c r="F277" s="146">
        <v>259.83333333333331</v>
      </c>
      <c r="G277" s="146"/>
      <c r="H277" s="146"/>
      <c r="I277" s="146">
        <v>404.66666666666669</v>
      </c>
      <c r="J277" s="146"/>
      <c r="K277" s="36" t="s">
        <v>52</v>
      </c>
    </row>
    <row r="278" spans="1:11">
      <c r="A278" s="36"/>
      <c r="B278" s="36" t="s">
        <v>52</v>
      </c>
      <c r="D278" s="406">
        <v>42650</v>
      </c>
      <c r="E278" s="120" t="s">
        <v>248</v>
      </c>
      <c r="F278" s="146">
        <v>277.85000000000002</v>
      </c>
      <c r="G278" s="146"/>
      <c r="H278" s="146"/>
      <c r="I278" s="146">
        <v>437.8</v>
      </c>
      <c r="J278" s="146"/>
      <c r="K278" s="36" t="s">
        <v>52</v>
      </c>
    </row>
    <row r="279" spans="1:11">
      <c r="A279" s="36"/>
      <c r="B279" s="36" t="s">
        <v>52</v>
      </c>
      <c r="D279" s="406">
        <v>42657</v>
      </c>
      <c r="E279" s="120" t="s">
        <v>248</v>
      </c>
      <c r="F279" s="146">
        <v>287</v>
      </c>
      <c r="G279" s="146"/>
      <c r="H279" s="146"/>
      <c r="I279" s="146">
        <v>452</v>
      </c>
      <c r="J279" s="146"/>
      <c r="K279" s="36" t="s">
        <v>52</v>
      </c>
    </row>
    <row r="280" spans="1:11">
      <c r="A280" s="36"/>
      <c r="B280" s="36" t="s">
        <v>52</v>
      </c>
      <c r="D280" s="406">
        <v>42664</v>
      </c>
      <c r="E280" s="120" t="s">
        <v>248</v>
      </c>
      <c r="F280" s="146">
        <v>289.5</v>
      </c>
      <c r="G280" s="146"/>
      <c r="H280" s="146"/>
      <c r="I280" s="146">
        <v>454.25</v>
      </c>
      <c r="J280" s="146"/>
      <c r="K280" s="36" t="s">
        <v>52</v>
      </c>
    </row>
    <row r="281" spans="1:11">
      <c r="A281" s="36"/>
      <c r="B281" s="36" t="s">
        <v>52</v>
      </c>
      <c r="D281" s="406">
        <v>42671</v>
      </c>
      <c r="E281" s="120" t="s">
        <v>248</v>
      </c>
      <c r="F281" s="146">
        <v>292.1875</v>
      </c>
      <c r="G281" s="146"/>
      <c r="H281" s="146"/>
      <c r="I281" s="146">
        <v>454.25</v>
      </c>
      <c r="J281" s="146"/>
      <c r="K281" s="36" t="s">
        <v>52</v>
      </c>
    </row>
    <row r="282" spans="1:11">
      <c r="A282" s="36"/>
      <c r="B282" s="36" t="s">
        <v>52</v>
      </c>
      <c r="D282" s="406">
        <v>42678</v>
      </c>
      <c r="E282" s="120" t="s">
        <v>248</v>
      </c>
      <c r="F282" s="146">
        <v>277.125</v>
      </c>
      <c r="G282" s="146"/>
      <c r="H282" s="146"/>
      <c r="I282" s="146">
        <v>440.5</v>
      </c>
      <c r="J282" s="146"/>
      <c r="K282" s="36" t="s">
        <v>52</v>
      </c>
    </row>
    <row r="283" spans="1:11">
      <c r="A283" s="36"/>
      <c r="B283" s="36" t="s">
        <v>52</v>
      </c>
      <c r="D283" s="406">
        <v>42685</v>
      </c>
      <c r="E283" s="120" t="s">
        <v>248</v>
      </c>
      <c r="F283" s="146">
        <v>274.33333333333331</v>
      </c>
      <c r="G283" s="146"/>
      <c r="H283" s="146"/>
      <c r="I283" s="146">
        <v>419.66666666666669</v>
      </c>
      <c r="J283" s="146"/>
      <c r="K283" s="36" t="s">
        <v>52</v>
      </c>
    </row>
    <row r="284" spans="1:11">
      <c r="A284" s="36"/>
      <c r="B284" s="36" t="s">
        <v>52</v>
      </c>
      <c r="D284" s="406">
        <v>42692</v>
      </c>
      <c r="E284" s="120" t="s">
        <v>248</v>
      </c>
      <c r="F284" s="146">
        <v>271.1875</v>
      </c>
      <c r="G284" s="146"/>
      <c r="H284" s="146"/>
      <c r="I284" s="146">
        <v>411.5</v>
      </c>
      <c r="J284" s="146"/>
      <c r="K284" s="36" t="s">
        <v>52</v>
      </c>
    </row>
    <row r="285" spans="1:11">
      <c r="A285" s="36"/>
      <c r="B285" s="36" t="s">
        <v>52</v>
      </c>
      <c r="D285" s="406">
        <v>42699</v>
      </c>
      <c r="E285" s="120" t="s">
        <v>248</v>
      </c>
      <c r="F285" s="146">
        <v>293.3125</v>
      </c>
      <c r="G285" s="146"/>
      <c r="H285" s="146"/>
      <c r="I285" s="146">
        <v>431.5</v>
      </c>
      <c r="J285" s="146"/>
      <c r="K285" s="36" t="s">
        <v>52</v>
      </c>
    </row>
    <row r="286" spans="1:11">
      <c r="A286" s="36"/>
      <c r="B286" s="36" t="s">
        <v>52</v>
      </c>
      <c r="D286" s="406">
        <v>42706</v>
      </c>
      <c r="E286" s="120" t="s">
        <v>248</v>
      </c>
      <c r="F286" s="146">
        <v>296.75</v>
      </c>
      <c r="G286" s="146"/>
      <c r="H286" s="146"/>
      <c r="I286" s="146">
        <v>420.5</v>
      </c>
      <c r="J286" s="146"/>
      <c r="K286" s="36" t="s">
        <v>52</v>
      </c>
    </row>
    <row r="287" spans="1:11">
      <c r="A287" s="36"/>
      <c r="B287" s="36" t="s">
        <v>52</v>
      </c>
      <c r="D287" s="406">
        <v>42713</v>
      </c>
      <c r="E287" s="120" t="s">
        <v>248</v>
      </c>
      <c r="F287" s="146">
        <v>325.64999999999998</v>
      </c>
      <c r="G287" s="146"/>
      <c r="H287" s="146"/>
      <c r="I287" s="146">
        <v>458</v>
      </c>
      <c r="J287" s="146"/>
      <c r="K287" s="36" t="s">
        <v>52</v>
      </c>
    </row>
    <row r="288" spans="1:11">
      <c r="A288" s="36"/>
      <c r="B288" s="36" t="s">
        <v>52</v>
      </c>
      <c r="D288" s="406">
        <v>42720</v>
      </c>
      <c r="E288" s="120" t="s">
        <v>248</v>
      </c>
      <c r="F288" s="146">
        <v>334.875</v>
      </c>
      <c r="G288" s="146"/>
      <c r="H288" s="146"/>
      <c r="I288" s="146">
        <v>468</v>
      </c>
      <c r="J288" s="146"/>
      <c r="K288" s="36" t="s">
        <v>52</v>
      </c>
    </row>
    <row r="289" spans="1:11">
      <c r="A289" s="36"/>
      <c r="B289" s="36" t="s">
        <v>52</v>
      </c>
      <c r="D289" s="406">
        <v>42727</v>
      </c>
      <c r="E289" s="120" t="s">
        <v>248</v>
      </c>
      <c r="F289" s="146">
        <v>357.21666666666704</v>
      </c>
      <c r="G289" s="146"/>
      <c r="H289" s="146"/>
      <c r="I289" s="146">
        <v>496.33333333333297</v>
      </c>
      <c r="J289" s="146"/>
      <c r="K289" s="36" t="s">
        <v>52</v>
      </c>
    </row>
    <row r="290" spans="1:11">
      <c r="A290" s="36"/>
      <c r="B290" s="36" t="s">
        <v>52</v>
      </c>
      <c r="D290" s="406">
        <v>42734</v>
      </c>
      <c r="E290" s="120" t="s">
        <v>248</v>
      </c>
      <c r="F290" s="146">
        <v>348.1875</v>
      </c>
      <c r="G290" s="146"/>
      <c r="H290" s="146"/>
      <c r="I290" s="146">
        <v>481</v>
      </c>
      <c r="J290" s="146"/>
      <c r="K290" s="36" t="s">
        <v>52</v>
      </c>
    </row>
    <row r="291" spans="1:11">
      <c r="A291" s="36"/>
      <c r="B291" s="36" t="s">
        <v>52</v>
      </c>
      <c r="D291" s="406">
        <v>42741</v>
      </c>
      <c r="E291" s="120" t="s">
        <v>248</v>
      </c>
      <c r="F291" s="146">
        <v>355.16666666666663</v>
      </c>
      <c r="G291" s="146"/>
      <c r="H291" s="146"/>
      <c r="I291" s="146">
        <v>492.66666666666669</v>
      </c>
      <c r="J291" s="146"/>
      <c r="K291" s="36" t="s">
        <v>52</v>
      </c>
    </row>
    <row r="292" spans="1:11">
      <c r="A292" s="36"/>
      <c r="B292" s="36" t="s">
        <v>52</v>
      </c>
      <c r="D292" s="406">
        <v>42748</v>
      </c>
      <c r="E292" s="120" t="s">
        <v>248</v>
      </c>
      <c r="F292" s="146">
        <v>347.9375</v>
      </c>
      <c r="G292" s="146"/>
      <c r="H292" s="146"/>
      <c r="I292" s="146">
        <v>482.5</v>
      </c>
      <c r="J292" s="146"/>
      <c r="K292" s="36" t="s">
        <v>52</v>
      </c>
    </row>
    <row r="293" spans="1:11">
      <c r="A293" s="36"/>
      <c r="B293" s="36" t="s">
        <v>52</v>
      </c>
      <c r="D293" s="406">
        <v>42755</v>
      </c>
      <c r="E293" s="120" t="s">
        <v>248</v>
      </c>
      <c r="F293" s="146">
        <v>346.95</v>
      </c>
      <c r="G293" s="146"/>
      <c r="H293" s="146"/>
      <c r="I293" s="146">
        <v>480.4</v>
      </c>
      <c r="J293" s="146"/>
      <c r="K293" s="36" t="s">
        <v>52</v>
      </c>
    </row>
    <row r="294" spans="1:11">
      <c r="A294" s="36"/>
      <c r="B294" s="36" t="s">
        <v>52</v>
      </c>
      <c r="D294" s="406">
        <v>42762</v>
      </c>
      <c r="E294" s="120" t="s">
        <v>248</v>
      </c>
      <c r="F294" s="146">
        <v>346.95</v>
      </c>
      <c r="G294" s="146"/>
      <c r="H294" s="146"/>
      <c r="I294" s="146">
        <v>480.4</v>
      </c>
      <c r="J294" s="146"/>
      <c r="K294" s="36" t="s">
        <v>52</v>
      </c>
    </row>
    <row r="295" spans="1:11">
      <c r="A295" s="36"/>
      <c r="B295" s="36" t="s">
        <v>52</v>
      </c>
      <c r="D295" s="406">
        <v>42769</v>
      </c>
      <c r="E295" s="120" t="s">
        <v>248</v>
      </c>
      <c r="F295" s="146">
        <v>333.70000000000005</v>
      </c>
      <c r="G295" s="146"/>
      <c r="H295" s="146"/>
      <c r="I295" s="146">
        <v>485.4</v>
      </c>
      <c r="J295" s="146"/>
      <c r="K295" s="36" t="s">
        <v>52</v>
      </c>
    </row>
    <row r="296" spans="1:11">
      <c r="A296" s="36"/>
      <c r="B296" s="36" t="s">
        <v>52</v>
      </c>
      <c r="D296" s="406">
        <v>42776</v>
      </c>
      <c r="E296" s="120" t="s">
        <v>248</v>
      </c>
      <c r="F296" s="146">
        <v>339.4375</v>
      </c>
      <c r="G296" s="146"/>
      <c r="H296" s="146"/>
      <c r="I296" s="146">
        <v>493</v>
      </c>
      <c r="J296" s="146"/>
      <c r="K296" s="36" t="s">
        <v>52</v>
      </c>
    </row>
    <row r="297" spans="1:11">
      <c r="A297" s="36"/>
      <c r="B297" s="36" t="s">
        <v>52</v>
      </c>
      <c r="D297" s="406">
        <v>42783</v>
      </c>
      <c r="E297" s="120" t="s">
        <v>248</v>
      </c>
      <c r="F297" s="146">
        <v>341.15</v>
      </c>
      <c r="G297" s="146"/>
      <c r="H297" s="146"/>
      <c r="I297" s="146">
        <v>493.4</v>
      </c>
      <c r="J297" s="146"/>
      <c r="K297" s="36" t="s">
        <v>52</v>
      </c>
    </row>
    <row r="298" spans="1:11">
      <c r="A298" s="36"/>
      <c r="B298" s="36" t="s">
        <v>52</v>
      </c>
      <c r="D298" s="406">
        <v>42790</v>
      </c>
      <c r="E298" s="120" t="s">
        <v>248</v>
      </c>
      <c r="F298" s="146">
        <v>342.4375</v>
      </c>
      <c r="G298" s="146"/>
      <c r="H298" s="146"/>
      <c r="I298" s="146">
        <v>496.25</v>
      </c>
      <c r="J298" s="146"/>
      <c r="K298" s="36" t="s">
        <v>52</v>
      </c>
    </row>
    <row r="299" spans="1:11">
      <c r="A299" s="36"/>
      <c r="B299" s="36" t="s">
        <v>52</v>
      </c>
      <c r="D299" s="406">
        <v>42797</v>
      </c>
      <c r="E299" s="120" t="s">
        <v>248</v>
      </c>
      <c r="F299" s="146">
        <v>347.1875</v>
      </c>
      <c r="G299" s="146"/>
      <c r="H299" s="146"/>
      <c r="I299" s="146">
        <v>495.5</v>
      </c>
      <c r="J299" s="146"/>
      <c r="K299" s="36" t="s">
        <v>52</v>
      </c>
    </row>
    <row r="300" spans="1:11">
      <c r="A300" s="36"/>
      <c r="B300" s="36" t="s">
        <v>52</v>
      </c>
      <c r="D300" s="406">
        <v>42804</v>
      </c>
      <c r="E300" s="120" t="s">
        <v>248</v>
      </c>
      <c r="F300" s="146">
        <v>333.625</v>
      </c>
      <c r="G300" s="146"/>
      <c r="H300" s="146"/>
      <c r="I300" s="146">
        <v>486.25</v>
      </c>
      <c r="J300" s="146"/>
      <c r="K300" s="36" t="s">
        <v>52</v>
      </c>
    </row>
    <row r="301" spans="1:11">
      <c r="A301" s="36"/>
      <c r="B301" s="36" t="s">
        <v>52</v>
      </c>
      <c r="D301" s="406">
        <v>42811</v>
      </c>
      <c r="E301" s="120" t="s">
        <v>248</v>
      </c>
      <c r="F301" s="146">
        <v>311.125</v>
      </c>
      <c r="G301" s="146"/>
      <c r="H301" s="146"/>
      <c r="I301" s="146">
        <v>460.125</v>
      </c>
      <c r="J301" s="146"/>
      <c r="K301" s="36" t="s">
        <v>52</v>
      </c>
    </row>
    <row r="302" spans="1:11">
      <c r="A302" s="36"/>
      <c r="B302" s="36" t="s">
        <v>52</v>
      </c>
      <c r="D302" s="406">
        <v>42818</v>
      </c>
      <c r="E302" s="120" t="s">
        <v>248</v>
      </c>
      <c r="F302" s="146">
        <v>307.6875</v>
      </c>
      <c r="G302" s="146"/>
      <c r="H302" s="146"/>
      <c r="I302" s="146">
        <v>454.875</v>
      </c>
      <c r="J302" s="146"/>
      <c r="K302" s="36" t="s">
        <v>52</v>
      </c>
    </row>
    <row r="303" spans="1:11">
      <c r="A303" s="36"/>
      <c r="B303" s="36" t="s">
        <v>52</v>
      </c>
      <c r="D303" s="406">
        <v>42825</v>
      </c>
      <c r="E303" s="120" t="s">
        <v>248</v>
      </c>
      <c r="F303" s="146">
        <v>308.6875</v>
      </c>
      <c r="G303" s="146"/>
      <c r="H303" s="146"/>
      <c r="I303" s="146">
        <v>452.375</v>
      </c>
      <c r="J303" s="146"/>
      <c r="K303" s="36" t="s">
        <v>52</v>
      </c>
    </row>
    <row r="304" spans="1:11">
      <c r="A304" s="36"/>
      <c r="B304" s="36" t="s">
        <v>52</v>
      </c>
      <c r="D304" s="406">
        <v>42832</v>
      </c>
      <c r="E304" s="120" t="s">
        <v>248</v>
      </c>
      <c r="F304" s="146">
        <v>324.875</v>
      </c>
      <c r="G304" s="146"/>
      <c r="H304" s="146"/>
      <c r="I304" s="146">
        <v>467.375</v>
      </c>
      <c r="J304" s="146"/>
      <c r="K304" s="36" t="s">
        <v>52</v>
      </c>
    </row>
    <row r="305" spans="1:11">
      <c r="A305" s="36"/>
      <c r="B305" s="36" t="s">
        <v>52</v>
      </c>
      <c r="D305" s="406">
        <v>42839</v>
      </c>
      <c r="E305" s="120" t="s">
        <v>248</v>
      </c>
      <c r="F305" s="146">
        <v>339.5</v>
      </c>
      <c r="G305" s="146"/>
      <c r="H305" s="146"/>
      <c r="I305" s="146">
        <v>487.375</v>
      </c>
      <c r="J305" s="146"/>
      <c r="K305" s="36" t="s">
        <v>52</v>
      </c>
    </row>
    <row r="306" spans="1:11">
      <c r="A306" s="36"/>
      <c r="B306" s="36" t="s">
        <v>52</v>
      </c>
      <c r="D306" s="406">
        <v>42846</v>
      </c>
      <c r="E306" s="120" t="s">
        <v>248</v>
      </c>
      <c r="F306" s="146">
        <v>333.5</v>
      </c>
      <c r="G306" s="146"/>
      <c r="H306" s="146"/>
      <c r="I306" s="146">
        <v>485.75</v>
      </c>
      <c r="J306" s="146"/>
      <c r="K306" s="36" t="s">
        <v>52</v>
      </c>
    </row>
    <row r="307" spans="1:11">
      <c r="A307" s="36"/>
      <c r="B307" s="36" t="s">
        <v>52</v>
      </c>
      <c r="D307" s="406">
        <v>42853</v>
      </c>
      <c r="E307" s="120" t="s">
        <v>248</v>
      </c>
      <c r="F307" s="146">
        <v>319.5625</v>
      </c>
      <c r="G307" s="146"/>
      <c r="H307" s="146"/>
      <c r="I307" s="146">
        <v>471.375</v>
      </c>
      <c r="J307" s="146"/>
      <c r="K307" s="36" t="s">
        <v>52</v>
      </c>
    </row>
    <row r="308" spans="1:11">
      <c r="A308" s="36"/>
      <c r="B308" s="36" t="s">
        <v>52</v>
      </c>
      <c r="D308" s="406">
        <v>42860</v>
      </c>
      <c r="E308" s="120" t="s">
        <v>248</v>
      </c>
      <c r="F308" s="146">
        <v>320.83333333333337</v>
      </c>
      <c r="G308" s="146"/>
      <c r="H308" s="146"/>
      <c r="I308" s="146">
        <v>453.66666666666669</v>
      </c>
      <c r="J308" s="146"/>
      <c r="K308" s="36" t="s">
        <v>52</v>
      </c>
    </row>
    <row r="309" spans="1:11">
      <c r="A309" s="36"/>
      <c r="B309" s="36" t="s">
        <v>52</v>
      </c>
      <c r="D309" s="406">
        <v>42867</v>
      </c>
      <c r="E309" s="120" t="s">
        <v>248</v>
      </c>
      <c r="F309" s="146">
        <v>315.83333333333337</v>
      </c>
      <c r="G309" s="146"/>
      <c r="H309" s="146"/>
      <c r="I309" s="146">
        <v>437.33333333333331</v>
      </c>
      <c r="J309" s="146"/>
      <c r="K309" s="36" t="s">
        <v>52</v>
      </c>
    </row>
    <row r="310" spans="1:11">
      <c r="A310" s="36"/>
      <c r="B310" s="36" t="s">
        <v>52</v>
      </c>
      <c r="D310" s="406">
        <v>42874</v>
      </c>
      <c r="E310" s="120" t="s">
        <v>248</v>
      </c>
      <c r="F310" s="146">
        <v>290.75</v>
      </c>
      <c r="G310" s="146"/>
      <c r="H310" s="146"/>
      <c r="I310" s="146">
        <v>448</v>
      </c>
      <c r="J310" s="146"/>
      <c r="K310" s="36" t="s">
        <v>52</v>
      </c>
    </row>
    <row r="311" spans="1:11">
      <c r="A311" s="36"/>
      <c r="B311" s="36" t="s">
        <v>52</v>
      </c>
      <c r="D311" s="406">
        <v>42881</v>
      </c>
      <c r="E311" s="120" t="s">
        <v>248</v>
      </c>
      <c r="F311" s="146">
        <v>336.5625</v>
      </c>
      <c r="G311" s="146"/>
      <c r="H311" s="146"/>
      <c r="I311" s="146">
        <v>465.75</v>
      </c>
      <c r="J311" s="146"/>
      <c r="K311" s="36" t="s">
        <v>52</v>
      </c>
    </row>
    <row r="312" spans="1:11">
      <c r="A312" s="36"/>
      <c r="B312" s="36" t="s">
        <v>52</v>
      </c>
      <c r="D312" s="406">
        <v>42888</v>
      </c>
      <c r="E312" s="120" t="s">
        <v>248</v>
      </c>
      <c r="F312" s="146">
        <v>322.5625</v>
      </c>
      <c r="G312" s="146"/>
      <c r="H312" s="146"/>
      <c r="I312" s="146">
        <v>448.25</v>
      </c>
      <c r="J312" s="146"/>
      <c r="K312" s="36" t="s">
        <v>52</v>
      </c>
    </row>
    <row r="313" spans="1:11">
      <c r="A313" s="36"/>
      <c r="B313" s="36" t="s">
        <v>52</v>
      </c>
      <c r="D313" s="406">
        <v>42895</v>
      </c>
      <c r="E313" s="120" t="s">
        <v>248</v>
      </c>
      <c r="F313" s="146">
        <v>319.9375</v>
      </c>
      <c r="G313" s="146"/>
      <c r="H313" s="146"/>
      <c r="I313" s="146">
        <v>430.125</v>
      </c>
      <c r="J313" s="146"/>
      <c r="K313" s="36" t="s">
        <v>52</v>
      </c>
    </row>
    <row r="314" spans="1:11">
      <c r="A314" s="36"/>
      <c r="B314" s="36" t="s">
        <v>52</v>
      </c>
      <c r="D314" s="406">
        <v>42902</v>
      </c>
      <c r="E314" s="120" t="s">
        <v>248</v>
      </c>
      <c r="F314" s="146">
        <v>317.25</v>
      </c>
      <c r="G314" s="146"/>
      <c r="H314" s="146"/>
      <c r="I314" s="146">
        <v>424.5</v>
      </c>
      <c r="J314" s="146"/>
      <c r="K314" s="36" t="s">
        <v>52</v>
      </c>
    </row>
    <row r="315" spans="1:11">
      <c r="A315" s="36"/>
      <c r="B315" s="36" t="s">
        <v>52</v>
      </c>
      <c r="D315" s="406">
        <v>42909</v>
      </c>
      <c r="E315" s="120" t="s">
        <v>248</v>
      </c>
      <c r="F315" s="146">
        <v>311.0625</v>
      </c>
      <c r="G315" s="146"/>
      <c r="H315" s="146"/>
      <c r="I315" s="146">
        <v>416.375</v>
      </c>
      <c r="J315" s="146"/>
      <c r="K315" s="36" t="s">
        <v>52</v>
      </c>
    </row>
    <row r="316" spans="1:11">
      <c r="A316" s="36"/>
      <c r="B316" s="36" t="s">
        <v>52</v>
      </c>
      <c r="D316" s="406">
        <v>42916</v>
      </c>
      <c r="E316" s="120" t="s">
        <v>248</v>
      </c>
      <c r="F316" s="146">
        <v>315.3125</v>
      </c>
      <c r="G316" s="146"/>
      <c r="H316" s="146"/>
      <c r="I316" s="146">
        <v>416.625</v>
      </c>
      <c r="J316" s="146"/>
      <c r="K316" s="36" t="s">
        <v>52</v>
      </c>
    </row>
    <row r="317" spans="1:11">
      <c r="A317" s="36"/>
      <c r="B317" s="36" t="s">
        <v>52</v>
      </c>
      <c r="D317" s="406">
        <v>42923</v>
      </c>
      <c r="E317" s="120" t="s">
        <v>248</v>
      </c>
      <c r="F317" s="146">
        <v>325</v>
      </c>
      <c r="G317" s="146"/>
      <c r="H317" s="146"/>
      <c r="I317" s="146">
        <v>444.875</v>
      </c>
      <c r="J317" s="146"/>
      <c r="K317" s="36" t="s">
        <v>52</v>
      </c>
    </row>
    <row r="318" spans="1:11">
      <c r="A318" s="36"/>
      <c r="B318" s="36" t="s">
        <v>52</v>
      </c>
      <c r="D318" s="406">
        <v>42930</v>
      </c>
      <c r="E318" s="120" t="s">
        <v>248</v>
      </c>
      <c r="F318" s="146">
        <v>312.0625</v>
      </c>
      <c r="G318" s="146"/>
      <c r="H318" s="146"/>
      <c r="I318" s="146">
        <v>432.5</v>
      </c>
      <c r="J318" s="146"/>
      <c r="K318" s="36" t="s">
        <v>52</v>
      </c>
    </row>
    <row r="319" spans="1:11">
      <c r="A319" s="36"/>
      <c r="B319" s="36" t="s">
        <v>52</v>
      </c>
      <c r="D319" s="406">
        <v>42937</v>
      </c>
      <c r="E319" s="120" t="s">
        <v>248</v>
      </c>
      <c r="F319" s="146">
        <v>319.625</v>
      </c>
      <c r="G319" s="146"/>
      <c r="H319" s="146"/>
      <c r="I319" s="146">
        <v>446.625</v>
      </c>
      <c r="J319" s="146"/>
      <c r="K319" s="36" t="s">
        <v>52</v>
      </c>
    </row>
    <row r="320" spans="1:11">
      <c r="A320" s="36"/>
      <c r="B320" s="36" t="s">
        <v>52</v>
      </c>
      <c r="D320" s="406">
        <v>42944</v>
      </c>
      <c r="E320" s="120" t="s">
        <v>248</v>
      </c>
      <c r="F320" s="146">
        <v>320.25</v>
      </c>
      <c r="G320" s="146"/>
      <c r="H320" s="146"/>
      <c r="I320" s="146">
        <v>453</v>
      </c>
      <c r="J320" s="146"/>
      <c r="K320" s="36" t="s">
        <v>52</v>
      </c>
    </row>
    <row r="321" spans="1:11">
      <c r="A321" s="36"/>
      <c r="B321" s="36" t="s">
        <v>52</v>
      </c>
      <c r="D321" s="406">
        <v>42951</v>
      </c>
      <c r="E321" s="120" t="s">
        <v>248</v>
      </c>
      <c r="F321" s="146">
        <v>328.75</v>
      </c>
      <c r="G321" s="146"/>
      <c r="H321" s="146"/>
      <c r="I321" s="146">
        <v>474.5</v>
      </c>
      <c r="J321" s="146"/>
      <c r="K321" s="36" t="s">
        <v>52</v>
      </c>
    </row>
    <row r="322" spans="1:11">
      <c r="A322" s="36"/>
      <c r="B322" s="36" t="s">
        <v>52</v>
      </c>
      <c r="D322" s="406">
        <v>42958</v>
      </c>
      <c r="E322" s="120" t="s">
        <v>248</v>
      </c>
      <c r="F322" s="146">
        <v>331.875</v>
      </c>
      <c r="G322" s="146"/>
      <c r="H322" s="146"/>
      <c r="I322" s="146">
        <v>469</v>
      </c>
      <c r="J322" s="146"/>
      <c r="K322" s="36" t="s">
        <v>52</v>
      </c>
    </row>
    <row r="323" spans="1:11">
      <c r="A323" s="36"/>
      <c r="B323" s="36" t="s">
        <v>52</v>
      </c>
      <c r="D323" s="406">
        <v>42965</v>
      </c>
      <c r="E323" s="120" t="s">
        <v>248</v>
      </c>
      <c r="F323" s="146">
        <v>325.75</v>
      </c>
      <c r="G323" s="146"/>
      <c r="H323" s="146"/>
      <c r="I323" s="146">
        <v>460.75</v>
      </c>
      <c r="J323" s="146"/>
      <c r="K323" s="36" t="s">
        <v>52</v>
      </c>
    </row>
    <row r="324" spans="1:11">
      <c r="A324" s="36"/>
      <c r="B324" s="36" t="s">
        <v>52</v>
      </c>
      <c r="D324" s="406">
        <v>42972</v>
      </c>
      <c r="E324" s="120" t="s">
        <v>248</v>
      </c>
      <c r="F324" s="146">
        <v>331.5</v>
      </c>
      <c r="G324" s="146"/>
      <c r="H324" s="146"/>
      <c r="I324" s="146">
        <v>465</v>
      </c>
      <c r="J324" s="146"/>
      <c r="K324" s="36" t="s">
        <v>52</v>
      </c>
    </row>
    <row r="325" spans="1:11">
      <c r="A325" s="36"/>
      <c r="B325" s="36" t="s">
        <v>52</v>
      </c>
      <c r="D325" s="406">
        <v>42979</v>
      </c>
      <c r="E325" s="120" t="s">
        <v>248</v>
      </c>
      <c r="F325" s="146">
        <v>330.5</v>
      </c>
      <c r="G325" s="146"/>
      <c r="H325" s="146"/>
      <c r="I325" s="146">
        <v>471.875</v>
      </c>
      <c r="J325" s="146"/>
      <c r="K325" s="36" t="s">
        <v>52</v>
      </c>
    </row>
    <row r="326" spans="1:11">
      <c r="A326" s="36"/>
      <c r="B326" s="36" t="s">
        <v>52</v>
      </c>
      <c r="D326" s="406">
        <v>42986</v>
      </c>
      <c r="E326" s="120" t="s">
        <v>248</v>
      </c>
      <c r="F326" s="146">
        <v>343.75</v>
      </c>
      <c r="G326" s="146"/>
      <c r="H326" s="146"/>
      <c r="I326" s="146">
        <v>492</v>
      </c>
      <c r="J326" s="146"/>
      <c r="K326" s="36" t="s">
        <v>52</v>
      </c>
    </row>
    <row r="327" spans="1:11">
      <c r="A327" s="36"/>
      <c r="B327" s="36" t="s">
        <v>52</v>
      </c>
      <c r="D327" s="406">
        <v>42993</v>
      </c>
      <c r="E327" s="120" t="s">
        <v>248</v>
      </c>
      <c r="F327" s="146">
        <v>348.4375</v>
      </c>
      <c r="G327" s="146"/>
      <c r="H327" s="146"/>
      <c r="I327" s="146">
        <v>497.375</v>
      </c>
      <c r="J327" s="146"/>
      <c r="K327" s="36" t="s">
        <v>52</v>
      </c>
    </row>
    <row r="328" spans="1:11">
      <c r="A328" s="36"/>
      <c r="B328" s="36" t="s">
        <v>52</v>
      </c>
      <c r="D328" s="406">
        <v>43000</v>
      </c>
      <c r="E328" s="120" t="s">
        <v>248</v>
      </c>
      <c r="F328" s="146">
        <v>354.375</v>
      </c>
      <c r="G328" s="146"/>
      <c r="H328" s="146"/>
      <c r="I328" s="146">
        <v>505.375</v>
      </c>
      <c r="J328" s="146"/>
      <c r="K328" s="36" t="s">
        <v>52</v>
      </c>
    </row>
    <row r="329" spans="1:11">
      <c r="A329" s="36"/>
      <c r="B329" s="36" t="s">
        <v>52</v>
      </c>
      <c r="D329" s="406">
        <v>43007</v>
      </c>
      <c r="E329" s="120" t="s">
        <v>248</v>
      </c>
      <c r="F329" s="146">
        <v>357.20000000000005</v>
      </c>
      <c r="G329" s="146"/>
      <c r="H329" s="146"/>
      <c r="I329" s="146">
        <v>511.7</v>
      </c>
      <c r="J329" s="146"/>
      <c r="K329" s="36" t="s">
        <v>52</v>
      </c>
    </row>
    <row r="330" spans="1:11">
      <c r="A330" s="36"/>
      <c r="B330" s="36" t="s">
        <v>52</v>
      </c>
      <c r="D330" s="406">
        <v>43014</v>
      </c>
      <c r="E330" s="120" t="s">
        <v>248</v>
      </c>
      <c r="F330" s="146">
        <v>350.25</v>
      </c>
      <c r="G330" s="146"/>
      <c r="H330" s="146"/>
      <c r="I330" s="146">
        <v>502.1</v>
      </c>
      <c r="J330" s="146"/>
      <c r="K330" s="36" t="s">
        <v>52</v>
      </c>
    </row>
    <row r="331" spans="1:11">
      <c r="A331" s="36"/>
      <c r="B331" s="36" t="s">
        <v>52</v>
      </c>
      <c r="D331" s="406">
        <v>43021</v>
      </c>
      <c r="E331" s="120" t="s">
        <v>248</v>
      </c>
      <c r="F331" s="146">
        <v>349.6875</v>
      </c>
      <c r="G331" s="146"/>
      <c r="H331" s="146"/>
      <c r="I331" s="146">
        <v>497.75</v>
      </c>
      <c r="J331" s="146"/>
      <c r="K331" s="36" t="s">
        <v>52</v>
      </c>
    </row>
    <row r="332" spans="1:11">
      <c r="A332" s="36"/>
      <c r="B332" s="36" t="s">
        <v>52</v>
      </c>
      <c r="D332" s="406">
        <v>43028</v>
      </c>
      <c r="E332" s="120" t="s">
        <v>248</v>
      </c>
      <c r="F332" s="146">
        <v>359</v>
      </c>
      <c r="G332" s="146"/>
      <c r="H332" s="146"/>
      <c r="I332" s="146">
        <v>508.5</v>
      </c>
      <c r="J332" s="146"/>
      <c r="K332" s="36" t="s">
        <v>52</v>
      </c>
    </row>
    <row r="333" spans="1:11">
      <c r="A333" s="36"/>
      <c r="B333" s="36" t="s">
        <v>52</v>
      </c>
      <c r="D333" s="406">
        <v>43035</v>
      </c>
      <c r="E333" s="120" t="s">
        <v>248</v>
      </c>
      <c r="F333" s="146">
        <v>358</v>
      </c>
      <c r="G333" s="146"/>
      <c r="H333" s="146"/>
      <c r="I333" s="146">
        <v>505</v>
      </c>
      <c r="J333" s="146"/>
      <c r="K333" s="36" t="s">
        <v>52</v>
      </c>
    </row>
    <row r="334" spans="1:11">
      <c r="A334" s="36"/>
      <c r="B334" s="36" t="s">
        <v>52</v>
      </c>
      <c r="D334" s="406">
        <v>43042</v>
      </c>
      <c r="E334" s="120" t="s">
        <v>248</v>
      </c>
      <c r="F334" s="146">
        <v>375.6</v>
      </c>
      <c r="G334" s="146"/>
      <c r="H334" s="146"/>
      <c r="I334" s="146">
        <v>524.79999999999995</v>
      </c>
      <c r="J334" s="146"/>
      <c r="K334" s="36" t="s">
        <v>52</v>
      </c>
    </row>
    <row r="335" spans="1:11">
      <c r="A335" s="36"/>
      <c r="B335" s="36" t="s">
        <v>52</v>
      </c>
      <c r="D335" s="406">
        <v>43049</v>
      </c>
      <c r="E335" s="120" t="s">
        <v>248</v>
      </c>
      <c r="F335" s="146">
        <v>391.15</v>
      </c>
      <c r="G335" s="146"/>
      <c r="H335" s="146"/>
      <c r="I335" s="146">
        <v>534.5</v>
      </c>
      <c r="J335" s="146"/>
      <c r="K335" s="36" t="s">
        <v>52</v>
      </c>
    </row>
    <row r="336" spans="1:11">
      <c r="A336" s="36"/>
      <c r="B336" s="36" t="s">
        <v>52</v>
      </c>
      <c r="D336" s="406">
        <v>43056</v>
      </c>
      <c r="E336" s="120" t="s">
        <v>248</v>
      </c>
      <c r="F336" s="146">
        <v>388.6875</v>
      </c>
      <c r="G336" s="146"/>
      <c r="H336" s="146"/>
      <c r="I336" s="146">
        <v>534.25</v>
      </c>
      <c r="J336" s="146"/>
      <c r="K336" s="36" t="s">
        <v>52</v>
      </c>
    </row>
    <row r="337" spans="1:11">
      <c r="A337" s="36"/>
      <c r="B337" s="36" t="s">
        <v>52</v>
      </c>
      <c r="D337" s="406">
        <v>43063</v>
      </c>
      <c r="E337" s="120" t="s">
        <v>248</v>
      </c>
      <c r="F337" s="146">
        <v>389.8125</v>
      </c>
      <c r="G337" s="146"/>
      <c r="H337" s="146"/>
      <c r="I337" s="146">
        <v>543.25</v>
      </c>
      <c r="J337" s="146"/>
      <c r="K337" s="36" t="s">
        <v>52</v>
      </c>
    </row>
    <row r="338" spans="1:11">
      <c r="A338" s="36"/>
      <c r="B338" s="36" t="s">
        <v>52</v>
      </c>
      <c r="D338" s="406">
        <v>43070</v>
      </c>
      <c r="E338" s="120" t="s">
        <v>248</v>
      </c>
      <c r="F338" s="146">
        <v>387.375</v>
      </c>
      <c r="G338" s="146"/>
      <c r="H338" s="146"/>
      <c r="I338" s="146">
        <v>547.5</v>
      </c>
      <c r="J338" s="146"/>
      <c r="K338" s="36" t="s">
        <v>52</v>
      </c>
    </row>
    <row r="339" spans="1:11">
      <c r="A339" s="36"/>
      <c r="B339" s="36" t="s">
        <v>52</v>
      </c>
      <c r="D339" s="406">
        <v>43077</v>
      </c>
      <c r="E339" s="120" t="s">
        <v>248</v>
      </c>
      <c r="F339" s="146">
        <v>382.8125</v>
      </c>
      <c r="G339" s="146"/>
      <c r="H339" s="146"/>
      <c r="I339" s="146">
        <v>543.75</v>
      </c>
      <c r="J339" s="146"/>
      <c r="K339" s="36" t="s">
        <v>52</v>
      </c>
    </row>
    <row r="340" spans="1:11">
      <c r="A340" s="36"/>
      <c r="B340" s="36" t="s">
        <v>52</v>
      </c>
      <c r="D340" s="406">
        <v>43084</v>
      </c>
      <c r="E340" s="120" t="s">
        <v>248</v>
      </c>
      <c r="F340" s="146">
        <v>384.5</v>
      </c>
      <c r="G340" s="146"/>
      <c r="H340" s="146"/>
      <c r="I340" s="146">
        <v>555.75</v>
      </c>
      <c r="J340" s="146"/>
      <c r="K340" s="36" t="s">
        <v>52</v>
      </c>
    </row>
    <row r="341" spans="1:11">
      <c r="A341" s="36"/>
      <c r="B341" s="36" t="s">
        <v>52</v>
      </c>
      <c r="D341" s="406">
        <v>43091</v>
      </c>
      <c r="E341" s="120" t="s">
        <v>248</v>
      </c>
      <c r="F341" s="146">
        <v>389.875</v>
      </c>
      <c r="G341" s="146"/>
      <c r="H341" s="146"/>
      <c r="I341" s="146">
        <v>553.5</v>
      </c>
      <c r="J341" s="146"/>
      <c r="K341" s="36" t="s">
        <v>52</v>
      </c>
    </row>
    <row r="342" spans="1:11">
      <c r="A342" s="36"/>
      <c r="B342" s="36" t="s">
        <v>52</v>
      </c>
      <c r="D342" s="406">
        <v>43098</v>
      </c>
      <c r="E342" s="120" t="s">
        <v>248</v>
      </c>
      <c r="F342" s="146">
        <v>401.16666666666669</v>
      </c>
      <c r="G342" s="146"/>
      <c r="H342" s="146"/>
      <c r="I342" s="146">
        <v>572.33333333333337</v>
      </c>
      <c r="J342" s="146"/>
      <c r="K342" s="36" t="s">
        <v>52</v>
      </c>
    </row>
    <row r="343" spans="1:11">
      <c r="A343" s="36"/>
      <c r="B343" s="36" t="s">
        <v>52</v>
      </c>
      <c r="D343" s="406">
        <v>43105</v>
      </c>
      <c r="E343" s="120" t="s">
        <v>248</v>
      </c>
      <c r="F343" s="146">
        <v>403.5</v>
      </c>
      <c r="G343" s="146"/>
      <c r="H343" s="146"/>
      <c r="I343" s="146">
        <v>586.66666666666663</v>
      </c>
      <c r="J343" s="146"/>
      <c r="K343" s="36" t="s">
        <v>52</v>
      </c>
    </row>
    <row r="344" spans="1:11">
      <c r="A344" s="36"/>
      <c r="B344" s="36" t="s">
        <v>52</v>
      </c>
      <c r="D344" s="406">
        <v>43112</v>
      </c>
      <c r="E344" s="120" t="s">
        <v>248</v>
      </c>
      <c r="F344" s="146">
        <v>402.125</v>
      </c>
      <c r="G344" s="146"/>
      <c r="H344" s="146"/>
      <c r="I344" s="146">
        <v>589.5</v>
      </c>
      <c r="J344" s="146"/>
      <c r="K344" s="36" t="s">
        <v>52</v>
      </c>
    </row>
    <row r="345" spans="1:11">
      <c r="A345" s="36"/>
      <c r="B345" s="36" t="s">
        <v>52</v>
      </c>
      <c r="D345" s="406">
        <v>43119</v>
      </c>
      <c r="E345" s="120" t="s">
        <v>248</v>
      </c>
      <c r="F345" s="146">
        <v>403.75</v>
      </c>
      <c r="G345" s="146"/>
      <c r="H345" s="146"/>
      <c r="I345" s="146">
        <v>594</v>
      </c>
      <c r="J345" s="146"/>
      <c r="K345" s="36" t="s">
        <v>52</v>
      </c>
    </row>
    <row r="346" spans="1:11">
      <c r="A346" s="36"/>
      <c r="B346" s="36" t="s">
        <v>52</v>
      </c>
      <c r="D346" s="406">
        <v>43126</v>
      </c>
      <c r="E346" s="120" t="s">
        <v>248</v>
      </c>
      <c r="F346" s="146">
        <v>407</v>
      </c>
      <c r="G346" s="146"/>
      <c r="H346" s="146"/>
      <c r="I346" s="146">
        <v>600.75</v>
      </c>
      <c r="J346" s="146"/>
      <c r="K346" s="36" t="s">
        <v>52</v>
      </c>
    </row>
    <row r="347" spans="1:11">
      <c r="A347" s="36"/>
      <c r="B347" s="36" t="s">
        <v>52</v>
      </c>
      <c r="D347" s="406">
        <v>43133</v>
      </c>
      <c r="E347" s="120" t="s">
        <v>248</v>
      </c>
      <c r="F347" s="146">
        <v>409.16666666666663</v>
      </c>
      <c r="G347" s="146"/>
      <c r="H347" s="146"/>
      <c r="I347" s="146">
        <v>603.33333333333337</v>
      </c>
      <c r="J347" s="146"/>
      <c r="K347" s="36" t="s">
        <v>52</v>
      </c>
    </row>
    <row r="348" spans="1:11">
      <c r="A348" s="36"/>
      <c r="B348" s="36" t="s">
        <v>52</v>
      </c>
      <c r="D348" s="406">
        <v>43140</v>
      </c>
      <c r="E348" s="120" t="s">
        <v>248</v>
      </c>
      <c r="F348" s="146">
        <v>390.75</v>
      </c>
      <c r="G348" s="146"/>
      <c r="H348" s="146"/>
      <c r="I348" s="146">
        <v>585.25</v>
      </c>
      <c r="J348" s="146"/>
      <c r="K348" s="36" t="s">
        <v>52</v>
      </c>
    </row>
    <row r="349" spans="1:11">
      <c r="A349" s="36"/>
      <c r="B349" s="36" t="s">
        <v>52</v>
      </c>
      <c r="D349" s="406">
        <v>43147</v>
      </c>
      <c r="E349" s="120" t="s">
        <v>248</v>
      </c>
      <c r="F349" s="146">
        <v>390.75</v>
      </c>
      <c r="G349" s="146"/>
      <c r="H349" s="146"/>
      <c r="I349" s="146">
        <v>585.25</v>
      </c>
      <c r="J349" s="146"/>
      <c r="K349" s="36" t="s">
        <v>52</v>
      </c>
    </row>
    <row r="350" spans="1:11">
      <c r="A350" s="36"/>
      <c r="B350" s="36" t="s">
        <v>52</v>
      </c>
      <c r="D350" s="406">
        <v>43154</v>
      </c>
      <c r="E350" s="120" t="s">
        <v>248</v>
      </c>
      <c r="F350" s="146">
        <v>390.75</v>
      </c>
      <c r="G350" s="146"/>
      <c r="H350" s="146"/>
      <c r="I350" s="146">
        <v>585.25</v>
      </c>
      <c r="J350" s="146"/>
      <c r="K350" s="36" t="s">
        <v>52</v>
      </c>
    </row>
    <row r="351" spans="1:11">
      <c r="A351" s="36"/>
      <c r="B351" s="36" t="s">
        <v>52</v>
      </c>
      <c r="D351" s="406">
        <v>43161</v>
      </c>
      <c r="E351" s="120" t="s">
        <v>248</v>
      </c>
      <c r="F351" s="146">
        <v>378.75</v>
      </c>
      <c r="G351" s="146"/>
      <c r="H351" s="146"/>
      <c r="I351" s="146">
        <v>569.5</v>
      </c>
      <c r="J351" s="146"/>
      <c r="K351" s="36" t="s">
        <v>52</v>
      </c>
    </row>
    <row r="352" spans="1:11">
      <c r="A352" s="36"/>
      <c r="B352" s="36" t="s">
        <v>52</v>
      </c>
      <c r="D352" s="406">
        <v>43168</v>
      </c>
      <c r="E352" s="120" t="s">
        <v>248</v>
      </c>
      <c r="F352" s="146">
        <v>375.75</v>
      </c>
      <c r="G352" s="146"/>
      <c r="H352" s="146"/>
      <c r="I352" s="146">
        <v>575.5</v>
      </c>
      <c r="J352" s="146"/>
      <c r="K352" s="36" t="s">
        <v>52</v>
      </c>
    </row>
    <row r="353" spans="1:11">
      <c r="A353" s="36"/>
      <c r="B353" s="36" t="s">
        <v>52</v>
      </c>
      <c r="D353" s="406">
        <v>43175</v>
      </c>
      <c r="E353" s="120" t="s">
        <v>248</v>
      </c>
      <c r="F353" s="146">
        <v>381.75</v>
      </c>
      <c r="G353" s="146"/>
      <c r="H353" s="146"/>
      <c r="I353" s="146">
        <v>580.5</v>
      </c>
      <c r="J353" s="146"/>
      <c r="K353" s="36" t="s">
        <v>52</v>
      </c>
    </row>
    <row r="354" spans="1:11">
      <c r="A354" s="36"/>
      <c r="B354" s="36" t="s">
        <v>52</v>
      </c>
      <c r="D354" s="406">
        <v>43182</v>
      </c>
      <c r="E354" s="120" t="s">
        <v>248</v>
      </c>
      <c r="F354" s="146">
        <v>393</v>
      </c>
      <c r="G354" s="146"/>
      <c r="H354" s="146"/>
      <c r="I354" s="146">
        <v>595.5</v>
      </c>
      <c r="J354" s="146"/>
      <c r="K354" s="36" t="s">
        <v>52</v>
      </c>
    </row>
    <row r="355" spans="1:11">
      <c r="A355" s="36"/>
      <c r="B355" s="36" t="s">
        <v>52</v>
      </c>
      <c r="D355" s="406">
        <v>43189</v>
      </c>
      <c r="E355" s="120" t="s">
        <v>248</v>
      </c>
      <c r="F355" s="146">
        <v>392.5</v>
      </c>
      <c r="G355" s="146"/>
      <c r="H355" s="146"/>
      <c r="I355" s="146">
        <v>600</v>
      </c>
      <c r="J355" s="146"/>
      <c r="K355" s="36" t="s">
        <v>52</v>
      </c>
    </row>
    <row r="356" spans="1:11">
      <c r="A356" s="36"/>
      <c r="B356" s="36" t="s">
        <v>52</v>
      </c>
      <c r="D356" s="406">
        <v>43196</v>
      </c>
      <c r="E356" s="120" t="s">
        <v>248</v>
      </c>
      <c r="F356" s="146">
        <v>397.5</v>
      </c>
      <c r="G356" s="146"/>
      <c r="H356" s="146"/>
      <c r="I356" s="146">
        <v>598</v>
      </c>
      <c r="J356" s="146"/>
      <c r="K356" s="36" t="s">
        <v>52</v>
      </c>
    </row>
    <row r="357" spans="1:11">
      <c r="A357" s="36"/>
      <c r="B357" s="36" t="s">
        <v>52</v>
      </c>
      <c r="D357" s="406">
        <v>43203</v>
      </c>
      <c r="E357" s="120" t="s">
        <v>248</v>
      </c>
      <c r="F357" s="146">
        <v>410</v>
      </c>
      <c r="G357" s="146"/>
      <c r="H357" s="146"/>
      <c r="I357" s="146">
        <v>620</v>
      </c>
      <c r="J357" s="146"/>
      <c r="K357" s="36" t="s">
        <v>52</v>
      </c>
    </row>
    <row r="358" spans="1:11">
      <c r="A358" s="36"/>
      <c r="B358" s="36" t="s">
        <v>52</v>
      </c>
      <c r="D358" s="406">
        <v>43210</v>
      </c>
      <c r="E358" s="120" t="s">
        <v>248</v>
      </c>
      <c r="F358" s="146">
        <v>422</v>
      </c>
      <c r="G358" s="146"/>
      <c r="H358" s="146"/>
      <c r="I358" s="146">
        <v>625</v>
      </c>
      <c r="J358" s="146"/>
      <c r="K358" s="36" t="s">
        <v>52</v>
      </c>
    </row>
    <row r="359" spans="1:11">
      <c r="A359" s="36"/>
      <c r="B359" s="36" t="s">
        <v>52</v>
      </c>
      <c r="D359" s="406">
        <v>43217</v>
      </c>
      <c r="E359" s="120" t="s">
        <v>248</v>
      </c>
      <c r="F359" s="146">
        <v>432.5</v>
      </c>
      <c r="G359" s="146"/>
      <c r="H359" s="146"/>
      <c r="I359" s="146">
        <v>640</v>
      </c>
      <c r="J359" s="146"/>
      <c r="K359" s="36" t="s">
        <v>52</v>
      </c>
    </row>
    <row r="360" spans="1:11">
      <c r="A360" s="36"/>
      <c r="B360" s="36" t="s">
        <v>52</v>
      </c>
      <c r="D360" s="406">
        <v>43224</v>
      </c>
      <c r="E360" s="120" t="s">
        <v>248</v>
      </c>
      <c r="F360" s="146">
        <v>432.5</v>
      </c>
      <c r="G360" s="146"/>
      <c r="H360" s="146"/>
      <c r="I360" s="146">
        <v>640</v>
      </c>
      <c r="J360" s="146"/>
      <c r="K360" s="36" t="s">
        <v>52</v>
      </c>
    </row>
    <row r="361" spans="1:11">
      <c r="A361" s="36"/>
      <c r="B361" s="36" t="s">
        <v>52</v>
      </c>
      <c r="D361" s="406">
        <v>43231</v>
      </c>
      <c r="E361" s="120" t="s">
        <v>248</v>
      </c>
      <c r="F361" s="146">
        <v>443.5</v>
      </c>
      <c r="G361" s="146"/>
      <c r="H361" s="146"/>
      <c r="I361" s="146">
        <v>655</v>
      </c>
      <c r="J361" s="146"/>
      <c r="K361" s="36" t="s">
        <v>52</v>
      </c>
    </row>
    <row r="362" spans="1:11">
      <c r="A362" s="36"/>
      <c r="B362" s="36" t="s">
        <v>52</v>
      </c>
      <c r="D362" s="406">
        <v>43238</v>
      </c>
      <c r="E362" s="120" t="s">
        <v>248</v>
      </c>
      <c r="F362" s="146">
        <v>475.5</v>
      </c>
      <c r="G362" s="146"/>
      <c r="H362" s="146"/>
      <c r="I362" s="146">
        <v>690</v>
      </c>
      <c r="J362" s="146"/>
      <c r="K362" s="36" t="s">
        <v>52</v>
      </c>
    </row>
    <row r="363" spans="1:11">
      <c r="A363" s="36"/>
      <c r="B363" s="36" t="s">
        <v>52</v>
      </c>
      <c r="D363" s="406">
        <v>43245</v>
      </c>
      <c r="E363" s="120" t="s">
        <v>248</v>
      </c>
      <c r="F363" s="146">
        <v>476.5</v>
      </c>
      <c r="G363" s="146"/>
      <c r="H363" s="146"/>
      <c r="I363" s="146">
        <v>688</v>
      </c>
      <c r="J363" s="146"/>
      <c r="K363" s="36" t="s">
        <v>52</v>
      </c>
    </row>
    <row r="364" spans="1:11">
      <c r="A364" s="36"/>
      <c r="B364" s="36" t="s">
        <v>52</v>
      </c>
      <c r="D364" s="406">
        <v>43252</v>
      </c>
      <c r="E364" s="120" t="s">
        <v>248</v>
      </c>
      <c r="F364" s="146">
        <v>469.5</v>
      </c>
      <c r="G364" s="146"/>
      <c r="H364" s="146"/>
      <c r="I364" s="146">
        <v>675</v>
      </c>
      <c r="J364" s="146"/>
      <c r="K364" s="36" t="s">
        <v>52</v>
      </c>
    </row>
    <row r="365" spans="1:11">
      <c r="A365" s="36"/>
      <c r="B365" s="36" t="s">
        <v>52</v>
      </c>
      <c r="D365" s="406">
        <v>43259</v>
      </c>
      <c r="E365" s="120" t="s">
        <v>248</v>
      </c>
      <c r="F365" s="146">
        <v>463.5</v>
      </c>
      <c r="G365" s="146"/>
      <c r="H365" s="146"/>
      <c r="I365" s="146">
        <v>650</v>
      </c>
      <c r="J365" s="146"/>
      <c r="K365" s="36" t="s">
        <v>52</v>
      </c>
    </row>
    <row r="366" spans="1:11">
      <c r="A366" s="36"/>
      <c r="B366" s="36" t="s">
        <v>52</v>
      </c>
      <c r="D366" s="406">
        <v>43266</v>
      </c>
      <c r="E366" s="120" t="s">
        <v>248</v>
      </c>
      <c r="F366" s="146">
        <v>464</v>
      </c>
      <c r="G366" s="146"/>
      <c r="H366" s="146"/>
      <c r="I366" s="146">
        <v>650</v>
      </c>
      <c r="J366" s="146"/>
      <c r="K366" s="36" t="s">
        <v>52</v>
      </c>
    </row>
    <row r="367" spans="1:11">
      <c r="A367" s="36"/>
      <c r="B367" s="36" t="s">
        <v>52</v>
      </c>
      <c r="D367" s="406">
        <v>43273</v>
      </c>
      <c r="E367" s="120" t="s">
        <v>248</v>
      </c>
      <c r="F367" s="146">
        <v>452.5</v>
      </c>
      <c r="G367" s="146"/>
      <c r="H367" s="146"/>
      <c r="I367" s="146">
        <v>625</v>
      </c>
      <c r="J367" s="146"/>
      <c r="K367" s="36" t="s">
        <v>52</v>
      </c>
    </row>
    <row r="368" spans="1:11">
      <c r="A368" s="36"/>
      <c r="B368" s="36" t="s">
        <v>52</v>
      </c>
      <c r="D368" s="406">
        <v>43280</v>
      </c>
      <c r="E368" s="120" t="s">
        <v>248</v>
      </c>
      <c r="F368" s="146">
        <v>489.5</v>
      </c>
      <c r="G368" s="146"/>
      <c r="H368" s="146"/>
      <c r="I368" s="146">
        <v>645</v>
      </c>
      <c r="J368" s="146"/>
      <c r="K368" s="36" t="s">
        <v>52</v>
      </c>
    </row>
    <row r="369" spans="1:11">
      <c r="A369" s="36"/>
      <c r="B369" s="36" t="s">
        <v>52</v>
      </c>
      <c r="D369" s="406">
        <v>43287</v>
      </c>
      <c r="E369" s="120" t="s">
        <v>248</v>
      </c>
      <c r="F369" s="146">
        <v>484</v>
      </c>
      <c r="G369" s="146"/>
      <c r="H369" s="146"/>
      <c r="I369" s="146">
        <v>638</v>
      </c>
      <c r="J369" s="146"/>
      <c r="K369" s="36" t="s">
        <v>52</v>
      </c>
    </row>
    <row r="370" spans="1:11">
      <c r="A370" s="36"/>
      <c r="B370" s="36" t="s">
        <v>52</v>
      </c>
      <c r="D370" s="406">
        <v>43294</v>
      </c>
      <c r="E370" s="120" t="s">
        <v>248</v>
      </c>
      <c r="F370" s="146">
        <v>477.5</v>
      </c>
      <c r="G370" s="146"/>
      <c r="H370" s="146"/>
      <c r="I370" s="146">
        <v>635</v>
      </c>
      <c r="J370" s="146"/>
      <c r="K370" s="36" t="s">
        <v>52</v>
      </c>
    </row>
    <row r="371" spans="1:11">
      <c r="A371" s="36"/>
      <c r="B371" s="36" t="s">
        <v>52</v>
      </c>
      <c r="D371" s="406">
        <v>43301</v>
      </c>
      <c r="E371" s="120" t="s">
        <v>248</v>
      </c>
      <c r="F371" s="146">
        <v>468</v>
      </c>
      <c r="G371" s="146"/>
      <c r="H371" s="146"/>
      <c r="I371" s="146">
        <v>618</v>
      </c>
      <c r="J371" s="146"/>
      <c r="K371" s="36" t="s">
        <v>52</v>
      </c>
    </row>
    <row r="372" spans="1:11">
      <c r="A372" s="36"/>
      <c r="B372" s="36" t="s">
        <v>52</v>
      </c>
      <c r="D372" s="406">
        <v>43308</v>
      </c>
      <c r="E372" s="120" t="s">
        <v>248</v>
      </c>
      <c r="F372" s="146">
        <v>486.5</v>
      </c>
      <c r="G372" s="146"/>
      <c r="H372" s="146"/>
      <c r="I372" s="146">
        <v>635</v>
      </c>
      <c r="J372" s="146"/>
      <c r="K372" s="36" t="s">
        <v>52</v>
      </c>
    </row>
    <row r="373" spans="1:11">
      <c r="A373" s="36"/>
      <c r="B373" s="36" t="s">
        <v>52</v>
      </c>
      <c r="D373" s="406">
        <v>43315</v>
      </c>
      <c r="E373" s="120" t="s">
        <v>248</v>
      </c>
      <c r="F373" s="146">
        <v>482.5</v>
      </c>
      <c r="G373" s="146"/>
      <c r="H373" s="146"/>
      <c r="I373" s="146">
        <v>625</v>
      </c>
      <c r="J373" s="146"/>
      <c r="K373" s="36" t="s">
        <v>52</v>
      </c>
    </row>
    <row r="374" spans="1:11">
      <c r="A374" s="36"/>
      <c r="B374" s="36" t="s">
        <v>52</v>
      </c>
      <c r="D374" s="406">
        <v>43322</v>
      </c>
      <c r="E374" s="120" t="s">
        <v>248</v>
      </c>
      <c r="F374" s="146">
        <v>488.5</v>
      </c>
      <c r="G374" s="146"/>
      <c r="H374" s="146"/>
      <c r="I374" s="146">
        <v>640</v>
      </c>
      <c r="J374" s="146"/>
      <c r="K374" s="36" t="s">
        <v>52</v>
      </c>
    </row>
    <row r="375" spans="1:11">
      <c r="A375" s="36"/>
      <c r="B375" s="36" t="s">
        <v>52</v>
      </c>
      <c r="D375" s="406">
        <v>43329</v>
      </c>
      <c r="E375" s="120" t="s">
        <v>248</v>
      </c>
      <c r="F375" s="146">
        <v>464.5</v>
      </c>
      <c r="G375" s="146"/>
      <c r="H375" s="146"/>
      <c r="I375" s="146">
        <v>627</v>
      </c>
      <c r="J375" s="146"/>
      <c r="K375" s="36" t="s">
        <v>52</v>
      </c>
    </row>
    <row r="376" spans="1:11">
      <c r="A376" s="36"/>
      <c r="B376" s="36" t="s">
        <v>52</v>
      </c>
      <c r="D376" s="406">
        <v>43336</v>
      </c>
      <c r="E376" s="120" t="s">
        <v>248</v>
      </c>
      <c r="F376" s="146">
        <v>475.5</v>
      </c>
      <c r="G376" s="146"/>
      <c r="H376" s="146"/>
      <c r="I376" s="146">
        <v>637</v>
      </c>
      <c r="J376" s="146"/>
      <c r="K376" s="36" t="s">
        <v>52</v>
      </c>
    </row>
    <row r="377" spans="1:11">
      <c r="A377" s="36"/>
      <c r="B377" s="36" t="s">
        <v>52</v>
      </c>
      <c r="D377" s="406">
        <v>43343</v>
      </c>
      <c r="E377" s="120" t="s">
        <v>248</v>
      </c>
      <c r="F377" s="146">
        <v>484.5</v>
      </c>
      <c r="G377" s="146"/>
      <c r="H377" s="146"/>
      <c r="I377" s="146">
        <v>670</v>
      </c>
      <c r="J377" s="146"/>
      <c r="K377" s="36" t="s">
        <v>52</v>
      </c>
    </row>
    <row r="378" spans="1:11">
      <c r="A378" s="36"/>
      <c r="B378" s="36" t="s">
        <v>52</v>
      </c>
      <c r="D378" s="406">
        <v>43350</v>
      </c>
      <c r="E378" s="120" t="s">
        <v>248</v>
      </c>
      <c r="F378" s="146">
        <v>472</v>
      </c>
      <c r="G378" s="146"/>
      <c r="H378" s="146"/>
      <c r="I378" s="146">
        <v>605</v>
      </c>
      <c r="J378" s="146"/>
      <c r="K378" s="36" t="s">
        <v>52</v>
      </c>
    </row>
    <row r="379" spans="1:11">
      <c r="A379" s="36"/>
      <c r="B379" s="36" t="s">
        <v>52</v>
      </c>
      <c r="D379" s="406">
        <v>43357</v>
      </c>
      <c r="E379" s="120" t="s">
        <v>248</v>
      </c>
      <c r="F379" s="146">
        <v>484.5</v>
      </c>
      <c r="G379" s="146"/>
      <c r="H379" s="146"/>
      <c r="I379" s="146">
        <v>595</v>
      </c>
      <c r="J379" s="146"/>
      <c r="K379" s="36" t="s">
        <v>52</v>
      </c>
    </row>
    <row r="380" spans="1:11">
      <c r="A380" s="36"/>
      <c r="B380" s="36" t="s">
        <v>52</v>
      </c>
      <c r="D380" s="406">
        <v>43364</v>
      </c>
      <c r="E380" s="120" t="s">
        <v>248</v>
      </c>
      <c r="F380" s="146">
        <v>492.5</v>
      </c>
      <c r="G380" s="146"/>
      <c r="H380" s="146"/>
      <c r="I380" s="146">
        <v>650</v>
      </c>
      <c r="J380" s="146"/>
      <c r="K380" s="36" t="s">
        <v>52</v>
      </c>
    </row>
    <row r="381" spans="1:11">
      <c r="A381" s="36"/>
      <c r="B381" s="36" t="s">
        <v>52</v>
      </c>
      <c r="D381" s="406">
        <v>43371</v>
      </c>
      <c r="E381" s="120" t="s">
        <v>248</v>
      </c>
      <c r="F381" s="146">
        <v>508.5</v>
      </c>
      <c r="G381" s="146"/>
      <c r="H381" s="146"/>
      <c r="I381" s="146">
        <v>715</v>
      </c>
      <c r="J381" s="146"/>
      <c r="K381" s="36" t="s">
        <v>52</v>
      </c>
    </row>
    <row r="382" spans="1:11">
      <c r="A382" s="36"/>
      <c r="B382" s="36" t="s">
        <v>52</v>
      </c>
      <c r="D382" s="406">
        <v>43378</v>
      </c>
      <c r="E382" s="120" t="s">
        <v>248</v>
      </c>
      <c r="F382" s="146">
        <v>508.5</v>
      </c>
      <c r="G382" s="146"/>
      <c r="H382" s="146"/>
      <c r="I382" s="146">
        <v>715</v>
      </c>
      <c r="J382" s="146"/>
      <c r="K382" s="36" t="s">
        <v>52</v>
      </c>
    </row>
    <row r="383" spans="1:11">
      <c r="A383" s="36"/>
      <c r="B383" s="36" t="s">
        <v>52</v>
      </c>
      <c r="D383" s="406">
        <v>43385</v>
      </c>
      <c r="E383" s="120" t="s">
        <v>248</v>
      </c>
      <c r="F383" s="146">
        <v>521</v>
      </c>
      <c r="G383" s="146"/>
      <c r="H383" s="146"/>
      <c r="I383" s="146">
        <v>725</v>
      </c>
      <c r="J383" s="146"/>
      <c r="K383" s="36" t="s">
        <v>52</v>
      </c>
    </row>
    <row r="384" spans="1:11">
      <c r="A384" s="36"/>
      <c r="B384" s="36" t="s">
        <v>52</v>
      </c>
      <c r="D384" s="406">
        <v>43392</v>
      </c>
      <c r="E384" s="120" t="s">
        <v>248</v>
      </c>
      <c r="F384" s="146">
        <v>522.5</v>
      </c>
      <c r="G384" s="146"/>
      <c r="H384" s="146"/>
      <c r="I384" s="146">
        <v>715</v>
      </c>
      <c r="J384" s="146"/>
      <c r="K384" s="36" t="s">
        <v>52</v>
      </c>
    </row>
    <row r="385" spans="1:11">
      <c r="A385" s="36"/>
      <c r="B385" s="36" t="s">
        <v>52</v>
      </c>
      <c r="D385" s="406">
        <v>43399</v>
      </c>
      <c r="E385" s="120" t="s">
        <v>248</v>
      </c>
      <c r="F385" s="146">
        <v>521.5</v>
      </c>
      <c r="G385" s="146"/>
      <c r="H385" s="146"/>
      <c r="I385" s="146">
        <v>700</v>
      </c>
      <c r="J385" s="146"/>
      <c r="K385" s="36" t="s">
        <v>52</v>
      </c>
    </row>
    <row r="386" spans="1:11">
      <c r="A386" s="36"/>
      <c r="B386" s="36" t="s">
        <v>52</v>
      </c>
      <c r="D386" s="406">
        <v>43406</v>
      </c>
      <c r="E386" s="120" t="s">
        <v>248</v>
      </c>
      <c r="F386" s="146">
        <v>523</v>
      </c>
      <c r="G386" s="146"/>
      <c r="H386" s="146"/>
      <c r="I386" s="146">
        <v>685</v>
      </c>
      <c r="J386" s="146"/>
      <c r="K386" s="36" t="s">
        <v>52</v>
      </c>
    </row>
    <row r="387" spans="1:11">
      <c r="A387" s="36"/>
      <c r="B387" s="36" t="s">
        <v>52</v>
      </c>
      <c r="D387" s="406">
        <v>43413</v>
      </c>
      <c r="E387" s="120" t="s">
        <v>248</v>
      </c>
      <c r="F387" s="146">
        <v>531</v>
      </c>
      <c r="G387" s="146"/>
      <c r="H387" s="146"/>
      <c r="I387" s="146">
        <v>665</v>
      </c>
      <c r="J387" s="146"/>
      <c r="K387" s="36" t="s">
        <v>52</v>
      </c>
    </row>
    <row r="388" spans="1:11">
      <c r="A388" s="36"/>
      <c r="B388" s="36" t="s">
        <v>52</v>
      </c>
      <c r="D388" s="406">
        <v>43420</v>
      </c>
      <c r="E388" s="120" t="s">
        <v>248</v>
      </c>
      <c r="F388" s="146">
        <v>478.5</v>
      </c>
      <c r="G388" s="146"/>
      <c r="H388" s="146"/>
      <c r="I388" s="146">
        <v>625</v>
      </c>
      <c r="J388" s="146"/>
      <c r="K388" s="36" t="s">
        <v>52</v>
      </c>
    </row>
    <row r="389" spans="1:11">
      <c r="A389" s="36"/>
      <c r="B389" s="36" t="s">
        <v>52</v>
      </c>
      <c r="D389" s="406">
        <v>43427</v>
      </c>
      <c r="E389" s="120" t="s">
        <v>248</v>
      </c>
      <c r="F389" s="146">
        <v>465.5</v>
      </c>
      <c r="G389" s="146"/>
      <c r="H389" s="146"/>
      <c r="I389" s="146">
        <v>583</v>
      </c>
      <c r="J389" s="146"/>
      <c r="K389" s="36" t="s">
        <v>52</v>
      </c>
    </row>
    <row r="390" spans="1:11">
      <c r="A390" s="36"/>
      <c r="B390" s="36" t="s">
        <v>52</v>
      </c>
      <c r="D390" s="406">
        <v>43434</v>
      </c>
      <c r="E390" s="120" t="s">
        <v>248</v>
      </c>
      <c r="F390" s="146">
        <v>415</v>
      </c>
      <c r="G390" s="146"/>
      <c r="H390" s="146"/>
      <c r="I390" s="146">
        <v>530</v>
      </c>
      <c r="J390" s="146"/>
      <c r="K390" s="36" t="s">
        <v>52</v>
      </c>
    </row>
    <row r="391" spans="1:11">
      <c r="A391" s="36"/>
      <c r="B391" s="36" t="s">
        <v>52</v>
      </c>
      <c r="D391" s="406">
        <v>43441</v>
      </c>
      <c r="E391" s="120" t="s">
        <v>248</v>
      </c>
      <c r="F391" s="146">
        <v>423</v>
      </c>
      <c r="G391" s="146"/>
      <c r="H391" s="146"/>
      <c r="I391" s="146">
        <v>554.5</v>
      </c>
      <c r="J391" s="146"/>
      <c r="K391" s="36" t="s">
        <v>52</v>
      </c>
    </row>
    <row r="392" spans="1:11">
      <c r="A392" s="36"/>
      <c r="B392" s="36" t="s">
        <v>52</v>
      </c>
      <c r="D392" s="406">
        <v>43448</v>
      </c>
      <c r="E392" s="120" t="s">
        <v>248</v>
      </c>
      <c r="F392" s="146">
        <v>406.5</v>
      </c>
      <c r="G392" s="146"/>
      <c r="H392" s="146"/>
      <c r="I392" s="146">
        <v>535</v>
      </c>
      <c r="J392" s="146"/>
      <c r="K392" s="36" t="s">
        <v>52</v>
      </c>
    </row>
    <row r="393" spans="1:11">
      <c r="A393" s="36"/>
      <c r="B393" s="36" t="s">
        <v>52</v>
      </c>
      <c r="D393" s="406">
        <v>43455</v>
      </c>
      <c r="E393" s="120" t="s">
        <v>248</v>
      </c>
      <c r="F393" s="146">
        <v>367.5</v>
      </c>
      <c r="G393" s="146"/>
      <c r="H393" s="146"/>
      <c r="I393" s="146">
        <v>510</v>
      </c>
      <c r="J393" s="146"/>
      <c r="K393" s="36" t="s">
        <v>52</v>
      </c>
    </row>
    <row r="394" spans="1:11">
      <c r="A394" s="36"/>
      <c r="B394" s="36" t="s">
        <v>52</v>
      </c>
      <c r="D394" s="406">
        <v>43462</v>
      </c>
      <c r="E394" s="120" t="s">
        <v>248</v>
      </c>
      <c r="F394" s="146">
        <v>369</v>
      </c>
      <c r="G394" s="146"/>
      <c r="H394" s="146"/>
      <c r="I394" s="146">
        <v>550</v>
      </c>
      <c r="J394" s="146"/>
      <c r="K394" s="36" t="s">
        <v>52</v>
      </c>
    </row>
    <row r="395" spans="1:11">
      <c r="A395" s="36"/>
      <c r="B395" s="36" t="s">
        <v>52</v>
      </c>
      <c r="D395" s="406">
        <v>43469</v>
      </c>
      <c r="E395" s="120" t="s">
        <v>248</v>
      </c>
      <c r="F395" s="146">
        <v>385.5</v>
      </c>
      <c r="G395" s="146"/>
      <c r="H395" s="146"/>
      <c r="I395" s="146">
        <v>565</v>
      </c>
      <c r="J395" s="146"/>
      <c r="K395" s="36" t="s">
        <v>52</v>
      </c>
    </row>
    <row r="396" spans="1:11">
      <c r="A396" s="36"/>
      <c r="B396" s="36" t="s">
        <v>52</v>
      </c>
      <c r="D396" s="406">
        <v>43476</v>
      </c>
      <c r="E396" s="120" t="s">
        <v>248</v>
      </c>
      <c r="F396" s="146">
        <v>412</v>
      </c>
      <c r="G396" s="146"/>
      <c r="H396" s="146"/>
      <c r="I396" s="146">
        <v>550</v>
      </c>
      <c r="J396" s="146"/>
      <c r="K396" s="36" t="s">
        <v>52</v>
      </c>
    </row>
    <row r="397" spans="1:11">
      <c r="A397" s="36"/>
      <c r="B397" s="36" t="s">
        <v>52</v>
      </c>
      <c r="D397" s="406">
        <v>43483</v>
      </c>
      <c r="E397" s="120" t="s">
        <v>248</v>
      </c>
      <c r="F397" s="146">
        <v>410.5</v>
      </c>
      <c r="G397" s="146"/>
      <c r="H397" s="146"/>
      <c r="I397" s="146">
        <v>545</v>
      </c>
      <c r="J397" s="146"/>
      <c r="K397" s="36" t="s">
        <v>52</v>
      </c>
    </row>
    <row r="398" spans="1:11">
      <c r="A398" s="36"/>
      <c r="B398" s="36" t="s">
        <v>52</v>
      </c>
      <c r="D398" s="406">
        <v>43490</v>
      </c>
      <c r="E398" s="120" t="s">
        <v>248</v>
      </c>
      <c r="F398" s="146">
        <v>422</v>
      </c>
      <c r="G398" s="146"/>
      <c r="H398" s="146"/>
      <c r="I398" s="146">
        <v>550</v>
      </c>
      <c r="J398" s="146"/>
      <c r="K398" s="36" t="s">
        <v>52</v>
      </c>
    </row>
    <row r="399" spans="1:11">
      <c r="A399" s="36"/>
      <c r="B399" s="36" t="s">
        <v>52</v>
      </c>
      <c r="D399" s="406">
        <v>43511</v>
      </c>
      <c r="E399" s="120" t="s">
        <v>248</v>
      </c>
      <c r="F399" s="146">
        <v>449.5</v>
      </c>
      <c r="G399" s="146"/>
      <c r="H399" s="146"/>
      <c r="I399" s="146">
        <v>582.5</v>
      </c>
      <c r="J399" s="146"/>
      <c r="K399" s="36" t="s">
        <v>52</v>
      </c>
    </row>
    <row r="400" spans="1:11">
      <c r="A400" s="36"/>
      <c r="B400" s="36" t="s">
        <v>52</v>
      </c>
      <c r="D400" s="406">
        <v>43518</v>
      </c>
      <c r="E400" s="120" t="s">
        <v>248</v>
      </c>
      <c r="F400" s="146">
        <v>448.5</v>
      </c>
      <c r="G400" s="146"/>
      <c r="H400" s="146"/>
      <c r="I400" s="146">
        <v>612.5</v>
      </c>
      <c r="J400" s="146"/>
      <c r="K400" s="36" t="s">
        <v>52</v>
      </c>
    </row>
    <row r="401" spans="1:11">
      <c r="A401" s="36"/>
      <c r="B401" s="36" t="s">
        <v>52</v>
      </c>
      <c r="D401" s="406">
        <v>43525</v>
      </c>
      <c r="E401" s="120" t="s">
        <v>248</v>
      </c>
      <c r="F401" s="146">
        <v>446.5</v>
      </c>
      <c r="G401" s="146"/>
      <c r="H401" s="146"/>
      <c r="I401" s="146">
        <v>608.5</v>
      </c>
      <c r="J401" s="146"/>
      <c r="K401" s="36" t="s">
        <v>52</v>
      </c>
    </row>
    <row r="402" spans="1:11">
      <c r="A402" s="36"/>
      <c r="B402" s="36" t="s">
        <v>52</v>
      </c>
      <c r="D402" s="406">
        <v>43532</v>
      </c>
      <c r="E402" s="120" t="s">
        <v>248</v>
      </c>
      <c r="F402" s="146">
        <v>458</v>
      </c>
      <c r="G402" s="146"/>
      <c r="H402" s="146"/>
      <c r="I402" s="146">
        <v>596</v>
      </c>
      <c r="J402" s="146"/>
      <c r="K402" s="36" t="s">
        <v>52</v>
      </c>
    </row>
    <row r="403" spans="1:11">
      <c r="A403" s="36"/>
      <c r="B403" s="36" t="s">
        <v>52</v>
      </c>
      <c r="D403" s="406">
        <v>43539</v>
      </c>
      <c r="E403" s="120" t="s">
        <v>248</v>
      </c>
      <c r="F403" s="146">
        <v>456</v>
      </c>
      <c r="G403" s="146"/>
      <c r="H403" s="146"/>
      <c r="I403" s="146">
        <v>596</v>
      </c>
      <c r="J403" s="146"/>
      <c r="K403" s="36" t="s">
        <v>52</v>
      </c>
    </row>
    <row r="404" spans="1:11">
      <c r="A404" s="36"/>
      <c r="B404" s="36" t="s">
        <v>52</v>
      </c>
      <c r="D404" s="406">
        <v>43546</v>
      </c>
      <c r="E404" s="120" t="s">
        <v>248</v>
      </c>
      <c r="F404" s="146">
        <v>440</v>
      </c>
      <c r="G404" s="146"/>
      <c r="H404" s="146"/>
      <c r="I404" s="146">
        <v>592</v>
      </c>
      <c r="J404" s="146"/>
      <c r="K404" s="36" t="s">
        <v>52</v>
      </c>
    </row>
    <row r="405" spans="1:11">
      <c r="A405" s="36"/>
      <c r="B405" s="36" t="s">
        <v>52</v>
      </c>
      <c r="D405" s="406">
        <v>43553</v>
      </c>
      <c r="E405" s="120" t="s">
        <v>248</v>
      </c>
      <c r="F405" s="146">
        <v>444.5</v>
      </c>
      <c r="G405" s="146"/>
      <c r="H405" s="146"/>
      <c r="I405" s="146">
        <v>587.5</v>
      </c>
      <c r="J405" s="146"/>
      <c r="K405" s="36" t="s">
        <v>52</v>
      </c>
    </row>
    <row r="406" spans="1:11">
      <c r="A406" s="36"/>
      <c r="B406" s="36" t="s">
        <v>52</v>
      </c>
      <c r="D406" s="406">
        <v>43560</v>
      </c>
      <c r="E406" s="120" t="s">
        <v>248</v>
      </c>
      <c r="F406" s="146">
        <v>447.5</v>
      </c>
      <c r="G406" s="146"/>
      <c r="H406" s="146"/>
      <c r="I406" s="146">
        <v>591.5</v>
      </c>
      <c r="J406" s="146"/>
      <c r="K406" s="36" t="s">
        <v>52</v>
      </c>
    </row>
    <row r="407" spans="1:11">
      <c r="A407" s="36"/>
      <c r="B407" s="36" t="s">
        <v>52</v>
      </c>
      <c r="D407" s="406">
        <v>43567</v>
      </c>
      <c r="E407" s="120" t="s">
        <v>248</v>
      </c>
      <c r="F407" s="146">
        <v>447</v>
      </c>
      <c r="G407" s="146"/>
      <c r="H407" s="146"/>
      <c r="I407" s="146">
        <v>610</v>
      </c>
      <c r="J407" s="146"/>
      <c r="K407" s="36" t="s">
        <v>52</v>
      </c>
    </row>
    <row r="408" spans="1:11">
      <c r="A408" s="36"/>
      <c r="B408" s="36" t="s">
        <v>52</v>
      </c>
      <c r="D408" s="406">
        <v>43574</v>
      </c>
      <c r="E408" s="120" t="s">
        <v>248</v>
      </c>
      <c r="F408" s="146">
        <v>442.5</v>
      </c>
      <c r="G408" s="146"/>
      <c r="H408" s="146"/>
      <c r="I408" s="146">
        <v>607.5</v>
      </c>
      <c r="J408" s="146"/>
      <c r="K408" s="36" t="s">
        <v>52</v>
      </c>
    </row>
    <row r="409" spans="1:11">
      <c r="A409" s="36"/>
      <c r="B409" s="36" t="s">
        <v>52</v>
      </c>
      <c r="D409" s="406">
        <v>43581</v>
      </c>
      <c r="E409" s="120" t="s">
        <v>248</v>
      </c>
      <c r="F409" s="146">
        <v>460</v>
      </c>
      <c r="G409" s="146"/>
      <c r="H409" s="146"/>
      <c r="I409" s="146">
        <v>613</v>
      </c>
      <c r="J409" s="146"/>
      <c r="K409" s="36" t="s">
        <v>52</v>
      </c>
    </row>
    <row r="410" spans="1:11">
      <c r="A410" s="36"/>
      <c r="B410" s="36" t="s">
        <v>52</v>
      </c>
      <c r="D410" s="406">
        <v>43588</v>
      </c>
      <c r="E410" s="120" t="s">
        <v>248</v>
      </c>
      <c r="F410" s="146">
        <v>438.5</v>
      </c>
      <c r="G410" s="146"/>
      <c r="H410" s="146"/>
      <c r="I410" s="146">
        <v>603.5</v>
      </c>
      <c r="J410" s="146"/>
      <c r="K410" s="36" t="s">
        <v>52</v>
      </c>
    </row>
    <row r="411" spans="1:11">
      <c r="A411" s="36"/>
      <c r="B411" s="36" t="s">
        <v>52</v>
      </c>
      <c r="D411" s="406">
        <v>43595</v>
      </c>
      <c r="E411" s="120" t="s">
        <v>248</v>
      </c>
      <c r="F411" s="146">
        <v>437.5</v>
      </c>
      <c r="G411" s="146"/>
      <c r="H411" s="146"/>
      <c r="I411" s="146">
        <v>601.5</v>
      </c>
      <c r="J411" s="146"/>
      <c r="K411" s="36" t="s">
        <v>52</v>
      </c>
    </row>
    <row r="412" spans="1:11">
      <c r="A412" s="36"/>
      <c r="B412" s="36" t="s">
        <v>52</v>
      </c>
      <c r="D412" s="406">
        <v>43602</v>
      </c>
      <c r="E412" s="120" t="s">
        <v>248</v>
      </c>
      <c r="F412" s="146">
        <v>439.5</v>
      </c>
      <c r="G412" s="146"/>
      <c r="H412" s="146"/>
      <c r="I412" s="146">
        <v>620</v>
      </c>
      <c r="J412" s="146"/>
      <c r="K412" s="36" t="s">
        <v>52</v>
      </c>
    </row>
    <row r="413" spans="1:11">
      <c r="A413" s="36"/>
      <c r="B413" s="36" t="s">
        <v>52</v>
      </c>
      <c r="D413" s="406">
        <v>43609</v>
      </c>
      <c r="E413" s="120" t="s">
        <v>248</v>
      </c>
      <c r="F413" s="146">
        <v>425.5</v>
      </c>
      <c r="G413" s="146"/>
      <c r="H413" s="146"/>
      <c r="I413" s="146">
        <v>607.5</v>
      </c>
      <c r="J413" s="146"/>
      <c r="K413" s="36" t="s">
        <v>52</v>
      </c>
    </row>
    <row r="414" spans="1:11">
      <c r="A414" s="36"/>
      <c r="B414" s="36" t="s">
        <v>52</v>
      </c>
      <c r="D414" s="406">
        <v>43616</v>
      </c>
      <c r="E414" s="120" t="s">
        <v>248</v>
      </c>
      <c r="F414" s="146">
        <v>422.5</v>
      </c>
      <c r="G414" s="146"/>
      <c r="H414" s="146"/>
      <c r="I414" s="146">
        <v>596.5</v>
      </c>
      <c r="J414" s="146"/>
      <c r="K414" s="36" t="s">
        <v>52</v>
      </c>
    </row>
    <row r="415" spans="1:11">
      <c r="A415" s="36"/>
      <c r="B415" s="36" t="s">
        <v>52</v>
      </c>
      <c r="D415" s="406">
        <v>43623</v>
      </c>
      <c r="E415" s="120" t="s">
        <v>248</v>
      </c>
      <c r="F415" s="146">
        <v>392</v>
      </c>
      <c r="G415" s="146"/>
      <c r="H415" s="146"/>
      <c r="I415" s="146">
        <v>549.5</v>
      </c>
      <c r="J415" s="146"/>
      <c r="K415" s="36" t="s">
        <v>52</v>
      </c>
    </row>
    <row r="416" spans="1:11">
      <c r="A416" s="36"/>
      <c r="B416" s="36" t="s">
        <v>52</v>
      </c>
      <c r="D416" s="406">
        <v>43630</v>
      </c>
      <c r="E416" s="120" t="s">
        <v>248</v>
      </c>
      <c r="F416" s="146">
        <v>386.5</v>
      </c>
      <c r="G416" s="146"/>
      <c r="H416" s="146"/>
      <c r="I416" s="146">
        <v>536.5</v>
      </c>
      <c r="J416" s="146"/>
      <c r="K416" s="36" t="s">
        <v>52</v>
      </c>
    </row>
    <row r="417" spans="1:11">
      <c r="A417" s="36"/>
      <c r="B417" s="36" t="s">
        <v>52</v>
      </c>
      <c r="D417" s="406">
        <v>43637</v>
      </c>
      <c r="E417" s="120" t="s">
        <v>248</v>
      </c>
      <c r="F417" s="146">
        <v>402.5</v>
      </c>
      <c r="G417" s="146"/>
      <c r="H417" s="146"/>
      <c r="I417" s="146">
        <v>551.5</v>
      </c>
      <c r="J417" s="146"/>
      <c r="K417" s="36" t="s">
        <v>52</v>
      </c>
    </row>
    <row r="418" spans="1:11">
      <c r="A418" s="36"/>
      <c r="B418" s="36" t="s">
        <v>52</v>
      </c>
      <c r="D418" s="406">
        <v>43644</v>
      </c>
      <c r="E418" s="120" t="s">
        <v>248</v>
      </c>
      <c r="F418" s="146">
        <v>429</v>
      </c>
      <c r="G418" s="146"/>
      <c r="H418" s="146"/>
      <c r="I418" s="146">
        <v>589.5</v>
      </c>
      <c r="J418" s="146"/>
      <c r="K418" s="36" t="s">
        <v>52</v>
      </c>
    </row>
    <row r="419" spans="1:11">
      <c r="A419" s="36"/>
      <c r="B419" s="36" t="s">
        <v>52</v>
      </c>
      <c r="D419" s="406">
        <v>43651</v>
      </c>
      <c r="E419" s="120" t="s">
        <v>248</v>
      </c>
      <c r="F419" s="146">
        <v>451.5</v>
      </c>
      <c r="G419" s="146"/>
      <c r="H419" s="146"/>
      <c r="I419" s="146">
        <v>571.5</v>
      </c>
      <c r="J419" s="146"/>
      <c r="K419" s="36" t="s">
        <v>52</v>
      </c>
    </row>
    <row r="420" spans="1:11">
      <c r="A420" s="36"/>
      <c r="B420" s="36" t="s">
        <v>52</v>
      </c>
      <c r="D420" s="406">
        <v>43658</v>
      </c>
      <c r="E420" s="120" t="s">
        <v>248</v>
      </c>
      <c r="F420" s="146">
        <v>523.5</v>
      </c>
      <c r="G420" s="146"/>
      <c r="H420" s="146"/>
      <c r="I420" s="146">
        <v>611.5</v>
      </c>
      <c r="J420" s="146"/>
      <c r="K420" s="36" t="s">
        <v>52</v>
      </c>
    </row>
    <row r="421" spans="1:11">
      <c r="A421" s="36"/>
      <c r="B421" s="36" t="s">
        <v>52</v>
      </c>
      <c r="D421" s="406">
        <v>43665</v>
      </c>
      <c r="E421" s="120" t="s">
        <v>248</v>
      </c>
      <c r="F421" s="146">
        <v>468.5</v>
      </c>
      <c r="G421" s="146"/>
      <c r="H421" s="146"/>
      <c r="I421" s="146">
        <v>576.5</v>
      </c>
      <c r="J421" s="146"/>
      <c r="K421" s="36" t="s">
        <v>52</v>
      </c>
    </row>
    <row r="422" spans="1:11">
      <c r="A422" s="36"/>
      <c r="B422" s="36" t="s">
        <v>52</v>
      </c>
      <c r="D422" s="406">
        <v>43672</v>
      </c>
      <c r="E422" s="120" t="s">
        <v>248</v>
      </c>
      <c r="F422" s="146">
        <v>457.5</v>
      </c>
      <c r="G422" s="146"/>
      <c r="H422" s="146"/>
      <c r="I422" s="146">
        <v>586.5</v>
      </c>
      <c r="J422" s="146"/>
      <c r="K422" s="36" t="s">
        <v>52</v>
      </c>
    </row>
    <row r="423" spans="1:11">
      <c r="A423" s="36"/>
      <c r="B423" s="36" t="s">
        <v>52</v>
      </c>
      <c r="D423" s="406">
        <v>43679</v>
      </c>
      <c r="E423" s="120" t="s">
        <v>248</v>
      </c>
      <c r="F423" s="146">
        <v>483.5</v>
      </c>
      <c r="G423" s="146"/>
      <c r="H423" s="146"/>
      <c r="I423" s="146">
        <v>600.5</v>
      </c>
      <c r="J423" s="146"/>
      <c r="K423" s="36" t="s">
        <v>52</v>
      </c>
    </row>
    <row r="424" spans="1:11">
      <c r="A424" s="36"/>
      <c r="B424" s="36" t="s">
        <v>52</v>
      </c>
      <c r="D424" s="406">
        <v>43686</v>
      </c>
      <c r="E424" s="120" t="s">
        <v>248</v>
      </c>
      <c r="F424" s="146">
        <v>365</v>
      </c>
      <c r="G424" s="146"/>
      <c r="H424" s="146"/>
      <c r="I424" s="146">
        <v>537.5</v>
      </c>
      <c r="J424" s="146"/>
      <c r="K424" s="36" t="s">
        <v>52</v>
      </c>
    </row>
    <row r="425" spans="1:11">
      <c r="A425" s="36"/>
      <c r="B425" s="36" t="s">
        <v>52</v>
      </c>
      <c r="D425" s="406">
        <v>43693</v>
      </c>
      <c r="E425" s="120" t="s">
        <v>248</v>
      </c>
      <c r="F425" s="146">
        <v>350.5</v>
      </c>
      <c r="G425" s="146"/>
      <c r="H425" s="146"/>
      <c r="I425" s="146">
        <v>552.5</v>
      </c>
      <c r="J425" s="146"/>
      <c r="K425" s="36" t="s">
        <v>52</v>
      </c>
    </row>
    <row r="426" spans="1:11">
      <c r="A426" s="36"/>
      <c r="B426" s="36" t="s">
        <v>52</v>
      </c>
      <c r="D426" s="406">
        <v>43700</v>
      </c>
      <c r="E426" s="120" t="s">
        <v>248</v>
      </c>
      <c r="F426" s="146">
        <v>391.5</v>
      </c>
      <c r="G426" s="146"/>
      <c r="H426" s="146"/>
      <c r="I426" s="146">
        <v>561.5</v>
      </c>
      <c r="J426" s="146"/>
      <c r="K426" s="36" t="s">
        <v>52</v>
      </c>
    </row>
    <row r="427" spans="1:11">
      <c r="A427" s="36"/>
      <c r="B427" s="36" t="s">
        <v>52</v>
      </c>
      <c r="D427" s="406">
        <v>43707</v>
      </c>
      <c r="E427" s="120" t="s">
        <v>248</v>
      </c>
      <c r="F427" s="146">
        <v>439.25</v>
      </c>
      <c r="G427" s="146"/>
      <c r="H427" s="146"/>
      <c r="I427" s="146">
        <v>556.5</v>
      </c>
      <c r="J427" s="146"/>
      <c r="K427" s="36" t="s">
        <v>52</v>
      </c>
    </row>
    <row r="428" spans="1:11">
      <c r="A428" s="36"/>
      <c r="B428" s="36" t="s">
        <v>52</v>
      </c>
      <c r="D428" s="406">
        <v>43714</v>
      </c>
      <c r="E428" s="120" t="s">
        <v>248</v>
      </c>
      <c r="F428" s="146">
        <v>441.5</v>
      </c>
      <c r="G428" s="146"/>
      <c r="H428" s="146"/>
      <c r="I428" s="146">
        <v>570</v>
      </c>
      <c r="J428" s="146"/>
      <c r="K428" s="36" t="s">
        <v>52</v>
      </c>
    </row>
    <row r="429" spans="1:11">
      <c r="A429" s="36"/>
      <c r="B429" s="36" t="s">
        <v>52</v>
      </c>
      <c r="D429" s="406">
        <v>43721</v>
      </c>
      <c r="E429" s="120" t="s">
        <v>248</v>
      </c>
      <c r="F429" s="146">
        <v>492.5</v>
      </c>
      <c r="G429" s="146"/>
      <c r="H429" s="146"/>
      <c r="I429" s="146">
        <v>575</v>
      </c>
      <c r="J429" s="146"/>
      <c r="K429" s="36" t="s">
        <v>52</v>
      </c>
    </row>
    <row r="430" spans="1:11">
      <c r="A430" s="36"/>
      <c r="B430" s="36" t="s">
        <v>52</v>
      </c>
      <c r="D430" s="406">
        <v>43728</v>
      </c>
      <c r="E430" s="120" t="s">
        <v>248</v>
      </c>
      <c r="F430" s="146">
        <v>527.5</v>
      </c>
      <c r="G430" s="146"/>
      <c r="H430" s="146"/>
      <c r="I430" s="146">
        <v>605</v>
      </c>
      <c r="J430" s="146"/>
      <c r="K430" s="36" t="s">
        <v>52</v>
      </c>
    </row>
    <row r="431" spans="1:11">
      <c r="A431" s="36"/>
      <c r="B431" s="36" t="s">
        <v>52</v>
      </c>
      <c r="D431" s="406">
        <v>43735</v>
      </c>
      <c r="E431" s="120" t="s">
        <v>248</v>
      </c>
      <c r="F431" s="146">
        <v>526</v>
      </c>
      <c r="G431" s="146"/>
      <c r="H431" s="146"/>
      <c r="I431" s="146">
        <v>683.5</v>
      </c>
      <c r="J431" s="146"/>
      <c r="K431" s="36" t="s">
        <v>52</v>
      </c>
    </row>
    <row r="432" spans="1:11">
      <c r="A432" s="36"/>
      <c r="B432" s="36" t="s">
        <v>52</v>
      </c>
      <c r="D432" s="406">
        <v>43742</v>
      </c>
      <c r="E432" s="120" t="s">
        <v>248</v>
      </c>
      <c r="F432" s="146">
        <v>444.5</v>
      </c>
      <c r="G432" s="146"/>
      <c r="H432" s="146"/>
      <c r="I432" s="146">
        <v>631</v>
      </c>
      <c r="J432" s="146"/>
      <c r="K432" s="36" t="s">
        <v>52</v>
      </c>
    </row>
    <row r="433" spans="1:11">
      <c r="A433" s="36"/>
      <c r="B433" s="36" t="s">
        <v>52</v>
      </c>
      <c r="D433" s="406">
        <v>43749</v>
      </c>
      <c r="E433" s="120" t="s">
        <v>248</v>
      </c>
      <c r="F433" s="146">
        <v>362.5</v>
      </c>
      <c r="G433" s="146"/>
      <c r="H433" s="146"/>
      <c r="I433" s="146">
        <v>579</v>
      </c>
      <c r="J433" s="146"/>
      <c r="K433" s="36" t="s">
        <v>52</v>
      </c>
    </row>
    <row r="434" spans="1:11">
      <c r="A434" s="36"/>
      <c r="B434" s="36" t="s">
        <v>52</v>
      </c>
      <c r="D434" s="406">
        <v>43756</v>
      </c>
      <c r="E434" s="120" t="s">
        <v>248</v>
      </c>
      <c r="F434" s="146">
        <v>386.5</v>
      </c>
      <c r="G434" s="146"/>
      <c r="H434" s="146"/>
      <c r="I434" s="146">
        <v>584</v>
      </c>
      <c r="J434" s="146"/>
      <c r="K434" s="36" t="s">
        <v>52</v>
      </c>
    </row>
    <row r="435" spans="1:11">
      <c r="A435" s="36"/>
      <c r="B435" s="36" t="s">
        <v>52</v>
      </c>
      <c r="D435" s="406">
        <v>43763</v>
      </c>
      <c r="E435" s="120" t="s">
        <v>248</v>
      </c>
      <c r="F435" s="146">
        <v>402.97500000000002</v>
      </c>
      <c r="G435" s="146"/>
      <c r="H435" s="146"/>
      <c r="I435" s="146">
        <v>589.66999999999996</v>
      </c>
      <c r="J435" s="146"/>
      <c r="K435" s="36" t="s">
        <v>52</v>
      </c>
    </row>
    <row r="436" spans="1:11">
      <c r="A436" s="36"/>
      <c r="B436" s="36" t="s">
        <v>52</v>
      </c>
      <c r="D436" s="406">
        <v>43770</v>
      </c>
      <c r="E436" s="120" t="s">
        <v>248</v>
      </c>
      <c r="F436" s="146">
        <v>431</v>
      </c>
      <c r="G436" s="146"/>
      <c r="H436" s="146"/>
      <c r="I436" s="146">
        <v>570</v>
      </c>
      <c r="J436" s="146"/>
      <c r="K436" s="36" t="s">
        <v>52</v>
      </c>
    </row>
    <row r="437" spans="1:11">
      <c r="A437" s="36"/>
      <c r="B437" s="36" t="s">
        <v>52</v>
      </c>
      <c r="D437" s="406">
        <v>43777</v>
      </c>
      <c r="E437" s="120" t="s">
        <v>248</v>
      </c>
      <c r="F437" s="146">
        <v>393.5</v>
      </c>
      <c r="G437" s="146"/>
      <c r="H437" s="146"/>
      <c r="I437" s="146">
        <v>579</v>
      </c>
      <c r="J437" s="146"/>
      <c r="K437" s="36" t="s">
        <v>52</v>
      </c>
    </row>
    <row r="438" spans="1:11">
      <c r="A438" s="36"/>
      <c r="B438" s="36" t="s">
        <v>52</v>
      </c>
      <c r="D438" s="406">
        <v>43784</v>
      </c>
      <c r="E438" s="120" t="s">
        <v>248</v>
      </c>
      <c r="F438" s="146">
        <v>354.7</v>
      </c>
      <c r="G438" s="146"/>
      <c r="H438" s="146"/>
      <c r="I438" s="146">
        <v>564</v>
      </c>
      <c r="J438" s="146"/>
      <c r="K438" s="36" t="s">
        <v>52</v>
      </c>
    </row>
    <row r="439" spans="1:11">
      <c r="A439" s="36"/>
      <c r="B439" s="36" t="s">
        <v>52</v>
      </c>
      <c r="D439" s="406">
        <v>43791</v>
      </c>
      <c r="E439" s="120" t="s">
        <v>248</v>
      </c>
      <c r="F439" s="146">
        <v>422.85</v>
      </c>
      <c r="G439" s="146"/>
      <c r="H439" s="146"/>
      <c r="I439" s="146">
        <v>566</v>
      </c>
      <c r="J439" s="146"/>
      <c r="K439" s="36" t="s">
        <v>52</v>
      </c>
    </row>
    <row r="440" spans="1:11">
      <c r="A440" s="36"/>
      <c r="B440" s="36" t="s">
        <v>52</v>
      </c>
      <c r="D440" s="406">
        <v>43798</v>
      </c>
      <c r="E440" s="120" t="s">
        <v>248</v>
      </c>
      <c r="F440" s="146">
        <v>366</v>
      </c>
      <c r="G440" s="146"/>
      <c r="H440" s="146"/>
      <c r="I440" s="146">
        <v>572</v>
      </c>
      <c r="J440" s="146"/>
      <c r="K440" s="36" t="s">
        <v>52</v>
      </c>
    </row>
    <row r="441" spans="1:11">
      <c r="A441" s="36"/>
      <c r="B441" s="36" t="s">
        <v>52</v>
      </c>
      <c r="D441" s="406">
        <v>43805</v>
      </c>
      <c r="E441" s="120" t="s">
        <v>248</v>
      </c>
      <c r="F441" s="146">
        <v>361.03</v>
      </c>
      <c r="G441" s="146"/>
      <c r="H441" s="146"/>
      <c r="I441" s="146">
        <v>585.96</v>
      </c>
      <c r="J441" s="146"/>
      <c r="K441" s="36" t="s">
        <v>52</v>
      </c>
    </row>
    <row r="442" spans="1:11">
      <c r="A442" s="36"/>
      <c r="B442" s="36" t="s">
        <v>52</v>
      </c>
      <c r="D442" s="406">
        <v>43812</v>
      </c>
      <c r="E442" s="120" t="s">
        <v>248</v>
      </c>
      <c r="F442" s="146">
        <v>378</v>
      </c>
      <c r="G442" s="146"/>
      <c r="H442" s="146"/>
      <c r="I442" s="146">
        <v>584</v>
      </c>
      <c r="J442" s="146"/>
      <c r="K442" s="36" t="s">
        <v>52</v>
      </c>
    </row>
    <row r="443" spans="1:11">
      <c r="A443" s="36"/>
      <c r="B443" s="36" t="s">
        <v>52</v>
      </c>
      <c r="D443" s="406">
        <v>43819</v>
      </c>
      <c r="E443" s="120" t="s">
        <v>248</v>
      </c>
      <c r="F443" s="146">
        <v>361.815</v>
      </c>
      <c r="G443" s="146"/>
      <c r="H443" s="146"/>
      <c r="I443" s="146">
        <v>633.25</v>
      </c>
      <c r="J443" s="146"/>
      <c r="K443" s="36" t="s">
        <v>52</v>
      </c>
    </row>
    <row r="444" spans="1:11">
      <c r="A444" s="36"/>
      <c r="B444" s="36" t="s">
        <v>52</v>
      </c>
      <c r="D444" s="406">
        <v>43826</v>
      </c>
      <c r="E444" s="120" t="s">
        <v>248</v>
      </c>
      <c r="F444" s="146">
        <v>371.55</v>
      </c>
      <c r="G444" s="146"/>
      <c r="H444" s="146"/>
      <c r="I444" s="146">
        <v>673.9</v>
      </c>
      <c r="J444" s="146"/>
      <c r="K444" s="36" t="s">
        <v>52</v>
      </c>
    </row>
    <row r="445" spans="1:11">
      <c r="A445" s="36"/>
      <c r="B445" s="36" t="s">
        <v>52</v>
      </c>
      <c r="D445" s="406">
        <v>43833</v>
      </c>
      <c r="E445" s="120" t="s">
        <v>248</v>
      </c>
      <c r="F445" s="146">
        <v>363.3</v>
      </c>
      <c r="G445" s="146">
        <v>723.7</v>
      </c>
      <c r="H445" s="146"/>
      <c r="I445" s="146">
        <v>708.2</v>
      </c>
      <c r="J445" s="146">
        <v>712.6</v>
      </c>
      <c r="K445" s="36" t="s">
        <v>52</v>
      </c>
    </row>
    <row r="446" spans="1:11">
      <c r="A446" s="36"/>
      <c r="B446" s="36" t="s">
        <v>52</v>
      </c>
      <c r="D446" s="406">
        <v>43840</v>
      </c>
      <c r="E446" s="120" t="s">
        <v>248</v>
      </c>
      <c r="F446" s="146">
        <v>393.3</v>
      </c>
      <c r="G446" s="146">
        <v>726.8</v>
      </c>
      <c r="H446" s="146"/>
      <c r="I446" s="146">
        <v>734.9</v>
      </c>
      <c r="J446" s="146">
        <v>731</v>
      </c>
      <c r="K446" s="36" t="s">
        <v>52</v>
      </c>
    </row>
    <row r="447" spans="1:11">
      <c r="A447" s="36"/>
      <c r="B447" s="36" t="s">
        <v>52</v>
      </c>
      <c r="D447" s="406">
        <v>43847</v>
      </c>
      <c r="E447" s="120" t="s">
        <v>248</v>
      </c>
      <c r="F447" s="146">
        <v>371</v>
      </c>
      <c r="G447" s="146">
        <v>670.8</v>
      </c>
      <c r="H447" s="146"/>
      <c r="I447" s="146">
        <v>686.6</v>
      </c>
      <c r="J447" s="146">
        <v>677.4</v>
      </c>
      <c r="K447" s="36" t="s">
        <v>52</v>
      </c>
    </row>
    <row r="448" spans="1:11">
      <c r="A448" s="36"/>
      <c r="B448" s="36" t="s">
        <v>52</v>
      </c>
      <c r="D448" s="406">
        <v>43854</v>
      </c>
      <c r="E448" s="120" t="s">
        <v>248</v>
      </c>
      <c r="F448" s="146">
        <v>367.1</v>
      </c>
      <c r="G448" s="146">
        <v>644.1</v>
      </c>
      <c r="H448" s="146"/>
      <c r="I448" s="146">
        <v>651.1</v>
      </c>
      <c r="J448" s="146">
        <v>643</v>
      </c>
      <c r="K448" s="36" t="s">
        <v>52</v>
      </c>
    </row>
    <row r="449" spans="1:11">
      <c r="A449" s="36"/>
      <c r="B449" s="36" t="s">
        <v>52</v>
      </c>
      <c r="D449" s="406">
        <v>43861</v>
      </c>
      <c r="E449" s="120" t="s">
        <v>248</v>
      </c>
      <c r="F449" s="146">
        <v>351.1</v>
      </c>
      <c r="G449" s="146">
        <v>594.1</v>
      </c>
      <c r="H449" s="146"/>
      <c r="I449" s="146">
        <v>607.1</v>
      </c>
      <c r="J449" s="146">
        <v>592.6</v>
      </c>
      <c r="K449" s="36" t="s">
        <v>52</v>
      </c>
    </row>
    <row r="450" spans="1:11">
      <c r="A450" s="36"/>
      <c r="B450" s="36" t="s">
        <v>52</v>
      </c>
      <c r="D450" s="406">
        <v>43868</v>
      </c>
      <c r="E450" s="120" t="s">
        <v>248</v>
      </c>
      <c r="F450" s="146">
        <v>324.60000000000002</v>
      </c>
      <c r="G450" s="146">
        <v>542.29999999999995</v>
      </c>
      <c r="H450" s="146"/>
      <c r="I450" s="146">
        <v>554.9</v>
      </c>
      <c r="J450" s="146">
        <v>543.1</v>
      </c>
      <c r="K450" s="36" t="s">
        <v>52</v>
      </c>
    </row>
    <row r="451" spans="1:11">
      <c r="A451" s="36"/>
      <c r="B451" s="36" t="s">
        <v>52</v>
      </c>
      <c r="D451" s="406">
        <v>43875</v>
      </c>
      <c r="E451" s="120" t="s">
        <v>248</v>
      </c>
      <c r="F451" s="146">
        <v>319.39999999999998</v>
      </c>
      <c r="G451" s="146">
        <v>520.70000000000005</v>
      </c>
      <c r="H451" s="146"/>
      <c r="I451" s="146">
        <v>530</v>
      </c>
      <c r="J451" s="146">
        <v>522.9</v>
      </c>
      <c r="K451" s="36" t="s">
        <v>52</v>
      </c>
    </row>
    <row r="452" spans="1:11">
      <c r="A452" s="36"/>
      <c r="B452" s="36" t="s">
        <v>52</v>
      </c>
      <c r="D452" s="406">
        <v>43882</v>
      </c>
      <c r="E452" s="120" t="s">
        <v>248</v>
      </c>
      <c r="F452" s="146">
        <v>323.5</v>
      </c>
      <c r="G452" s="146">
        <v>511</v>
      </c>
      <c r="H452" s="29"/>
      <c r="I452" s="146">
        <v>524.9</v>
      </c>
      <c r="J452" s="29">
        <v>516.5</v>
      </c>
      <c r="K452" s="36" t="s">
        <v>52</v>
      </c>
    </row>
    <row r="453" spans="1:11">
      <c r="A453" s="36"/>
      <c r="B453" s="36" t="s">
        <v>52</v>
      </c>
      <c r="D453" s="406">
        <v>43889</v>
      </c>
      <c r="E453" s="120" t="s">
        <v>248</v>
      </c>
      <c r="F453" s="146">
        <v>304.60000000000002</v>
      </c>
      <c r="G453" s="146">
        <v>458.8</v>
      </c>
      <c r="H453" s="29"/>
      <c r="I453" s="146">
        <v>482.2</v>
      </c>
      <c r="J453" s="29">
        <v>470.4</v>
      </c>
      <c r="K453" s="36" t="s">
        <v>52</v>
      </c>
    </row>
    <row r="454" spans="1:11">
      <c r="A454" s="36"/>
      <c r="B454" s="36" t="s">
        <v>52</v>
      </c>
      <c r="D454" s="406">
        <v>43896</v>
      </c>
      <c r="E454" s="120" t="s">
        <v>248</v>
      </c>
      <c r="F454" s="146">
        <v>296.60000000000002</v>
      </c>
      <c r="G454" s="146">
        <v>436.3</v>
      </c>
      <c r="H454" s="29"/>
      <c r="I454" s="146">
        <v>453.9</v>
      </c>
      <c r="J454" s="29">
        <v>453.6</v>
      </c>
      <c r="K454" s="36" t="s">
        <v>52</v>
      </c>
    </row>
    <row r="455" spans="1:11">
      <c r="A455" s="36"/>
      <c r="B455" s="36" t="s">
        <v>52</v>
      </c>
      <c r="D455" s="406">
        <v>43903</v>
      </c>
      <c r="E455" s="120" t="s">
        <v>248</v>
      </c>
      <c r="F455" s="146">
        <v>221.6</v>
      </c>
      <c r="G455" s="146">
        <v>340.9</v>
      </c>
      <c r="H455" s="29"/>
      <c r="I455" s="146">
        <v>364.4</v>
      </c>
      <c r="J455" s="29">
        <v>359.9</v>
      </c>
      <c r="K455" s="36" t="s">
        <v>52</v>
      </c>
    </row>
    <row r="456" spans="1:11">
      <c r="A456" s="36"/>
      <c r="B456" s="36" t="s">
        <v>52</v>
      </c>
      <c r="D456" s="406">
        <v>43910</v>
      </c>
      <c r="E456" s="120" t="s">
        <v>248</v>
      </c>
      <c r="F456" s="146">
        <v>202.4</v>
      </c>
      <c r="G456" s="146">
        <v>291.10000000000002</v>
      </c>
      <c r="H456" s="29"/>
      <c r="I456" s="146">
        <v>306.10000000000002</v>
      </c>
      <c r="J456" s="29">
        <v>313.8</v>
      </c>
      <c r="K456" s="36" t="s">
        <v>52</v>
      </c>
    </row>
    <row r="457" spans="1:11">
      <c r="A457" s="36"/>
      <c r="B457" s="36" t="s">
        <v>52</v>
      </c>
      <c r="D457" s="406">
        <v>43917</v>
      </c>
      <c r="E457" s="120" t="s">
        <v>248</v>
      </c>
      <c r="F457" s="146">
        <v>194.4</v>
      </c>
      <c r="G457" s="146">
        <v>273.8</v>
      </c>
      <c r="H457" s="29"/>
      <c r="I457" s="146">
        <v>301.2</v>
      </c>
      <c r="J457" s="29">
        <v>293.89999999999998</v>
      </c>
      <c r="K457" s="36" t="s">
        <v>52</v>
      </c>
    </row>
    <row r="458" spans="1:11">
      <c r="A458" s="36"/>
      <c r="B458" s="36" t="s">
        <v>52</v>
      </c>
      <c r="D458" s="406">
        <v>43924</v>
      </c>
      <c r="E458" s="120" t="s">
        <v>248</v>
      </c>
      <c r="F458" s="146">
        <v>185.2</v>
      </c>
      <c r="G458" s="146">
        <v>259.7</v>
      </c>
      <c r="H458" s="29"/>
      <c r="I458" s="146">
        <v>285.60000000000002</v>
      </c>
      <c r="J458" s="29">
        <v>280.10000000000002</v>
      </c>
      <c r="K458" s="36" t="s">
        <v>52</v>
      </c>
    </row>
    <row r="459" spans="1:11">
      <c r="A459" s="36"/>
      <c r="B459" s="36" t="s">
        <v>52</v>
      </c>
      <c r="D459" s="406">
        <v>43931</v>
      </c>
      <c r="E459" s="20" t="s">
        <v>248</v>
      </c>
      <c r="F459" s="29">
        <v>204.75</v>
      </c>
      <c r="G459" s="29">
        <v>270.125</v>
      </c>
      <c r="H459" s="29"/>
      <c r="I459" s="29">
        <v>290.125</v>
      </c>
      <c r="J459" s="29">
        <v>286.625</v>
      </c>
      <c r="K459" s="36" t="s">
        <v>52</v>
      </c>
    </row>
    <row r="460" spans="1:11">
      <c r="A460" s="36"/>
      <c r="B460" s="36" t="s">
        <v>52</v>
      </c>
      <c r="D460" s="20"/>
      <c r="E460" s="20"/>
      <c r="F460" s="20"/>
      <c r="G460" s="20"/>
      <c r="H460" s="20"/>
      <c r="I460" s="20"/>
      <c r="J460" s="20"/>
      <c r="K460" s="36" t="s">
        <v>52</v>
      </c>
    </row>
    <row r="461" spans="1:11">
      <c r="A461" s="36"/>
      <c r="B461" s="36" t="s">
        <v>52</v>
      </c>
      <c r="D461" s="20"/>
      <c r="E461" s="20"/>
      <c r="F461" s="20"/>
      <c r="G461" s="20"/>
      <c r="H461" s="20"/>
      <c r="I461" s="20"/>
      <c r="J461" s="20"/>
      <c r="K461" s="36" t="s">
        <v>52</v>
      </c>
    </row>
    <row r="462" spans="1:11">
      <c r="A462" s="36"/>
      <c r="B462" s="36" t="s">
        <v>52</v>
      </c>
      <c r="D462" s="20"/>
      <c r="E462" s="20"/>
      <c r="F462" s="20"/>
      <c r="G462" s="20"/>
      <c r="H462" s="20"/>
      <c r="I462" s="20"/>
      <c r="J462" s="20"/>
      <c r="K462" s="36" t="s">
        <v>52</v>
      </c>
    </row>
    <row r="463" spans="1:11">
      <c r="A463" s="36"/>
      <c r="B463" s="36" t="s">
        <v>52</v>
      </c>
      <c r="D463" s="20"/>
      <c r="E463" s="20"/>
      <c r="F463" s="20"/>
      <c r="G463" s="20"/>
      <c r="H463" s="20"/>
      <c r="I463" s="20"/>
      <c r="J463" s="20"/>
      <c r="K463" s="36" t="s">
        <v>52</v>
      </c>
    </row>
    <row r="464" spans="1:11">
      <c r="A464" s="36"/>
      <c r="B464" s="36" t="s">
        <v>52</v>
      </c>
      <c r="D464" s="20"/>
      <c r="E464" s="20"/>
      <c r="F464" s="20"/>
      <c r="G464" s="20"/>
      <c r="H464" s="20"/>
      <c r="I464" s="20"/>
      <c r="J464" s="20"/>
      <c r="K464" s="36" t="s">
        <v>52</v>
      </c>
    </row>
    <row r="465" spans="1:11">
      <c r="A465" s="36"/>
      <c r="B465" s="36" t="s">
        <v>52</v>
      </c>
      <c r="D465" s="20"/>
      <c r="E465" s="20"/>
      <c r="F465" s="20"/>
      <c r="G465" s="20"/>
      <c r="H465" s="20"/>
      <c r="I465" s="20"/>
      <c r="J465" s="20"/>
      <c r="K465" s="36" t="s">
        <v>52</v>
      </c>
    </row>
    <row r="466" spans="1:11">
      <c r="A466" s="36"/>
      <c r="B466" s="36" t="s">
        <v>52</v>
      </c>
      <c r="D466" s="20"/>
      <c r="E466" s="20"/>
      <c r="F466" s="20"/>
      <c r="G466" s="20"/>
      <c r="H466" s="20"/>
      <c r="I466" s="20"/>
      <c r="J466" s="20"/>
      <c r="K466" s="36" t="s">
        <v>52</v>
      </c>
    </row>
    <row r="467" spans="1:11">
      <c r="A467" s="36"/>
      <c r="B467" s="36" t="s">
        <v>52</v>
      </c>
      <c r="D467" s="20"/>
      <c r="E467" s="20"/>
      <c r="F467" s="20"/>
      <c r="G467" s="20"/>
      <c r="H467" s="20"/>
      <c r="I467" s="20"/>
      <c r="J467" s="20"/>
      <c r="K467" s="36" t="s">
        <v>52</v>
      </c>
    </row>
    <row r="468" spans="1:11">
      <c r="A468" s="36"/>
      <c r="B468" s="36" t="s">
        <v>52</v>
      </c>
      <c r="D468" s="20"/>
      <c r="E468" s="20"/>
      <c r="F468" s="20"/>
      <c r="G468" s="20"/>
      <c r="H468" s="20"/>
      <c r="I468" s="20"/>
      <c r="J468" s="20"/>
      <c r="K468" s="36" t="s">
        <v>52</v>
      </c>
    </row>
    <row r="469" spans="1:11">
      <c r="A469" s="36"/>
      <c r="B469" s="36" t="s">
        <v>52</v>
      </c>
      <c r="D469" s="20"/>
      <c r="E469" s="20"/>
      <c r="F469" s="20"/>
      <c r="G469" s="20"/>
      <c r="H469" s="20"/>
      <c r="I469" s="20"/>
      <c r="J469" s="20"/>
      <c r="K469" s="36" t="s">
        <v>52</v>
      </c>
    </row>
    <row r="470" spans="1:11">
      <c r="A470" s="36"/>
      <c r="B470" s="36" t="s">
        <v>52</v>
      </c>
      <c r="D470" s="20"/>
      <c r="E470" s="20"/>
      <c r="F470" s="20"/>
      <c r="G470" s="20"/>
      <c r="H470" s="20"/>
      <c r="I470" s="20"/>
      <c r="J470" s="20"/>
      <c r="K470" s="36" t="s">
        <v>52</v>
      </c>
    </row>
    <row r="471" spans="1:11">
      <c r="A471" s="36"/>
      <c r="B471" s="36" t="s">
        <v>52</v>
      </c>
      <c r="D471" s="20"/>
      <c r="E471" s="20"/>
      <c r="F471" s="20"/>
      <c r="G471" s="20"/>
      <c r="H471" s="20"/>
      <c r="I471" s="20"/>
      <c r="J471" s="20"/>
      <c r="K471" s="36" t="s">
        <v>52</v>
      </c>
    </row>
    <row r="472" spans="1:11">
      <c r="A472" s="36"/>
      <c r="B472" s="36" t="s">
        <v>52</v>
      </c>
      <c r="D472" s="20"/>
      <c r="E472" s="20"/>
      <c r="F472" s="20"/>
      <c r="G472" s="20"/>
      <c r="H472" s="20"/>
      <c r="I472" s="20"/>
      <c r="J472" s="20"/>
      <c r="K472" s="36" t="s">
        <v>52</v>
      </c>
    </row>
    <row r="473" spans="1:11">
      <c r="A473" s="36"/>
      <c r="B473" s="36" t="s">
        <v>52</v>
      </c>
      <c r="D473" s="20"/>
      <c r="E473" s="20"/>
      <c r="F473" s="20"/>
      <c r="G473" s="20"/>
      <c r="H473" s="20"/>
      <c r="I473" s="20"/>
      <c r="J473" s="20"/>
      <c r="K473" s="36" t="s">
        <v>52</v>
      </c>
    </row>
    <row r="474" spans="1:11">
      <c r="A474" s="36"/>
      <c r="B474" s="36" t="s">
        <v>52</v>
      </c>
      <c r="D474" s="20"/>
      <c r="E474" s="20"/>
      <c r="F474" s="20"/>
      <c r="G474" s="20"/>
      <c r="H474" s="20"/>
      <c r="I474" s="20"/>
      <c r="J474" s="20"/>
      <c r="K474" s="36" t="s">
        <v>52</v>
      </c>
    </row>
    <row r="475" spans="1:11">
      <c r="A475" s="36"/>
      <c r="B475" s="36" t="s">
        <v>52</v>
      </c>
      <c r="D475" s="20"/>
      <c r="E475" s="20"/>
      <c r="F475" s="20"/>
      <c r="G475" s="20"/>
      <c r="H475" s="20"/>
      <c r="I475" s="20"/>
      <c r="J475" s="20"/>
      <c r="K475" s="36" t="s">
        <v>52</v>
      </c>
    </row>
    <row r="476" spans="1:11">
      <c r="A476" s="36"/>
      <c r="B476" s="36" t="s">
        <v>52</v>
      </c>
      <c r="D476" s="20"/>
      <c r="E476" s="20"/>
      <c r="F476" s="20"/>
      <c r="G476" s="20"/>
      <c r="H476" s="20"/>
      <c r="I476" s="20"/>
      <c r="J476" s="20"/>
      <c r="K476" s="36" t="s">
        <v>52</v>
      </c>
    </row>
    <row r="477" spans="1:11">
      <c r="A477" s="36"/>
      <c r="B477" s="36" t="s">
        <v>52</v>
      </c>
      <c r="D477" s="20"/>
      <c r="E477" s="20"/>
      <c r="F477" s="20"/>
      <c r="G477" s="20"/>
      <c r="H477" s="20"/>
      <c r="I477" s="20"/>
      <c r="J477" s="20"/>
      <c r="K477" s="36" t="s">
        <v>52</v>
      </c>
    </row>
    <row r="478" spans="1:11">
      <c r="A478" s="36"/>
      <c r="B478" s="36" t="s">
        <v>52</v>
      </c>
      <c r="D478" s="20"/>
      <c r="E478" s="20"/>
      <c r="F478" s="20"/>
      <c r="G478" s="20"/>
      <c r="H478" s="20"/>
      <c r="I478" s="20"/>
      <c r="J478" s="20"/>
      <c r="K478" s="36" t="s">
        <v>52</v>
      </c>
    </row>
    <row r="479" spans="1:11">
      <c r="A479" s="36"/>
      <c r="B479" s="36" t="s">
        <v>52</v>
      </c>
      <c r="D479" s="20"/>
      <c r="E479" s="20"/>
      <c r="F479" s="20"/>
      <c r="G479" s="20"/>
      <c r="H479" s="20"/>
      <c r="I479" s="20"/>
      <c r="J479" s="20"/>
      <c r="K479" s="36" t="s">
        <v>52</v>
      </c>
    </row>
    <row r="480" spans="1:11">
      <c r="A480" s="36"/>
      <c r="B480" s="36" t="s">
        <v>52</v>
      </c>
      <c r="D480" s="20"/>
      <c r="E480" s="20"/>
      <c r="F480" s="20"/>
      <c r="G480" s="20"/>
      <c r="H480" s="20"/>
      <c r="I480" s="20"/>
      <c r="J480" s="20"/>
      <c r="K480" s="36" t="s">
        <v>52</v>
      </c>
    </row>
    <row r="481" spans="1:11">
      <c r="A481" s="36"/>
      <c r="B481" s="36" t="s">
        <v>52</v>
      </c>
      <c r="D481" s="20"/>
      <c r="E481" s="20"/>
      <c r="F481" s="20"/>
      <c r="G481" s="20"/>
      <c r="H481" s="20"/>
      <c r="I481" s="20"/>
      <c r="J481" s="20"/>
      <c r="K481" s="36" t="s">
        <v>52</v>
      </c>
    </row>
    <row r="482" spans="1:11">
      <c r="A482" s="36"/>
      <c r="B482" s="36" t="s">
        <v>52</v>
      </c>
      <c r="D482" s="20"/>
      <c r="E482" s="20"/>
      <c r="F482" s="20"/>
      <c r="G482" s="20"/>
      <c r="H482" s="20"/>
      <c r="I482" s="20"/>
      <c r="J482" s="20"/>
      <c r="K482" s="36" t="s">
        <v>52</v>
      </c>
    </row>
    <row r="483" spans="1:11">
      <c r="A483" s="36"/>
      <c r="B483" s="36" t="s">
        <v>52</v>
      </c>
      <c r="D483" s="20"/>
      <c r="E483" s="20"/>
      <c r="F483" s="20"/>
      <c r="G483" s="20"/>
      <c r="H483" s="20"/>
      <c r="I483" s="20"/>
      <c r="J483" s="20"/>
      <c r="K483" s="36" t="s">
        <v>52</v>
      </c>
    </row>
    <row r="484" spans="1:11">
      <c r="A484" s="36"/>
      <c r="B484" s="36" t="s">
        <v>52</v>
      </c>
      <c r="D484" s="20"/>
      <c r="E484" s="20"/>
      <c r="F484" s="20"/>
      <c r="G484" s="20"/>
      <c r="H484" s="20"/>
      <c r="I484" s="20"/>
      <c r="J484" s="20"/>
      <c r="K484" s="36" t="s">
        <v>52</v>
      </c>
    </row>
    <row r="485" spans="1:11">
      <c r="A485" s="36"/>
      <c r="B485" s="36" t="s">
        <v>52</v>
      </c>
      <c r="D485" s="20"/>
      <c r="E485" s="20"/>
      <c r="F485" s="20"/>
      <c r="G485" s="20"/>
      <c r="H485" s="20"/>
      <c r="I485" s="20"/>
      <c r="J485" s="20"/>
      <c r="K485" s="36" t="s">
        <v>52</v>
      </c>
    </row>
    <row r="486" spans="1:11">
      <c r="A486" s="36"/>
      <c r="B486" s="36" t="s">
        <v>52</v>
      </c>
      <c r="D486" s="20"/>
      <c r="E486" s="20"/>
      <c r="F486" s="20"/>
      <c r="G486" s="20"/>
      <c r="H486" s="20"/>
      <c r="I486" s="20"/>
      <c r="J486" s="20"/>
      <c r="K486" s="36" t="s">
        <v>52</v>
      </c>
    </row>
    <row r="487" spans="1:11">
      <c r="A487" s="36"/>
      <c r="B487" s="36" t="s">
        <v>52</v>
      </c>
      <c r="D487" s="20"/>
      <c r="E487" s="20"/>
      <c r="F487" s="20"/>
      <c r="G487" s="20"/>
      <c r="H487" s="20"/>
      <c r="I487" s="20"/>
      <c r="J487" s="20"/>
      <c r="K487" s="36" t="s">
        <v>52</v>
      </c>
    </row>
    <row r="488" spans="1:11">
      <c r="A488" s="36"/>
      <c r="B488" s="36" t="s">
        <v>52</v>
      </c>
      <c r="D488" s="20"/>
      <c r="E488" s="20"/>
      <c r="F488" s="20"/>
      <c r="G488" s="20"/>
      <c r="H488" s="20"/>
      <c r="I488" s="20"/>
      <c r="J488" s="20"/>
      <c r="K488" s="36" t="s">
        <v>52</v>
      </c>
    </row>
    <row r="489" spans="1:11">
      <c r="A489" s="36"/>
      <c r="B489" s="36" t="s">
        <v>52</v>
      </c>
      <c r="D489" s="20"/>
      <c r="E489" s="20"/>
      <c r="F489" s="20"/>
      <c r="G489" s="20"/>
      <c r="H489" s="20"/>
      <c r="I489" s="20"/>
      <c r="J489" s="20"/>
      <c r="K489" s="36" t="s">
        <v>52</v>
      </c>
    </row>
    <row r="490" spans="1:11">
      <c r="A490" s="36"/>
      <c r="B490" s="36" t="s">
        <v>52</v>
      </c>
      <c r="D490" s="20"/>
      <c r="E490" s="20"/>
      <c r="F490" s="20"/>
      <c r="G490" s="20"/>
      <c r="H490" s="20"/>
      <c r="I490" s="20"/>
      <c r="J490" s="20"/>
      <c r="K490" s="36" t="s">
        <v>52</v>
      </c>
    </row>
    <row r="491" spans="1:11">
      <c r="A491" s="36"/>
      <c r="B491" s="36" t="s">
        <v>52</v>
      </c>
      <c r="D491" s="20"/>
      <c r="E491" s="20"/>
      <c r="F491" s="20"/>
      <c r="G491" s="20"/>
      <c r="H491" s="20"/>
      <c r="I491" s="20"/>
      <c r="J491" s="20"/>
      <c r="K491" s="36" t="s">
        <v>52</v>
      </c>
    </row>
    <row r="492" spans="1:11">
      <c r="A492" s="36"/>
      <c r="B492" s="36" t="s">
        <v>52</v>
      </c>
      <c r="D492" s="20"/>
      <c r="E492" s="20"/>
      <c r="F492" s="20"/>
      <c r="G492" s="20"/>
      <c r="H492" s="20"/>
      <c r="I492" s="20"/>
      <c r="J492" s="20"/>
      <c r="K492" s="36" t="s">
        <v>52</v>
      </c>
    </row>
    <row r="493" spans="1:11">
      <c r="A493" s="36"/>
      <c r="B493" s="36" t="s">
        <v>52</v>
      </c>
      <c r="D493" s="20"/>
      <c r="E493" s="20"/>
      <c r="F493" s="20"/>
      <c r="G493" s="20"/>
      <c r="H493" s="20"/>
      <c r="I493" s="20"/>
      <c r="J493" s="20"/>
      <c r="K493" s="36" t="s">
        <v>52</v>
      </c>
    </row>
    <row r="494" spans="1:11">
      <c r="A494" s="36"/>
      <c r="B494" s="36" t="s">
        <v>52</v>
      </c>
      <c r="D494" s="20"/>
      <c r="E494" s="20"/>
      <c r="F494" s="20"/>
      <c r="G494" s="20"/>
      <c r="H494" s="20"/>
      <c r="I494" s="20"/>
      <c r="J494" s="20"/>
      <c r="K494" s="36" t="s">
        <v>52</v>
      </c>
    </row>
    <row r="495" spans="1:11">
      <c r="A495" s="36"/>
      <c r="B495" s="36" t="s">
        <v>52</v>
      </c>
      <c r="D495" s="20"/>
      <c r="E495" s="20"/>
      <c r="F495" s="20"/>
      <c r="G495" s="20"/>
      <c r="H495" s="20"/>
      <c r="I495" s="20"/>
      <c r="J495" s="20"/>
      <c r="K495" s="36" t="s">
        <v>52</v>
      </c>
    </row>
    <row r="496" spans="1:11">
      <c r="A496" s="36"/>
      <c r="B496" s="36" t="s">
        <v>52</v>
      </c>
      <c r="D496" s="20"/>
      <c r="E496" s="20"/>
      <c r="F496" s="20"/>
      <c r="G496" s="20"/>
      <c r="H496" s="20"/>
      <c r="I496" s="20"/>
      <c r="J496" s="20"/>
      <c r="K496" s="36" t="s">
        <v>52</v>
      </c>
    </row>
    <row r="497" spans="1:11">
      <c r="A497" s="36"/>
      <c r="B497" s="36" t="s">
        <v>52</v>
      </c>
      <c r="D497" s="20"/>
      <c r="E497" s="20"/>
      <c r="F497" s="20"/>
      <c r="G497" s="20"/>
      <c r="H497" s="20"/>
      <c r="I497" s="20"/>
      <c r="J497" s="20"/>
      <c r="K497" s="36" t="s">
        <v>52</v>
      </c>
    </row>
    <row r="498" spans="1:11">
      <c r="A498" s="36"/>
      <c r="B498" s="36" t="s">
        <v>52</v>
      </c>
      <c r="D498" s="20"/>
      <c r="E498" s="20"/>
      <c r="F498" s="20"/>
      <c r="G498" s="20"/>
      <c r="H498" s="20"/>
      <c r="I498" s="20"/>
      <c r="J498" s="20"/>
      <c r="K498" s="36" t="s">
        <v>52</v>
      </c>
    </row>
    <row r="499" spans="1:11">
      <c r="A499" s="36"/>
      <c r="B499" s="36" t="s">
        <v>52</v>
      </c>
      <c r="D499" s="20"/>
      <c r="E499" s="20"/>
      <c r="F499" s="20"/>
      <c r="G499" s="20"/>
      <c r="H499" s="20"/>
      <c r="I499" s="20"/>
      <c r="J499" s="20"/>
      <c r="K499" s="36" t="s">
        <v>52</v>
      </c>
    </row>
    <row r="500" spans="1:11">
      <c r="A500" s="36"/>
      <c r="B500" s="36" t="s">
        <v>52</v>
      </c>
      <c r="D500" s="20"/>
      <c r="E500" s="20"/>
      <c r="F500" s="20"/>
      <c r="G500" s="20"/>
      <c r="H500" s="20"/>
      <c r="I500" s="20"/>
      <c r="J500" s="20"/>
      <c r="K500" s="36" t="s">
        <v>52</v>
      </c>
    </row>
    <row r="501" spans="1:11">
      <c r="A501" s="36"/>
      <c r="B501" s="36" t="s">
        <v>52</v>
      </c>
      <c r="D501" s="20"/>
      <c r="E501" s="20"/>
      <c r="F501" s="20"/>
      <c r="G501" s="20"/>
      <c r="H501" s="20"/>
      <c r="I501" s="20"/>
      <c r="J501" s="20"/>
      <c r="K501" s="36" t="s">
        <v>52</v>
      </c>
    </row>
    <row r="502" spans="1:11">
      <c r="A502" s="36"/>
      <c r="B502" s="36" t="s">
        <v>52</v>
      </c>
      <c r="D502" s="20"/>
      <c r="E502" s="20"/>
      <c r="F502" s="20"/>
      <c r="G502" s="20"/>
      <c r="H502" s="20"/>
      <c r="I502" s="20"/>
      <c r="J502" s="20"/>
      <c r="K502" s="36" t="s">
        <v>52</v>
      </c>
    </row>
    <row r="503" spans="1:11">
      <c r="A503" s="36"/>
      <c r="B503" s="36" t="s">
        <v>52</v>
      </c>
      <c r="D503" s="20"/>
      <c r="E503" s="20"/>
      <c r="F503" s="20"/>
      <c r="G503" s="20"/>
      <c r="H503" s="20"/>
      <c r="I503" s="20"/>
      <c r="J503" s="20"/>
      <c r="K503" s="36" t="s">
        <v>52</v>
      </c>
    </row>
    <row r="504" spans="1:11">
      <c r="A504" s="36"/>
      <c r="B504" s="36" t="s">
        <v>52</v>
      </c>
      <c r="D504" s="20"/>
      <c r="E504" s="20"/>
      <c r="F504" s="20"/>
      <c r="G504" s="20"/>
      <c r="H504" s="20"/>
      <c r="I504" s="20"/>
      <c r="J504" s="20"/>
      <c r="K504" s="36" t="s">
        <v>52</v>
      </c>
    </row>
    <row r="505" spans="1:11">
      <c r="A505" s="36"/>
      <c r="B505" s="36" t="s">
        <v>52</v>
      </c>
      <c r="D505" s="20"/>
      <c r="E505" s="20"/>
      <c r="F505" s="20"/>
      <c r="G505" s="20"/>
      <c r="H505" s="20"/>
      <c r="I505" s="20"/>
      <c r="J505" s="20"/>
      <c r="K505" s="36" t="s">
        <v>52</v>
      </c>
    </row>
    <row r="506" spans="1:11">
      <c r="B506" s="36" t="s">
        <v>52</v>
      </c>
      <c r="D506" s="20"/>
      <c r="E506" s="20"/>
      <c r="F506" s="20"/>
      <c r="G506" s="20"/>
      <c r="H506" s="20"/>
      <c r="I506" s="20"/>
      <c r="J506" s="20"/>
      <c r="K506" s="36" t="s">
        <v>52</v>
      </c>
    </row>
    <row r="507" spans="1:11">
      <c r="B507" s="36" t="s">
        <v>52</v>
      </c>
      <c r="D507" s="20"/>
      <c r="E507" s="20"/>
      <c r="F507" s="20"/>
      <c r="G507" s="20"/>
      <c r="H507" s="20"/>
      <c r="I507" s="20"/>
      <c r="J507" s="20"/>
      <c r="K507" s="36" t="s">
        <v>52</v>
      </c>
    </row>
    <row r="508" spans="1:11">
      <c r="B508" s="36" t="s">
        <v>52</v>
      </c>
      <c r="D508" s="20"/>
      <c r="E508" s="20"/>
      <c r="F508" s="20"/>
      <c r="G508" s="20"/>
      <c r="H508" s="20"/>
      <c r="I508" s="20"/>
      <c r="J508" s="20"/>
      <c r="K508" s="36" t="s">
        <v>52</v>
      </c>
    </row>
    <row r="509" spans="1:11">
      <c r="B509" s="36" t="s">
        <v>52</v>
      </c>
      <c r="D509" s="20"/>
      <c r="E509" s="20"/>
      <c r="F509" s="20"/>
      <c r="G509" s="20"/>
      <c r="H509" s="20"/>
      <c r="I509" s="20"/>
      <c r="J509" s="20"/>
      <c r="K509" s="36" t="s">
        <v>52</v>
      </c>
    </row>
    <row r="510" spans="1:11">
      <c r="B510" s="36" t="s">
        <v>52</v>
      </c>
      <c r="D510" s="20"/>
      <c r="E510" s="20"/>
      <c r="F510" s="20"/>
      <c r="G510" s="20"/>
      <c r="H510" s="20"/>
      <c r="I510" s="20"/>
      <c r="J510" s="20"/>
      <c r="K510" s="36" t="s">
        <v>52</v>
      </c>
    </row>
    <row r="511" spans="1:11">
      <c r="B511" s="36" t="s">
        <v>52</v>
      </c>
      <c r="D511" s="20"/>
      <c r="E511" s="20"/>
      <c r="F511" s="20"/>
      <c r="G511" s="20"/>
      <c r="H511" s="20"/>
      <c r="I511" s="20"/>
      <c r="J511" s="20"/>
      <c r="K511" s="36" t="s">
        <v>52</v>
      </c>
    </row>
    <row r="512" spans="1:11">
      <c r="B512" s="36" t="s">
        <v>52</v>
      </c>
      <c r="D512" s="20"/>
      <c r="E512" s="20"/>
      <c r="F512" s="20"/>
      <c r="G512" s="20"/>
      <c r="H512" s="20"/>
      <c r="I512" s="20"/>
      <c r="J512" s="20"/>
      <c r="K512" s="36" t="s">
        <v>52</v>
      </c>
    </row>
    <row r="513" spans="2:11">
      <c r="B513" s="36" t="s">
        <v>52</v>
      </c>
      <c r="D513" s="20"/>
      <c r="E513" s="20"/>
      <c r="F513" s="20"/>
      <c r="G513" s="20"/>
      <c r="H513" s="20"/>
      <c r="I513" s="20"/>
      <c r="J513" s="20"/>
      <c r="K513" s="36" t="s">
        <v>52</v>
      </c>
    </row>
    <row r="514" spans="2:11">
      <c r="B514" s="36" t="s">
        <v>52</v>
      </c>
      <c r="D514" s="20"/>
      <c r="E514" s="20"/>
      <c r="F514" s="20"/>
      <c r="G514" s="20"/>
      <c r="H514" s="20"/>
      <c r="I514" s="20"/>
      <c r="J514" s="20"/>
      <c r="K514" s="36" t="s">
        <v>52</v>
      </c>
    </row>
    <row r="515" spans="2:11">
      <c r="B515" s="36" t="s">
        <v>52</v>
      </c>
      <c r="D515" s="20"/>
      <c r="E515" s="20"/>
      <c r="F515" s="20"/>
      <c r="G515" s="20"/>
      <c r="H515" s="20"/>
      <c r="I515" s="20"/>
      <c r="J515" s="20"/>
      <c r="K515" s="36" t="s">
        <v>52</v>
      </c>
    </row>
    <row r="516" spans="2:11">
      <c r="B516" s="36" t="s">
        <v>52</v>
      </c>
      <c r="D516" s="20"/>
      <c r="E516" s="20"/>
      <c r="F516" s="20"/>
      <c r="G516" s="20"/>
      <c r="H516" s="20"/>
      <c r="I516" s="20"/>
      <c r="J516" s="20"/>
      <c r="K516" s="36" t="s">
        <v>52</v>
      </c>
    </row>
    <row r="517" spans="2:11">
      <c r="B517" s="36" t="s">
        <v>52</v>
      </c>
      <c r="D517" s="20"/>
      <c r="E517" s="20"/>
      <c r="F517" s="20"/>
      <c r="G517" s="20"/>
      <c r="H517" s="20"/>
      <c r="I517" s="20"/>
      <c r="J517" s="20"/>
      <c r="K517" s="36" t="s">
        <v>52</v>
      </c>
    </row>
    <row r="518" spans="2:11">
      <c r="B518" s="36" t="s">
        <v>52</v>
      </c>
      <c r="D518" s="20"/>
      <c r="E518" s="20"/>
      <c r="F518" s="20"/>
      <c r="G518" s="20"/>
      <c r="H518" s="20"/>
      <c r="I518" s="20"/>
      <c r="J518" s="20"/>
      <c r="K518" s="36" t="s">
        <v>52</v>
      </c>
    </row>
    <row r="519" spans="2:11">
      <c r="B519" s="36" t="s">
        <v>52</v>
      </c>
      <c r="D519" s="20"/>
      <c r="E519" s="20"/>
      <c r="F519" s="20"/>
      <c r="G519" s="20"/>
      <c r="H519" s="20"/>
      <c r="I519" s="20"/>
      <c r="J519" s="20"/>
      <c r="K519" s="36" t="s">
        <v>52</v>
      </c>
    </row>
    <row r="520" spans="2:11">
      <c r="B520" s="36" t="s">
        <v>52</v>
      </c>
      <c r="D520" s="20"/>
      <c r="E520" s="20"/>
      <c r="F520" s="20"/>
      <c r="G520" s="20"/>
      <c r="H520" s="20"/>
      <c r="I520" s="20"/>
      <c r="J520" s="20"/>
      <c r="K520" s="36" t="s">
        <v>52</v>
      </c>
    </row>
    <row r="521" spans="2:11">
      <c r="B521" s="36" t="s">
        <v>52</v>
      </c>
      <c r="D521" s="20"/>
      <c r="E521" s="20"/>
      <c r="F521" s="20"/>
      <c r="G521" s="20"/>
      <c r="H521" s="20"/>
      <c r="I521" s="20"/>
      <c r="J521" s="20"/>
      <c r="K521" s="36" t="s">
        <v>52</v>
      </c>
    </row>
    <row r="522" spans="2:11">
      <c r="B522" s="36" t="s">
        <v>52</v>
      </c>
      <c r="D522" s="20"/>
      <c r="E522" s="20"/>
      <c r="F522" s="20"/>
      <c r="G522" s="20"/>
      <c r="H522" s="20"/>
      <c r="I522" s="20"/>
      <c r="J522" s="20"/>
      <c r="K522" s="36" t="s">
        <v>52</v>
      </c>
    </row>
    <row r="523" spans="2:11">
      <c r="B523" s="36" t="s">
        <v>52</v>
      </c>
      <c r="D523" s="20"/>
      <c r="E523" s="20"/>
      <c r="F523" s="20"/>
      <c r="G523" s="20"/>
      <c r="H523" s="20"/>
      <c r="I523" s="20"/>
      <c r="J523" s="20"/>
      <c r="K523" s="36" t="s">
        <v>52</v>
      </c>
    </row>
    <row r="524" spans="2:11">
      <c r="B524" s="36" t="s">
        <v>52</v>
      </c>
      <c r="D524" s="20"/>
      <c r="E524" s="20"/>
      <c r="F524" s="20"/>
      <c r="G524" s="20"/>
      <c r="H524" s="20"/>
      <c r="I524" s="20"/>
      <c r="J524" s="20"/>
      <c r="K524" s="36" t="s">
        <v>52</v>
      </c>
    </row>
    <row r="525" spans="2:11">
      <c r="B525" s="36" t="s">
        <v>52</v>
      </c>
      <c r="D525" s="20"/>
      <c r="E525" s="20"/>
      <c r="F525" s="20"/>
      <c r="G525" s="20"/>
      <c r="H525" s="20"/>
      <c r="I525" s="20"/>
      <c r="J525" s="20"/>
      <c r="K525" s="36" t="s">
        <v>52</v>
      </c>
    </row>
    <row r="526" spans="2:11">
      <c r="B526" s="36" t="s">
        <v>52</v>
      </c>
      <c r="D526" s="20"/>
      <c r="E526" s="20"/>
      <c r="F526" s="20"/>
      <c r="G526" s="20"/>
      <c r="H526" s="20"/>
      <c r="I526" s="20"/>
      <c r="J526" s="20"/>
      <c r="K526" s="36" t="s">
        <v>52</v>
      </c>
    </row>
    <row r="527" spans="2:11">
      <c r="B527" s="36" t="s">
        <v>52</v>
      </c>
      <c r="D527" s="20"/>
      <c r="E527" s="20"/>
      <c r="F527" s="20"/>
      <c r="G527" s="20"/>
      <c r="H527" s="20"/>
      <c r="I527" s="20"/>
      <c r="J527" s="20"/>
      <c r="K527" s="36" t="s">
        <v>52</v>
      </c>
    </row>
    <row r="528" spans="2:11">
      <c r="B528" s="36" t="s">
        <v>52</v>
      </c>
      <c r="D528" s="20"/>
      <c r="E528" s="20"/>
      <c r="F528" s="20"/>
      <c r="G528" s="20"/>
      <c r="H528" s="20"/>
      <c r="I528" s="20"/>
      <c r="J528" s="20"/>
      <c r="K528" s="36" t="s">
        <v>52</v>
      </c>
    </row>
    <row r="529" spans="2:11">
      <c r="B529" s="36" t="s">
        <v>52</v>
      </c>
      <c r="D529" s="20"/>
      <c r="E529" s="20"/>
      <c r="F529" s="20"/>
      <c r="G529" s="20"/>
      <c r="H529" s="20"/>
      <c r="I529" s="20"/>
      <c r="J529" s="20"/>
      <c r="K529" s="36" t="s">
        <v>52</v>
      </c>
    </row>
    <row r="530" spans="2:11">
      <c r="B530" s="36" t="s">
        <v>52</v>
      </c>
      <c r="D530" s="20"/>
      <c r="E530" s="20"/>
      <c r="F530" s="20"/>
      <c r="G530" s="20"/>
      <c r="H530" s="20"/>
      <c r="I530" s="20"/>
      <c r="J530" s="20"/>
      <c r="K530" s="36" t="s">
        <v>52</v>
      </c>
    </row>
    <row r="531" spans="2:11">
      <c r="B531" s="36" t="s">
        <v>52</v>
      </c>
      <c r="D531" s="20"/>
      <c r="E531" s="20"/>
      <c r="F531" s="20"/>
      <c r="G531" s="20"/>
      <c r="H531" s="20"/>
      <c r="I531" s="20"/>
      <c r="J531" s="20"/>
      <c r="K531" s="36" t="s">
        <v>52</v>
      </c>
    </row>
    <row r="532" spans="2:11">
      <c r="B532" s="36" t="s">
        <v>52</v>
      </c>
      <c r="D532" s="20"/>
      <c r="E532" s="20"/>
      <c r="F532" s="20"/>
      <c r="G532" s="20"/>
      <c r="H532" s="20"/>
      <c r="I532" s="20"/>
      <c r="J532" s="20"/>
      <c r="K532" s="36" t="s">
        <v>52</v>
      </c>
    </row>
    <row r="533" spans="2:11">
      <c r="B533" s="36" t="s">
        <v>52</v>
      </c>
      <c r="D533" s="20"/>
      <c r="E533" s="20"/>
      <c r="F533" s="20"/>
      <c r="G533" s="20"/>
      <c r="H533" s="20"/>
      <c r="I533" s="20"/>
      <c r="J533" s="20"/>
      <c r="K533" s="36" t="s">
        <v>52</v>
      </c>
    </row>
    <row r="534" spans="2:11">
      <c r="B534" s="36" t="s">
        <v>52</v>
      </c>
      <c r="D534" s="20"/>
      <c r="E534" s="20"/>
      <c r="F534" s="20"/>
      <c r="G534" s="20"/>
      <c r="H534" s="20"/>
      <c r="I534" s="20"/>
      <c r="J534" s="20"/>
      <c r="K534" s="36" t="s">
        <v>52</v>
      </c>
    </row>
    <row r="535" spans="2:11">
      <c r="B535" s="36" t="s">
        <v>52</v>
      </c>
      <c r="D535" s="20"/>
      <c r="E535" s="20"/>
      <c r="F535" s="20"/>
      <c r="G535" s="20"/>
      <c r="H535" s="20"/>
      <c r="I535" s="20"/>
      <c r="J535" s="20"/>
      <c r="K535" s="36" t="s">
        <v>52</v>
      </c>
    </row>
    <row r="536" spans="2:11">
      <c r="B536" s="36" t="s">
        <v>52</v>
      </c>
      <c r="D536" s="20"/>
      <c r="E536" s="20"/>
      <c r="F536" s="20"/>
      <c r="G536" s="20"/>
      <c r="H536" s="20"/>
      <c r="I536" s="20"/>
      <c r="J536" s="20"/>
      <c r="K536" s="36" t="s">
        <v>52</v>
      </c>
    </row>
    <row r="537" spans="2:11">
      <c r="B537" s="36" t="s">
        <v>52</v>
      </c>
      <c r="D537" s="20"/>
      <c r="E537" s="20"/>
      <c r="F537" s="20"/>
      <c r="G537" s="20"/>
      <c r="H537" s="20"/>
      <c r="I537" s="20"/>
      <c r="J537" s="20"/>
      <c r="K537" s="36" t="s">
        <v>52</v>
      </c>
    </row>
    <row r="538" spans="2:11">
      <c r="B538" s="36" t="s">
        <v>52</v>
      </c>
      <c r="D538" s="20"/>
      <c r="E538" s="20"/>
      <c r="F538" s="20"/>
      <c r="G538" s="20"/>
      <c r="H538" s="20"/>
      <c r="I538" s="20"/>
      <c r="J538" s="20"/>
      <c r="K538" s="36" t="s">
        <v>52</v>
      </c>
    </row>
    <row r="539" spans="2:11">
      <c r="B539" s="36" t="s">
        <v>52</v>
      </c>
      <c r="D539" s="20"/>
      <c r="E539" s="20"/>
      <c r="F539" s="20"/>
      <c r="G539" s="20"/>
      <c r="H539" s="20"/>
      <c r="I539" s="20"/>
      <c r="J539" s="20"/>
      <c r="K539" s="36" t="s">
        <v>52</v>
      </c>
    </row>
    <row r="540" spans="2:11">
      <c r="B540" s="36" t="s">
        <v>52</v>
      </c>
      <c r="D540" s="20"/>
      <c r="E540" s="20"/>
      <c r="F540" s="20"/>
      <c r="G540" s="20"/>
      <c r="H540" s="20"/>
      <c r="I540" s="20"/>
      <c r="J540" s="20"/>
      <c r="K540" s="36" t="s">
        <v>52</v>
      </c>
    </row>
    <row r="541" spans="2:11">
      <c r="B541" s="36" t="s">
        <v>52</v>
      </c>
      <c r="D541" s="20"/>
      <c r="E541" s="20"/>
      <c r="F541" s="20"/>
      <c r="G541" s="20"/>
      <c r="H541" s="20"/>
      <c r="I541" s="20"/>
      <c r="J541" s="20"/>
      <c r="K541" s="36" t="s">
        <v>52</v>
      </c>
    </row>
    <row r="542" spans="2:11">
      <c r="B542" s="36" t="s">
        <v>52</v>
      </c>
      <c r="D542" s="20"/>
      <c r="E542" s="20"/>
      <c r="F542" s="20"/>
      <c r="G542" s="20"/>
      <c r="H542" s="20"/>
      <c r="I542" s="20"/>
      <c r="J542" s="20"/>
      <c r="K542" s="36" t="s">
        <v>52</v>
      </c>
    </row>
    <row r="543" spans="2:11">
      <c r="B543" s="36" t="s">
        <v>52</v>
      </c>
      <c r="D543" s="20"/>
      <c r="E543" s="20"/>
      <c r="F543" s="20"/>
      <c r="G543" s="20"/>
      <c r="H543" s="20"/>
      <c r="I543" s="20"/>
      <c r="J543" s="20"/>
      <c r="K543" s="36" t="s">
        <v>52</v>
      </c>
    </row>
    <row r="544" spans="2:11">
      <c r="B544" s="36" t="s">
        <v>52</v>
      </c>
      <c r="D544" s="20"/>
      <c r="E544" s="20"/>
      <c r="F544" s="20"/>
      <c r="G544" s="20"/>
      <c r="H544" s="20"/>
      <c r="I544" s="20"/>
      <c r="J544" s="20"/>
      <c r="K544" s="36" t="s">
        <v>52</v>
      </c>
    </row>
    <row r="545" spans="2:11">
      <c r="B545" s="36" t="s">
        <v>52</v>
      </c>
      <c r="D545" s="20"/>
      <c r="E545" s="20"/>
      <c r="F545" s="20"/>
      <c r="G545" s="20"/>
      <c r="H545" s="20"/>
      <c r="I545" s="20"/>
      <c r="J545" s="20"/>
      <c r="K545" s="36" t="s">
        <v>52</v>
      </c>
    </row>
    <row r="546" spans="2:11">
      <c r="B546" s="36" t="s">
        <v>52</v>
      </c>
      <c r="D546" s="20"/>
      <c r="E546" s="20"/>
      <c r="F546" s="20"/>
      <c r="G546" s="20"/>
      <c r="H546" s="20"/>
      <c r="I546" s="20"/>
      <c r="J546" s="20"/>
      <c r="K546" s="36" t="s">
        <v>52</v>
      </c>
    </row>
    <row r="547" spans="2:11">
      <c r="B547" s="36" t="s">
        <v>52</v>
      </c>
      <c r="D547" s="20"/>
      <c r="E547" s="20"/>
      <c r="F547" s="20"/>
      <c r="G547" s="20"/>
      <c r="H547" s="20"/>
      <c r="I547" s="20"/>
      <c r="J547" s="20"/>
      <c r="K547" s="36" t="s">
        <v>52</v>
      </c>
    </row>
    <row r="548" spans="2:11">
      <c r="B548" s="36" t="s">
        <v>52</v>
      </c>
      <c r="D548" s="20"/>
      <c r="E548" s="20"/>
      <c r="F548" s="20"/>
      <c r="G548" s="20"/>
      <c r="H548" s="20"/>
      <c r="I548" s="20"/>
      <c r="J548" s="20"/>
      <c r="K548" s="36" t="s">
        <v>52</v>
      </c>
    </row>
    <row r="549" spans="2:11">
      <c r="B549" s="36" t="s">
        <v>52</v>
      </c>
      <c r="D549" s="20"/>
      <c r="E549" s="20"/>
      <c r="F549" s="20"/>
      <c r="G549" s="20"/>
      <c r="H549" s="20"/>
      <c r="I549" s="20"/>
      <c r="J549" s="20"/>
      <c r="K549" s="36" t="s">
        <v>52</v>
      </c>
    </row>
    <row r="550" spans="2:11">
      <c r="B550" s="36" t="s">
        <v>52</v>
      </c>
      <c r="D550" s="20"/>
      <c r="E550" s="20"/>
      <c r="F550" s="20"/>
      <c r="G550" s="20"/>
      <c r="H550" s="20"/>
      <c r="I550" s="20"/>
      <c r="J550" s="20"/>
      <c r="K550" s="36" t="s">
        <v>52</v>
      </c>
    </row>
    <row r="551" spans="2:11">
      <c r="B551" s="36" t="s">
        <v>52</v>
      </c>
      <c r="D551" s="20"/>
      <c r="E551" s="20"/>
      <c r="F551" s="20"/>
      <c r="G551" s="20"/>
      <c r="H551" s="20"/>
      <c r="I551" s="20"/>
      <c r="J551" s="20"/>
      <c r="K551" s="36" t="s">
        <v>52</v>
      </c>
    </row>
    <row r="552" spans="2:11">
      <c r="B552" s="36" t="s">
        <v>52</v>
      </c>
      <c r="D552" s="20"/>
      <c r="E552" s="20"/>
      <c r="F552" s="20"/>
      <c r="G552" s="20"/>
      <c r="H552" s="20"/>
      <c r="I552" s="20"/>
      <c r="J552" s="20"/>
      <c r="K552" s="36" t="s">
        <v>52</v>
      </c>
    </row>
    <row r="553" spans="2:11">
      <c r="B553" s="36" t="s">
        <v>52</v>
      </c>
      <c r="D553" s="20"/>
      <c r="E553" s="20"/>
      <c r="F553" s="20"/>
      <c r="G553" s="20"/>
      <c r="H553" s="20"/>
      <c r="I553" s="20"/>
      <c r="J553" s="20"/>
      <c r="K553" s="36" t="s">
        <v>52</v>
      </c>
    </row>
    <row r="554" spans="2:11">
      <c r="B554" s="36" t="s">
        <v>52</v>
      </c>
      <c r="D554" s="20"/>
      <c r="E554" s="20"/>
      <c r="F554" s="20"/>
      <c r="G554" s="20"/>
      <c r="H554" s="20"/>
      <c r="I554" s="20"/>
      <c r="J554" s="20"/>
      <c r="K554" s="36" t="s">
        <v>52</v>
      </c>
    </row>
    <row r="555" spans="2:11">
      <c r="B555" s="36" t="s">
        <v>52</v>
      </c>
      <c r="D555" s="20"/>
      <c r="E555" s="20"/>
      <c r="F555" s="20"/>
      <c r="G555" s="20"/>
      <c r="H555" s="20"/>
      <c r="I555" s="20"/>
      <c r="J555" s="20"/>
      <c r="K555" s="36" t="s">
        <v>52</v>
      </c>
    </row>
    <row r="556" spans="2:11">
      <c r="B556" s="36" t="s">
        <v>52</v>
      </c>
      <c r="D556" s="20"/>
      <c r="E556" s="20"/>
      <c r="F556" s="20"/>
      <c r="G556" s="20"/>
      <c r="H556" s="20"/>
      <c r="I556" s="20"/>
      <c r="J556" s="20"/>
      <c r="K556" s="36" t="s">
        <v>52</v>
      </c>
    </row>
    <row r="557" spans="2:11">
      <c r="B557" s="36" t="s">
        <v>52</v>
      </c>
      <c r="D557" s="20"/>
      <c r="E557" s="20"/>
      <c r="F557" s="20"/>
      <c r="G557" s="20"/>
      <c r="H557" s="20"/>
      <c r="I557" s="20"/>
      <c r="J557" s="20"/>
      <c r="K557" s="36" t="s">
        <v>52</v>
      </c>
    </row>
    <row r="558" spans="2:11">
      <c r="B558" s="36" t="s">
        <v>52</v>
      </c>
      <c r="D558" s="20"/>
      <c r="E558" s="20"/>
      <c r="F558" s="20"/>
      <c r="G558" s="20"/>
      <c r="H558" s="20"/>
      <c r="I558" s="20"/>
      <c r="J558" s="20"/>
      <c r="K558" s="36" t="s">
        <v>52</v>
      </c>
    </row>
    <row r="559" spans="2:11">
      <c r="B559" s="36" t="s">
        <v>52</v>
      </c>
      <c r="D559" s="20"/>
      <c r="E559" s="20"/>
      <c r="F559" s="20"/>
      <c r="G559" s="20"/>
      <c r="H559" s="20"/>
      <c r="I559" s="20"/>
      <c r="J559" s="20"/>
      <c r="K559" s="36" t="s">
        <v>52</v>
      </c>
    </row>
    <row r="560" spans="2:11">
      <c r="B560" s="36" t="s">
        <v>52</v>
      </c>
      <c r="D560" s="20"/>
      <c r="E560" s="20"/>
      <c r="F560" s="20"/>
      <c r="G560" s="20"/>
      <c r="H560" s="20"/>
      <c r="I560" s="20"/>
      <c r="J560" s="20"/>
      <c r="K560" s="36" t="s">
        <v>52</v>
      </c>
    </row>
    <row r="561" spans="2:11">
      <c r="B561" s="36" t="s">
        <v>52</v>
      </c>
      <c r="D561" s="20"/>
      <c r="E561" s="20"/>
      <c r="F561" s="20"/>
      <c r="G561" s="20"/>
      <c r="H561" s="20"/>
      <c r="I561" s="20"/>
      <c r="J561" s="20"/>
      <c r="K561" s="36" t="s">
        <v>52</v>
      </c>
    </row>
    <row r="562" spans="2:11">
      <c r="B562" s="36" t="s">
        <v>52</v>
      </c>
      <c r="D562" s="20"/>
      <c r="E562" s="20"/>
      <c r="F562" s="20"/>
      <c r="G562" s="20"/>
      <c r="H562" s="20"/>
      <c r="I562" s="20"/>
      <c r="J562" s="20"/>
      <c r="K562" s="36" t="s">
        <v>52</v>
      </c>
    </row>
    <row r="563" spans="2:11">
      <c r="B563" s="36" t="s">
        <v>52</v>
      </c>
      <c r="D563" s="20"/>
      <c r="E563" s="20"/>
      <c r="F563" s="20"/>
      <c r="G563" s="20"/>
      <c r="H563" s="20"/>
      <c r="I563" s="20"/>
      <c r="J563" s="20"/>
      <c r="K563" s="36" t="s">
        <v>52</v>
      </c>
    </row>
    <row r="564" spans="2:11">
      <c r="B564" s="36" t="s">
        <v>52</v>
      </c>
      <c r="D564" s="20"/>
      <c r="E564" s="20"/>
      <c r="F564" s="20"/>
      <c r="G564" s="20"/>
      <c r="H564" s="20"/>
      <c r="I564" s="20"/>
      <c r="J564" s="20"/>
      <c r="K564" s="36" t="s">
        <v>52</v>
      </c>
    </row>
    <row r="565" spans="2:11">
      <c r="B565" s="36" t="s">
        <v>52</v>
      </c>
      <c r="D565" s="20"/>
      <c r="E565" s="20"/>
      <c r="F565" s="20"/>
      <c r="G565" s="20"/>
      <c r="H565" s="20"/>
      <c r="I565" s="20"/>
      <c r="J565" s="20"/>
      <c r="K565" s="36" t="s">
        <v>52</v>
      </c>
    </row>
    <row r="566" spans="2:11">
      <c r="B566" s="36" t="s">
        <v>52</v>
      </c>
      <c r="D566" s="20"/>
      <c r="E566" s="20"/>
      <c r="F566" s="20"/>
      <c r="G566" s="20"/>
      <c r="H566" s="20"/>
      <c r="I566" s="20"/>
      <c r="J566" s="20"/>
      <c r="K566" s="36" t="s">
        <v>52</v>
      </c>
    </row>
    <row r="567" spans="2:11">
      <c r="B567" s="36" t="s">
        <v>52</v>
      </c>
      <c r="D567" s="20"/>
      <c r="E567" s="20"/>
      <c r="F567" s="20"/>
      <c r="G567" s="20"/>
      <c r="H567" s="20"/>
      <c r="I567" s="20"/>
      <c r="J567" s="20"/>
      <c r="K567" s="36" t="s">
        <v>52</v>
      </c>
    </row>
    <row r="568" spans="2:11">
      <c r="B568" s="36" t="s">
        <v>52</v>
      </c>
      <c r="D568" s="20"/>
      <c r="E568" s="20"/>
      <c r="F568" s="20"/>
      <c r="G568" s="20"/>
      <c r="H568" s="20"/>
      <c r="I568" s="20"/>
      <c r="J568" s="20"/>
      <c r="K568" s="36" t="s">
        <v>52</v>
      </c>
    </row>
    <row r="569" spans="2:11">
      <c r="B569" s="36" t="s">
        <v>52</v>
      </c>
      <c r="D569" s="20"/>
      <c r="E569" s="20"/>
      <c r="F569" s="20"/>
      <c r="G569" s="20"/>
      <c r="H569" s="20"/>
      <c r="I569" s="20"/>
      <c r="J569" s="20"/>
      <c r="K569" s="36" t="s">
        <v>52</v>
      </c>
    </row>
    <row r="570" spans="2:11">
      <c r="B570" s="36" t="s">
        <v>52</v>
      </c>
      <c r="D570" s="20"/>
      <c r="E570" s="20"/>
      <c r="F570" s="20"/>
      <c r="G570" s="20"/>
      <c r="H570" s="20"/>
      <c r="I570" s="20"/>
      <c r="J570" s="20"/>
      <c r="K570" s="36" t="s">
        <v>52</v>
      </c>
    </row>
    <row r="571" spans="2:11">
      <c r="B571" s="36" t="s">
        <v>52</v>
      </c>
      <c r="D571" s="20"/>
      <c r="E571" s="20"/>
      <c r="F571" s="20"/>
      <c r="G571" s="20"/>
      <c r="H571" s="20"/>
      <c r="I571" s="20"/>
      <c r="J571" s="20"/>
      <c r="K571" s="36" t="s">
        <v>52</v>
      </c>
    </row>
    <row r="572" spans="2:11">
      <c r="B572" s="36" t="s">
        <v>52</v>
      </c>
      <c r="D572" s="20"/>
      <c r="E572" s="20"/>
      <c r="F572" s="20"/>
      <c r="G572" s="20"/>
      <c r="H572" s="20"/>
      <c r="I572" s="20"/>
      <c r="J572" s="20"/>
      <c r="K572" s="36" t="s">
        <v>52</v>
      </c>
    </row>
    <row r="573" spans="2:11">
      <c r="B573" s="36" t="s">
        <v>52</v>
      </c>
      <c r="D573" s="20"/>
      <c r="E573" s="20"/>
      <c r="F573" s="20"/>
      <c r="G573" s="20"/>
      <c r="H573" s="20"/>
      <c r="I573" s="20"/>
      <c r="J573" s="20"/>
      <c r="K573" s="36" t="s">
        <v>52</v>
      </c>
    </row>
    <row r="574" spans="2:11">
      <c r="B574" s="36" t="s">
        <v>52</v>
      </c>
      <c r="D574" s="20"/>
      <c r="E574" s="20"/>
      <c r="F574" s="20"/>
      <c r="G574" s="20"/>
      <c r="H574" s="20"/>
      <c r="I574" s="20"/>
      <c r="J574" s="20"/>
      <c r="K574" s="36" t="s">
        <v>52</v>
      </c>
    </row>
    <row r="575" spans="2:11">
      <c r="B575" s="36" t="s">
        <v>52</v>
      </c>
      <c r="D575" s="20"/>
      <c r="E575" s="20"/>
      <c r="F575" s="20"/>
      <c r="G575" s="20"/>
      <c r="H575" s="20"/>
      <c r="I575" s="20"/>
      <c r="J575" s="20"/>
      <c r="K575" s="36" t="s">
        <v>52</v>
      </c>
    </row>
    <row r="576" spans="2:11">
      <c r="B576" s="36" t="s">
        <v>52</v>
      </c>
      <c r="D576" s="20"/>
      <c r="E576" s="20"/>
      <c r="F576" s="20"/>
      <c r="G576" s="20"/>
      <c r="H576" s="20"/>
      <c r="I576" s="20"/>
      <c r="J576" s="20"/>
      <c r="K576" s="36" t="s">
        <v>52</v>
      </c>
    </row>
    <row r="577" spans="2:11">
      <c r="B577" s="36" t="s">
        <v>52</v>
      </c>
      <c r="D577" s="20"/>
      <c r="E577" s="20"/>
      <c r="F577" s="20"/>
      <c r="G577" s="20"/>
      <c r="H577" s="20"/>
      <c r="I577" s="20"/>
      <c r="J577" s="20"/>
      <c r="K577" s="36" t="s">
        <v>52</v>
      </c>
    </row>
    <row r="578" spans="2:11">
      <c r="B578" s="36" t="s">
        <v>52</v>
      </c>
      <c r="D578" s="20"/>
      <c r="E578" s="20"/>
      <c r="F578" s="20"/>
      <c r="G578" s="20"/>
      <c r="H578" s="20"/>
      <c r="I578" s="20"/>
      <c r="J578" s="20"/>
      <c r="K578" s="36" t="s">
        <v>52</v>
      </c>
    </row>
    <row r="579" spans="2:11">
      <c r="B579" s="36" t="s">
        <v>52</v>
      </c>
      <c r="D579" s="20"/>
      <c r="E579" s="20"/>
      <c r="F579" s="20"/>
      <c r="G579" s="20"/>
      <c r="H579" s="20"/>
      <c r="I579" s="20"/>
      <c r="J579" s="20"/>
      <c r="K579" s="36" t="s">
        <v>52</v>
      </c>
    </row>
    <row r="580" spans="2:11">
      <c r="B580" s="36" t="s">
        <v>52</v>
      </c>
      <c r="D580" s="20"/>
      <c r="E580" s="20"/>
      <c r="F580" s="20"/>
      <c r="G580" s="20"/>
      <c r="H580" s="20"/>
      <c r="I580" s="20"/>
      <c r="J580" s="20"/>
      <c r="K580" s="36" t="s">
        <v>52</v>
      </c>
    </row>
    <row r="581" spans="2:11">
      <c r="B581" s="36" t="s">
        <v>52</v>
      </c>
      <c r="D581" s="20"/>
      <c r="E581" s="20"/>
      <c r="F581" s="20"/>
      <c r="G581" s="20"/>
      <c r="H581" s="20"/>
      <c r="I581" s="20"/>
      <c r="J581" s="20"/>
      <c r="K581" s="36" t="s">
        <v>52</v>
      </c>
    </row>
    <row r="582" spans="2:11">
      <c r="B582" s="36" t="s">
        <v>52</v>
      </c>
      <c r="D582" s="20"/>
      <c r="E582" s="20"/>
      <c r="F582" s="20"/>
      <c r="G582" s="20"/>
      <c r="H582" s="20"/>
      <c r="I582" s="20"/>
      <c r="J582" s="20"/>
      <c r="K582" s="36" t="s">
        <v>52</v>
      </c>
    </row>
    <row r="583" spans="2:11">
      <c r="B583" s="36" t="s">
        <v>52</v>
      </c>
      <c r="D583" s="20"/>
      <c r="E583" s="20"/>
      <c r="F583" s="20"/>
      <c r="G583" s="20"/>
      <c r="H583" s="20"/>
      <c r="I583" s="20"/>
      <c r="J583" s="20"/>
      <c r="K583" s="36" t="s">
        <v>52</v>
      </c>
    </row>
    <row r="584" spans="2:11">
      <c r="B584" s="36" t="s">
        <v>52</v>
      </c>
      <c r="D584" s="20"/>
      <c r="E584" s="20"/>
      <c r="F584" s="20"/>
      <c r="G584" s="20"/>
      <c r="H584" s="20"/>
      <c r="I584" s="20"/>
      <c r="J584" s="20"/>
      <c r="K584" s="36" t="s">
        <v>52</v>
      </c>
    </row>
    <row r="585" spans="2:11">
      <c r="B585" s="36" t="s">
        <v>52</v>
      </c>
      <c r="D585" s="20"/>
      <c r="E585" s="20"/>
      <c r="F585" s="20"/>
      <c r="G585" s="20"/>
      <c r="H585" s="20"/>
      <c r="I585" s="20"/>
      <c r="J585" s="20"/>
      <c r="K585" s="36" t="s">
        <v>52</v>
      </c>
    </row>
    <row r="586" spans="2:11">
      <c r="B586" s="36" t="s">
        <v>52</v>
      </c>
      <c r="D586" s="20"/>
      <c r="E586" s="20"/>
      <c r="F586" s="20"/>
      <c r="G586" s="20"/>
      <c r="H586" s="20"/>
      <c r="I586" s="20"/>
      <c r="J586" s="20"/>
      <c r="K586" s="36" t="s">
        <v>52</v>
      </c>
    </row>
    <row r="587" spans="2:11">
      <c r="B587" s="36" t="s">
        <v>52</v>
      </c>
      <c r="D587" s="20"/>
      <c r="E587" s="20"/>
      <c r="F587" s="20"/>
      <c r="G587" s="20"/>
      <c r="H587" s="20"/>
      <c r="I587" s="20"/>
      <c r="J587" s="20"/>
      <c r="K587" s="36" t="s">
        <v>52</v>
      </c>
    </row>
    <row r="588" spans="2:11">
      <c r="B588" s="36" t="s">
        <v>52</v>
      </c>
      <c r="D588" s="20"/>
      <c r="E588" s="20"/>
      <c r="F588" s="20"/>
      <c r="G588" s="20"/>
      <c r="H588" s="20"/>
      <c r="I588" s="20"/>
      <c r="J588" s="20"/>
      <c r="K588" s="36" t="s">
        <v>52</v>
      </c>
    </row>
    <row r="589" spans="2:11">
      <c r="B589" s="36" t="s">
        <v>52</v>
      </c>
      <c r="D589" s="20"/>
      <c r="E589" s="20"/>
      <c r="F589" s="20"/>
      <c r="G589" s="20"/>
      <c r="H589" s="20"/>
      <c r="I589" s="20"/>
      <c r="J589" s="20"/>
      <c r="K589" s="36" t="s">
        <v>52</v>
      </c>
    </row>
    <row r="590" spans="2:11">
      <c r="B590" s="36" t="s">
        <v>52</v>
      </c>
      <c r="D590" s="20"/>
      <c r="E590" s="20"/>
      <c r="F590" s="20"/>
      <c r="G590" s="20"/>
      <c r="H590" s="20"/>
      <c r="I590" s="20"/>
      <c r="J590" s="20"/>
      <c r="K590" s="36" t="s">
        <v>52</v>
      </c>
    </row>
    <row r="591" spans="2:11">
      <c r="B591" s="36" t="s">
        <v>52</v>
      </c>
      <c r="D591" s="20"/>
      <c r="E591" s="20"/>
      <c r="F591" s="20"/>
      <c r="G591" s="20"/>
      <c r="H591" s="20"/>
      <c r="I591" s="20"/>
      <c r="J591" s="20"/>
      <c r="K591" s="36" t="s">
        <v>52</v>
      </c>
    </row>
    <row r="592" spans="2:11">
      <c r="B592" s="36" t="s">
        <v>52</v>
      </c>
      <c r="D592" s="20"/>
      <c r="E592" s="20"/>
      <c r="F592" s="20"/>
      <c r="G592" s="20"/>
      <c r="H592" s="20"/>
      <c r="I592" s="20"/>
      <c r="J592" s="20"/>
      <c r="K592" s="36" t="s">
        <v>52</v>
      </c>
    </row>
    <row r="593" spans="2:11">
      <c r="B593" s="36" t="s">
        <v>52</v>
      </c>
      <c r="D593" s="20"/>
      <c r="E593" s="20"/>
      <c r="F593" s="20"/>
      <c r="G593" s="20"/>
      <c r="H593" s="20"/>
      <c r="I593" s="20"/>
      <c r="J593" s="20"/>
      <c r="K593" s="36" t="s">
        <v>52</v>
      </c>
    </row>
    <row r="594" spans="2:11">
      <c r="B594" s="36" t="s">
        <v>52</v>
      </c>
      <c r="D594" s="20"/>
      <c r="E594" s="20"/>
      <c r="F594" s="20"/>
      <c r="G594" s="20"/>
      <c r="H594" s="20"/>
      <c r="I594" s="20"/>
      <c r="J594" s="20"/>
      <c r="K594" s="36" t="s">
        <v>52</v>
      </c>
    </row>
    <row r="595" spans="2:11">
      <c r="B595" s="36" t="s">
        <v>52</v>
      </c>
      <c r="D595" s="20"/>
      <c r="E595" s="20"/>
      <c r="F595" s="20"/>
      <c r="G595" s="20"/>
      <c r="H595" s="20"/>
      <c r="I595" s="20"/>
      <c r="J595" s="20"/>
      <c r="K595" s="36" t="s">
        <v>52</v>
      </c>
    </row>
    <row r="596" spans="2:11">
      <c r="B596" s="36" t="s">
        <v>52</v>
      </c>
      <c r="D596" s="20"/>
      <c r="E596" s="20"/>
      <c r="F596" s="20"/>
      <c r="G596" s="20"/>
      <c r="H596" s="20"/>
      <c r="I596" s="20"/>
      <c r="J596" s="20"/>
      <c r="K596" s="36" t="s">
        <v>52</v>
      </c>
    </row>
    <row r="597" spans="2:11">
      <c r="B597" s="36" t="s">
        <v>52</v>
      </c>
      <c r="D597" s="20"/>
      <c r="E597" s="20"/>
      <c r="F597" s="20"/>
      <c r="G597" s="20"/>
      <c r="H597" s="20"/>
      <c r="I597" s="20"/>
      <c r="J597" s="20"/>
      <c r="K597" s="36" t="s">
        <v>52</v>
      </c>
    </row>
    <row r="598" spans="2:11">
      <c r="B598" s="36" t="s">
        <v>52</v>
      </c>
      <c r="D598" s="20"/>
      <c r="E598" s="20"/>
      <c r="F598" s="20"/>
      <c r="G598" s="20"/>
      <c r="H598" s="20"/>
      <c r="I598" s="20"/>
      <c r="J598" s="20"/>
      <c r="K598" s="36" t="s">
        <v>52</v>
      </c>
    </row>
    <row r="599" spans="2:11">
      <c r="B599" s="36" t="s">
        <v>52</v>
      </c>
      <c r="D599" s="20"/>
      <c r="E599" s="20"/>
      <c r="F599" s="20"/>
      <c r="G599" s="20"/>
      <c r="H599" s="20"/>
      <c r="I599" s="20"/>
      <c r="J599" s="20"/>
      <c r="K599" s="36" t="s">
        <v>52</v>
      </c>
    </row>
    <row r="600" spans="2:11">
      <c r="B600" s="36" t="s">
        <v>52</v>
      </c>
      <c r="D600" s="20"/>
      <c r="E600" s="20"/>
      <c r="F600" s="20"/>
      <c r="G600" s="20"/>
      <c r="H600" s="20"/>
      <c r="I600" s="20"/>
      <c r="J600" s="20"/>
      <c r="K600" s="36" t="s">
        <v>52</v>
      </c>
    </row>
    <row r="601" spans="2:11">
      <c r="B601" s="36" t="s">
        <v>52</v>
      </c>
      <c r="D601" s="20"/>
      <c r="E601" s="20"/>
      <c r="F601" s="20"/>
      <c r="G601" s="20"/>
      <c r="H601" s="20"/>
      <c r="I601" s="20"/>
      <c r="J601" s="20"/>
      <c r="K601" s="36" t="s">
        <v>52</v>
      </c>
    </row>
    <row r="602" spans="2:11">
      <c r="B602" s="36" t="s">
        <v>52</v>
      </c>
      <c r="D602" s="20"/>
      <c r="E602" s="20"/>
      <c r="F602" s="20"/>
      <c r="G602" s="20"/>
      <c r="H602" s="20"/>
      <c r="I602" s="20"/>
      <c r="J602" s="20"/>
      <c r="K602" s="36" t="s">
        <v>52</v>
      </c>
    </row>
    <row r="603" spans="2:11">
      <c r="B603" s="36" t="s">
        <v>52</v>
      </c>
      <c r="D603" s="20"/>
      <c r="E603" s="20"/>
      <c r="F603" s="20"/>
      <c r="G603" s="20"/>
      <c r="H603" s="20"/>
      <c r="I603" s="20"/>
      <c r="J603" s="20"/>
      <c r="K603" s="36" t="s">
        <v>52</v>
      </c>
    </row>
    <row r="604" spans="2:11">
      <c r="B604" s="36" t="s">
        <v>52</v>
      </c>
      <c r="D604" s="20"/>
      <c r="E604" s="20"/>
      <c r="F604" s="20"/>
      <c r="G604" s="20"/>
      <c r="H604" s="20"/>
      <c r="I604" s="20"/>
      <c r="J604" s="20"/>
      <c r="K604" s="36" t="s">
        <v>52</v>
      </c>
    </row>
    <row r="605" spans="2:11">
      <c r="B605" s="36" t="s">
        <v>52</v>
      </c>
      <c r="D605" s="20"/>
      <c r="E605" s="20"/>
      <c r="F605" s="20"/>
      <c r="G605" s="20"/>
      <c r="H605" s="20"/>
      <c r="I605" s="20"/>
      <c r="J605" s="20"/>
      <c r="K605" s="36" t="s">
        <v>52</v>
      </c>
    </row>
    <row r="606" spans="2:11">
      <c r="B606" s="36" t="s">
        <v>52</v>
      </c>
      <c r="D606" s="20"/>
      <c r="E606" s="20"/>
      <c r="F606" s="20"/>
      <c r="G606" s="20"/>
      <c r="H606" s="20"/>
      <c r="I606" s="20"/>
      <c r="J606" s="20"/>
      <c r="K606" s="36" t="s">
        <v>52</v>
      </c>
    </row>
    <row r="607" spans="2:11">
      <c r="B607" s="36" t="s">
        <v>52</v>
      </c>
      <c r="D607" s="20"/>
      <c r="E607" s="20"/>
      <c r="F607" s="20"/>
      <c r="G607" s="20"/>
      <c r="H607" s="20"/>
      <c r="I607" s="20"/>
      <c r="J607" s="20"/>
      <c r="K607" s="36" t="s">
        <v>52</v>
      </c>
    </row>
    <row r="608" spans="2:11">
      <c r="B608" s="36" t="s">
        <v>52</v>
      </c>
      <c r="D608" s="20"/>
      <c r="E608" s="20"/>
      <c r="F608" s="20"/>
      <c r="G608" s="20"/>
      <c r="H608" s="20"/>
      <c r="I608" s="20"/>
      <c r="J608" s="20"/>
      <c r="K608" s="36" t="s">
        <v>52</v>
      </c>
    </row>
    <row r="609" spans="2:11">
      <c r="B609" s="36" t="s">
        <v>52</v>
      </c>
      <c r="D609" s="20"/>
      <c r="E609" s="20"/>
      <c r="F609" s="20"/>
      <c r="G609" s="20"/>
      <c r="H609" s="20"/>
      <c r="I609" s="20"/>
      <c r="J609" s="20"/>
      <c r="K609" s="36" t="s">
        <v>52</v>
      </c>
    </row>
    <row r="610" spans="2:11">
      <c r="B610" s="36" t="s">
        <v>52</v>
      </c>
      <c r="D610" s="20"/>
      <c r="E610" s="20"/>
      <c r="F610" s="20"/>
      <c r="G610" s="20"/>
      <c r="H610" s="20"/>
      <c r="I610" s="20"/>
      <c r="J610" s="20"/>
      <c r="K610" s="36" t="s">
        <v>52</v>
      </c>
    </row>
    <row r="611" spans="2:11">
      <c r="B611" s="36" t="s">
        <v>52</v>
      </c>
      <c r="D611" s="20"/>
      <c r="E611" s="20"/>
      <c r="F611" s="20"/>
      <c r="G611" s="20"/>
      <c r="H611" s="20"/>
      <c r="I611" s="20"/>
      <c r="J611" s="20"/>
      <c r="K611" s="36" t="s">
        <v>52</v>
      </c>
    </row>
    <row r="612" spans="2:11">
      <c r="B612" s="36" t="s">
        <v>52</v>
      </c>
      <c r="D612" s="20"/>
      <c r="E612" s="20"/>
      <c r="F612" s="20"/>
      <c r="G612" s="20"/>
      <c r="H612" s="20"/>
      <c r="I612" s="20"/>
      <c r="J612" s="20"/>
      <c r="K612" s="36" t="s">
        <v>52</v>
      </c>
    </row>
    <row r="613" spans="2:11">
      <c r="B613" s="36" t="s">
        <v>52</v>
      </c>
      <c r="D613" s="20"/>
      <c r="E613" s="20"/>
      <c r="F613" s="20"/>
      <c r="G613" s="20"/>
      <c r="H613" s="20"/>
      <c r="I613" s="20"/>
      <c r="J613" s="20"/>
      <c r="K613" s="36" t="s">
        <v>52</v>
      </c>
    </row>
    <row r="614" spans="2:11">
      <c r="B614" s="36" t="s">
        <v>52</v>
      </c>
      <c r="D614" s="20"/>
      <c r="E614" s="20"/>
      <c r="F614" s="20"/>
      <c r="G614" s="20"/>
      <c r="H614" s="20"/>
      <c r="I614" s="20"/>
      <c r="J614" s="20"/>
      <c r="K614" s="36" t="s">
        <v>52</v>
      </c>
    </row>
    <row r="615" spans="2:11">
      <c r="B615" s="36" t="s">
        <v>52</v>
      </c>
      <c r="D615" s="20"/>
      <c r="E615" s="20"/>
      <c r="F615" s="20"/>
      <c r="G615" s="20"/>
      <c r="H615" s="20"/>
      <c r="I615" s="20"/>
      <c r="J615" s="20"/>
      <c r="K615" s="36" t="s">
        <v>52</v>
      </c>
    </row>
    <row r="616" spans="2:11">
      <c r="B616" s="36" t="s">
        <v>52</v>
      </c>
      <c r="D616" s="20"/>
      <c r="E616" s="20"/>
      <c r="F616" s="20"/>
      <c r="G616" s="20"/>
      <c r="H616" s="20"/>
      <c r="I616" s="20"/>
      <c r="J616" s="20"/>
      <c r="K616" s="36" t="s">
        <v>52</v>
      </c>
    </row>
    <row r="617" spans="2:11">
      <c r="B617" s="36" t="s">
        <v>52</v>
      </c>
      <c r="D617" s="20"/>
      <c r="E617" s="20"/>
      <c r="F617" s="20"/>
      <c r="G617" s="20"/>
      <c r="H617" s="20"/>
      <c r="I617" s="20"/>
      <c r="J617" s="20"/>
      <c r="K617" s="36" t="s">
        <v>52</v>
      </c>
    </row>
    <row r="618" spans="2:11">
      <c r="B618" s="36" t="s">
        <v>52</v>
      </c>
      <c r="D618" s="20"/>
      <c r="E618" s="20"/>
      <c r="F618" s="20"/>
      <c r="G618" s="20"/>
      <c r="H618" s="20"/>
      <c r="I618" s="20"/>
      <c r="J618" s="20"/>
      <c r="K618" s="36" t="s">
        <v>52</v>
      </c>
    </row>
    <row r="619" spans="2:11">
      <c r="B619" s="36" t="s">
        <v>52</v>
      </c>
      <c r="D619" s="20"/>
      <c r="E619" s="20"/>
      <c r="F619" s="20"/>
      <c r="G619" s="20"/>
      <c r="H619" s="20"/>
      <c r="I619" s="20"/>
      <c r="J619" s="20"/>
      <c r="K619" s="36" t="s">
        <v>52</v>
      </c>
    </row>
    <row r="620" spans="2:11">
      <c r="B620" s="36" t="s">
        <v>52</v>
      </c>
      <c r="D620" s="20"/>
      <c r="E620" s="20"/>
      <c r="F620" s="20"/>
      <c r="G620" s="20"/>
      <c r="H620" s="20"/>
      <c r="I620" s="20"/>
      <c r="J620" s="20"/>
      <c r="K620" s="36" t="s">
        <v>52</v>
      </c>
    </row>
    <row r="621" spans="2:11">
      <c r="B621" s="36" t="s">
        <v>52</v>
      </c>
      <c r="D621" s="20"/>
      <c r="E621" s="20"/>
      <c r="F621" s="20"/>
      <c r="G621" s="20"/>
      <c r="H621" s="20"/>
      <c r="I621" s="20"/>
      <c r="J621" s="20"/>
      <c r="K621" s="36" t="s">
        <v>52</v>
      </c>
    </row>
    <row r="622" spans="2:11">
      <c r="B622" s="36" t="s">
        <v>52</v>
      </c>
      <c r="D622" s="20"/>
      <c r="E622" s="20"/>
      <c r="F622" s="20"/>
      <c r="G622" s="20"/>
      <c r="H622" s="20"/>
      <c r="I622" s="20"/>
      <c r="J622" s="20"/>
      <c r="K622" s="36" t="s">
        <v>52</v>
      </c>
    </row>
    <row r="623" spans="2:11">
      <c r="B623" s="36" t="s">
        <v>52</v>
      </c>
      <c r="D623" s="20"/>
      <c r="E623" s="20"/>
      <c r="F623" s="20"/>
      <c r="G623" s="20"/>
      <c r="H623" s="20"/>
      <c r="I623" s="20"/>
      <c r="J623" s="20"/>
      <c r="K623" s="36" t="s">
        <v>52</v>
      </c>
    </row>
    <row r="624" spans="2:11">
      <c r="B624" s="36" t="s">
        <v>52</v>
      </c>
      <c r="D624" s="20"/>
      <c r="E624" s="20"/>
      <c r="F624" s="20"/>
      <c r="G624" s="20"/>
      <c r="H624" s="20"/>
      <c r="I624" s="20"/>
      <c r="J624" s="20"/>
      <c r="K624" s="36" t="s">
        <v>52</v>
      </c>
    </row>
    <row r="625" spans="2:11">
      <c r="B625" s="36" t="s">
        <v>52</v>
      </c>
      <c r="D625" s="20"/>
      <c r="E625" s="20"/>
      <c r="F625" s="20"/>
      <c r="G625" s="20"/>
      <c r="H625" s="20"/>
      <c r="I625" s="20"/>
      <c r="J625" s="20"/>
      <c r="K625" s="36" t="s">
        <v>52</v>
      </c>
    </row>
    <row r="626" spans="2:11">
      <c r="B626" s="36" t="s">
        <v>52</v>
      </c>
      <c r="D626" s="20"/>
      <c r="E626" s="20"/>
      <c r="F626" s="20"/>
      <c r="G626" s="20"/>
      <c r="H626" s="20"/>
      <c r="I626" s="20"/>
      <c r="J626" s="20"/>
      <c r="K626" s="36" t="s">
        <v>52</v>
      </c>
    </row>
    <row r="627" spans="2:11">
      <c r="B627" s="36" t="s">
        <v>52</v>
      </c>
      <c r="D627" s="20"/>
      <c r="E627" s="20"/>
      <c r="F627" s="20"/>
      <c r="G627" s="20"/>
      <c r="H627" s="20"/>
      <c r="I627" s="20"/>
      <c r="J627" s="20"/>
      <c r="K627" s="36" t="s">
        <v>52</v>
      </c>
    </row>
    <row r="628" spans="2:11">
      <c r="B628" s="36" t="s">
        <v>52</v>
      </c>
      <c r="D628" s="20"/>
      <c r="E628" s="20"/>
      <c r="F628" s="20"/>
      <c r="G628" s="20"/>
      <c r="H628" s="20"/>
      <c r="I628" s="20"/>
      <c r="J628" s="20"/>
      <c r="K628" s="36" t="s">
        <v>52</v>
      </c>
    </row>
    <row r="629" spans="2:11">
      <c r="B629" s="36" t="s">
        <v>52</v>
      </c>
      <c r="D629" s="20"/>
      <c r="E629" s="20"/>
      <c r="F629" s="20"/>
      <c r="G629" s="20"/>
      <c r="H629" s="20"/>
      <c r="I629" s="20"/>
      <c r="J629" s="20"/>
      <c r="K629" s="36" t="s">
        <v>52</v>
      </c>
    </row>
    <row r="630" spans="2:11">
      <c r="B630" s="36" t="s">
        <v>52</v>
      </c>
      <c r="D630" s="20"/>
      <c r="E630" s="20"/>
      <c r="F630" s="20"/>
      <c r="G630" s="20"/>
      <c r="H630" s="20"/>
      <c r="I630" s="20"/>
      <c r="J630" s="20"/>
      <c r="K630" s="36" t="s">
        <v>52</v>
      </c>
    </row>
    <row r="631" spans="2:11">
      <c r="B631" s="36" t="s">
        <v>52</v>
      </c>
      <c r="D631" s="20"/>
      <c r="E631" s="20"/>
      <c r="F631" s="20"/>
      <c r="G631" s="20"/>
      <c r="H631" s="20"/>
      <c r="I631" s="20"/>
      <c r="J631" s="20"/>
      <c r="K631" s="36" t="s">
        <v>52</v>
      </c>
    </row>
    <row r="632" spans="2:11">
      <c r="B632" s="36" t="s">
        <v>52</v>
      </c>
      <c r="D632" s="20"/>
      <c r="E632" s="20"/>
      <c r="F632" s="20"/>
      <c r="G632" s="20"/>
      <c r="H632" s="20"/>
      <c r="I632" s="20"/>
      <c r="J632" s="20"/>
      <c r="K632" s="36" t="s">
        <v>52</v>
      </c>
    </row>
    <row r="633" spans="2:11">
      <c r="B633" s="36" t="s">
        <v>52</v>
      </c>
      <c r="D633" s="20"/>
      <c r="E633" s="20"/>
      <c r="F633" s="20"/>
      <c r="G633" s="20"/>
      <c r="H633" s="20"/>
      <c r="I633" s="20"/>
      <c r="J633" s="20"/>
      <c r="K633" s="36" t="s">
        <v>52</v>
      </c>
    </row>
    <row r="634" spans="2:11">
      <c r="B634" s="36" t="s">
        <v>52</v>
      </c>
      <c r="D634" s="20"/>
      <c r="E634" s="20"/>
      <c r="F634" s="20"/>
      <c r="G634" s="20"/>
      <c r="H634" s="20"/>
      <c r="I634" s="20"/>
      <c r="J634" s="20"/>
      <c r="K634" s="36" t="s">
        <v>52</v>
      </c>
    </row>
    <row r="635" spans="2:11">
      <c r="B635" s="36" t="s">
        <v>52</v>
      </c>
      <c r="D635" s="20"/>
      <c r="E635" s="20"/>
      <c r="F635" s="20"/>
      <c r="G635" s="20"/>
      <c r="H635" s="20"/>
      <c r="I635" s="20"/>
      <c r="J635" s="20"/>
      <c r="K635" s="36" t="s">
        <v>52</v>
      </c>
    </row>
    <row r="636" spans="2:11">
      <c r="B636" s="36" t="s">
        <v>52</v>
      </c>
      <c r="D636" s="20"/>
      <c r="E636" s="20"/>
      <c r="F636" s="20"/>
      <c r="G636" s="20"/>
      <c r="H636" s="20"/>
      <c r="I636" s="20"/>
      <c r="J636" s="20"/>
      <c r="K636" s="36" t="s">
        <v>52</v>
      </c>
    </row>
    <row r="637" spans="2:11">
      <c r="B637" s="36" t="s">
        <v>52</v>
      </c>
      <c r="D637" s="20"/>
      <c r="E637" s="20"/>
      <c r="F637" s="20"/>
      <c r="G637" s="20"/>
      <c r="H637" s="20"/>
      <c r="I637" s="20"/>
      <c r="J637" s="20"/>
      <c r="K637" s="36" t="s">
        <v>52</v>
      </c>
    </row>
    <row r="638" spans="2:11">
      <c r="B638" s="36" t="s">
        <v>52</v>
      </c>
      <c r="D638" s="20"/>
      <c r="E638" s="20"/>
      <c r="F638" s="20"/>
      <c r="G638" s="20"/>
      <c r="H638" s="20"/>
      <c r="I638" s="20"/>
      <c r="J638" s="20"/>
      <c r="K638" s="36" t="s">
        <v>52</v>
      </c>
    </row>
    <row r="639" spans="2:11">
      <c r="B639" s="36" t="s">
        <v>52</v>
      </c>
      <c r="D639" s="20"/>
      <c r="E639" s="20"/>
      <c r="F639" s="20"/>
      <c r="G639" s="20"/>
      <c r="H639" s="20"/>
      <c r="I639" s="20"/>
      <c r="J639" s="20"/>
      <c r="K639" s="36" t="s">
        <v>52</v>
      </c>
    </row>
    <row r="640" spans="2:11">
      <c r="B640" s="36" t="s">
        <v>52</v>
      </c>
      <c r="D640" s="20"/>
      <c r="E640" s="20"/>
      <c r="F640" s="20"/>
      <c r="G640" s="20"/>
      <c r="H640" s="20"/>
      <c r="I640" s="20"/>
      <c r="J640" s="20"/>
      <c r="K640" s="36" t="s">
        <v>52</v>
      </c>
    </row>
    <row r="641" spans="2:11">
      <c r="B641" s="36" t="s">
        <v>52</v>
      </c>
      <c r="D641" s="20"/>
      <c r="E641" s="20"/>
      <c r="F641" s="20"/>
      <c r="G641" s="20"/>
      <c r="H641" s="20"/>
      <c r="I641" s="20"/>
      <c r="J641" s="20"/>
      <c r="K641" s="36" t="s">
        <v>52</v>
      </c>
    </row>
    <row r="642" spans="2:11">
      <c r="B642" s="36" t="s">
        <v>52</v>
      </c>
      <c r="D642" s="20"/>
      <c r="E642" s="20"/>
      <c r="F642" s="20"/>
      <c r="G642" s="20"/>
      <c r="H642" s="20"/>
      <c r="I642" s="20"/>
      <c r="J642" s="20"/>
      <c r="K642" s="36" t="s">
        <v>52</v>
      </c>
    </row>
    <row r="643" spans="2:11">
      <c r="B643" s="36" t="s">
        <v>52</v>
      </c>
      <c r="D643" s="20"/>
      <c r="E643" s="20"/>
      <c r="F643" s="20"/>
      <c r="G643" s="20"/>
      <c r="H643" s="20"/>
      <c r="I643" s="20"/>
      <c r="J643" s="20"/>
      <c r="K643" s="36" t="s">
        <v>52</v>
      </c>
    </row>
    <row r="644" spans="2:11">
      <c r="B644" s="36" t="s">
        <v>52</v>
      </c>
      <c r="D644" s="20"/>
      <c r="E644" s="20"/>
      <c r="F644" s="20"/>
      <c r="G644" s="20"/>
      <c r="H644" s="20"/>
      <c r="I644" s="20"/>
      <c r="J644" s="20"/>
      <c r="K644" s="36" t="s">
        <v>52</v>
      </c>
    </row>
    <row r="645" spans="2:11">
      <c r="B645" s="36" t="s">
        <v>52</v>
      </c>
      <c r="D645" s="20"/>
      <c r="E645" s="20"/>
      <c r="F645" s="20"/>
      <c r="G645" s="20"/>
      <c r="H645" s="20"/>
      <c r="I645" s="20"/>
      <c r="J645" s="20"/>
      <c r="K645" s="36" t="s">
        <v>52</v>
      </c>
    </row>
    <row r="646" spans="2:11">
      <c r="B646" s="36" t="s">
        <v>52</v>
      </c>
      <c r="D646" s="20"/>
      <c r="E646" s="20"/>
      <c r="F646" s="20"/>
      <c r="G646" s="20"/>
      <c r="H646" s="20"/>
      <c r="I646" s="20"/>
      <c r="J646" s="20"/>
      <c r="K646" s="36" t="s">
        <v>52</v>
      </c>
    </row>
    <row r="647" spans="2:11">
      <c r="B647" s="36" t="s">
        <v>52</v>
      </c>
      <c r="D647" s="20"/>
      <c r="E647" s="20"/>
      <c r="F647" s="20"/>
      <c r="G647" s="20"/>
      <c r="H647" s="20"/>
      <c r="I647" s="20"/>
      <c r="J647" s="20"/>
      <c r="K647" s="36" t="s">
        <v>52</v>
      </c>
    </row>
    <row r="648" spans="2:11">
      <c r="B648" s="36" t="s">
        <v>52</v>
      </c>
      <c r="D648" s="20"/>
      <c r="E648" s="20"/>
      <c r="F648" s="20"/>
      <c r="G648" s="20"/>
      <c r="H648" s="20"/>
      <c r="I648" s="20"/>
      <c r="J648" s="20"/>
      <c r="K648" s="36" t="s">
        <v>52</v>
      </c>
    </row>
    <row r="649" spans="2:11">
      <c r="B649" s="36" t="s">
        <v>52</v>
      </c>
      <c r="D649" s="20"/>
      <c r="E649" s="20"/>
      <c r="F649" s="20"/>
      <c r="G649" s="20"/>
      <c r="H649" s="20"/>
      <c r="I649" s="20"/>
      <c r="J649" s="20"/>
      <c r="K649" s="36" t="s">
        <v>52</v>
      </c>
    </row>
    <row r="650" spans="2:11">
      <c r="B650" s="36" t="s">
        <v>52</v>
      </c>
      <c r="D650" s="20"/>
      <c r="E650" s="20"/>
      <c r="F650" s="20"/>
      <c r="G650" s="20"/>
      <c r="H650" s="20"/>
      <c r="I650" s="20"/>
      <c r="J650" s="20"/>
      <c r="K650" s="36" t="s">
        <v>52</v>
      </c>
    </row>
    <row r="651" spans="2:11">
      <c r="B651" s="36" t="s">
        <v>52</v>
      </c>
      <c r="D651" s="20"/>
      <c r="E651" s="20"/>
      <c r="F651" s="20"/>
      <c r="G651" s="20"/>
      <c r="H651" s="20"/>
      <c r="I651" s="20"/>
      <c r="J651" s="20"/>
      <c r="K651" s="36" t="s">
        <v>52</v>
      </c>
    </row>
    <row r="652" spans="2:11">
      <c r="B652" s="36" t="s">
        <v>52</v>
      </c>
      <c r="D652" s="20"/>
      <c r="E652" s="20"/>
      <c r="F652" s="20"/>
      <c r="G652" s="20"/>
      <c r="H652" s="20"/>
      <c r="I652" s="20"/>
      <c r="J652" s="20"/>
      <c r="K652" s="36" t="s">
        <v>52</v>
      </c>
    </row>
    <row r="653" spans="2:11">
      <c r="B653" s="36" t="s">
        <v>52</v>
      </c>
      <c r="D653" s="20"/>
      <c r="E653" s="20"/>
      <c r="F653" s="20"/>
      <c r="G653" s="20"/>
      <c r="H653" s="20"/>
      <c r="I653" s="20"/>
      <c r="J653" s="20"/>
      <c r="K653" s="36" t="s">
        <v>52</v>
      </c>
    </row>
    <row r="654" spans="2:11">
      <c r="B654" s="36" t="s">
        <v>52</v>
      </c>
      <c r="D654" s="20"/>
      <c r="E654" s="20"/>
      <c r="F654" s="20"/>
      <c r="G654" s="20"/>
      <c r="H654" s="20"/>
      <c r="I654" s="20"/>
      <c r="J654" s="20"/>
      <c r="K654" s="36" t="s">
        <v>52</v>
      </c>
    </row>
    <row r="655" spans="2:11">
      <c r="B655" s="36" t="s">
        <v>52</v>
      </c>
      <c r="D655" s="20"/>
      <c r="E655" s="20"/>
      <c r="F655" s="20"/>
      <c r="G655" s="20"/>
      <c r="H655" s="20"/>
      <c r="I655" s="20"/>
      <c r="J655" s="20"/>
      <c r="K655" s="36" t="s">
        <v>52</v>
      </c>
    </row>
    <row r="656" spans="2:11">
      <c r="B656" s="36" t="s">
        <v>52</v>
      </c>
      <c r="D656" s="20"/>
      <c r="E656" s="20"/>
      <c r="F656" s="20"/>
      <c r="G656" s="20"/>
      <c r="H656" s="20"/>
      <c r="I656" s="20"/>
      <c r="J656" s="20"/>
      <c r="K656" s="36" t="s">
        <v>52</v>
      </c>
    </row>
    <row r="657" spans="2:11">
      <c r="B657" s="36" t="s">
        <v>52</v>
      </c>
      <c r="D657" s="20"/>
      <c r="E657" s="20"/>
      <c r="F657" s="20"/>
      <c r="G657" s="20"/>
      <c r="H657" s="20"/>
      <c r="I657" s="20"/>
      <c r="J657" s="20"/>
      <c r="K657" s="36" t="s">
        <v>52</v>
      </c>
    </row>
    <row r="658" spans="2:11">
      <c r="B658" s="36" t="s">
        <v>52</v>
      </c>
      <c r="D658" s="20"/>
      <c r="E658" s="20"/>
      <c r="F658" s="20"/>
      <c r="G658" s="20"/>
      <c r="H658" s="20"/>
      <c r="I658" s="20"/>
      <c r="J658" s="20"/>
      <c r="K658" s="36" t="s">
        <v>52</v>
      </c>
    </row>
    <row r="659" spans="2:11">
      <c r="B659" s="36" t="s">
        <v>52</v>
      </c>
      <c r="D659" s="20"/>
      <c r="E659" s="20"/>
      <c r="F659" s="20"/>
      <c r="G659" s="20"/>
      <c r="H659" s="20"/>
      <c r="I659" s="20"/>
      <c r="J659" s="20"/>
      <c r="K659" s="36" t="s">
        <v>52</v>
      </c>
    </row>
    <row r="660" spans="2:11">
      <c r="B660" s="36" t="s">
        <v>52</v>
      </c>
      <c r="D660" s="20"/>
      <c r="E660" s="20"/>
      <c r="F660" s="20"/>
      <c r="G660" s="20"/>
      <c r="H660" s="20"/>
      <c r="I660" s="20"/>
      <c r="J660" s="20"/>
      <c r="K660" s="36" t="s">
        <v>52</v>
      </c>
    </row>
    <row r="661" spans="2:11">
      <c r="B661" s="36" t="s">
        <v>52</v>
      </c>
      <c r="D661" s="20"/>
      <c r="E661" s="20"/>
      <c r="F661" s="20"/>
      <c r="G661" s="20"/>
      <c r="H661" s="20"/>
      <c r="I661" s="20"/>
      <c r="J661" s="20"/>
      <c r="K661" s="36" t="s">
        <v>52</v>
      </c>
    </row>
    <row r="662" spans="2:11">
      <c r="B662" s="36" t="s">
        <v>52</v>
      </c>
      <c r="D662" s="20"/>
      <c r="E662" s="20"/>
      <c r="F662" s="20"/>
      <c r="G662" s="20"/>
      <c r="H662" s="20"/>
      <c r="I662" s="20"/>
      <c r="J662" s="20"/>
      <c r="K662" s="36" t="s">
        <v>52</v>
      </c>
    </row>
    <row r="663" spans="2:11">
      <c r="B663" s="36" t="s">
        <v>52</v>
      </c>
      <c r="D663" s="20"/>
      <c r="E663" s="20"/>
      <c r="F663" s="20"/>
      <c r="G663" s="20"/>
      <c r="H663" s="20"/>
      <c r="I663" s="20"/>
      <c r="J663" s="20"/>
      <c r="K663" s="36" t="s">
        <v>52</v>
      </c>
    </row>
    <row r="664" spans="2:11">
      <c r="B664" s="36" t="s">
        <v>52</v>
      </c>
      <c r="D664" s="20"/>
      <c r="E664" s="20"/>
      <c r="F664" s="20"/>
      <c r="G664" s="20"/>
      <c r="H664" s="20"/>
      <c r="I664" s="20"/>
      <c r="J664" s="20"/>
      <c r="K664" s="36" t="s">
        <v>52</v>
      </c>
    </row>
    <row r="665" spans="2:11">
      <c r="B665" s="36" t="s">
        <v>52</v>
      </c>
      <c r="D665" s="20"/>
      <c r="E665" s="20"/>
      <c r="F665" s="20"/>
      <c r="G665" s="20"/>
      <c r="H665" s="20"/>
      <c r="I665" s="20"/>
      <c r="J665" s="20"/>
      <c r="K665" s="36" t="s">
        <v>52</v>
      </c>
    </row>
    <row r="666" spans="2:11">
      <c r="B666" s="36" t="s">
        <v>52</v>
      </c>
      <c r="D666" s="20"/>
      <c r="E666" s="20"/>
      <c r="F666" s="20"/>
      <c r="G666" s="20"/>
      <c r="H666" s="20"/>
      <c r="I666" s="20"/>
      <c r="J666" s="20"/>
      <c r="K666" s="36" t="s">
        <v>52</v>
      </c>
    </row>
    <row r="667" spans="2:11">
      <c r="B667" s="36" t="s">
        <v>52</v>
      </c>
      <c r="D667" s="20"/>
      <c r="E667" s="20"/>
      <c r="F667" s="20"/>
      <c r="G667" s="20"/>
      <c r="H667" s="20"/>
      <c r="I667" s="20"/>
      <c r="J667" s="20"/>
      <c r="K667" s="36" t="s">
        <v>52</v>
      </c>
    </row>
    <row r="668" spans="2:11">
      <c r="B668" s="36" t="s">
        <v>52</v>
      </c>
      <c r="D668" s="20"/>
      <c r="E668" s="20"/>
      <c r="F668" s="20"/>
      <c r="G668" s="20"/>
      <c r="H668" s="20"/>
      <c r="I668" s="20"/>
      <c r="J668" s="20"/>
      <c r="K668" s="36" t="s">
        <v>52</v>
      </c>
    </row>
    <row r="669" spans="2:11">
      <c r="B669" s="36" t="s">
        <v>52</v>
      </c>
      <c r="D669" s="20"/>
      <c r="E669" s="20"/>
      <c r="F669" s="20"/>
      <c r="G669" s="20"/>
      <c r="H669" s="20"/>
      <c r="I669" s="20"/>
      <c r="J669" s="20"/>
      <c r="K669" s="36" t="s">
        <v>52</v>
      </c>
    </row>
    <row r="670" spans="2:11">
      <c r="B670" s="36" t="s">
        <v>52</v>
      </c>
      <c r="D670" s="20"/>
      <c r="E670" s="20"/>
      <c r="F670" s="20"/>
      <c r="G670" s="20"/>
      <c r="H670" s="20"/>
      <c r="I670" s="20"/>
      <c r="J670" s="20"/>
      <c r="K670" s="36" t="s">
        <v>52</v>
      </c>
    </row>
    <row r="671" spans="2:11">
      <c r="B671" s="36" t="s">
        <v>52</v>
      </c>
      <c r="D671" s="20"/>
      <c r="E671" s="20"/>
      <c r="F671" s="20"/>
      <c r="G671" s="20"/>
      <c r="H671" s="20"/>
      <c r="I671" s="20"/>
      <c r="J671" s="20"/>
      <c r="K671" s="36" t="s">
        <v>52</v>
      </c>
    </row>
    <row r="672" spans="2:11">
      <c r="B672" s="36" t="s">
        <v>52</v>
      </c>
      <c r="D672" s="20"/>
      <c r="E672" s="20"/>
      <c r="F672" s="20"/>
      <c r="G672" s="20"/>
      <c r="H672" s="20"/>
      <c r="I672" s="20"/>
      <c r="J672" s="20"/>
      <c r="K672" s="36" t="s">
        <v>52</v>
      </c>
    </row>
    <row r="673" spans="2:11">
      <c r="B673" s="36" t="s">
        <v>52</v>
      </c>
      <c r="D673" s="20"/>
      <c r="E673" s="20"/>
      <c r="F673" s="20"/>
      <c r="G673" s="20"/>
      <c r="H673" s="20"/>
      <c r="I673" s="20"/>
      <c r="J673" s="20"/>
      <c r="K673" s="36" t="s">
        <v>52</v>
      </c>
    </row>
    <row r="674" spans="2:11">
      <c r="B674" s="36" t="s">
        <v>52</v>
      </c>
      <c r="D674" s="20"/>
      <c r="E674" s="20"/>
      <c r="F674" s="20"/>
      <c r="G674" s="20"/>
      <c r="H674" s="20"/>
      <c r="I674" s="20"/>
      <c r="J674" s="20"/>
      <c r="K674" s="36" t="s">
        <v>52</v>
      </c>
    </row>
    <row r="675" spans="2:11">
      <c r="B675" s="36" t="s">
        <v>52</v>
      </c>
      <c r="D675" s="20"/>
      <c r="E675" s="20"/>
      <c r="F675" s="20"/>
      <c r="G675" s="20"/>
      <c r="H675" s="20"/>
      <c r="I675" s="20"/>
      <c r="J675" s="20"/>
      <c r="K675" s="36" t="s">
        <v>52</v>
      </c>
    </row>
    <row r="676" spans="2:11">
      <c r="B676" s="36" t="s">
        <v>52</v>
      </c>
      <c r="D676" s="20"/>
      <c r="E676" s="20"/>
      <c r="F676" s="20"/>
      <c r="G676" s="20"/>
      <c r="H676" s="20"/>
      <c r="I676" s="20"/>
      <c r="J676" s="20"/>
      <c r="K676" s="36" t="s">
        <v>52</v>
      </c>
    </row>
    <row r="677" spans="2:11">
      <c r="B677" s="36" t="s">
        <v>52</v>
      </c>
      <c r="D677" s="20"/>
      <c r="E677" s="20"/>
      <c r="F677" s="20"/>
      <c r="G677" s="20"/>
      <c r="H677" s="20"/>
      <c r="I677" s="20"/>
      <c r="J677" s="20"/>
      <c r="K677" s="36" t="s">
        <v>52</v>
      </c>
    </row>
    <row r="678" spans="2:11">
      <c r="B678" s="36" t="s">
        <v>52</v>
      </c>
      <c r="D678" s="20"/>
      <c r="E678" s="20"/>
      <c r="F678" s="20"/>
      <c r="G678" s="20"/>
      <c r="H678" s="20"/>
      <c r="I678" s="20"/>
      <c r="J678" s="20"/>
      <c r="K678" s="36" t="s">
        <v>52</v>
      </c>
    </row>
    <row r="679" spans="2:11">
      <c r="B679" s="36" t="s">
        <v>52</v>
      </c>
      <c r="D679" s="20"/>
      <c r="E679" s="20"/>
      <c r="F679" s="20"/>
      <c r="G679" s="20"/>
      <c r="H679" s="20"/>
      <c r="I679" s="20"/>
      <c r="J679" s="20"/>
      <c r="K679" s="36" t="s">
        <v>52</v>
      </c>
    </row>
    <row r="680" spans="2:11">
      <c r="B680" s="36" t="s">
        <v>52</v>
      </c>
      <c r="D680" s="20"/>
      <c r="E680" s="20"/>
      <c r="F680" s="20"/>
      <c r="G680" s="20"/>
      <c r="H680" s="20"/>
      <c r="I680" s="20"/>
      <c r="J680" s="20"/>
      <c r="K680" s="36" t="s">
        <v>52</v>
      </c>
    </row>
    <row r="681" spans="2:11">
      <c r="B681" s="36" t="s">
        <v>52</v>
      </c>
      <c r="D681" s="20"/>
      <c r="E681" s="20"/>
      <c r="F681" s="20"/>
      <c r="G681" s="20"/>
      <c r="H681" s="20"/>
      <c r="I681" s="20"/>
      <c r="J681" s="20"/>
      <c r="K681" s="36" t="s">
        <v>52</v>
      </c>
    </row>
    <row r="682" spans="2:11">
      <c r="B682" s="36" t="s">
        <v>52</v>
      </c>
      <c r="D682" s="20"/>
      <c r="E682" s="20"/>
      <c r="F682" s="20"/>
      <c r="G682" s="20"/>
      <c r="H682" s="20"/>
      <c r="I682" s="20"/>
      <c r="J682" s="20"/>
      <c r="K682" s="36" t="s">
        <v>52</v>
      </c>
    </row>
    <row r="683" spans="2:11">
      <c r="B683" s="36" t="s">
        <v>52</v>
      </c>
      <c r="D683" s="20"/>
      <c r="E683" s="20"/>
      <c r="F683" s="20"/>
      <c r="G683" s="20"/>
      <c r="H683" s="20"/>
      <c r="I683" s="20"/>
      <c r="J683" s="20"/>
      <c r="K683" s="36" t="s">
        <v>52</v>
      </c>
    </row>
    <row r="684" spans="2:11">
      <c r="B684" s="36" t="s">
        <v>52</v>
      </c>
      <c r="D684" s="20"/>
      <c r="E684" s="20"/>
      <c r="F684" s="20"/>
      <c r="G684" s="20"/>
      <c r="H684" s="20"/>
      <c r="I684" s="20"/>
      <c r="J684" s="20"/>
      <c r="K684" s="36" t="s">
        <v>52</v>
      </c>
    </row>
    <row r="685" spans="2:11">
      <c r="B685" s="36" t="s">
        <v>52</v>
      </c>
      <c r="D685" s="20"/>
      <c r="E685" s="20"/>
      <c r="F685" s="20"/>
      <c r="G685" s="20"/>
      <c r="H685" s="20"/>
      <c r="I685" s="20"/>
      <c r="J685" s="20"/>
      <c r="K685" s="36" t="s">
        <v>52</v>
      </c>
    </row>
    <row r="686" spans="2:11">
      <c r="B686" s="36" t="s">
        <v>52</v>
      </c>
      <c r="D686" s="20"/>
      <c r="E686" s="20"/>
      <c r="F686" s="20"/>
      <c r="G686" s="20"/>
      <c r="H686" s="20"/>
      <c r="I686" s="20"/>
      <c r="J686" s="20"/>
      <c r="K686" s="36" t="s">
        <v>52</v>
      </c>
    </row>
    <row r="687" spans="2:11">
      <c r="B687" s="36" t="s">
        <v>52</v>
      </c>
      <c r="D687" s="20"/>
      <c r="E687" s="20"/>
      <c r="F687" s="20"/>
      <c r="G687" s="20"/>
      <c r="H687" s="20"/>
      <c r="I687" s="20"/>
      <c r="J687" s="20"/>
      <c r="K687" s="36" t="s">
        <v>52</v>
      </c>
    </row>
    <row r="688" spans="2:11">
      <c r="B688" s="36" t="s">
        <v>52</v>
      </c>
      <c r="D688" s="20"/>
      <c r="E688" s="20"/>
      <c r="F688" s="20"/>
      <c r="G688" s="20"/>
      <c r="H688" s="20"/>
      <c r="I688" s="20"/>
      <c r="J688" s="20"/>
      <c r="K688" s="36" t="s">
        <v>52</v>
      </c>
    </row>
    <row r="689" spans="2:11">
      <c r="B689" s="36" t="s">
        <v>52</v>
      </c>
      <c r="D689" s="20"/>
      <c r="E689" s="20"/>
      <c r="F689" s="20"/>
      <c r="G689" s="20"/>
      <c r="H689" s="20"/>
      <c r="I689" s="20"/>
      <c r="J689" s="20"/>
      <c r="K689" s="36" t="s">
        <v>52</v>
      </c>
    </row>
    <row r="690" spans="2:11">
      <c r="B690" s="36" t="s">
        <v>52</v>
      </c>
      <c r="D690" s="20"/>
      <c r="E690" s="20"/>
      <c r="F690" s="20"/>
      <c r="G690" s="20"/>
      <c r="H690" s="20"/>
      <c r="I690" s="20"/>
      <c r="J690" s="20"/>
      <c r="K690" s="36" t="s">
        <v>52</v>
      </c>
    </row>
    <row r="691" spans="2:11">
      <c r="B691" s="36" t="s">
        <v>52</v>
      </c>
      <c r="D691" s="20"/>
      <c r="E691" s="20"/>
      <c r="F691" s="20"/>
      <c r="G691" s="20"/>
      <c r="H691" s="20"/>
      <c r="I691" s="20"/>
      <c r="J691" s="20"/>
      <c r="K691" s="36" t="s">
        <v>52</v>
      </c>
    </row>
    <row r="692" spans="2:11">
      <c r="B692" s="36" t="s">
        <v>52</v>
      </c>
      <c r="D692" s="20"/>
      <c r="E692" s="20"/>
      <c r="F692" s="20"/>
      <c r="G692" s="20"/>
      <c r="H692" s="20"/>
      <c r="I692" s="20"/>
      <c r="J692" s="20"/>
      <c r="K692" s="36" t="s">
        <v>52</v>
      </c>
    </row>
    <row r="693" spans="2:11">
      <c r="B693" s="36" t="s">
        <v>52</v>
      </c>
      <c r="D693" s="20"/>
      <c r="E693" s="20"/>
      <c r="F693" s="20"/>
      <c r="G693" s="20"/>
      <c r="H693" s="20"/>
      <c r="I693" s="20"/>
      <c r="J693" s="20"/>
      <c r="K693" s="36" t="s">
        <v>52</v>
      </c>
    </row>
    <row r="694" spans="2:11">
      <c r="B694" s="36" t="s">
        <v>52</v>
      </c>
      <c r="D694" s="20"/>
      <c r="E694" s="20"/>
      <c r="F694" s="20"/>
      <c r="G694" s="20"/>
      <c r="H694" s="20"/>
      <c r="I694" s="20"/>
      <c r="J694" s="20"/>
      <c r="K694" s="36" t="s">
        <v>52</v>
      </c>
    </row>
    <row r="695" spans="2:11">
      <c r="B695" s="36" t="s">
        <v>52</v>
      </c>
      <c r="D695" s="20"/>
      <c r="E695" s="20"/>
      <c r="F695" s="20"/>
      <c r="G695" s="20"/>
      <c r="H695" s="20"/>
      <c r="I695" s="20"/>
      <c r="J695" s="20"/>
      <c r="K695" s="36" t="s">
        <v>52</v>
      </c>
    </row>
    <row r="696" spans="2:11">
      <c r="B696" s="36" t="s">
        <v>52</v>
      </c>
      <c r="D696" s="20"/>
      <c r="E696" s="20"/>
      <c r="F696" s="20"/>
      <c r="G696" s="20"/>
      <c r="H696" s="20"/>
      <c r="I696" s="20"/>
      <c r="J696" s="20"/>
      <c r="K696" s="36" t="s">
        <v>52</v>
      </c>
    </row>
    <row r="697" spans="2:11">
      <c r="B697" s="36" t="s">
        <v>52</v>
      </c>
      <c r="D697" s="20"/>
      <c r="E697" s="20"/>
      <c r="F697" s="20"/>
      <c r="G697" s="20"/>
      <c r="H697" s="20"/>
      <c r="I697" s="20"/>
      <c r="J697" s="20"/>
      <c r="K697" s="36" t="s">
        <v>52</v>
      </c>
    </row>
    <row r="698" spans="2:11">
      <c r="B698" s="36" t="s">
        <v>52</v>
      </c>
      <c r="D698" s="20"/>
      <c r="E698" s="20"/>
      <c r="F698" s="20"/>
      <c r="G698" s="20"/>
      <c r="H698" s="20"/>
      <c r="I698" s="20"/>
      <c r="J698" s="20"/>
      <c r="K698" s="36" t="s">
        <v>52</v>
      </c>
    </row>
    <row r="699" spans="2:11">
      <c r="B699" s="36" t="s">
        <v>52</v>
      </c>
      <c r="D699" s="20"/>
      <c r="E699" s="20"/>
      <c r="F699" s="20"/>
      <c r="G699" s="20"/>
      <c r="H699" s="20"/>
      <c r="I699" s="20"/>
      <c r="J699" s="20"/>
      <c r="K699" s="36" t="s">
        <v>52</v>
      </c>
    </row>
    <row r="700" spans="2:11">
      <c r="B700" s="36" t="s">
        <v>52</v>
      </c>
      <c r="D700" s="20"/>
      <c r="E700" s="20"/>
      <c r="F700" s="20"/>
      <c r="G700" s="20"/>
      <c r="H700" s="20"/>
      <c r="I700" s="20"/>
      <c r="J700" s="20"/>
      <c r="K700" s="36" t="s">
        <v>52</v>
      </c>
    </row>
    <row r="701" spans="2:11">
      <c r="B701" s="36" t="s">
        <v>52</v>
      </c>
      <c r="D701" s="20"/>
      <c r="E701" s="20"/>
      <c r="F701" s="20"/>
      <c r="G701" s="20"/>
      <c r="H701" s="20"/>
      <c r="I701" s="20"/>
      <c r="J701" s="20"/>
      <c r="K701" s="36" t="s">
        <v>52</v>
      </c>
    </row>
    <row r="702" spans="2:11">
      <c r="B702" s="36" t="s">
        <v>52</v>
      </c>
      <c r="D702" s="20"/>
      <c r="E702" s="20"/>
      <c r="F702" s="20"/>
      <c r="G702" s="20"/>
      <c r="H702" s="20"/>
      <c r="I702" s="20"/>
      <c r="J702" s="20"/>
      <c r="K702" s="36" t="s">
        <v>52</v>
      </c>
    </row>
    <row r="703" spans="2:11">
      <c r="B703" s="36" t="s">
        <v>52</v>
      </c>
      <c r="D703" s="20"/>
      <c r="E703" s="20"/>
      <c r="F703" s="20"/>
      <c r="G703" s="20"/>
      <c r="H703" s="20"/>
      <c r="I703" s="20"/>
      <c r="J703" s="20"/>
      <c r="K703" s="36" t="s">
        <v>52</v>
      </c>
    </row>
    <row r="704" spans="2:11">
      <c r="B704" s="36" t="s">
        <v>52</v>
      </c>
      <c r="D704" s="20"/>
      <c r="E704" s="20"/>
      <c r="F704" s="20"/>
      <c r="G704" s="20"/>
      <c r="H704" s="20"/>
      <c r="I704" s="20"/>
      <c r="J704" s="20"/>
      <c r="K704" s="36" t="s">
        <v>52</v>
      </c>
    </row>
    <row r="705" spans="2:11">
      <c r="B705" s="36" t="s">
        <v>52</v>
      </c>
      <c r="D705" s="20"/>
      <c r="E705" s="20"/>
      <c r="F705" s="20"/>
      <c r="G705" s="20"/>
      <c r="H705" s="20"/>
      <c r="I705" s="20"/>
      <c r="J705" s="20"/>
      <c r="K705" s="36" t="s">
        <v>52</v>
      </c>
    </row>
    <row r="706" spans="2:11">
      <c r="B706" s="36" t="s">
        <v>52</v>
      </c>
      <c r="D706" s="20"/>
      <c r="E706" s="20"/>
      <c r="F706" s="20"/>
      <c r="G706" s="20"/>
      <c r="H706" s="20"/>
      <c r="I706" s="20"/>
      <c r="J706" s="20"/>
      <c r="K706" s="36" t="s">
        <v>52</v>
      </c>
    </row>
    <row r="707" spans="2:11">
      <c r="B707" s="36" t="s">
        <v>52</v>
      </c>
      <c r="D707" s="20"/>
      <c r="E707" s="20"/>
      <c r="F707" s="20"/>
      <c r="G707" s="20"/>
      <c r="H707" s="20"/>
      <c r="I707" s="20"/>
      <c r="J707" s="20"/>
      <c r="K707" s="36" t="s">
        <v>52</v>
      </c>
    </row>
    <row r="708" spans="2:11">
      <c r="B708" s="36" t="s">
        <v>52</v>
      </c>
      <c r="D708" s="20"/>
      <c r="E708" s="20"/>
      <c r="F708" s="20"/>
      <c r="G708" s="20"/>
      <c r="H708" s="20"/>
      <c r="I708" s="20"/>
      <c r="J708" s="20"/>
      <c r="K708" s="36" t="s">
        <v>52</v>
      </c>
    </row>
    <row r="709" spans="2:11">
      <c r="B709" s="36" t="s">
        <v>52</v>
      </c>
      <c r="D709" s="20"/>
      <c r="E709" s="20"/>
      <c r="F709" s="20"/>
      <c r="G709" s="20"/>
      <c r="H709" s="20"/>
      <c r="I709" s="20"/>
      <c r="J709" s="20"/>
      <c r="K709" s="36" t="s">
        <v>52</v>
      </c>
    </row>
    <row r="710" spans="2:11">
      <c r="B710" s="36" t="s">
        <v>52</v>
      </c>
      <c r="D710" s="20"/>
      <c r="E710" s="20"/>
      <c r="F710" s="20"/>
      <c r="G710" s="20"/>
      <c r="H710" s="20"/>
      <c r="I710" s="20"/>
      <c r="J710" s="20"/>
      <c r="K710" s="36" t="s">
        <v>52</v>
      </c>
    </row>
    <row r="711" spans="2:11">
      <c r="B711" s="36" t="s">
        <v>52</v>
      </c>
      <c r="D711" s="20"/>
      <c r="E711" s="20"/>
      <c r="F711" s="20"/>
      <c r="G711" s="20"/>
      <c r="H711" s="20"/>
      <c r="I711" s="20"/>
      <c r="J711" s="20"/>
      <c r="K711" s="36" t="s">
        <v>52</v>
      </c>
    </row>
    <row r="712" spans="2:11">
      <c r="B712" s="36" t="s">
        <v>52</v>
      </c>
      <c r="D712" s="20"/>
      <c r="E712" s="20"/>
      <c r="F712" s="20"/>
      <c r="G712" s="20"/>
      <c r="H712" s="20"/>
      <c r="I712" s="20"/>
      <c r="J712" s="20"/>
      <c r="K712" s="36" t="s">
        <v>52</v>
      </c>
    </row>
    <row r="713" spans="2:11">
      <c r="B713" s="36" t="s">
        <v>52</v>
      </c>
      <c r="D713" s="20"/>
      <c r="E713" s="20"/>
      <c r="F713" s="20"/>
      <c r="G713" s="20"/>
      <c r="H713" s="20"/>
      <c r="I713" s="20"/>
      <c r="J713" s="20"/>
      <c r="K713" s="36" t="s">
        <v>52</v>
      </c>
    </row>
    <row r="714" spans="2:11">
      <c r="B714" s="36" t="s">
        <v>52</v>
      </c>
      <c r="D714" s="20"/>
      <c r="E714" s="20"/>
      <c r="F714" s="20"/>
      <c r="G714" s="20"/>
      <c r="H714" s="20"/>
      <c r="I714" s="20"/>
      <c r="J714" s="20"/>
      <c r="K714" s="36" t="s">
        <v>52</v>
      </c>
    </row>
    <row r="715" spans="2:11">
      <c r="B715" s="36" t="s">
        <v>52</v>
      </c>
      <c r="D715" s="20"/>
      <c r="E715" s="20"/>
      <c r="F715" s="20"/>
      <c r="G715" s="20"/>
      <c r="H715" s="20"/>
      <c r="I715" s="20"/>
      <c r="J715" s="20"/>
      <c r="K715" s="36" t="s">
        <v>52</v>
      </c>
    </row>
    <row r="716" spans="2:11">
      <c r="B716" s="36" t="s">
        <v>52</v>
      </c>
      <c r="D716" s="20"/>
      <c r="E716" s="20"/>
      <c r="F716" s="20"/>
      <c r="G716" s="20"/>
      <c r="H716" s="20"/>
      <c r="I716" s="20"/>
      <c r="J716" s="20"/>
      <c r="K716" s="36" t="s">
        <v>52</v>
      </c>
    </row>
    <row r="717" spans="2:11">
      <c r="B717" s="36" t="s">
        <v>52</v>
      </c>
      <c r="D717" s="20"/>
      <c r="E717" s="20"/>
      <c r="F717" s="20"/>
      <c r="G717" s="20"/>
      <c r="H717" s="20"/>
      <c r="I717" s="20"/>
      <c r="J717" s="20"/>
      <c r="K717" s="36" t="s">
        <v>52</v>
      </c>
    </row>
    <row r="718" spans="2:11">
      <c r="B718" s="36" t="s">
        <v>52</v>
      </c>
      <c r="D718" s="20"/>
      <c r="E718" s="20"/>
      <c r="F718" s="20"/>
      <c r="G718" s="20"/>
      <c r="H718" s="20"/>
      <c r="I718" s="20"/>
      <c r="J718" s="20"/>
      <c r="K718" s="36" t="s">
        <v>52</v>
      </c>
    </row>
    <row r="719" spans="2:11">
      <c r="B719" s="36" t="s">
        <v>52</v>
      </c>
      <c r="D719" s="20"/>
      <c r="E719" s="20"/>
      <c r="F719" s="20"/>
      <c r="G719" s="20"/>
      <c r="H719" s="20"/>
      <c r="I719" s="20"/>
      <c r="J719" s="20"/>
      <c r="K719" s="36" t="s">
        <v>52</v>
      </c>
    </row>
    <row r="720" spans="2:11">
      <c r="B720" s="36" t="s">
        <v>52</v>
      </c>
      <c r="D720" s="20"/>
      <c r="E720" s="20"/>
      <c r="F720" s="20"/>
      <c r="G720" s="20"/>
      <c r="H720" s="20"/>
      <c r="I720" s="20"/>
      <c r="J720" s="20"/>
      <c r="K720" s="36" t="s">
        <v>52</v>
      </c>
    </row>
    <row r="721" spans="2:11">
      <c r="B721" s="36" t="s">
        <v>52</v>
      </c>
      <c r="D721" s="20"/>
      <c r="E721" s="20"/>
      <c r="F721" s="20"/>
      <c r="G721" s="20"/>
      <c r="H721" s="20"/>
      <c r="I721" s="20"/>
      <c r="J721" s="20"/>
      <c r="K721" s="36" t="s">
        <v>52</v>
      </c>
    </row>
    <row r="722" spans="2:11">
      <c r="B722" s="36" t="s">
        <v>52</v>
      </c>
      <c r="D722" s="20"/>
      <c r="E722" s="20"/>
      <c r="F722" s="20"/>
      <c r="G722" s="20"/>
      <c r="H722" s="20"/>
      <c r="I722" s="20"/>
      <c r="J722" s="20"/>
      <c r="K722" s="36" t="s">
        <v>52</v>
      </c>
    </row>
    <row r="723" spans="2:11">
      <c r="B723" s="36" t="s">
        <v>52</v>
      </c>
      <c r="D723" s="20"/>
      <c r="E723" s="20"/>
      <c r="F723" s="20"/>
      <c r="G723" s="20"/>
      <c r="H723" s="20"/>
      <c r="I723" s="20"/>
      <c r="J723" s="20"/>
      <c r="K723" s="36" t="s">
        <v>52</v>
      </c>
    </row>
    <row r="724" spans="2:11">
      <c r="B724" s="36" t="s">
        <v>52</v>
      </c>
      <c r="D724" s="20"/>
      <c r="E724" s="20"/>
      <c r="F724" s="20"/>
      <c r="G724" s="20"/>
      <c r="H724" s="20"/>
      <c r="I724" s="20"/>
      <c r="J724" s="20"/>
      <c r="K724" s="36" t="s">
        <v>52</v>
      </c>
    </row>
    <row r="725" spans="2:11">
      <c r="B725" s="36" t="s">
        <v>52</v>
      </c>
      <c r="D725" s="20"/>
      <c r="E725" s="20"/>
      <c r="F725" s="20"/>
      <c r="G725" s="20"/>
      <c r="H725" s="20"/>
      <c r="I725" s="20"/>
      <c r="J725" s="20"/>
      <c r="K725" s="36" t="s">
        <v>52</v>
      </c>
    </row>
    <row r="726" spans="2:11">
      <c r="B726" s="36" t="s">
        <v>52</v>
      </c>
      <c r="D726" s="20"/>
      <c r="E726" s="20"/>
      <c r="F726" s="20"/>
      <c r="G726" s="20"/>
      <c r="H726" s="20"/>
      <c r="I726" s="20"/>
      <c r="J726" s="20"/>
      <c r="K726" s="36" t="s">
        <v>52</v>
      </c>
    </row>
    <row r="727" spans="2:11">
      <c r="B727" s="36" t="s">
        <v>52</v>
      </c>
      <c r="D727" s="20"/>
      <c r="E727" s="20"/>
      <c r="F727" s="20"/>
      <c r="G727" s="20"/>
      <c r="H727" s="20"/>
      <c r="I727" s="20"/>
      <c r="J727" s="20"/>
      <c r="K727" s="36" t="s">
        <v>52</v>
      </c>
    </row>
    <row r="728" spans="2:11">
      <c r="B728" s="36" t="s">
        <v>52</v>
      </c>
      <c r="D728" s="20"/>
      <c r="E728" s="20"/>
      <c r="F728" s="20"/>
      <c r="G728" s="20"/>
      <c r="H728" s="20"/>
      <c r="I728" s="20"/>
      <c r="J728" s="20"/>
      <c r="K728" s="36" t="s">
        <v>52</v>
      </c>
    </row>
    <row r="729" spans="2:11">
      <c r="B729" s="36" t="s">
        <v>52</v>
      </c>
      <c r="D729" s="20"/>
      <c r="E729" s="20"/>
      <c r="F729" s="20"/>
      <c r="G729" s="20"/>
      <c r="H729" s="20"/>
      <c r="I729" s="20"/>
      <c r="J729" s="20"/>
      <c r="K729" s="36" t="s">
        <v>52</v>
      </c>
    </row>
    <row r="730" spans="2:11">
      <c r="B730" s="36" t="s">
        <v>52</v>
      </c>
      <c r="D730" s="20"/>
      <c r="E730" s="20"/>
      <c r="F730" s="20"/>
      <c r="G730" s="20"/>
      <c r="H730" s="20"/>
      <c r="I730" s="20"/>
      <c r="J730" s="20"/>
      <c r="K730" s="36" t="s">
        <v>52</v>
      </c>
    </row>
    <row r="731" spans="2:11">
      <c r="B731" s="36" t="s">
        <v>52</v>
      </c>
      <c r="D731" s="20"/>
      <c r="E731" s="20"/>
      <c r="F731" s="20"/>
      <c r="G731" s="20"/>
      <c r="H731" s="20"/>
      <c r="I731" s="20"/>
      <c r="J731" s="20"/>
      <c r="K731" s="36" t="s">
        <v>52</v>
      </c>
    </row>
    <row r="732" spans="2:11">
      <c r="B732" s="36" t="s">
        <v>52</v>
      </c>
      <c r="D732" s="20"/>
      <c r="E732" s="20"/>
      <c r="F732" s="20"/>
      <c r="G732" s="20"/>
      <c r="H732" s="20"/>
      <c r="I732" s="20"/>
      <c r="J732" s="20"/>
      <c r="K732" s="36" t="s">
        <v>52</v>
      </c>
    </row>
    <row r="733" spans="2:11">
      <c r="B733" s="36" t="s">
        <v>52</v>
      </c>
      <c r="D733" s="20"/>
      <c r="E733" s="20"/>
      <c r="F733" s="20"/>
      <c r="G733" s="20"/>
      <c r="H733" s="20"/>
      <c r="I733" s="20"/>
      <c r="J733" s="20"/>
      <c r="K733" s="36" t="s">
        <v>52</v>
      </c>
    </row>
    <row r="734" spans="2:11">
      <c r="B734" s="36" t="s">
        <v>52</v>
      </c>
      <c r="D734" s="20"/>
      <c r="E734" s="20"/>
      <c r="F734" s="20"/>
      <c r="G734" s="20"/>
      <c r="H734" s="20"/>
      <c r="I734" s="20"/>
      <c r="J734" s="20"/>
      <c r="K734" s="36" t="s">
        <v>52</v>
      </c>
    </row>
    <row r="735" spans="2:11">
      <c r="B735" s="36" t="s">
        <v>52</v>
      </c>
      <c r="D735" s="20"/>
      <c r="E735" s="20"/>
      <c r="F735" s="20"/>
      <c r="G735" s="20"/>
      <c r="H735" s="20"/>
      <c r="I735" s="20"/>
      <c r="J735" s="20"/>
      <c r="K735" s="36" t="s">
        <v>52</v>
      </c>
    </row>
    <row r="736" spans="2:11">
      <c r="B736" s="36" t="s">
        <v>52</v>
      </c>
      <c r="D736" s="20"/>
      <c r="E736" s="20"/>
      <c r="F736" s="20"/>
      <c r="G736" s="20"/>
      <c r="H736" s="20"/>
      <c r="I736" s="20"/>
      <c r="J736" s="20"/>
      <c r="K736" s="36" t="s">
        <v>52</v>
      </c>
    </row>
    <row r="737" spans="2:11">
      <c r="B737" s="36" t="s">
        <v>52</v>
      </c>
      <c r="D737" s="20"/>
      <c r="E737" s="20"/>
      <c r="F737" s="20"/>
      <c r="G737" s="20"/>
      <c r="H737" s="20"/>
      <c r="I737" s="20"/>
      <c r="J737" s="20"/>
      <c r="K737" s="36" t="s">
        <v>52</v>
      </c>
    </row>
    <row r="738" spans="2:11">
      <c r="B738" s="36" t="s">
        <v>52</v>
      </c>
      <c r="D738" s="20"/>
      <c r="E738" s="20"/>
      <c r="F738" s="20"/>
      <c r="G738" s="20"/>
      <c r="H738" s="20"/>
      <c r="I738" s="20"/>
      <c r="J738" s="20"/>
      <c r="K738" s="36" t="s">
        <v>52</v>
      </c>
    </row>
    <row r="739" spans="2:11">
      <c r="B739" s="36" t="s">
        <v>52</v>
      </c>
      <c r="D739" s="20"/>
      <c r="E739" s="20"/>
      <c r="F739" s="20"/>
      <c r="G739" s="20"/>
      <c r="H739" s="20"/>
      <c r="I739" s="20"/>
      <c r="J739" s="20"/>
      <c r="K739" s="36" t="s">
        <v>52</v>
      </c>
    </row>
    <row r="740" spans="2:11">
      <c r="B740" s="36" t="s">
        <v>52</v>
      </c>
      <c r="D740" s="20"/>
      <c r="E740" s="20"/>
      <c r="F740" s="20"/>
      <c r="G740" s="20"/>
      <c r="H740" s="20"/>
      <c r="I740" s="20"/>
      <c r="J740" s="20"/>
      <c r="K740" s="36" t="s">
        <v>52</v>
      </c>
    </row>
    <row r="741" spans="2:11">
      <c r="B741" s="36" t="s">
        <v>52</v>
      </c>
      <c r="D741" s="20"/>
      <c r="E741" s="20"/>
      <c r="F741" s="20"/>
      <c r="G741" s="20"/>
      <c r="H741" s="20"/>
      <c r="I741" s="20"/>
      <c r="J741" s="20"/>
      <c r="K741" s="36" t="s">
        <v>52</v>
      </c>
    </row>
    <row r="742" spans="2:11">
      <c r="B742" s="36" t="s">
        <v>52</v>
      </c>
      <c r="D742" s="20"/>
      <c r="E742" s="20"/>
      <c r="F742" s="20"/>
      <c r="G742" s="20"/>
      <c r="H742" s="20"/>
      <c r="I742" s="20"/>
      <c r="J742" s="20"/>
      <c r="K742" s="36" t="s">
        <v>52</v>
      </c>
    </row>
    <row r="743" spans="2:11">
      <c r="B743" s="36" t="s">
        <v>52</v>
      </c>
      <c r="D743" s="20"/>
      <c r="E743" s="20"/>
      <c r="F743" s="20"/>
      <c r="G743" s="20"/>
      <c r="H743" s="20"/>
      <c r="I743" s="20"/>
      <c r="J743" s="20"/>
      <c r="K743" s="36" t="s">
        <v>52</v>
      </c>
    </row>
    <row r="744" spans="2:11">
      <c r="B744" s="36" t="s">
        <v>52</v>
      </c>
      <c r="D744" s="20"/>
      <c r="E744" s="20"/>
      <c r="F744" s="20"/>
      <c r="G744" s="20"/>
      <c r="H744" s="20"/>
      <c r="I744" s="20"/>
      <c r="J744" s="20"/>
      <c r="K744" s="36" t="s">
        <v>52</v>
      </c>
    </row>
    <row r="745" spans="2:11">
      <c r="B745" s="36" t="s">
        <v>52</v>
      </c>
      <c r="D745" s="20"/>
      <c r="E745" s="20"/>
      <c r="F745" s="20"/>
      <c r="G745" s="20"/>
      <c r="H745" s="20"/>
      <c r="I745" s="20"/>
      <c r="J745" s="20"/>
      <c r="K745" s="36" t="s">
        <v>52</v>
      </c>
    </row>
    <row r="746" spans="2:11">
      <c r="B746" s="36" t="s">
        <v>52</v>
      </c>
      <c r="D746" s="20"/>
      <c r="E746" s="20"/>
      <c r="F746" s="20"/>
      <c r="G746" s="20"/>
      <c r="H746" s="20"/>
      <c r="I746" s="20"/>
      <c r="J746" s="20"/>
      <c r="K746" s="36" t="s">
        <v>52</v>
      </c>
    </row>
    <row r="747" spans="2:11">
      <c r="B747" s="36" t="s">
        <v>52</v>
      </c>
      <c r="D747" s="20"/>
      <c r="E747" s="20"/>
      <c r="F747" s="20"/>
      <c r="G747" s="20"/>
      <c r="H747" s="20"/>
      <c r="I747" s="20"/>
      <c r="J747" s="20"/>
      <c r="K747" s="36" t="s">
        <v>52</v>
      </c>
    </row>
    <row r="748" spans="2:11">
      <c r="B748" s="36" t="s">
        <v>52</v>
      </c>
      <c r="D748" s="20"/>
      <c r="E748" s="20"/>
      <c r="F748" s="20"/>
      <c r="G748" s="20"/>
      <c r="H748" s="20"/>
      <c r="I748" s="20"/>
      <c r="J748" s="20"/>
      <c r="K748" s="36" t="s">
        <v>52</v>
      </c>
    </row>
    <row r="749" spans="2:11">
      <c r="B749" s="36" t="s">
        <v>52</v>
      </c>
      <c r="D749" s="20"/>
      <c r="E749" s="20"/>
      <c r="F749" s="20"/>
      <c r="G749" s="20"/>
      <c r="H749" s="20"/>
      <c r="I749" s="20"/>
      <c r="J749" s="20"/>
      <c r="K749" s="36" t="s">
        <v>52</v>
      </c>
    </row>
    <row r="750" spans="2:11">
      <c r="B750" s="36" t="s">
        <v>52</v>
      </c>
      <c r="D750" s="20"/>
      <c r="E750" s="20"/>
      <c r="F750" s="20"/>
      <c r="G750" s="20"/>
      <c r="H750" s="20"/>
      <c r="I750" s="20"/>
      <c r="J750" s="20"/>
      <c r="K750" s="36" t="s">
        <v>52</v>
      </c>
    </row>
    <row r="751" spans="2:11">
      <c r="B751" s="36" t="s">
        <v>52</v>
      </c>
      <c r="D751" s="20"/>
      <c r="E751" s="20"/>
      <c r="F751" s="20"/>
      <c r="G751" s="20"/>
      <c r="H751" s="20"/>
      <c r="I751" s="20"/>
      <c r="J751" s="20"/>
      <c r="K751" s="36" t="s">
        <v>52</v>
      </c>
    </row>
    <row r="752" spans="2:11">
      <c r="B752" s="36" t="s">
        <v>52</v>
      </c>
      <c r="D752" s="20"/>
      <c r="E752" s="20"/>
      <c r="F752" s="20"/>
      <c r="G752" s="20"/>
      <c r="H752" s="20"/>
      <c r="I752" s="20"/>
      <c r="J752" s="20"/>
      <c r="K752" s="36" t="s">
        <v>52</v>
      </c>
    </row>
    <row r="753" spans="2:11">
      <c r="B753" s="36" t="s">
        <v>52</v>
      </c>
      <c r="D753" s="20"/>
      <c r="E753" s="20"/>
      <c r="F753" s="20"/>
      <c r="G753" s="20"/>
      <c r="H753" s="20"/>
      <c r="I753" s="20"/>
      <c r="J753" s="20"/>
      <c r="K753" s="36" t="s">
        <v>52</v>
      </c>
    </row>
    <row r="754" spans="2:11">
      <c r="B754" s="36" t="s">
        <v>52</v>
      </c>
      <c r="D754" s="20"/>
      <c r="E754" s="20"/>
      <c r="F754" s="20"/>
      <c r="G754" s="20"/>
      <c r="H754" s="20"/>
      <c r="I754" s="20"/>
      <c r="J754" s="20"/>
      <c r="K754" s="36" t="s">
        <v>52</v>
      </c>
    </row>
    <row r="755" spans="2:11">
      <c r="B755" s="36" t="s">
        <v>52</v>
      </c>
      <c r="D755" s="20"/>
      <c r="E755" s="20"/>
      <c r="F755" s="20"/>
      <c r="G755" s="20"/>
      <c r="H755" s="20"/>
      <c r="I755" s="20"/>
      <c r="J755" s="20"/>
      <c r="K755" s="36" t="s">
        <v>52</v>
      </c>
    </row>
    <row r="756" spans="2:11">
      <c r="B756" s="36" t="s">
        <v>52</v>
      </c>
      <c r="D756" s="20"/>
      <c r="E756" s="20"/>
      <c r="F756" s="20"/>
      <c r="G756" s="20"/>
      <c r="H756" s="20"/>
      <c r="I756" s="20"/>
      <c r="J756" s="20"/>
      <c r="K756" s="36" t="s">
        <v>52</v>
      </c>
    </row>
    <row r="757" spans="2:11">
      <c r="B757" s="36" t="s">
        <v>52</v>
      </c>
      <c r="D757" s="20"/>
      <c r="E757" s="20"/>
      <c r="F757" s="20"/>
      <c r="G757" s="20"/>
      <c r="H757" s="20"/>
      <c r="I757" s="20"/>
      <c r="J757" s="20"/>
      <c r="K757" s="36" t="s">
        <v>52</v>
      </c>
    </row>
    <row r="758" spans="2:11">
      <c r="B758" s="36" t="s">
        <v>52</v>
      </c>
      <c r="D758" s="20"/>
      <c r="E758" s="20"/>
      <c r="F758" s="20"/>
      <c r="G758" s="20"/>
      <c r="H758" s="20"/>
      <c r="I758" s="20"/>
      <c r="J758" s="20"/>
      <c r="K758" s="36" t="s">
        <v>52</v>
      </c>
    </row>
    <row r="759" spans="2:11">
      <c r="B759" s="36" t="s">
        <v>52</v>
      </c>
      <c r="D759" s="20"/>
      <c r="E759" s="20"/>
      <c r="F759" s="20"/>
      <c r="G759" s="20"/>
      <c r="H759" s="20"/>
      <c r="I759" s="20"/>
      <c r="J759" s="20"/>
      <c r="K759" s="36" t="s">
        <v>52</v>
      </c>
    </row>
    <row r="760" spans="2:11">
      <c r="B760" s="36" t="s">
        <v>52</v>
      </c>
      <c r="D760" s="20"/>
      <c r="E760" s="20"/>
      <c r="F760" s="20"/>
      <c r="G760" s="20"/>
      <c r="H760" s="20"/>
      <c r="I760" s="20"/>
      <c r="J760" s="20"/>
      <c r="K760" s="36" t="s">
        <v>52</v>
      </c>
    </row>
    <row r="761" spans="2:11">
      <c r="B761" s="36" t="s">
        <v>52</v>
      </c>
      <c r="D761" s="20"/>
      <c r="E761" s="20"/>
      <c r="F761" s="20"/>
      <c r="G761" s="20"/>
      <c r="H761" s="20"/>
      <c r="I761" s="20"/>
      <c r="J761" s="20"/>
      <c r="K761" s="36" t="s">
        <v>52</v>
      </c>
    </row>
    <row r="762" spans="2:11">
      <c r="B762" s="36" t="s">
        <v>52</v>
      </c>
      <c r="D762" s="20"/>
      <c r="E762" s="20"/>
      <c r="F762" s="20"/>
      <c r="G762" s="20"/>
      <c r="H762" s="20"/>
      <c r="I762" s="20"/>
      <c r="J762" s="20"/>
      <c r="K762" s="36" t="s">
        <v>52</v>
      </c>
    </row>
    <row r="763" spans="2:11">
      <c r="B763" s="36" t="s">
        <v>52</v>
      </c>
      <c r="D763" s="20"/>
      <c r="E763" s="20"/>
      <c r="F763" s="20"/>
      <c r="G763" s="20"/>
      <c r="H763" s="20"/>
      <c r="I763" s="20"/>
      <c r="J763" s="20"/>
      <c r="K763" s="36" t="s">
        <v>52</v>
      </c>
    </row>
    <row r="764" spans="2:11">
      <c r="B764" s="36" t="s">
        <v>52</v>
      </c>
      <c r="D764" s="20"/>
      <c r="E764" s="20"/>
      <c r="F764" s="20"/>
      <c r="G764" s="20"/>
      <c r="H764" s="20"/>
      <c r="I764" s="20"/>
      <c r="J764" s="20"/>
      <c r="K764" s="36" t="s">
        <v>52</v>
      </c>
    </row>
    <row r="765" spans="2:11">
      <c r="B765" s="36" t="s">
        <v>52</v>
      </c>
      <c r="D765" s="20"/>
      <c r="E765" s="20"/>
      <c r="F765" s="20"/>
      <c r="G765" s="20"/>
      <c r="H765" s="20"/>
      <c r="I765" s="20"/>
      <c r="J765" s="20"/>
      <c r="K765" s="36" t="s">
        <v>52</v>
      </c>
    </row>
    <row r="766" spans="2:11">
      <c r="B766" s="36" t="s">
        <v>52</v>
      </c>
      <c r="D766" s="20"/>
      <c r="E766" s="20"/>
      <c r="F766" s="20"/>
      <c r="G766" s="20"/>
      <c r="H766" s="20"/>
      <c r="I766" s="20"/>
      <c r="J766" s="20"/>
      <c r="K766" s="36" t="s">
        <v>52</v>
      </c>
    </row>
    <row r="767" spans="2:11">
      <c r="B767" s="36" t="s">
        <v>52</v>
      </c>
      <c r="D767" s="20"/>
      <c r="E767" s="20"/>
      <c r="F767" s="20"/>
      <c r="G767" s="20"/>
      <c r="H767" s="20"/>
      <c r="I767" s="20"/>
      <c r="J767" s="20"/>
      <c r="K767" s="36" t="s">
        <v>52</v>
      </c>
    </row>
    <row r="768" spans="2:11">
      <c r="B768" s="36" t="s">
        <v>52</v>
      </c>
      <c r="D768" s="20"/>
      <c r="E768" s="20"/>
      <c r="F768" s="20"/>
      <c r="G768" s="20"/>
      <c r="H768" s="20"/>
      <c r="I768" s="20"/>
      <c r="J768" s="20"/>
      <c r="K768" s="36" t="s">
        <v>52</v>
      </c>
    </row>
    <row r="769" spans="2:11">
      <c r="B769" s="36" t="s">
        <v>52</v>
      </c>
      <c r="D769" s="20"/>
      <c r="E769" s="20"/>
      <c r="F769" s="20"/>
      <c r="G769" s="20"/>
      <c r="H769" s="20"/>
      <c r="I769" s="20"/>
      <c r="J769" s="20"/>
      <c r="K769" s="36" t="s">
        <v>52</v>
      </c>
    </row>
    <row r="770" spans="2:11">
      <c r="B770" s="36" t="s">
        <v>52</v>
      </c>
      <c r="D770" s="20"/>
      <c r="E770" s="20"/>
      <c r="F770" s="20"/>
      <c r="G770" s="20"/>
      <c r="H770" s="20"/>
      <c r="I770" s="20"/>
      <c r="J770" s="20"/>
      <c r="K770" s="36" t="s">
        <v>52</v>
      </c>
    </row>
    <row r="771" spans="2:11">
      <c r="B771" s="36" t="s">
        <v>52</v>
      </c>
      <c r="D771" s="20"/>
      <c r="E771" s="20"/>
      <c r="F771" s="20"/>
      <c r="G771" s="20"/>
      <c r="H771" s="20"/>
      <c r="I771" s="20"/>
      <c r="J771" s="20"/>
      <c r="K771" s="36" t="s">
        <v>52</v>
      </c>
    </row>
    <row r="772" spans="2:11">
      <c r="B772" s="36" t="s">
        <v>52</v>
      </c>
      <c r="D772" s="20"/>
      <c r="E772" s="20"/>
      <c r="F772" s="20"/>
      <c r="G772" s="20"/>
      <c r="H772" s="20"/>
      <c r="I772" s="20"/>
      <c r="J772" s="20"/>
      <c r="K772" s="36" t="s">
        <v>52</v>
      </c>
    </row>
    <row r="773" spans="2:11">
      <c r="B773" s="36" t="s">
        <v>52</v>
      </c>
      <c r="D773" s="20"/>
      <c r="E773" s="20"/>
      <c r="F773" s="20"/>
      <c r="G773" s="20"/>
      <c r="H773" s="20"/>
      <c r="I773" s="20"/>
      <c r="J773" s="20"/>
      <c r="K773" s="36" t="s">
        <v>52</v>
      </c>
    </row>
    <row r="774" spans="2:11">
      <c r="B774" s="36" t="s">
        <v>52</v>
      </c>
      <c r="D774" s="20"/>
      <c r="E774" s="20"/>
      <c r="F774" s="20"/>
      <c r="G774" s="20"/>
      <c r="H774" s="20"/>
      <c r="I774" s="20"/>
      <c r="J774" s="20"/>
      <c r="K774" s="36" t="s">
        <v>52</v>
      </c>
    </row>
    <row r="775" spans="2:11">
      <c r="B775" s="36" t="s">
        <v>52</v>
      </c>
      <c r="D775" s="20"/>
      <c r="E775" s="20"/>
      <c r="F775" s="20"/>
      <c r="G775" s="20"/>
      <c r="H775" s="20"/>
      <c r="I775" s="20"/>
      <c r="J775" s="20"/>
      <c r="K775" s="36" t="s">
        <v>52</v>
      </c>
    </row>
    <row r="776" spans="2:11">
      <c r="B776" s="36" t="s">
        <v>52</v>
      </c>
      <c r="D776" s="20"/>
      <c r="E776" s="20"/>
      <c r="F776" s="20"/>
      <c r="G776" s="20"/>
      <c r="H776" s="20"/>
      <c r="I776" s="20"/>
      <c r="J776" s="20"/>
      <c r="K776" s="36" t="s">
        <v>52</v>
      </c>
    </row>
    <row r="777" spans="2:11">
      <c r="B777" s="36" t="s">
        <v>52</v>
      </c>
      <c r="D777" s="20"/>
      <c r="E777" s="20"/>
      <c r="F777" s="20"/>
      <c r="G777" s="20"/>
      <c r="H777" s="20"/>
      <c r="I777" s="20"/>
      <c r="J777" s="20"/>
      <c r="K777" s="36" t="s">
        <v>52</v>
      </c>
    </row>
    <row r="778" spans="2:11">
      <c r="B778" s="36" t="s">
        <v>52</v>
      </c>
      <c r="D778" s="20"/>
      <c r="E778" s="20"/>
      <c r="F778" s="20"/>
      <c r="G778" s="20"/>
      <c r="H778" s="20"/>
      <c r="I778" s="20"/>
      <c r="J778" s="20"/>
      <c r="K778" s="36" t="s">
        <v>52</v>
      </c>
    </row>
    <row r="779" spans="2:11">
      <c r="B779" s="36" t="s">
        <v>52</v>
      </c>
      <c r="D779" s="20"/>
      <c r="E779" s="20"/>
      <c r="F779" s="20"/>
      <c r="G779" s="20"/>
      <c r="H779" s="20"/>
      <c r="I779" s="20"/>
      <c r="J779" s="20"/>
      <c r="K779" s="36" t="s">
        <v>52</v>
      </c>
    </row>
    <row r="780" spans="2:11">
      <c r="B780" s="36" t="s">
        <v>52</v>
      </c>
      <c r="D780" s="20"/>
      <c r="E780" s="20"/>
      <c r="F780" s="20"/>
      <c r="G780" s="20"/>
      <c r="H780" s="20"/>
      <c r="I780" s="20"/>
      <c r="J780" s="20"/>
      <c r="K780" s="36" t="s">
        <v>52</v>
      </c>
    </row>
    <row r="781" spans="2:11">
      <c r="B781" s="36" t="s">
        <v>52</v>
      </c>
      <c r="D781" s="20"/>
      <c r="E781" s="20"/>
      <c r="F781" s="20"/>
      <c r="G781" s="20"/>
      <c r="H781" s="20"/>
      <c r="I781" s="20"/>
      <c r="J781" s="20"/>
      <c r="K781" s="36" t="s">
        <v>52</v>
      </c>
    </row>
    <row r="782" spans="2:11">
      <c r="B782" s="36" t="s">
        <v>52</v>
      </c>
      <c r="D782" s="20"/>
      <c r="E782" s="20"/>
      <c r="F782" s="20"/>
      <c r="G782" s="20"/>
      <c r="H782" s="20"/>
      <c r="I782" s="20"/>
      <c r="J782" s="20"/>
      <c r="K782" s="36" t="s">
        <v>52</v>
      </c>
    </row>
    <row r="783" spans="2:11">
      <c r="B783" s="36" t="s">
        <v>52</v>
      </c>
      <c r="D783" s="20"/>
      <c r="E783" s="20"/>
      <c r="F783" s="20"/>
      <c r="G783" s="20"/>
      <c r="H783" s="20"/>
      <c r="I783" s="20"/>
      <c r="J783" s="20"/>
      <c r="K783" s="36" t="s">
        <v>52</v>
      </c>
    </row>
    <row r="784" spans="2:11">
      <c r="B784" s="36" t="s">
        <v>52</v>
      </c>
      <c r="D784" s="20"/>
      <c r="E784" s="20"/>
      <c r="F784" s="20"/>
      <c r="G784" s="20"/>
      <c r="H784" s="20"/>
      <c r="I784" s="20"/>
      <c r="J784" s="20"/>
      <c r="K784" s="36" t="s">
        <v>52</v>
      </c>
    </row>
    <row r="785" spans="2:11">
      <c r="B785" s="36" t="s">
        <v>52</v>
      </c>
      <c r="D785" s="20"/>
      <c r="E785" s="20"/>
      <c r="F785" s="20"/>
      <c r="G785" s="20"/>
      <c r="H785" s="20"/>
      <c r="I785" s="20"/>
      <c r="J785" s="20"/>
      <c r="K785" s="36" t="s">
        <v>52</v>
      </c>
    </row>
    <row r="786" spans="2:11">
      <c r="B786" s="36" t="s">
        <v>52</v>
      </c>
      <c r="D786" s="20"/>
      <c r="E786" s="20"/>
      <c r="F786" s="20"/>
      <c r="G786" s="20"/>
      <c r="H786" s="20"/>
      <c r="I786" s="20"/>
      <c r="J786" s="20"/>
      <c r="K786" s="36" t="s">
        <v>52</v>
      </c>
    </row>
    <row r="787" spans="2:11">
      <c r="B787" s="36" t="s">
        <v>52</v>
      </c>
      <c r="D787" s="20"/>
      <c r="E787" s="20"/>
      <c r="F787" s="20"/>
      <c r="G787" s="20"/>
      <c r="H787" s="20"/>
      <c r="I787" s="20"/>
      <c r="J787" s="20"/>
      <c r="K787" s="36" t="s">
        <v>52</v>
      </c>
    </row>
    <row r="788" spans="2:11">
      <c r="B788" s="36" t="s">
        <v>52</v>
      </c>
      <c r="D788" s="20"/>
      <c r="E788" s="20"/>
      <c r="F788" s="20"/>
      <c r="G788" s="20"/>
      <c r="H788" s="20"/>
      <c r="I788" s="20"/>
      <c r="J788" s="20"/>
      <c r="K788" s="36" t="s">
        <v>52</v>
      </c>
    </row>
    <row r="789" spans="2:11">
      <c r="B789" s="36" t="s">
        <v>52</v>
      </c>
      <c r="D789" s="20"/>
      <c r="E789" s="20"/>
      <c r="F789" s="20"/>
      <c r="G789" s="20"/>
      <c r="H789" s="20"/>
      <c r="I789" s="20"/>
      <c r="J789" s="20"/>
      <c r="K789" s="36" t="s">
        <v>52</v>
      </c>
    </row>
    <row r="790" spans="2:11">
      <c r="B790" s="36" t="s">
        <v>52</v>
      </c>
      <c r="D790" s="20"/>
      <c r="E790" s="20"/>
      <c r="F790" s="20"/>
      <c r="G790" s="20"/>
      <c r="H790" s="20"/>
      <c r="I790" s="20"/>
      <c r="J790" s="20"/>
      <c r="K790" s="36" t="s">
        <v>52</v>
      </c>
    </row>
    <row r="791" spans="2:11">
      <c r="B791" s="36" t="s">
        <v>52</v>
      </c>
      <c r="D791" s="20"/>
      <c r="E791" s="20"/>
      <c r="F791" s="20"/>
      <c r="G791" s="20"/>
      <c r="H791" s="20"/>
      <c r="I791" s="20"/>
      <c r="J791" s="20"/>
      <c r="K791" s="36" t="s">
        <v>52</v>
      </c>
    </row>
    <row r="792" spans="2:11">
      <c r="B792" s="36" t="s">
        <v>52</v>
      </c>
      <c r="D792" s="20"/>
      <c r="E792" s="20"/>
      <c r="F792" s="20"/>
      <c r="G792" s="20"/>
      <c r="H792" s="20"/>
      <c r="I792" s="20"/>
      <c r="J792" s="20"/>
      <c r="K792" s="36" t="s">
        <v>52</v>
      </c>
    </row>
    <row r="793" spans="2:11">
      <c r="B793" s="36" t="s">
        <v>52</v>
      </c>
      <c r="D793" s="20"/>
      <c r="E793" s="20"/>
      <c r="F793" s="20"/>
      <c r="G793" s="20"/>
      <c r="H793" s="20"/>
      <c r="I793" s="20"/>
      <c r="J793" s="20"/>
      <c r="K793" s="36" t="s">
        <v>52</v>
      </c>
    </row>
    <row r="794" spans="2:11">
      <c r="B794" s="36" t="s">
        <v>52</v>
      </c>
      <c r="D794" s="20"/>
      <c r="E794" s="20"/>
      <c r="F794" s="20"/>
      <c r="G794" s="20"/>
      <c r="H794" s="20"/>
      <c r="I794" s="20"/>
      <c r="J794" s="20"/>
      <c r="K794" s="36" t="s">
        <v>52</v>
      </c>
    </row>
    <row r="795" spans="2:11">
      <c r="B795" s="36" t="s">
        <v>52</v>
      </c>
      <c r="D795" s="20"/>
      <c r="E795" s="20"/>
      <c r="F795" s="20"/>
      <c r="G795" s="20"/>
      <c r="H795" s="20"/>
      <c r="I795" s="20"/>
      <c r="J795" s="20"/>
      <c r="K795" s="36" t="s">
        <v>52</v>
      </c>
    </row>
    <row r="796" spans="2:11">
      <c r="B796" s="36" t="s">
        <v>52</v>
      </c>
      <c r="D796" s="20"/>
      <c r="E796" s="20"/>
      <c r="F796" s="20"/>
      <c r="G796" s="20"/>
      <c r="H796" s="20"/>
      <c r="I796" s="20"/>
      <c r="J796" s="20"/>
      <c r="K796" s="36" t="s">
        <v>52</v>
      </c>
    </row>
    <row r="797" spans="2:11">
      <c r="B797" s="36" t="s">
        <v>52</v>
      </c>
      <c r="D797" s="20"/>
      <c r="E797" s="20"/>
      <c r="F797" s="20"/>
      <c r="G797" s="20"/>
      <c r="H797" s="20"/>
      <c r="I797" s="20"/>
      <c r="J797" s="20"/>
      <c r="K797" s="36" t="s">
        <v>52</v>
      </c>
    </row>
    <row r="798" spans="2:11">
      <c r="B798" s="36" t="s">
        <v>52</v>
      </c>
      <c r="D798" s="20"/>
      <c r="E798" s="20"/>
      <c r="F798" s="20"/>
      <c r="G798" s="20"/>
      <c r="H798" s="20"/>
      <c r="I798" s="20"/>
      <c r="J798" s="20"/>
      <c r="K798" s="36" t="s">
        <v>52</v>
      </c>
    </row>
    <row r="799" spans="2:11">
      <c r="B799" s="36" t="s">
        <v>52</v>
      </c>
      <c r="D799" s="20"/>
      <c r="E799" s="20"/>
      <c r="F799" s="20"/>
      <c r="G799" s="20"/>
      <c r="H799" s="20"/>
      <c r="I799" s="20"/>
      <c r="J799" s="20"/>
      <c r="K799" s="36" t="s">
        <v>52</v>
      </c>
    </row>
    <row r="800" spans="2:11">
      <c r="B800" s="36" t="s">
        <v>52</v>
      </c>
      <c r="D800" s="20"/>
      <c r="E800" s="20"/>
      <c r="F800" s="20"/>
      <c r="G800" s="20"/>
      <c r="H800" s="20"/>
      <c r="I800" s="20"/>
      <c r="J800" s="20"/>
      <c r="K800" s="36" t="s">
        <v>52</v>
      </c>
    </row>
    <row r="801" spans="2:11">
      <c r="B801" s="36" t="s">
        <v>52</v>
      </c>
      <c r="D801" s="20"/>
      <c r="E801" s="20"/>
      <c r="F801" s="20"/>
      <c r="G801" s="20"/>
      <c r="H801" s="20"/>
      <c r="I801" s="20"/>
      <c r="J801" s="20"/>
      <c r="K801" s="36" t="s">
        <v>52</v>
      </c>
    </row>
    <row r="802" spans="2:11">
      <c r="B802" s="36" t="s">
        <v>52</v>
      </c>
      <c r="D802" s="20"/>
      <c r="E802" s="20"/>
      <c r="F802" s="20"/>
      <c r="G802" s="20"/>
      <c r="H802" s="20"/>
      <c r="I802" s="20"/>
      <c r="J802" s="20"/>
      <c r="K802" s="36" t="s">
        <v>52</v>
      </c>
    </row>
    <row r="803" spans="2:11">
      <c r="B803" s="36" t="s">
        <v>52</v>
      </c>
      <c r="D803" s="20"/>
      <c r="E803" s="20"/>
      <c r="F803" s="20"/>
      <c r="G803" s="20"/>
      <c r="H803" s="20"/>
      <c r="I803" s="20"/>
      <c r="J803" s="20"/>
      <c r="K803" s="36" t="s">
        <v>52</v>
      </c>
    </row>
    <row r="804" spans="2:11">
      <c r="B804" s="36" t="s">
        <v>52</v>
      </c>
      <c r="D804" s="20"/>
      <c r="E804" s="20"/>
      <c r="F804" s="20"/>
      <c r="G804" s="20"/>
      <c r="H804" s="20"/>
      <c r="I804" s="20"/>
      <c r="J804" s="20"/>
      <c r="K804" s="36" t="s">
        <v>52</v>
      </c>
    </row>
    <row r="805" spans="2:11">
      <c r="B805" s="36" t="s">
        <v>52</v>
      </c>
      <c r="D805" s="20"/>
      <c r="E805" s="20"/>
      <c r="F805" s="20"/>
      <c r="G805" s="20"/>
      <c r="H805" s="20"/>
      <c r="I805" s="20"/>
      <c r="J805" s="20"/>
      <c r="K805" s="36" t="s">
        <v>52</v>
      </c>
    </row>
    <row r="806" spans="2:11">
      <c r="B806" s="36" t="s">
        <v>52</v>
      </c>
      <c r="D806" s="20"/>
      <c r="E806" s="20"/>
      <c r="F806" s="20"/>
      <c r="G806" s="20"/>
      <c r="H806" s="20"/>
      <c r="I806" s="20"/>
      <c r="J806" s="20"/>
      <c r="K806" s="36" t="s">
        <v>52</v>
      </c>
    </row>
    <row r="807" spans="2:11">
      <c r="B807" s="36" t="s">
        <v>52</v>
      </c>
      <c r="D807" s="20"/>
      <c r="E807" s="20"/>
      <c r="F807" s="20"/>
      <c r="G807" s="20"/>
      <c r="H807" s="20"/>
      <c r="I807" s="20"/>
      <c r="J807" s="20"/>
      <c r="K807" s="36" t="s">
        <v>52</v>
      </c>
    </row>
    <row r="808" spans="2:11">
      <c r="B808" s="36" t="s">
        <v>52</v>
      </c>
      <c r="D808" s="20"/>
      <c r="E808" s="20"/>
      <c r="F808" s="20"/>
      <c r="G808" s="20"/>
      <c r="H808" s="20"/>
      <c r="I808" s="20"/>
      <c r="J808" s="20"/>
      <c r="K808" s="36" t="s">
        <v>52</v>
      </c>
    </row>
    <row r="809" spans="2:11">
      <c r="B809" s="36" t="s">
        <v>52</v>
      </c>
      <c r="D809" s="20"/>
      <c r="E809" s="20"/>
      <c r="F809" s="20"/>
      <c r="G809" s="20"/>
      <c r="H809" s="20"/>
      <c r="I809" s="20"/>
      <c r="J809" s="20"/>
      <c r="K809" s="36" t="s">
        <v>52</v>
      </c>
    </row>
    <row r="810" spans="2:11">
      <c r="B810" s="36" t="s">
        <v>52</v>
      </c>
      <c r="D810" s="20"/>
      <c r="E810" s="20"/>
      <c r="F810" s="20"/>
      <c r="G810" s="20"/>
      <c r="H810" s="20"/>
      <c r="I810" s="20"/>
      <c r="J810" s="20"/>
      <c r="K810" s="36" t="s">
        <v>52</v>
      </c>
    </row>
    <row r="811" spans="2:11">
      <c r="B811" s="36" t="s">
        <v>52</v>
      </c>
      <c r="D811" s="20"/>
      <c r="E811" s="20"/>
      <c r="F811" s="20"/>
      <c r="G811" s="20"/>
      <c r="H811" s="20"/>
      <c r="I811" s="20"/>
      <c r="J811" s="20"/>
      <c r="K811" s="36" t="s">
        <v>52</v>
      </c>
    </row>
    <row r="812" spans="2:11">
      <c r="B812" s="36" t="s">
        <v>52</v>
      </c>
      <c r="D812" s="20"/>
      <c r="E812" s="20"/>
      <c r="F812" s="20"/>
      <c r="G812" s="20"/>
      <c r="H812" s="20"/>
      <c r="I812" s="20"/>
      <c r="J812" s="20"/>
      <c r="K812" s="36" t="s">
        <v>52</v>
      </c>
    </row>
    <row r="813" spans="2:11">
      <c r="B813" s="36" t="s">
        <v>52</v>
      </c>
      <c r="D813" s="20"/>
      <c r="E813" s="20"/>
      <c r="F813" s="20"/>
      <c r="G813" s="20"/>
      <c r="H813" s="20"/>
      <c r="I813" s="20"/>
      <c r="J813" s="20"/>
      <c r="K813" s="36" t="s">
        <v>52</v>
      </c>
    </row>
    <row r="814" spans="2:11">
      <c r="B814" s="36" t="s">
        <v>52</v>
      </c>
      <c r="D814" s="20"/>
      <c r="E814" s="20"/>
      <c r="F814" s="20"/>
      <c r="G814" s="20"/>
      <c r="H814" s="20"/>
      <c r="I814" s="20"/>
      <c r="J814" s="20"/>
      <c r="K814" s="36" t="s">
        <v>52</v>
      </c>
    </row>
    <row r="815" spans="2:11">
      <c r="B815" s="36" t="s">
        <v>52</v>
      </c>
      <c r="D815" s="20"/>
      <c r="E815" s="20"/>
      <c r="F815" s="20"/>
      <c r="G815" s="20"/>
      <c r="H815" s="20"/>
      <c r="I815" s="20"/>
      <c r="J815" s="20"/>
      <c r="K815" s="36" t="s">
        <v>52</v>
      </c>
    </row>
    <row r="816" spans="2:11">
      <c r="B816" s="36" t="s">
        <v>52</v>
      </c>
      <c r="D816" s="20"/>
      <c r="E816" s="20"/>
      <c r="F816" s="20"/>
      <c r="G816" s="20"/>
      <c r="H816" s="20"/>
      <c r="I816" s="20"/>
      <c r="J816" s="20"/>
      <c r="K816" s="36" t="s">
        <v>52</v>
      </c>
    </row>
    <row r="817" spans="2:11">
      <c r="B817" s="36" t="s">
        <v>52</v>
      </c>
      <c r="D817" s="20"/>
      <c r="E817" s="20"/>
      <c r="F817" s="20"/>
      <c r="G817" s="20"/>
      <c r="H817" s="20"/>
      <c r="I817" s="20"/>
      <c r="J817" s="20"/>
      <c r="K817" s="36" t="s">
        <v>52</v>
      </c>
    </row>
    <row r="818" spans="2:11">
      <c r="B818" s="36" t="s">
        <v>52</v>
      </c>
      <c r="D818" s="20"/>
      <c r="E818" s="20"/>
      <c r="F818" s="20"/>
      <c r="G818" s="20"/>
      <c r="H818" s="20"/>
      <c r="I818" s="20"/>
      <c r="J818" s="20"/>
      <c r="K818" s="36" t="s">
        <v>52</v>
      </c>
    </row>
    <row r="819" spans="2:11">
      <c r="B819" s="36" t="s">
        <v>52</v>
      </c>
      <c r="D819" s="20"/>
      <c r="E819" s="20"/>
      <c r="F819" s="20"/>
      <c r="G819" s="20"/>
      <c r="H819" s="20"/>
      <c r="I819" s="20"/>
      <c r="J819" s="20"/>
      <c r="K819" s="36" t="s">
        <v>52</v>
      </c>
    </row>
    <row r="820" spans="2:11">
      <c r="B820" s="36" t="s">
        <v>52</v>
      </c>
      <c r="D820" s="20"/>
      <c r="E820" s="20"/>
      <c r="F820" s="20"/>
      <c r="G820" s="20"/>
      <c r="H820" s="20"/>
      <c r="I820" s="20"/>
      <c r="J820" s="20"/>
      <c r="K820" s="36" t="s">
        <v>52</v>
      </c>
    </row>
    <row r="821" spans="2:11">
      <c r="B821" s="36" t="s">
        <v>52</v>
      </c>
      <c r="D821" s="20"/>
      <c r="E821" s="20"/>
      <c r="F821" s="20"/>
      <c r="G821" s="20"/>
      <c r="H821" s="20"/>
      <c r="I821" s="20"/>
      <c r="J821" s="20"/>
      <c r="K821" s="36" t="s">
        <v>52</v>
      </c>
    </row>
    <row r="822" spans="2:11">
      <c r="B822" s="36" t="s">
        <v>52</v>
      </c>
      <c r="D822" s="20"/>
      <c r="E822" s="20"/>
      <c r="F822" s="20"/>
      <c r="G822" s="20"/>
      <c r="H822" s="20"/>
      <c r="I822" s="20"/>
      <c r="J822" s="20"/>
      <c r="K822" s="36" t="s">
        <v>52</v>
      </c>
    </row>
    <row r="823" spans="2:11">
      <c r="B823" s="36" t="s">
        <v>52</v>
      </c>
      <c r="D823" s="20"/>
      <c r="E823" s="20"/>
      <c r="F823" s="20"/>
      <c r="G823" s="20"/>
      <c r="H823" s="20"/>
      <c r="I823" s="20"/>
      <c r="J823" s="20"/>
      <c r="K823" s="36" t="s">
        <v>52</v>
      </c>
    </row>
    <row r="824" spans="2:11">
      <c r="B824" s="36" t="s">
        <v>52</v>
      </c>
      <c r="D824" s="20"/>
      <c r="E824" s="20"/>
      <c r="F824" s="20"/>
      <c r="G824" s="20"/>
      <c r="H824" s="20"/>
      <c r="I824" s="20"/>
      <c r="J824" s="20"/>
      <c r="K824" s="36" t="s">
        <v>52</v>
      </c>
    </row>
    <row r="825" spans="2:11">
      <c r="B825" s="36" t="s">
        <v>52</v>
      </c>
      <c r="D825" s="20"/>
      <c r="E825" s="20"/>
      <c r="F825" s="20"/>
      <c r="G825" s="20"/>
      <c r="H825" s="20"/>
      <c r="I825" s="20"/>
      <c r="J825" s="20"/>
      <c r="K825" s="36" t="s">
        <v>52</v>
      </c>
    </row>
    <row r="826" spans="2:11">
      <c r="B826" s="36" t="s">
        <v>52</v>
      </c>
      <c r="D826" s="20"/>
      <c r="E826" s="20"/>
      <c r="F826" s="20"/>
      <c r="G826" s="20"/>
      <c r="H826" s="20"/>
      <c r="I826" s="20"/>
      <c r="J826" s="20"/>
      <c r="K826" s="36" t="s">
        <v>52</v>
      </c>
    </row>
    <row r="827" spans="2:11">
      <c r="B827" s="36" t="s">
        <v>52</v>
      </c>
      <c r="D827" s="20"/>
      <c r="E827" s="20"/>
      <c r="F827" s="20"/>
      <c r="G827" s="20"/>
      <c r="H827" s="20"/>
      <c r="I827" s="20"/>
      <c r="J827" s="20"/>
      <c r="K827" s="36" t="s">
        <v>52</v>
      </c>
    </row>
    <row r="828" spans="2:11">
      <c r="B828" s="36" t="s">
        <v>52</v>
      </c>
      <c r="D828" s="20"/>
      <c r="E828" s="20"/>
      <c r="F828" s="20"/>
      <c r="G828" s="20"/>
      <c r="H828" s="20"/>
      <c r="I828" s="20"/>
      <c r="J828" s="20"/>
      <c r="K828" s="36" t="s">
        <v>52</v>
      </c>
    </row>
    <row r="829" spans="2:11">
      <c r="B829" s="36" t="s">
        <v>52</v>
      </c>
      <c r="D829" s="20"/>
      <c r="E829" s="20"/>
      <c r="F829" s="20"/>
      <c r="G829" s="20"/>
      <c r="H829" s="20"/>
      <c r="I829" s="20"/>
      <c r="J829" s="20"/>
      <c r="K829" s="36" t="s">
        <v>52</v>
      </c>
    </row>
    <row r="830" spans="2:11">
      <c r="B830" s="36" t="s">
        <v>52</v>
      </c>
      <c r="D830" s="20"/>
      <c r="E830" s="20"/>
      <c r="F830" s="20"/>
      <c r="G830" s="20"/>
      <c r="H830" s="20"/>
      <c r="I830" s="20"/>
      <c r="J830" s="20"/>
      <c r="K830" s="36" t="s">
        <v>52</v>
      </c>
    </row>
    <row r="831" spans="2:11">
      <c r="B831" s="36" t="s">
        <v>52</v>
      </c>
      <c r="D831" s="20"/>
      <c r="E831" s="20"/>
      <c r="F831" s="20"/>
      <c r="G831" s="20"/>
      <c r="H831" s="20"/>
      <c r="I831" s="20"/>
      <c r="J831" s="20"/>
      <c r="K831" s="36" t="s">
        <v>52</v>
      </c>
    </row>
    <row r="832" spans="2:11">
      <c r="B832" s="36" t="s">
        <v>52</v>
      </c>
      <c r="D832" s="20"/>
      <c r="E832" s="20"/>
      <c r="F832" s="20"/>
      <c r="G832" s="20"/>
      <c r="H832" s="20"/>
      <c r="I832" s="20"/>
      <c r="J832" s="20"/>
      <c r="K832" s="36" t="s">
        <v>52</v>
      </c>
    </row>
    <row r="833" spans="2:11">
      <c r="B833" s="36" t="s">
        <v>52</v>
      </c>
      <c r="D833" s="20"/>
      <c r="E833" s="20"/>
      <c r="F833" s="20"/>
      <c r="G833" s="20"/>
      <c r="H833" s="20"/>
      <c r="I833" s="20"/>
      <c r="J833" s="20"/>
      <c r="K833" s="36" t="s">
        <v>52</v>
      </c>
    </row>
    <row r="834" spans="2:11">
      <c r="B834" s="36" t="s">
        <v>52</v>
      </c>
      <c r="D834" s="20"/>
      <c r="E834" s="20"/>
      <c r="F834" s="20"/>
      <c r="G834" s="20"/>
      <c r="H834" s="20"/>
      <c r="I834" s="20"/>
      <c r="J834" s="20"/>
      <c r="K834" s="36" t="s">
        <v>52</v>
      </c>
    </row>
    <row r="835" spans="2:11">
      <c r="B835" s="36" t="s">
        <v>52</v>
      </c>
      <c r="D835" s="20"/>
      <c r="E835" s="20"/>
      <c r="F835" s="20"/>
      <c r="G835" s="20"/>
      <c r="H835" s="20"/>
      <c r="I835" s="20"/>
      <c r="J835" s="20"/>
      <c r="K835" s="36" t="s">
        <v>52</v>
      </c>
    </row>
    <row r="836" spans="2:11">
      <c r="B836" s="36" t="s">
        <v>52</v>
      </c>
      <c r="D836" s="20"/>
      <c r="E836" s="20"/>
      <c r="F836" s="20"/>
      <c r="G836" s="20"/>
      <c r="H836" s="20"/>
      <c r="I836" s="20"/>
      <c r="J836" s="20"/>
      <c r="K836" s="36" t="s">
        <v>52</v>
      </c>
    </row>
    <row r="837" spans="2:11">
      <c r="B837" s="36" t="s">
        <v>52</v>
      </c>
      <c r="D837" s="20"/>
      <c r="E837" s="20"/>
      <c r="F837" s="20"/>
      <c r="G837" s="20"/>
      <c r="H837" s="20"/>
      <c r="I837" s="20"/>
      <c r="J837" s="20"/>
      <c r="K837" s="36" t="s">
        <v>52</v>
      </c>
    </row>
    <row r="838" spans="2:11">
      <c r="B838" s="36" t="s">
        <v>52</v>
      </c>
      <c r="D838" s="20"/>
      <c r="E838" s="20"/>
      <c r="F838" s="20"/>
      <c r="G838" s="20"/>
      <c r="H838" s="20"/>
      <c r="I838" s="20"/>
      <c r="J838" s="20"/>
      <c r="K838" s="36" t="s">
        <v>52</v>
      </c>
    </row>
    <row r="839" spans="2:11">
      <c r="B839" s="36" t="s">
        <v>52</v>
      </c>
      <c r="D839" s="20"/>
      <c r="E839" s="20"/>
      <c r="F839" s="20"/>
      <c r="G839" s="20"/>
      <c r="H839" s="20"/>
      <c r="I839" s="20"/>
      <c r="J839" s="20"/>
      <c r="K839" s="36" t="s">
        <v>52</v>
      </c>
    </row>
    <row r="840" spans="2:11">
      <c r="B840" s="36" t="s">
        <v>52</v>
      </c>
      <c r="D840" s="20"/>
      <c r="E840" s="20"/>
      <c r="F840" s="20"/>
      <c r="G840" s="20"/>
      <c r="H840" s="20"/>
      <c r="I840" s="20"/>
      <c r="J840" s="20"/>
      <c r="K840" s="36" t="s">
        <v>52</v>
      </c>
    </row>
    <row r="841" spans="2:11">
      <c r="B841" s="36" t="s">
        <v>52</v>
      </c>
      <c r="D841" s="20"/>
      <c r="E841" s="20"/>
      <c r="F841" s="20"/>
      <c r="G841" s="20"/>
      <c r="H841" s="20"/>
      <c r="I841" s="20"/>
      <c r="J841" s="20"/>
      <c r="K841" s="36" t="s">
        <v>52</v>
      </c>
    </row>
    <row r="842" spans="2:11">
      <c r="B842" s="36" t="s">
        <v>52</v>
      </c>
      <c r="D842" s="20"/>
      <c r="E842" s="20"/>
      <c r="F842" s="20"/>
      <c r="G842" s="20"/>
      <c r="H842" s="20"/>
      <c r="I842" s="20"/>
      <c r="J842" s="20"/>
      <c r="K842" s="36" t="s">
        <v>52</v>
      </c>
    </row>
    <row r="843" spans="2:11">
      <c r="B843" s="36" t="s">
        <v>52</v>
      </c>
      <c r="D843" s="20"/>
      <c r="E843" s="20"/>
      <c r="F843" s="20"/>
      <c r="G843" s="20"/>
      <c r="H843" s="20"/>
      <c r="I843" s="20"/>
      <c r="J843" s="20"/>
      <c r="K843" s="36" t="s">
        <v>52</v>
      </c>
    </row>
    <row r="844" spans="2:11">
      <c r="B844" s="36" t="s">
        <v>52</v>
      </c>
      <c r="D844" s="20"/>
      <c r="E844" s="20"/>
      <c r="F844" s="20"/>
      <c r="G844" s="20"/>
      <c r="H844" s="20"/>
      <c r="I844" s="20"/>
      <c r="J844" s="20"/>
      <c r="K844" s="36" t="s">
        <v>52</v>
      </c>
    </row>
    <row r="845" spans="2:11">
      <c r="B845" s="36" t="s">
        <v>52</v>
      </c>
      <c r="D845" s="20"/>
      <c r="E845" s="20"/>
      <c r="F845" s="20"/>
      <c r="G845" s="20"/>
      <c r="H845" s="20"/>
      <c r="I845" s="20"/>
      <c r="J845" s="20"/>
      <c r="K845" s="36" t="s">
        <v>52</v>
      </c>
    </row>
    <row r="846" spans="2:11">
      <c r="B846" s="36" t="s">
        <v>52</v>
      </c>
      <c r="D846" s="20"/>
      <c r="E846" s="20"/>
      <c r="F846" s="20"/>
      <c r="G846" s="20"/>
      <c r="H846" s="20"/>
      <c r="I846" s="20"/>
      <c r="J846" s="20"/>
      <c r="K846" s="36" t="s">
        <v>52</v>
      </c>
    </row>
    <row r="847" spans="2:11">
      <c r="B847" s="36" t="s">
        <v>52</v>
      </c>
      <c r="D847" s="20"/>
      <c r="E847" s="20"/>
      <c r="F847" s="20"/>
      <c r="G847" s="20"/>
      <c r="H847" s="20"/>
      <c r="I847" s="20"/>
      <c r="J847" s="20"/>
      <c r="K847" s="36" t="s">
        <v>52</v>
      </c>
    </row>
    <row r="848" spans="2:11">
      <c r="B848" s="36" t="s">
        <v>52</v>
      </c>
      <c r="D848" s="20"/>
      <c r="E848" s="20"/>
      <c r="F848" s="20"/>
      <c r="G848" s="20"/>
      <c r="H848" s="20"/>
      <c r="I848" s="20"/>
      <c r="J848" s="20"/>
      <c r="K848" s="36" t="s">
        <v>52</v>
      </c>
    </row>
    <row r="849" spans="2:11">
      <c r="B849" s="36" t="s">
        <v>52</v>
      </c>
      <c r="D849" s="20"/>
      <c r="E849" s="20"/>
      <c r="F849" s="20"/>
      <c r="G849" s="20"/>
      <c r="H849" s="20"/>
      <c r="I849" s="20"/>
      <c r="J849" s="20"/>
      <c r="K849" s="36" t="s">
        <v>52</v>
      </c>
    </row>
    <row r="850" spans="2:11">
      <c r="B850" s="36" t="s">
        <v>52</v>
      </c>
      <c r="D850" s="20"/>
      <c r="E850" s="20"/>
      <c r="F850" s="20"/>
      <c r="G850" s="20"/>
      <c r="H850" s="20"/>
      <c r="I850" s="20"/>
      <c r="J850" s="20"/>
      <c r="K850" s="36" t="s">
        <v>52</v>
      </c>
    </row>
    <row r="851" spans="2:11">
      <c r="B851" s="36" t="s">
        <v>52</v>
      </c>
      <c r="D851" s="20"/>
      <c r="E851" s="20"/>
      <c r="F851" s="20"/>
      <c r="G851" s="20"/>
      <c r="H851" s="20"/>
      <c r="I851" s="20"/>
      <c r="J851" s="20"/>
      <c r="K851" s="36" t="s">
        <v>52</v>
      </c>
    </row>
    <row r="852" spans="2:11">
      <c r="B852" s="36" t="s">
        <v>52</v>
      </c>
      <c r="D852" s="20"/>
      <c r="E852" s="20"/>
      <c r="F852" s="20"/>
      <c r="G852" s="20"/>
      <c r="H852" s="20"/>
      <c r="I852" s="20"/>
      <c r="J852" s="20"/>
      <c r="K852" s="36" t="s">
        <v>52</v>
      </c>
    </row>
    <row r="853" spans="2:11">
      <c r="B853" s="36" t="s">
        <v>52</v>
      </c>
      <c r="D853" s="20"/>
      <c r="E853" s="20"/>
      <c r="F853" s="20"/>
      <c r="G853" s="20"/>
      <c r="H853" s="20"/>
      <c r="I853" s="20"/>
      <c r="J853" s="20"/>
      <c r="K853" s="36" t="s">
        <v>52</v>
      </c>
    </row>
    <row r="854" spans="2:11">
      <c r="B854" s="36" t="s">
        <v>52</v>
      </c>
      <c r="D854" s="20"/>
      <c r="E854" s="20"/>
      <c r="F854" s="20"/>
      <c r="G854" s="20"/>
      <c r="H854" s="20"/>
      <c r="I854" s="20"/>
      <c r="J854" s="20"/>
      <c r="K854" s="36" t="s">
        <v>52</v>
      </c>
    </row>
    <row r="855" spans="2:11">
      <c r="B855" s="36" t="s">
        <v>52</v>
      </c>
      <c r="D855" s="20"/>
      <c r="E855" s="20"/>
      <c r="F855" s="20"/>
      <c r="G855" s="20"/>
      <c r="H855" s="20"/>
      <c r="I855" s="20"/>
      <c r="J855" s="20"/>
      <c r="K855" s="36" t="s">
        <v>52</v>
      </c>
    </row>
    <row r="856" spans="2:11">
      <c r="B856" s="36" t="s">
        <v>52</v>
      </c>
      <c r="D856" s="20"/>
      <c r="E856" s="20"/>
      <c r="F856" s="20"/>
      <c r="G856" s="20"/>
      <c r="H856" s="20"/>
      <c r="I856" s="20"/>
      <c r="J856" s="20"/>
      <c r="K856" s="36" t="s">
        <v>52</v>
      </c>
    </row>
    <row r="857" spans="2:11">
      <c r="B857" s="36" t="s">
        <v>52</v>
      </c>
      <c r="D857" s="20"/>
      <c r="E857" s="20"/>
      <c r="F857" s="20"/>
      <c r="G857" s="20"/>
      <c r="H857" s="20"/>
      <c r="I857" s="20"/>
      <c r="J857" s="20"/>
      <c r="K857" s="36" t="s">
        <v>52</v>
      </c>
    </row>
    <row r="858" spans="2:11">
      <c r="B858" s="36" t="s">
        <v>52</v>
      </c>
      <c r="D858" s="20"/>
      <c r="E858" s="20"/>
      <c r="F858" s="20"/>
      <c r="G858" s="20"/>
      <c r="H858" s="20"/>
      <c r="I858" s="20"/>
      <c r="J858" s="20"/>
      <c r="K858" s="36" t="s">
        <v>52</v>
      </c>
    </row>
    <row r="859" spans="2:11">
      <c r="B859" s="36" t="s">
        <v>52</v>
      </c>
      <c r="D859" s="20"/>
      <c r="E859" s="20"/>
      <c r="F859" s="20"/>
      <c r="G859" s="20"/>
      <c r="H859" s="20"/>
      <c r="I859" s="20"/>
      <c r="J859" s="20"/>
      <c r="K859" s="36" t="s">
        <v>52</v>
      </c>
    </row>
    <row r="860" spans="2:11">
      <c r="B860" s="36" t="s">
        <v>52</v>
      </c>
      <c r="D860" s="20"/>
      <c r="E860" s="20"/>
      <c r="F860" s="20"/>
      <c r="G860" s="20"/>
      <c r="H860" s="20"/>
      <c r="I860" s="20"/>
      <c r="J860" s="20"/>
      <c r="K860" s="36" t="s">
        <v>52</v>
      </c>
    </row>
    <row r="861" spans="2:11">
      <c r="B861" s="36" t="s">
        <v>52</v>
      </c>
      <c r="D861" s="20"/>
      <c r="E861" s="20"/>
      <c r="F861" s="20"/>
      <c r="G861" s="20"/>
      <c r="H861" s="20"/>
      <c r="I861" s="20"/>
      <c r="J861" s="20"/>
      <c r="K861" s="36" t="s">
        <v>52</v>
      </c>
    </row>
    <row r="862" spans="2:11">
      <c r="B862" s="36" t="s">
        <v>52</v>
      </c>
      <c r="D862" s="20"/>
      <c r="E862" s="20"/>
      <c r="F862" s="20"/>
      <c r="G862" s="20"/>
      <c r="H862" s="20"/>
      <c r="I862" s="20"/>
      <c r="J862" s="20"/>
      <c r="K862" s="36" t="s">
        <v>52</v>
      </c>
    </row>
    <row r="863" spans="2:11">
      <c r="B863" s="36" t="s">
        <v>52</v>
      </c>
      <c r="D863" s="20"/>
      <c r="E863" s="20"/>
      <c r="F863" s="20"/>
      <c r="G863" s="20"/>
      <c r="H863" s="20"/>
      <c r="I863" s="20"/>
      <c r="J863" s="20"/>
      <c r="K863" s="36" t="s">
        <v>52</v>
      </c>
    </row>
    <row r="864" spans="2:11">
      <c r="B864" s="36" t="s">
        <v>52</v>
      </c>
      <c r="D864" s="20"/>
      <c r="E864" s="20"/>
      <c r="F864" s="20"/>
      <c r="G864" s="20"/>
      <c r="H864" s="20"/>
      <c r="I864" s="20"/>
      <c r="J864" s="20"/>
      <c r="K864" s="36" t="s">
        <v>52</v>
      </c>
    </row>
    <row r="865" spans="2:11">
      <c r="B865" s="36" t="s">
        <v>52</v>
      </c>
      <c r="D865" s="20"/>
      <c r="E865" s="20"/>
      <c r="F865" s="20"/>
      <c r="G865" s="20"/>
      <c r="H865" s="20"/>
      <c r="I865" s="20"/>
      <c r="J865" s="20"/>
      <c r="K865" s="36" t="s">
        <v>52</v>
      </c>
    </row>
    <row r="866" spans="2:11">
      <c r="B866" s="36" t="s">
        <v>52</v>
      </c>
      <c r="D866" s="20"/>
      <c r="E866" s="20"/>
      <c r="F866" s="20"/>
      <c r="G866" s="20"/>
      <c r="H866" s="20"/>
      <c r="I866" s="20"/>
      <c r="J866" s="20"/>
      <c r="K866" s="36" t="s">
        <v>52</v>
      </c>
    </row>
    <row r="867" spans="2:11">
      <c r="B867" s="36" t="s">
        <v>52</v>
      </c>
      <c r="D867" s="20"/>
      <c r="E867" s="20"/>
      <c r="F867" s="20"/>
      <c r="G867" s="20"/>
      <c r="H867" s="20"/>
      <c r="I867" s="20"/>
      <c r="J867" s="20"/>
      <c r="K867" s="36" t="s">
        <v>52</v>
      </c>
    </row>
    <row r="868" spans="2:11">
      <c r="B868" s="36" t="s">
        <v>52</v>
      </c>
      <c r="D868" s="20"/>
      <c r="E868" s="20"/>
      <c r="F868" s="20"/>
      <c r="G868" s="20"/>
      <c r="H868" s="20"/>
      <c r="I868" s="20"/>
      <c r="J868" s="20"/>
      <c r="K868" s="36" t="s">
        <v>52</v>
      </c>
    </row>
    <row r="869" spans="2:11">
      <c r="B869" s="36" t="s">
        <v>52</v>
      </c>
      <c r="D869" s="20"/>
      <c r="E869" s="20"/>
      <c r="F869" s="20"/>
      <c r="G869" s="20"/>
      <c r="H869" s="20"/>
      <c r="I869" s="20"/>
      <c r="J869" s="20"/>
      <c r="K869" s="36" t="s">
        <v>52</v>
      </c>
    </row>
    <row r="870" spans="2:11">
      <c r="B870" s="36" t="s">
        <v>52</v>
      </c>
      <c r="D870" s="20"/>
      <c r="E870" s="20"/>
      <c r="F870" s="20"/>
      <c r="G870" s="20"/>
      <c r="H870" s="20"/>
      <c r="I870" s="20"/>
      <c r="J870" s="20"/>
      <c r="K870" s="36" t="s">
        <v>52</v>
      </c>
    </row>
    <row r="871" spans="2:11">
      <c r="B871" s="36" t="s">
        <v>52</v>
      </c>
      <c r="D871" s="20"/>
      <c r="E871" s="20"/>
      <c r="F871" s="20"/>
      <c r="G871" s="20"/>
      <c r="H871" s="20"/>
      <c r="I871" s="20"/>
      <c r="J871" s="20"/>
      <c r="K871" s="36" t="s">
        <v>52</v>
      </c>
    </row>
    <row r="872" spans="2:11">
      <c r="B872" s="36" t="s">
        <v>52</v>
      </c>
      <c r="D872" s="20"/>
      <c r="E872" s="20"/>
      <c r="F872" s="20"/>
      <c r="G872" s="20"/>
      <c r="H872" s="20"/>
      <c r="I872" s="20"/>
      <c r="J872" s="20"/>
      <c r="K872" s="36" t="s">
        <v>52</v>
      </c>
    </row>
    <row r="873" spans="2:11">
      <c r="B873" s="36" t="s">
        <v>52</v>
      </c>
      <c r="D873" s="20"/>
      <c r="E873" s="20"/>
      <c r="F873" s="20"/>
      <c r="G873" s="20"/>
      <c r="H873" s="20"/>
      <c r="I873" s="20"/>
      <c r="J873" s="20"/>
      <c r="K873" s="36" t="s">
        <v>52</v>
      </c>
    </row>
    <row r="874" spans="2:11">
      <c r="B874" s="36" t="s">
        <v>52</v>
      </c>
      <c r="D874" s="20"/>
      <c r="E874" s="20"/>
      <c r="F874" s="20"/>
      <c r="G874" s="20"/>
      <c r="H874" s="20"/>
      <c r="I874" s="20"/>
      <c r="J874" s="20"/>
      <c r="K874" s="36" t="s">
        <v>52</v>
      </c>
    </row>
    <row r="875" spans="2:11">
      <c r="B875" s="36" t="s">
        <v>52</v>
      </c>
      <c r="D875" s="20"/>
      <c r="E875" s="20"/>
      <c r="F875" s="20"/>
      <c r="G875" s="20"/>
      <c r="H875" s="20"/>
      <c r="I875" s="20"/>
      <c r="J875" s="20"/>
      <c r="K875" s="36" t="s">
        <v>52</v>
      </c>
    </row>
    <row r="876" spans="2:11">
      <c r="B876" s="36" t="s">
        <v>52</v>
      </c>
      <c r="D876" s="20"/>
      <c r="E876" s="20"/>
      <c r="F876" s="20"/>
      <c r="G876" s="20"/>
      <c r="H876" s="20"/>
      <c r="I876" s="20"/>
      <c r="J876" s="20"/>
      <c r="K876" s="36" t="s">
        <v>52</v>
      </c>
    </row>
    <row r="877" spans="2:11">
      <c r="B877" s="36" t="s">
        <v>52</v>
      </c>
      <c r="D877" s="20"/>
      <c r="E877" s="20"/>
      <c r="F877" s="20"/>
      <c r="G877" s="20"/>
      <c r="H877" s="20"/>
      <c r="I877" s="20"/>
      <c r="J877" s="20"/>
      <c r="K877" s="36" t="s">
        <v>52</v>
      </c>
    </row>
    <row r="878" spans="2:11">
      <c r="B878" s="36" t="s">
        <v>52</v>
      </c>
      <c r="D878" s="20"/>
      <c r="E878" s="20"/>
      <c r="F878" s="20"/>
      <c r="G878" s="20"/>
      <c r="H878" s="20"/>
      <c r="I878" s="20"/>
      <c r="J878" s="20"/>
      <c r="K878" s="36" t="s">
        <v>52</v>
      </c>
    </row>
    <row r="879" spans="2:11">
      <c r="B879" s="36" t="s">
        <v>52</v>
      </c>
      <c r="D879" s="20"/>
      <c r="E879" s="20"/>
      <c r="F879" s="20"/>
      <c r="G879" s="20"/>
      <c r="H879" s="20"/>
      <c r="I879" s="20"/>
      <c r="J879" s="20"/>
      <c r="K879" s="36" t="s">
        <v>52</v>
      </c>
    </row>
    <row r="880" spans="2:11">
      <c r="B880" s="36" t="s">
        <v>52</v>
      </c>
      <c r="D880" s="20"/>
      <c r="E880" s="20"/>
      <c r="F880" s="20"/>
      <c r="G880" s="20"/>
      <c r="H880" s="20"/>
      <c r="I880" s="20"/>
      <c r="J880" s="20"/>
      <c r="K880" s="36" t="s">
        <v>52</v>
      </c>
    </row>
    <row r="881" spans="2:11">
      <c r="B881" s="36" t="s">
        <v>52</v>
      </c>
      <c r="D881" s="20"/>
      <c r="E881" s="20"/>
      <c r="F881" s="20"/>
      <c r="G881" s="20"/>
      <c r="H881" s="20"/>
      <c r="I881" s="20"/>
      <c r="J881" s="20"/>
      <c r="K881" s="36" t="s">
        <v>52</v>
      </c>
    </row>
    <row r="882" spans="2:11">
      <c r="B882" s="36" t="s">
        <v>52</v>
      </c>
      <c r="D882" s="20"/>
      <c r="E882" s="20"/>
      <c r="F882" s="20"/>
      <c r="G882" s="20"/>
      <c r="H882" s="20"/>
      <c r="I882" s="20"/>
      <c r="J882" s="20"/>
      <c r="K882" s="36" t="s">
        <v>52</v>
      </c>
    </row>
    <row r="883" spans="2:11">
      <c r="B883" s="36" t="s">
        <v>52</v>
      </c>
      <c r="D883" s="20"/>
      <c r="E883" s="20"/>
      <c r="F883" s="20"/>
      <c r="G883" s="20"/>
      <c r="H883" s="20"/>
      <c r="I883" s="20"/>
      <c r="J883" s="20"/>
      <c r="K883" s="36" t="s">
        <v>52</v>
      </c>
    </row>
    <row r="884" spans="2:11">
      <c r="B884" s="36" t="s">
        <v>52</v>
      </c>
      <c r="D884" s="20"/>
      <c r="E884" s="20"/>
      <c r="F884" s="20"/>
      <c r="G884" s="20"/>
      <c r="H884" s="20"/>
      <c r="I884" s="20"/>
      <c r="J884" s="20"/>
      <c r="K884" s="36" t="s">
        <v>52</v>
      </c>
    </row>
    <row r="885" spans="2:11">
      <c r="B885" s="36" t="s">
        <v>52</v>
      </c>
      <c r="D885" s="20"/>
      <c r="E885" s="20"/>
      <c r="F885" s="20"/>
      <c r="G885" s="20"/>
      <c r="H885" s="20"/>
      <c r="I885" s="20"/>
      <c r="J885" s="20"/>
      <c r="K885" s="36" t="s">
        <v>52</v>
      </c>
    </row>
    <row r="886" spans="2:11">
      <c r="B886" s="36" t="s">
        <v>52</v>
      </c>
      <c r="D886" s="20"/>
      <c r="E886" s="20"/>
      <c r="F886" s="20"/>
      <c r="G886" s="20"/>
      <c r="H886" s="20"/>
      <c r="I886" s="20"/>
      <c r="J886" s="20"/>
      <c r="K886" s="36" t="s">
        <v>52</v>
      </c>
    </row>
    <row r="887" spans="2:11">
      <c r="B887" s="36" t="s">
        <v>52</v>
      </c>
      <c r="D887" s="20"/>
      <c r="E887" s="20"/>
      <c r="F887" s="20"/>
      <c r="G887" s="20"/>
      <c r="H887" s="20"/>
      <c r="I887" s="20"/>
      <c r="J887" s="20"/>
      <c r="K887" s="36" t="s">
        <v>52</v>
      </c>
    </row>
    <row r="888" spans="2:11">
      <c r="B888" s="36" t="s">
        <v>52</v>
      </c>
      <c r="D888" s="20"/>
      <c r="E888" s="20"/>
      <c r="F888" s="20"/>
      <c r="G888" s="20"/>
      <c r="H888" s="20"/>
      <c r="I888" s="20"/>
      <c r="J888" s="20"/>
      <c r="K888" s="36" t="s">
        <v>52</v>
      </c>
    </row>
    <row r="889" spans="2:11">
      <c r="B889" s="36" t="s">
        <v>52</v>
      </c>
      <c r="D889" s="20"/>
      <c r="E889" s="20"/>
      <c r="F889" s="20"/>
      <c r="G889" s="20"/>
      <c r="H889" s="20"/>
      <c r="I889" s="20"/>
      <c r="J889" s="20"/>
      <c r="K889" s="36" t="s">
        <v>52</v>
      </c>
    </row>
    <row r="890" spans="2:11">
      <c r="B890" s="36" t="s">
        <v>52</v>
      </c>
      <c r="D890" s="20"/>
      <c r="E890" s="20"/>
      <c r="F890" s="20"/>
      <c r="G890" s="20"/>
      <c r="H890" s="20"/>
      <c r="I890" s="20"/>
      <c r="J890" s="20"/>
      <c r="K890" s="36" t="s">
        <v>52</v>
      </c>
    </row>
    <row r="891" spans="2:11">
      <c r="B891" s="36" t="s">
        <v>52</v>
      </c>
      <c r="D891" s="20"/>
      <c r="E891" s="20"/>
      <c r="F891" s="20"/>
      <c r="G891" s="20"/>
      <c r="H891" s="20"/>
      <c r="I891" s="20"/>
      <c r="J891" s="20"/>
      <c r="K891" s="36" t="s">
        <v>52</v>
      </c>
    </row>
    <row r="892" spans="2:11">
      <c r="B892" s="36" t="s">
        <v>52</v>
      </c>
      <c r="D892" s="20"/>
      <c r="E892" s="20"/>
      <c r="F892" s="20"/>
      <c r="G892" s="20"/>
      <c r="H892" s="20"/>
      <c r="I892" s="20"/>
      <c r="J892" s="20"/>
      <c r="K892" s="36" t="s">
        <v>52</v>
      </c>
    </row>
    <row r="893" spans="2:11">
      <c r="B893" s="36" t="s">
        <v>52</v>
      </c>
      <c r="D893" s="20"/>
      <c r="E893" s="20"/>
      <c r="F893" s="20"/>
      <c r="G893" s="20"/>
      <c r="H893" s="20"/>
      <c r="I893" s="20"/>
      <c r="J893" s="20"/>
      <c r="K893" s="36" t="s">
        <v>52</v>
      </c>
    </row>
    <row r="894" spans="2:11">
      <c r="B894" s="36" t="s">
        <v>52</v>
      </c>
      <c r="D894" s="20"/>
      <c r="E894" s="20"/>
      <c r="F894" s="20"/>
      <c r="G894" s="20"/>
      <c r="H894" s="20"/>
      <c r="I894" s="20"/>
      <c r="J894" s="20"/>
      <c r="K894" s="36" t="s">
        <v>52</v>
      </c>
    </row>
    <row r="895" spans="2:11">
      <c r="B895" s="36" t="s">
        <v>52</v>
      </c>
      <c r="D895" s="20"/>
      <c r="E895" s="20"/>
      <c r="F895" s="20"/>
      <c r="G895" s="20"/>
      <c r="H895" s="20"/>
      <c r="I895" s="20"/>
      <c r="J895" s="20"/>
      <c r="K895" s="36" t="s">
        <v>52</v>
      </c>
    </row>
    <row r="896" spans="2:11">
      <c r="B896" s="36" t="s">
        <v>52</v>
      </c>
      <c r="D896" s="20"/>
      <c r="E896" s="20"/>
      <c r="F896" s="20"/>
      <c r="G896" s="20"/>
      <c r="H896" s="20"/>
      <c r="I896" s="20"/>
      <c r="J896" s="20"/>
      <c r="K896" s="36" t="s">
        <v>52</v>
      </c>
    </row>
    <row r="897" spans="2:11">
      <c r="B897" s="36" t="s">
        <v>52</v>
      </c>
      <c r="D897" s="20"/>
      <c r="E897" s="20"/>
      <c r="F897" s="20"/>
      <c r="G897" s="20"/>
      <c r="H897" s="20"/>
      <c r="I897" s="20"/>
      <c r="J897" s="20"/>
      <c r="K897" s="36" t="s">
        <v>52</v>
      </c>
    </row>
    <row r="898" spans="2:11">
      <c r="B898" s="36" t="s">
        <v>52</v>
      </c>
      <c r="D898" s="20"/>
      <c r="E898" s="20"/>
      <c r="F898" s="20"/>
      <c r="G898" s="20"/>
      <c r="H898" s="20"/>
      <c r="I898" s="20"/>
      <c r="J898" s="20"/>
      <c r="K898" s="36" t="s">
        <v>52</v>
      </c>
    </row>
    <row r="899" spans="2:11">
      <c r="B899" s="36" t="s">
        <v>52</v>
      </c>
      <c r="D899" s="20"/>
      <c r="E899" s="20"/>
      <c r="F899" s="20"/>
      <c r="G899" s="20"/>
      <c r="H899" s="20"/>
      <c r="I899" s="20"/>
      <c r="J899" s="20"/>
      <c r="K899" s="36" t="s">
        <v>52</v>
      </c>
    </row>
    <row r="900" spans="2:11">
      <c r="B900" s="36" t="s">
        <v>52</v>
      </c>
      <c r="D900" s="20"/>
      <c r="E900" s="20"/>
      <c r="F900" s="20"/>
      <c r="G900" s="20"/>
      <c r="H900" s="20"/>
      <c r="I900" s="20"/>
      <c r="J900" s="20"/>
      <c r="K900" s="36" t="s">
        <v>52</v>
      </c>
    </row>
    <row r="901" spans="2:11">
      <c r="B901" s="36" t="s">
        <v>52</v>
      </c>
      <c r="D901" s="20"/>
      <c r="E901" s="20"/>
      <c r="F901" s="20"/>
      <c r="G901" s="20"/>
      <c r="H901" s="20"/>
      <c r="I901" s="20"/>
      <c r="J901" s="20"/>
      <c r="K901" s="36" t="s">
        <v>52</v>
      </c>
    </row>
    <row r="902" spans="2:11">
      <c r="B902" s="36" t="s">
        <v>52</v>
      </c>
      <c r="D902" s="20"/>
      <c r="E902" s="20"/>
      <c r="F902" s="20"/>
      <c r="G902" s="20"/>
      <c r="H902" s="20"/>
      <c r="I902" s="20"/>
      <c r="J902" s="20"/>
      <c r="K902" s="36" t="s">
        <v>52</v>
      </c>
    </row>
    <row r="903" spans="2:11">
      <c r="B903" s="36" t="s">
        <v>52</v>
      </c>
      <c r="D903" s="20"/>
      <c r="E903" s="20"/>
      <c r="F903" s="20"/>
      <c r="G903" s="20"/>
      <c r="H903" s="20"/>
      <c r="I903" s="20"/>
      <c r="J903" s="20"/>
      <c r="K903" s="36" t="s">
        <v>52</v>
      </c>
    </row>
    <row r="904" spans="2:11">
      <c r="B904" s="36" t="s">
        <v>52</v>
      </c>
      <c r="D904" s="20"/>
      <c r="E904" s="20"/>
      <c r="F904" s="20"/>
      <c r="G904" s="20"/>
      <c r="H904" s="20"/>
      <c r="I904" s="20"/>
      <c r="J904" s="20"/>
      <c r="K904" s="36" t="s">
        <v>52</v>
      </c>
    </row>
    <row r="905" spans="2:11">
      <c r="B905" s="36" t="s">
        <v>52</v>
      </c>
      <c r="D905" s="20"/>
      <c r="E905" s="20"/>
      <c r="F905" s="20"/>
      <c r="G905" s="20"/>
      <c r="H905" s="20"/>
      <c r="I905" s="20"/>
      <c r="J905" s="20"/>
      <c r="K905" s="36" t="s">
        <v>52</v>
      </c>
    </row>
    <row r="906" spans="2:11">
      <c r="B906" s="36" t="s">
        <v>52</v>
      </c>
      <c r="D906" s="20"/>
      <c r="E906" s="20"/>
      <c r="F906" s="20"/>
      <c r="G906" s="20"/>
      <c r="H906" s="20"/>
      <c r="I906" s="20"/>
      <c r="J906" s="20"/>
      <c r="K906" s="36" t="s">
        <v>52</v>
      </c>
    </row>
    <row r="907" spans="2:11">
      <c r="B907" s="36" t="s">
        <v>52</v>
      </c>
      <c r="D907" s="20"/>
      <c r="E907" s="20"/>
      <c r="F907" s="20"/>
      <c r="G907" s="20"/>
      <c r="H907" s="20"/>
      <c r="I907" s="20"/>
      <c r="J907" s="20"/>
      <c r="K907" s="36" t="s">
        <v>52</v>
      </c>
    </row>
    <row r="908" spans="2:11">
      <c r="B908" s="36" t="s">
        <v>52</v>
      </c>
      <c r="D908" s="20"/>
      <c r="E908" s="20"/>
      <c r="F908" s="20"/>
      <c r="G908" s="20"/>
      <c r="H908" s="20"/>
      <c r="I908" s="20"/>
      <c r="J908" s="20"/>
      <c r="K908" s="36" t="s">
        <v>52</v>
      </c>
    </row>
    <row r="909" spans="2:11">
      <c r="B909" s="36" t="s">
        <v>52</v>
      </c>
      <c r="D909" s="20"/>
      <c r="E909" s="20"/>
      <c r="F909" s="20"/>
      <c r="G909" s="20"/>
      <c r="H909" s="20"/>
      <c r="I909" s="20"/>
      <c r="J909" s="20"/>
      <c r="K909" s="36" t="s">
        <v>52</v>
      </c>
    </row>
    <row r="910" spans="2:11">
      <c r="B910" s="36" t="s">
        <v>52</v>
      </c>
      <c r="D910" s="20"/>
      <c r="E910" s="20"/>
      <c r="F910" s="20"/>
      <c r="G910" s="20"/>
      <c r="H910" s="20"/>
      <c r="I910" s="20"/>
      <c r="J910" s="20"/>
      <c r="K910" s="36" t="s">
        <v>52</v>
      </c>
    </row>
    <row r="911" spans="2:11">
      <c r="B911" s="36" t="s">
        <v>52</v>
      </c>
      <c r="D911" s="20"/>
      <c r="E911" s="20"/>
      <c r="F911" s="20"/>
      <c r="G911" s="20"/>
      <c r="H911" s="20"/>
      <c r="I911" s="20"/>
      <c r="J911" s="20"/>
      <c r="K911" s="36" t="s">
        <v>52</v>
      </c>
    </row>
    <row r="912" spans="2:11">
      <c r="B912" s="36" t="s">
        <v>52</v>
      </c>
      <c r="D912" s="20"/>
      <c r="E912" s="20"/>
      <c r="F912" s="20"/>
      <c r="G912" s="20"/>
      <c r="H912" s="20"/>
      <c r="I912" s="20"/>
      <c r="J912" s="20"/>
      <c r="K912" s="36" t="s">
        <v>52</v>
      </c>
    </row>
    <row r="913" spans="2:11">
      <c r="B913" s="36" t="s">
        <v>52</v>
      </c>
      <c r="D913" s="20"/>
      <c r="E913" s="20"/>
      <c r="F913" s="20"/>
      <c r="G913" s="20"/>
      <c r="H913" s="20"/>
      <c r="I913" s="20"/>
      <c r="J913" s="20"/>
      <c r="K913" s="36" t="s">
        <v>52</v>
      </c>
    </row>
    <row r="914" spans="2:11">
      <c r="B914" s="36" t="s">
        <v>52</v>
      </c>
      <c r="D914" s="20"/>
      <c r="E914" s="20"/>
      <c r="F914" s="20"/>
      <c r="G914" s="20"/>
      <c r="H914" s="20"/>
      <c r="I914" s="20"/>
      <c r="J914" s="20"/>
      <c r="K914" s="36" t="s">
        <v>52</v>
      </c>
    </row>
    <row r="915" spans="2:11">
      <c r="B915" s="36" t="s">
        <v>52</v>
      </c>
      <c r="D915" s="20"/>
      <c r="E915" s="20"/>
      <c r="F915" s="20"/>
      <c r="G915" s="20"/>
      <c r="H915" s="20"/>
      <c r="I915" s="20"/>
      <c r="J915" s="20"/>
      <c r="K915" s="36" t="s">
        <v>52</v>
      </c>
    </row>
    <row r="916" spans="2:11">
      <c r="B916" s="36" t="s">
        <v>52</v>
      </c>
      <c r="D916" s="20"/>
      <c r="E916" s="20"/>
      <c r="F916" s="20"/>
      <c r="G916" s="20"/>
      <c r="H916" s="20"/>
      <c r="I916" s="20"/>
      <c r="J916" s="20"/>
      <c r="K916" s="36" t="s">
        <v>52</v>
      </c>
    </row>
    <row r="917" spans="2:11">
      <c r="B917" s="36" t="s">
        <v>52</v>
      </c>
      <c r="D917" s="20"/>
      <c r="E917" s="20"/>
      <c r="F917" s="20"/>
      <c r="G917" s="20"/>
      <c r="H917" s="20"/>
      <c r="I917" s="20"/>
      <c r="J917" s="20"/>
      <c r="K917" s="36" t="s">
        <v>52</v>
      </c>
    </row>
    <row r="918" spans="2:11">
      <c r="B918" s="36" t="s">
        <v>52</v>
      </c>
      <c r="D918" s="20"/>
      <c r="E918" s="20"/>
      <c r="F918" s="20"/>
      <c r="G918" s="20"/>
      <c r="H918" s="20"/>
      <c r="I918" s="20"/>
      <c r="J918" s="20"/>
      <c r="K918" s="36" t="s">
        <v>52</v>
      </c>
    </row>
    <row r="919" spans="2:11">
      <c r="B919" s="36" t="s">
        <v>52</v>
      </c>
      <c r="D919" s="20"/>
      <c r="E919" s="20"/>
      <c r="F919" s="20"/>
      <c r="G919" s="20"/>
      <c r="H919" s="20"/>
      <c r="I919" s="20"/>
      <c r="J919" s="20"/>
      <c r="K919" s="36" t="s">
        <v>52</v>
      </c>
    </row>
    <row r="920" spans="2:11">
      <c r="B920" s="36" t="s">
        <v>52</v>
      </c>
      <c r="D920" s="20"/>
      <c r="E920" s="20"/>
      <c r="F920" s="20"/>
      <c r="G920" s="20"/>
      <c r="H920" s="20"/>
      <c r="I920" s="20"/>
      <c r="J920" s="20"/>
      <c r="K920" s="36" t="s">
        <v>52</v>
      </c>
    </row>
    <row r="921" spans="2:11">
      <c r="B921" s="36" t="s">
        <v>52</v>
      </c>
      <c r="D921" s="20"/>
      <c r="E921" s="20"/>
      <c r="F921" s="20"/>
      <c r="G921" s="20"/>
      <c r="H921" s="20"/>
      <c r="I921" s="20"/>
      <c r="J921" s="20"/>
      <c r="K921" s="36" t="s">
        <v>52</v>
      </c>
    </row>
    <row r="922" spans="2:11">
      <c r="B922" s="36" t="s">
        <v>52</v>
      </c>
      <c r="D922" s="20"/>
      <c r="E922" s="20"/>
      <c r="F922" s="20"/>
      <c r="G922" s="20"/>
      <c r="H922" s="20"/>
      <c r="I922" s="20"/>
      <c r="J922" s="20"/>
      <c r="K922" s="36" t="s">
        <v>52</v>
      </c>
    </row>
    <row r="923" spans="2:11">
      <c r="B923" s="36" t="s">
        <v>52</v>
      </c>
      <c r="D923" s="20"/>
      <c r="E923" s="20"/>
      <c r="F923" s="20"/>
      <c r="G923" s="20"/>
      <c r="H923" s="20"/>
      <c r="I923" s="20"/>
      <c r="J923" s="20"/>
      <c r="K923" s="36" t="s">
        <v>52</v>
      </c>
    </row>
    <row r="924" spans="2:11">
      <c r="B924" s="36" t="s">
        <v>52</v>
      </c>
      <c r="D924" s="20"/>
      <c r="E924" s="20"/>
      <c r="F924" s="20"/>
      <c r="G924" s="20"/>
      <c r="H924" s="20"/>
      <c r="I924" s="20"/>
      <c r="J924" s="20"/>
      <c r="K924" s="36" t="s">
        <v>52</v>
      </c>
    </row>
    <row r="925" spans="2:11">
      <c r="B925" s="36" t="s">
        <v>52</v>
      </c>
      <c r="D925" s="20"/>
      <c r="E925" s="20"/>
      <c r="F925" s="20"/>
      <c r="G925" s="20"/>
      <c r="H925" s="20"/>
      <c r="I925" s="20"/>
      <c r="J925" s="20"/>
      <c r="K925" s="36" t="s">
        <v>52</v>
      </c>
    </row>
    <row r="926" spans="2:11">
      <c r="B926" s="36" t="s">
        <v>52</v>
      </c>
      <c r="D926" s="20"/>
      <c r="E926" s="20"/>
      <c r="F926" s="20"/>
      <c r="G926" s="20"/>
      <c r="H926" s="20"/>
      <c r="I926" s="20"/>
      <c r="J926" s="20"/>
      <c r="K926" s="36" t="s">
        <v>52</v>
      </c>
    </row>
    <row r="927" spans="2:11">
      <c r="B927" s="36" t="s">
        <v>52</v>
      </c>
      <c r="D927" s="20"/>
      <c r="E927" s="20"/>
      <c r="F927" s="20"/>
      <c r="G927" s="20"/>
      <c r="H927" s="20"/>
      <c r="I927" s="20"/>
      <c r="J927" s="20"/>
      <c r="K927" s="36" t="s">
        <v>52</v>
      </c>
    </row>
    <row r="928" spans="2:11">
      <c r="B928" s="36" t="s">
        <v>52</v>
      </c>
      <c r="D928" s="20"/>
      <c r="E928" s="20"/>
      <c r="F928" s="20"/>
      <c r="G928" s="20"/>
      <c r="H928" s="20"/>
      <c r="I928" s="20"/>
      <c r="J928" s="20"/>
      <c r="K928" s="36" t="s">
        <v>52</v>
      </c>
    </row>
    <row r="929" spans="2:11">
      <c r="B929" s="36" t="s">
        <v>52</v>
      </c>
      <c r="D929" s="20"/>
      <c r="E929" s="20"/>
      <c r="F929" s="20"/>
      <c r="G929" s="20"/>
      <c r="H929" s="20"/>
      <c r="I929" s="20"/>
      <c r="J929" s="20"/>
      <c r="K929" s="36" t="s">
        <v>52</v>
      </c>
    </row>
    <row r="930" spans="2:11">
      <c r="B930" s="36" t="s">
        <v>52</v>
      </c>
      <c r="D930" s="20"/>
      <c r="E930" s="20"/>
      <c r="F930" s="20"/>
      <c r="G930" s="20"/>
      <c r="H930" s="20"/>
      <c r="I930" s="20"/>
      <c r="J930" s="20"/>
      <c r="K930" s="36" t="s">
        <v>52</v>
      </c>
    </row>
    <row r="931" spans="2:11">
      <c r="B931" s="36" t="s">
        <v>52</v>
      </c>
      <c r="D931" s="20"/>
      <c r="E931" s="20"/>
      <c r="F931" s="20"/>
      <c r="G931" s="20"/>
      <c r="H931" s="20"/>
      <c r="I931" s="20"/>
      <c r="J931" s="20"/>
      <c r="K931" s="36" t="s">
        <v>52</v>
      </c>
    </row>
    <row r="932" spans="2:11">
      <c r="B932" s="36" t="s">
        <v>52</v>
      </c>
      <c r="D932" s="20"/>
      <c r="E932" s="20"/>
      <c r="F932" s="20"/>
      <c r="G932" s="20"/>
      <c r="H932" s="20"/>
      <c r="I932" s="20"/>
      <c r="J932" s="20"/>
      <c r="K932" s="36" t="s">
        <v>52</v>
      </c>
    </row>
    <row r="933" spans="2:11">
      <c r="B933" s="36" t="s">
        <v>52</v>
      </c>
      <c r="D933" s="20"/>
      <c r="E933" s="20"/>
      <c r="F933" s="20"/>
      <c r="G933" s="20"/>
      <c r="H933" s="20"/>
      <c r="I933" s="20"/>
      <c r="J933" s="20"/>
      <c r="K933" s="36" t="s">
        <v>52</v>
      </c>
    </row>
    <row r="934" spans="2:11">
      <c r="B934" s="36" t="s">
        <v>52</v>
      </c>
      <c r="D934" s="20"/>
      <c r="E934" s="20"/>
      <c r="F934" s="20"/>
      <c r="G934" s="20"/>
      <c r="H934" s="20"/>
      <c r="I934" s="20"/>
      <c r="J934" s="20"/>
      <c r="K934" s="36" t="s">
        <v>52</v>
      </c>
    </row>
    <row r="935" spans="2:11">
      <c r="B935" s="36" t="s">
        <v>52</v>
      </c>
      <c r="D935" s="20"/>
      <c r="E935" s="20"/>
      <c r="F935" s="20"/>
      <c r="G935" s="20"/>
      <c r="H935" s="20"/>
      <c r="I935" s="20"/>
      <c r="J935" s="20"/>
      <c r="K935" s="36" t="s">
        <v>52</v>
      </c>
    </row>
    <row r="936" spans="2:11">
      <c r="B936" s="36" t="s">
        <v>52</v>
      </c>
      <c r="D936" s="20"/>
      <c r="E936" s="20"/>
      <c r="F936" s="20"/>
      <c r="G936" s="20"/>
      <c r="H936" s="20"/>
      <c r="I936" s="20"/>
      <c r="J936" s="20"/>
      <c r="K936" s="36" t="s">
        <v>52</v>
      </c>
    </row>
    <row r="937" spans="2:11">
      <c r="B937" s="36" t="s">
        <v>52</v>
      </c>
      <c r="D937" s="20"/>
      <c r="E937" s="20"/>
      <c r="F937" s="20"/>
      <c r="G937" s="20"/>
      <c r="H937" s="20"/>
      <c r="I937" s="20"/>
      <c r="J937" s="20"/>
      <c r="K937" s="36" t="s">
        <v>52</v>
      </c>
    </row>
    <row r="938" spans="2:11">
      <c r="B938" s="36" t="s">
        <v>52</v>
      </c>
      <c r="D938" s="20"/>
      <c r="E938" s="20"/>
      <c r="F938" s="20"/>
      <c r="G938" s="20"/>
      <c r="H938" s="20"/>
      <c r="I938" s="20"/>
      <c r="J938" s="20"/>
      <c r="K938" s="36" t="s">
        <v>52</v>
      </c>
    </row>
    <row r="939" spans="2:11">
      <c r="B939" s="36" t="s">
        <v>52</v>
      </c>
      <c r="D939" s="20"/>
      <c r="E939" s="20"/>
      <c r="F939" s="20"/>
      <c r="G939" s="20"/>
      <c r="H939" s="20"/>
      <c r="I939" s="20"/>
      <c r="J939" s="20"/>
      <c r="K939" s="36" t="s">
        <v>52</v>
      </c>
    </row>
    <row r="940" spans="2:11">
      <c r="B940" s="36" t="s">
        <v>52</v>
      </c>
      <c r="D940" s="20"/>
      <c r="E940" s="20"/>
      <c r="F940" s="20"/>
      <c r="G940" s="20"/>
      <c r="H940" s="20"/>
      <c r="I940" s="20"/>
      <c r="J940" s="20"/>
      <c r="K940" s="36" t="s">
        <v>52</v>
      </c>
    </row>
    <row r="941" spans="2:11">
      <c r="B941" s="36" t="s">
        <v>52</v>
      </c>
      <c r="D941" s="20"/>
      <c r="E941" s="20"/>
      <c r="F941" s="20"/>
      <c r="G941" s="20"/>
      <c r="H941" s="20"/>
      <c r="I941" s="20"/>
      <c r="J941" s="20"/>
      <c r="K941" s="36" t="s">
        <v>52</v>
      </c>
    </row>
    <row r="942" spans="2:11">
      <c r="B942" s="36" t="s">
        <v>52</v>
      </c>
      <c r="D942" s="20"/>
      <c r="E942" s="20"/>
      <c r="F942" s="20"/>
      <c r="G942" s="20"/>
      <c r="H942" s="20"/>
      <c r="I942" s="20"/>
      <c r="J942" s="20"/>
      <c r="K942" s="36" t="s">
        <v>52</v>
      </c>
    </row>
    <row r="943" spans="2:11">
      <c r="B943" s="36" t="s">
        <v>52</v>
      </c>
      <c r="D943" s="20"/>
      <c r="E943" s="20"/>
      <c r="F943" s="20"/>
      <c r="G943" s="20"/>
      <c r="H943" s="20"/>
      <c r="I943" s="20"/>
      <c r="J943" s="20"/>
      <c r="K943" s="36" t="s">
        <v>52</v>
      </c>
    </row>
    <row r="944" spans="2:11">
      <c r="B944" s="36" t="s">
        <v>52</v>
      </c>
      <c r="D944" s="20"/>
      <c r="E944" s="20"/>
      <c r="F944" s="20"/>
      <c r="G944" s="20"/>
      <c r="H944" s="20"/>
      <c r="I944" s="20"/>
      <c r="J944" s="20"/>
      <c r="K944" s="36" t="s">
        <v>52</v>
      </c>
    </row>
    <row r="945" spans="2:11">
      <c r="B945" s="36" t="s">
        <v>52</v>
      </c>
      <c r="D945" s="20"/>
      <c r="E945" s="20"/>
      <c r="F945" s="20"/>
      <c r="G945" s="20"/>
      <c r="H945" s="20"/>
      <c r="I945" s="20"/>
      <c r="J945" s="20"/>
      <c r="K945" s="36" t="s">
        <v>52</v>
      </c>
    </row>
    <row r="946" spans="2:11">
      <c r="B946" s="36" t="s">
        <v>52</v>
      </c>
      <c r="D946" s="20"/>
      <c r="E946" s="20"/>
      <c r="F946" s="20"/>
      <c r="G946" s="20"/>
      <c r="H946" s="20"/>
      <c r="I946" s="20"/>
      <c r="J946" s="20"/>
      <c r="K946" s="36" t="s">
        <v>52</v>
      </c>
    </row>
    <row r="947" spans="2:11">
      <c r="B947" s="36" t="s">
        <v>52</v>
      </c>
      <c r="D947" s="20"/>
      <c r="E947" s="20"/>
      <c r="F947" s="20"/>
      <c r="G947" s="20"/>
      <c r="H947" s="20"/>
      <c r="I947" s="20"/>
      <c r="J947" s="20"/>
      <c r="K947" s="36" t="s">
        <v>52</v>
      </c>
    </row>
    <row r="948" spans="2:11">
      <c r="B948" s="36" t="s">
        <v>52</v>
      </c>
      <c r="D948" s="20"/>
      <c r="E948" s="20"/>
      <c r="F948" s="20"/>
      <c r="G948" s="20"/>
      <c r="H948" s="20"/>
      <c r="I948" s="20"/>
      <c r="J948" s="20"/>
      <c r="K948" s="36" t="s">
        <v>52</v>
      </c>
    </row>
    <row r="949" spans="2:11">
      <c r="B949" s="36" t="s">
        <v>52</v>
      </c>
      <c r="D949" s="20"/>
      <c r="E949" s="20"/>
      <c r="F949" s="20"/>
      <c r="G949" s="20"/>
      <c r="H949" s="20"/>
      <c r="I949" s="20"/>
      <c r="J949" s="20"/>
      <c r="K949" s="36" t="s">
        <v>52</v>
      </c>
    </row>
    <row r="950" spans="2:11">
      <c r="B950" s="36" t="s">
        <v>52</v>
      </c>
      <c r="D950" s="20"/>
      <c r="E950" s="20"/>
      <c r="F950" s="20"/>
      <c r="G950" s="20"/>
      <c r="H950" s="20"/>
      <c r="I950" s="20"/>
      <c r="J950" s="20"/>
      <c r="K950" s="36" t="s">
        <v>52</v>
      </c>
    </row>
    <row r="951" spans="2:11">
      <c r="B951" s="36" t="s">
        <v>52</v>
      </c>
      <c r="D951" s="20"/>
      <c r="E951" s="20"/>
      <c r="F951" s="20"/>
      <c r="G951" s="20"/>
      <c r="H951" s="20"/>
      <c r="I951" s="20"/>
      <c r="J951" s="20"/>
      <c r="K951" s="36" t="s">
        <v>52</v>
      </c>
    </row>
    <row r="952" spans="2:11">
      <c r="B952" s="36" t="s">
        <v>52</v>
      </c>
      <c r="D952" s="20"/>
      <c r="E952" s="20"/>
      <c r="F952" s="20"/>
      <c r="G952" s="20"/>
      <c r="H952" s="20"/>
      <c r="I952" s="20"/>
      <c r="J952" s="20"/>
      <c r="K952" s="36" t="s">
        <v>52</v>
      </c>
    </row>
    <row r="953" spans="2:11">
      <c r="B953" s="36" t="s">
        <v>52</v>
      </c>
      <c r="D953" s="20"/>
      <c r="E953" s="20"/>
      <c r="F953" s="20"/>
      <c r="G953" s="20"/>
      <c r="H953" s="20"/>
      <c r="I953" s="20"/>
      <c r="J953" s="20"/>
      <c r="K953" s="36" t="s">
        <v>52</v>
      </c>
    </row>
    <row r="954" spans="2:11">
      <c r="B954" s="36" t="s">
        <v>52</v>
      </c>
      <c r="D954" s="20"/>
      <c r="E954" s="20"/>
      <c r="F954" s="20"/>
      <c r="G954" s="20"/>
      <c r="H954" s="20"/>
      <c r="I954" s="20"/>
      <c r="J954" s="20"/>
      <c r="K954" s="36" t="s">
        <v>52</v>
      </c>
    </row>
    <row r="955" spans="2:11">
      <c r="B955" s="36" t="s">
        <v>52</v>
      </c>
      <c r="D955" s="20"/>
      <c r="E955" s="20"/>
      <c r="F955" s="20"/>
      <c r="G955" s="20"/>
      <c r="H955" s="20"/>
      <c r="I955" s="20"/>
      <c r="J955" s="20"/>
      <c r="K955" s="36" t="s">
        <v>52</v>
      </c>
    </row>
    <row r="956" spans="2:11">
      <c r="B956" s="36" t="s">
        <v>52</v>
      </c>
      <c r="D956" s="20"/>
      <c r="E956" s="20"/>
      <c r="F956" s="20"/>
      <c r="G956" s="20"/>
      <c r="H956" s="20"/>
      <c r="I956" s="20"/>
      <c r="J956" s="20"/>
      <c r="K956" s="36" t="s">
        <v>52</v>
      </c>
    </row>
    <row r="957" spans="2:11">
      <c r="B957" s="36" t="s">
        <v>52</v>
      </c>
      <c r="D957" s="20"/>
      <c r="E957" s="20"/>
      <c r="F957" s="20"/>
      <c r="G957" s="20"/>
      <c r="H957" s="20"/>
      <c r="I957" s="20"/>
      <c r="J957" s="20"/>
      <c r="K957" s="36" t="s">
        <v>52</v>
      </c>
    </row>
    <row r="958" spans="2:11">
      <c r="B958" s="36" t="s">
        <v>52</v>
      </c>
      <c r="D958" s="20"/>
      <c r="E958" s="20"/>
      <c r="F958" s="20"/>
      <c r="G958" s="20"/>
      <c r="H958" s="20"/>
      <c r="I958" s="20"/>
      <c r="J958" s="20"/>
      <c r="K958" s="36" t="s">
        <v>52</v>
      </c>
    </row>
    <row r="959" spans="2:11">
      <c r="B959" s="36" t="s">
        <v>52</v>
      </c>
      <c r="D959" s="20"/>
      <c r="E959" s="20"/>
      <c r="F959" s="20"/>
      <c r="G959" s="20"/>
      <c r="H959" s="20"/>
      <c r="I959" s="20"/>
      <c r="J959" s="20"/>
      <c r="K959" s="36" t="s">
        <v>52</v>
      </c>
    </row>
    <row r="960" spans="2:11">
      <c r="B960" s="36" t="s">
        <v>52</v>
      </c>
      <c r="D960" s="20"/>
      <c r="E960" s="20"/>
      <c r="F960" s="20"/>
      <c r="G960" s="20"/>
      <c r="H960" s="20"/>
      <c r="I960" s="20"/>
      <c r="J960" s="20"/>
      <c r="K960" s="36" t="s">
        <v>52</v>
      </c>
    </row>
    <row r="961" spans="2:11">
      <c r="B961" s="36" t="s">
        <v>52</v>
      </c>
      <c r="D961" s="20"/>
      <c r="E961" s="20"/>
      <c r="F961" s="20"/>
      <c r="G961" s="20"/>
      <c r="H961" s="20"/>
      <c r="I961" s="20"/>
      <c r="J961" s="20"/>
      <c r="K961" s="36" t="s">
        <v>52</v>
      </c>
    </row>
    <row r="962" spans="2:11">
      <c r="B962" s="36" t="s">
        <v>52</v>
      </c>
      <c r="D962" s="20"/>
      <c r="E962" s="20"/>
      <c r="F962" s="20"/>
      <c r="G962" s="20"/>
      <c r="H962" s="20"/>
      <c r="I962" s="20"/>
      <c r="J962" s="20"/>
      <c r="K962" s="36" t="s">
        <v>52</v>
      </c>
    </row>
    <row r="963" spans="2:11">
      <c r="B963" s="36" t="s">
        <v>52</v>
      </c>
      <c r="D963" s="20"/>
      <c r="E963" s="20"/>
      <c r="F963" s="20"/>
      <c r="G963" s="20"/>
      <c r="H963" s="20"/>
      <c r="I963" s="20"/>
      <c r="J963" s="20"/>
      <c r="K963" s="36" t="s">
        <v>52</v>
      </c>
    </row>
    <row r="964" spans="2:11">
      <c r="B964" s="36" t="s">
        <v>52</v>
      </c>
      <c r="D964" s="20"/>
      <c r="E964" s="20"/>
      <c r="F964" s="20"/>
      <c r="G964" s="20"/>
      <c r="H964" s="20"/>
      <c r="I964" s="20"/>
      <c r="J964" s="20"/>
      <c r="K964" s="36" t="s">
        <v>52</v>
      </c>
    </row>
    <row r="965" spans="2:11">
      <c r="B965" s="36" t="s">
        <v>52</v>
      </c>
      <c r="D965" s="20"/>
      <c r="E965" s="20"/>
      <c r="F965" s="20"/>
      <c r="G965" s="20"/>
      <c r="H965" s="20"/>
      <c r="I965" s="20"/>
      <c r="J965" s="20"/>
      <c r="K965" s="36" t="s">
        <v>52</v>
      </c>
    </row>
    <row r="966" spans="2:11">
      <c r="B966" s="36" t="s">
        <v>52</v>
      </c>
      <c r="D966" s="20"/>
      <c r="E966" s="20"/>
      <c r="F966" s="20"/>
      <c r="G966" s="20"/>
      <c r="H966" s="20"/>
      <c r="I966" s="20"/>
      <c r="J966" s="20"/>
      <c r="K966" s="36" t="s">
        <v>52</v>
      </c>
    </row>
    <row r="967" spans="2:11">
      <c r="B967" s="36" t="s">
        <v>52</v>
      </c>
      <c r="D967" s="20"/>
      <c r="E967" s="20"/>
      <c r="F967" s="20"/>
      <c r="G967" s="20"/>
      <c r="H967" s="20"/>
      <c r="I967" s="20"/>
      <c r="J967" s="20"/>
      <c r="K967" s="36" t="s">
        <v>52</v>
      </c>
    </row>
    <row r="968" spans="2:11">
      <c r="B968" s="36" t="s">
        <v>52</v>
      </c>
      <c r="D968" s="20"/>
      <c r="E968" s="20"/>
      <c r="F968" s="20"/>
      <c r="G968" s="20"/>
      <c r="H968" s="20"/>
      <c r="I968" s="20"/>
      <c r="J968" s="20"/>
      <c r="K968" s="36" t="s">
        <v>52</v>
      </c>
    </row>
    <row r="969" spans="2:11">
      <c r="B969" s="36" t="s">
        <v>52</v>
      </c>
      <c r="D969" s="20"/>
      <c r="E969" s="20"/>
      <c r="F969" s="20"/>
      <c r="G969" s="20"/>
      <c r="H969" s="20"/>
      <c r="I969" s="20"/>
      <c r="J969" s="20"/>
      <c r="K969" s="36" t="s">
        <v>52</v>
      </c>
    </row>
    <row r="970" spans="2:11">
      <c r="B970" s="36" t="s">
        <v>52</v>
      </c>
      <c r="D970" s="20"/>
      <c r="E970" s="20"/>
      <c r="F970" s="20"/>
      <c r="G970" s="20"/>
      <c r="H970" s="20"/>
      <c r="I970" s="20"/>
      <c r="J970" s="20"/>
      <c r="K970" s="36" t="s">
        <v>52</v>
      </c>
    </row>
    <row r="971" spans="2:11">
      <c r="B971" s="36" t="s">
        <v>52</v>
      </c>
      <c r="D971" s="20"/>
      <c r="E971" s="20"/>
      <c r="F971" s="20"/>
      <c r="G971" s="20"/>
      <c r="H971" s="20"/>
      <c r="I971" s="20"/>
      <c r="J971" s="20"/>
      <c r="K971" s="36" t="s">
        <v>52</v>
      </c>
    </row>
    <row r="972" spans="2:11">
      <c r="B972" s="36" t="s">
        <v>52</v>
      </c>
      <c r="D972" s="20"/>
      <c r="E972" s="20"/>
      <c r="F972" s="20"/>
      <c r="G972" s="20"/>
      <c r="H972" s="20"/>
      <c r="I972" s="20"/>
      <c r="J972" s="20"/>
      <c r="K972" s="36" t="s">
        <v>52</v>
      </c>
    </row>
    <row r="973" spans="2:11">
      <c r="B973" s="36" t="s">
        <v>52</v>
      </c>
      <c r="D973" s="20"/>
      <c r="E973" s="20"/>
      <c r="F973" s="20"/>
      <c r="G973" s="20"/>
      <c r="H973" s="20"/>
      <c r="I973" s="20"/>
      <c r="J973" s="20"/>
      <c r="K973" s="36" t="s">
        <v>52</v>
      </c>
    </row>
    <row r="974" spans="2:11">
      <c r="B974" s="36" t="s">
        <v>52</v>
      </c>
      <c r="D974" s="20"/>
      <c r="E974" s="20"/>
      <c r="F974" s="20"/>
      <c r="G974" s="20"/>
      <c r="H974" s="20"/>
      <c r="I974" s="20"/>
      <c r="J974" s="20"/>
      <c r="K974" s="36" t="s">
        <v>52</v>
      </c>
    </row>
    <row r="975" spans="2:11">
      <c r="B975" s="36" t="s">
        <v>52</v>
      </c>
      <c r="D975" s="20"/>
      <c r="E975" s="20"/>
      <c r="F975" s="20"/>
      <c r="G975" s="20"/>
      <c r="H975" s="20"/>
      <c r="I975" s="20"/>
      <c r="J975" s="20"/>
      <c r="K975" s="36" t="s">
        <v>52</v>
      </c>
    </row>
    <row r="976" spans="2:11">
      <c r="B976" s="36" t="s">
        <v>52</v>
      </c>
      <c r="D976" s="20"/>
      <c r="E976" s="20"/>
      <c r="F976" s="20"/>
      <c r="G976" s="20"/>
      <c r="H976" s="20"/>
      <c r="I976" s="20"/>
      <c r="J976" s="20"/>
      <c r="K976" s="36" t="s">
        <v>52</v>
      </c>
    </row>
    <row r="977" spans="2:11">
      <c r="B977" s="36" t="s">
        <v>52</v>
      </c>
      <c r="D977" s="20"/>
      <c r="E977" s="20"/>
      <c r="F977" s="20"/>
      <c r="G977" s="20"/>
      <c r="H977" s="20"/>
      <c r="I977" s="20"/>
      <c r="J977" s="20"/>
      <c r="K977" s="36" t="s">
        <v>52</v>
      </c>
    </row>
    <row r="978" spans="2:11">
      <c r="B978" s="36" t="s">
        <v>52</v>
      </c>
      <c r="D978" s="20"/>
      <c r="E978" s="20"/>
      <c r="F978" s="20"/>
      <c r="G978" s="20"/>
      <c r="H978" s="20"/>
      <c r="I978" s="20"/>
      <c r="J978" s="20"/>
      <c r="K978" s="36" t="s">
        <v>52</v>
      </c>
    </row>
    <row r="979" spans="2:11">
      <c r="B979" s="36" t="s">
        <v>52</v>
      </c>
      <c r="D979" s="20"/>
      <c r="E979" s="20"/>
      <c r="F979" s="20"/>
      <c r="G979" s="20"/>
      <c r="H979" s="20"/>
      <c r="I979" s="20"/>
      <c r="J979" s="20"/>
      <c r="K979" s="36" t="s">
        <v>52</v>
      </c>
    </row>
    <row r="980" spans="2:11">
      <c r="B980" s="36" t="s">
        <v>52</v>
      </c>
      <c r="D980" s="20"/>
      <c r="E980" s="20"/>
      <c r="F980" s="20"/>
      <c r="G980" s="20"/>
      <c r="H980" s="20"/>
      <c r="I980" s="20"/>
      <c r="J980" s="20"/>
      <c r="K980" s="36" t="s">
        <v>52</v>
      </c>
    </row>
    <row r="981" spans="2:11">
      <c r="B981" s="36" t="s">
        <v>52</v>
      </c>
      <c r="D981" s="20"/>
      <c r="E981" s="20"/>
      <c r="F981" s="20"/>
      <c r="G981" s="20"/>
      <c r="H981" s="20"/>
      <c r="I981" s="20"/>
      <c r="J981" s="20"/>
      <c r="K981" s="36" t="s">
        <v>52</v>
      </c>
    </row>
    <row r="982" spans="2:11">
      <c r="B982" s="36" t="s">
        <v>52</v>
      </c>
      <c r="D982" s="20"/>
      <c r="E982" s="20"/>
      <c r="F982" s="20"/>
      <c r="G982" s="20"/>
      <c r="H982" s="20"/>
      <c r="I982" s="20"/>
      <c r="J982" s="20"/>
      <c r="K982" s="36" t="s">
        <v>52</v>
      </c>
    </row>
    <row r="983" spans="2:11">
      <c r="B983" s="36" t="s">
        <v>52</v>
      </c>
      <c r="D983" s="20"/>
      <c r="E983" s="20"/>
      <c r="F983" s="20"/>
      <c r="G983" s="20"/>
      <c r="H983" s="20"/>
      <c r="I983" s="20"/>
      <c r="J983" s="20"/>
      <c r="K983" s="36" t="s">
        <v>52</v>
      </c>
    </row>
    <row r="984" spans="2:11">
      <c r="B984" s="36" t="s">
        <v>52</v>
      </c>
      <c r="D984" s="20"/>
      <c r="E984" s="20"/>
      <c r="F984" s="20"/>
      <c r="G984" s="20"/>
      <c r="H984" s="20"/>
      <c r="I984" s="20"/>
      <c r="J984" s="20"/>
      <c r="K984" s="36" t="s">
        <v>52</v>
      </c>
    </row>
    <row r="985" spans="2:11">
      <c r="B985" s="36" t="s">
        <v>52</v>
      </c>
      <c r="D985" s="20"/>
      <c r="E985" s="20"/>
      <c r="F985" s="20"/>
      <c r="G985" s="20"/>
      <c r="H985" s="20"/>
      <c r="I985" s="20"/>
      <c r="J985" s="20"/>
      <c r="K985" s="36" t="s">
        <v>52</v>
      </c>
    </row>
    <row r="986" spans="2:11">
      <c r="B986" s="36" t="s">
        <v>52</v>
      </c>
      <c r="D986" s="20"/>
      <c r="E986" s="20"/>
      <c r="F986" s="20"/>
      <c r="G986" s="20"/>
      <c r="H986" s="20"/>
      <c r="I986" s="20"/>
      <c r="J986" s="20"/>
      <c r="K986" s="36" t="s">
        <v>52</v>
      </c>
    </row>
    <row r="987" spans="2:11">
      <c r="B987" s="36" t="s">
        <v>52</v>
      </c>
      <c r="D987" s="20"/>
      <c r="E987" s="20"/>
      <c r="F987" s="20"/>
      <c r="G987" s="20"/>
      <c r="H987" s="20"/>
      <c r="I987" s="20"/>
      <c r="J987" s="20"/>
      <c r="K987" s="36" t="s">
        <v>52</v>
      </c>
    </row>
    <row r="988" spans="2:11">
      <c r="B988" s="36" t="s">
        <v>52</v>
      </c>
      <c r="D988" s="20"/>
      <c r="E988" s="20"/>
      <c r="F988" s="20"/>
      <c r="G988" s="20"/>
      <c r="H988" s="20"/>
      <c r="I988" s="20"/>
      <c r="J988" s="20"/>
      <c r="K988" s="36" t="s">
        <v>52</v>
      </c>
    </row>
    <row r="989" spans="2:11">
      <c r="B989" s="36" t="s">
        <v>52</v>
      </c>
      <c r="D989" s="20"/>
      <c r="E989" s="20"/>
      <c r="F989" s="20"/>
      <c r="G989" s="20"/>
      <c r="H989" s="20"/>
      <c r="I989" s="20"/>
      <c r="J989" s="20"/>
      <c r="K989" s="36" t="s">
        <v>52</v>
      </c>
    </row>
    <row r="990" spans="2:11">
      <c r="B990" s="36" t="s">
        <v>52</v>
      </c>
      <c r="D990" s="20"/>
      <c r="E990" s="20"/>
      <c r="F990" s="20"/>
      <c r="G990" s="20"/>
      <c r="H990" s="20"/>
      <c r="I990" s="20"/>
      <c r="J990" s="20"/>
      <c r="K990" s="36" t="s">
        <v>52</v>
      </c>
    </row>
    <row r="991" spans="2:11">
      <c r="B991" s="36" t="s">
        <v>52</v>
      </c>
      <c r="D991" s="20"/>
      <c r="E991" s="20"/>
      <c r="F991" s="20"/>
      <c r="G991" s="20"/>
      <c r="H991" s="20"/>
      <c r="I991" s="20"/>
      <c r="J991" s="20"/>
      <c r="K991" s="36" t="s">
        <v>52</v>
      </c>
    </row>
    <row r="992" spans="2:11">
      <c r="B992" s="36" t="s">
        <v>52</v>
      </c>
      <c r="D992" s="20"/>
      <c r="E992" s="20"/>
      <c r="F992" s="20"/>
      <c r="G992" s="20"/>
      <c r="H992" s="20"/>
      <c r="I992" s="20"/>
      <c r="J992" s="20"/>
      <c r="K992" s="36" t="s">
        <v>52</v>
      </c>
    </row>
    <row r="993" spans="1:11">
      <c r="B993" s="36" t="s">
        <v>52</v>
      </c>
      <c r="D993" s="20"/>
      <c r="E993" s="20"/>
      <c r="F993" s="20"/>
      <c r="G993" s="20"/>
      <c r="H993" s="20"/>
      <c r="I993" s="20"/>
      <c r="J993" s="20"/>
      <c r="K993" s="36" t="s">
        <v>52</v>
      </c>
    </row>
    <row r="994" spans="1:11">
      <c r="B994" s="36" t="s">
        <v>52</v>
      </c>
      <c r="D994" s="20"/>
      <c r="E994" s="20"/>
      <c r="F994" s="20"/>
      <c r="G994" s="20"/>
      <c r="H994" s="20"/>
      <c r="I994" s="20"/>
      <c r="J994" s="20"/>
      <c r="K994" s="36" t="s">
        <v>52</v>
      </c>
    </row>
    <row r="995" spans="1:11">
      <c r="B995" s="36" t="s">
        <v>52</v>
      </c>
      <c r="D995" s="20"/>
      <c r="E995" s="20"/>
      <c r="F995" s="20"/>
      <c r="G995" s="20"/>
      <c r="H995" s="20"/>
      <c r="I995" s="20"/>
      <c r="J995" s="20"/>
      <c r="K995" s="36" t="s">
        <v>52</v>
      </c>
    </row>
    <row r="996" spans="1:11">
      <c r="B996" s="36" t="s">
        <v>52</v>
      </c>
      <c r="D996" s="20"/>
      <c r="E996" s="20"/>
      <c r="F996" s="20"/>
      <c r="G996" s="20"/>
      <c r="H996" s="20"/>
      <c r="I996" s="20"/>
      <c r="J996" s="20"/>
      <c r="K996" s="36" t="s">
        <v>52</v>
      </c>
    </row>
    <row r="997" spans="1:11">
      <c r="B997" s="36" t="s">
        <v>52</v>
      </c>
      <c r="D997" s="20"/>
      <c r="E997" s="20"/>
      <c r="F997" s="20"/>
      <c r="G997" s="20"/>
      <c r="H997" s="20"/>
      <c r="I997" s="20"/>
      <c r="J997" s="20"/>
      <c r="K997" s="36" t="s">
        <v>52</v>
      </c>
    </row>
    <row r="998" spans="1:11">
      <c r="B998" s="36" t="s">
        <v>52</v>
      </c>
      <c r="D998" s="20"/>
      <c r="E998" s="20"/>
      <c r="F998" s="20"/>
      <c r="G998" s="20"/>
      <c r="H998" s="20"/>
      <c r="I998" s="20"/>
      <c r="J998" s="20"/>
      <c r="K998" s="36" t="s">
        <v>52</v>
      </c>
    </row>
    <row r="999" spans="1:11">
      <c r="B999" s="36" t="s">
        <v>52</v>
      </c>
      <c r="D999" s="20"/>
      <c r="E999" s="20"/>
      <c r="F999" s="20"/>
      <c r="G999" s="20"/>
      <c r="H999" s="20"/>
      <c r="I999" s="20"/>
      <c r="J999" s="20"/>
      <c r="K999" s="36" t="s">
        <v>52</v>
      </c>
    </row>
    <row r="1000" spans="1:11">
      <c r="B1000" s="36" t="s">
        <v>52</v>
      </c>
      <c r="D1000" s="20"/>
      <c r="E1000" s="20"/>
      <c r="F1000" s="20"/>
      <c r="G1000" s="20"/>
      <c r="H1000" s="20"/>
      <c r="I1000" s="20"/>
      <c r="J1000" s="20"/>
      <c r="K1000" s="36" t="s">
        <v>52</v>
      </c>
    </row>
    <row r="1001" spans="1:11">
      <c r="B1001" s="36" t="s">
        <v>52</v>
      </c>
      <c r="D1001" s="20"/>
      <c r="E1001" s="20"/>
      <c r="F1001" s="20"/>
      <c r="G1001" s="20"/>
      <c r="H1001" s="20"/>
      <c r="I1001" s="20"/>
      <c r="J1001" s="20"/>
      <c r="K1001" s="36" t="s">
        <v>52</v>
      </c>
    </row>
    <row r="1002" spans="1:11">
      <c r="B1002" s="36" t="s">
        <v>52</v>
      </c>
      <c r="D1002" s="20"/>
      <c r="E1002" s="20"/>
      <c r="F1002" s="20"/>
      <c r="G1002" s="20"/>
      <c r="H1002" s="20"/>
      <c r="I1002" s="20"/>
      <c r="J1002" s="20"/>
      <c r="K1002" s="36" t="s">
        <v>52</v>
      </c>
    </row>
    <row r="1003" spans="1:11">
      <c r="B1003" s="36" t="s">
        <v>52</v>
      </c>
      <c r="D1003" s="20"/>
      <c r="E1003" s="20"/>
      <c r="F1003" s="20"/>
      <c r="G1003" s="20"/>
      <c r="H1003" s="20"/>
      <c r="I1003" s="20"/>
      <c r="J1003" s="20"/>
      <c r="K1003" s="36" t="s">
        <v>52</v>
      </c>
    </row>
    <row r="1004" spans="1:11">
      <c r="B1004" s="36" t="s">
        <v>52</v>
      </c>
      <c r="D1004" s="20"/>
      <c r="E1004" s="20"/>
      <c r="F1004" s="20"/>
      <c r="G1004" s="20"/>
      <c r="H1004" s="20"/>
      <c r="I1004" s="20"/>
      <c r="J1004" s="20"/>
      <c r="K1004" s="36" t="s">
        <v>52</v>
      </c>
    </row>
    <row r="1005" spans="1:11">
      <c r="A1005" s="36" t="s">
        <v>52</v>
      </c>
      <c r="B1005" s="36" t="s">
        <v>52</v>
      </c>
      <c r="C1005" s="36" t="s">
        <v>52</v>
      </c>
      <c r="D1005" s="36" t="s">
        <v>52</v>
      </c>
      <c r="E1005" s="36" t="s">
        <v>52</v>
      </c>
      <c r="F1005" s="36" t="s">
        <v>52</v>
      </c>
      <c r="G1005" s="36" t="s">
        <v>52</v>
      </c>
      <c r="H1005" s="36" t="s">
        <v>52</v>
      </c>
      <c r="I1005" s="36" t="s">
        <v>52</v>
      </c>
      <c r="J1005" s="36" t="s">
        <v>52</v>
      </c>
      <c r="K1005" s="36" t="s">
        <v>52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'Ship Fuel Zones n Types'!$C$9:$C$19</xm:f>
          </x14:formula1>
          <xm:sqref>E5:E458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I1010"/>
  <sheetViews>
    <sheetView workbookViewId="0">
      <pane xSplit="9" ySplit="10" topLeftCell="J459" activePane="bottomRight" state="frozen"/>
      <selection pane="topRight" activeCell="J1" sqref="J1"/>
      <selection pane="bottomLeft" activeCell="A11" sqref="A11"/>
      <selection pane="bottomRight" activeCell="H10" sqref="H10:H1009"/>
    </sheetView>
  </sheetViews>
  <sheetFormatPr defaultColWidth="11" defaultRowHeight="15.75"/>
  <cols>
    <col min="4" max="4" width="15" customWidth="1"/>
    <col min="5" max="5" width="13.125" bestFit="1" customWidth="1"/>
    <col min="6" max="6" width="17.125" customWidth="1"/>
    <col min="7" max="8" width="15.125" customWidth="1"/>
  </cols>
  <sheetData>
    <row r="1" spans="1:9">
      <c r="I1" t="s">
        <v>50</v>
      </c>
    </row>
    <row r="2" spans="1:9">
      <c r="I2" t="s">
        <v>50</v>
      </c>
    </row>
    <row r="3" spans="1:9">
      <c r="A3" s="28" t="s">
        <v>41</v>
      </c>
      <c r="B3" s="28" t="s">
        <v>42</v>
      </c>
      <c r="I3" t="s">
        <v>50</v>
      </c>
    </row>
    <row r="4" spans="1:9">
      <c r="A4" s="146" t="s">
        <v>43</v>
      </c>
      <c r="B4" s="29">
        <v>2</v>
      </c>
      <c r="I4" t="s">
        <v>50</v>
      </c>
    </row>
    <row r="5" spans="1:9">
      <c r="A5" s="146" t="s">
        <v>224</v>
      </c>
      <c r="B5" s="29">
        <v>3</v>
      </c>
      <c r="I5" t="s">
        <v>50</v>
      </c>
    </row>
    <row r="6" spans="1:9">
      <c r="A6" s="146" t="s">
        <v>225</v>
      </c>
      <c r="B6" s="29">
        <v>4</v>
      </c>
      <c r="D6" s="19" t="s">
        <v>51</v>
      </c>
      <c r="I6" t="s">
        <v>50</v>
      </c>
    </row>
    <row r="7" spans="1:9">
      <c r="A7" s="120" t="s">
        <v>209</v>
      </c>
      <c r="B7" s="29">
        <v>5</v>
      </c>
      <c r="D7">
        <v>1</v>
      </c>
      <c r="E7">
        <v>2</v>
      </c>
      <c r="F7">
        <v>3</v>
      </c>
      <c r="G7">
        <v>4</v>
      </c>
      <c r="H7">
        <v>5</v>
      </c>
      <c r="I7" t="s">
        <v>50</v>
      </c>
    </row>
    <row r="8" spans="1:9">
      <c r="D8" s="145" t="s">
        <v>45</v>
      </c>
      <c r="E8" s="236" t="s">
        <v>43</v>
      </c>
      <c r="F8" s="236" t="s">
        <v>224</v>
      </c>
      <c r="G8" s="236" t="s">
        <v>225</v>
      </c>
      <c r="H8" s="236" t="s">
        <v>209</v>
      </c>
      <c r="I8" t="s">
        <v>50</v>
      </c>
    </row>
    <row r="9" spans="1:9" ht="64.5">
      <c r="C9" s="40" t="s">
        <v>55</v>
      </c>
      <c r="D9" s="28" t="s">
        <v>46</v>
      </c>
      <c r="E9" s="28" t="s">
        <v>47</v>
      </c>
      <c r="F9" s="28" t="s">
        <v>48</v>
      </c>
      <c r="G9" s="28" t="s">
        <v>49</v>
      </c>
      <c r="H9" s="137" t="s">
        <v>226</v>
      </c>
      <c r="I9" t="s">
        <v>50</v>
      </c>
    </row>
    <row r="10" spans="1:9">
      <c r="C10" s="40">
        <v>1</v>
      </c>
      <c r="D10" s="39">
        <v>40724</v>
      </c>
      <c r="E10" s="30">
        <v>6.4733600000000013</v>
      </c>
      <c r="F10" s="30">
        <v>1.05426</v>
      </c>
      <c r="G10" s="30">
        <v>1</v>
      </c>
      <c r="H10" s="30"/>
      <c r="I10" t="s">
        <v>50</v>
      </c>
    </row>
    <row r="11" spans="1:9">
      <c r="C11" s="40">
        <v>2</v>
      </c>
      <c r="D11" s="39">
        <v>40731</v>
      </c>
      <c r="E11" s="30">
        <v>6.4677800000000003</v>
      </c>
      <c r="F11" s="30">
        <v>1.0715599999999998</v>
      </c>
      <c r="G11" s="30">
        <v>1</v>
      </c>
      <c r="H11" s="30"/>
      <c r="I11" t="s">
        <v>50</v>
      </c>
    </row>
    <row r="12" spans="1:9">
      <c r="C12" s="40">
        <v>3</v>
      </c>
      <c r="D12" s="39">
        <v>40738</v>
      </c>
      <c r="E12" s="30">
        <v>6.4706000000000001</v>
      </c>
      <c r="F12" s="30">
        <v>1.0693999999999999</v>
      </c>
      <c r="G12" s="30">
        <v>1</v>
      </c>
      <c r="H12" s="30"/>
      <c r="I12" t="s">
        <v>50</v>
      </c>
    </row>
    <row r="13" spans="1:9">
      <c r="C13" s="40">
        <v>4</v>
      </c>
      <c r="D13" s="39">
        <v>40745</v>
      </c>
      <c r="E13" s="30">
        <v>6.4649799999999997</v>
      </c>
      <c r="F13" s="30">
        <v>1.0674400000000002</v>
      </c>
      <c r="G13" s="30">
        <v>1</v>
      </c>
      <c r="H13" s="30"/>
      <c r="I13" t="s">
        <v>50</v>
      </c>
    </row>
    <row r="14" spans="1:9">
      <c r="C14" s="40">
        <v>5</v>
      </c>
      <c r="D14" s="39">
        <v>40752</v>
      </c>
      <c r="E14" s="30">
        <v>6.4466399999999995</v>
      </c>
      <c r="F14" s="30">
        <v>1.0940600000000003</v>
      </c>
      <c r="G14" s="30">
        <v>1</v>
      </c>
      <c r="H14" s="30"/>
      <c r="I14" t="s">
        <v>50</v>
      </c>
    </row>
    <row r="15" spans="1:9">
      <c r="C15" s="40">
        <v>6</v>
      </c>
      <c r="D15" s="39">
        <v>40759</v>
      </c>
      <c r="E15" s="30">
        <v>6.4417400000000002</v>
      </c>
      <c r="F15" s="30">
        <v>1.0820000000000001</v>
      </c>
      <c r="G15" s="30">
        <v>1</v>
      </c>
      <c r="H15" s="30"/>
      <c r="I15" t="s">
        <v>50</v>
      </c>
    </row>
    <row r="16" spans="1:9">
      <c r="C16" s="40">
        <v>7</v>
      </c>
      <c r="D16" s="39">
        <v>40766</v>
      </c>
      <c r="E16" s="30">
        <v>6.4249799999999997</v>
      </c>
      <c r="F16" s="30">
        <v>1.0314999999999999</v>
      </c>
      <c r="G16" s="30">
        <v>1</v>
      </c>
      <c r="H16" s="30"/>
      <c r="I16" t="s">
        <v>50</v>
      </c>
    </row>
    <row r="17" spans="3:9">
      <c r="C17" s="40">
        <v>8</v>
      </c>
      <c r="D17" s="39">
        <v>40773</v>
      </c>
      <c r="E17" s="30">
        <v>6.3956999999999997</v>
      </c>
      <c r="F17" s="30">
        <v>1.04362</v>
      </c>
      <c r="G17" s="30">
        <v>1</v>
      </c>
      <c r="H17" s="30"/>
      <c r="I17" t="s">
        <v>50</v>
      </c>
    </row>
    <row r="18" spans="3:9">
      <c r="C18" s="40">
        <v>9</v>
      </c>
      <c r="D18" s="39">
        <v>40780</v>
      </c>
      <c r="E18" s="30">
        <v>6.3961600000000001</v>
      </c>
      <c r="F18" s="30">
        <v>1.0422</v>
      </c>
      <c r="G18" s="30">
        <v>1</v>
      </c>
      <c r="H18" s="30"/>
      <c r="I18" t="s">
        <v>50</v>
      </c>
    </row>
    <row r="19" spans="3:9">
      <c r="C19" s="40">
        <v>10</v>
      </c>
      <c r="D19" s="39">
        <v>40787</v>
      </c>
      <c r="E19" s="30">
        <v>6.388325</v>
      </c>
      <c r="F19" s="30">
        <v>1.0635999999999999</v>
      </c>
      <c r="G19" s="30">
        <v>1</v>
      </c>
      <c r="H19" s="30"/>
      <c r="I19" t="s">
        <v>50</v>
      </c>
    </row>
    <row r="20" spans="3:9">
      <c r="C20" s="40">
        <v>11</v>
      </c>
      <c r="D20" s="39">
        <v>40794</v>
      </c>
      <c r="E20" s="30">
        <v>6.3940799999999998</v>
      </c>
      <c r="F20" s="30">
        <v>1.0598199999999998</v>
      </c>
      <c r="G20" s="30">
        <v>1</v>
      </c>
      <c r="H20" s="30"/>
      <c r="I20" t="s">
        <v>50</v>
      </c>
    </row>
    <row r="21" spans="3:9">
      <c r="C21" s="40">
        <v>12</v>
      </c>
      <c r="D21" s="39">
        <v>40801</v>
      </c>
      <c r="E21" s="30">
        <v>6.3948499999999999</v>
      </c>
      <c r="F21" s="30">
        <v>1.0345199999999999</v>
      </c>
      <c r="G21" s="30">
        <v>1</v>
      </c>
      <c r="H21" s="30"/>
      <c r="I21" t="s">
        <v>50</v>
      </c>
    </row>
    <row r="22" spans="3:9">
      <c r="C22" s="40">
        <v>13</v>
      </c>
      <c r="D22" s="39">
        <v>40808</v>
      </c>
      <c r="E22" s="30">
        <v>6.3805000000000005</v>
      </c>
      <c r="F22" s="30">
        <v>1.02128</v>
      </c>
      <c r="G22" s="30">
        <v>1</v>
      </c>
      <c r="H22" s="30"/>
      <c r="I22" t="s">
        <v>50</v>
      </c>
    </row>
    <row r="23" spans="3:9">
      <c r="C23" s="40">
        <v>14</v>
      </c>
      <c r="D23" s="39">
        <v>40815</v>
      </c>
      <c r="E23" s="30">
        <v>6.3724600000000011</v>
      </c>
      <c r="F23" s="30">
        <v>0.97964000000000007</v>
      </c>
      <c r="G23" s="30">
        <v>1</v>
      </c>
      <c r="H23" s="30"/>
      <c r="I23" t="s">
        <v>50</v>
      </c>
    </row>
    <row r="24" spans="3:9">
      <c r="C24" s="40">
        <v>15</v>
      </c>
      <c r="D24" s="39">
        <v>40822</v>
      </c>
      <c r="E24" s="30">
        <v>6.3666400000000012</v>
      </c>
      <c r="F24" s="30">
        <v>0.96164999999999989</v>
      </c>
      <c r="G24" s="30">
        <v>1</v>
      </c>
      <c r="H24" s="30"/>
      <c r="I24" t="s">
        <v>50</v>
      </c>
    </row>
    <row r="25" spans="3:9">
      <c r="C25" s="40">
        <v>16</v>
      </c>
      <c r="D25" s="39">
        <v>40829</v>
      </c>
      <c r="E25" s="30">
        <v>6.3601000000000001</v>
      </c>
      <c r="F25" s="30">
        <v>0.99412</v>
      </c>
      <c r="G25" s="30">
        <v>1</v>
      </c>
      <c r="H25" s="30"/>
      <c r="I25" t="s">
        <v>50</v>
      </c>
    </row>
    <row r="26" spans="3:9">
      <c r="C26" s="40">
        <v>17</v>
      </c>
      <c r="D26" s="39">
        <v>40836</v>
      </c>
      <c r="E26" s="30">
        <v>6.3719999999999999</v>
      </c>
      <c r="F26" s="30">
        <v>1.0238</v>
      </c>
      <c r="G26" s="30">
        <v>1</v>
      </c>
      <c r="H26" s="30"/>
      <c r="I26" t="s">
        <v>50</v>
      </c>
    </row>
    <row r="27" spans="3:9">
      <c r="C27" s="40">
        <v>18</v>
      </c>
      <c r="D27" s="39">
        <v>40843</v>
      </c>
      <c r="E27" s="30">
        <v>6.3525600000000004</v>
      </c>
      <c r="F27" s="30">
        <v>1.03898</v>
      </c>
      <c r="G27" s="30">
        <v>1</v>
      </c>
      <c r="H27" s="30"/>
      <c r="I27" t="s">
        <v>50</v>
      </c>
    </row>
    <row r="28" spans="3:9">
      <c r="C28" s="40">
        <v>19</v>
      </c>
      <c r="D28" s="39">
        <v>40850</v>
      </c>
      <c r="E28" s="30">
        <v>6.3262200000000002</v>
      </c>
      <c r="F28" s="30">
        <v>1.04464</v>
      </c>
      <c r="G28" s="30">
        <v>1</v>
      </c>
      <c r="H28" s="30"/>
      <c r="I28" t="s">
        <v>50</v>
      </c>
    </row>
    <row r="29" spans="3:9">
      <c r="C29" s="40">
        <v>20</v>
      </c>
      <c r="D29" s="39">
        <v>40857</v>
      </c>
      <c r="E29" s="30">
        <v>6.3231999999999999</v>
      </c>
      <c r="F29" s="30">
        <v>1.0315599999999998</v>
      </c>
      <c r="G29" s="30">
        <v>1</v>
      </c>
      <c r="H29" s="30"/>
      <c r="I29" t="s">
        <v>50</v>
      </c>
    </row>
    <row r="30" spans="3:9">
      <c r="C30" s="40">
        <v>21</v>
      </c>
      <c r="D30" s="39">
        <v>40864</v>
      </c>
      <c r="E30" s="30">
        <v>6.34232</v>
      </c>
      <c r="F30" s="30">
        <v>1.0162399999999998</v>
      </c>
      <c r="G30" s="30">
        <v>1</v>
      </c>
      <c r="H30" s="30"/>
      <c r="I30" t="s">
        <v>50</v>
      </c>
    </row>
    <row r="31" spans="3:9">
      <c r="C31" s="40">
        <v>22</v>
      </c>
      <c r="D31" s="39">
        <v>40871</v>
      </c>
      <c r="E31" s="30">
        <v>6.3538600000000001</v>
      </c>
      <c r="F31" s="30">
        <v>0.98629999999999995</v>
      </c>
      <c r="G31" s="30">
        <v>1</v>
      </c>
      <c r="H31" s="30"/>
      <c r="I31" t="s">
        <v>50</v>
      </c>
    </row>
    <row r="32" spans="3:9">
      <c r="C32" s="40">
        <v>23</v>
      </c>
      <c r="D32" s="39">
        <v>40878</v>
      </c>
      <c r="E32" s="30">
        <v>6.3512199999999996</v>
      </c>
      <c r="F32" s="30">
        <v>0.99490000000000001</v>
      </c>
      <c r="G32" s="30">
        <v>1</v>
      </c>
      <c r="H32" s="30"/>
      <c r="I32" t="s">
        <v>50</v>
      </c>
    </row>
    <row r="33" spans="3:9">
      <c r="C33" s="40">
        <v>24</v>
      </c>
      <c r="D33" s="39">
        <v>40885</v>
      </c>
      <c r="E33" s="30">
        <v>6.3329200000000005</v>
      </c>
      <c r="F33" s="30">
        <v>1.0229600000000001</v>
      </c>
      <c r="G33" s="30">
        <v>1</v>
      </c>
      <c r="H33" s="30"/>
      <c r="I33" t="s">
        <v>50</v>
      </c>
    </row>
    <row r="34" spans="3:9">
      <c r="C34" s="40">
        <v>25</v>
      </c>
      <c r="D34" s="39">
        <v>40892</v>
      </c>
      <c r="E34" s="30">
        <v>6.3363199999999997</v>
      </c>
      <c r="F34" s="30">
        <v>1.00604</v>
      </c>
      <c r="G34" s="30">
        <v>1</v>
      </c>
      <c r="H34" s="30"/>
      <c r="I34" t="s">
        <v>50</v>
      </c>
    </row>
    <row r="35" spans="3:9">
      <c r="C35" s="40">
        <v>26</v>
      </c>
      <c r="D35" s="39">
        <v>40899</v>
      </c>
      <c r="E35" s="30">
        <v>6.3301400000000001</v>
      </c>
      <c r="F35" s="30">
        <v>1.0010400000000002</v>
      </c>
      <c r="G35" s="30">
        <v>1</v>
      </c>
      <c r="H35" s="30"/>
      <c r="I35" t="s">
        <v>50</v>
      </c>
    </row>
    <row r="36" spans="3:9">
      <c r="C36" s="40">
        <v>27</v>
      </c>
      <c r="D36" s="39">
        <v>40906</v>
      </c>
      <c r="E36" s="30">
        <v>6.3166200000000003</v>
      </c>
      <c r="F36" s="30">
        <v>1.0142333333333333</v>
      </c>
      <c r="G36" s="30">
        <v>1</v>
      </c>
      <c r="H36" s="30"/>
      <c r="I36" t="s">
        <v>50</v>
      </c>
    </row>
    <row r="37" spans="3:9">
      <c r="C37" s="40">
        <v>28</v>
      </c>
      <c r="D37" s="39">
        <v>40913</v>
      </c>
      <c r="E37" s="30">
        <v>6.3041666666666663</v>
      </c>
      <c r="F37" s="30">
        <v>1.0281500000000001</v>
      </c>
      <c r="G37" s="30">
        <v>1</v>
      </c>
      <c r="H37" s="30"/>
      <c r="I37" t="s">
        <v>50</v>
      </c>
    </row>
    <row r="38" spans="3:9">
      <c r="C38" s="40">
        <v>29</v>
      </c>
      <c r="D38" s="39">
        <v>40920</v>
      </c>
      <c r="E38" s="30">
        <v>6.3193382508544236</v>
      </c>
      <c r="F38" s="30">
        <v>1.0256399999999999</v>
      </c>
      <c r="G38" s="30">
        <v>1</v>
      </c>
      <c r="H38" s="30"/>
      <c r="I38" t="s">
        <v>50</v>
      </c>
    </row>
    <row r="39" spans="3:9">
      <c r="C39" s="40">
        <v>30</v>
      </c>
      <c r="D39" s="39">
        <v>40927</v>
      </c>
      <c r="E39" s="30">
        <v>6.3237067790307808</v>
      </c>
      <c r="F39" s="30">
        <v>1.0354000000000001</v>
      </c>
      <c r="G39" s="30">
        <v>1</v>
      </c>
      <c r="H39" s="30"/>
      <c r="I39" t="s">
        <v>50</v>
      </c>
    </row>
    <row r="40" spans="3:9">
      <c r="C40" s="40">
        <v>31</v>
      </c>
      <c r="D40" s="39">
        <v>40934</v>
      </c>
      <c r="E40" s="30">
        <v>6.3225361994461426</v>
      </c>
      <c r="F40" s="30">
        <v>1.04586</v>
      </c>
      <c r="G40" s="30">
        <v>1</v>
      </c>
      <c r="H40" s="30"/>
      <c r="I40" t="s">
        <v>50</v>
      </c>
    </row>
    <row r="41" spans="3:9">
      <c r="C41" s="40">
        <v>32</v>
      </c>
      <c r="D41" s="39">
        <v>40941</v>
      </c>
      <c r="E41" s="30">
        <v>6.3092035607041943</v>
      </c>
      <c r="F41" s="30">
        <v>1.0633199999999998</v>
      </c>
      <c r="G41" s="30">
        <v>1</v>
      </c>
      <c r="H41" s="30"/>
      <c r="I41" t="s">
        <v>50</v>
      </c>
    </row>
    <row r="42" spans="3:9">
      <c r="C42" s="40">
        <v>33</v>
      </c>
      <c r="D42" s="39">
        <v>40948</v>
      </c>
      <c r="E42" s="30">
        <v>6.3077210768721326</v>
      </c>
      <c r="F42" s="30">
        <v>1.0754000000000001</v>
      </c>
      <c r="G42" s="30">
        <v>1</v>
      </c>
      <c r="H42" s="30"/>
      <c r="I42" t="s">
        <v>50</v>
      </c>
    </row>
    <row r="43" spans="3:9">
      <c r="C43" s="40">
        <v>34</v>
      </c>
      <c r="D43" s="39">
        <v>40955</v>
      </c>
      <c r="E43" s="30">
        <v>6.2953249838564567</v>
      </c>
      <c r="F43" s="30">
        <v>1.0710199999999999</v>
      </c>
      <c r="G43" s="30">
        <v>1</v>
      </c>
      <c r="H43" s="30"/>
      <c r="I43" t="s">
        <v>50</v>
      </c>
    </row>
    <row r="44" spans="3:9">
      <c r="C44" s="40">
        <v>35</v>
      </c>
      <c r="D44" s="39">
        <v>40962</v>
      </c>
      <c r="E44" s="30">
        <v>6.2973599999999994</v>
      </c>
      <c r="F44" s="30">
        <v>1.0714200000000003</v>
      </c>
      <c r="G44" s="30">
        <v>1</v>
      </c>
      <c r="H44" s="30"/>
      <c r="I44" t="s">
        <v>50</v>
      </c>
    </row>
    <row r="45" spans="3:9">
      <c r="C45" s="40">
        <v>36</v>
      </c>
      <c r="D45" s="39">
        <v>40969</v>
      </c>
      <c r="E45" s="30">
        <v>6.2969200000000001</v>
      </c>
      <c r="F45" s="30">
        <v>1.0756599999999998</v>
      </c>
      <c r="G45" s="30">
        <v>1</v>
      </c>
      <c r="H45" s="30"/>
      <c r="I45" t="s">
        <v>50</v>
      </c>
    </row>
    <row r="46" spans="3:9">
      <c r="C46" s="40">
        <v>37</v>
      </c>
      <c r="D46" s="39">
        <v>40976</v>
      </c>
      <c r="E46" s="30">
        <v>6.3137999999999996</v>
      </c>
      <c r="F46" s="30">
        <v>1.0652999999999999</v>
      </c>
      <c r="G46" s="30">
        <v>1</v>
      </c>
      <c r="H46" s="30"/>
      <c r="I46" t="s">
        <v>50</v>
      </c>
    </row>
    <row r="47" spans="3:9">
      <c r="C47" s="40">
        <v>38</v>
      </c>
      <c r="D47" s="39">
        <v>40983</v>
      </c>
      <c r="E47" s="30">
        <v>6.3260199999999998</v>
      </c>
      <c r="F47" s="30">
        <v>1.0551600000000001</v>
      </c>
      <c r="G47" s="30">
        <v>1</v>
      </c>
      <c r="H47" s="30"/>
      <c r="I47" t="s">
        <v>50</v>
      </c>
    </row>
    <row r="48" spans="3:9">
      <c r="C48" s="40">
        <v>39</v>
      </c>
      <c r="D48" s="39">
        <v>40990</v>
      </c>
      <c r="E48" s="30">
        <v>6.3081399999999999</v>
      </c>
      <c r="F48" s="30">
        <v>1.05202</v>
      </c>
      <c r="G48" s="30">
        <v>1</v>
      </c>
      <c r="H48" s="30"/>
      <c r="I48" t="s">
        <v>50</v>
      </c>
    </row>
    <row r="49" spans="3:9">
      <c r="C49" s="40">
        <v>40</v>
      </c>
      <c r="D49" s="39">
        <v>40997</v>
      </c>
      <c r="E49" s="30">
        <v>6.2886599999999993</v>
      </c>
      <c r="F49" s="30">
        <v>1.0432599999999999</v>
      </c>
      <c r="G49" s="30">
        <v>1</v>
      </c>
      <c r="H49" s="30"/>
      <c r="I49" t="s">
        <v>50</v>
      </c>
    </row>
    <row r="50" spans="3:9">
      <c r="C50" s="40">
        <v>41</v>
      </c>
      <c r="D50" s="39">
        <v>41004</v>
      </c>
      <c r="E50" s="30">
        <v>6.2988999999999997</v>
      </c>
      <c r="F50" s="30">
        <v>1.03562</v>
      </c>
      <c r="G50" s="30">
        <v>1</v>
      </c>
      <c r="H50" s="30"/>
      <c r="I50" t="s">
        <v>50</v>
      </c>
    </row>
    <row r="51" spans="3:9">
      <c r="C51" s="40">
        <v>42</v>
      </c>
      <c r="D51" s="39">
        <v>41011</v>
      </c>
      <c r="E51" s="30">
        <v>6.3028600000000008</v>
      </c>
      <c r="F51" s="30">
        <v>1.0328666666666666</v>
      </c>
      <c r="G51" s="30">
        <v>1</v>
      </c>
      <c r="H51" s="30"/>
      <c r="I51" t="s">
        <v>50</v>
      </c>
    </row>
    <row r="52" spans="3:9">
      <c r="C52" s="40">
        <v>43</v>
      </c>
      <c r="D52" s="39">
        <v>41018</v>
      </c>
      <c r="E52" s="30">
        <v>6.2937400000000006</v>
      </c>
      <c r="F52" s="30">
        <v>1.0360200000000002</v>
      </c>
      <c r="G52" s="30">
        <v>1</v>
      </c>
      <c r="H52" s="30"/>
      <c r="I52" t="s">
        <v>50</v>
      </c>
    </row>
    <row r="53" spans="3:9">
      <c r="C53" s="40">
        <v>44</v>
      </c>
      <c r="D53" s="39">
        <v>41025</v>
      </c>
      <c r="E53" s="30">
        <v>6.2953400000000004</v>
      </c>
      <c r="F53" s="30">
        <v>1.03295</v>
      </c>
      <c r="G53" s="30">
        <v>1</v>
      </c>
      <c r="H53" s="30"/>
      <c r="I53" t="s">
        <v>50</v>
      </c>
    </row>
    <row r="54" spans="3:9">
      <c r="C54" s="40">
        <v>45</v>
      </c>
      <c r="D54" s="39">
        <v>41032</v>
      </c>
      <c r="E54" s="30">
        <v>6.2717999999999998</v>
      </c>
      <c r="F54" s="30">
        <v>1.03616</v>
      </c>
      <c r="G54" s="30">
        <v>1</v>
      </c>
      <c r="H54" s="30"/>
      <c r="I54" t="s">
        <v>50</v>
      </c>
    </row>
    <row r="55" spans="3:9">
      <c r="C55" s="40">
        <v>46</v>
      </c>
      <c r="D55" s="39">
        <v>41039</v>
      </c>
      <c r="E55" s="30">
        <v>6.2837800000000001</v>
      </c>
      <c r="F55" s="30">
        <v>1.0156800000000001</v>
      </c>
      <c r="G55" s="30">
        <v>1</v>
      </c>
      <c r="H55" s="30"/>
      <c r="I55" t="s">
        <v>50</v>
      </c>
    </row>
    <row r="56" spans="3:9">
      <c r="C56" s="40">
        <v>47</v>
      </c>
      <c r="D56" s="39">
        <v>41046</v>
      </c>
      <c r="E56" s="30">
        <v>6.3107999999999995</v>
      </c>
      <c r="F56" s="30">
        <v>0.99868000000000001</v>
      </c>
      <c r="G56" s="30">
        <v>1</v>
      </c>
      <c r="H56" s="30"/>
      <c r="I56" t="s">
        <v>50</v>
      </c>
    </row>
    <row r="57" spans="3:9">
      <c r="C57" s="40">
        <v>48</v>
      </c>
      <c r="D57" s="39">
        <v>41053</v>
      </c>
      <c r="E57" s="30">
        <v>6.3171400000000002</v>
      </c>
      <c r="F57" s="30">
        <v>0.98263999999999996</v>
      </c>
      <c r="G57" s="30">
        <v>1</v>
      </c>
      <c r="H57" s="30"/>
      <c r="I57" t="s">
        <v>50</v>
      </c>
    </row>
    <row r="58" spans="3:9">
      <c r="C58" s="40">
        <v>49</v>
      </c>
      <c r="D58" s="39">
        <v>41060</v>
      </c>
      <c r="E58" s="30">
        <v>6.3281999999999998</v>
      </c>
      <c r="F58" s="30">
        <v>0.97995999999999994</v>
      </c>
      <c r="G58" s="30">
        <v>1</v>
      </c>
      <c r="H58" s="30"/>
      <c r="I58" t="s">
        <v>50</v>
      </c>
    </row>
    <row r="59" spans="3:9">
      <c r="C59" s="40">
        <v>50</v>
      </c>
      <c r="D59" s="39">
        <v>41067</v>
      </c>
      <c r="E59" s="30">
        <v>6.3247999999999998</v>
      </c>
      <c r="F59" s="30">
        <v>0.97919999999999996</v>
      </c>
      <c r="G59" s="30">
        <v>1</v>
      </c>
      <c r="H59" s="30"/>
      <c r="I59" t="s">
        <v>50</v>
      </c>
    </row>
    <row r="60" spans="3:9">
      <c r="C60" s="40">
        <v>51</v>
      </c>
      <c r="D60" s="39">
        <v>41074</v>
      </c>
      <c r="E60" s="30">
        <v>6.3222199999999997</v>
      </c>
      <c r="F60" s="30">
        <v>0.99130000000000007</v>
      </c>
      <c r="G60" s="30">
        <v>1</v>
      </c>
      <c r="H60" s="30"/>
      <c r="I60" t="s">
        <v>50</v>
      </c>
    </row>
    <row r="61" spans="3:9">
      <c r="C61" s="40">
        <v>52</v>
      </c>
      <c r="D61" s="39">
        <v>41081</v>
      </c>
      <c r="E61" s="30">
        <v>6.3030799999999996</v>
      </c>
      <c r="F61" s="30">
        <v>1.0124</v>
      </c>
      <c r="G61" s="30">
        <v>1</v>
      </c>
      <c r="H61" s="30"/>
      <c r="I61" t="s">
        <v>50</v>
      </c>
    </row>
    <row r="62" spans="3:9">
      <c r="C62" s="40">
        <v>53</v>
      </c>
      <c r="D62" s="39">
        <v>41088</v>
      </c>
      <c r="E62" s="30">
        <v>6.3201000000000001</v>
      </c>
      <c r="F62" s="30">
        <v>1.0061</v>
      </c>
      <c r="G62" s="30">
        <v>1</v>
      </c>
      <c r="H62" s="30"/>
      <c r="I62" t="s">
        <v>50</v>
      </c>
    </row>
    <row r="63" spans="3:9">
      <c r="C63" s="40">
        <v>54</v>
      </c>
      <c r="D63" s="39">
        <v>41095</v>
      </c>
      <c r="E63" s="30">
        <v>6.3177400000000006</v>
      </c>
      <c r="F63" s="30">
        <v>1.0249999999999999</v>
      </c>
      <c r="G63" s="30">
        <v>1</v>
      </c>
      <c r="H63" s="30"/>
      <c r="I63" t="s">
        <v>50</v>
      </c>
    </row>
    <row r="64" spans="3:9">
      <c r="C64" s="40">
        <v>55</v>
      </c>
      <c r="D64" s="39">
        <v>41102</v>
      </c>
      <c r="E64" s="30">
        <v>6.3223399999999996</v>
      </c>
      <c r="F64" s="30">
        <v>1.0201999999999998</v>
      </c>
      <c r="G64" s="30">
        <v>1</v>
      </c>
      <c r="H64" s="30"/>
      <c r="I64" t="s">
        <v>50</v>
      </c>
    </row>
    <row r="65" spans="3:9">
      <c r="C65" s="40">
        <v>56</v>
      </c>
      <c r="D65" s="39">
        <v>41109</v>
      </c>
      <c r="E65" s="30">
        <v>6.3177599999999998</v>
      </c>
      <c r="F65" s="30">
        <v>1.02762</v>
      </c>
      <c r="G65" s="30">
        <v>1</v>
      </c>
      <c r="H65" s="30"/>
      <c r="I65" t="s">
        <v>50</v>
      </c>
    </row>
    <row r="66" spans="3:9">
      <c r="C66" s="40">
        <v>57</v>
      </c>
      <c r="D66" s="39">
        <v>41116</v>
      </c>
      <c r="E66" s="30">
        <v>6.3306200000000006</v>
      </c>
      <c r="F66" s="30">
        <v>1.0314400000000001</v>
      </c>
      <c r="G66" s="30">
        <v>1</v>
      </c>
      <c r="H66" s="30"/>
      <c r="I66" t="s">
        <v>50</v>
      </c>
    </row>
    <row r="67" spans="3:9">
      <c r="C67" s="40">
        <v>58</v>
      </c>
      <c r="D67" s="39">
        <v>41123</v>
      </c>
      <c r="E67" s="30">
        <v>6.3329000000000004</v>
      </c>
      <c r="F67" s="30">
        <v>1.0481199999999999</v>
      </c>
      <c r="G67" s="30">
        <v>1</v>
      </c>
      <c r="H67" s="30"/>
      <c r="I67" t="s">
        <v>50</v>
      </c>
    </row>
    <row r="68" spans="3:9">
      <c r="C68" s="40">
        <v>59</v>
      </c>
      <c r="D68" s="39">
        <v>41130</v>
      </c>
      <c r="E68" s="30">
        <v>6.3374199999999998</v>
      </c>
      <c r="F68" s="30">
        <v>1.055075</v>
      </c>
      <c r="G68" s="30">
        <v>1</v>
      </c>
      <c r="H68" s="30"/>
      <c r="I68" t="s">
        <v>50</v>
      </c>
    </row>
    <row r="69" spans="3:9">
      <c r="C69" s="40">
        <v>60</v>
      </c>
      <c r="D69" s="39">
        <v>41137</v>
      </c>
      <c r="E69" s="30">
        <v>6.3464600000000004</v>
      </c>
      <c r="F69" s="30">
        <v>1.05088</v>
      </c>
      <c r="G69" s="30">
        <v>1</v>
      </c>
      <c r="H69" s="30"/>
      <c r="I69" t="s">
        <v>50</v>
      </c>
    </row>
    <row r="70" spans="3:9">
      <c r="C70" s="40">
        <v>61</v>
      </c>
      <c r="D70" s="39">
        <v>41144</v>
      </c>
      <c r="E70" s="30">
        <v>6.340180000000001</v>
      </c>
      <c r="F70" s="30">
        <v>1.0470400000000002</v>
      </c>
      <c r="G70" s="30">
        <v>1</v>
      </c>
      <c r="H70" s="30"/>
      <c r="I70" t="s">
        <v>50</v>
      </c>
    </row>
    <row r="71" spans="3:9">
      <c r="C71" s="40">
        <v>62</v>
      </c>
      <c r="D71" s="39">
        <v>41151</v>
      </c>
      <c r="E71" s="30">
        <v>6.3386799999999992</v>
      </c>
      <c r="F71" s="30">
        <v>1.0381199999999999</v>
      </c>
      <c r="G71" s="30">
        <v>1</v>
      </c>
      <c r="H71" s="30"/>
      <c r="I71" t="s">
        <v>50</v>
      </c>
    </row>
    <row r="72" spans="3:9">
      <c r="C72" s="40">
        <v>63</v>
      </c>
      <c r="D72" s="39">
        <v>41158</v>
      </c>
      <c r="E72" s="30">
        <v>6.3432999999999993</v>
      </c>
      <c r="F72" s="30">
        <v>1.0254799999999999</v>
      </c>
      <c r="G72" s="30">
        <v>1</v>
      </c>
      <c r="H72" s="30"/>
      <c r="I72" t="s">
        <v>50</v>
      </c>
    </row>
    <row r="73" spans="3:9">
      <c r="C73" s="40">
        <v>64</v>
      </c>
      <c r="D73" s="39">
        <v>41165</v>
      </c>
      <c r="E73" s="30">
        <v>6.3374199999999998</v>
      </c>
      <c r="F73" s="30">
        <v>1.0389399999999998</v>
      </c>
      <c r="G73" s="30">
        <v>1</v>
      </c>
      <c r="H73" s="30"/>
      <c r="I73" t="s">
        <v>50</v>
      </c>
    </row>
    <row r="74" spans="3:9">
      <c r="C74" s="40">
        <v>65</v>
      </c>
      <c r="D74" s="39">
        <v>41172</v>
      </c>
      <c r="E74" s="30">
        <v>6.3340199999999998</v>
      </c>
      <c r="F74" s="30">
        <v>1.0484800000000001</v>
      </c>
      <c r="G74" s="30">
        <v>1</v>
      </c>
      <c r="H74" s="30"/>
      <c r="I74" t="s">
        <v>50</v>
      </c>
    </row>
    <row r="75" spans="3:9">
      <c r="C75" s="40">
        <v>66</v>
      </c>
      <c r="D75" s="39">
        <v>41179</v>
      </c>
      <c r="E75" s="30">
        <v>6.3433799999999998</v>
      </c>
      <c r="F75" s="30">
        <v>1.0417000000000001</v>
      </c>
      <c r="G75" s="30">
        <v>1</v>
      </c>
      <c r="H75" s="30"/>
      <c r="I75" t="s">
        <v>50</v>
      </c>
    </row>
    <row r="76" spans="3:9">
      <c r="C76" s="40">
        <v>67</v>
      </c>
      <c r="D76" s="39">
        <v>41186</v>
      </c>
      <c r="E76" s="30">
        <v>6.3430600000000004</v>
      </c>
      <c r="F76" s="30">
        <v>1.0301</v>
      </c>
      <c r="G76" s="30">
        <v>1</v>
      </c>
      <c r="H76" s="30"/>
      <c r="I76" t="s">
        <v>50</v>
      </c>
    </row>
    <row r="77" spans="3:9">
      <c r="C77" s="40">
        <v>68</v>
      </c>
      <c r="D77" s="39">
        <v>41193</v>
      </c>
      <c r="E77" s="30">
        <v>6.3426749999999998</v>
      </c>
      <c r="F77" s="30">
        <v>1.0232199999999998</v>
      </c>
      <c r="G77" s="30">
        <v>1</v>
      </c>
      <c r="H77" s="30"/>
      <c r="I77" t="s">
        <v>50</v>
      </c>
    </row>
    <row r="78" spans="3:9">
      <c r="C78" s="40">
        <v>69</v>
      </c>
      <c r="D78" s="39">
        <v>41200</v>
      </c>
      <c r="E78" s="30">
        <v>6.3106200000000001</v>
      </c>
      <c r="F78" s="30">
        <v>1.0289199999999998</v>
      </c>
      <c r="G78" s="30">
        <v>1</v>
      </c>
      <c r="H78" s="30"/>
      <c r="I78" t="s">
        <v>50</v>
      </c>
    </row>
    <row r="79" spans="3:9">
      <c r="C79" s="40">
        <v>70</v>
      </c>
      <c r="D79" s="39">
        <v>41207</v>
      </c>
      <c r="E79" s="30">
        <v>6.3065800000000003</v>
      </c>
      <c r="F79" s="30">
        <v>1.03382</v>
      </c>
      <c r="G79" s="30">
        <v>1</v>
      </c>
      <c r="H79" s="30"/>
      <c r="I79" t="s">
        <v>50</v>
      </c>
    </row>
    <row r="80" spans="3:9">
      <c r="C80" s="40">
        <v>71</v>
      </c>
      <c r="D80" s="39">
        <v>41214</v>
      </c>
      <c r="E80" s="30">
        <v>6.3009800000000009</v>
      </c>
      <c r="F80" s="30">
        <v>1.03522</v>
      </c>
      <c r="G80" s="30">
        <v>1</v>
      </c>
      <c r="H80" s="30"/>
      <c r="I80" t="s">
        <v>50</v>
      </c>
    </row>
    <row r="81" spans="3:9">
      <c r="C81" s="40">
        <v>72</v>
      </c>
      <c r="D81" s="39">
        <v>41221</v>
      </c>
      <c r="E81" s="30">
        <v>6.3066399999999998</v>
      </c>
      <c r="F81" s="30">
        <v>1.04098</v>
      </c>
      <c r="G81" s="30">
        <v>1</v>
      </c>
      <c r="H81" s="30"/>
      <c r="I81" t="s">
        <v>50</v>
      </c>
    </row>
    <row r="82" spans="3:9">
      <c r="C82" s="40">
        <v>73</v>
      </c>
      <c r="D82" s="39">
        <v>41228</v>
      </c>
      <c r="E82" s="30">
        <v>6.2921800000000001</v>
      </c>
      <c r="F82" s="30">
        <v>1.04132</v>
      </c>
      <c r="G82" s="30">
        <v>1</v>
      </c>
      <c r="H82" s="30"/>
      <c r="I82" t="s">
        <v>50</v>
      </c>
    </row>
    <row r="83" spans="3:9">
      <c r="C83" s="40">
        <v>74</v>
      </c>
      <c r="D83" s="39">
        <v>41235</v>
      </c>
      <c r="E83" s="30">
        <v>6.2934399999999995</v>
      </c>
      <c r="F83" s="30">
        <v>1.03688</v>
      </c>
      <c r="G83" s="30">
        <v>1</v>
      </c>
      <c r="H83" s="30"/>
      <c r="I83" t="s">
        <v>50</v>
      </c>
    </row>
    <row r="84" spans="3:9">
      <c r="C84" s="40">
        <v>75</v>
      </c>
      <c r="D84" s="39">
        <v>41242</v>
      </c>
      <c r="E84" s="30">
        <v>6.2890600000000001</v>
      </c>
      <c r="F84" s="30">
        <v>1.0452600000000001</v>
      </c>
      <c r="G84" s="30">
        <v>1</v>
      </c>
      <c r="H84" s="30"/>
      <c r="I84" t="s">
        <v>50</v>
      </c>
    </row>
    <row r="85" spans="3:9">
      <c r="C85" s="40">
        <v>76</v>
      </c>
      <c r="D85" s="39">
        <v>41249</v>
      </c>
      <c r="E85" s="30">
        <v>6.2893400000000002</v>
      </c>
      <c r="F85" s="30">
        <v>1.0444800000000001</v>
      </c>
      <c r="G85" s="30">
        <v>1</v>
      </c>
      <c r="H85" s="30"/>
      <c r="I85" t="s">
        <v>50</v>
      </c>
    </row>
    <row r="86" spans="3:9">
      <c r="C86" s="40">
        <v>77</v>
      </c>
      <c r="D86" s="39">
        <v>41256</v>
      </c>
      <c r="E86" s="30">
        <v>6.2910200000000005</v>
      </c>
      <c r="F86" s="30">
        <v>1.05016</v>
      </c>
      <c r="G86" s="30">
        <v>1</v>
      </c>
      <c r="H86" s="30"/>
      <c r="I86" t="s">
        <v>50</v>
      </c>
    </row>
    <row r="87" spans="3:9">
      <c r="C87" s="40">
        <v>78</v>
      </c>
      <c r="D87" s="39">
        <v>41263</v>
      </c>
      <c r="E87" s="30">
        <v>6.2887400000000007</v>
      </c>
      <c r="F87" s="30">
        <v>1.0524200000000001</v>
      </c>
      <c r="G87" s="30">
        <v>1</v>
      </c>
      <c r="H87" s="30"/>
      <c r="I87" t="s">
        <v>50</v>
      </c>
    </row>
    <row r="88" spans="3:9">
      <c r="C88" s="40">
        <v>79</v>
      </c>
      <c r="D88" s="39">
        <v>41270</v>
      </c>
      <c r="E88" s="30">
        <v>6.2906999999999993</v>
      </c>
      <c r="F88" s="30">
        <v>1.0404333333333333</v>
      </c>
      <c r="G88" s="30">
        <v>1</v>
      </c>
      <c r="H88" s="30"/>
      <c r="I88" t="s">
        <v>50</v>
      </c>
    </row>
    <row r="89" spans="3:9">
      <c r="C89" s="40">
        <v>80</v>
      </c>
      <c r="D89" s="39">
        <v>41277</v>
      </c>
      <c r="E89" s="30">
        <v>6.2923</v>
      </c>
      <c r="F89" s="30">
        <v>1.043075</v>
      </c>
      <c r="G89" s="30">
        <v>1</v>
      </c>
      <c r="H89" s="30"/>
      <c r="I89" t="s">
        <v>50</v>
      </c>
    </row>
    <row r="90" spans="3:9">
      <c r="C90" s="40">
        <v>81</v>
      </c>
      <c r="D90" s="39">
        <v>41284</v>
      </c>
      <c r="E90" s="30">
        <v>6.2853428571428571</v>
      </c>
      <c r="F90" s="30">
        <v>1.04878</v>
      </c>
      <c r="G90" s="30">
        <v>1</v>
      </c>
      <c r="H90" s="30"/>
      <c r="I90" t="s">
        <v>50</v>
      </c>
    </row>
    <row r="91" spans="3:9">
      <c r="C91" s="40">
        <v>82</v>
      </c>
      <c r="D91" s="39">
        <v>41291</v>
      </c>
      <c r="E91" s="30">
        <v>6.2722000000000007</v>
      </c>
      <c r="F91" s="30">
        <v>1.0552199999999998</v>
      </c>
      <c r="G91" s="30">
        <v>1</v>
      </c>
      <c r="H91" s="30"/>
      <c r="I91" t="s">
        <v>50</v>
      </c>
    </row>
    <row r="92" spans="3:9">
      <c r="C92" s="40">
        <v>83</v>
      </c>
      <c r="D92" s="39">
        <v>41298</v>
      </c>
      <c r="E92" s="30">
        <v>6.2772399999999999</v>
      </c>
      <c r="F92" s="30">
        <v>1.05274</v>
      </c>
      <c r="G92" s="30">
        <v>1</v>
      </c>
      <c r="H92" s="30"/>
      <c r="I92" t="s">
        <v>50</v>
      </c>
    </row>
    <row r="93" spans="3:9">
      <c r="C93" s="40">
        <v>84</v>
      </c>
      <c r="D93" s="39">
        <v>41305</v>
      </c>
      <c r="E93" s="30">
        <v>6.2814999999999994</v>
      </c>
      <c r="F93" s="30">
        <v>1.0441000000000003</v>
      </c>
      <c r="G93" s="30">
        <v>1</v>
      </c>
      <c r="H93" s="30"/>
      <c r="I93" t="s">
        <v>50</v>
      </c>
    </row>
    <row r="94" spans="3:9">
      <c r="C94" s="40">
        <v>85</v>
      </c>
      <c r="D94" s="39">
        <v>41312</v>
      </c>
      <c r="E94" s="30">
        <v>6.2861599999999997</v>
      </c>
      <c r="F94" s="30">
        <v>1.0377800000000001</v>
      </c>
      <c r="G94" s="30">
        <v>1</v>
      </c>
      <c r="H94" s="30"/>
      <c r="I94" t="s">
        <v>50</v>
      </c>
    </row>
    <row r="95" spans="3:9">
      <c r="C95" s="40">
        <v>86</v>
      </c>
      <c r="D95" s="39">
        <v>41319</v>
      </c>
      <c r="E95" s="30">
        <v>6.285639999999999</v>
      </c>
      <c r="F95" s="30">
        <v>1.0309999999999999</v>
      </c>
      <c r="G95" s="30">
        <v>1</v>
      </c>
      <c r="H95" s="30"/>
      <c r="I95" t="s">
        <v>50</v>
      </c>
    </row>
    <row r="96" spans="3:9">
      <c r="C96" s="40">
        <v>87</v>
      </c>
      <c r="D96" s="39">
        <v>41326</v>
      </c>
      <c r="E96" s="30">
        <v>6.2821750000000005</v>
      </c>
      <c r="F96" s="30">
        <v>1.0316999999999998</v>
      </c>
      <c r="G96" s="30">
        <v>1</v>
      </c>
      <c r="H96" s="30"/>
      <c r="I96" t="s">
        <v>50</v>
      </c>
    </row>
    <row r="97" spans="3:9">
      <c r="C97" s="40">
        <v>88</v>
      </c>
      <c r="D97" s="39">
        <v>41333</v>
      </c>
      <c r="E97" s="30">
        <v>6.2847999999999988</v>
      </c>
      <c r="F97" s="30">
        <v>1.0272000000000001</v>
      </c>
      <c r="G97" s="30">
        <v>1</v>
      </c>
      <c r="H97" s="30"/>
      <c r="I97" t="s">
        <v>50</v>
      </c>
    </row>
    <row r="98" spans="3:9">
      <c r="C98" s="40">
        <v>89</v>
      </c>
      <c r="D98" s="39">
        <v>41340</v>
      </c>
      <c r="E98" s="30">
        <v>6.2789400000000004</v>
      </c>
      <c r="F98" s="30">
        <v>1.0225000000000002</v>
      </c>
      <c r="G98" s="30">
        <v>1</v>
      </c>
      <c r="H98" s="30"/>
      <c r="I98" t="s">
        <v>50</v>
      </c>
    </row>
    <row r="99" spans="3:9">
      <c r="C99" s="40">
        <v>90</v>
      </c>
      <c r="D99" s="39">
        <v>41347</v>
      </c>
      <c r="E99" s="30">
        <v>6.2745999999999995</v>
      </c>
      <c r="F99" s="30">
        <v>1.0284599999999999</v>
      </c>
      <c r="G99" s="30">
        <v>1</v>
      </c>
      <c r="H99" s="30"/>
      <c r="I99" t="s">
        <v>50</v>
      </c>
    </row>
    <row r="100" spans="3:9">
      <c r="C100" s="40">
        <v>91</v>
      </c>
      <c r="D100" s="39">
        <v>41354</v>
      </c>
      <c r="E100" s="30">
        <v>6.2733800000000004</v>
      </c>
      <c r="F100" s="30">
        <v>1.0375799999999997</v>
      </c>
      <c r="G100" s="30">
        <v>1</v>
      </c>
      <c r="H100" s="30"/>
      <c r="I100" t="s">
        <v>50</v>
      </c>
    </row>
    <row r="101" spans="3:9">
      <c r="C101" s="40">
        <v>92</v>
      </c>
      <c r="D101" s="39">
        <v>41361</v>
      </c>
      <c r="E101" s="30">
        <v>6.2717399999999994</v>
      </c>
      <c r="F101" s="30">
        <v>1.0447</v>
      </c>
      <c r="G101" s="30">
        <v>1</v>
      </c>
      <c r="H101" s="30"/>
      <c r="I101" t="s">
        <v>50</v>
      </c>
    </row>
    <row r="102" spans="3:9">
      <c r="C102" s="40">
        <v>93</v>
      </c>
      <c r="D102" s="39">
        <v>41368</v>
      </c>
      <c r="E102" s="30">
        <v>6.2633000000000001</v>
      </c>
      <c r="F102" s="30">
        <v>1.0459000000000001</v>
      </c>
      <c r="G102" s="30">
        <v>1</v>
      </c>
      <c r="H102" s="30"/>
      <c r="I102" t="s">
        <v>50</v>
      </c>
    </row>
    <row r="103" spans="3:9">
      <c r="C103" s="40">
        <v>94</v>
      </c>
      <c r="D103" s="39">
        <v>41375</v>
      </c>
      <c r="E103" s="30">
        <v>6.2606000000000002</v>
      </c>
      <c r="F103" s="30">
        <v>1.0448999999999999</v>
      </c>
      <c r="G103" s="30">
        <v>1</v>
      </c>
      <c r="H103" s="30"/>
      <c r="I103" t="s">
        <v>50</v>
      </c>
    </row>
    <row r="104" spans="3:9">
      <c r="C104" s="40">
        <v>95</v>
      </c>
      <c r="D104" s="39">
        <v>41382</v>
      </c>
      <c r="E104" s="30">
        <v>6.2424999999999997</v>
      </c>
      <c r="F104" s="30">
        <v>1.0428999999999999</v>
      </c>
      <c r="G104" s="30">
        <v>1</v>
      </c>
      <c r="H104" s="30"/>
      <c r="I104" t="s">
        <v>50</v>
      </c>
    </row>
    <row r="105" spans="3:9">
      <c r="C105" s="40">
        <v>96</v>
      </c>
      <c r="D105" s="39">
        <v>41389</v>
      </c>
      <c r="E105" s="30">
        <v>6.2207999999999997</v>
      </c>
      <c r="F105" s="30">
        <v>1.0279</v>
      </c>
      <c r="G105" s="30">
        <v>1</v>
      </c>
      <c r="H105" s="30"/>
      <c r="I105" t="s">
        <v>50</v>
      </c>
    </row>
    <row r="106" spans="3:9">
      <c r="C106" s="40">
        <v>97</v>
      </c>
      <c r="D106" s="39">
        <v>41396</v>
      </c>
      <c r="E106" s="30">
        <v>6.21</v>
      </c>
      <c r="F106" s="30">
        <v>1.0317000000000001</v>
      </c>
      <c r="G106" s="30">
        <v>1</v>
      </c>
      <c r="H106" s="30"/>
      <c r="I106" t="s">
        <v>50</v>
      </c>
    </row>
    <row r="107" spans="3:9">
      <c r="C107" s="40">
        <v>98</v>
      </c>
      <c r="D107" s="39">
        <v>41403</v>
      </c>
      <c r="E107" s="30">
        <v>6.2016</v>
      </c>
      <c r="F107" s="30">
        <v>1.0236000000000001</v>
      </c>
      <c r="G107" s="30">
        <v>1</v>
      </c>
      <c r="H107" s="30"/>
      <c r="I107" t="s">
        <v>50</v>
      </c>
    </row>
    <row r="108" spans="3:9">
      <c r="C108" s="40">
        <v>99</v>
      </c>
      <c r="D108" s="39">
        <v>41410</v>
      </c>
      <c r="E108" s="30">
        <v>6.1997</v>
      </c>
      <c r="F108" s="30">
        <v>0.99619999999999997</v>
      </c>
      <c r="G108" s="30">
        <v>1</v>
      </c>
      <c r="H108" s="30"/>
      <c r="I108" t="s">
        <v>50</v>
      </c>
    </row>
    <row r="109" spans="3:9">
      <c r="C109" s="40">
        <v>100</v>
      </c>
      <c r="D109" s="39">
        <v>41417</v>
      </c>
      <c r="E109" s="30">
        <v>6.1870000000000003</v>
      </c>
      <c r="F109" s="30">
        <v>0.97840000000000005</v>
      </c>
      <c r="G109" s="30">
        <v>1</v>
      </c>
      <c r="H109" s="30"/>
      <c r="I109" t="s">
        <v>50</v>
      </c>
    </row>
    <row r="110" spans="3:9">
      <c r="C110" s="40">
        <v>101</v>
      </c>
      <c r="D110" s="39">
        <v>41424</v>
      </c>
      <c r="E110" s="30">
        <v>6.18</v>
      </c>
      <c r="F110" s="30">
        <v>0.96362000000000003</v>
      </c>
      <c r="G110" s="30">
        <v>1</v>
      </c>
      <c r="H110" s="30"/>
      <c r="I110" t="s">
        <v>50</v>
      </c>
    </row>
    <row r="111" spans="3:9">
      <c r="C111" s="40">
        <v>102</v>
      </c>
      <c r="D111" s="39">
        <v>41431</v>
      </c>
      <c r="E111" s="30">
        <v>6.16</v>
      </c>
      <c r="F111" s="30">
        <v>0.96153999999999995</v>
      </c>
      <c r="G111" s="30">
        <v>1</v>
      </c>
      <c r="H111" s="30"/>
      <c r="I111" t="s">
        <v>50</v>
      </c>
    </row>
    <row r="112" spans="3:9">
      <c r="C112" s="40">
        <v>103</v>
      </c>
      <c r="D112" s="39">
        <v>41438</v>
      </c>
      <c r="E112" s="30">
        <v>6.16</v>
      </c>
      <c r="F112" s="30">
        <v>0.94479999999999997</v>
      </c>
      <c r="G112" s="30">
        <v>1</v>
      </c>
      <c r="H112" s="30"/>
      <c r="I112" t="s">
        <v>50</v>
      </c>
    </row>
    <row r="113" spans="3:9">
      <c r="C113" s="40">
        <v>104</v>
      </c>
      <c r="D113" s="39">
        <v>41445</v>
      </c>
      <c r="E113" s="30">
        <v>6.18</v>
      </c>
      <c r="F113" s="30">
        <v>0.94890000000000008</v>
      </c>
      <c r="G113" s="30">
        <v>1</v>
      </c>
      <c r="H113" s="30"/>
      <c r="I113" t="s">
        <v>50</v>
      </c>
    </row>
    <row r="114" spans="3:9">
      <c r="C114" s="40">
        <v>105</v>
      </c>
      <c r="D114" s="39">
        <v>41452</v>
      </c>
      <c r="E114" s="30">
        <v>6.18</v>
      </c>
      <c r="F114" s="30">
        <v>0.92547999999999997</v>
      </c>
      <c r="G114" s="30">
        <v>1</v>
      </c>
      <c r="H114" s="30"/>
      <c r="I114" t="s">
        <v>50</v>
      </c>
    </row>
    <row r="115" spans="3:9">
      <c r="C115" s="40">
        <v>106</v>
      </c>
      <c r="D115" s="39">
        <v>41459</v>
      </c>
      <c r="E115" s="30">
        <v>6.1779999999999999</v>
      </c>
      <c r="F115" s="30">
        <v>0.91690000000000005</v>
      </c>
      <c r="G115" s="30">
        <v>1</v>
      </c>
      <c r="H115" s="30"/>
      <c r="I115" t="s">
        <v>50</v>
      </c>
    </row>
    <row r="116" spans="3:9">
      <c r="C116" s="40">
        <v>107</v>
      </c>
      <c r="D116" s="39">
        <v>41466</v>
      </c>
      <c r="E116" s="30">
        <v>6.1715999999999998</v>
      </c>
      <c r="F116" s="30">
        <v>0.91620000000000001</v>
      </c>
      <c r="G116" s="30">
        <v>1</v>
      </c>
      <c r="H116" s="30"/>
      <c r="I116" t="s">
        <v>50</v>
      </c>
    </row>
    <row r="117" spans="3:9">
      <c r="C117" s="40">
        <v>108</v>
      </c>
      <c r="D117" s="39">
        <v>41473</v>
      </c>
      <c r="E117" s="30">
        <v>6.1669999999999998</v>
      </c>
      <c r="F117" s="30">
        <v>0.9173</v>
      </c>
      <c r="G117" s="30">
        <v>1</v>
      </c>
      <c r="H117" s="30"/>
      <c r="I117" t="s">
        <v>50</v>
      </c>
    </row>
    <row r="118" spans="3:9">
      <c r="C118" s="40">
        <v>109</v>
      </c>
      <c r="D118" s="39">
        <v>41480</v>
      </c>
      <c r="E118" s="30">
        <v>6.1750999999999996</v>
      </c>
      <c r="F118" s="30">
        <v>0.92159999999999997</v>
      </c>
      <c r="G118" s="30">
        <v>1</v>
      </c>
      <c r="H118" s="30"/>
      <c r="I118" t="s">
        <v>50</v>
      </c>
    </row>
    <row r="119" spans="3:9">
      <c r="C119" s="40">
        <v>110</v>
      </c>
      <c r="D119" s="39">
        <v>41487</v>
      </c>
      <c r="E119" s="30">
        <v>6.1817000000000002</v>
      </c>
      <c r="F119" s="30">
        <v>0.91210000000000002</v>
      </c>
      <c r="G119" s="30">
        <v>1</v>
      </c>
      <c r="H119" s="30"/>
      <c r="I119" t="s">
        <v>50</v>
      </c>
    </row>
    <row r="120" spans="3:9">
      <c r="C120" s="40">
        <v>111</v>
      </c>
      <c r="D120" s="39">
        <v>41494</v>
      </c>
      <c r="E120" s="30">
        <f>1/0.16335</f>
        <v>6.1218243036424855</v>
      </c>
      <c r="F120" s="30">
        <v>0.89810000000000001</v>
      </c>
      <c r="G120" s="30">
        <v>1</v>
      </c>
      <c r="H120" s="30"/>
      <c r="I120" t="s">
        <v>50</v>
      </c>
    </row>
    <row r="121" spans="3:9">
      <c r="C121" s="40">
        <v>112</v>
      </c>
      <c r="D121" s="39">
        <v>41501</v>
      </c>
      <c r="E121" s="30">
        <f>1/0.163229</f>
        <v>6.1263623498275424</v>
      </c>
      <c r="F121" s="30">
        <v>0.9143</v>
      </c>
      <c r="G121" s="30">
        <v>1</v>
      </c>
      <c r="H121" s="30"/>
      <c r="I121" t="s">
        <v>50</v>
      </c>
    </row>
    <row r="122" spans="3:9">
      <c r="C122" s="40">
        <v>113</v>
      </c>
      <c r="D122" s="39">
        <v>41508</v>
      </c>
      <c r="E122" s="30">
        <f>1/0.163443</f>
        <v>6.1183409506678164</v>
      </c>
      <c r="F122" s="30">
        <v>0.90900000000000003</v>
      </c>
      <c r="G122" s="30">
        <v>1</v>
      </c>
      <c r="H122" s="30"/>
      <c r="I122" t="s">
        <v>50</v>
      </c>
    </row>
    <row r="123" spans="3:9">
      <c r="C123" s="40">
        <v>114</v>
      </c>
      <c r="D123" s="39">
        <v>41515</v>
      </c>
      <c r="E123" s="30">
        <f>1/0.16337</f>
        <v>6.121074860745547</v>
      </c>
      <c r="F123" s="30">
        <v>0.89810000000000001</v>
      </c>
      <c r="G123" s="30">
        <v>1</v>
      </c>
      <c r="H123" s="30"/>
      <c r="I123" t="s">
        <v>50</v>
      </c>
    </row>
    <row r="124" spans="3:9">
      <c r="C124" s="40">
        <v>115</v>
      </c>
      <c r="D124" s="39">
        <v>41522</v>
      </c>
      <c r="E124" s="30">
        <f>1/0.1634</f>
        <v>6.119951040391677</v>
      </c>
      <c r="F124" s="30">
        <v>0.89700000000000002</v>
      </c>
      <c r="G124" s="30">
        <v>1</v>
      </c>
      <c r="H124" s="30"/>
      <c r="I124" t="s">
        <v>50</v>
      </c>
    </row>
    <row r="125" spans="3:9">
      <c r="C125" s="40">
        <v>116</v>
      </c>
      <c r="D125" s="39">
        <v>41529</v>
      </c>
      <c r="E125" s="30">
        <f>1/0.1634</f>
        <v>6.119951040391677</v>
      </c>
      <c r="F125" s="30">
        <v>0.92200000000000004</v>
      </c>
      <c r="G125" s="30">
        <v>1</v>
      </c>
      <c r="H125" s="30"/>
      <c r="I125" t="s">
        <v>50</v>
      </c>
    </row>
    <row r="126" spans="3:9">
      <c r="C126" s="40">
        <v>117</v>
      </c>
      <c r="D126" s="39">
        <v>41536</v>
      </c>
      <c r="E126" s="30">
        <f>1/0.163409</f>
        <v>6.1196139747504725</v>
      </c>
      <c r="F126" s="30">
        <v>0.92930000000000001</v>
      </c>
      <c r="G126" s="30">
        <v>1</v>
      </c>
      <c r="H126" s="30"/>
      <c r="I126" t="s">
        <v>50</v>
      </c>
    </row>
    <row r="127" spans="3:9">
      <c r="C127" s="40">
        <v>118</v>
      </c>
      <c r="D127" s="39">
        <v>41543</v>
      </c>
      <c r="E127" s="30">
        <f>1/0.1632</f>
        <v>6.1274509803921564</v>
      </c>
      <c r="F127" s="30">
        <v>0.93940000000000001</v>
      </c>
      <c r="G127" s="30">
        <v>1</v>
      </c>
      <c r="H127" s="30"/>
      <c r="I127" t="s">
        <v>50</v>
      </c>
    </row>
    <row r="128" spans="3:9">
      <c r="C128" s="40">
        <v>119</v>
      </c>
      <c r="D128" s="39">
        <v>41559</v>
      </c>
      <c r="E128" s="30">
        <f>1/0.163384</f>
        <v>6.1205503598883615</v>
      </c>
      <c r="F128" s="30">
        <v>0.93959999999999999</v>
      </c>
      <c r="G128" s="30">
        <v>1</v>
      </c>
      <c r="H128" s="30"/>
      <c r="I128" t="s">
        <v>50</v>
      </c>
    </row>
    <row r="129" spans="3:9">
      <c r="C129" s="40">
        <v>120</v>
      </c>
      <c r="D129" s="39">
        <v>41565</v>
      </c>
      <c r="E129" s="30">
        <f>1/0.16366</f>
        <v>6.110228522546743</v>
      </c>
      <c r="F129" s="30">
        <v>0.95189999999999997</v>
      </c>
      <c r="G129" s="30">
        <v>1</v>
      </c>
      <c r="H129" s="30"/>
      <c r="I129" t="s">
        <v>50</v>
      </c>
    </row>
    <row r="130" spans="3:9">
      <c r="C130" s="40">
        <v>121</v>
      </c>
      <c r="D130" s="39">
        <v>41572</v>
      </c>
      <c r="E130" s="30">
        <f>1/0.163794</f>
        <v>6.1052297397951083</v>
      </c>
      <c r="F130" s="30">
        <v>0.96589999999999998</v>
      </c>
      <c r="G130" s="30">
        <v>1</v>
      </c>
      <c r="H130" s="30"/>
      <c r="I130" t="s">
        <v>50</v>
      </c>
    </row>
    <row r="131" spans="3:9">
      <c r="C131" s="40">
        <v>122</v>
      </c>
      <c r="D131" s="39">
        <v>41579</v>
      </c>
      <c r="E131" s="30">
        <f>1/0.163552</f>
        <v>6.1142633535511637</v>
      </c>
      <c r="F131" s="30">
        <v>0.95369999999999999</v>
      </c>
      <c r="G131" s="30">
        <v>1</v>
      </c>
      <c r="H131" s="30"/>
      <c r="I131" t="s">
        <v>50</v>
      </c>
    </row>
    <row r="132" spans="3:9">
      <c r="C132" s="40">
        <v>123</v>
      </c>
      <c r="D132" s="39">
        <v>41586</v>
      </c>
      <c r="E132" s="30">
        <f>1/0.163247</f>
        <v>6.1256868426372302</v>
      </c>
      <c r="F132" s="30">
        <v>0.94708000000000003</v>
      </c>
      <c r="G132" s="30">
        <v>1</v>
      </c>
      <c r="H132" s="30"/>
      <c r="I132" t="s">
        <v>50</v>
      </c>
    </row>
    <row r="133" spans="3:9">
      <c r="C133" s="40">
        <v>124</v>
      </c>
      <c r="D133" s="39">
        <v>41593</v>
      </c>
      <c r="E133" s="30">
        <f>1/0.163467</f>
        <v>6.117442664268629</v>
      </c>
      <c r="F133" s="30">
        <v>0.93489999999999995</v>
      </c>
      <c r="G133" s="30">
        <v>1</v>
      </c>
      <c r="H133" s="30"/>
      <c r="I133" t="s">
        <v>50</v>
      </c>
    </row>
    <row r="134" spans="3:9">
      <c r="C134" s="40">
        <v>125</v>
      </c>
      <c r="D134" s="39">
        <v>41600</v>
      </c>
      <c r="E134" s="30">
        <f>1/0.163531</f>
        <v>6.1150485229100289</v>
      </c>
      <c r="F134" s="30">
        <v>0.93618999999999997</v>
      </c>
      <c r="G134" s="30">
        <v>1</v>
      </c>
      <c r="H134" s="30"/>
      <c r="I134" t="s">
        <v>50</v>
      </c>
    </row>
    <row r="135" spans="3:9">
      <c r="C135" s="40">
        <v>126</v>
      </c>
      <c r="D135" s="39">
        <v>41607</v>
      </c>
      <c r="E135" s="30">
        <f>1/0.163986</f>
        <v>6.0980815435464004</v>
      </c>
      <c r="F135" s="31">
        <v>0.91318900000000003</v>
      </c>
      <c r="G135" s="30">
        <v>1</v>
      </c>
      <c r="H135" s="30"/>
      <c r="I135" t="s">
        <v>50</v>
      </c>
    </row>
    <row r="136" spans="3:9">
      <c r="C136" s="40">
        <v>127</v>
      </c>
      <c r="D136" s="39">
        <v>41614</v>
      </c>
      <c r="E136" s="30">
        <f>1/0.16413</f>
        <v>6.0927313714738318</v>
      </c>
      <c r="F136" s="31">
        <v>0.909354</v>
      </c>
      <c r="G136" s="30">
        <v>1</v>
      </c>
      <c r="H136" s="30"/>
      <c r="I136" t="s">
        <v>50</v>
      </c>
    </row>
    <row r="137" spans="3:9">
      <c r="C137" s="40">
        <v>128</v>
      </c>
      <c r="D137" s="39">
        <v>41621</v>
      </c>
      <c r="E137" s="30">
        <f>1/0.164542</f>
        <v>6.0774756597099833</v>
      </c>
      <c r="F137" s="31">
        <v>0.90756899999999996</v>
      </c>
      <c r="G137" s="30">
        <v>1</v>
      </c>
      <c r="H137" s="30"/>
      <c r="I137" t="s">
        <v>50</v>
      </c>
    </row>
    <row r="138" spans="3:9">
      <c r="C138" s="40">
        <v>129</v>
      </c>
      <c r="D138" s="39">
        <v>41628</v>
      </c>
      <c r="E138" s="30">
        <f>1/0.164388</f>
        <v>6.0831690877679634</v>
      </c>
      <c r="F138" s="31">
        <v>0.892791</v>
      </c>
      <c r="G138" s="30">
        <v>1</v>
      </c>
      <c r="H138" s="30"/>
      <c r="I138" t="s">
        <v>50</v>
      </c>
    </row>
    <row r="139" spans="3:9">
      <c r="C139" s="40">
        <v>130</v>
      </c>
      <c r="D139" s="39">
        <v>41635</v>
      </c>
      <c r="E139" s="30">
        <f>1/0.164362</f>
        <v>6.0841313685645098</v>
      </c>
      <c r="F139" s="31">
        <v>0.89196699999999995</v>
      </c>
      <c r="G139" s="30">
        <v>1</v>
      </c>
      <c r="H139" s="30"/>
      <c r="I139" t="s">
        <v>50</v>
      </c>
    </row>
    <row r="140" spans="3:9">
      <c r="C140" s="40">
        <v>131</v>
      </c>
      <c r="D140" s="39">
        <v>41642</v>
      </c>
      <c r="E140" s="30">
        <f>1/0.164745</f>
        <v>6.0699869495280581</v>
      </c>
      <c r="F140" s="31">
        <v>0.89003200000000005</v>
      </c>
      <c r="G140" s="30">
        <v>1</v>
      </c>
      <c r="H140" s="30"/>
      <c r="I140" t="s">
        <v>50</v>
      </c>
    </row>
    <row r="141" spans="3:9">
      <c r="C141" s="40">
        <v>132</v>
      </c>
      <c r="D141" s="39">
        <v>41649</v>
      </c>
      <c r="E141" s="30">
        <f>1/0.164656</f>
        <v>6.0732679039937807</v>
      </c>
      <c r="F141" s="31">
        <v>0.89320200000000005</v>
      </c>
      <c r="G141" s="30">
        <v>1</v>
      </c>
      <c r="H141" s="30"/>
      <c r="I141" t="s">
        <v>50</v>
      </c>
    </row>
    <row r="142" spans="3:9">
      <c r="C142" s="40">
        <v>133</v>
      </c>
      <c r="D142" s="39">
        <v>41656</v>
      </c>
      <c r="E142" s="30">
        <f>1/0.164571</f>
        <v>6.0764047128594951</v>
      </c>
      <c r="F142" s="31">
        <v>0.89498999999999995</v>
      </c>
      <c r="G142" s="30">
        <v>1</v>
      </c>
      <c r="H142" s="30"/>
      <c r="I142" t="s">
        <v>50</v>
      </c>
    </row>
    <row r="143" spans="3:9">
      <c r="C143" s="40">
        <v>134</v>
      </c>
      <c r="D143" s="39">
        <v>41663</v>
      </c>
      <c r="E143" s="30">
        <f>1/0.16485</f>
        <v>6.0661207158022448</v>
      </c>
      <c r="F143" s="31">
        <v>0.87953000000000003</v>
      </c>
      <c r="G143" s="30">
        <v>1</v>
      </c>
      <c r="H143" s="30"/>
      <c r="I143" t="s">
        <v>50</v>
      </c>
    </row>
    <row r="144" spans="3:9">
      <c r="C144" s="40">
        <v>135</v>
      </c>
      <c r="D144" s="39">
        <v>41670</v>
      </c>
      <c r="E144" s="30">
        <f>1/0.164427</f>
        <v>6.0817262371751601</v>
      </c>
      <c r="F144" s="31">
        <v>0.87341500000000005</v>
      </c>
      <c r="G144" s="30">
        <v>1</v>
      </c>
      <c r="H144" s="30"/>
      <c r="I144" t="s">
        <v>50</v>
      </c>
    </row>
    <row r="145" spans="3:9">
      <c r="C145" s="40">
        <v>136</v>
      </c>
      <c r="D145" s="39">
        <v>41677</v>
      </c>
      <c r="E145" s="30">
        <f>1/0.164808</f>
        <v>6.0676666181253331</v>
      </c>
      <c r="F145" s="31">
        <v>0.88329800000000003</v>
      </c>
      <c r="G145" s="30">
        <v>1</v>
      </c>
      <c r="H145" s="30"/>
      <c r="I145" t="s">
        <v>50</v>
      </c>
    </row>
    <row r="146" spans="3:9">
      <c r="C146" s="40">
        <v>137</v>
      </c>
      <c r="D146" s="39">
        <v>41684</v>
      </c>
      <c r="E146" s="30">
        <f>1/0.164955</f>
        <v>6.0622594040799012</v>
      </c>
      <c r="F146" s="31">
        <v>0.89804399999999995</v>
      </c>
      <c r="G146" s="30">
        <v>1</v>
      </c>
      <c r="H146" s="30"/>
      <c r="I146" t="s">
        <v>50</v>
      </c>
    </row>
    <row r="147" spans="3:9">
      <c r="C147" s="40">
        <v>138</v>
      </c>
      <c r="D147" s="39">
        <v>41691</v>
      </c>
      <c r="E147" s="30">
        <f>1/0.164778</f>
        <v>6.068771316559249</v>
      </c>
      <c r="F147" s="31">
        <v>0.90254599999999996</v>
      </c>
      <c r="G147" s="30">
        <v>1</v>
      </c>
      <c r="H147" s="30"/>
      <c r="I147" t="s">
        <v>50</v>
      </c>
    </row>
    <row r="148" spans="3:9">
      <c r="C148" s="40">
        <v>139</v>
      </c>
      <c r="D148" s="39">
        <v>41698</v>
      </c>
      <c r="E148" s="30">
        <f>1/0.163884</f>
        <v>6.1018769373459278</v>
      </c>
      <c r="F148" s="31">
        <v>0.89849500000000004</v>
      </c>
      <c r="G148" s="30">
        <v>1</v>
      </c>
      <c r="H148" s="30"/>
      <c r="I148" t="s">
        <v>50</v>
      </c>
    </row>
    <row r="149" spans="3:9">
      <c r="C149" s="40">
        <v>140</v>
      </c>
      <c r="D149" s="39">
        <v>41705</v>
      </c>
      <c r="E149" s="30">
        <f>1/0.162803</f>
        <v>6.1423929534468034</v>
      </c>
      <c r="F149" s="31">
        <v>0.89621300000000004</v>
      </c>
      <c r="G149" s="30">
        <v>1</v>
      </c>
      <c r="H149" s="30"/>
      <c r="I149" t="s">
        <v>50</v>
      </c>
    </row>
    <row r="150" spans="3:9">
      <c r="C150" s="40">
        <v>141</v>
      </c>
      <c r="D150" s="39">
        <v>41712</v>
      </c>
      <c r="E150" s="30">
        <f>1/0.162995</f>
        <v>6.1351575201693302</v>
      </c>
      <c r="F150" s="31">
        <v>0.90378800000000004</v>
      </c>
      <c r="G150" s="30">
        <v>1</v>
      </c>
      <c r="H150" s="30"/>
      <c r="I150" t="s">
        <v>50</v>
      </c>
    </row>
    <row r="151" spans="3:9">
      <c r="C151" s="40">
        <v>142</v>
      </c>
      <c r="D151" s="39">
        <v>41719</v>
      </c>
      <c r="E151" s="30">
        <f>1/0.162092</f>
        <v>6.1693359326802062</v>
      </c>
      <c r="F151" s="31">
        <v>0.90694699999999995</v>
      </c>
      <c r="G151" s="30">
        <v>1</v>
      </c>
      <c r="H151" s="30"/>
      <c r="I151" t="s">
        <v>50</v>
      </c>
    </row>
    <row r="152" spans="3:9">
      <c r="C152" s="40">
        <v>143</v>
      </c>
      <c r="D152" s="39">
        <v>41726</v>
      </c>
      <c r="E152" s="30">
        <f>1/0.160961</f>
        <v>6.212685060356236</v>
      </c>
      <c r="F152" s="31">
        <v>0.91434300000000002</v>
      </c>
      <c r="G152" s="30">
        <v>1</v>
      </c>
      <c r="H152" s="30"/>
      <c r="I152" t="s">
        <v>50</v>
      </c>
    </row>
    <row r="153" spans="3:9">
      <c r="C153" s="40">
        <v>144</v>
      </c>
      <c r="D153" s="39">
        <v>41733</v>
      </c>
      <c r="E153" s="30">
        <f>1/0.160991</f>
        <v>6.2115273524606964</v>
      </c>
      <c r="F153" s="31">
        <v>0.92443600000000004</v>
      </c>
      <c r="G153" s="30">
        <v>1</v>
      </c>
      <c r="H153" s="30"/>
      <c r="I153" t="s">
        <v>50</v>
      </c>
    </row>
    <row r="154" spans="3:9">
      <c r="C154" s="40">
        <v>145</v>
      </c>
      <c r="D154" s="39">
        <v>41740</v>
      </c>
      <c r="E154" s="30">
        <f>1/0.161075</f>
        <v>6.2082880645661964</v>
      </c>
      <c r="F154" s="31">
        <v>0.93218800000000002</v>
      </c>
      <c r="G154" s="30">
        <v>1</v>
      </c>
      <c r="H154" s="30"/>
      <c r="I154" t="s">
        <v>50</v>
      </c>
    </row>
    <row r="155" spans="3:9">
      <c r="C155" s="40">
        <v>146</v>
      </c>
      <c r="D155" s="39">
        <v>41747</v>
      </c>
      <c r="E155" s="30">
        <f>1/0.160871</f>
        <v>6.2161607747822796</v>
      </c>
      <c r="F155" s="31">
        <v>0.93801900000000005</v>
      </c>
      <c r="G155" s="30">
        <v>1</v>
      </c>
      <c r="H155" s="30"/>
      <c r="I155" t="s">
        <v>50</v>
      </c>
    </row>
    <row r="156" spans="3:9">
      <c r="C156" s="40">
        <v>147</v>
      </c>
      <c r="D156" s="39">
        <v>41754</v>
      </c>
      <c r="E156" s="30">
        <f>1/0.160453</f>
        <v>6.23235464590877</v>
      </c>
      <c r="F156" s="31">
        <v>0.93184900000000004</v>
      </c>
      <c r="G156" s="30">
        <v>1</v>
      </c>
      <c r="H156" s="30"/>
      <c r="I156" t="s">
        <v>50</v>
      </c>
    </row>
    <row r="157" spans="3:9">
      <c r="C157" s="40">
        <v>148</v>
      </c>
      <c r="D157" s="39">
        <v>41761</v>
      </c>
      <c r="E157" s="30">
        <f>1/0.159869</f>
        <v>6.2551213806303911</v>
      </c>
      <c r="F157" s="31">
        <v>0.92676599999999998</v>
      </c>
      <c r="G157" s="30">
        <v>1</v>
      </c>
      <c r="H157" s="30"/>
      <c r="I157" t="s">
        <v>50</v>
      </c>
    </row>
    <row r="158" spans="3:9">
      <c r="C158" s="40">
        <v>149</v>
      </c>
      <c r="D158" s="39">
        <v>41768</v>
      </c>
      <c r="E158" s="30">
        <f>1/0.160087</f>
        <v>6.2466034093961404</v>
      </c>
      <c r="F158" s="31">
        <v>0.952654</v>
      </c>
      <c r="G158" s="30">
        <v>1</v>
      </c>
      <c r="H158" s="30"/>
      <c r="I158" t="s">
        <v>50</v>
      </c>
    </row>
    <row r="159" spans="3:9">
      <c r="C159" s="40">
        <v>150</v>
      </c>
      <c r="D159" s="39">
        <v>41775</v>
      </c>
      <c r="E159" s="30">
        <f>1/0.16052</f>
        <v>6.2297533017692501</v>
      </c>
      <c r="F159" s="31">
        <v>0.93612399999999996</v>
      </c>
      <c r="G159" s="30">
        <v>1</v>
      </c>
      <c r="H159" s="30"/>
      <c r="I159" t="s">
        <v>50</v>
      </c>
    </row>
    <row r="160" spans="3:9">
      <c r="C160" s="40">
        <v>151</v>
      </c>
      <c r="D160" s="39">
        <v>41782</v>
      </c>
      <c r="E160" s="30">
        <f>1/0.160362</f>
        <v>6.2358912959429293</v>
      </c>
      <c r="F160" s="31">
        <v>0.93018500000000004</v>
      </c>
      <c r="G160" s="30">
        <v>1</v>
      </c>
      <c r="H160" s="30"/>
      <c r="I160" t="s">
        <v>50</v>
      </c>
    </row>
    <row r="161" spans="3:9">
      <c r="C161" s="40">
        <v>152</v>
      </c>
      <c r="D161" s="39">
        <v>41789</v>
      </c>
      <c r="E161" s="30">
        <f>1/0.160234</f>
        <v>6.2408727236416741</v>
      </c>
      <c r="F161" s="31">
        <v>0.92413299999999998</v>
      </c>
      <c r="G161" s="30">
        <v>1</v>
      </c>
      <c r="H161" s="30"/>
      <c r="I161" t="s">
        <v>50</v>
      </c>
    </row>
    <row r="162" spans="3:9">
      <c r="C162" s="40">
        <v>153</v>
      </c>
      <c r="D162" s="39">
        <v>41796</v>
      </c>
      <c r="E162" s="30">
        <f>1/0.159971</f>
        <v>6.2511330178594866</v>
      </c>
      <c r="F162" s="31">
        <v>0.92883499999999997</v>
      </c>
      <c r="G162" s="30">
        <v>1</v>
      </c>
      <c r="H162" s="30"/>
      <c r="I162" t="s">
        <v>50</v>
      </c>
    </row>
    <row r="163" spans="3:9">
      <c r="C163" s="40">
        <v>154</v>
      </c>
      <c r="D163" s="39">
        <v>41803</v>
      </c>
      <c r="E163" s="30">
        <f>1/0.160151</f>
        <v>6.2441071239018182</v>
      </c>
      <c r="F163" s="31">
        <v>0.936002</v>
      </c>
      <c r="G163" s="30">
        <v>1</v>
      </c>
      <c r="H163" s="30"/>
      <c r="I163" t="s">
        <v>50</v>
      </c>
    </row>
    <row r="164" spans="3:9">
      <c r="C164" s="40">
        <v>155</v>
      </c>
      <c r="D164" s="39">
        <v>41810</v>
      </c>
      <c r="E164" s="30">
        <f>1/0.160716</f>
        <v>6.2221558525597951</v>
      </c>
      <c r="F164" s="31">
        <v>0.93810099999999996</v>
      </c>
      <c r="G164" s="30">
        <v>1</v>
      </c>
      <c r="H164" s="30"/>
      <c r="I164" t="s">
        <v>50</v>
      </c>
    </row>
    <row r="165" spans="3:9">
      <c r="C165" s="40">
        <v>156</v>
      </c>
      <c r="D165" s="39">
        <v>41817</v>
      </c>
      <c r="E165" s="30">
        <f>1/0.160552</f>
        <v>6.2285116348597338</v>
      </c>
      <c r="F165" s="31">
        <v>0.93939700000000004</v>
      </c>
      <c r="G165" s="30">
        <v>1</v>
      </c>
      <c r="H165" s="30"/>
      <c r="I165" t="s">
        <v>50</v>
      </c>
    </row>
    <row r="166" spans="3:9">
      <c r="C166" s="40">
        <v>157</v>
      </c>
      <c r="D166" s="39">
        <v>41824</v>
      </c>
      <c r="E166" s="30">
        <f>1/0.161041</f>
        <v>6.2095987978216733</v>
      </c>
      <c r="F166" s="31">
        <v>0.94255</v>
      </c>
      <c r="G166" s="30">
        <v>1</v>
      </c>
      <c r="H166" s="30"/>
      <c r="I166" t="s">
        <v>50</v>
      </c>
    </row>
    <row r="167" spans="3:9">
      <c r="C167" s="40">
        <v>158</v>
      </c>
      <c r="D167" s="39">
        <v>41831</v>
      </c>
      <c r="E167" s="30">
        <f>1/0.161212</f>
        <v>6.203012182715927</v>
      </c>
      <c r="F167" s="31">
        <v>0.93793800000000005</v>
      </c>
      <c r="G167" s="30">
        <v>1</v>
      </c>
      <c r="H167" s="30"/>
      <c r="I167" t="s">
        <v>50</v>
      </c>
    </row>
    <row r="168" spans="3:9">
      <c r="C168" s="40">
        <v>159</v>
      </c>
      <c r="D168" s="39">
        <v>41838</v>
      </c>
      <c r="E168" s="30">
        <f>1/0.161178</f>
        <v>6.20432068892777</v>
      </c>
      <c r="F168" s="31">
        <v>0.938087</v>
      </c>
      <c r="G168" s="30">
        <v>1</v>
      </c>
      <c r="H168" s="30"/>
      <c r="I168" t="s">
        <v>50</v>
      </c>
    </row>
    <row r="169" spans="3:9">
      <c r="C169" s="40">
        <v>160</v>
      </c>
      <c r="D169" s="39">
        <v>41845</v>
      </c>
      <c r="E169" s="30">
        <f>6.1672</f>
        <v>6.1672000000000002</v>
      </c>
      <c r="F169" s="31">
        <v>0.94023400000000001</v>
      </c>
      <c r="G169" s="30">
        <v>1</v>
      </c>
      <c r="H169" s="30"/>
      <c r="I169" t="s">
        <v>50</v>
      </c>
    </row>
    <row r="170" spans="3:9">
      <c r="C170" s="40">
        <v>161</v>
      </c>
      <c r="D170" s="39">
        <v>41852</v>
      </c>
      <c r="E170" s="30">
        <f>1/0.161705</f>
        <v>6.1841006771590248</v>
      </c>
      <c r="F170" s="31">
        <v>0.93731799999999998</v>
      </c>
      <c r="G170" s="30">
        <v>1</v>
      </c>
      <c r="H170" s="30"/>
      <c r="I170" t="s">
        <v>50</v>
      </c>
    </row>
    <row r="171" spans="3:9">
      <c r="C171" s="40">
        <v>162</v>
      </c>
      <c r="D171" s="39">
        <v>41859</v>
      </c>
      <c r="E171" s="30">
        <f>1/0.161916</f>
        <v>6.1760418982682381</v>
      </c>
      <c r="F171" s="31">
        <v>0.93123999999999996</v>
      </c>
      <c r="G171" s="30">
        <v>1</v>
      </c>
      <c r="H171" s="30"/>
      <c r="I171" t="s">
        <v>50</v>
      </c>
    </row>
    <row r="172" spans="3:9">
      <c r="C172" s="40">
        <v>163</v>
      </c>
      <c r="D172" s="39">
        <v>41866</v>
      </c>
      <c r="E172" s="30">
        <f>1/0.1624</f>
        <v>6.1576354679802963</v>
      </c>
      <c r="F172" s="31">
        <v>0.92835500000000004</v>
      </c>
      <c r="G172" s="30">
        <v>1</v>
      </c>
      <c r="H172" s="30"/>
      <c r="I172" t="s">
        <v>50</v>
      </c>
    </row>
    <row r="173" spans="3:9">
      <c r="C173" s="40">
        <v>164</v>
      </c>
      <c r="D173" s="39">
        <v>41873</v>
      </c>
      <c r="E173" s="30">
        <f>1/0.1627</f>
        <v>6.1462814996926856</v>
      </c>
      <c r="F173" s="31">
        <v>0.93157000000000001</v>
      </c>
      <c r="G173" s="30">
        <v>1</v>
      </c>
      <c r="H173" s="30"/>
      <c r="I173" t="s">
        <v>50</v>
      </c>
    </row>
    <row r="174" spans="3:9">
      <c r="C174" s="40">
        <v>165</v>
      </c>
      <c r="D174" s="39">
        <v>41880</v>
      </c>
      <c r="E174" s="30">
        <f>1/0.162619</f>
        <v>6.1493429427065713</v>
      </c>
      <c r="F174" s="31">
        <v>0.93197700000000006</v>
      </c>
      <c r="G174" s="30">
        <v>1</v>
      </c>
      <c r="H174" s="30"/>
      <c r="I174" t="s">
        <v>50</v>
      </c>
    </row>
    <row r="175" spans="3:9">
      <c r="C175" s="40">
        <v>166</v>
      </c>
      <c r="D175" s="39">
        <v>41887</v>
      </c>
      <c r="E175" s="30">
        <f>1/0.16279</f>
        <v>6.1428834695005836</v>
      </c>
      <c r="F175" s="31">
        <v>0.93327700000000002</v>
      </c>
      <c r="G175" s="30">
        <v>1</v>
      </c>
      <c r="H175" s="30"/>
      <c r="I175" t="s">
        <v>50</v>
      </c>
    </row>
    <row r="176" spans="3:9">
      <c r="C176" s="40">
        <v>167</v>
      </c>
      <c r="D176" s="39">
        <v>41894</v>
      </c>
      <c r="E176" s="30">
        <f>1/0.162935</f>
        <v>6.1374167612851753</v>
      </c>
      <c r="F176" s="31">
        <v>0.92517899999999997</v>
      </c>
      <c r="G176" s="30">
        <v>1</v>
      </c>
      <c r="H176" s="30"/>
      <c r="I176" t="s">
        <v>50</v>
      </c>
    </row>
    <row r="177" spans="3:9">
      <c r="C177" s="40">
        <v>168</v>
      </c>
      <c r="D177" s="39">
        <v>41901</v>
      </c>
      <c r="E177" s="30">
        <f>1/0.162856</f>
        <v>6.1403939676769665</v>
      </c>
      <c r="F177" s="31">
        <v>0.90435399999999999</v>
      </c>
      <c r="G177" s="30">
        <v>1</v>
      </c>
      <c r="H177" s="30"/>
      <c r="I177" t="s">
        <v>50</v>
      </c>
    </row>
    <row r="178" spans="3:9">
      <c r="C178" s="40">
        <v>169</v>
      </c>
      <c r="D178" s="39">
        <v>41908</v>
      </c>
      <c r="E178" s="30">
        <f>1/0.162863</f>
        <v>6.1401300479544156</v>
      </c>
      <c r="F178" s="31">
        <v>0.88821399999999995</v>
      </c>
      <c r="G178" s="30">
        <v>1</v>
      </c>
      <c r="H178" s="30"/>
      <c r="I178" t="s">
        <v>50</v>
      </c>
    </row>
    <row r="179" spans="3:9">
      <c r="C179" s="40">
        <v>170</v>
      </c>
      <c r="D179" s="39">
        <v>41915</v>
      </c>
      <c r="E179" s="30">
        <f>1/0.162935</f>
        <v>6.1374167612851753</v>
      </c>
      <c r="F179" s="31">
        <v>0.87474799999999997</v>
      </c>
      <c r="G179" s="30">
        <v>1</v>
      </c>
      <c r="H179" s="30"/>
      <c r="I179" t="s">
        <v>50</v>
      </c>
    </row>
    <row r="180" spans="3:9">
      <c r="C180" s="40">
        <v>171</v>
      </c>
      <c r="D180" s="39">
        <v>41922</v>
      </c>
      <c r="E180" s="30">
        <f>1/0.16291</f>
        <v>6.138358602909582</v>
      </c>
      <c r="F180" s="31">
        <v>0.87487199999999998</v>
      </c>
      <c r="G180" s="30">
        <v>1</v>
      </c>
      <c r="H180" s="30"/>
      <c r="I180" t="s">
        <v>50</v>
      </c>
    </row>
    <row r="181" spans="3:9">
      <c r="C181" s="40">
        <v>172</v>
      </c>
      <c r="D181" s="39">
        <v>41929</v>
      </c>
      <c r="E181" s="30">
        <f>1/0.163211</f>
        <v>6.1270380060167513</v>
      </c>
      <c r="F181" s="31">
        <v>0.87360300000000002</v>
      </c>
      <c r="G181" s="30">
        <v>1</v>
      </c>
      <c r="H181" s="30"/>
      <c r="I181" t="s">
        <v>50</v>
      </c>
    </row>
    <row r="182" spans="3:9">
      <c r="C182" s="40">
        <v>173</v>
      </c>
      <c r="D182" s="39">
        <v>41936</v>
      </c>
      <c r="E182" s="30">
        <f>1/0.163343</f>
        <v>6.122086652014473</v>
      </c>
      <c r="F182" s="31">
        <v>0.87701600000000002</v>
      </c>
      <c r="G182" s="30">
        <v>1</v>
      </c>
      <c r="H182" s="30"/>
      <c r="I182" t="s">
        <v>50</v>
      </c>
    </row>
    <row r="183" spans="3:9">
      <c r="C183" s="40">
        <v>174</v>
      </c>
      <c r="D183" s="39">
        <v>41943</v>
      </c>
      <c r="E183" s="30">
        <f>1/0.163522</f>
        <v>6.1153850857988523</v>
      </c>
      <c r="F183" s="31">
        <v>0.88255300000000003</v>
      </c>
      <c r="G183" s="30">
        <v>1</v>
      </c>
      <c r="H183" s="30"/>
      <c r="I183" t="s">
        <v>50</v>
      </c>
    </row>
    <row r="184" spans="3:9">
      <c r="C184" s="40">
        <v>175</v>
      </c>
      <c r="D184" s="39">
        <v>41950</v>
      </c>
      <c r="E184" s="30">
        <f>1/0.16356</f>
        <v>6.11396429444852</v>
      </c>
      <c r="F184" s="31">
        <v>0.87131000000000003</v>
      </c>
      <c r="G184" s="30">
        <v>1</v>
      </c>
      <c r="H184" s="30"/>
      <c r="I184" t="s">
        <v>50</v>
      </c>
    </row>
    <row r="185" spans="3:9">
      <c r="C185" s="40">
        <v>176</v>
      </c>
      <c r="D185" s="39">
        <v>41957</v>
      </c>
      <c r="E185" s="30">
        <f>1/0.16331</f>
        <v>6.12332374012614</v>
      </c>
      <c r="F185" s="31">
        <v>0.86641400000000002</v>
      </c>
      <c r="G185" s="30">
        <v>1</v>
      </c>
      <c r="H185" s="30"/>
      <c r="I185" t="s">
        <v>50</v>
      </c>
    </row>
    <row r="186" spans="3:9">
      <c r="C186" s="40">
        <v>177</v>
      </c>
      <c r="D186" s="39">
        <v>41964</v>
      </c>
      <c r="E186" s="30">
        <f>1/0.163257</f>
        <v>6.1253116252289335</v>
      </c>
      <c r="F186" s="31">
        <v>0.87022200000000005</v>
      </c>
      <c r="G186" s="30">
        <v>1</v>
      </c>
      <c r="H186" s="30"/>
      <c r="I186" t="s">
        <v>50</v>
      </c>
    </row>
    <row r="187" spans="3:9">
      <c r="C187" s="40">
        <v>178</v>
      </c>
      <c r="D187" s="39">
        <v>41971</v>
      </c>
      <c r="E187" s="30">
        <f>1/0.163052</f>
        <v>6.1330127811986364</v>
      </c>
      <c r="F187" s="31">
        <v>0.86051599999999995</v>
      </c>
      <c r="G187" s="30">
        <v>1</v>
      </c>
      <c r="H187" s="30"/>
      <c r="I187" t="s">
        <v>50</v>
      </c>
    </row>
    <row r="188" spans="3:9">
      <c r="C188" s="40">
        <v>179</v>
      </c>
      <c r="D188" s="39">
        <v>41978</v>
      </c>
      <c r="E188" s="30">
        <f>1/0.162655</f>
        <v>6.1479819249331413</v>
      </c>
      <c r="F188" s="31">
        <v>0.84761500000000001</v>
      </c>
      <c r="G188" s="30">
        <v>1</v>
      </c>
      <c r="H188" s="30"/>
      <c r="I188" t="s">
        <v>50</v>
      </c>
    </row>
    <row r="189" spans="3:9">
      <c r="C189" s="40">
        <v>180</v>
      </c>
      <c r="D189" s="39">
        <v>41985</v>
      </c>
      <c r="E189" s="30">
        <f>6.168086</f>
        <v>6.1680859999999997</v>
      </c>
      <c r="F189" s="31">
        <v>0.83122700000000005</v>
      </c>
      <c r="G189" s="30">
        <v>1</v>
      </c>
      <c r="H189" s="30"/>
      <c r="I189" t="s">
        <v>50</v>
      </c>
    </row>
    <row r="190" spans="3:9">
      <c r="C190" s="40">
        <v>181</v>
      </c>
      <c r="D190" s="39">
        <v>41992</v>
      </c>
      <c r="E190" s="31">
        <f>1/0.161469</f>
        <v>6.1931392403495407</v>
      </c>
      <c r="F190" s="31">
        <v>0.82172699999999999</v>
      </c>
      <c r="G190" s="30">
        <v>1</v>
      </c>
      <c r="H190" s="30"/>
      <c r="I190" t="s">
        <v>50</v>
      </c>
    </row>
    <row r="191" spans="3:9">
      <c r="C191" s="40">
        <v>182</v>
      </c>
      <c r="D191" s="39">
        <v>41999</v>
      </c>
      <c r="E191" s="31">
        <f>1/0.16078</f>
        <v>6.2196790645602684</v>
      </c>
      <c r="F191" s="31">
        <v>0.81248200000000004</v>
      </c>
      <c r="G191" s="30">
        <v>1</v>
      </c>
      <c r="H191" s="30"/>
      <c r="I191" t="s">
        <v>50</v>
      </c>
    </row>
    <row r="192" spans="3:9">
      <c r="C192" s="40">
        <v>183</v>
      </c>
      <c r="D192" s="39">
        <v>42006</v>
      </c>
      <c r="E192" s="31">
        <f>1/0.160925</f>
        <v>6.2140748796022987</v>
      </c>
      <c r="F192" s="31">
        <v>0.81499999999999995</v>
      </c>
      <c r="G192" s="30">
        <v>1</v>
      </c>
      <c r="H192" s="30"/>
      <c r="I192" t="s">
        <v>50</v>
      </c>
    </row>
    <row r="193" spans="3:9">
      <c r="C193" s="40">
        <v>184</v>
      </c>
      <c r="D193" s="39">
        <v>42013</v>
      </c>
      <c r="E193" s="31">
        <f>1/0.160987</f>
        <v>6.2116816885835506</v>
      </c>
      <c r="F193" s="31">
        <v>0.80937999999999999</v>
      </c>
      <c r="G193" s="30">
        <v>1</v>
      </c>
      <c r="H193" s="30"/>
      <c r="I193" t="s">
        <v>50</v>
      </c>
    </row>
    <row r="194" spans="3:9">
      <c r="C194" s="40">
        <v>185</v>
      </c>
      <c r="D194" s="39">
        <v>42020</v>
      </c>
      <c r="E194" s="31">
        <f>1/0.161241</f>
        <v>6.2018965399619201</v>
      </c>
      <c r="F194" s="31">
        <v>0.818523</v>
      </c>
      <c r="G194" s="30">
        <v>1</v>
      </c>
      <c r="H194" s="30"/>
      <c r="I194" t="s">
        <v>50</v>
      </c>
    </row>
    <row r="195" spans="3:9">
      <c r="C195" s="40">
        <v>186</v>
      </c>
      <c r="D195" s="39">
        <v>42027</v>
      </c>
      <c r="E195" s="31">
        <f>1/0.161014</f>
        <v>6.2106400685654668</v>
      </c>
      <c r="F195" s="31">
        <v>0.81779999999999997</v>
      </c>
      <c r="G195" s="30">
        <v>1</v>
      </c>
      <c r="H195" s="30"/>
      <c r="I195" t="s">
        <v>50</v>
      </c>
    </row>
    <row r="196" spans="3:9">
      <c r="C196" s="40">
        <v>187</v>
      </c>
      <c r="D196" s="39">
        <v>42034</v>
      </c>
      <c r="E196" s="31">
        <f>1/0.160265</f>
        <v>6.2396655539263097</v>
      </c>
      <c r="F196" s="31">
        <v>0.79104200000000002</v>
      </c>
      <c r="G196" s="30">
        <v>1</v>
      </c>
      <c r="H196" s="30"/>
      <c r="I196" t="s">
        <v>50</v>
      </c>
    </row>
    <row r="197" spans="3:9">
      <c r="C197" s="40">
        <v>188</v>
      </c>
      <c r="D197" s="39">
        <v>42041</v>
      </c>
      <c r="E197" s="31">
        <f>1/0.159934</f>
        <v>6.2525791889154281</v>
      </c>
      <c r="F197" s="31">
        <v>0.777644</v>
      </c>
      <c r="G197" s="30">
        <v>1</v>
      </c>
      <c r="H197" s="30"/>
      <c r="I197" t="s">
        <v>50</v>
      </c>
    </row>
    <row r="198" spans="3:9">
      <c r="C198" s="40">
        <v>189</v>
      </c>
      <c r="D198" s="39">
        <v>42048</v>
      </c>
      <c r="E198" s="31">
        <f>1/0.160155</f>
        <v>6.2439511723018333</v>
      </c>
      <c r="F198" s="31">
        <v>0.77813399999999999</v>
      </c>
      <c r="G198" s="30">
        <v>1</v>
      </c>
      <c r="H198" s="30"/>
      <c r="I198" t="s">
        <v>50</v>
      </c>
    </row>
    <row r="199" spans="3:9">
      <c r="C199" s="40">
        <v>190</v>
      </c>
      <c r="D199" s="39">
        <v>42055</v>
      </c>
      <c r="E199" s="31">
        <f>1/0.160067</f>
        <v>6.2473839079885307</v>
      </c>
      <c r="F199" s="31">
        <v>0.77839199999999997</v>
      </c>
      <c r="G199" s="30">
        <v>1</v>
      </c>
      <c r="H199" s="30"/>
      <c r="I199" t="s">
        <v>50</v>
      </c>
    </row>
    <row r="200" spans="3:9">
      <c r="C200" s="40">
        <v>191</v>
      </c>
      <c r="D200" s="39">
        <v>42062</v>
      </c>
      <c r="E200" s="31">
        <f>1/0.159848</f>
        <v>6.2559431459886898</v>
      </c>
      <c r="F200" s="31">
        <v>0.78362500000000002</v>
      </c>
      <c r="G200" s="30">
        <v>1</v>
      </c>
      <c r="H200" s="30"/>
      <c r="I200" t="s">
        <v>50</v>
      </c>
    </row>
    <row r="201" spans="3:9">
      <c r="C201" s="40">
        <v>192</v>
      </c>
      <c r="D201" s="39">
        <v>42069</v>
      </c>
      <c r="E201" s="31">
        <f>1/0.159485</f>
        <v>6.2701821487914229</v>
      </c>
      <c r="F201" s="31">
        <v>0.78063400000000005</v>
      </c>
      <c r="G201" s="30">
        <v>1</v>
      </c>
      <c r="H201" s="30"/>
      <c r="I201" t="s">
        <v>50</v>
      </c>
    </row>
    <row r="202" spans="3:9">
      <c r="C202" s="40">
        <v>193</v>
      </c>
      <c r="D202" s="39">
        <v>42076</v>
      </c>
      <c r="E202" s="31">
        <f>1/0.159663</f>
        <v>6.263191847829491</v>
      </c>
      <c r="F202" s="31">
        <v>0.767899</v>
      </c>
      <c r="G202" s="30">
        <v>1</v>
      </c>
      <c r="H202" s="30"/>
      <c r="I202" t="s">
        <v>50</v>
      </c>
    </row>
    <row r="203" spans="3:9">
      <c r="C203" s="40">
        <v>194</v>
      </c>
      <c r="D203" s="39">
        <v>42083</v>
      </c>
      <c r="E203" s="31">
        <f>1/0.160141</f>
        <v>6.2444970369861554</v>
      </c>
      <c r="F203" s="31">
        <v>0.76396600000000003</v>
      </c>
      <c r="G203" s="30">
        <v>1</v>
      </c>
      <c r="H203" s="30"/>
      <c r="I203" t="s">
        <v>50</v>
      </c>
    </row>
    <row r="204" spans="3:9">
      <c r="C204" s="40">
        <v>195</v>
      </c>
      <c r="D204" s="39">
        <v>42090</v>
      </c>
      <c r="E204" s="31">
        <f>1/0.161065</f>
        <v>6.2086735169031133</v>
      </c>
      <c r="F204" s="31">
        <v>0.78184100000000001</v>
      </c>
      <c r="G204" s="30">
        <v>1</v>
      </c>
      <c r="H204" s="30"/>
      <c r="I204" t="s">
        <v>50</v>
      </c>
    </row>
    <row r="205" spans="3:9">
      <c r="C205" s="40">
        <v>196</v>
      </c>
      <c r="D205" s="39">
        <v>42097</v>
      </c>
      <c r="E205" s="31">
        <f>1/0.161128</f>
        <v>6.2062459659401226</v>
      </c>
      <c r="F205" s="31">
        <v>0.76739000000000002</v>
      </c>
      <c r="G205" s="30">
        <v>1</v>
      </c>
      <c r="H205" s="30"/>
      <c r="I205" t="s">
        <v>50</v>
      </c>
    </row>
    <row r="206" spans="3:9">
      <c r="C206" s="40">
        <v>197</v>
      </c>
      <c r="D206" s="39">
        <v>42104</v>
      </c>
      <c r="E206" s="31">
        <f>1/0.161319</f>
        <v>6.1988978359647655</v>
      </c>
      <c r="F206" s="31">
        <v>0.76530600000000004</v>
      </c>
      <c r="G206" s="30">
        <v>1</v>
      </c>
      <c r="H206" s="30"/>
      <c r="I206" t="s">
        <v>50</v>
      </c>
    </row>
    <row r="207" spans="3:9">
      <c r="C207" s="40">
        <v>198</v>
      </c>
      <c r="D207" s="39">
        <v>42111</v>
      </c>
      <c r="E207" s="31">
        <f>1/0.161087</f>
        <v>6.2078255849323654</v>
      </c>
      <c r="F207" s="31">
        <v>0.76790599999999998</v>
      </c>
      <c r="G207" s="30">
        <v>1</v>
      </c>
      <c r="H207" s="30"/>
      <c r="I207" t="s">
        <v>50</v>
      </c>
    </row>
    <row r="208" spans="3:9">
      <c r="C208" s="40">
        <v>199</v>
      </c>
      <c r="D208" s="39">
        <v>42118</v>
      </c>
      <c r="E208" s="31">
        <f>1/0.161335</f>
        <v>6.198283075588062</v>
      </c>
      <c r="F208" s="31">
        <v>0.77614000000000005</v>
      </c>
      <c r="G208" s="30">
        <v>1</v>
      </c>
      <c r="H208" s="30"/>
      <c r="I208" t="s">
        <v>50</v>
      </c>
    </row>
    <row r="209" spans="3:9">
      <c r="C209" s="40">
        <v>200</v>
      </c>
      <c r="D209" s="39">
        <v>42125</v>
      </c>
      <c r="E209" s="31">
        <f>1/0.161249</f>
        <v>6.2015888470626175</v>
      </c>
      <c r="F209" s="31">
        <v>0.78997499999999998</v>
      </c>
      <c r="G209" s="30">
        <v>1</v>
      </c>
      <c r="H209" s="30"/>
      <c r="I209" t="s">
        <v>50</v>
      </c>
    </row>
    <row r="210" spans="3:9">
      <c r="C210" s="40">
        <v>201</v>
      </c>
      <c r="D210" s="39">
        <v>42132</v>
      </c>
      <c r="E210" s="31">
        <f>1/0.161203</f>
        <v>6.2033584982909744</v>
      </c>
      <c r="F210" s="31">
        <v>0.78864299999999998</v>
      </c>
      <c r="G210" s="30">
        <v>1</v>
      </c>
      <c r="H210" s="30"/>
      <c r="I210" t="s">
        <v>50</v>
      </c>
    </row>
    <row r="211" spans="3:9">
      <c r="C211" s="40">
        <v>202</v>
      </c>
      <c r="D211" s="39">
        <v>42139</v>
      </c>
      <c r="E211" s="31">
        <f>1/0.161098</f>
        <v>6.2074017057939894</v>
      </c>
      <c r="F211" s="31">
        <v>0.79835100000000003</v>
      </c>
      <c r="G211" s="30">
        <v>1</v>
      </c>
      <c r="H211" s="30"/>
      <c r="I211" t="s">
        <v>50</v>
      </c>
    </row>
    <row r="212" spans="3:9">
      <c r="C212" s="40">
        <v>203</v>
      </c>
      <c r="D212" s="39">
        <v>42146</v>
      </c>
      <c r="E212" s="31">
        <f>1/0.16118</f>
        <v>6.2042437026926418</v>
      </c>
      <c r="F212" s="31">
        <v>0.79688700000000001</v>
      </c>
      <c r="G212" s="30">
        <v>1</v>
      </c>
      <c r="H212" s="30"/>
      <c r="I212" t="s">
        <v>50</v>
      </c>
    </row>
    <row r="213" spans="3:9">
      <c r="C213" s="40">
        <v>204</v>
      </c>
      <c r="D213" s="39">
        <v>42153</v>
      </c>
      <c r="E213" s="31">
        <f>1/0.161288</f>
        <v>6.200089281285651</v>
      </c>
      <c r="F213" s="31">
        <v>0.77717199999999997</v>
      </c>
      <c r="G213" s="30">
        <v>1</v>
      </c>
      <c r="H213" s="30"/>
      <c r="I213" t="s">
        <v>50</v>
      </c>
    </row>
    <row r="214" spans="3:9">
      <c r="C214" s="40">
        <v>205</v>
      </c>
      <c r="D214" s="39">
        <v>42160</v>
      </c>
      <c r="E214" s="31">
        <f>1/0.161322</f>
        <v>6.1987825591053918</v>
      </c>
      <c r="F214" s="31">
        <v>0.76841400000000004</v>
      </c>
      <c r="G214" s="30">
        <v>1</v>
      </c>
      <c r="H214" s="30"/>
      <c r="I214" t="s">
        <v>50</v>
      </c>
    </row>
    <row r="215" spans="3:9">
      <c r="C215" s="40">
        <v>206</v>
      </c>
      <c r="D215" s="39">
        <v>42167</v>
      </c>
      <c r="E215" s="31">
        <f>1/0.161164</f>
        <v>6.204859646074806</v>
      </c>
      <c r="F215" s="31">
        <v>0.76730500000000001</v>
      </c>
      <c r="G215" s="30">
        <v>1</v>
      </c>
      <c r="H215" s="30"/>
      <c r="I215" t="s">
        <v>50</v>
      </c>
    </row>
    <row r="216" spans="3:9">
      <c r="C216" s="40">
        <v>207</v>
      </c>
      <c r="D216" s="39">
        <v>42174</v>
      </c>
      <c r="E216" s="31">
        <f>1/0.161068</f>
        <v>6.2085578761765223</v>
      </c>
      <c r="F216" s="31">
        <v>0.77412800000000004</v>
      </c>
      <c r="G216" s="30">
        <v>1</v>
      </c>
      <c r="H216" s="30"/>
      <c r="I216" t="s">
        <v>50</v>
      </c>
    </row>
    <row r="217" spans="3:9">
      <c r="C217" s="40">
        <v>208</v>
      </c>
      <c r="D217" s="39">
        <v>42181</v>
      </c>
      <c r="E217" s="31">
        <f>1/0.161063</f>
        <v>6.2087506131141224</v>
      </c>
      <c r="F217" s="31">
        <v>0.774594</v>
      </c>
      <c r="G217" s="30">
        <v>1</v>
      </c>
      <c r="H217" s="30"/>
      <c r="I217" t="s">
        <v>50</v>
      </c>
    </row>
    <row r="218" spans="3:9">
      <c r="C218" s="40">
        <v>209</v>
      </c>
      <c r="D218" s="39">
        <v>42188</v>
      </c>
      <c r="E218" s="31">
        <f>1/0.161131</f>
        <v>6.2061304156245543</v>
      </c>
      <c r="F218" s="31">
        <v>0.76646700000000001</v>
      </c>
      <c r="G218" s="30">
        <v>1</v>
      </c>
      <c r="H218" s="30"/>
      <c r="I218" t="s">
        <v>50</v>
      </c>
    </row>
    <row r="219" spans="3:9">
      <c r="C219" s="40">
        <v>210</v>
      </c>
      <c r="D219" s="39">
        <v>42195</v>
      </c>
      <c r="E219" s="31">
        <f>1/0.16109</f>
        <v>6.207709975789931</v>
      </c>
      <c r="F219" s="31">
        <v>0.747973</v>
      </c>
      <c r="G219" s="30">
        <v>1</v>
      </c>
      <c r="H219" s="30"/>
      <c r="I219" t="s">
        <v>50</v>
      </c>
    </row>
    <row r="220" spans="3:9">
      <c r="C220" s="40">
        <v>211</v>
      </c>
      <c r="D220" s="39">
        <v>42202</v>
      </c>
      <c r="E220" s="31">
        <f>1/0.161053</f>
        <v>6.2091361228912225</v>
      </c>
      <c r="F220" s="31">
        <v>0.74200999999999995</v>
      </c>
      <c r="G220" s="30">
        <v>1</v>
      </c>
      <c r="H220" s="30"/>
      <c r="I220" t="s">
        <v>50</v>
      </c>
    </row>
    <row r="221" spans="3:9">
      <c r="C221" s="40">
        <v>212</v>
      </c>
      <c r="D221" s="39">
        <v>42209</v>
      </c>
      <c r="E221" s="31">
        <f>1/0.161042</f>
        <v>6.2095602389438787</v>
      </c>
      <c r="F221" s="31">
        <v>0.73839900000000003</v>
      </c>
      <c r="G221" s="30">
        <v>1</v>
      </c>
      <c r="H221" s="30"/>
      <c r="I221" t="s">
        <v>50</v>
      </c>
    </row>
    <row r="222" spans="3:9">
      <c r="C222" s="40">
        <v>213</v>
      </c>
      <c r="D222" s="39">
        <v>42216</v>
      </c>
      <c r="E222" s="31">
        <f>1/0.161044</f>
        <v>6.2094831226248726</v>
      </c>
      <c r="F222" s="31">
        <v>0.72990299999999997</v>
      </c>
      <c r="G222" s="30">
        <v>1</v>
      </c>
      <c r="H222" s="30"/>
      <c r="I222" t="s">
        <v>50</v>
      </c>
    </row>
    <row r="223" spans="3:9">
      <c r="C223" s="40">
        <v>214</v>
      </c>
      <c r="D223" s="39">
        <v>42223</v>
      </c>
      <c r="E223" s="31">
        <f>1/0.161038</f>
        <v>6.2097144773283333</v>
      </c>
      <c r="F223" s="31">
        <v>0.73282099999999994</v>
      </c>
      <c r="G223" s="30">
        <v>1</v>
      </c>
      <c r="H223" s="30"/>
      <c r="I223" t="s">
        <v>50</v>
      </c>
    </row>
    <row r="224" spans="3:9">
      <c r="C224" s="40">
        <v>215</v>
      </c>
      <c r="D224" s="39">
        <v>42230</v>
      </c>
      <c r="E224" s="31">
        <f>1/0.159301</f>
        <v>6.2774244982768472</v>
      </c>
      <c r="F224" s="31">
        <v>0.73821199999999998</v>
      </c>
      <c r="G224" s="30">
        <v>1</v>
      </c>
      <c r="H224" s="30"/>
      <c r="I224" t="s">
        <v>50</v>
      </c>
    </row>
    <row r="225" spans="3:9">
      <c r="C225" s="40">
        <v>216</v>
      </c>
      <c r="D225" s="39">
        <v>42237</v>
      </c>
      <c r="E225" s="31">
        <f>1/0.156429</f>
        <v>6.3926765497446123</v>
      </c>
      <c r="F225" s="31">
        <v>0.73622699999999996</v>
      </c>
      <c r="G225" s="30">
        <v>1</v>
      </c>
      <c r="H225" s="30"/>
      <c r="I225" t="s">
        <v>50</v>
      </c>
    </row>
    <row r="226" spans="3:9">
      <c r="C226" s="40">
        <v>217</v>
      </c>
      <c r="D226" s="39">
        <v>42244</v>
      </c>
      <c r="E226" s="31">
        <f>1/0.156249</f>
        <v>6.400040960262146</v>
      </c>
      <c r="F226" s="31">
        <v>0.72273100000000001</v>
      </c>
      <c r="G226" s="30">
        <v>1</v>
      </c>
      <c r="H226" s="30"/>
      <c r="I226" t="s">
        <v>50</v>
      </c>
    </row>
    <row r="227" spans="3:9">
      <c r="C227" s="40">
        <v>218</v>
      </c>
      <c r="D227" s="39">
        <v>42251</v>
      </c>
      <c r="E227" s="31">
        <f>1/0.156887</f>
        <v>6.3740144180206135</v>
      </c>
      <c r="F227" s="31">
        <v>0.70995399999999997</v>
      </c>
      <c r="G227" s="30">
        <v>1</v>
      </c>
      <c r="H227" s="30"/>
      <c r="I227" t="s">
        <v>50</v>
      </c>
    </row>
    <row r="228" spans="3:9">
      <c r="C228" s="40">
        <v>219</v>
      </c>
      <c r="D228" s="39">
        <v>42258</v>
      </c>
      <c r="E228" s="31">
        <f>1/0.157107</f>
        <v>6.3650887611627747</v>
      </c>
      <c r="F228" s="31">
        <v>0.69722099999999998</v>
      </c>
      <c r="G228" s="30">
        <v>1</v>
      </c>
      <c r="H228" s="30"/>
      <c r="I228" t="s">
        <v>50</v>
      </c>
    </row>
    <row r="229" spans="3:9">
      <c r="C229" s="40">
        <v>220</v>
      </c>
      <c r="D229" s="39">
        <v>42265</v>
      </c>
      <c r="E229" s="31">
        <f>1/0.156951</f>
        <v>6.3714152824766961</v>
      </c>
      <c r="F229" s="31">
        <v>0.71305700000000005</v>
      </c>
      <c r="G229" s="30">
        <v>1</v>
      </c>
      <c r="H229" s="30"/>
      <c r="I229" t="s">
        <v>50</v>
      </c>
    </row>
    <row r="230" spans="3:9">
      <c r="C230" s="40">
        <v>221</v>
      </c>
      <c r="D230" s="39">
        <v>42272</v>
      </c>
      <c r="E230" s="31">
        <f>1/0.156933</f>
        <v>6.3721460750766257</v>
      </c>
      <c r="F230" s="31">
        <v>0.71277900000000005</v>
      </c>
      <c r="G230" s="30">
        <v>1</v>
      </c>
      <c r="H230" s="30"/>
      <c r="I230" t="s">
        <v>50</v>
      </c>
    </row>
    <row r="231" spans="3:9">
      <c r="C231" s="40">
        <v>222</v>
      </c>
      <c r="D231" s="39">
        <v>42279</v>
      </c>
      <c r="E231" s="31">
        <f>1/0.157064</f>
        <v>6.3668313553710583</v>
      </c>
      <c r="F231" s="31">
        <v>0.70138100000000003</v>
      </c>
      <c r="G231" s="30">
        <v>1</v>
      </c>
      <c r="H231" s="30"/>
      <c r="I231" t="s">
        <v>50</v>
      </c>
    </row>
    <row r="232" spans="3:9">
      <c r="C232" s="40">
        <v>223</v>
      </c>
      <c r="D232" s="39">
        <v>42286</v>
      </c>
      <c r="E232" s="31">
        <f>1/0.157338</f>
        <v>6.3557436855686484</v>
      </c>
      <c r="F232" s="31">
        <v>0.71188600000000002</v>
      </c>
      <c r="G232" s="30">
        <v>1</v>
      </c>
      <c r="H232" s="30"/>
      <c r="I232" t="s">
        <v>50</v>
      </c>
    </row>
    <row r="233" spans="3:9">
      <c r="C233" s="40">
        <v>224</v>
      </c>
      <c r="D233" s="39">
        <v>42293</v>
      </c>
      <c r="E233" s="31">
        <f>1/0.157675</f>
        <v>6.3421595053115585</v>
      </c>
      <c r="F233" s="31">
        <v>0.73222200000000004</v>
      </c>
      <c r="G233" s="30">
        <v>1</v>
      </c>
      <c r="H233" s="30"/>
      <c r="I233" t="s">
        <v>50</v>
      </c>
    </row>
    <row r="234" spans="3:9">
      <c r="C234" s="40">
        <v>225</v>
      </c>
      <c r="D234" s="39">
        <v>42300</v>
      </c>
      <c r="E234" s="31">
        <f>1/0.157397</f>
        <v>6.353361245767073</v>
      </c>
      <c r="F234" s="31">
        <v>0.72526199999999996</v>
      </c>
      <c r="G234" s="30">
        <v>1</v>
      </c>
      <c r="H234" s="30"/>
      <c r="I234" t="s">
        <v>50</v>
      </c>
    </row>
    <row r="235" spans="3:9">
      <c r="C235" s="40">
        <v>226</v>
      </c>
      <c r="D235" s="39">
        <v>42307</v>
      </c>
      <c r="E235" s="31">
        <f>1/0.157411</f>
        <v>6.352796183240053</v>
      </c>
      <c r="F235" s="31">
        <v>0.71919699999999998</v>
      </c>
      <c r="G235" s="30">
        <v>1</v>
      </c>
      <c r="H235" s="30"/>
      <c r="I235" t="s">
        <v>50</v>
      </c>
    </row>
    <row r="236" spans="3:9">
      <c r="C236" s="40">
        <v>227</v>
      </c>
      <c r="D236" s="39">
        <v>42314</v>
      </c>
      <c r="E236" s="31">
        <f>1/0.157979</f>
        <v>6.329955247216402</v>
      </c>
      <c r="F236" s="31">
        <v>0.714499</v>
      </c>
      <c r="G236" s="30">
        <v>1</v>
      </c>
      <c r="H236" s="30"/>
      <c r="I236" t="s">
        <v>50</v>
      </c>
    </row>
    <row r="237" spans="3:9">
      <c r="C237" s="40">
        <v>228</v>
      </c>
      <c r="D237" s="39">
        <v>42321</v>
      </c>
      <c r="E237" s="31">
        <f>1/0.157233</f>
        <v>6.3599880432224785</v>
      </c>
      <c r="F237" s="31">
        <v>0.705403</v>
      </c>
      <c r="G237" s="30">
        <v>1</v>
      </c>
      <c r="H237" s="30"/>
      <c r="I237" t="s">
        <v>50</v>
      </c>
    </row>
    <row r="238" spans="3:9">
      <c r="C238" s="40">
        <v>229</v>
      </c>
      <c r="D238" s="39">
        <v>42328</v>
      </c>
      <c r="E238" s="31">
        <f>1/0.156813</f>
        <v>6.3770223132010733</v>
      </c>
      <c r="F238" s="31">
        <v>0.712395</v>
      </c>
      <c r="G238" s="30">
        <v>1</v>
      </c>
      <c r="H238" s="30"/>
      <c r="I238" t="s">
        <v>50</v>
      </c>
    </row>
    <row r="239" spans="3:9">
      <c r="C239" s="40">
        <v>230</v>
      </c>
      <c r="D239" s="39">
        <v>42335</v>
      </c>
      <c r="E239" s="31">
        <f>1/0.156554</f>
        <v>6.3875723392567423</v>
      </c>
      <c r="F239" s="31">
        <v>0.72303300000000004</v>
      </c>
      <c r="G239" s="30">
        <v>1</v>
      </c>
      <c r="H239" s="30"/>
      <c r="I239" t="s">
        <v>50</v>
      </c>
    </row>
    <row r="240" spans="3:9">
      <c r="C240" s="40">
        <v>231</v>
      </c>
      <c r="D240" s="39">
        <v>42342</v>
      </c>
      <c r="E240" s="31">
        <f>1/0.156326</f>
        <v>6.3968885534076225</v>
      </c>
      <c r="F240" s="31">
        <v>0.72514000000000001</v>
      </c>
      <c r="G240" s="30">
        <v>1</v>
      </c>
      <c r="H240" s="30"/>
      <c r="I240" t="s">
        <v>50</v>
      </c>
    </row>
    <row r="241" spans="3:9">
      <c r="C241" s="40">
        <v>232</v>
      </c>
      <c r="D241" s="39">
        <v>42349</v>
      </c>
      <c r="E241" s="31">
        <f>1/0.155922</f>
        <v>6.4134631418273234</v>
      </c>
      <c r="F241" s="31">
        <v>0.72893799999999997</v>
      </c>
      <c r="G241" s="30">
        <v>1</v>
      </c>
      <c r="H241" s="30"/>
      <c r="I241" t="s">
        <v>50</v>
      </c>
    </row>
    <row r="242" spans="3:9">
      <c r="C242" s="40">
        <v>233</v>
      </c>
      <c r="D242" s="39">
        <v>42356</v>
      </c>
      <c r="E242" s="31">
        <f>1/0.154802</f>
        <v>6.4598648596271371</v>
      </c>
      <c r="F242" s="31">
        <v>0.72030000000000005</v>
      </c>
      <c r="G242" s="30">
        <v>1</v>
      </c>
      <c r="H242" s="30"/>
      <c r="I242" t="s">
        <v>50</v>
      </c>
    </row>
    <row r="243" spans="3:9">
      <c r="C243" s="40">
        <v>234</v>
      </c>
      <c r="D243" s="39">
        <v>42363</v>
      </c>
      <c r="E243" s="31">
        <f>6.47</f>
        <v>6.47</v>
      </c>
      <c r="F243" s="31">
        <f>1/1.383</f>
        <v>0.72306579898770784</v>
      </c>
      <c r="G243" s="30">
        <v>1</v>
      </c>
      <c r="H243" s="30"/>
      <c r="I243" t="s">
        <v>50</v>
      </c>
    </row>
    <row r="244" spans="3:9">
      <c r="C244" s="40">
        <v>235</v>
      </c>
      <c r="D244" s="39">
        <v>42370</v>
      </c>
      <c r="E244" s="31">
        <v>6.49</v>
      </c>
      <c r="F244" s="31">
        <f>1/1.3719</f>
        <v>0.72891610175668786</v>
      </c>
      <c r="G244" s="30">
        <v>1</v>
      </c>
      <c r="H244" s="30"/>
      <c r="I244" t="s">
        <v>50</v>
      </c>
    </row>
    <row r="245" spans="3:9">
      <c r="C245" s="40">
        <v>236</v>
      </c>
      <c r="D245" s="39">
        <v>42377</v>
      </c>
      <c r="E245" s="31">
        <v>6.5472000000000001</v>
      </c>
      <c r="F245" s="31">
        <f>1/1.4079</f>
        <v>0.71027771858796795</v>
      </c>
      <c r="G245" s="30">
        <v>1</v>
      </c>
      <c r="H245" s="30"/>
      <c r="I245" t="s">
        <v>50</v>
      </c>
    </row>
    <row r="246" spans="3:9">
      <c r="C246" s="40">
        <v>237</v>
      </c>
      <c r="D246" s="39">
        <v>42384</v>
      </c>
      <c r="E246" s="31">
        <v>6.5799000000000003</v>
      </c>
      <c r="F246" s="31">
        <f>1/1.436</f>
        <v>0.69637883008356549</v>
      </c>
      <c r="G246" s="30">
        <v>1</v>
      </c>
      <c r="H246" s="30"/>
      <c r="I246" t="s">
        <v>50</v>
      </c>
    </row>
    <row r="247" spans="3:9">
      <c r="C247" s="40">
        <v>238</v>
      </c>
      <c r="D247" s="39">
        <v>42391</v>
      </c>
      <c r="E247" s="31">
        <v>6.5747999999999998</v>
      </c>
      <c r="F247" s="31">
        <f>1/1.4484</f>
        <v>0.69041701187517268</v>
      </c>
      <c r="G247" s="30">
        <v>1</v>
      </c>
      <c r="H247" s="30"/>
      <c r="I247" t="s">
        <v>50</v>
      </c>
    </row>
    <row r="248" spans="3:9">
      <c r="C248" s="40">
        <v>239</v>
      </c>
      <c r="D248" s="39">
        <v>42398</v>
      </c>
      <c r="E248" s="31">
        <v>6.5768000000000004</v>
      </c>
      <c r="F248" s="31">
        <f>1/1.4241</f>
        <v>0.70219787936240441</v>
      </c>
      <c r="G248" s="30">
        <v>1</v>
      </c>
      <c r="H248" s="30"/>
      <c r="I248" t="s">
        <v>50</v>
      </c>
    </row>
    <row r="249" spans="3:9">
      <c r="C249" s="40">
        <v>240</v>
      </c>
      <c r="D249" s="39">
        <v>42405</v>
      </c>
      <c r="E249" s="31">
        <v>6.5812999999999997</v>
      </c>
      <c r="F249" s="31">
        <f>1/1.4074</f>
        <v>0.71053005542134429</v>
      </c>
      <c r="G249" s="30">
        <v>1</v>
      </c>
      <c r="H249" s="30"/>
      <c r="I249" t="s">
        <v>50</v>
      </c>
    </row>
    <row r="250" spans="3:9">
      <c r="C250" s="40">
        <v>241</v>
      </c>
      <c r="D250" s="39">
        <v>42412</v>
      </c>
      <c r="E250" s="31">
        <v>6.5735000000000001</v>
      </c>
      <c r="F250" s="31">
        <f>1/1.413</f>
        <v>0.70771408351026188</v>
      </c>
      <c r="G250" s="30">
        <v>1</v>
      </c>
      <c r="H250" s="30"/>
      <c r="I250" t="s">
        <v>50</v>
      </c>
    </row>
    <row r="251" spans="3:9">
      <c r="C251" s="40">
        <v>242</v>
      </c>
      <c r="D251" s="39">
        <v>42419</v>
      </c>
      <c r="E251" s="31">
        <v>6.5327999999999999</v>
      </c>
      <c r="F251" s="31">
        <f>1/1.4028</f>
        <v>0.71285999429711999</v>
      </c>
      <c r="G251" s="30">
        <v>1</v>
      </c>
      <c r="H251" s="30"/>
      <c r="I251" t="s">
        <v>50</v>
      </c>
    </row>
    <row r="252" spans="3:9">
      <c r="C252" s="40">
        <v>243</v>
      </c>
      <c r="D252" s="39">
        <v>42426</v>
      </c>
      <c r="E252" s="31">
        <v>6.5259</v>
      </c>
      <c r="F252" s="31">
        <f>1/1.3919</f>
        <v>0.71844241684029031</v>
      </c>
      <c r="G252" s="30">
        <v>1</v>
      </c>
      <c r="H252" s="30"/>
      <c r="I252" t="s">
        <v>50</v>
      </c>
    </row>
    <row r="253" spans="3:9">
      <c r="C253" s="40">
        <v>244</v>
      </c>
      <c r="D253" s="39">
        <v>42433</v>
      </c>
      <c r="E253" s="31">
        <v>6.5495000000000001</v>
      </c>
      <c r="F253" s="31">
        <f>1/1.387</f>
        <v>0.72098053352559477</v>
      </c>
      <c r="G253" s="30">
        <v>1</v>
      </c>
      <c r="H253" s="30"/>
      <c r="I253" t="s">
        <v>50</v>
      </c>
    </row>
    <row r="254" spans="3:9">
      <c r="C254" s="40">
        <v>245</v>
      </c>
      <c r="D254" s="39">
        <v>42440</v>
      </c>
      <c r="E254" s="31">
        <v>6.5141</v>
      </c>
      <c r="F254" s="31">
        <f>1/1.3413</f>
        <v>0.74554536643554759</v>
      </c>
      <c r="G254" s="30">
        <v>1</v>
      </c>
      <c r="H254" s="30"/>
      <c r="I254" t="s">
        <v>50</v>
      </c>
    </row>
    <row r="255" spans="3:9">
      <c r="C255" s="40">
        <v>246</v>
      </c>
      <c r="D255" s="39">
        <v>42447</v>
      </c>
      <c r="E255" s="31">
        <v>6.4897999999999998</v>
      </c>
      <c r="F255" s="31">
        <f>1/1.3246</f>
        <v>0.75494488902310131</v>
      </c>
      <c r="G255" s="30">
        <v>1</v>
      </c>
      <c r="H255" s="30"/>
      <c r="I255" t="s">
        <v>50</v>
      </c>
    </row>
    <row r="256" spans="3:9">
      <c r="C256" s="40">
        <v>247</v>
      </c>
      <c r="D256" s="39">
        <v>42454</v>
      </c>
      <c r="E256" s="31">
        <v>6.49268</v>
      </c>
      <c r="F256" s="31">
        <f>1/1.32038</f>
        <v>0.75735773035035359</v>
      </c>
      <c r="G256" s="30">
        <v>1</v>
      </c>
      <c r="H256" s="30"/>
      <c r="I256" t="s">
        <v>50</v>
      </c>
    </row>
    <row r="257" spans="3:9">
      <c r="C257" s="40">
        <v>248</v>
      </c>
      <c r="D257" s="39">
        <v>42461</v>
      </c>
      <c r="E257" s="31">
        <v>6.4885999999999999</v>
      </c>
      <c r="F257" s="31">
        <f>1/1.3186</f>
        <v>0.75838010010617318</v>
      </c>
      <c r="G257" s="30">
        <v>1</v>
      </c>
      <c r="H257" s="30"/>
      <c r="I257" t="s">
        <v>50</v>
      </c>
    </row>
    <row r="258" spans="3:9">
      <c r="C258" s="40">
        <v>249</v>
      </c>
      <c r="D258" s="39">
        <v>42468</v>
      </c>
      <c r="E258" s="31">
        <v>6.4765100000000002</v>
      </c>
      <c r="F258" s="31">
        <f>1/1.31543</f>
        <v>0.76020768874056388</v>
      </c>
      <c r="G258" s="30">
        <v>1</v>
      </c>
      <c r="H258" s="30"/>
      <c r="I258" t="s">
        <v>50</v>
      </c>
    </row>
    <row r="259" spans="3:9">
      <c r="C259" s="40">
        <v>250</v>
      </c>
      <c r="D259" s="39">
        <v>42475</v>
      </c>
      <c r="E259" s="31">
        <v>6.46943</v>
      </c>
      <c r="F259" s="31">
        <f>1/1.31153</f>
        <v>0.76246826225858344</v>
      </c>
      <c r="G259" s="30">
        <v>1</v>
      </c>
      <c r="H259" s="30"/>
      <c r="I259" t="s">
        <v>50</v>
      </c>
    </row>
    <row r="260" spans="3:9">
      <c r="C260" s="40">
        <v>251</v>
      </c>
      <c r="D260" s="39">
        <v>42482</v>
      </c>
      <c r="E260" s="31">
        <v>6.4752000000000001</v>
      </c>
      <c r="F260" s="31">
        <f>1/1.28969</f>
        <v>0.77538013010878581</v>
      </c>
      <c r="G260" s="30">
        <v>1</v>
      </c>
      <c r="H260" s="30"/>
      <c r="I260" t="s">
        <v>50</v>
      </c>
    </row>
    <row r="261" spans="3:9">
      <c r="C261" s="40">
        <v>252</v>
      </c>
      <c r="D261" s="39">
        <v>42489</v>
      </c>
      <c r="E261" s="31">
        <v>6.4911899999999996</v>
      </c>
      <c r="F261" s="31">
        <f>1/1.30236</f>
        <v>0.76783685002610647</v>
      </c>
      <c r="G261" s="30">
        <v>1</v>
      </c>
      <c r="H261" s="30"/>
      <c r="I261" t="s">
        <v>50</v>
      </c>
    </row>
    <row r="262" spans="3:9">
      <c r="C262" s="40">
        <v>253</v>
      </c>
      <c r="D262" s="39">
        <v>42496</v>
      </c>
      <c r="E262" s="31">
        <v>6.4833100000000004</v>
      </c>
      <c r="F262" s="31">
        <f>1/1.32642</f>
        <v>0.75390901825967649</v>
      </c>
      <c r="G262" s="30">
        <v>1</v>
      </c>
      <c r="H262" s="30"/>
      <c r="I262" t="s">
        <v>50</v>
      </c>
    </row>
    <row r="263" spans="3:9">
      <c r="C263" s="40">
        <v>254</v>
      </c>
      <c r="D263" s="39">
        <v>42503</v>
      </c>
      <c r="E263" s="31">
        <v>6.5079099999999999</v>
      </c>
      <c r="F263" s="31">
        <f>1/1.36122</f>
        <v>0.734635106742481</v>
      </c>
      <c r="G263" s="30">
        <v>1</v>
      </c>
      <c r="H263" s="30"/>
      <c r="I263" t="s">
        <v>50</v>
      </c>
    </row>
    <row r="264" spans="3:9">
      <c r="C264" s="40">
        <v>255</v>
      </c>
      <c r="D264" s="39">
        <v>42510</v>
      </c>
      <c r="E264" s="31">
        <v>6.5331999999999999</v>
      </c>
      <c r="F264" s="31">
        <f>1/1.37556</f>
        <v>0.72697664951001784</v>
      </c>
      <c r="G264" s="30">
        <v>1</v>
      </c>
      <c r="H264" s="30"/>
      <c r="I264" t="s">
        <v>50</v>
      </c>
    </row>
    <row r="265" spans="3:9">
      <c r="C265" s="40">
        <v>256</v>
      </c>
      <c r="D265" s="39">
        <v>42517</v>
      </c>
      <c r="E265" s="31">
        <v>6.5526999999999997</v>
      </c>
      <c r="F265" s="31">
        <f>1/1.38666</f>
        <v>0.72115731325631371</v>
      </c>
      <c r="G265" s="30">
        <v>1</v>
      </c>
      <c r="H265" s="30"/>
      <c r="I265" t="s">
        <v>50</v>
      </c>
    </row>
    <row r="266" spans="3:9">
      <c r="C266" s="40">
        <v>257</v>
      </c>
      <c r="D266" s="39">
        <v>42524</v>
      </c>
      <c r="E266" s="31">
        <v>6.5760500000000004</v>
      </c>
      <c r="F266" s="31">
        <f>1/1.38485</f>
        <v>0.72209986641152479</v>
      </c>
      <c r="G266" s="30">
        <v>1</v>
      </c>
      <c r="H266" s="30"/>
      <c r="I266" t="s">
        <v>50</v>
      </c>
    </row>
    <row r="267" spans="3:9">
      <c r="C267" s="40">
        <v>258</v>
      </c>
      <c r="D267" s="39">
        <v>42531</v>
      </c>
      <c r="E267" s="31">
        <v>6.5653300000000003</v>
      </c>
      <c r="F267" s="31">
        <f>1/1.35056</f>
        <v>0.74043359791493901</v>
      </c>
      <c r="G267" s="30">
        <v>1</v>
      </c>
      <c r="H267" s="30"/>
      <c r="I267" t="s">
        <v>50</v>
      </c>
    </row>
    <row r="268" spans="3:9">
      <c r="C268" s="40">
        <v>259</v>
      </c>
      <c r="D268" s="39">
        <v>42538</v>
      </c>
      <c r="E268" s="31">
        <v>6.57972</v>
      </c>
      <c r="F268" s="31">
        <f>1/1.35502</f>
        <v>0.73799648713672128</v>
      </c>
      <c r="G268" s="30">
        <v>1</v>
      </c>
      <c r="H268" s="30"/>
      <c r="I268" t="s">
        <v>50</v>
      </c>
    </row>
    <row r="269" spans="3:9">
      <c r="C269" s="40">
        <v>260</v>
      </c>
      <c r="D269" s="39">
        <v>42545</v>
      </c>
      <c r="E269" s="31">
        <v>6.5868200000000003</v>
      </c>
      <c r="F269" s="31">
        <f>1/1.34053</f>
        <v>0.74597360745376828</v>
      </c>
      <c r="G269" s="30">
        <v>1</v>
      </c>
      <c r="H269" s="30"/>
      <c r="I269" t="s">
        <v>50</v>
      </c>
    </row>
    <row r="270" spans="3:9">
      <c r="C270" s="40">
        <v>261</v>
      </c>
      <c r="D270" s="39">
        <v>42552</v>
      </c>
      <c r="E270" s="31">
        <v>6.6371799999999999</v>
      </c>
      <c r="F270" s="31">
        <f>1/1.34422</f>
        <v>0.74392584547172336</v>
      </c>
      <c r="G270" s="30">
        <v>1</v>
      </c>
      <c r="H270" s="30"/>
      <c r="I270" t="s">
        <v>50</v>
      </c>
    </row>
    <row r="271" spans="3:9">
      <c r="C271" s="40">
        <v>262</v>
      </c>
      <c r="D271" s="39">
        <v>42559</v>
      </c>
      <c r="E271" s="31">
        <v>6.6692200000000001</v>
      </c>
      <c r="F271" s="31">
        <f>1/1.33296</f>
        <v>0.75021005881646863</v>
      </c>
      <c r="G271" s="30">
        <v>1</v>
      </c>
      <c r="H271" s="30"/>
      <c r="I271" t="s">
        <v>50</v>
      </c>
    </row>
    <row r="272" spans="3:9">
      <c r="C272" s="40">
        <v>263</v>
      </c>
      <c r="D272" s="39">
        <v>42566</v>
      </c>
      <c r="E272" s="31">
        <v>6.6880300000000004</v>
      </c>
      <c r="F272" s="31">
        <f>1/1.31668</f>
        <v>0.75948597988881117</v>
      </c>
      <c r="G272" s="30">
        <v>1</v>
      </c>
      <c r="H272" s="30"/>
      <c r="I272" t="s">
        <v>50</v>
      </c>
    </row>
    <row r="273" spans="3:9">
      <c r="C273" s="40">
        <v>264</v>
      </c>
      <c r="D273" s="39">
        <v>42573</v>
      </c>
      <c r="E273" s="31">
        <v>6.6854399999999998</v>
      </c>
      <c r="F273" s="31">
        <f>1/1.32758</f>
        <v>0.75325027493635033</v>
      </c>
      <c r="G273" s="30">
        <v>1</v>
      </c>
      <c r="H273" s="30"/>
      <c r="I273" t="s">
        <v>50</v>
      </c>
    </row>
    <row r="274" spans="3:9">
      <c r="C274" s="40">
        <v>265</v>
      </c>
      <c r="D274" s="39">
        <v>42580</v>
      </c>
      <c r="E274" s="31">
        <v>6.6715499999999999</v>
      </c>
      <c r="F274" s="31">
        <f>1/1.33468</f>
        <v>0.74924326430305388</v>
      </c>
      <c r="G274" s="30">
        <v>1</v>
      </c>
      <c r="H274" s="30"/>
      <c r="I274" t="s">
        <v>50</v>
      </c>
    </row>
    <row r="275" spans="3:9">
      <c r="C275" s="40">
        <v>266</v>
      </c>
      <c r="D275" s="39">
        <v>42587</v>
      </c>
      <c r="E275" s="31">
        <v>6.6380699999999999</v>
      </c>
      <c r="F275" s="31">
        <f>1/1.31553</f>
        <v>0.7601499015605877</v>
      </c>
      <c r="G275" s="30">
        <v>1</v>
      </c>
      <c r="H275" s="30"/>
      <c r="I275" t="s">
        <v>50</v>
      </c>
    </row>
    <row r="276" spans="3:9">
      <c r="C276" s="40">
        <v>267</v>
      </c>
      <c r="D276" s="39">
        <v>42594</v>
      </c>
      <c r="E276" s="31">
        <v>6.6497400000000004</v>
      </c>
      <c r="F276" s="31">
        <f>1/1.30514</f>
        <v>0.76620132706069843</v>
      </c>
      <c r="G276" s="30">
        <v>1</v>
      </c>
      <c r="H276" s="30"/>
      <c r="I276" t="s">
        <v>50</v>
      </c>
    </row>
    <row r="277" spans="3:9">
      <c r="C277" s="40">
        <v>268</v>
      </c>
      <c r="D277" s="39">
        <v>42601</v>
      </c>
      <c r="E277" s="32">
        <v>6.6347800000000001</v>
      </c>
      <c r="F277" s="32">
        <f>1/1.30482</f>
        <v>0.766389233764044</v>
      </c>
      <c r="G277" s="33">
        <v>1</v>
      </c>
      <c r="H277" s="30"/>
      <c r="I277" t="s">
        <v>50</v>
      </c>
    </row>
    <row r="278" spans="3:9">
      <c r="C278" s="40">
        <v>269</v>
      </c>
      <c r="D278" s="39">
        <v>42608</v>
      </c>
      <c r="E278" s="32">
        <v>6.65266</v>
      </c>
      <c r="F278" s="32">
        <f>1/1.31175</f>
        <v>0.76234038498189438</v>
      </c>
      <c r="G278" s="30">
        <v>1</v>
      </c>
      <c r="H278" s="30"/>
      <c r="I278" t="s">
        <v>50</v>
      </c>
    </row>
    <row r="279" spans="3:9">
      <c r="C279" s="40">
        <v>270</v>
      </c>
      <c r="D279" s="39">
        <v>42615</v>
      </c>
      <c r="E279" s="32">
        <v>6.6772099999999996</v>
      </c>
      <c r="F279" s="32">
        <f>1/1.32449</f>
        <v>0.75500758782625765</v>
      </c>
      <c r="G279" s="30">
        <v>1</v>
      </c>
      <c r="H279" s="30"/>
      <c r="I279" t="s">
        <v>50</v>
      </c>
    </row>
    <row r="280" spans="3:9">
      <c r="C280" s="40">
        <v>271</v>
      </c>
      <c r="D280" s="39">
        <v>42622</v>
      </c>
      <c r="E280" s="32">
        <v>6.67523</v>
      </c>
      <c r="F280" s="32">
        <f>1/1.31226</f>
        <v>0.7620441071129197</v>
      </c>
      <c r="G280" s="33">
        <v>1</v>
      </c>
      <c r="H280" s="30"/>
      <c r="I280" t="s">
        <v>50</v>
      </c>
    </row>
    <row r="281" spans="3:9">
      <c r="C281" s="40">
        <v>272</v>
      </c>
      <c r="D281" s="39">
        <v>42629</v>
      </c>
      <c r="E281" s="32">
        <v>6.67821</v>
      </c>
      <c r="F281" s="32">
        <f>1/1.33089</f>
        <v>0.75137689816588904</v>
      </c>
      <c r="G281" s="33">
        <v>1</v>
      </c>
      <c r="H281" s="30"/>
      <c r="I281" t="s">
        <v>50</v>
      </c>
    </row>
    <row r="282" spans="3:9">
      <c r="C282" s="40">
        <v>273</v>
      </c>
      <c r="D282" s="39">
        <v>42636</v>
      </c>
      <c r="E282" s="32">
        <v>6.6720199999999998</v>
      </c>
      <c r="F282" s="32">
        <f>1/1.32258</f>
        <v>0.75609792980386814</v>
      </c>
      <c r="G282" s="30">
        <v>1</v>
      </c>
      <c r="H282" s="30"/>
      <c r="I282" t="s">
        <v>50</v>
      </c>
    </row>
    <row r="283" spans="3:9">
      <c r="C283" s="40">
        <v>274</v>
      </c>
      <c r="D283" s="39">
        <v>42643</v>
      </c>
      <c r="E283" s="32">
        <v>6.6678899999999999</v>
      </c>
      <c r="F283" s="32">
        <f>1/1.30768</f>
        <v>0.76471307965251445</v>
      </c>
      <c r="G283" s="33">
        <v>1</v>
      </c>
      <c r="H283" s="30"/>
      <c r="I283" t="s">
        <v>50</v>
      </c>
    </row>
    <row r="284" spans="3:9">
      <c r="C284" s="40">
        <v>275</v>
      </c>
      <c r="D284" s="39">
        <v>42650</v>
      </c>
      <c r="E284" s="32">
        <v>6.6699799999999998</v>
      </c>
      <c r="F284" s="32">
        <f>1/1.30983</f>
        <v>0.76345785330920801</v>
      </c>
      <c r="G284" s="30">
        <v>1</v>
      </c>
      <c r="H284" s="30"/>
      <c r="I284" t="s">
        <v>50</v>
      </c>
    </row>
    <row r="285" spans="3:9">
      <c r="C285" s="40">
        <v>276</v>
      </c>
      <c r="D285" s="39">
        <v>42657</v>
      </c>
      <c r="E285" s="32">
        <v>6.7035099999999996</v>
      </c>
      <c r="F285" s="32">
        <f>1/1.31923</f>
        <v>0.75801793470433521</v>
      </c>
      <c r="G285" s="30">
        <v>1</v>
      </c>
      <c r="H285" s="30"/>
      <c r="I285" t="s">
        <v>50</v>
      </c>
    </row>
    <row r="286" spans="3:9">
      <c r="C286" s="40">
        <v>277</v>
      </c>
      <c r="D286" s="39">
        <v>42664</v>
      </c>
      <c r="E286" s="32">
        <v>6.7377599999999997</v>
      </c>
      <c r="F286" s="32">
        <f>1/1.30848</f>
        <v>0.764245536806065</v>
      </c>
      <c r="G286" s="30">
        <v>1</v>
      </c>
      <c r="H286" s="30"/>
      <c r="I286" t="s">
        <v>50</v>
      </c>
    </row>
    <row r="287" spans="3:9">
      <c r="C287" s="40">
        <v>278</v>
      </c>
      <c r="D287" s="39">
        <v>42671</v>
      </c>
      <c r="E287" s="32">
        <v>6.7718600000000002</v>
      </c>
      <c r="F287" s="32">
        <f>1/1.31235</f>
        <v>0.76199184668724051</v>
      </c>
      <c r="G287" s="30">
        <v>1</v>
      </c>
      <c r="H287" s="30"/>
      <c r="I287" t="s">
        <v>50</v>
      </c>
    </row>
    <row r="288" spans="3:9">
      <c r="C288" s="40">
        <v>279</v>
      </c>
      <c r="D288" s="39">
        <v>42678</v>
      </c>
      <c r="E288" s="32">
        <v>6.7687499999999998</v>
      </c>
      <c r="F288" s="32">
        <f>1/1.30952</f>
        <v>0.76363858513042948</v>
      </c>
      <c r="G288" s="30">
        <v>1</v>
      </c>
      <c r="H288" s="30"/>
      <c r="I288" t="s">
        <v>50</v>
      </c>
    </row>
    <row r="289" spans="3:9">
      <c r="C289" s="40">
        <v>280</v>
      </c>
      <c r="D289" s="39">
        <v>42685</v>
      </c>
      <c r="E289" s="32">
        <v>6.7802800000000003</v>
      </c>
      <c r="F289" s="32">
        <f>1/1.30423</f>
        <v>0.76673592847887262</v>
      </c>
      <c r="G289" s="30">
        <v>1</v>
      </c>
      <c r="H289" s="30"/>
      <c r="I289" t="s">
        <v>50</v>
      </c>
    </row>
    <row r="290" spans="3:9">
      <c r="C290" s="40">
        <v>281</v>
      </c>
      <c r="D290" s="39">
        <v>42692</v>
      </c>
      <c r="E290" s="32">
        <v>6.8474899999999996</v>
      </c>
      <c r="F290" s="32">
        <f>1/1.3317</f>
        <v>0.75091987684914019</v>
      </c>
      <c r="G290" s="30">
        <v>1</v>
      </c>
      <c r="H290" s="30"/>
      <c r="I290" t="s">
        <v>50</v>
      </c>
    </row>
    <row r="291" spans="3:9">
      <c r="C291" s="40">
        <v>282</v>
      </c>
      <c r="D291" s="39">
        <v>42699</v>
      </c>
      <c r="E291" s="32">
        <v>6.89975</v>
      </c>
      <c r="F291" s="32">
        <f>1/1.35523</f>
        <v>0.73788213070844066</v>
      </c>
      <c r="G291" s="30">
        <v>1</v>
      </c>
      <c r="H291" s="30"/>
      <c r="I291" t="s">
        <v>50</v>
      </c>
    </row>
    <row r="292" spans="3:9">
      <c r="C292" s="40">
        <v>283</v>
      </c>
      <c r="D292" s="39">
        <v>42706</v>
      </c>
      <c r="E292" s="32">
        <v>6.8990299999999998</v>
      </c>
      <c r="F292" s="32">
        <f>1/1.34317</f>
        <v>0.74450739668098609</v>
      </c>
      <c r="G292" s="30">
        <v>1</v>
      </c>
      <c r="H292" s="30"/>
      <c r="I292" t="s">
        <v>50</v>
      </c>
    </row>
    <row r="293" spans="3:9">
      <c r="C293" s="40">
        <v>284</v>
      </c>
      <c r="D293" s="39">
        <v>42713</v>
      </c>
      <c r="E293" s="32">
        <v>6.9236300000000002</v>
      </c>
      <c r="F293" s="32">
        <f>1/1.3405</f>
        <v>0.74599030212607231</v>
      </c>
      <c r="G293" s="30">
        <v>1</v>
      </c>
      <c r="H293" s="30"/>
      <c r="I293" t="s">
        <v>50</v>
      </c>
    </row>
    <row r="294" spans="3:9">
      <c r="C294" s="40">
        <v>285</v>
      </c>
      <c r="D294" s="39">
        <v>42720</v>
      </c>
      <c r="E294" s="32">
        <v>6.9097099999999996</v>
      </c>
      <c r="F294" s="32">
        <f>1/1.34375</f>
        <v>0.7441860465116279</v>
      </c>
      <c r="G294" s="30">
        <v>1</v>
      </c>
      <c r="H294" s="30"/>
      <c r="I294" t="s">
        <v>50</v>
      </c>
    </row>
    <row r="295" spans="3:9">
      <c r="C295" s="40">
        <v>286</v>
      </c>
      <c r="D295" s="39">
        <v>42727</v>
      </c>
      <c r="E295" s="32">
        <v>6.9470000000000001</v>
      </c>
      <c r="F295" s="32">
        <f>1/1.378</f>
        <v>0.72568940493468803</v>
      </c>
      <c r="G295" s="30">
        <v>1</v>
      </c>
      <c r="H295" s="30"/>
      <c r="I295" t="s">
        <v>50</v>
      </c>
    </row>
    <row r="296" spans="3:9">
      <c r="C296" s="40">
        <v>287</v>
      </c>
      <c r="D296" s="39">
        <v>42734</v>
      </c>
      <c r="E296" s="32">
        <v>6.9486999999999997</v>
      </c>
      <c r="F296" s="32">
        <f>1/1.39027</f>
        <v>0.71928474325131098</v>
      </c>
      <c r="G296" s="30">
        <v>1</v>
      </c>
      <c r="H296" s="30"/>
      <c r="I296" t="s">
        <v>50</v>
      </c>
    </row>
    <row r="297" spans="3:9">
      <c r="C297" s="40">
        <v>288</v>
      </c>
      <c r="D297" s="39">
        <v>42741</v>
      </c>
      <c r="E297" s="32">
        <v>6.9347099999999999</v>
      </c>
      <c r="F297" s="32">
        <f>1/1.38012</f>
        <v>0.72457467466597103</v>
      </c>
      <c r="G297" s="30">
        <v>1</v>
      </c>
      <c r="H297" s="30"/>
      <c r="I297" t="s">
        <v>50</v>
      </c>
    </row>
    <row r="298" spans="3:9">
      <c r="C298" s="40">
        <v>289</v>
      </c>
      <c r="D298" s="39">
        <v>42748</v>
      </c>
      <c r="E298" s="32">
        <v>6.9218799999999998</v>
      </c>
      <c r="F298" s="32">
        <f>1/1.35539</f>
        <v>0.73779502578593614</v>
      </c>
      <c r="G298" s="30">
        <v>1</v>
      </c>
      <c r="H298" s="30"/>
      <c r="I298" t="s">
        <v>50</v>
      </c>
    </row>
    <row r="299" spans="3:9">
      <c r="C299" s="40">
        <v>290</v>
      </c>
      <c r="D299" s="39">
        <v>42755</v>
      </c>
      <c r="E299" s="32">
        <v>6.87723</v>
      </c>
      <c r="F299" s="32">
        <f>1/1.32966</f>
        <v>0.75207195824496487</v>
      </c>
      <c r="G299" s="30">
        <v>1</v>
      </c>
      <c r="H299" s="30"/>
      <c r="I299" t="s">
        <v>50</v>
      </c>
    </row>
    <row r="300" spans="3:9">
      <c r="C300" s="40">
        <v>291</v>
      </c>
      <c r="D300" s="39">
        <v>42762</v>
      </c>
      <c r="E300" s="32">
        <v>6.8721100000000002</v>
      </c>
      <c r="F300" s="32">
        <f>1/1.32286</f>
        <v>0.75593789214278162</v>
      </c>
      <c r="G300" s="30">
        <v>1</v>
      </c>
      <c r="H300" s="30"/>
      <c r="I300" t="s">
        <v>50</v>
      </c>
    </row>
    <row r="301" spans="3:9">
      <c r="C301" s="40">
        <v>292</v>
      </c>
      <c r="D301" s="39">
        <v>42769</v>
      </c>
      <c r="E301" s="32">
        <v>6.87927</v>
      </c>
      <c r="F301" s="32">
        <f>1/1.31809</f>
        <v>0.75867353519107195</v>
      </c>
      <c r="G301" s="30">
        <v>1</v>
      </c>
      <c r="H301" s="30"/>
      <c r="I301" t="s">
        <v>50</v>
      </c>
    </row>
    <row r="302" spans="3:9">
      <c r="C302" s="40">
        <v>293</v>
      </c>
      <c r="D302" s="39">
        <v>42776</v>
      </c>
      <c r="E302" s="32">
        <v>6.8707000000000003</v>
      </c>
      <c r="F302" s="32">
        <f>1/1.30599</f>
        <v>0.76570264703405078</v>
      </c>
      <c r="G302" s="30">
        <v>1</v>
      </c>
      <c r="H302" s="30"/>
      <c r="I302" t="s">
        <v>50</v>
      </c>
    </row>
    <row r="303" spans="3:9">
      <c r="C303" s="40">
        <v>294</v>
      </c>
      <c r="D303" s="39">
        <v>42783</v>
      </c>
      <c r="E303" s="32">
        <v>6.8713800000000003</v>
      </c>
      <c r="F303" s="32">
        <f>1/1.30215</f>
        <v>0.7679606804131629</v>
      </c>
      <c r="G303" s="30">
        <v>1</v>
      </c>
      <c r="H303" s="30"/>
      <c r="I303" t="s">
        <v>50</v>
      </c>
    </row>
    <row r="304" spans="3:9">
      <c r="C304" s="40">
        <v>295</v>
      </c>
      <c r="D304" s="39">
        <v>42790</v>
      </c>
      <c r="E304" s="32">
        <v>6.8720499999999998</v>
      </c>
      <c r="F304" s="32">
        <f>1/1.30173</f>
        <v>0.7682084610479899</v>
      </c>
      <c r="G304" s="30">
        <v>1</v>
      </c>
      <c r="H304" s="30"/>
      <c r="I304" t="s">
        <v>50</v>
      </c>
    </row>
    <row r="305" spans="3:9">
      <c r="C305" s="40">
        <v>296</v>
      </c>
      <c r="D305" s="39">
        <v>42797</v>
      </c>
      <c r="E305" s="32">
        <v>6.8752599999999999</v>
      </c>
      <c r="F305" s="32">
        <f>1/1.30662</f>
        <v>0.76533345578668632</v>
      </c>
      <c r="G305" s="30">
        <v>1</v>
      </c>
      <c r="H305" s="30"/>
      <c r="I305" t="s">
        <v>50</v>
      </c>
    </row>
    <row r="306" spans="3:9">
      <c r="C306" s="40">
        <v>297</v>
      </c>
      <c r="D306" s="39">
        <v>42804</v>
      </c>
      <c r="E306" s="32">
        <v>6.9039999999999999</v>
      </c>
      <c r="F306" s="32">
        <f>1/1.3238</f>
        <v>0.75540111799365461</v>
      </c>
      <c r="G306" s="30">
        <v>1</v>
      </c>
      <c r="H306" s="30"/>
      <c r="I306" t="s">
        <v>50</v>
      </c>
    </row>
    <row r="307" spans="3:9">
      <c r="C307" s="40">
        <v>298</v>
      </c>
      <c r="D307" s="39">
        <v>42811</v>
      </c>
      <c r="E307" s="32">
        <v>6.9053800000000001</v>
      </c>
      <c r="F307" s="32">
        <f>1/1.31608</f>
        <v>0.75983222904382719</v>
      </c>
      <c r="G307" s="30">
        <v>1</v>
      </c>
      <c r="H307" s="30"/>
      <c r="I307" t="s">
        <v>50</v>
      </c>
    </row>
    <row r="308" spans="3:9">
      <c r="C308" s="40">
        <v>299</v>
      </c>
      <c r="D308" s="39">
        <v>42818</v>
      </c>
      <c r="E308" s="32">
        <v>6.8919499999999996</v>
      </c>
      <c r="F308" s="32">
        <f>1/1.3011</f>
        <v>0.76858043194220282</v>
      </c>
      <c r="G308" s="30">
        <v>1</v>
      </c>
      <c r="H308" s="30"/>
      <c r="I308" t="s">
        <v>50</v>
      </c>
    </row>
    <row r="309" spans="3:9">
      <c r="C309" s="40">
        <v>300</v>
      </c>
      <c r="D309" s="39">
        <v>42825</v>
      </c>
      <c r="E309" s="32">
        <v>6.8818700000000002</v>
      </c>
      <c r="F309" s="32">
        <f>1/1.309327</f>
        <v>0.76375114849078962</v>
      </c>
      <c r="G309" s="30">
        <v>1</v>
      </c>
      <c r="H309" s="30"/>
      <c r="I309" t="s">
        <v>50</v>
      </c>
    </row>
    <row r="310" spans="3:9">
      <c r="C310" s="40">
        <v>301</v>
      </c>
      <c r="D310" s="39">
        <v>42832</v>
      </c>
      <c r="E310" s="32">
        <v>6.8905960000000004</v>
      </c>
      <c r="F310" s="32">
        <f>1/1.31832</f>
        <v>0.75854117361490381</v>
      </c>
      <c r="G310" s="30">
        <v>1</v>
      </c>
      <c r="H310" s="30"/>
      <c r="I310" t="s">
        <v>50</v>
      </c>
    </row>
    <row r="311" spans="3:9">
      <c r="C311" s="40">
        <v>302</v>
      </c>
      <c r="D311" s="39">
        <v>42839</v>
      </c>
      <c r="E311" s="32">
        <v>6.8960670000000004</v>
      </c>
      <c r="F311" s="32">
        <f>1/1.329514</f>
        <v>0.75215454669901927</v>
      </c>
      <c r="G311" s="30">
        <v>1</v>
      </c>
      <c r="H311" s="30"/>
      <c r="I311" t="s">
        <v>50</v>
      </c>
    </row>
    <row r="312" spans="3:9">
      <c r="C312" s="40">
        <v>303</v>
      </c>
      <c r="D312" s="39">
        <v>42846</v>
      </c>
      <c r="E312" s="32">
        <v>6.8834140000000001</v>
      </c>
      <c r="F312" s="32">
        <f>1/1.323499</f>
        <v>0.75557291694213602</v>
      </c>
      <c r="G312" s="30">
        <v>1</v>
      </c>
      <c r="H312" s="30"/>
      <c r="I312" t="s">
        <v>50</v>
      </c>
    </row>
    <row r="313" spans="3:9">
      <c r="C313" s="40">
        <v>304</v>
      </c>
      <c r="D313" s="39">
        <v>42853</v>
      </c>
      <c r="E313" s="32">
        <v>6.8812689999999996</v>
      </c>
      <c r="F313" s="32">
        <f>1/1.329329</f>
        <v>0.75225922251000321</v>
      </c>
      <c r="G313" s="30">
        <v>1</v>
      </c>
      <c r="H313" s="30"/>
      <c r="I313" t="s">
        <v>50</v>
      </c>
    </row>
    <row r="314" spans="3:9">
      <c r="C314" s="40">
        <v>305</v>
      </c>
      <c r="D314" s="39">
        <v>42860</v>
      </c>
      <c r="E314" s="32">
        <v>6.8966940000000001</v>
      </c>
      <c r="F314" s="32">
        <f>1/1.338032</f>
        <v>0.74736628122496318</v>
      </c>
      <c r="G314" s="30">
        <v>1</v>
      </c>
      <c r="H314" s="30"/>
      <c r="I314" t="s">
        <v>50</v>
      </c>
    </row>
    <row r="315" spans="3:9">
      <c r="C315" s="40">
        <v>306</v>
      </c>
      <c r="D315" s="39">
        <v>42867</v>
      </c>
      <c r="E315" s="32">
        <v>6.897564</v>
      </c>
      <c r="F315" s="32">
        <f>1/1.353191</f>
        <v>0.73899397793807375</v>
      </c>
      <c r="G315" s="30">
        <v>1</v>
      </c>
      <c r="H315" s="30"/>
      <c r="I315" t="s">
        <v>50</v>
      </c>
    </row>
    <row r="316" spans="3:9">
      <c r="C316" s="40">
        <v>307</v>
      </c>
      <c r="D316" s="39">
        <v>42874</v>
      </c>
      <c r="E316" s="32">
        <v>6.8924099999999999</v>
      </c>
      <c r="F316" s="32">
        <f>1/1.348465</f>
        <v>0.74158394915700443</v>
      </c>
      <c r="G316" s="30">
        <v>1</v>
      </c>
      <c r="H316" s="30"/>
      <c r="I316" t="s">
        <v>50</v>
      </c>
    </row>
    <row r="317" spans="3:9">
      <c r="C317" s="40">
        <v>308</v>
      </c>
      <c r="D317" s="39">
        <v>42881</v>
      </c>
      <c r="E317" s="32">
        <v>6.8800730000000003</v>
      </c>
      <c r="F317" s="32">
        <f>1/1.339328</f>
        <v>0.74664309265542117</v>
      </c>
      <c r="G317" s="30">
        <v>1</v>
      </c>
      <c r="H317" s="30"/>
      <c r="I317" t="s">
        <v>50</v>
      </c>
    </row>
    <row r="318" spans="3:9">
      <c r="C318" s="40">
        <v>309</v>
      </c>
      <c r="D318" s="39">
        <v>42888</v>
      </c>
      <c r="E318" s="32">
        <v>6.8375729999999999</v>
      </c>
      <c r="F318" s="32">
        <f>1/1.345104</f>
        <v>0.74343693870511118</v>
      </c>
      <c r="G318" s="30">
        <v>1</v>
      </c>
      <c r="H318" s="30"/>
      <c r="I318" t="s">
        <v>50</v>
      </c>
    </row>
    <row r="319" spans="3:9">
      <c r="C319" s="40">
        <v>310</v>
      </c>
      <c r="D319" s="39">
        <v>42895</v>
      </c>
      <c r="E319" s="32">
        <v>6.8009839999999997</v>
      </c>
      <c r="F319" s="32">
        <f>1/1.334108</f>
        <v>0.74956450302374311</v>
      </c>
      <c r="G319" s="30">
        <v>1</v>
      </c>
      <c r="H319" s="30"/>
      <c r="I319" t="s">
        <v>50</v>
      </c>
    </row>
    <row r="320" spans="3:9">
      <c r="C320" s="40">
        <v>311</v>
      </c>
      <c r="D320" s="39">
        <v>42902</v>
      </c>
      <c r="E320" s="32">
        <v>6.7983130000000003</v>
      </c>
      <c r="F320" s="32">
        <f>1/1.322684</f>
        <v>0.75603847933444424</v>
      </c>
      <c r="G320" s="30">
        <v>1</v>
      </c>
      <c r="H320" s="30"/>
      <c r="I320" t="s">
        <v>50</v>
      </c>
    </row>
    <row r="321" spans="3:9">
      <c r="C321" s="40">
        <v>312</v>
      </c>
      <c r="D321" s="39">
        <v>42909</v>
      </c>
      <c r="E321" s="32">
        <v>6.8219919999999998</v>
      </c>
      <c r="F321" s="32">
        <f>1/1.317255</f>
        <v>0.75915445376939161</v>
      </c>
      <c r="G321" s="30">
        <v>1</v>
      </c>
      <c r="H321" s="30"/>
      <c r="I321" t="s">
        <v>50</v>
      </c>
    </row>
    <row r="322" spans="3:9">
      <c r="C322" s="40">
        <v>313</v>
      </c>
      <c r="D322" s="39">
        <v>42916</v>
      </c>
      <c r="E322" s="32">
        <v>6.8113619999999999</v>
      </c>
      <c r="F322" s="32">
        <f>1/1.313974</f>
        <v>0.76105006643967077</v>
      </c>
      <c r="G322" s="30">
        <v>1</v>
      </c>
      <c r="H322" s="30"/>
      <c r="I322" t="s">
        <v>50</v>
      </c>
    </row>
    <row r="323" spans="3:9">
      <c r="C323" s="40">
        <v>314</v>
      </c>
      <c r="D323" s="39">
        <v>42923</v>
      </c>
      <c r="E323" s="32">
        <v>6.7916689999999997</v>
      </c>
      <c r="F323" s="32">
        <f>1/1.309091</f>
        <v>0.76388883584105305</v>
      </c>
      <c r="G323" s="30">
        <v>1</v>
      </c>
      <c r="H323" s="30"/>
      <c r="I323" t="s">
        <v>50</v>
      </c>
    </row>
    <row r="324" spans="3:9">
      <c r="C324" s="40">
        <v>315</v>
      </c>
      <c r="D324" s="39">
        <v>42930</v>
      </c>
      <c r="E324" s="32">
        <v>6.7947220000000002</v>
      </c>
      <c r="F324" s="32">
        <f>1/1.305909</f>
        <v>0.76575014032371325</v>
      </c>
      <c r="G324" s="30">
        <v>1</v>
      </c>
      <c r="H324" s="30"/>
      <c r="I324" t="s">
        <v>50</v>
      </c>
    </row>
    <row r="325" spans="3:9">
      <c r="C325" s="40">
        <v>316</v>
      </c>
      <c r="D325" s="39">
        <v>42937</v>
      </c>
      <c r="E325" s="32">
        <v>6.7651810000000001</v>
      </c>
      <c r="F325" s="32">
        <f>1/1.268797</f>
        <v>0.78814814347764062</v>
      </c>
      <c r="G325" s="30">
        <v>1</v>
      </c>
      <c r="H325" s="30"/>
      <c r="I325" t="s">
        <v>50</v>
      </c>
    </row>
    <row r="326" spans="3:9">
      <c r="C326" s="40">
        <v>317</v>
      </c>
      <c r="D326" s="39">
        <v>42944</v>
      </c>
      <c r="E326" s="32">
        <v>6.7511279999999996</v>
      </c>
      <c r="F326" s="32">
        <f>1/1.258755</f>
        <v>0.79443577185393499</v>
      </c>
      <c r="G326" s="30">
        <v>1</v>
      </c>
      <c r="H326" s="30"/>
      <c r="I326" t="s">
        <v>50</v>
      </c>
    </row>
    <row r="327" spans="3:9">
      <c r="C327" s="40">
        <v>318</v>
      </c>
      <c r="D327" s="39">
        <v>42951</v>
      </c>
      <c r="E327" s="32">
        <f>1/0.148649</f>
        <v>6.7272568264838641</v>
      </c>
      <c r="F327" s="32">
        <v>0.79690300000000003</v>
      </c>
      <c r="G327" s="30">
        <v>1</v>
      </c>
      <c r="H327" s="30"/>
      <c r="I327" t="s">
        <v>50</v>
      </c>
    </row>
    <row r="328" spans="3:9">
      <c r="C328" s="40">
        <v>319</v>
      </c>
      <c r="D328" s="39">
        <v>42958</v>
      </c>
      <c r="E328" s="32">
        <f>1/0.149255</f>
        <v>6.6999430504840713</v>
      </c>
      <c r="F328" s="32">
        <v>0.78994200000000003</v>
      </c>
      <c r="G328" s="30">
        <v>1</v>
      </c>
      <c r="H328" s="30"/>
      <c r="I328" t="s">
        <v>50</v>
      </c>
    </row>
    <row r="329" spans="3:9">
      <c r="C329" s="40">
        <v>320</v>
      </c>
      <c r="D329" s="39">
        <v>42965</v>
      </c>
      <c r="E329" s="32">
        <v>6.6734989999999996</v>
      </c>
      <c r="F329" s="32">
        <f>1/1.26778</f>
        <v>0.78878038776443871</v>
      </c>
      <c r="G329" s="30">
        <v>1</v>
      </c>
      <c r="H329" s="30"/>
      <c r="I329" t="s">
        <v>50</v>
      </c>
    </row>
    <row r="330" spans="3:9">
      <c r="C330" s="40">
        <v>321</v>
      </c>
      <c r="D330" s="39">
        <v>42972</v>
      </c>
      <c r="E330" s="32">
        <v>6.663951</v>
      </c>
      <c r="F330" s="32">
        <f>1/1.262869</f>
        <v>0.79184776885013408</v>
      </c>
      <c r="G330" s="30">
        <v>1</v>
      </c>
      <c r="H330" s="30"/>
      <c r="I330" t="s">
        <v>50</v>
      </c>
    </row>
    <row r="331" spans="3:9">
      <c r="C331" s="40">
        <v>322</v>
      </c>
      <c r="D331" s="39">
        <v>42979</v>
      </c>
      <c r="E331" s="32">
        <v>6.6086999999999998</v>
      </c>
      <c r="F331" s="32">
        <v>0.79379999999999995</v>
      </c>
      <c r="G331" s="30">
        <v>1</v>
      </c>
      <c r="H331" s="30"/>
      <c r="I331" t="s">
        <v>50</v>
      </c>
    </row>
    <row r="332" spans="3:9">
      <c r="C332" s="40">
        <v>323</v>
      </c>
      <c r="D332" s="39">
        <v>42986</v>
      </c>
      <c r="E332" s="32">
        <v>6.5269320000000004</v>
      </c>
      <c r="F332" s="32">
        <f>1/1.250489</f>
        <v>0.79968716238207616</v>
      </c>
      <c r="G332" s="30">
        <v>1</v>
      </c>
      <c r="H332" s="30"/>
      <c r="I332" t="s">
        <v>50</v>
      </c>
    </row>
    <row r="333" spans="3:9">
      <c r="C333" s="40">
        <v>324</v>
      </c>
      <c r="D333" s="39">
        <v>42993</v>
      </c>
      <c r="E333" s="31">
        <v>6.523301</v>
      </c>
      <c r="F333" s="32">
        <f>1/1.245648</f>
        <v>0.80279501111068285</v>
      </c>
      <c r="G333" s="30">
        <v>1</v>
      </c>
      <c r="H333" s="30"/>
      <c r="I333" t="s">
        <v>50</v>
      </c>
    </row>
    <row r="334" spans="3:9">
      <c r="C334" s="40">
        <v>325</v>
      </c>
      <c r="D334" s="39">
        <v>43000</v>
      </c>
      <c r="E334" s="31">
        <v>6.5720609999999997</v>
      </c>
      <c r="F334" s="32">
        <f>1/1.251299</f>
        <v>0.79916950305242795</v>
      </c>
      <c r="G334" s="30">
        <v>1</v>
      </c>
      <c r="H334" s="30"/>
      <c r="I334" t="s">
        <v>50</v>
      </c>
    </row>
    <row r="335" spans="3:9">
      <c r="C335" s="40">
        <v>326</v>
      </c>
      <c r="D335" s="39">
        <v>43007</v>
      </c>
      <c r="E335" s="31">
        <v>6.6274670000000002</v>
      </c>
      <c r="F335" s="32">
        <f>1/1.265366</f>
        <v>0.79028518231088873</v>
      </c>
      <c r="G335" s="30">
        <v>1</v>
      </c>
      <c r="H335" s="30"/>
      <c r="I335" t="s">
        <v>50</v>
      </c>
    </row>
    <row r="336" spans="3:9">
      <c r="C336" s="40">
        <v>327</v>
      </c>
      <c r="D336" s="39">
        <v>43014</v>
      </c>
      <c r="E336" s="31">
        <v>6.6525020000000001</v>
      </c>
      <c r="F336" s="32">
        <f>1/1.278403</f>
        <v>0.78222594909429977</v>
      </c>
      <c r="G336" s="30">
        <v>1</v>
      </c>
      <c r="H336" s="30"/>
      <c r="I336" t="s">
        <v>50</v>
      </c>
    </row>
    <row r="337" spans="3:9">
      <c r="C337" s="40">
        <v>328</v>
      </c>
      <c r="D337" s="39">
        <v>43021</v>
      </c>
      <c r="E337" s="31">
        <v>6.6106410000000002</v>
      </c>
      <c r="F337" s="32">
        <f>1/1.283053</f>
        <v>0.77939103061214154</v>
      </c>
      <c r="G337" s="30">
        <v>1</v>
      </c>
      <c r="H337" s="30"/>
      <c r="I337" t="s">
        <v>50</v>
      </c>
    </row>
    <row r="338" spans="3:9">
      <c r="C338" s="40">
        <v>329</v>
      </c>
      <c r="D338" s="39">
        <v>43028</v>
      </c>
      <c r="E338" s="31">
        <v>6.6036320000000002</v>
      </c>
      <c r="F338" s="32">
        <f>1/1.271781</f>
        <v>0.78629889894565175</v>
      </c>
      <c r="G338" s="30">
        <v>1</v>
      </c>
      <c r="H338" s="30"/>
      <c r="I338" t="s">
        <v>50</v>
      </c>
    </row>
    <row r="339" spans="3:9">
      <c r="C339" s="40">
        <v>330</v>
      </c>
      <c r="D339" s="39">
        <v>43035</v>
      </c>
      <c r="E339" s="31">
        <v>6.6311200000000001</v>
      </c>
      <c r="F339" s="32">
        <f>1/1.289324</f>
        <v>0.7756002370234325</v>
      </c>
      <c r="G339" s="30">
        <v>1</v>
      </c>
      <c r="H339" s="30"/>
      <c r="I339" t="s">
        <v>50</v>
      </c>
    </row>
    <row r="340" spans="3:9">
      <c r="C340" s="40">
        <v>331</v>
      </c>
      <c r="D340" s="39">
        <v>43042</v>
      </c>
      <c r="E340" s="31">
        <v>6.6290399999999998</v>
      </c>
      <c r="F340" s="32">
        <f>1/1.302275</f>
        <v>0.76788696703845194</v>
      </c>
      <c r="G340" s="30">
        <v>1</v>
      </c>
      <c r="H340" s="30"/>
      <c r="I340" t="s">
        <v>50</v>
      </c>
    </row>
    <row r="341" spans="3:9">
      <c r="C341" s="40">
        <v>332</v>
      </c>
      <c r="D341" s="39">
        <v>43049</v>
      </c>
      <c r="E341" s="31">
        <v>6.634544</v>
      </c>
      <c r="F341" s="32">
        <f>1/1.304873</f>
        <v>0.76635810534818338</v>
      </c>
      <c r="G341" s="30">
        <v>1</v>
      </c>
      <c r="H341" s="30"/>
      <c r="I341" t="s">
        <v>50</v>
      </c>
    </row>
    <row r="342" spans="3:9">
      <c r="C342" s="40">
        <v>333</v>
      </c>
      <c r="D342" s="39">
        <v>43056</v>
      </c>
      <c r="E342" s="31">
        <v>6.6343019999999999</v>
      </c>
      <c r="F342" s="32">
        <f>1/1.312091</f>
        <v>0.76214225994995777</v>
      </c>
      <c r="G342" s="30">
        <v>1</v>
      </c>
      <c r="H342" s="30"/>
      <c r="I342" t="s">
        <v>50</v>
      </c>
    </row>
    <row r="343" spans="3:9">
      <c r="C343" s="40">
        <v>334</v>
      </c>
      <c r="D343" s="39">
        <v>43063</v>
      </c>
      <c r="E343" s="31">
        <v>6.6184219999999998</v>
      </c>
      <c r="F343" s="32">
        <f>1/1.318505</f>
        <v>0.75843474237867881</v>
      </c>
      <c r="G343" s="30">
        <v>1</v>
      </c>
      <c r="H343" s="30"/>
      <c r="I343" t="s">
        <v>50</v>
      </c>
    </row>
    <row r="344" spans="3:9">
      <c r="C344" s="40">
        <v>335</v>
      </c>
      <c r="D344" s="39">
        <v>43070</v>
      </c>
      <c r="E344" s="31">
        <v>6.6004139999999998</v>
      </c>
      <c r="F344" s="32">
        <f>1/1.315584</f>
        <v>0.76011870013621319</v>
      </c>
      <c r="G344" s="30">
        <v>1</v>
      </c>
      <c r="H344" s="30"/>
      <c r="I344" t="s">
        <v>50</v>
      </c>
    </row>
    <row r="345" spans="3:9">
      <c r="C345" s="40">
        <v>336</v>
      </c>
      <c r="D345" s="39">
        <v>43077</v>
      </c>
      <c r="E345" s="31">
        <v>6.6160209999999999</v>
      </c>
      <c r="F345" s="32">
        <f>1/1.319044</f>
        <v>0.75812482373597845</v>
      </c>
      <c r="G345" s="30">
        <v>1</v>
      </c>
      <c r="H345" s="30"/>
      <c r="I345" t="s">
        <v>50</v>
      </c>
    </row>
    <row r="346" spans="3:9">
      <c r="C346" s="40">
        <v>337</v>
      </c>
      <c r="D346" s="39">
        <v>43084</v>
      </c>
      <c r="E346" s="31">
        <v>6.6113</v>
      </c>
      <c r="F346" s="32">
        <f>1/1.320215</f>
        <v>0.75745238464947007</v>
      </c>
      <c r="G346" s="30">
        <v>1</v>
      </c>
      <c r="H346" s="30"/>
      <c r="I346" t="s">
        <v>50</v>
      </c>
    </row>
    <row r="347" spans="3:9">
      <c r="C347" s="40">
        <v>338</v>
      </c>
      <c r="D347" s="39">
        <v>43091</v>
      </c>
      <c r="E347" s="31">
        <v>6.5820999999999996</v>
      </c>
      <c r="F347" s="32">
        <f>1/1.303423</f>
        <v>0.76721064458736732</v>
      </c>
      <c r="G347" s="30">
        <v>1</v>
      </c>
      <c r="H347" s="30"/>
      <c r="I347" t="s">
        <v>50</v>
      </c>
    </row>
    <row r="348" spans="3:9">
      <c r="C348" s="40">
        <v>339</v>
      </c>
      <c r="D348" s="39">
        <v>43098</v>
      </c>
      <c r="E348" s="31">
        <v>6.5411999999999999</v>
      </c>
      <c r="F348" s="32">
        <f>1/1.290818</f>
        <v>0.77470255295479296</v>
      </c>
      <c r="G348" s="30">
        <v>1</v>
      </c>
      <c r="H348" s="30"/>
      <c r="I348" t="s">
        <v>50</v>
      </c>
    </row>
    <row r="349" spans="3:9">
      <c r="C349" s="40">
        <v>340</v>
      </c>
      <c r="D349" s="39">
        <v>43105</v>
      </c>
      <c r="E349" s="31">
        <v>6.4915000000000003</v>
      </c>
      <c r="F349" s="32">
        <f>1/1.277745</f>
        <v>0.78262877178153711</v>
      </c>
      <c r="G349" s="30">
        <v>1</v>
      </c>
      <c r="H349" s="30"/>
      <c r="I349" t="s">
        <v>50</v>
      </c>
    </row>
    <row r="350" spans="3:9">
      <c r="C350" s="40">
        <v>341</v>
      </c>
      <c r="D350" s="39">
        <v>43112</v>
      </c>
      <c r="E350" s="31">
        <v>6.4931999999999999</v>
      </c>
      <c r="F350" s="32">
        <f>1/1.272741</f>
        <v>0.78570581131589234</v>
      </c>
      <c r="G350" s="30">
        <v>1</v>
      </c>
      <c r="H350" s="30"/>
      <c r="I350" t="s">
        <v>50</v>
      </c>
    </row>
    <row r="351" spans="3:9">
      <c r="C351" s="40">
        <v>342</v>
      </c>
      <c r="D351" s="39">
        <v>43119</v>
      </c>
      <c r="E351" s="20">
        <v>6.4169</v>
      </c>
      <c r="F351" s="32">
        <f>1/1.256928</f>
        <v>0.79559051910690193</v>
      </c>
      <c r="G351" s="30">
        <v>1</v>
      </c>
      <c r="H351" s="30"/>
      <c r="I351" t="s">
        <v>50</v>
      </c>
    </row>
    <row r="352" spans="3:9">
      <c r="C352" s="40">
        <v>343</v>
      </c>
      <c r="D352" s="39">
        <v>43126</v>
      </c>
      <c r="E352" s="20">
        <v>6.3436000000000003</v>
      </c>
      <c r="F352" s="32">
        <f>1/1.245774</f>
        <v>0.80271381486529658</v>
      </c>
      <c r="G352" s="30">
        <v>1</v>
      </c>
      <c r="H352" s="30"/>
      <c r="I352" t="s">
        <v>50</v>
      </c>
    </row>
    <row r="353" spans="3:9">
      <c r="C353" s="40">
        <v>344</v>
      </c>
      <c r="D353" s="39">
        <v>43133</v>
      </c>
      <c r="E353" s="20">
        <v>6.2885</v>
      </c>
      <c r="F353" s="32">
        <f>1/1.29237</f>
        <v>0.77377221693477871</v>
      </c>
      <c r="G353" s="30">
        <v>1</v>
      </c>
      <c r="H353" s="30"/>
      <c r="I353" t="s">
        <v>50</v>
      </c>
    </row>
    <row r="354" spans="3:9">
      <c r="C354" s="40">
        <v>345</v>
      </c>
      <c r="D354" s="39">
        <v>43140</v>
      </c>
      <c r="E354" s="20">
        <v>6.3193999999999999</v>
      </c>
      <c r="F354" s="32">
        <f>1/1.29237</f>
        <v>0.77377221693477871</v>
      </c>
      <c r="G354" s="30">
        <v>1</v>
      </c>
      <c r="H354" s="30"/>
      <c r="I354" t="s">
        <v>50</v>
      </c>
    </row>
    <row r="355" spans="3:9">
      <c r="C355" s="40">
        <v>346</v>
      </c>
      <c r="D355" s="39">
        <v>43147</v>
      </c>
      <c r="E355" s="20">
        <v>6.3428000000000004</v>
      </c>
      <c r="F355" s="32">
        <f>1/1.2709</f>
        <v>0.78684396884097885</v>
      </c>
      <c r="G355" s="30">
        <v>1</v>
      </c>
      <c r="H355" s="30"/>
      <c r="I355" t="s">
        <v>50</v>
      </c>
    </row>
    <row r="356" spans="3:9">
      <c r="C356" s="40">
        <v>347</v>
      </c>
      <c r="D356" s="39">
        <v>43154</v>
      </c>
      <c r="E356" s="20">
        <v>6.3377999999999997</v>
      </c>
      <c r="F356" s="32">
        <f>1/1.269425</f>
        <v>0.7877582369970656</v>
      </c>
      <c r="G356" s="30">
        <v>1</v>
      </c>
      <c r="H356" s="30"/>
      <c r="I356" t="s">
        <v>50</v>
      </c>
    </row>
    <row r="357" spans="3:9">
      <c r="C357" s="40">
        <v>348</v>
      </c>
      <c r="D357" s="39">
        <v>43161</v>
      </c>
      <c r="E357" s="20">
        <v>6.3334000000000001</v>
      </c>
      <c r="F357" s="32">
        <f>1/1.280524</f>
        <v>0.78093030665571284</v>
      </c>
      <c r="G357" s="30">
        <v>1</v>
      </c>
      <c r="H357" s="30"/>
      <c r="I357" t="s">
        <v>50</v>
      </c>
    </row>
    <row r="358" spans="3:9">
      <c r="C358" s="40">
        <v>349</v>
      </c>
      <c r="D358" s="39">
        <v>43168</v>
      </c>
      <c r="E358" s="20">
        <v>6.3451000000000004</v>
      </c>
      <c r="F358" s="32">
        <f>1/1.284126</f>
        <v>0.77873978098722396</v>
      </c>
      <c r="G358" s="30">
        <v>1</v>
      </c>
      <c r="H358" s="30"/>
      <c r="I358" t="s">
        <v>50</v>
      </c>
    </row>
    <row r="359" spans="3:9">
      <c r="C359" s="40">
        <v>350</v>
      </c>
      <c r="D359" s="39">
        <v>43175</v>
      </c>
      <c r="E359" s="34">
        <v>6.3339999999999996</v>
      </c>
      <c r="F359" s="32">
        <f>1/1.274524</f>
        <v>0.78460664530444313</v>
      </c>
      <c r="G359" s="30">
        <v>1</v>
      </c>
      <c r="H359" s="30"/>
      <c r="I359" t="s">
        <v>50</v>
      </c>
    </row>
    <row r="360" spans="3:9">
      <c r="C360" s="40">
        <v>351</v>
      </c>
      <c r="D360" s="39">
        <v>43182</v>
      </c>
      <c r="E360" s="20">
        <v>6.3272000000000004</v>
      </c>
      <c r="F360" s="32">
        <f>1/1.296364</f>
        <v>0.77138828292053774</v>
      </c>
      <c r="G360" s="30">
        <v>1</v>
      </c>
      <c r="H360" s="30"/>
      <c r="I360" t="s">
        <v>50</v>
      </c>
    </row>
    <row r="361" spans="3:9">
      <c r="C361" s="40">
        <v>352</v>
      </c>
      <c r="D361" s="39">
        <v>43189</v>
      </c>
      <c r="E361" s="20">
        <v>6.2881</v>
      </c>
      <c r="F361" s="32">
        <f>1/1.298961</f>
        <v>0.7698460538846047</v>
      </c>
      <c r="G361" s="30">
        <v>1</v>
      </c>
      <c r="H361" s="30"/>
      <c r="I361" t="s">
        <v>50</v>
      </c>
    </row>
    <row r="362" spans="3:9">
      <c r="C362" s="40">
        <v>353</v>
      </c>
      <c r="D362" s="39">
        <v>43196</v>
      </c>
      <c r="E362" s="20">
        <v>6.2926000000000002</v>
      </c>
      <c r="F362" s="32">
        <f>1/1.301174</f>
        <v>0.76853672145308771</v>
      </c>
      <c r="G362" s="30">
        <v>1</v>
      </c>
      <c r="H362" s="30"/>
      <c r="I362" t="s">
        <v>50</v>
      </c>
    </row>
    <row r="363" spans="3:9">
      <c r="C363" s="40">
        <v>354</v>
      </c>
      <c r="D363" s="39">
        <v>43203</v>
      </c>
      <c r="E363" s="20">
        <v>6.2897999999999996</v>
      </c>
      <c r="F363" s="32">
        <f>1/1.2945</f>
        <v>0.77249903437620704</v>
      </c>
      <c r="G363" s="30">
        <v>1</v>
      </c>
      <c r="H363" s="30"/>
      <c r="I363" t="s">
        <v>50</v>
      </c>
    </row>
    <row r="364" spans="3:9">
      <c r="C364" s="40">
        <v>355</v>
      </c>
      <c r="D364" s="39">
        <v>43210</v>
      </c>
      <c r="E364" s="20">
        <v>6.2896999999999998</v>
      </c>
      <c r="F364" s="32">
        <f>1/1.288721</f>
        <v>0.77596314485447204</v>
      </c>
      <c r="G364" s="30">
        <v>1</v>
      </c>
      <c r="H364" s="30"/>
      <c r="I364" t="s">
        <v>50</v>
      </c>
    </row>
    <row r="365" spans="3:9">
      <c r="C365" s="40">
        <v>356</v>
      </c>
      <c r="D365" s="39">
        <v>43217</v>
      </c>
      <c r="E365" s="20">
        <v>6.3392999999999997</v>
      </c>
      <c r="F365" s="32">
        <f>1/1.313519</f>
        <v>0.7613136924551529</v>
      </c>
      <c r="G365" s="30">
        <v>1</v>
      </c>
      <c r="H365" s="30"/>
      <c r="I365" t="s">
        <v>50</v>
      </c>
    </row>
    <row r="366" spans="3:9">
      <c r="C366" s="40">
        <v>357</v>
      </c>
      <c r="D366" s="39">
        <v>43224</v>
      </c>
      <c r="E366" s="20">
        <v>6.3521000000000001</v>
      </c>
      <c r="F366" s="32">
        <f>1/1.326016</f>
        <v>0.75413871325836179</v>
      </c>
      <c r="G366" s="30">
        <v>1</v>
      </c>
      <c r="H366" s="30"/>
      <c r="I366" t="s">
        <v>50</v>
      </c>
    </row>
    <row r="367" spans="3:9">
      <c r="C367" s="40">
        <v>358</v>
      </c>
      <c r="D367" s="39">
        <v>43231</v>
      </c>
      <c r="E367" s="34">
        <v>6.3520399999999997</v>
      </c>
      <c r="F367" s="32">
        <f>1/1.331644</f>
        <v>0.75095145549411102</v>
      </c>
      <c r="G367" s="30">
        <v>1</v>
      </c>
      <c r="H367" s="30"/>
      <c r="I367" t="s">
        <v>50</v>
      </c>
    </row>
    <row r="368" spans="3:9">
      <c r="C368" s="40">
        <v>359</v>
      </c>
      <c r="D368" s="39">
        <v>43238</v>
      </c>
      <c r="E368" s="20">
        <v>6.3762999999999996</v>
      </c>
      <c r="F368" s="32">
        <f>1/1.329192</f>
        <v>0.75233675797025568</v>
      </c>
      <c r="G368" s="30">
        <v>1</v>
      </c>
      <c r="H368" s="30"/>
      <c r="I368" t="s">
        <v>50</v>
      </c>
    </row>
    <row r="369" spans="3:9">
      <c r="C369" s="40">
        <v>360</v>
      </c>
      <c r="D369" s="39">
        <v>43245</v>
      </c>
      <c r="E369" s="20">
        <v>6.3867000000000003</v>
      </c>
      <c r="F369" s="32">
        <f>1/1.324715</f>
        <v>0.75487935140766127</v>
      </c>
      <c r="G369" s="30">
        <v>1</v>
      </c>
      <c r="H369" s="30"/>
      <c r="I369" t="s">
        <v>50</v>
      </c>
    </row>
    <row r="370" spans="3:9">
      <c r="C370" s="40">
        <v>361</v>
      </c>
      <c r="D370" s="39">
        <v>43252</v>
      </c>
      <c r="E370" s="20">
        <v>6.4077999999999999</v>
      </c>
      <c r="F370" s="32">
        <f>1/1.324476</f>
        <v>0.7550155684210208</v>
      </c>
      <c r="G370" s="30">
        <v>1</v>
      </c>
      <c r="H370" s="30"/>
      <c r="I370" t="s">
        <v>50</v>
      </c>
    </row>
    <row r="371" spans="3:9">
      <c r="C371" s="40">
        <v>362</v>
      </c>
      <c r="D371" s="39">
        <v>43259</v>
      </c>
      <c r="E371" s="20">
        <v>6.4002999999999997</v>
      </c>
      <c r="F371" s="32">
        <f>1/1.313181</f>
        <v>0.76150964718496539</v>
      </c>
      <c r="G371" s="30">
        <v>1</v>
      </c>
      <c r="H371" s="30"/>
      <c r="I371" t="s">
        <v>50</v>
      </c>
    </row>
    <row r="372" spans="3:9">
      <c r="C372" s="40">
        <v>363</v>
      </c>
      <c r="D372" s="39">
        <v>43266</v>
      </c>
      <c r="E372" s="20">
        <v>6.4306000000000001</v>
      </c>
      <c r="F372" s="32">
        <f>1/1.32131</f>
        <v>0.75682466642952828</v>
      </c>
      <c r="G372" s="30">
        <v>1</v>
      </c>
      <c r="H372" s="30"/>
      <c r="I372" t="s">
        <v>50</v>
      </c>
    </row>
    <row r="373" spans="3:9">
      <c r="C373" s="40">
        <v>364</v>
      </c>
      <c r="D373" s="39">
        <v>43273</v>
      </c>
      <c r="E373" s="20">
        <v>6.4804000000000004</v>
      </c>
      <c r="F373" s="32">
        <f>1/1.349088</f>
        <v>0.74124149054768851</v>
      </c>
      <c r="G373" s="30">
        <v>1</v>
      </c>
      <c r="H373" s="30"/>
      <c r="I373" t="s">
        <v>50</v>
      </c>
    </row>
    <row r="374" spans="3:9">
      <c r="C374" s="40">
        <v>365</v>
      </c>
      <c r="D374" s="39">
        <v>43280</v>
      </c>
      <c r="E374" s="20">
        <v>6.6166</v>
      </c>
      <c r="F374" s="32">
        <f>1/1.35106</f>
        <v>0.74015957840510416</v>
      </c>
      <c r="G374" s="30">
        <v>1</v>
      </c>
      <c r="H374" s="30"/>
      <c r="I374" t="s">
        <v>50</v>
      </c>
    </row>
    <row r="375" spans="3:9">
      <c r="C375" s="40">
        <v>366</v>
      </c>
      <c r="D375" s="39">
        <v>43287</v>
      </c>
      <c r="E375" s="20">
        <v>6.6336000000000004</v>
      </c>
      <c r="F375" s="32">
        <f>1/1.352871</f>
        <v>0.73916877514559776</v>
      </c>
      <c r="G375" s="30">
        <v>1</v>
      </c>
      <c r="H375" s="30"/>
      <c r="I375" t="s">
        <v>50</v>
      </c>
    </row>
    <row r="376" spans="3:9">
      <c r="C376" s="40">
        <v>367</v>
      </c>
      <c r="D376" s="39">
        <v>43294</v>
      </c>
      <c r="E376" s="20">
        <v>6.6726999999999999</v>
      </c>
      <c r="F376" s="32">
        <f>1/1.346573</f>
        <v>0.74262591036653791</v>
      </c>
      <c r="G376" s="30">
        <v>1</v>
      </c>
      <c r="H376" s="30"/>
      <c r="I376" t="s">
        <v>50</v>
      </c>
    </row>
    <row r="377" spans="3:9">
      <c r="C377" s="40">
        <v>368</v>
      </c>
      <c r="D377" s="39">
        <v>43301</v>
      </c>
      <c r="E377" s="20">
        <v>6.7671000000000001</v>
      </c>
      <c r="F377" s="32">
        <f>1/1.350817</f>
        <v>0.74029272654993239</v>
      </c>
      <c r="G377" s="30">
        <v>1</v>
      </c>
      <c r="H377" s="30"/>
      <c r="I377" t="s">
        <v>50</v>
      </c>
    </row>
    <row r="378" spans="3:9">
      <c r="C378" s="40">
        <v>369</v>
      </c>
      <c r="D378" s="39">
        <v>43308</v>
      </c>
      <c r="E378" s="20">
        <v>6.7942</v>
      </c>
      <c r="F378" s="32">
        <f>1/1.349394</f>
        <v>0.74107340035601166</v>
      </c>
      <c r="G378" s="30">
        <v>1</v>
      </c>
      <c r="H378" s="30"/>
      <c r="I378" t="s">
        <v>50</v>
      </c>
    </row>
    <row r="379" spans="3:9">
      <c r="C379" s="40">
        <v>370</v>
      </c>
      <c r="D379" s="39">
        <v>43315</v>
      </c>
      <c r="E379" s="20">
        <v>6.8322000000000003</v>
      </c>
      <c r="F379" s="32">
        <f>1/1.351143</f>
        <v>0.74011411079360212</v>
      </c>
      <c r="G379" s="30">
        <v>1</v>
      </c>
      <c r="H379" s="30"/>
      <c r="I379" t="s">
        <v>50</v>
      </c>
    </row>
    <row r="380" spans="3:9">
      <c r="C380" s="40">
        <v>371</v>
      </c>
      <c r="D380" s="39">
        <v>43322</v>
      </c>
      <c r="E380" s="20">
        <v>6.8395000000000001</v>
      </c>
      <c r="F380" s="32">
        <f>1/1.352298</f>
        <v>0.73948197808471205</v>
      </c>
      <c r="G380" s="30">
        <v>1</v>
      </c>
      <c r="H380" s="30"/>
      <c r="I380" t="s">
        <v>50</v>
      </c>
    </row>
    <row r="381" spans="3:9">
      <c r="C381" s="40">
        <v>372</v>
      </c>
      <c r="D381" s="39">
        <v>43329</v>
      </c>
      <c r="E381" s="20">
        <v>6.8894000000000002</v>
      </c>
      <c r="F381" s="32">
        <f>1/1.37504</f>
        <v>0.72725157086339309</v>
      </c>
      <c r="G381" s="30">
        <v>1</v>
      </c>
      <c r="H381" s="30"/>
      <c r="I381" t="s">
        <v>50</v>
      </c>
    </row>
    <row r="382" spans="3:9">
      <c r="C382" s="40">
        <v>373</v>
      </c>
      <c r="D382" s="39">
        <v>43336</v>
      </c>
      <c r="E382" s="34">
        <v>6.8710000000000004</v>
      </c>
      <c r="F382" s="32">
        <f>1/1.366275</f>
        <v>0.73191707379553905</v>
      </c>
      <c r="G382" s="30">
        <v>1</v>
      </c>
      <c r="H382" s="30"/>
      <c r="I382" t="s">
        <v>50</v>
      </c>
    </row>
    <row r="383" spans="3:9">
      <c r="C383" s="40">
        <v>374</v>
      </c>
      <c r="D383" s="39">
        <v>43343</v>
      </c>
      <c r="E383" s="20">
        <v>6.8246000000000002</v>
      </c>
      <c r="F383" s="32">
        <f>1/1.368403</f>
        <v>0.7307788714289577</v>
      </c>
      <c r="G383" s="30">
        <v>1</v>
      </c>
      <c r="H383" s="30"/>
      <c r="I383" t="s">
        <v>50</v>
      </c>
    </row>
    <row r="384" spans="3:9">
      <c r="C384" s="40">
        <v>375</v>
      </c>
      <c r="D384" s="39">
        <v>43350</v>
      </c>
      <c r="E384" s="20">
        <v>6.8212000000000002</v>
      </c>
      <c r="F384" s="32">
        <f>1/1.391454</f>
        <v>0.7186726977679464</v>
      </c>
      <c r="G384" s="30">
        <v>1</v>
      </c>
      <c r="H384" s="30"/>
      <c r="I384" t="s">
        <v>50</v>
      </c>
    </row>
    <row r="385" spans="3:9">
      <c r="C385" s="40">
        <v>376</v>
      </c>
      <c r="D385" s="39">
        <v>43357</v>
      </c>
      <c r="E385" s="20">
        <v>6.8361999999999998</v>
      </c>
      <c r="F385" s="32">
        <f>1/1.401391</f>
        <v>0.71357672483981982</v>
      </c>
      <c r="G385" s="30">
        <v>1</v>
      </c>
      <c r="H385" s="30"/>
      <c r="I385" t="s">
        <v>50</v>
      </c>
    </row>
    <row r="386" spans="3:9">
      <c r="C386" s="40">
        <v>377</v>
      </c>
      <c r="D386" s="39">
        <v>43364</v>
      </c>
      <c r="E386" s="20">
        <v>6.8357000000000001</v>
      </c>
      <c r="F386" s="32">
        <f>1/1.386169</f>
        <v>0.72141275703034768</v>
      </c>
      <c r="G386" s="30">
        <v>1</v>
      </c>
      <c r="H386" s="30"/>
      <c r="I386" t="s">
        <v>50</v>
      </c>
    </row>
    <row r="387" spans="3:9">
      <c r="C387" s="40">
        <v>378</v>
      </c>
      <c r="D387" s="39">
        <v>43371</v>
      </c>
      <c r="E387" s="20">
        <v>6.8792</v>
      </c>
      <c r="F387" s="32">
        <f>1/1.377728</f>
        <v>0.72583267524504103</v>
      </c>
      <c r="G387" s="30">
        <v>1</v>
      </c>
      <c r="H387" s="30"/>
      <c r="I387" t="s">
        <v>50</v>
      </c>
    </row>
    <row r="388" spans="3:9">
      <c r="C388" s="40">
        <v>379</v>
      </c>
      <c r="D388" s="39">
        <v>43378</v>
      </c>
      <c r="E388" s="20">
        <v>6.8875000000000002</v>
      </c>
      <c r="F388" s="32">
        <f>1/1.395547</f>
        <v>0.71656490250776217</v>
      </c>
      <c r="G388" s="30">
        <v>1</v>
      </c>
      <c r="H388" s="30"/>
      <c r="I388" t="s">
        <v>50</v>
      </c>
    </row>
    <row r="389" spans="3:9">
      <c r="C389" s="40">
        <v>380</v>
      </c>
      <c r="D389" s="39">
        <v>43385</v>
      </c>
      <c r="E389" s="34">
        <v>6.9119999999999999</v>
      </c>
      <c r="F389" s="32">
        <f>1/1.411942</f>
        <v>0.70824438964206748</v>
      </c>
      <c r="G389" s="30">
        <v>1</v>
      </c>
      <c r="H389" s="30"/>
      <c r="I389" t="s">
        <v>50</v>
      </c>
    </row>
    <row r="390" spans="3:9">
      <c r="C390" s="40">
        <v>381</v>
      </c>
      <c r="D390" s="39">
        <v>43392</v>
      </c>
      <c r="E390" s="20">
        <v>6.9386999999999999</v>
      </c>
      <c r="F390" s="32">
        <f>1/1.403612</f>
        <v>0.71244759947905822</v>
      </c>
      <c r="G390" s="30">
        <v>1</v>
      </c>
      <c r="H390" s="30"/>
      <c r="I390" t="s">
        <v>50</v>
      </c>
    </row>
    <row r="391" spans="3:9">
      <c r="C391" s="40">
        <v>382</v>
      </c>
      <c r="D391" s="39">
        <v>43399</v>
      </c>
      <c r="E391" s="20">
        <v>6.9369999999999994</v>
      </c>
      <c r="F391" s="32">
        <f>1/1.404139</f>
        <v>0.712180204381475</v>
      </c>
      <c r="G391" s="30">
        <v>1</v>
      </c>
      <c r="H391" s="30"/>
      <c r="I391" t="s">
        <v>50</v>
      </c>
    </row>
    <row r="392" spans="3:9">
      <c r="C392" s="40">
        <v>383</v>
      </c>
      <c r="D392" s="39">
        <v>43406</v>
      </c>
      <c r="E392" s="20">
        <v>6.9527599999999996</v>
      </c>
      <c r="F392" s="32">
        <f>1/1.404807</f>
        <v>0.71184155545921968</v>
      </c>
      <c r="G392" s="30">
        <v>1</v>
      </c>
      <c r="H392" s="30"/>
      <c r="I392" t="s">
        <v>50</v>
      </c>
    </row>
    <row r="393" spans="3:9">
      <c r="C393" s="40">
        <v>384</v>
      </c>
      <c r="D393" s="39">
        <v>43413</v>
      </c>
      <c r="E393" s="20">
        <v>6.9121600000000001</v>
      </c>
      <c r="F393" s="32">
        <f>1/1.383024</f>
        <v>0.72305325142586097</v>
      </c>
      <c r="G393" s="30">
        <v>1</v>
      </c>
      <c r="H393" s="30"/>
      <c r="I393" t="s">
        <v>50</v>
      </c>
    </row>
    <row r="394" spans="3:9">
      <c r="C394" s="40">
        <v>385</v>
      </c>
      <c r="D394" s="39">
        <v>43420</v>
      </c>
      <c r="E394" s="20">
        <v>6.9455200000000001</v>
      </c>
      <c r="F394" s="32">
        <f>1/1.381911</f>
        <v>0.72363560316112985</v>
      </c>
      <c r="G394" s="30">
        <v>1</v>
      </c>
      <c r="H394" s="30"/>
      <c r="I394" t="s">
        <v>50</v>
      </c>
    </row>
    <row r="395" spans="3:9">
      <c r="C395" s="40">
        <v>386</v>
      </c>
      <c r="D395" s="39">
        <v>43427</v>
      </c>
      <c r="E395" s="20">
        <v>6.9334199999999999</v>
      </c>
      <c r="F395" s="32">
        <f>1/1.373397</f>
        <v>0.72812158465469201</v>
      </c>
      <c r="G395" s="30">
        <v>1</v>
      </c>
      <c r="H395" s="30"/>
      <c r="I395" t="s">
        <v>50</v>
      </c>
    </row>
    <row r="396" spans="3:9">
      <c r="C396" s="40">
        <v>387</v>
      </c>
      <c r="D396" s="39">
        <v>43434</v>
      </c>
      <c r="E396" s="20">
        <v>6.9425199999999991</v>
      </c>
      <c r="F396" s="32">
        <f>1/1.377188</f>
        <v>0.72611727665358683</v>
      </c>
      <c r="G396" s="30">
        <v>1</v>
      </c>
      <c r="H396" s="30"/>
      <c r="I396" t="s">
        <v>50</v>
      </c>
    </row>
    <row r="397" spans="3:9">
      <c r="C397" s="40">
        <v>388</v>
      </c>
      <c r="D397" s="39">
        <v>43441</v>
      </c>
      <c r="E397" s="20">
        <v>6.88218</v>
      </c>
      <c r="F397" s="32">
        <f>1/1.369925</f>
        <v>0.72996696899465296</v>
      </c>
      <c r="G397" s="30">
        <v>1</v>
      </c>
      <c r="H397" s="30"/>
      <c r="I397" t="s">
        <v>50</v>
      </c>
    </row>
    <row r="398" spans="3:9">
      <c r="C398" s="40">
        <v>389</v>
      </c>
      <c r="D398" s="39">
        <v>43448</v>
      </c>
      <c r="E398" s="20">
        <v>6.88544</v>
      </c>
      <c r="F398" s="32">
        <f>1/1.387651</f>
        <v>0.72064229406385327</v>
      </c>
      <c r="G398" s="30">
        <v>1</v>
      </c>
      <c r="H398" s="30"/>
      <c r="I398" t="s">
        <v>50</v>
      </c>
    </row>
    <row r="399" spans="3:9">
      <c r="C399" s="40">
        <v>390</v>
      </c>
      <c r="D399" s="39">
        <v>43455</v>
      </c>
      <c r="E399" s="20">
        <v>6.8871000000000002</v>
      </c>
      <c r="F399" s="32">
        <v>0.7147</v>
      </c>
      <c r="G399" s="30">
        <v>1</v>
      </c>
      <c r="H399" s="30"/>
      <c r="I399" t="s">
        <v>50</v>
      </c>
    </row>
    <row r="400" spans="3:9">
      <c r="C400" s="40">
        <v>391</v>
      </c>
      <c r="D400" s="39">
        <v>43462</v>
      </c>
      <c r="E400" s="20">
        <v>6.8859200000000005</v>
      </c>
      <c r="F400" s="32">
        <f>1/1.418628</f>
        <v>0.70490643072038617</v>
      </c>
      <c r="G400" s="30">
        <v>1</v>
      </c>
      <c r="H400" s="30"/>
      <c r="I400" t="s">
        <v>50</v>
      </c>
    </row>
    <row r="401" spans="3:9">
      <c r="C401" s="40">
        <v>392</v>
      </c>
      <c r="D401" s="39">
        <v>43469</v>
      </c>
      <c r="E401" s="35">
        <v>6.8566333333333338</v>
      </c>
      <c r="F401" s="32">
        <f>1/1.419225</f>
        <v>0.70460991033838893</v>
      </c>
      <c r="G401" s="30">
        <v>1</v>
      </c>
      <c r="H401" s="30"/>
      <c r="I401" t="s">
        <v>50</v>
      </c>
    </row>
    <row r="402" spans="3:9">
      <c r="C402" s="40">
        <v>393</v>
      </c>
      <c r="D402" s="39">
        <v>43476</v>
      </c>
      <c r="E402" s="30">
        <v>6.8302799999999992</v>
      </c>
      <c r="F402" s="32">
        <f>1/1.398029</f>
        <v>0.71529274428498979</v>
      </c>
      <c r="G402" s="30">
        <v>1</v>
      </c>
      <c r="H402" s="30"/>
      <c r="I402" t="s">
        <v>50</v>
      </c>
    </row>
    <row r="403" spans="3:9">
      <c r="C403" s="40">
        <v>394</v>
      </c>
      <c r="D403" s="39">
        <v>43483</v>
      </c>
      <c r="E403" s="30">
        <v>6.7595000000000001</v>
      </c>
      <c r="F403" s="32">
        <f>1/1.389604</f>
        <v>0.7196294771747922</v>
      </c>
      <c r="G403" s="30">
        <v>1</v>
      </c>
      <c r="H403" s="30"/>
      <c r="I403" t="s">
        <v>50</v>
      </c>
    </row>
    <row r="404" spans="3:9">
      <c r="C404" s="40">
        <v>395</v>
      </c>
      <c r="D404" s="39">
        <v>43490</v>
      </c>
      <c r="E404" s="30">
        <v>6.7859999999999996</v>
      </c>
      <c r="F404" s="31">
        <v>0.71299999999999997</v>
      </c>
      <c r="G404" s="30">
        <v>1</v>
      </c>
      <c r="H404" s="30"/>
      <c r="I404" t="s">
        <v>50</v>
      </c>
    </row>
    <row r="405" spans="3:9">
      <c r="C405" s="40">
        <v>396</v>
      </c>
      <c r="D405" s="39">
        <v>43511</v>
      </c>
      <c r="E405" s="30">
        <v>6.7457899999999995</v>
      </c>
      <c r="F405" s="31">
        <v>0.71569285714285724</v>
      </c>
      <c r="G405" s="30">
        <v>1</v>
      </c>
      <c r="H405" s="30"/>
      <c r="I405" t="s">
        <v>50</v>
      </c>
    </row>
    <row r="406" spans="3:9">
      <c r="C406" s="40">
        <v>397</v>
      </c>
      <c r="D406" s="39">
        <v>43518</v>
      </c>
      <c r="E406" s="30">
        <v>6.7446000000000002</v>
      </c>
      <c r="F406" s="32">
        <f>1/1.401136</f>
        <v>0.71370659236505241</v>
      </c>
      <c r="G406" s="30">
        <v>1</v>
      </c>
      <c r="H406" s="30"/>
      <c r="I406" t="s">
        <v>50</v>
      </c>
    </row>
    <row r="407" spans="3:9">
      <c r="C407" s="40">
        <v>398</v>
      </c>
      <c r="D407" s="39">
        <v>43525</v>
      </c>
      <c r="E407" s="30">
        <v>6.6959600000000012</v>
      </c>
      <c r="F407" s="32">
        <f>1/1.400694</f>
        <v>0.71393180808941847</v>
      </c>
      <c r="G407" s="30">
        <v>1</v>
      </c>
      <c r="H407" s="30"/>
      <c r="I407" t="s">
        <v>50</v>
      </c>
    </row>
    <row r="408" spans="3:9">
      <c r="C408" s="40">
        <v>399</v>
      </c>
      <c r="D408" s="39">
        <v>43532</v>
      </c>
      <c r="E408" s="30">
        <v>6.7093000000000007</v>
      </c>
      <c r="F408" s="32">
        <f>1/1.41594</f>
        <v>0.70624461488481149</v>
      </c>
      <c r="G408" s="30">
        <v>1</v>
      </c>
      <c r="H408" s="30"/>
      <c r="I408" t="s">
        <v>50</v>
      </c>
    </row>
    <row r="409" spans="3:9">
      <c r="C409" s="40">
        <v>400</v>
      </c>
      <c r="D409" s="39">
        <v>43539</v>
      </c>
      <c r="E409" s="30">
        <v>6.7124000000000006</v>
      </c>
      <c r="F409" s="32">
        <f>1/1.415731</f>
        <v>0.70634887559854231</v>
      </c>
      <c r="G409" s="30">
        <v>1</v>
      </c>
      <c r="H409" s="30"/>
      <c r="I409" t="s">
        <v>50</v>
      </c>
    </row>
    <row r="410" spans="3:9">
      <c r="C410" s="40">
        <v>401</v>
      </c>
      <c r="D410" s="39">
        <v>43546</v>
      </c>
      <c r="E410" s="30">
        <v>6.7008999999999999</v>
      </c>
      <c r="F410" s="32">
        <f>1/1.408354</f>
        <v>0.71004875194730865</v>
      </c>
      <c r="G410" s="30">
        <v>1</v>
      </c>
      <c r="H410" s="30"/>
      <c r="I410" t="s">
        <v>50</v>
      </c>
    </row>
    <row r="411" spans="3:9">
      <c r="C411" s="40">
        <v>402</v>
      </c>
      <c r="D411" s="39">
        <v>43553</v>
      </c>
      <c r="E411" s="30">
        <v>6.7175800000000008</v>
      </c>
      <c r="F411" s="32">
        <f>1/1.40936</f>
        <v>0.70954191973661807</v>
      </c>
      <c r="G411" s="30">
        <v>1</v>
      </c>
      <c r="H411" s="30"/>
      <c r="I411" t="s">
        <v>50</v>
      </c>
    </row>
    <row r="412" spans="3:9">
      <c r="C412" s="40">
        <v>403</v>
      </c>
      <c r="D412" s="39">
        <v>43560</v>
      </c>
      <c r="E412" s="30">
        <v>6.7150750000000006</v>
      </c>
      <c r="F412" s="32">
        <f>1/1.407415</f>
        <v>0.71052248270765905</v>
      </c>
      <c r="G412" s="30">
        <v>1</v>
      </c>
      <c r="H412" s="30"/>
      <c r="I412" t="s">
        <v>50</v>
      </c>
    </row>
    <row r="413" spans="3:9">
      <c r="C413" s="40">
        <v>404</v>
      </c>
      <c r="D413" s="39">
        <v>43567</v>
      </c>
      <c r="E413" s="30">
        <v>6.7152199999999995</v>
      </c>
      <c r="F413" s="32">
        <f>1/1.40233</f>
        <v>0.71309891395035396</v>
      </c>
      <c r="G413" s="30">
        <v>1</v>
      </c>
      <c r="H413" s="30"/>
      <c r="I413" t="s">
        <v>50</v>
      </c>
    </row>
    <row r="414" spans="3:9">
      <c r="C414" s="40">
        <v>405</v>
      </c>
      <c r="D414" s="39">
        <v>43574</v>
      </c>
      <c r="E414" s="30">
        <v>6.7054599999999995</v>
      </c>
      <c r="F414" s="32">
        <f>1/1.394884</f>
        <v>0.71690549178282925</v>
      </c>
      <c r="G414" s="30">
        <v>1</v>
      </c>
      <c r="H414" s="30"/>
      <c r="I414" t="s">
        <v>50</v>
      </c>
    </row>
    <row r="415" spans="3:9">
      <c r="C415" s="40">
        <v>406</v>
      </c>
      <c r="D415" s="39">
        <v>43581</v>
      </c>
      <c r="E415" s="30">
        <v>6.7221999999999991</v>
      </c>
      <c r="F415" s="32">
        <f>1/1.41047</f>
        <v>0.70898353031259087</v>
      </c>
      <c r="G415" s="30">
        <v>1</v>
      </c>
      <c r="H415" s="30"/>
      <c r="I415" t="s">
        <v>50</v>
      </c>
    </row>
    <row r="416" spans="3:9">
      <c r="C416" s="40">
        <v>407</v>
      </c>
      <c r="D416" s="39">
        <v>43588</v>
      </c>
      <c r="E416" s="30">
        <v>6.7298</v>
      </c>
      <c r="F416" s="32">
        <f>1/1.421324</f>
        <v>0.70356934801635651</v>
      </c>
      <c r="G416" s="30">
        <v>1</v>
      </c>
      <c r="H416" s="30"/>
      <c r="I416" t="s">
        <v>50</v>
      </c>
    </row>
    <row r="417" spans="3:9">
      <c r="C417" s="40">
        <v>408</v>
      </c>
      <c r="D417" s="39">
        <v>43595</v>
      </c>
      <c r="E417" s="30">
        <v>6.7626200000000001</v>
      </c>
      <c r="F417" s="32">
        <f>1/1.427497</f>
        <v>0.70052686625611116</v>
      </c>
      <c r="G417" s="30">
        <v>1</v>
      </c>
      <c r="H417" s="30"/>
      <c r="I417" t="s">
        <v>50</v>
      </c>
    </row>
    <row r="418" spans="3:9">
      <c r="C418" s="40">
        <v>409</v>
      </c>
      <c r="D418" s="39">
        <v>43602</v>
      </c>
      <c r="E418" s="30">
        <v>6.8502999999999998</v>
      </c>
      <c r="F418" s="32">
        <f>1/1.427497</f>
        <v>0.70052686625611116</v>
      </c>
      <c r="G418" s="30">
        <v>1</v>
      </c>
      <c r="H418" s="30"/>
      <c r="I418" t="s">
        <v>50</v>
      </c>
    </row>
    <row r="419" spans="3:9">
      <c r="C419" s="40">
        <v>410</v>
      </c>
      <c r="D419" s="39">
        <v>43609</v>
      </c>
      <c r="E419" s="30">
        <v>6.8991400000000001</v>
      </c>
      <c r="F419" s="32">
        <f>1/1.451726</f>
        <v>0.68883522097145045</v>
      </c>
      <c r="G419" s="30">
        <v>1</v>
      </c>
      <c r="H419" s="30"/>
      <c r="I419" t="s">
        <v>50</v>
      </c>
    </row>
    <row r="420" spans="3:9">
      <c r="C420" s="40">
        <v>411</v>
      </c>
      <c r="D420" s="39">
        <v>43616</v>
      </c>
      <c r="E420" s="30">
        <v>6.8973399999999998</v>
      </c>
      <c r="F420" s="32">
        <f>1/1.444118</f>
        <v>0.69246418921445474</v>
      </c>
      <c r="G420" s="30">
        <v>1</v>
      </c>
      <c r="H420" s="30"/>
      <c r="I420" t="s">
        <v>50</v>
      </c>
    </row>
    <row r="421" spans="3:9">
      <c r="C421" s="40">
        <v>412</v>
      </c>
      <c r="D421" s="39">
        <v>43623</v>
      </c>
      <c r="E421" s="30">
        <v>6.8924666666666674</v>
      </c>
      <c r="F421" s="32">
        <f>1/1.435255</f>
        <v>0.69674030050409164</v>
      </c>
      <c r="G421" s="30">
        <v>1</v>
      </c>
      <c r="H421" s="30"/>
      <c r="I421" t="s">
        <v>50</v>
      </c>
    </row>
    <row r="422" spans="3:9">
      <c r="C422" s="40">
        <v>413</v>
      </c>
      <c r="D422" s="39">
        <v>43630</v>
      </c>
      <c r="E422" s="30">
        <v>6.89316</v>
      </c>
      <c r="F422" s="32">
        <f>1/1.437967</f>
        <v>0.69542625108921141</v>
      </c>
      <c r="G422" s="30">
        <v>1</v>
      </c>
      <c r="H422" s="30"/>
      <c r="I422" t="s">
        <v>50</v>
      </c>
    </row>
    <row r="423" spans="3:9">
      <c r="C423" s="40">
        <v>414</v>
      </c>
      <c r="D423" s="39">
        <v>43637</v>
      </c>
      <c r="E423" s="30">
        <v>6.8810400000000005</v>
      </c>
      <c r="F423" s="32">
        <f>1/1.452577</f>
        <v>0.68843166317517079</v>
      </c>
      <c r="G423" s="30">
        <v>1</v>
      </c>
      <c r="H423" s="30"/>
      <c r="I423" t="s">
        <v>50</v>
      </c>
    </row>
    <row r="424" spans="3:9">
      <c r="C424" s="40">
        <v>415</v>
      </c>
      <c r="D424" s="39">
        <v>43644</v>
      </c>
      <c r="E424" s="30">
        <v>6.8661799999999999</v>
      </c>
      <c r="F424" s="32">
        <f>1/1.435316</f>
        <v>0.69671068949276671</v>
      </c>
      <c r="G424" s="30">
        <v>1</v>
      </c>
      <c r="H424" s="30"/>
      <c r="I424" t="s">
        <v>50</v>
      </c>
    </row>
    <row r="425" spans="3:9">
      <c r="C425" s="40">
        <v>416</v>
      </c>
      <c r="D425" s="39">
        <v>43651</v>
      </c>
      <c r="E425" s="30">
        <v>6.8654200000000003</v>
      </c>
      <c r="F425" s="32">
        <f>1/1.426402</f>
        <v>0.70106463675737973</v>
      </c>
      <c r="G425" s="30">
        <v>1</v>
      </c>
      <c r="H425" s="30"/>
      <c r="I425" t="s">
        <v>50</v>
      </c>
    </row>
    <row r="426" spans="3:9">
      <c r="C426" s="40">
        <v>417</v>
      </c>
      <c r="D426" s="39">
        <v>43658</v>
      </c>
      <c r="E426" s="30">
        <v>6.8785799999999995</v>
      </c>
      <c r="F426" s="32">
        <f>1/1.434203</f>
        <v>0.69725136539248633</v>
      </c>
      <c r="G426" s="30">
        <v>1</v>
      </c>
      <c r="H426" s="30"/>
      <c r="I426" t="s">
        <v>50</v>
      </c>
    </row>
    <row r="427" spans="3:9">
      <c r="C427" s="40">
        <v>418</v>
      </c>
      <c r="D427" s="39">
        <v>43665</v>
      </c>
      <c r="E427" s="30">
        <v>6.8722000000000012</v>
      </c>
      <c r="F427" s="32">
        <f>1/1.422125</f>
        <v>0.70317306847147754</v>
      </c>
      <c r="G427" s="30">
        <v>1</v>
      </c>
      <c r="H427" s="30"/>
      <c r="I427" t="s">
        <v>50</v>
      </c>
    </row>
    <row r="428" spans="3:9">
      <c r="C428" s="40">
        <v>419</v>
      </c>
      <c r="D428" s="39">
        <v>43672</v>
      </c>
      <c r="E428" s="30">
        <v>6.8793999999999995</v>
      </c>
      <c r="F428" s="32">
        <f>1/1.427839</f>
        <v>0.70035907409728959</v>
      </c>
      <c r="G428" s="30">
        <v>1</v>
      </c>
      <c r="H428" s="30"/>
      <c r="I428" t="s">
        <v>50</v>
      </c>
    </row>
    <row r="429" spans="3:9">
      <c r="C429" s="40">
        <v>420</v>
      </c>
      <c r="D429" s="39">
        <v>43679</v>
      </c>
      <c r="E429" s="30">
        <v>6.8891599999999995</v>
      </c>
      <c r="F429" s="32">
        <f>1/1.454219</f>
        <v>0.68765433541990584</v>
      </c>
      <c r="G429" s="30">
        <v>1</v>
      </c>
      <c r="H429" s="30"/>
      <c r="I429" t="s">
        <v>50</v>
      </c>
    </row>
    <row r="430" spans="3:9">
      <c r="C430" s="40">
        <v>421</v>
      </c>
      <c r="D430" s="39">
        <v>43686</v>
      </c>
      <c r="E430" s="30">
        <v>6.9815800000000001</v>
      </c>
      <c r="F430" s="32">
        <f>1/1.474003</f>
        <v>0.67842467077746793</v>
      </c>
      <c r="G430" s="30">
        <v>1</v>
      </c>
      <c r="H430" s="30"/>
      <c r="I430" t="s">
        <v>50</v>
      </c>
    </row>
    <row r="431" spans="3:9">
      <c r="C431" s="40">
        <v>422</v>
      </c>
      <c r="D431" s="39">
        <v>43693</v>
      </c>
      <c r="E431" s="30">
        <v>7.0285799999999998</v>
      </c>
      <c r="F431" s="32">
        <f>1/1.475215</f>
        <v>0.67786729391986933</v>
      </c>
      <c r="G431" s="30">
        <v>1</v>
      </c>
      <c r="H431" s="30"/>
      <c r="I431" t="s">
        <v>50</v>
      </c>
    </row>
    <row r="432" spans="3:9">
      <c r="C432" s="40">
        <v>423</v>
      </c>
      <c r="D432" s="39">
        <v>43700</v>
      </c>
      <c r="E432" s="30">
        <v>7.0462800000000003</v>
      </c>
      <c r="F432" s="32">
        <f>1/1.475922</f>
        <v>0.67754258016345037</v>
      </c>
      <c r="G432" s="30">
        <v>1</v>
      </c>
      <c r="H432" s="30"/>
      <c r="I432" t="s">
        <v>50</v>
      </c>
    </row>
    <row r="433" spans="3:9">
      <c r="C433" s="40">
        <v>424</v>
      </c>
      <c r="D433" s="39">
        <v>43707</v>
      </c>
      <c r="E433" s="30">
        <v>7.0790400000000009</v>
      </c>
      <c r="F433" s="32">
        <f>1/1.481946</f>
        <v>0.67478842009088047</v>
      </c>
      <c r="G433" s="30">
        <v>1</v>
      </c>
      <c r="H433" s="30"/>
      <c r="I433" t="s">
        <v>50</v>
      </c>
    </row>
    <row r="434" spans="3:9">
      <c r="C434" s="40">
        <v>425</v>
      </c>
      <c r="D434" s="39">
        <v>43714</v>
      </c>
      <c r="E434" s="30">
        <v>7.0870399999999991</v>
      </c>
      <c r="F434" s="32">
        <f>1/1.477705</f>
        <v>0.67672505676031414</v>
      </c>
      <c r="G434" s="30">
        <v>1</v>
      </c>
      <c r="H434" s="30"/>
      <c r="I434" t="s">
        <v>50</v>
      </c>
    </row>
    <row r="435" spans="3:9">
      <c r="C435" s="40">
        <v>426</v>
      </c>
      <c r="D435" s="39">
        <v>43721</v>
      </c>
      <c r="E435" s="30">
        <v>7.0846499999999999</v>
      </c>
      <c r="F435" s="32">
        <f>1/1.456956</f>
        <v>0.68636252570427658</v>
      </c>
      <c r="G435" s="30">
        <v>1</v>
      </c>
      <c r="H435" s="30"/>
      <c r="I435" t="s">
        <v>50</v>
      </c>
    </row>
    <row r="436" spans="3:9">
      <c r="C436" s="40">
        <v>427</v>
      </c>
      <c r="D436" s="39">
        <v>43728</v>
      </c>
      <c r="E436" s="30">
        <v>7.0715400000000006</v>
      </c>
      <c r="F436" s="32">
        <f>1/1.460977</f>
        <v>0.68447347220387456</v>
      </c>
      <c r="G436" s="30">
        <v>1</v>
      </c>
      <c r="H436" s="30"/>
      <c r="I436" t="s">
        <v>50</v>
      </c>
    </row>
    <row r="437" spans="3:9">
      <c r="C437" s="40">
        <v>428</v>
      </c>
      <c r="D437" s="39">
        <v>43735</v>
      </c>
      <c r="E437" s="30">
        <v>7.07294</v>
      </c>
      <c r="F437" s="32">
        <f>1/1.477141</f>
        <v>0.67698344301593416</v>
      </c>
      <c r="G437" s="30">
        <v>1</v>
      </c>
      <c r="H437" s="30"/>
      <c r="I437" t="s">
        <v>50</v>
      </c>
    </row>
    <row r="438" spans="3:9">
      <c r="C438" s="40">
        <v>429</v>
      </c>
      <c r="D438" s="39">
        <v>43742</v>
      </c>
      <c r="E438" s="30">
        <v>7.0728999999999997</v>
      </c>
      <c r="F438" s="32">
        <f>1/1.483055</f>
        <v>0.6742838262910007</v>
      </c>
      <c r="G438" s="30">
        <v>1</v>
      </c>
      <c r="H438" s="30"/>
      <c r="I438" t="s">
        <v>50</v>
      </c>
    </row>
    <row r="439" spans="3:9">
      <c r="C439" s="40">
        <v>430</v>
      </c>
      <c r="D439" s="39">
        <v>43749</v>
      </c>
      <c r="E439" s="30">
        <v>7.0727750000000009</v>
      </c>
      <c r="F439" s="32">
        <f>1/1.479683</f>
        <v>0.67582042910542317</v>
      </c>
      <c r="G439" s="30">
        <v>1</v>
      </c>
      <c r="H439" s="30"/>
      <c r="I439" t="s">
        <v>50</v>
      </c>
    </row>
    <row r="440" spans="3:9">
      <c r="C440" s="40">
        <v>431</v>
      </c>
      <c r="D440" s="39">
        <v>43756</v>
      </c>
      <c r="E440" s="30">
        <v>7.0731599999999997</v>
      </c>
      <c r="F440" s="32">
        <f>1/1.47291</f>
        <v>0.67892810830261185</v>
      </c>
      <c r="G440" s="30">
        <v>1</v>
      </c>
      <c r="H440" s="30"/>
      <c r="I440" t="s">
        <v>50</v>
      </c>
    </row>
    <row r="441" spans="3:9">
      <c r="C441" s="40">
        <v>432</v>
      </c>
      <c r="D441" s="39">
        <v>43763</v>
      </c>
      <c r="E441" s="30">
        <v>7.0715199999999996</v>
      </c>
      <c r="F441" s="32">
        <f>1/1.459781</f>
        <v>0.68503426198861339</v>
      </c>
      <c r="G441" s="30">
        <v>1</v>
      </c>
      <c r="H441" s="30"/>
      <c r="I441" t="s">
        <v>50</v>
      </c>
    </row>
    <row r="442" spans="3:9">
      <c r="C442" s="40">
        <v>433</v>
      </c>
      <c r="D442" s="39">
        <v>43770</v>
      </c>
      <c r="E442" s="30">
        <v>7.0586200000000003</v>
      </c>
      <c r="F442" s="32">
        <f>1/1.457769</f>
        <v>0.68597974027435071</v>
      </c>
      <c r="G442" s="30">
        <v>1</v>
      </c>
      <c r="H442" s="30"/>
      <c r="I442" t="s">
        <v>50</v>
      </c>
    </row>
    <row r="443" spans="3:9">
      <c r="C443" s="40">
        <v>434</v>
      </c>
      <c r="D443" s="39">
        <v>43777</v>
      </c>
      <c r="E443" s="30">
        <v>7.016</v>
      </c>
      <c r="F443" s="32">
        <f>1/1.449371</f>
        <v>0.68995446990453102</v>
      </c>
      <c r="G443" s="30">
        <v>1</v>
      </c>
      <c r="H443" s="30"/>
      <c r="I443" t="s">
        <v>50</v>
      </c>
    </row>
    <row r="444" spans="3:9">
      <c r="C444" s="40">
        <v>435</v>
      </c>
      <c r="D444" s="39">
        <v>43784</v>
      </c>
      <c r="E444" s="30">
        <v>7.0024200000000008</v>
      </c>
      <c r="F444" s="32">
        <f>1/1.461753</f>
        <v>0.68411010615336509</v>
      </c>
      <c r="G444" s="30">
        <v>1</v>
      </c>
      <c r="H444" s="30"/>
      <c r="I444" t="s">
        <v>50</v>
      </c>
    </row>
    <row r="445" spans="3:9">
      <c r="C445" s="40">
        <v>436</v>
      </c>
      <c r="D445" s="39">
        <v>43791</v>
      </c>
      <c r="E445" s="30">
        <v>7.0141600000000004</v>
      </c>
      <c r="F445" s="32">
        <f>1/1.468251</f>
        <v>0.6810824579721042</v>
      </c>
      <c r="G445" s="30">
        <v>1</v>
      </c>
      <c r="H445" s="30"/>
      <c r="I445" t="s">
        <v>50</v>
      </c>
    </row>
    <row r="446" spans="3:9">
      <c r="C446" s="40">
        <v>437</v>
      </c>
      <c r="D446" s="39">
        <v>43798</v>
      </c>
      <c r="E446" s="30">
        <v>7.0331799999999998</v>
      </c>
      <c r="F446" s="32">
        <f>1/1.474661</f>
        <v>0.67812195480859672</v>
      </c>
      <c r="G446" s="30">
        <v>1</v>
      </c>
      <c r="H446" s="30"/>
      <c r="I446" t="s">
        <v>50</v>
      </c>
    </row>
    <row r="447" spans="3:9">
      <c r="C447" s="40">
        <v>438</v>
      </c>
      <c r="D447" s="39">
        <v>43805</v>
      </c>
      <c r="E447" s="30">
        <v>7.0331799999999998</v>
      </c>
      <c r="F447" s="32">
        <f>1/1.467917</f>
        <v>0.68123742691173961</v>
      </c>
      <c r="G447" s="30">
        <v>1</v>
      </c>
      <c r="H447" s="30"/>
      <c r="I447" t="s">
        <v>50</v>
      </c>
    </row>
    <row r="448" spans="3:9">
      <c r="C448" s="40">
        <v>439</v>
      </c>
      <c r="D448" s="39">
        <v>43812</v>
      </c>
      <c r="E448" s="30">
        <v>7.0319799999999999</v>
      </c>
      <c r="F448" s="32">
        <f>1/1.459067</f>
        <v>0.68536948611681303</v>
      </c>
      <c r="G448" s="30">
        <v>1</v>
      </c>
      <c r="H448" s="30"/>
      <c r="I448" t="s">
        <v>50</v>
      </c>
    </row>
    <row r="449" spans="3:9">
      <c r="C449" s="40">
        <v>440</v>
      </c>
      <c r="D449" s="39">
        <v>43819</v>
      </c>
      <c r="E449" s="30">
        <v>6.9980000000000002</v>
      </c>
      <c r="F449" s="32">
        <v>0.68720000000000003</v>
      </c>
      <c r="G449" s="30">
        <v>1</v>
      </c>
      <c r="H449" s="30"/>
      <c r="I449" t="s">
        <v>50</v>
      </c>
    </row>
    <row r="450" spans="3:9">
      <c r="C450" s="40">
        <v>441</v>
      </c>
      <c r="D450" s="39">
        <v>43826</v>
      </c>
      <c r="E450" s="30">
        <v>6.9996600000000004</v>
      </c>
      <c r="F450" s="32">
        <f>1/1.444089</f>
        <v>0.69247809518665404</v>
      </c>
      <c r="G450" s="30">
        <v>1</v>
      </c>
      <c r="H450" s="30"/>
      <c r="I450" t="s">
        <v>50</v>
      </c>
    </row>
    <row r="451" spans="3:9">
      <c r="C451" s="40">
        <v>442</v>
      </c>
      <c r="D451" s="39">
        <v>43833</v>
      </c>
      <c r="E451" s="30">
        <v>6.9695200000000002</v>
      </c>
      <c r="F451" s="32">
        <f>1/1.42969</f>
        <v>0.69945232882652886</v>
      </c>
      <c r="G451" s="30">
        <v>1</v>
      </c>
      <c r="H451" s="30"/>
      <c r="I451" t="s">
        <v>50</v>
      </c>
    </row>
    <row r="452" spans="3:9">
      <c r="C452" s="40">
        <v>443</v>
      </c>
      <c r="D452" s="39">
        <v>43840</v>
      </c>
      <c r="E452" s="30">
        <v>6.9541200000000005</v>
      </c>
      <c r="F452" s="32">
        <f>1/1.447443</f>
        <v>0.69087349208224436</v>
      </c>
      <c r="G452" s="30">
        <v>1</v>
      </c>
      <c r="H452" s="30"/>
      <c r="I452" t="s">
        <v>50</v>
      </c>
    </row>
    <row r="453" spans="3:9">
      <c r="C453" s="40">
        <v>444</v>
      </c>
      <c r="D453" s="39">
        <v>43847</v>
      </c>
      <c r="E453" s="30">
        <v>6.8949400000000001</v>
      </c>
      <c r="F453" s="32">
        <f>1/1.448924</f>
        <v>0.69016732416607074</v>
      </c>
      <c r="G453" s="30">
        <v>1</v>
      </c>
      <c r="H453" s="30"/>
      <c r="I453" t="s">
        <v>50</v>
      </c>
    </row>
    <row r="454" spans="3:9">
      <c r="C454" s="40">
        <v>445</v>
      </c>
      <c r="D454" s="39">
        <v>43854</v>
      </c>
      <c r="E454" s="30">
        <v>6.875</v>
      </c>
      <c r="F454" s="31">
        <v>0.68589100259157065</v>
      </c>
      <c r="G454" s="30">
        <v>1</v>
      </c>
      <c r="H454" s="30"/>
      <c r="I454" t="s">
        <v>50</v>
      </c>
    </row>
    <row r="455" spans="3:9">
      <c r="C455" s="40">
        <v>446</v>
      </c>
      <c r="D455" s="39">
        <v>43861</v>
      </c>
      <c r="E455" s="30">
        <v>6.9366561999999998</v>
      </c>
      <c r="F455" s="31">
        <v>0.67385916990253847</v>
      </c>
      <c r="G455" s="30">
        <v>1</v>
      </c>
      <c r="H455" s="30"/>
      <c r="I455" t="s">
        <v>50</v>
      </c>
    </row>
    <row r="456" spans="3:9">
      <c r="C456" s="40">
        <v>447</v>
      </c>
      <c r="D456" s="39">
        <v>43868</v>
      </c>
      <c r="E456" s="30">
        <v>6.9249999999999998</v>
      </c>
      <c r="F456" s="31">
        <v>0.67240460898394405</v>
      </c>
      <c r="G456" s="30">
        <v>1</v>
      </c>
      <c r="H456" s="30"/>
      <c r="I456" t="s">
        <v>50</v>
      </c>
    </row>
    <row r="457" spans="3:9">
      <c r="C457" s="40">
        <v>448</v>
      </c>
      <c r="D457" s="39">
        <v>43875</v>
      </c>
      <c r="E457" s="31">
        <v>6.9820000000000002</v>
      </c>
      <c r="F457" s="31">
        <v>0.67</v>
      </c>
      <c r="G457" s="30">
        <v>1</v>
      </c>
      <c r="H457" s="30"/>
      <c r="I457" t="s">
        <v>50</v>
      </c>
    </row>
    <row r="458" spans="3:9">
      <c r="C458" s="40">
        <v>449</v>
      </c>
      <c r="D458" s="39">
        <v>43882</v>
      </c>
      <c r="E458" s="30">
        <v>6.9973799999999997</v>
      </c>
      <c r="F458" s="31">
        <v>0.66817496027699852</v>
      </c>
      <c r="G458" s="30">
        <v>1</v>
      </c>
      <c r="H458" s="30"/>
      <c r="I458" t="s">
        <v>50</v>
      </c>
    </row>
    <row r="459" spans="3:9">
      <c r="C459" s="40">
        <v>450</v>
      </c>
      <c r="D459" s="39">
        <v>43889</v>
      </c>
      <c r="E459" s="30">
        <v>7.0177000000000005</v>
      </c>
      <c r="F459" s="31">
        <v>0.65897858319604607</v>
      </c>
      <c r="G459" s="30">
        <v>1</v>
      </c>
      <c r="H459" s="30"/>
      <c r="I459" t="s">
        <v>50</v>
      </c>
    </row>
    <row r="460" spans="3:9">
      <c r="C460" s="40">
        <v>451</v>
      </c>
      <c r="D460" s="39">
        <v>43896</v>
      </c>
      <c r="E460" s="30">
        <v>6.9516200000000001</v>
      </c>
      <c r="F460" s="31">
        <v>0.65699266861881089</v>
      </c>
      <c r="G460" s="30">
        <v>1</v>
      </c>
      <c r="H460" s="30"/>
      <c r="I460" t="s">
        <v>50</v>
      </c>
    </row>
    <row r="461" spans="3:9">
      <c r="C461" s="40">
        <v>452</v>
      </c>
      <c r="D461" s="39">
        <v>43903</v>
      </c>
      <c r="E461" s="30">
        <v>6.9587000000000003</v>
      </c>
      <c r="F461" s="31">
        <v>0.65066253712843103</v>
      </c>
      <c r="G461" s="30">
        <v>1</v>
      </c>
      <c r="H461" s="30"/>
      <c r="I461" t="s">
        <v>50</v>
      </c>
    </row>
    <row r="462" spans="3:9">
      <c r="C462" s="40">
        <v>453</v>
      </c>
      <c r="D462" s="39">
        <v>43910</v>
      </c>
      <c r="E462" s="30">
        <v>7.0402800000000001</v>
      </c>
      <c r="F462" s="31">
        <v>0.60041416569149397</v>
      </c>
      <c r="G462" s="30">
        <v>1</v>
      </c>
      <c r="H462" s="30"/>
      <c r="I462" t="s">
        <v>50</v>
      </c>
    </row>
    <row r="463" spans="3:9">
      <c r="C463" s="40">
        <v>454</v>
      </c>
      <c r="D463" s="39">
        <v>43917</v>
      </c>
      <c r="E463" s="30">
        <v>7.0759999999999987</v>
      </c>
      <c r="F463" s="31">
        <v>0.59156405988048044</v>
      </c>
      <c r="G463" s="30">
        <v>1</v>
      </c>
      <c r="H463" s="30">
        <v>1.35</v>
      </c>
      <c r="I463" t="s">
        <v>50</v>
      </c>
    </row>
    <row r="464" spans="3:9">
      <c r="C464" s="40">
        <v>455</v>
      </c>
      <c r="D464" s="39">
        <v>43924</v>
      </c>
      <c r="E464" s="30">
        <v>7.0834199999999994</v>
      </c>
      <c r="F464" s="31">
        <v>0.61160022139928016</v>
      </c>
      <c r="G464" s="30">
        <v>1</v>
      </c>
      <c r="H464" s="30">
        <v>1.35</v>
      </c>
      <c r="I464" t="s">
        <v>50</v>
      </c>
    </row>
    <row r="465" spans="3:9">
      <c r="C465" s="40">
        <v>456</v>
      </c>
      <c r="D465" s="39"/>
      <c r="E465" s="30"/>
      <c r="F465" s="31"/>
      <c r="G465" s="30"/>
      <c r="H465" s="30"/>
      <c r="I465" t="s">
        <v>50</v>
      </c>
    </row>
    <row r="466" spans="3:9">
      <c r="C466" s="40">
        <v>457</v>
      </c>
      <c r="D466" s="39"/>
      <c r="E466" s="30"/>
      <c r="F466" s="31"/>
      <c r="G466" s="30"/>
      <c r="H466" s="30"/>
      <c r="I466" t="s">
        <v>50</v>
      </c>
    </row>
    <row r="467" spans="3:9">
      <c r="C467" s="40">
        <v>458</v>
      </c>
      <c r="D467" s="39"/>
      <c r="E467" s="30"/>
      <c r="F467" s="31"/>
      <c r="G467" s="30"/>
      <c r="H467" s="30"/>
      <c r="I467" t="s">
        <v>50</v>
      </c>
    </row>
    <row r="468" spans="3:9">
      <c r="C468" s="40">
        <v>459</v>
      </c>
      <c r="D468" s="39"/>
      <c r="E468" s="30"/>
      <c r="F468" s="31"/>
      <c r="G468" s="30"/>
      <c r="H468" s="30"/>
      <c r="I468" t="s">
        <v>50</v>
      </c>
    </row>
    <row r="469" spans="3:9">
      <c r="C469" s="40">
        <v>460</v>
      </c>
      <c r="D469" s="39"/>
      <c r="E469" s="30"/>
      <c r="F469" s="31"/>
      <c r="G469" s="30"/>
      <c r="H469" s="30"/>
      <c r="I469" t="s">
        <v>50</v>
      </c>
    </row>
    <row r="470" spans="3:9">
      <c r="C470" s="40">
        <v>461</v>
      </c>
      <c r="D470" s="39"/>
      <c r="E470" s="30"/>
      <c r="F470" s="31"/>
      <c r="G470" s="30"/>
      <c r="H470" s="30"/>
      <c r="I470" t="s">
        <v>50</v>
      </c>
    </row>
    <row r="471" spans="3:9">
      <c r="C471" s="40">
        <v>462</v>
      </c>
      <c r="D471" s="39"/>
      <c r="E471" s="30"/>
      <c r="F471" s="31"/>
      <c r="G471" s="30"/>
      <c r="H471" s="30"/>
      <c r="I471" t="s">
        <v>50</v>
      </c>
    </row>
    <row r="472" spans="3:9">
      <c r="C472" s="40">
        <v>463</v>
      </c>
      <c r="D472" s="39"/>
      <c r="E472" s="30"/>
      <c r="F472" s="31"/>
      <c r="G472" s="30"/>
      <c r="H472" s="30"/>
      <c r="I472" t="s">
        <v>50</v>
      </c>
    </row>
    <row r="473" spans="3:9">
      <c r="C473" s="40">
        <v>464</v>
      </c>
      <c r="D473" s="39"/>
      <c r="E473" s="30"/>
      <c r="F473" s="31"/>
      <c r="G473" s="30"/>
      <c r="H473" s="30"/>
      <c r="I473" t="s">
        <v>50</v>
      </c>
    </row>
    <row r="474" spans="3:9">
      <c r="C474" s="40">
        <v>465</v>
      </c>
      <c r="D474" s="39"/>
      <c r="E474" s="30"/>
      <c r="F474" s="31"/>
      <c r="G474" s="30"/>
      <c r="H474" s="30"/>
      <c r="I474" t="s">
        <v>50</v>
      </c>
    </row>
    <row r="475" spans="3:9">
      <c r="C475" s="40">
        <v>466</v>
      </c>
      <c r="D475" s="39"/>
      <c r="E475" s="30"/>
      <c r="F475" s="31"/>
      <c r="G475" s="30"/>
      <c r="H475" s="30"/>
      <c r="I475" t="s">
        <v>50</v>
      </c>
    </row>
    <row r="476" spans="3:9">
      <c r="C476" s="40">
        <v>467</v>
      </c>
      <c r="D476" s="39"/>
      <c r="E476" s="30"/>
      <c r="F476" s="31"/>
      <c r="G476" s="30"/>
      <c r="H476" s="30"/>
      <c r="I476" t="s">
        <v>50</v>
      </c>
    </row>
    <row r="477" spans="3:9">
      <c r="C477" s="40">
        <v>468</v>
      </c>
      <c r="D477" s="39"/>
      <c r="E477" s="30"/>
      <c r="F477" s="31"/>
      <c r="G477" s="30"/>
      <c r="H477" s="30"/>
      <c r="I477" t="s">
        <v>50</v>
      </c>
    </row>
    <row r="478" spans="3:9">
      <c r="C478" s="40">
        <v>469</v>
      </c>
      <c r="D478" s="39"/>
      <c r="E478" s="30"/>
      <c r="F478" s="31"/>
      <c r="G478" s="30"/>
      <c r="H478" s="30"/>
      <c r="I478" t="s">
        <v>50</v>
      </c>
    </row>
    <row r="479" spans="3:9">
      <c r="C479" s="40">
        <v>470</v>
      </c>
      <c r="D479" s="39"/>
      <c r="E479" s="30"/>
      <c r="F479" s="31"/>
      <c r="G479" s="30"/>
      <c r="H479" s="30"/>
      <c r="I479" t="s">
        <v>50</v>
      </c>
    </row>
    <row r="480" spans="3:9">
      <c r="C480" s="40">
        <v>471</v>
      </c>
      <c r="D480" s="39"/>
      <c r="E480" s="30"/>
      <c r="F480" s="31"/>
      <c r="G480" s="30"/>
      <c r="H480" s="30"/>
      <c r="I480" t="s">
        <v>50</v>
      </c>
    </row>
    <row r="481" spans="3:9">
      <c r="C481" s="40">
        <v>472</v>
      </c>
      <c r="D481" s="39"/>
      <c r="E481" s="30"/>
      <c r="F481" s="31"/>
      <c r="G481" s="30"/>
      <c r="H481" s="30"/>
      <c r="I481" t="s">
        <v>50</v>
      </c>
    </row>
    <row r="482" spans="3:9">
      <c r="C482" s="40">
        <v>473</v>
      </c>
      <c r="D482" s="39"/>
      <c r="E482" s="30"/>
      <c r="F482" s="31"/>
      <c r="G482" s="30"/>
      <c r="H482" s="30"/>
      <c r="I482" t="s">
        <v>50</v>
      </c>
    </row>
    <row r="483" spans="3:9">
      <c r="C483" s="40">
        <v>474</v>
      </c>
      <c r="D483" s="39"/>
      <c r="E483" s="30"/>
      <c r="F483" s="31"/>
      <c r="G483" s="30"/>
      <c r="H483" s="30"/>
      <c r="I483" t="s">
        <v>50</v>
      </c>
    </row>
    <row r="484" spans="3:9">
      <c r="C484" s="40">
        <v>475</v>
      </c>
      <c r="D484" s="39"/>
      <c r="E484" s="30"/>
      <c r="F484" s="31"/>
      <c r="G484" s="30"/>
      <c r="H484" s="30"/>
      <c r="I484" t="s">
        <v>50</v>
      </c>
    </row>
    <row r="485" spans="3:9">
      <c r="C485" s="40">
        <v>476</v>
      </c>
      <c r="D485" s="39"/>
      <c r="E485" s="30"/>
      <c r="F485" s="31"/>
      <c r="G485" s="30"/>
      <c r="H485" s="30"/>
      <c r="I485" t="s">
        <v>50</v>
      </c>
    </row>
    <row r="486" spans="3:9">
      <c r="C486" s="40">
        <v>477</v>
      </c>
      <c r="D486" s="39"/>
      <c r="E486" s="30"/>
      <c r="F486" s="31"/>
      <c r="G486" s="30"/>
      <c r="H486" s="30"/>
      <c r="I486" t="s">
        <v>50</v>
      </c>
    </row>
    <row r="487" spans="3:9">
      <c r="C487" s="40">
        <v>478</v>
      </c>
      <c r="D487" s="39"/>
      <c r="E487" s="30"/>
      <c r="F487" s="31"/>
      <c r="G487" s="30"/>
      <c r="H487" s="30"/>
      <c r="I487" t="s">
        <v>50</v>
      </c>
    </row>
    <row r="488" spans="3:9">
      <c r="C488" s="40">
        <v>479</v>
      </c>
      <c r="D488" s="39"/>
      <c r="E488" s="30"/>
      <c r="F488" s="31"/>
      <c r="G488" s="30"/>
      <c r="H488" s="30"/>
      <c r="I488" t="s">
        <v>50</v>
      </c>
    </row>
    <row r="489" spans="3:9">
      <c r="C489" s="40">
        <v>480</v>
      </c>
      <c r="D489" s="39"/>
      <c r="E489" s="30"/>
      <c r="F489" s="31"/>
      <c r="G489" s="30"/>
      <c r="H489" s="30"/>
      <c r="I489" t="s">
        <v>50</v>
      </c>
    </row>
    <row r="490" spans="3:9">
      <c r="C490" s="40">
        <v>481</v>
      </c>
      <c r="D490" s="39"/>
      <c r="E490" s="30"/>
      <c r="F490" s="31"/>
      <c r="G490" s="30"/>
      <c r="H490" s="30"/>
      <c r="I490" t="s">
        <v>50</v>
      </c>
    </row>
    <row r="491" spans="3:9">
      <c r="C491" s="40">
        <v>482</v>
      </c>
      <c r="D491" s="39"/>
      <c r="E491" s="30"/>
      <c r="F491" s="31"/>
      <c r="G491" s="30"/>
      <c r="H491" s="30"/>
      <c r="I491" t="s">
        <v>50</v>
      </c>
    </row>
    <row r="492" spans="3:9">
      <c r="C492" s="40">
        <v>483</v>
      </c>
      <c r="D492" s="39"/>
      <c r="E492" s="30"/>
      <c r="F492" s="31"/>
      <c r="G492" s="30"/>
      <c r="H492" s="30"/>
      <c r="I492" t="s">
        <v>50</v>
      </c>
    </row>
    <row r="493" spans="3:9">
      <c r="C493" s="40">
        <v>484</v>
      </c>
      <c r="D493" s="39"/>
      <c r="E493" s="30"/>
      <c r="F493" s="31"/>
      <c r="G493" s="30"/>
      <c r="H493" s="30"/>
      <c r="I493" t="s">
        <v>50</v>
      </c>
    </row>
    <row r="494" spans="3:9">
      <c r="C494" s="40">
        <v>485</v>
      </c>
      <c r="D494" s="39"/>
      <c r="E494" s="30"/>
      <c r="F494" s="31"/>
      <c r="G494" s="30"/>
      <c r="H494" s="30"/>
      <c r="I494" t="s">
        <v>50</v>
      </c>
    </row>
    <row r="495" spans="3:9">
      <c r="C495" s="40">
        <v>486</v>
      </c>
      <c r="D495" s="39"/>
      <c r="E495" s="30"/>
      <c r="F495" s="31"/>
      <c r="G495" s="30"/>
      <c r="H495" s="30"/>
      <c r="I495" t="s">
        <v>50</v>
      </c>
    </row>
    <row r="496" spans="3:9">
      <c r="C496" s="40">
        <v>487</v>
      </c>
      <c r="D496" s="39"/>
      <c r="E496" s="30"/>
      <c r="F496" s="31"/>
      <c r="G496" s="30"/>
      <c r="H496" s="30"/>
      <c r="I496" t="s">
        <v>50</v>
      </c>
    </row>
    <row r="497" spans="3:9">
      <c r="C497" s="40">
        <v>488</v>
      </c>
      <c r="D497" s="39"/>
      <c r="E497" s="30"/>
      <c r="F497" s="31"/>
      <c r="G497" s="30"/>
      <c r="H497" s="30"/>
      <c r="I497" t="s">
        <v>50</v>
      </c>
    </row>
    <row r="498" spans="3:9">
      <c r="C498" s="40">
        <v>489</v>
      </c>
      <c r="D498" s="39"/>
      <c r="E498" s="30"/>
      <c r="F498" s="31"/>
      <c r="G498" s="30"/>
      <c r="H498" s="30"/>
      <c r="I498" t="s">
        <v>50</v>
      </c>
    </row>
    <row r="499" spans="3:9">
      <c r="C499" s="40">
        <v>490</v>
      </c>
      <c r="D499" s="39"/>
      <c r="E499" s="30"/>
      <c r="F499" s="31"/>
      <c r="G499" s="30"/>
      <c r="H499" s="30"/>
      <c r="I499" t="s">
        <v>50</v>
      </c>
    </row>
    <row r="500" spans="3:9">
      <c r="C500" s="40">
        <v>491</v>
      </c>
      <c r="D500" s="39"/>
      <c r="E500" s="30"/>
      <c r="F500" s="31"/>
      <c r="G500" s="30"/>
      <c r="H500" s="30"/>
      <c r="I500" t="s">
        <v>50</v>
      </c>
    </row>
    <row r="501" spans="3:9">
      <c r="C501" s="40">
        <v>492</v>
      </c>
      <c r="D501" s="39"/>
      <c r="E501" s="30"/>
      <c r="F501" s="31"/>
      <c r="G501" s="30"/>
      <c r="H501" s="30"/>
      <c r="I501" t="s">
        <v>50</v>
      </c>
    </row>
    <row r="502" spans="3:9">
      <c r="C502" s="40">
        <v>493</v>
      </c>
      <c r="D502" s="39"/>
      <c r="E502" s="30"/>
      <c r="F502" s="31"/>
      <c r="G502" s="30"/>
      <c r="H502" s="30"/>
      <c r="I502" t="s">
        <v>50</v>
      </c>
    </row>
    <row r="503" spans="3:9">
      <c r="C503" s="40">
        <v>494</v>
      </c>
      <c r="D503" s="39"/>
      <c r="E503" s="30"/>
      <c r="F503" s="31"/>
      <c r="G503" s="30"/>
      <c r="H503" s="30"/>
      <c r="I503" t="s">
        <v>50</v>
      </c>
    </row>
    <row r="504" spans="3:9">
      <c r="C504" s="40">
        <v>495</v>
      </c>
      <c r="D504" s="39"/>
      <c r="E504" s="30"/>
      <c r="F504" s="31"/>
      <c r="G504" s="30"/>
      <c r="H504" s="30"/>
      <c r="I504" t="s">
        <v>50</v>
      </c>
    </row>
    <row r="505" spans="3:9">
      <c r="C505" s="40">
        <v>496</v>
      </c>
      <c r="D505" s="39"/>
      <c r="E505" s="30"/>
      <c r="F505" s="31"/>
      <c r="G505" s="30"/>
      <c r="H505" s="30"/>
      <c r="I505" t="s">
        <v>50</v>
      </c>
    </row>
    <row r="506" spans="3:9">
      <c r="C506" s="40">
        <v>497</v>
      </c>
      <c r="D506" s="39"/>
      <c r="E506" s="30"/>
      <c r="F506" s="31"/>
      <c r="G506" s="30"/>
      <c r="H506" s="30"/>
      <c r="I506" t="s">
        <v>50</v>
      </c>
    </row>
    <row r="507" spans="3:9">
      <c r="C507" s="40">
        <v>498</v>
      </c>
      <c r="D507" s="39"/>
      <c r="E507" s="30"/>
      <c r="F507" s="31"/>
      <c r="G507" s="30"/>
      <c r="H507" s="30"/>
      <c r="I507" t="s">
        <v>50</v>
      </c>
    </row>
    <row r="508" spans="3:9">
      <c r="C508" s="40">
        <v>499</v>
      </c>
      <c r="D508" s="39"/>
      <c r="E508" s="30"/>
      <c r="F508" s="31"/>
      <c r="G508" s="30"/>
      <c r="H508" s="30"/>
      <c r="I508" t="s">
        <v>50</v>
      </c>
    </row>
    <row r="509" spans="3:9">
      <c r="C509" s="40">
        <v>500</v>
      </c>
      <c r="D509" s="39"/>
      <c r="E509" s="30"/>
      <c r="F509" s="31"/>
      <c r="G509" s="30"/>
      <c r="H509" s="30"/>
      <c r="I509" t="s">
        <v>50</v>
      </c>
    </row>
    <row r="510" spans="3:9">
      <c r="C510" s="40">
        <v>501</v>
      </c>
      <c r="D510" s="39"/>
      <c r="E510" s="30"/>
      <c r="F510" s="31"/>
      <c r="G510" s="30"/>
      <c r="H510" s="30"/>
      <c r="I510" t="s">
        <v>50</v>
      </c>
    </row>
    <row r="511" spans="3:9">
      <c r="C511" s="40">
        <v>502</v>
      </c>
      <c r="D511" s="39"/>
      <c r="E511" s="30"/>
      <c r="F511" s="31"/>
      <c r="G511" s="30"/>
      <c r="H511" s="30"/>
      <c r="I511" t="s">
        <v>50</v>
      </c>
    </row>
    <row r="512" spans="3:9">
      <c r="C512" s="40">
        <v>503</v>
      </c>
      <c r="D512" s="39"/>
      <c r="E512" s="30"/>
      <c r="F512" s="31"/>
      <c r="G512" s="30"/>
      <c r="H512" s="30"/>
      <c r="I512" t="s">
        <v>50</v>
      </c>
    </row>
    <row r="513" spans="3:9">
      <c r="C513" s="40">
        <v>504</v>
      </c>
      <c r="D513" s="39"/>
      <c r="E513" s="30"/>
      <c r="F513" s="31"/>
      <c r="G513" s="30"/>
      <c r="H513" s="30"/>
      <c r="I513" t="s">
        <v>50</v>
      </c>
    </row>
    <row r="514" spans="3:9">
      <c r="C514" s="40">
        <v>505</v>
      </c>
      <c r="D514" s="39"/>
      <c r="E514" s="30"/>
      <c r="F514" s="31"/>
      <c r="G514" s="30"/>
      <c r="H514" s="30"/>
      <c r="I514" t="s">
        <v>50</v>
      </c>
    </row>
    <row r="515" spans="3:9">
      <c r="C515" s="40">
        <v>506</v>
      </c>
      <c r="D515" s="39"/>
      <c r="E515" s="30"/>
      <c r="F515" s="31"/>
      <c r="G515" s="30"/>
      <c r="H515" s="30"/>
      <c r="I515" t="s">
        <v>50</v>
      </c>
    </row>
    <row r="516" spans="3:9">
      <c r="C516" s="40">
        <v>507</v>
      </c>
      <c r="D516" s="39"/>
      <c r="E516" s="30"/>
      <c r="F516" s="31"/>
      <c r="G516" s="30"/>
      <c r="H516" s="30"/>
      <c r="I516" t="s">
        <v>50</v>
      </c>
    </row>
    <row r="517" spans="3:9">
      <c r="C517" s="40">
        <v>508</v>
      </c>
      <c r="D517" s="39"/>
      <c r="E517" s="30"/>
      <c r="F517" s="31"/>
      <c r="G517" s="30"/>
      <c r="H517" s="30"/>
      <c r="I517" t="s">
        <v>50</v>
      </c>
    </row>
    <row r="518" spans="3:9">
      <c r="C518" s="40">
        <v>509</v>
      </c>
      <c r="D518" s="39"/>
      <c r="E518" s="30"/>
      <c r="F518" s="31"/>
      <c r="G518" s="30"/>
      <c r="H518" s="30"/>
      <c r="I518" t="s">
        <v>50</v>
      </c>
    </row>
    <row r="519" spans="3:9">
      <c r="C519" s="40">
        <v>510</v>
      </c>
      <c r="D519" s="39"/>
      <c r="E519" s="30"/>
      <c r="F519" s="31"/>
      <c r="G519" s="30"/>
      <c r="H519" s="30"/>
      <c r="I519" t="s">
        <v>50</v>
      </c>
    </row>
    <row r="520" spans="3:9">
      <c r="C520" s="40">
        <v>511</v>
      </c>
      <c r="D520" s="39"/>
      <c r="E520" s="30"/>
      <c r="F520" s="31"/>
      <c r="G520" s="30"/>
      <c r="H520" s="30"/>
      <c r="I520" t="s">
        <v>50</v>
      </c>
    </row>
    <row r="521" spans="3:9">
      <c r="C521" s="40">
        <v>512</v>
      </c>
      <c r="D521" s="39"/>
      <c r="E521" s="30"/>
      <c r="F521" s="31"/>
      <c r="G521" s="30"/>
      <c r="H521" s="30"/>
      <c r="I521" t="s">
        <v>50</v>
      </c>
    </row>
    <row r="522" spans="3:9">
      <c r="C522" s="40">
        <v>513</v>
      </c>
      <c r="D522" s="39"/>
      <c r="E522" s="30"/>
      <c r="F522" s="31"/>
      <c r="G522" s="30"/>
      <c r="H522" s="30"/>
      <c r="I522" t="s">
        <v>50</v>
      </c>
    </row>
    <row r="523" spans="3:9">
      <c r="C523" s="40">
        <v>514</v>
      </c>
      <c r="D523" s="39"/>
      <c r="E523" s="30"/>
      <c r="F523" s="31"/>
      <c r="G523" s="30"/>
      <c r="H523" s="30"/>
      <c r="I523" t="s">
        <v>50</v>
      </c>
    </row>
    <row r="524" spans="3:9">
      <c r="C524" s="40">
        <v>515</v>
      </c>
      <c r="D524" s="39"/>
      <c r="E524" s="30"/>
      <c r="F524" s="31"/>
      <c r="G524" s="30"/>
      <c r="H524" s="30"/>
      <c r="I524" t="s">
        <v>50</v>
      </c>
    </row>
    <row r="525" spans="3:9">
      <c r="C525" s="40">
        <v>516</v>
      </c>
      <c r="D525" s="39"/>
      <c r="E525" s="30"/>
      <c r="F525" s="31"/>
      <c r="G525" s="30"/>
      <c r="H525" s="30"/>
      <c r="I525" t="s">
        <v>50</v>
      </c>
    </row>
    <row r="526" spans="3:9">
      <c r="C526" s="40">
        <v>517</v>
      </c>
      <c r="D526" s="39"/>
      <c r="E526" s="30"/>
      <c r="F526" s="31"/>
      <c r="G526" s="30"/>
      <c r="H526" s="30"/>
      <c r="I526" t="s">
        <v>50</v>
      </c>
    </row>
    <row r="527" spans="3:9">
      <c r="C527" s="40">
        <v>518</v>
      </c>
      <c r="D527" s="39"/>
      <c r="E527" s="30"/>
      <c r="F527" s="31"/>
      <c r="G527" s="30"/>
      <c r="H527" s="30"/>
      <c r="I527" t="s">
        <v>50</v>
      </c>
    </row>
    <row r="528" spans="3:9">
      <c r="C528" s="40">
        <v>519</v>
      </c>
      <c r="D528" s="39"/>
      <c r="E528" s="30"/>
      <c r="F528" s="31"/>
      <c r="G528" s="30"/>
      <c r="H528" s="30"/>
      <c r="I528" t="s">
        <v>50</v>
      </c>
    </row>
    <row r="529" spans="3:9">
      <c r="C529" s="40">
        <v>520</v>
      </c>
      <c r="D529" s="39"/>
      <c r="E529" s="30"/>
      <c r="F529" s="31"/>
      <c r="G529" s="30"/>
      <c r="H529" s="30"/>
      <c r="I529" t="s">
        <v>50</v>
      </c>
    </row>
    <row r="530" spans="3:9">
      <c r="C530" s="40">
        <v>521</v>
      </c>
      <c r="D530" s="39"/>
      <c r="E530" s="30"/>
      <c r="F530" s="31"/>
      <c r="G530" s="30"/>
      <c r="H530" s="30"/>
      <c r="I530" t="s">
        <v>50</v>
      </c>
    </row>
    <row r="531" spans="3:9">
      <c r="C531" s="40">
        <v>522</v>
      </c>
      <c r="D531" s="39"/>
      <c r="E531" s="30"/>
      <c r="F531" s="31"/>
      <c r="G531" s="30"/>
      <c r="H531" s="30"/>
      <c r="I531" t="s">
        <v>50</v>
      </c>
    </row>
    <row r="532" spans="3:9">
      <c r="C532" s="40">
        <v>523</v>
      </c>
      <c r="D532" s="39"/>
      <c r="E532" s="30"/>
      <c r="F532" s="31"/>
      <c r="G532" s="30"/>
      <c r="H532" s="30"/>
      <c r="I532" t="s">
        <v>50</v>
      </c>
    </row>
    <row r="533" spans="3:9">
      <c r="C533" s="40">
        <v>524</v>
      </c>
      <c r="D533" s="39"/>
      <c r="E533" s="30"/>
      <c r="F533" s="31"/>
      <c r="G533" s="30"/>
      <c r="H533" s="30"/>
      <c r="I533" t="s">
        <v>50</v>
      </c>
    </row>
    <row r="534" spans="3:9">
      <c r="C534" s="40">
        <v>525</v>
      </c>
      <c r="D534" s="39"/>
      <c r="E534" s="30"/>
      <c r="F534" s="31"/>
      <c r="G534" s="30"/>
      <c r="H534" s="30"/>
      <c r="I534" t="s">
        <v>50</v>
      </c>
    </row>
    <row r="535" spans="3:9">
      <c r="C535" s="40">
        <v>526</v>
      </c>
      <c r="D535" s="39"/>
      <c r="E535" s="30"/>
      <c r="F535" s="31"/>
      <c r="G535" s="30"/>
      <c r="H535" s="30"/>
      <c r="I535" t="s">
        <v>50</v>
      </c>
    </row>
    <row r="536" spans="3:9">
      <c r="C536" s="40">
        <v>527</v>
      </c>
      <c r="D536" s="39"/>
      <c r="E536" s="30"/>
      <c r="F536" s="31"/>
      <c r="G536" s="30"/>
      <c r="H536" s="30"/>
      <c r="I536" t="s">
        <v>50</v>
      </c>
    </row>
    <row r="537" spans="3:9">
      <c r="C537" s="40">
        <v>528</v>
      </c>
      <c r="D537" s="39"/>
      <c r="E537" s="30"/>
      <c r="F537" s="31"/>
      <c r="G537" s="30"/>
      <c r="H537" s="30"/>
      <c r="I537" t="s">
        <v>50</v>
      </c>
    </row>
    <row r="538" spans="3:9">
      <c r="C538" s="40">
        <v>529</v>
      </c>
      <c r="D538" s="39"/>
      <c r="E538" s="30"/>
      <c r="F538" s="31"/>
      <c r="G538" s="30"/>
      <c r="H538" s="30"/>
      <c r="I538" t="s">
        <v>50</v>
      </c>
    </row>
    <row r="539" spans="3:9">
      <c r="C539" s="40">
        <v>530</v>
      </c>
      <c r="D539" s="39"/>
      <c r="E539" s="30"/>
      <c r="F539" s="31"/>
      <c r="G539" s="30"/>
      <c r="H539" s="30"/>
      <c r="I539" t="s">
        <v>50</v>
      </c>
    </row>
    <row r="540" spans="3:9">
      <c r="C540" s="40">
        <v>531</v>
      </c>
      <c r="D540" s="39"/>
      <c r="E540" s="30"/>
      <c r="F540" s="31"/>
      <c r="G540" s="30"/>
      <c r="H540" s="30"/>
      <c r="I540" t="s">
        <v>50</v>
      </c>
    </row>
    <row r="541" spans="3:9">
      <c r="C541" s="40">
        <v>532</v>
      </c>
      <c r="D541" s="39"/>
      <c r="E541" s="30"/>
      <c r="F541" s="31"/>
      <c r="G541" s="30"/>
      <c r="H541" s="30"/>
      <c r="I541" t="s">
        <v>50</v>
      </c>
    </row>
    <row r="542" spans="3:9">
      <c r="C542" s="40">
        <v>533</v>
      </c>
      <c r="D542" s="39"/>
      <c r="E542" s="30"/>
      <c r="F542" s="31"/>
      <c r="G542" s="30"/>
      <c r="H542" s="30"/>
      <c r="I542" t="s">
        <v>50</v>
      </c>
    </row>
    <row r="543" spans="3:9">
      <c r="C543" s="40">
        <v>534</v>
      </c>
      <c r="D543" s="39"/>
      <c r="E543" s="30"/>
      <c r="F543" s="31"/>
      <c r="G543" s="30"/>
      <c r="H543" s="30"/>
      <c r="I543" t="s">
        <v>50</v>
      </c>
    </row>
    <row r="544" spans="3:9">
      <c r="C544" s="40">
        <v>535</v>
      </c>
      <c r="D544" s="39"/>
      <c r="E544" s="30"/>
      <c r="F544" s="31"/>
      <c r="G544" s="30"/>
      <c r="H544" s="30"/>
      <c r="I544" t="s">
        <v>50</v>
      </c>
    </row>
    <row r="545" spans="3:9">
      <c r="C545" s="40">
        <v>536</v>
      </c>
      <c r="D545" s="39"/>
      <c r="E545" s="30"/>
      <c r="F545" s="31"/>
      <c r="G545" s="30"/>
      <c r="H545" s="30"/>
      <c r="I545" t="s">
        <v>50</v>
      </c>
    </row>
    <row r="546" spans="3:9">
      <c r="C546" s="40">
        <v>537</v>
      </c>
      <c r="D546" s="39"/>
      <c r="E546" s="30"/>
      <c r="F546" s="31"/>
      <c r="G546" s="30"/>
      <c r="H546" s="30"/>
      <c r="I546" t="s">
        <v>50</v>
      </c>
    </row>
    <row r="547" spans="3:9">
      <c r="C547" s="40">
        <v>538</v>
      </c>
      <c r="D547" s="39"/>
      <c r="E547" s="30"/>
      <c r="F547" s="31"/>
      <c r="G547" s="30"/>
      <c r="H547" s="30"/>
      <c r="I547" t="s">
        <v>50</v>
      </c>
    </row>
    <row r="548" spans="3:9">
      <c r="C548" s="40">
        <v>539</v>
      </c>
      <c r="D548" s="39"/>
      <c r="E548" s="30"/>
      <c r="F548" s="31"/>
      <c r="G548" s="30"/>
      <c r="H548" s="30"/>
      <c r="I548" t="s">
        <v>50</v>
      </c>
    </row>
    <row r="549" spans="3:9">
      <c r="C549" s="40">
        <v>540</v>
      </c>
      <c r="D549" s="39"/>
      <c r="E549" s="30"/>
      <c r="F549" s="31"/>
      <c r="G549" s="30"/>
      <c r="H549" s="30"/>
      <c r="I549" t="s">
        <v>50</v>
      </c>
    </row>
    <row r="550" spans="3:9">
      <c r="C550" s="40">
        <v>541</v>
      </c>
      <c r="D550" s="39"/>
      <c r="E550" s="30"/>
      <c r="F550" s="31"/>
      <c r="G550" s="30"/>
      <c r="H550" s="30"/>
      <c r="I550" t="s">
        <v>50</v>
      </c>
    </row>
    <row r="551" spans="3:9">
      <c r="C551" s="40">
        <v>542</v>
      </c>
      <c r="D551" s="39"/>
      <c r="E551" s="30"/>
      <c r="F551" s="31"/>
      <c r="G551" s="30"/>
      <c r="H551" s="30"/>
      <c r="I551" t="s">
        <v>50</v>
      </c>
    </row>
    <row r="552" spans="3:9">
      <c r="C552" s="40">
        <v>543</v>
      </c>
      <c r="D552" s="39"/>
      <c r="E552" s="30"/>
      <c r="F552" s="31"/>
      <c r="G552" s="30"/>
      <c r="H552" s="30"/>
      <c r="I552" t="s">
        <v>50</v>
      </c>
    </row>
    <row r="553" spans="3:9">
      <c r="C553" s="40">
        <v>544</v>
      </c>
      <c r="D553" s="39"/>
      <c r="E553" s="30"/>
      <c r="F553" s="31"/>
      <c r="G553" s="30"/>
      <c r="H553" s="30"/>
      <c r="I553" t="s">
        <v>50</v>
      </c>
    </row>
    <row r="554" spans="3:9">
      <c r="C554" s="40">
        <v>545</v>
      </c>
      <c r="D554" s="39"/>
      <c r="E554" s="30"/>
      <c r="F554" s="31"/>
      <c r="G554" s="30"/>
      <c r="H554" s="30"/>
      <c r="I554" t="s">
        <v>50</v>
      </c>
    </row>
    <row r="555" spans="3:9">
      <c r="C555" s="40">
        <v>546</v>
      </c>
      <c r="D555" s="39"/>
      <c r="E555" s="30"/>
      <c r="F555" s="31"/>
      <c r="G555" s="30"/>
      <c r="H555" s="30"/>
      <c r="I555" t="s">
        <v>50</v>
      </c>
    </row>
    <row r="556" spans="3:9">
      <c r="C556" s="40">
        <v>547</v>
      </c>
      <c r="D556" s="39"/>
      <c r="E556" s="30"/>
      <c r="F556" s="31"/>
      <c r="G556" s="30"/>
      <c r="H556" s="30"/>
      <c r="I556" t="s">
        <v>50</v>
      </c>
    </row>
    <row r="557" spans="3:9">
      <c r="C557" s="40">
        <v>548</v>
      </c>
      <c r="D557" s="39"/>
      <c r="E557" s="30"/>
      <c r="F557" s="31"/>
      <c r="G557" s="30"/>
      <c r="H557" s="30"/>
      <c r="I557" t="s">
        <v>50</v>
      </c>
    </row>
    <row r="558" spans="3:9">
      <c r="C558" s="40">
        <v>549</v>
      </c>
      <c r="D558" s="39"/>
      <c r="E558" s="30"/>
      <c r="F558" s="31"/>
      <c r="G558" s="30"/>
      <c r="H558" s="30"/>
      <c r="I558" t="s">
        <v>50</v>
      </c>
    </row>
    <row r="559" spans="3:9">
      <c r="C559" s="40">
        <v>550</v>
      </c>
      <c r="D559" s="39"/>
      <c r="E559" s="30"/>
      <c r="F559" s="31"/>
      <c r="G559" s="30"/>
      <c r="H559" s="30"/>
      <c r="I559" t="s">
        <v>50</v>
      </c>
    </row>
    <row r="560" spans="3:9">
      <c r="C560" s="40">
        <v>551</v>
      </c>
      <c r="D560" s="39"/>
      <c r="E560" s="30"/>
      <c r="F560" s="31"/>
      <c r="G560" s="30"/>
      <c r="H560" s="30"/>
      <c r="I560" t="s">
        <v>50</v>
      </c>
    </row>
    <row r="561" spans="3:9">
      <c r="C561" s="40">
        <v>552</v>
      </c>
      <c r="D561" s="39"/>
      <c r="E561" s="30"/>
      <c r="F561" s="31"/>
      <c r="G561" s="30"/>
      <c r="H561" s="30"/>
      <c r="I561" t="s">
        <v>50</v>
      </c>
    </row>
    <row r="562" spans="3:9">
      <c r="C562" s="40">
        <v>553</v>
      </c>
      <c r="D562" s="39"/>
      <c r="E562" s="30"/>
      <c r="F562" s="31"/>
      <c r="G562" s="30"/>
      <c r="H562" s="30"/>
      <c r="I562" t="s">
        <v>50</v>
      </c>
    </row>
    <row r="563" spans="3:9">
      <c r="C563" s="40">
        <v>554</v>
      </c>
      <c r="D563" s="39"/>
      <c r="E563" s="30"/>
      <c r="F563" s="31"/>
      <c r="G563" s="30"/>
      <c r="H563" s="30"/>
      <c r="I563" t="s">
        <v>50</v>
      </c>
    </row>
    <row r="564" spans="3:9">
      <c r="C564" s="40">
        <v>555</v>
      </c>
      <c r="D564" s="39"/>
      <c r="E564" s="30"/>
      <c r="F564" s="31"/>
      <c r="G564" s="30"/>
      <c r="H564" s="30"/>
      <c r="I564" t="s">
        <v>50</v>
      </c>
    </row>
    <row r="565" spans="3:9">
      <c r="C565" s="40">
        <v>556</v>
      </c>
      <c r="D565" s="39"/>
      <c r="E565" s="30"/>
      <c r="F565" s="31"/>
      <c r="G565" s="30"/>
      <c r="H565" s="30"/>
      <c r="I565" t="s">
        <v>50</v>
      </c>
    </row>
    <row r="566" spans="3:9">
      <c r="C566" s="40">
        <v>557</v>
      </c>
      <c r="D566" s="39"/>
      <c r="E566" s="30"/>
      <c r="F566" s="31"/>
      <c r="G566" s="30"/>
      <c r="H566" s="30"/>
      <c r="I566" t="s">
        <v>50</v>
      </c>
    </row>
    <row r="567" spans="3:9">
      <c r="C567" s="40">
        <v>558</v>
      </c>
      <c r="D567" s="39"/>
      <c r="E567" s="30"/>
      <c r="F567" s="31"/>
      <c r="G567" s="30"/>
      <c r="H567" s="30"/>
      <c r="I567" t="s">
        <v>50</v>
      </c>
    </row>
    <row r="568" spans="3:9">
      <c r="C568" s="40">
        <v>559</v>
      </c>
      <c r="D568" s="39"/>
      <c r="E568" s="30"/>
      <c r="F568" s="31"/>
      <c r="G568" s="30"/>
      <c r="H568" s="30"/>
      <c r="I568" t="s">
        <v>50</v>
      </c>
    </row>
    <row r="569" spans="3:9">
      <c r="C569" s="40">
        <v>560</v>
      </c>
      <c r="D569" s="39"/>
      <c r="E569" s="30"/>
      <c r="F569" s="31"/>
      <c r="G569" s="30"/>
      <c r="H569" s="30"/>
      <c r="I569" t="s">
        <v>50</v>
      </c>
    </row>
    <row r="570" spans="3:9">
      <c r="C570" s="40">
        <v>561</v>
      </c>
      <c r="D570" s="39"/>
      <c r="E570" s="30"/>
      <c r="F570" s="31"/>
      <c r="G570" s="30"/>
      <c r="H570" s="30"/>
      <c r="I570" t="s">
        <v>50</v>
      </c>
    </row>
    <row r="571" spans="3:9">
      <c r="C571" s="40">
        <v>562</v>
      </c>
      <c r="D571" s="39"/>
      <c r="E571" s="30"/>
      <c r="F571" s="31"/>
      <c r="G571" s="30"/>
      <c r="H571" s="30"/>
      <c r="I571" t="s">
        <v>50</v>
      </c>
    </row>
    <row r="572" spans="3:9">
      <c r="C572" s="40">
        <v>563</v>
      </c>
      <c r="D572" s="39"/>
      <c r="E572" s="30"/>
      <c r="F572" s="31"/>
      <c r="G572" s="30"/>
      <c r="H572" s="30"/>
      <c r="I572" t="s">
        <v>50</v>
      </c>
    </row>
    <row r="573" spans="3:9">
      <c r="C573" s="40">
        <v>564</v>
      </c>
      <c r="D573" s="39"/>
      <c r="E573" s="30"/>
      <c r="F573" s="31"/>
      <c r="G573" s="30"/>
      <c r="H573" s="30"/>
      <c r="I573" t="s">
        <v>50</v>
      </c>
    </row>
    <row r="574" spans="3:9">
      <c r="C574" s="40">
        <v>565</v>
      </c>
      <c r="D574" s="39"/>
      <c r="E574" s="30"/>
      <c r="F574" s="31"/>
      <c r="G574" s="30"/>
      <c r="H574" s="30"/>
      <c r="I574" t="s">
        <v>50</v>
      </c>
    </row>
    <row r="575" spans="3:9">
      <c r="C575" s="40">
        <v>566</v>
      </c>
      <c r="D575" s="39"/>
      <c r="E575" s="30"/>
      <c r="F575" s="31"/>
      <c r="G575" s="30"/>
      <c r="H575" s="30"/>
      <c r="I575" t="s">
        <v>50</v>
      </c>
    </row>
    <row r="576" spans="3:9">
      <c r="C576" s="40">
        <v>567</v>
      </c>
      <c r="D576" s="39"/>
      <c r="E576" s="30"/>
      <c r="F576" s="31"/>
      <c r="G576" s="30"/>
      <c r="H576" s="30"/>
      <c r="I576" t="s">
        <v>50</v>
      </c>
    </row>
    <row r="577" spans="3:9">
      <c r="C577" s="40">
        <v>568</v>
      </c>
      <c r="D577" s="39"/>
      <c r="E577" s="30"/>
      <c r="F577" s="31"/>
      <c r="G577" s="30"/>
      <c r="H577" s="30"/>
      <c r="I577" t="s">
        <v>50</v>
      </c>
    </row>
    <row r="578" spans="3:9">
      <c r="C578" s="40">
        <v>569</v>
      </c>
      <c r="D578" s="39"/>
      <c r="E578" s="30"/>
      <c r="F578" s="31"/>
      <c r="G578" s="30"/>
      <c r="H578" s="30"/>
      <c r="I578" t="s">
        <v>50</v>
      </c>
    </row>
    <row r="579" spans="3:9">
      <c r="C579" s="40">
        <v>570</v>
      </c>
      <c r="D579" s="39"/>
      <c r="E579" s="30"/>
      <c r="F579" s="31"/>
      <c r="G579" s="30"/>
      <c r="H579" s="30"/>
      <c r="I579" t="s">
        <v>50</v>
      </c>
    </row>
    <row r="580" spans="3:9">
      <c r="C580" s="40">
        <v>571</v>
      </c>
      <c r="D580" s="39"/>
      <c r="E580" s="30"/>
      <c r="F580" s="31"/>
      <c r="G580" s="30"/>
      <c r="H580" s="30"/>
      <c r="I580" t="s">
        <v>50</v>
      </c>
    </row>
    <row r="581" spans="3:9">
      <c r="C581" s="40">
        <v>572</v>
      </c>
      <c r="D581" s="39"/>
      <c r="E581" s="30"/>
      <c r="F581" s="31"/>
      <c r="G581" s="30"/>
      <c r="H581" s="30"/>
      <c r="I581" t="s">
        <v>50</v>
      </c>
    </row>
    <row r="582" spans="3:9">
      <c r="C582" s="40">
        <v>573</v>
      </c>
      <c r="D582" s="39"/>
      <c r="E582" s="30"/>
      <c r="F582" s="31"/>
      <c r="G582" s="30"/>
      <c r="H582" s="30"/>
      <c r="I582" t="s">
        <v>50</v>
      </c>
    </row>
    <row r="583" spans="3:9">
      <c r="C583" s="40">
        <v>574</v>
      </c>
      <c r="D583" s="39"/>
      <c r="E583" s="30"/>
      <c r="F583" s="31"/>
      <c r="G583" s="30"/>
      <c r="H583" s="30"/>
      <c r="I583" t="s">
        <v>50</v>
      </c>
    </row>
    <row r="584" spans="3:9">
      <c r="C584" s="40">
        <v>575</v>
      </c>
      <c r="D584" s="39"/>
      <c r="E584" s="30"/>
      <c r="F584" s="31"/>
      <c r="G584" s="30"/>
      <c r="H584" s="30"/>
      <c r="I584" t="s">
        <v>50</v>
      </c>
    </row>
    <row r="585" spans="3:9">
      <c r="C585" s="40">
        <v>576</v>
      </c>
      <c r="D585" s="39"/>
      <c r="E585" s="30"/>
      <c r="F585" s="31"/>
      <c r="G585" s="30"/>
      <c r="H585" s="30"/>
      <c r="I585" t="s">
        <v>50</v>
      </c>
    </row>
    <row r="586" spans="3:9">
      <c r="C586" s="40">
        <v>577</v>
      </c>
      <c r="D586" s="39"/>
      <c r="E586" s="30"/>
      <c r="F586" s="31"/>
      <c r="G586" s="30"/>
      <c r="H586" s="30"/>
      <c r="I586" t="s">
        <v>50</v>
      </c>
    </row>
    <row r="587" spans="3:9">
      <c r="C587" s="40">
        <v>578</v>
      </c>
      <c r="D587" s="39"/>
      <c r="E587" s="30"/>
      <c r="F587" s="31"/>
      <c r="G587" s="30"/>
      <c r="H587" s="30"/>
      <c r="I587" t="s">
        <v>50</v>
      </c>
    </row>
    <row r="588" spans="3:9">
      <c r="C588" s="40">
        <v>579</v>
      </c>
      <c r="D588" s="39"/>
      <c r="E588" s="30"/>
      <c r="F588" s="31"/>
      <c r="G588" s="30"/>
      <c r="H588" s="30"/>
      <c r="I588" t="s">
        <v>50</v>
      </c>
    </row>
    <row r="589" spans="3:9">
      <c r="C589" s="40">
        <v>580</v>
      </c>
      <c r="D589" s="39"/>
      <c r="E589" s="30"/>
      <c r="F589" s="31"/>
      <c r="G589" s="30"/>
      <c r="H589" s="30"/>
      <c r="I589" t="s">
        <v>50</v>
      </c>
    </row>
    <row r="590" spans="3:9">
      <c r="C590" s="40">
        <v>581</v>
      </c>
      <c r="D590" s="39"/>
      <c r="E590" s="30"/>
      <c r="F590" s="31"/>
      <c r="G590" s="30"/>
      <c r="H590" s="30"/>
      <c r="I590" t="s">
        <v>50</v>
      </c>
    </row>
    <row r="591" spans="3:9">
      <c r="C591" s="40">
        <v>582</v>
      </c>
      <c r="D591" s="39"/>
      <c r="E591" s="30"/>
      <c r="F591" s="31"/>
      <c r="G591" s="30"/>
      <c r="H591" s="30"/>
      <c r="I591" t="s">
        <v>50</v>
      </c>
    </row>
    <row r="592" spans="3:9">
      <c r="C592" s="40">
        <v>583</v>
      </c>
      <c r="D592" s="39"/>
      <c r="E592" s="30"/>
      <c r="F592" s="31"/>
      <c r="G592" s="30"/>
      <c r="H592" s="30"/>
      <c r="I592" t="s">
        <v>50</v>
      </c>
    </row>
    <row r="593" spans="3:9">
      <c r="C593" s="40">
        <v>584</v>
      </c>
      <c r="D593" s="39"/>
      <c r="E593" s="30"/>
      <c r="F593" s="31"/>
      <c r="G593" s="30"/>
      <c r="H593" s="30"/>
      <c r="I593" t="s">
        <v>50</v>
      </c>
    </row>
    <row r="594" spans="3:9">
      <c r="C594" s="40">
        <v>585</v>
      </c>
      <c r="D594" s="39"/>
      <c r="E594" s="30"/>
      <c r="F594" s="31"/>
      <c r="G594" s="30"/>
      <c r="H594" s="30"/>
      <c r="I594" t="s">
        <v>50</v>
      </c>
    </row>
    <row r="595" spans="3:9">
      <c r="C595" s="40">
        <v>586</v>
      </c>
      <c r="D595" s="39"/>
      <c r="E595" s="30"/>
      <c r="F595" s="31"/>
      <c r="G595" s="30"/>
      <c r="H595" s="30"/>
      <c r="I595" t="s">
        <v>50</v>
      </c>
    </row>
    <row r="596" spans="3:9">
      <c r="C596" s="40">
        <v>587</v>
      </c>
      <c r="D596" s="39"/>
      <c r="E596" s="30"/>
      <c r="F596" s="31"/>
      <c r="G596" s="30"/>
      <c r="H596" s="30"/>
      <c r="I596" t="s">
        <v>50</v>
      </c>
    </row>
    <row r="597" spans="3:9">
      <c r="C597" s="40">
        <v>588</v>
      </c>
      <c r="D597" s="39"/>
      <c r="E597" s="30"/>
      <c r="F597" s="31"/>
      <c r="G597" s="30"/>
      <c r="H597" s="30"/>
      <c r="I597" t="s">
        <v>50</v>
      </c>
    </row>
    <row r="598" spans="3:9">
      <c r="C598" s="40">
        <v>589</v>
      </c>
      <c r="D598" s="39"/>
      <c r="E598" s="30"/>
      <c r="F598" s="31"/>
      <c r="G598" s="30"/>
      <c r="H598" s="30"/>
      <c r="I598" t="s">
        <v>50</v>
      </c>
    </row>
    <row r="599" spans="3:9">
      <c r="C599" s="40">
        <v>590</v>
      </c>
      <c r="D599" s="39"/>
      <c r="E599" s="30"/>
      <c r="F599" s="31"/>
      <c r="G599" s="30"/>
      <c r="H599" s="30"/>
      <c r="I599" t="s">
        <v>50</v>
      </c>
    </row>
    <row r="600" spans="3:9">
      <c r="C600" s="40">
        <v>591</v>
      </c>
      <c r="D600" s="39"/>
      <c r="E600" s="30"/>
      <c r="F600" s="31"/>
      <c r="G600" s="30"/>
      <c r="H600" s="30"/>
      <c r="I600" t="s">
        <v>50</v>
      </c>
    </row>
    <row r="601" spans="3:9">
      <c r="C601" s="40">
        <v>592</v>
      </c>
      <c r="D601" s="39"/>
      <c r="E601" s="30"/>
      <c r="F601" s="31"/>
      <c r="G601" s="30"/>
      <c r="H601" s="30"/>
      <c r="I601" t="s">
        <v>50</v>
      </c>
    </row>
    <row r="602" spans="3:9">
      <c r="C602" s="40">
        <v>593</v>
      </c>
      <c r="D602" s="39"/>
      <c r="E602" s="30"/>
      <c r="F602" s="31"/>
      <c r="G602" s="30"/>
      <c r="H602" s="30"/>
      <c r="I602" t="s">
        <v>50</v>
      </c>
    </row>
    <row r="603" spans="3:9">
      <c r="C603" s="40">
        <v>594</v>
      </c>
      <c r="D603" s="39"/>
      <c r="E603" s="30"/>
      <c r="F603" s="31"/>
      <c r="G603" s="30"/>
      <c r="H603" s="30"/>
      <c r="I603" t="s">
        <v>50</v>
      </c>
    </row>
    <row r="604" spans="3:9">
      <c r="C604" s="40">
        <v>595</v>
      </c>
      <c r="D604" s="39"/>
      <c r="E604" s="30"/>
      <c r="F604" s="31"/>
      <c r="G604" s="30"/>
      <c r="H604" s="30"/>
      <c r="I604" t="s">
        <v>50</v>
      </c>
    </row>
    <row r="605" spans="3:9">
      <c r="C605" s="40">
        <v>596</v>
      </c>
      <c r="D605" s="39"/>
      <c r="E605" s="30"/>
      <c r="F605" s="31"/>
      <c r="G605" s="30"/>
      <c r="H605" s="30"/>
      <c r="I605" t="s">
        <v>50</v>
      </c>
    </row>
    <row r="606" spans="3:9">
      <c r="C606" s="40">
        <v>597</v>
      </c>
      <c r="D606" s="39"/>
      <c r="E606" s="30"/>
      <c r="F606" s="31"/>
      <c r="G606" s="30"/>
      <c r="H606" s="30"/>
      <c r="I606" t="s">
        <v>50</v>
      </c>
    </row>
    <row r="607" spans="3:9">
      <c r="C607" s="40">
        <v>598</v>
      </c>
      <c r="D607" s="39"/>
      <c r="E607" s="30"/>
      <c r="F607" s="31"/>
      <c r="G607" s="30"/>
      <c r="H607" s="30"/>
      <c r="I607" t="s">
        <v>50</v>
      </c>
    </row>
    <row r="608" spans="3:9">
      <c r="C608" s="40">
        <v>599</v>
      </c>
      <c r="D608" s="39"/>
      <c r="E608" s="30"/>
      <c r="F608" s="31"/>
      <c r="G608" s="30"/>
      <c r="H608" s="30"/>
      <c r="I608" t="s">
        <v>50</v>
      </c>
    </row>
    <row r="609" spans="3:9">
      <c r="C609" s="40">
        <v>600</v>
      </c>
      <c r="D609" s="39"/>
      <c r="E609" s="30"/>
      <c r="F609" s="31"/>
      <c r="G609" s="30"/>
      <c r="H609" s="30"/>
      <c r="I609" t="s">
        <v>50</v>
      </c>
    </row>
    <row r="610" spans="3:9">
      <c r="C610" s="40">
        <v>601</v>
      </c>
      <c r="D610" s="39"/>
      <c r="E610" s="30"/>
      <c r="F610" s="31"/>
      <c r="G610" s="30"/>
      <c r="H610" s="30"/>
      <c r="I610" t="s">
        <v>50</v>
      </c>
    </row>
    <row r="611" spans="3:9">
      <c r="C611" s="40">
        <v>602</v>
      </c>
      <c r="D611" s="39"/>
      <c r="E611" s="30"/>
      <c r="F611" s="31"/>
      <c r="G611" s="30"/>
      <c r="H611" s="30"/>
      <c r="I611" t="s">
        <v>50</v>
      </c>
    </row>
    <row r="612" spans="3:9">
      <c r="C612" s="40">
        <v>603</v>
      </c>
      <c r="D612" s="39"/>
      <c r="E612" s="30"/>
      <c r="F612" s="31"/>
      <c r="G612" s="30"/>
      <c r="H612" s="30"/>
      <c r="I612" t="s">
        <v>50</v>
      </c>
    </row>
    <row r="613" spans="3:9">
      <c r="C613" s="40">
        <v>604</v>
      </c>
      <c r="D613" s="39"/>
      <c r="E613" s="30"/>
      <c r="F613" s="31"/>
      <c r="G613" s="30"/>
      <c r="H613" s="30"/>
      <c r="I613" t="s">
        <v>50</v>
      </c>
    </row>
    <row r="614" spans="3:9">
      <c r="C614" s="40">
        <v>605</v>
      </c>
      <c r="D614" s="39"/>
      <c r="E614" s="30"/>
      <c r="F614" s="31"/>
      <c r="G614" s="30"/>
      <c r="H614" s="30"/>
      <c r="I614" t="s">
        <v>50</v>
      </c>
    </row>
    <row r="615" spans="3:9">
      <c r="C615" s="40">
        <v>606</v>
      </c>
      <c r="D615" s="39"/>
      <c r="E615" s="30"/>
      <c r="F615" s="31"/>
      <c r="G615" s="30"/>
      <c r="H615" s="30"/>
      <c r="I615" t="s">
        <v>50</v>
      </c>
    </row>
    <row r="616" spans="3:9">
      <c r="C616" s="40">
        <v>607</v>
      </c>
      <c r="D616" s="39"/>
      <c r="E616" s="30"/>
      <c r="F616" s="31"/>
      <c r="G616" s="30"/>
      <c r="H616" s="30"/>
      <c r="I616" t="s">
        <v>50</v>
      </c>
    </row>
    <row r="617" spans="3:9">
      <c r="C617" s="40">
        <v>608</v>
      </c>
      <c r="D617" s="39"/>
      <c r="E617" s="30"/>
      <c r="F617" s="31"/>
      <c r="G617" s="30"/>
      <c r="H617" s="30"/>
      <c r="I617" t="s">
        <v>50</v>
      </c>
    </row>
    <row r="618" spans="3:9">
      <c r="C618" s="40">
        <v>609</v>
      </c>
      <c r="D618" s="39"/>
      <c r="E618" s="30"/>
      <c r="F618" s="31"/>
      <c r="G618" s="30"/>
      <c r="H618" s="30"/>
      <c r="I618" t="s">
        <v>50</v>
      </c>
    </row>
    <row r="619" spans="3:9">
      <c r="C619" s="40">
        <v>610</v>
      </c>
      <c r="D619" s="39"/>
      <c r="E619" s="30"/>
      <c r="F619" s="31"/>
      <c r="G619" s="30"/>
      <c r="H619" s="30"/>
      <c r="I619" t="s">
        <v>50</v>
      </c>
    </row>
    <row r="620" spans="3:9">
      <c r="C620" s="40">
        <v>611</v>
      </c>
      <c r="D620" s="39"/>
      <c r="E620" s="30"/>
      <c r="F620" s="31"/>
      <c r="G620" s="30"/>
      <c r="H620" s="30"/>
      <c r="I620" t="s">
        <v>50</v>
      </c>
    </row>
    <row r="621" spans="3:9">
      <c r="C621" s="40">
        <v>612</v>
      </c>
      <c r="D621" s="39"/>
      <c r="E621" s="30"/>
      <c r="F621" s="31"/>
      <c r="G621" s="30"/>
      <c r="H621" s="30"/>
      <c r="I621" t="s">
        <v>50</v>
      </c>
    </row>
    <row r="622" spans="3:9">
      <c r="C622" s="40">
        <v>613</v>
      </c>
      <c r="D622" s="39"/>
      <c r="E622" s="30"/>
      <c r="F622" s="31"/>
      <c r="G622" s="30"/>
      <c r="H622" s="30"/>
      <c r="I622" t="s">
        <v>50</v>
      </c>
    </row>
    <row r="623" spans="3:9">
      <c r="C623" s="40">
        <v>614</v>
      </c>
      <c r="D623" s="39"/>
      <c r="E623" s="30"/>
      <c r="F623" s="31"/>
      <c r="G623" s="30"/>
      <c r="H623" s="30"/>
      <c r="I623" t="s">
        <v>50</v>
      </c>
    </row>
    <row r="624" spans="3:9">
      <c r="C624" s="40">
        <v>615</v>
      </c>
      <c r="D624" s="39"/>
      <c r="E624" s="30"/>
      <c r="F624" s="31"/>
      <c r="G624" s="30"/>
      <c r="H624" s="30"/>
      <c r="I624" t="s">
        <v>50</v>
      </c>
    </row>
    <row r="625" spans="3:9">
      <c r="C625" s="40">
        <v>616</v>
      </c>
      <c r="D625" s="39"/>
      <c r="E625" s="30"/>
      <c r="F625" s="31"/>
      <c r="G625" s="30"/>
      <c r="H625" s="30"/>
      <c r="I625" t="s">
        <v>50</v>
      </c>
    </row>
    <row r="626" spans="3:9">
      <c r="C626" s="40">
        <v>617</v>
      </c>
      <c r="D626" s="39"/>
      <c r="E626" s="30"/>
      <c r="F626" s="31"/>
      <c r="G626" s="30"/>
      <c r="H626" s="30"/>
      <c r="I626" t="s">
        <v>50</v>
      </c>
    </row>
    <row r="627" spans="3:9">
      <c r="C627" s="40">
        <v>618</v>
      </c>
      <c r="D627" s="39"/>
      <c r="E627" s="30"/>
      <c r="F627" s="31"/>
      <c r="G627" s="30"/>
      <c r="H627" s="30"/>
      <c r="I627" t="s">
        <v>50</v>
      </c>
    </row>
    <row r="628" spans="3:9">
      <c r="C628" s="40">
        <v>619</v>
      </c>
      <c r="D628" s="39"/>
      <c r="E628" s="30"/>
      <c r="F628" s="31"/>
      <c r="G628" s="30"/>
      <c r="H628" s="30"/>
      <c r="I628" t="s">
        <v>50</v>
      </c>
    </row>
    <row r="629" spans="3:9">
      <c r="C629" s="40">
        <v>620</v>
      </c>
      <c r="D629" s="39"/>
      <c r="E629" s="30"/>
      <c r="F629" s="31"/>
      <c r="G629" s="30"/>
      <c r="H629" s="30"/>
      <c r="I629" t="s">
        <v>50</v>
      </c>
    </row>
    <row r="630" spans="3:9">
      <c r="C630" s="40">
        <v>621</v>
      </c>
      <c r="D630" s="39"/>
      <c r="E630" s="30"/>
      <c r="F630" s="31"/>
      <c r="G630" s="30"/>
      <c r="H630" s="30"/>
      <c r="I630" t="s">
        <v>50</v>
      </c>
    </row>
    <row r="631" spans="3:9">
      <c r="C631" s="40">
        <v>622</v>
      </c>
      <c r="D631" s="39"/>
      <c r="E631" s="30"/>
      <c r="F631" s="31"/>
      <c r="G631" s="30"/>
      <c r="H631" s="30"/>
      <c r="I631" t="s">
        <v>50</v>
      </c>
    </row>
    <row r="632" spans="3:9">
      <c r="C632" s="40">
        <v>623</v>
      </c>
      <c r="D632" s="39"/>
      <c r="E632" s="30"/>
      <c r="F632" s="31"/>
      <c r="G632" s="30"/>
      <c r="H632" s="30"/>
      <c r="I632" t="s">
        <v>50</v>
      </c>
    </row>
    <row r="633" spans="3:9">
      <c r="C633" s="40">
        <v>624</v>
      </c>
      <c r="D633" s="39"/>
      <c r="E633" s="30"/>
      <c r="F633" s="31"/>
      <c r="G633" s="30"/>
      <c r="H633" s="30"/>
      <c r="I633" t="s">
        <v>50</v>
      </c>
    </row>
    <row r="634" spans="3:9">
      <c r="C634" s="40">
        <v>625</v>
      </c>
      <c r="D634" s="39"/>
      <c r="E634" s="30"/>
      <c r="F634" s="31"/>
      <c r="G634" s="30"/>
      <c r="H634" s="30"/>
      <c r="I634" t="s">
        <v>50</v>
      </c>
    </row>
    <row r="635" spans="3:9">
      <c r="C635" s="40">
        <v>626</v>
      </c>
      <c r="D635" s="39"/>
      <c r="E635" s="30"/>
      <c r="F635" s="31"/>
      <c r="G635" s="30"/>
      <c r="H635" s="30"/>
      <c r="I635" t="s">
        <v>50</v>
      </c>
    </row>
    <row r="636" spans="3:9">
      <c r="C636" s="40">
        <v>627</v>
      </c>
      <c r="D636" s="39"/>
      <c r="E636" s="30"/>
      <c r="F636" s="31"/>
      <c r="G636" s="30"/>
      <c r="H636" s="30"/>
      <c r="I636" t="s">
        <v>50</v>
      </c>
    </row>
    <row r="637" spans="3:9">
      <c r="C637" s="40">
        <v>628</v>
      </c>
      <c r="D637" s="39"/>
      <c r="E637" s="30"/>
      <c r="F637" s="31"/>
      <c r="G637" s="30"/>
      <c r="H637" s="30"/>
      <c r="I637" t="s">
        <v>50</v>
      </c>
    </row>
    <row r="638" spans="3:9">
      <c r="C638" s="40">
        <v>629</v>
      </c>
      <c r="D638" s="39"/>
      <c r="E638" s="30"/>
      <c r="F638" s="31"/>
      <c r="G638" s="30"/>
      <c r="H638" s="30"/>
      <c r="I638" t="s">
        <v>50</v>
      </c>
    </row>
    <row r="639" spans="3:9">
      <c r="C639" s="40">
        <v>630</v>
      </c>
      <c r="D639" s="39"/>
      <c r="E639" s="30"/>
      <c r="F639" s="31"/>
      <c r="G639" s="30"/>
      <c r="H639" s="30"/>
      <c r="I639" t="s">
        <v>50</v>
      </c>
    </row>
    <row r="640" spans="3:9">
      <c r="C640" s="40">
        <v>631</v>
      </c>
      <c r="D640" s="39"/>
      <c r="E640" s="30"/>
      <c r="F640" s="31"/>
      <c r="G640" s="30"/>
      <c r="H640" s="30"/>
      <c r="I640" t="s">
        <v>50</v>
      </c>
    </row>
    <row r="641" spans="3:9">
      <c r="C641" s="40">
        <v>632</v>
      </c>
      <c r="D641" s="39"/>
      <c r="E641" s="30"/>
      <c r="F641" s="31"/>
      <c r="G641" s="30"/>
      <c r="H641" s="30"/>
      <c r="I641" t="s">
        <v>50</v>
      </c>
    </row>
    <row r="642" spans="3:9">
      <c r="C642" s="40">
        <v>633</v>
      </c>
      <c r="D642" s="39"/>
      <c r="E642" s="30"/>
      <c r="F642" s="31"/>
      <c r="G642" s="30"/>
      <c r="H642" s="30"/>
      <c r="I642" t="s">
        <v>50</v>
      </c>
    </row>
    <row r="643" spans="3:9">
      <c r="C643" s="40">
        <v>634</v>
      </c>
      <c r="D643" s="39"/>
      <c r="E643" s="30"/>
      <c r="F643" s="31"/>
      <c r="G643" s="30"/>
      <c r="H643" s="30"/>
      <c r="I643" t="s">
        <v>50</v>
      </c>
    </row>
    <row r="644" spans="3:9">
      <c r="C644" s="40">
        <v>635</v>
      </c>
      <c r="D644" s="39"/>
      <c r="E644" s="30"/>
      <c r="F644" s="31"/>
      <c r="G644" s="30"/>
      <c r="H644" s="30"/>
      <c r="I644" t="s">
        <v>50</v>
      </c>
    </row>
    <row r="645" spans="3:9">
      <c r="C645" s="40">
        <v>636</v>
      </c>
      <c r="D645" s="39"/>
      <c r="E645" s="30"/>
      <c r="F645" s="31"/>
      <c r="G645" s="30"/>
      <c r="H645" s="30"/>
      <c r="I645" t="s">
        <v>50</v>
      </c>
    </row>
    <row r="646" spans="3:9">
      <c r="C646" s="40">
        <v>637</v>
      </c>
      <c r="D646" s="39"/>
      <c r="E646" s="30"/>
      <c r="F646" s="31"/>
      <c r="G646" s="30"/>
      <c r="H646" s="30"/>
      <c r="I646" t="s">
        <v>50</v>
      </c>
    </row>
    <row r="647" spans="3:9">
      <c r="C647" s="40">
        <v>638</v>
      </c>
      <c r="D647" s="39"/>
      <c r="E647" s="30"/>
      <c r="F647" s="31"/>
      <c r="G647" s="30"/>
      <c r="H647" s="30"/>
      <c r="I647" t="s">
        <v>50</v>
      </c>
    </row>
    <row r="648" spans="3:9">
      <c r="C648" s="40">
        <v>639</v>
      </c>
      <c r="D648" s="39"/>
      <c r="E648" s="30"/>
      <c r="F648" s="31"/>
      <c r="G648" s="30"/>
      <c r="H648" s="30"/>
      <c r="I648" t="s">
        <v>50</v>
      </c>
    </row>
    <row r="649" spans="3:9">
      <c r="C649" s="40">
        <v>640</v>
      </c>
      <c r="D649" s="39"/>
      <c r="E649" s="30"/>
      <c r="F649" s="31"/>
      <c r="G649" s="30"/>
      <c r="H649" s="30"/>
      <c r="I649" t="s">
        <v>50</v>
      </c>
    </row>
    <row r="650" spans="3:9">
      <c r="C650" s="40">
        <v>641</v>
      </c>
      <c r="D650" s="39"/>
      <c r="E650" s="30"/>
      <c r="F650" s="31"/>
      <c r="G650" s="30"/>
      <c r="H650" s="30"/>
      <c r="I650" t="s">
        <v>50</v>
      </c>
    </row>
    <row r="651" spans="3:9">
      <c r="C651" s="40">
        <v>642</v>
      </c>
      <c r="D651" s="39"/>
      <c r="E651" s="30"/>
      <c r="F651" s="31"/>
      <c r="G651" s="30"/>
      <c r="H651" s="30"/>
      <c r="I651" t="s">
        <v>50</v>
      </c>
    </row>
    <row r="652" spans="3:9">
      <c r="C652" s="40">
        <v>643</v>
      </c>
      <c r="D652" s="39"/>
      <c r="E652" s="30"/>
      <c r="F652" s="31"/>
      <c r="G652" s="30"/>
      <c r="H652" s="30"/>
      <c r="I652" t="s">
        <v>50</v>
      </c>
    </row>
    <row r="653" spans="3:9">
      <c r="C653" s="40">
        <v>644</v>
      </c>
      <c r="D653" s="39"/>
      <c r="E653" s="30"/>
      <c r="F653" s="31"/>
      <c r="G653" s="30"/>
      <c r="H653" s="30"/>
      <c r="I653" t="s">
        <v>50</v>
      </c>
    </row>
    <row r="654" spans="3:9">
      <c r="C654" s="40">
        <v>645</v>
      </c>
      <c r="D654" s="39"/>
      <c r="E654" s="30"/>
      <c r="F654" s="31"/>
      <c r="G654" s="30"/>
      <c r="H654" s="30"/>
      <c r="I654" t="s">
        <v>50</v>
      </c>
    </row>
    <row r="655" spans="3:9">
      <c r="C655" s="40">
        <v>646</v>
      </c>
      <c r="D655" s="39"/>
      <c r="E655" s="30"/>
      <c r="F655" s="31"/>
      <c r="G655" s="30"/>
      <c r="H655" s="30"/>
      <c r="I655" t="s">
        <v>50</v>
      </c>
    </row>
    <row r="656" spans="3:9">
      <c r="C656" s="40">
        <v>647</v>
      </c>
      <c r="D656" s="39"/>
      <c r="E656" s="30"/>
      <c r="F656" s="31"/>
      <c r="G656" s="30"/>
      <c r="H656" s="30"/>
      <c r="I656" t="s">
        <v>50</v>
      </c>
    </row>
    <row r="657" spans="3:9">
      <c r="C657" s="40">
        <v>648</v>
      </c>
      <c r="D657" s="39"/>
      <c r="E657" s="30"/>
      <c r="F657" s="31"/>
      <c r="G657" s="30"/>
      <c r="H657" s="30"/>
      <c r="I657" t="s">
        <v>50</v>
      </c>
    </row>
    <row r="658" spans="3:9">
      <c r="C658" s="40">
        <v>649</v>
      </c>
      <c r="D658" s="39"/>
      <c r="E658" s="30"/>
      <c r="F658" s="31"/>
      <c r="G658" s="30"/>
      <c r="H658" s="30"/>
      <c r="I658" t="s">
        <v>50</v>
      </c>
    </row>
    <row r="659" spans="3:9">
      <c r="C659" s="40">
        <v>650</v>
      </c>
      <c r="D659" s="39"/>
      <c r="E659" s="30"/>
      <c r="F659" s="31"/>
      <c r="G659" s="30"/>
      <c r="H659" s="30"/>
      <c r="I659" t="s">
        <v>50</v>
      </c>
    </row>
    <row r="660" spans="3:9">
      <c r="C660" s="40">
        <v>651</v>
      </c>
      <c r="D660" s="39"/>
      <c r="E660" s="30"/>
      <c r="F660" s="31"/>
      <c r="G660" s="30"/>
      <c r="H660" s="30"/>
      <c r="I660" t="s">
        <v>50</v>
      </c>
    </row>
    <row r="661" spans="3:9">
      <c r="C661" s="40">
        <v>652</v>
      </c>
      <c r="D661" s="39"/>
      <c r="E661" s="30"/>
      <c r="F661" s="31"/>
      <c r="G661" s="30"/>
      <c r="H661" s="30"/>
      <c r="I661" t="s">
        <v>50</v>
      </c>
    </row>
    <row r="662" spans="3:9">
      <c r="C662" s="40">
        <v>653</v>
      </c>
      <c r="D662" s="39"/>
      <c r="E662" s="30"/>
      <c r="F662" s="31"/>
      <c r="G662" s="30"/>
      <c r="H662" s="30"/>
      <c r="I662" t="s">
        <v>50</v>
      </c>
    </row>
    <row r="663" spans="3:9">
      <c r="C663" s="40">
        <v>654</v>
      </c>
      <c r="D663" s="39"/>
      <c r="E663" s="30"/>
      <c r="F663" s="31"/>
      <c r="G663" s="30"/>
      <c r="H663" s="30"/>
      <c r="I663" t="s">
        <v>50</v>
      </c>
    </row>
    <row r="664" spans="3:9">
      <c r="C664" s="40">
        <v>655</v>
      </c>
      <c r="D664" s="39"/>
      <c r="E664" s="30"/>
      <c r="F664" s="31"/>
      <c r="G664" s="30"/>
      <c r="H664" s="30"/>
      <c r="I664" t="s">
        <v>50</v>
      </c>
    </row>
    <row r="665" spans="3:9">
      <c r="C665" s="40">
        <v>656</v>
      </c>
      <c r="D665" s="39"/>
      <c r="E665" s="30"/>
      <c r="F665" s="31"/>
      <c r="G665" s="30"/>
      <c r="H665" s="30"/>
      <c r="I665" t="s">
        <v>50</v>
      </c>
    </row>
    <row r="666" spans="3:9">
      <c r="C666" s="40">
        <v>657</v>
      </c>
      <c r="D666" s="39"/>
      <c r="E666" s="30"/>
      <c r="F666" s="31"/>
      <c r="G666" s="30"/>
      <c r="H666" s="30"/>
      <c r="I666" t="s">
        <v>50</v>
      </c>
    </row>
    <row r="667" spans="3:9">
      <c r="C667" s="40">
        <v>658</v>
      </c>
      <c r="D667" s="39"/>
      <c r="E667" s="30"/>
      <c r="F667" s="31"/>
      <c r="G667" s="30"/>
      <c r="H667" s="30"/>
      <c r="I667" t="s">
        <v>50</v>
      </c>
    </row>
    <row r="668" spans="3:9">
      <c r="C668" s="40">
        <v>659</v>
      </c>
      <c r="D668" s="39"/>
      <c r="E668" s="30"/>
      <c r="F668" s="31"/>
      <c r="G668" s="30"/>
      <c r="H668" s="30"/>
      <c r="I668" t="s">
        <v>50</v>
      </c>
    </row>
    <row r="669" spans="3:9">
      <c r="C669" s="40">
        <v>660</v>
      </c>
      <c r="D669" s="39"/>
      <c r="E669" s="30"/>
      <c r="F669" s="31"/>
      <c r="G669" s="30"/>
      <c r="H669" s="30"/>
      <c r="I669" t="s">
        <v>50</v>
      </c>
    </row>
    <row r="670" spans="3:9">
      <c r="C670" s="40">
        <v>661</v>
      </c>
      <c r="D670" s="39"/>
      <c r="E670" s="30"/>
      <c r="F670" s="31"/>
      <c r="G670" s="30"/>
      <c r="H670" s="30"/>
      <c r="I670" t="s">
        <v>50</v>
      </c>
    </row>
    <row r="671" spans="3:9">
      <c r="C671" s="40">
        <v>662</v>
      </c>
      <c r="D671" s="39"/>
      <c r="E671" s="30"/>
      <c r="F671" s="31"/>
      <c r="G671" s="30"/>
      <c r="H671" s="30"/>
      <c r="I671" t="s">
        <v>50</v>
      </c>
    </row>
    <row r="672" spans="3:9">
      <c r="C672" s="40">
        <v>663</v>
      </c>
      <c r="D672" s="39"/>
      <c r="E672" s="30"/>
      <c r="F672" s="31"/>
      <c r="G672" s="30"/>
      <c r="H672" s="30"/>
      <c r="I672" t="s">
        <v>50</v>
      </c>
    </row>
    <row r="673" spans="3:9">
      <c r="C673" s="40">
        <v>664</v>
      </c>
      <c r="D673" s="39"/>
      <c r="E673" s="30"/>
      <c r="F673" s="31"/>
      <c r="G673" s="30"/>
      <c r="H673" s="30"/>
      <c r="I673" t="s">
        <v>50</v>
      </c>
    </row>
    <row r="674" spans="3:9">
      <c r="C674" s="40">
        <v>665</v>
      </c>
      <c r="D674" s="39"/>
      <c r="E674" s="30"/>
      <c r="F674" s="31"/>
      <c r="G674" s="30"/>
      <c r="H674" s="30"/>
      <c r="I674" t="s">
        <v>50</v>
      </c>
    </row>
    <row r="675" spans="3:9">
      <c r="C675" s="40">
        <v>666</v>
      </c>
      <c r="D675" s="39"/>
      <c r="E675" s="30"/>
      <c r="F675" s="31"/>
      <c r="G675" s="30"/>
      <c r="H675" s="30"/>
      <c r="I675" t="s">
        <v>50</v>
      </c>
    </row>
    <row r="676" spans="3:9">
      <c r="C676" s="40">
        <v>667</v>
      </c>
      <c r="D676" s="39"/>
      <c r="E676" s="30"/>
      <c r="F676" s="31"/>
      <c r="G676" s="30"/>
      <c r="H676" s="30"/>
      <c r="I676" t="s">
        <v>50</v>
      </c>
    </row>
    <row r="677" spans="3:9">
      <c r="C677" s="40">
        <v>668</v>
      </c>
      <c r="D677" s="39"/>
      <c r="E677" s="30"/>
      <c r="F677" s="31"/>
      <c r="G677" s="30"/>
      <c r="H677" s="30"/>
      <c r="I677" t="s">
        <v>50</v>
      </c>
    </row>
    <row r="678" spans="3:9">
      <c r="C678" s="40">
        <v>669</v>
      </c>
      <c r="D678" s="39"/>
      <c r="E678" s="30"/>
      <c r="F678" s="31"/>
      <c r="G678" s="30"/>
      <c r="H678" s="30"/>
      <c r="I678" t="s">
        <v>50</v>
      </c>
    </row>
    <row r="679" spans="3:9">
      <c r="C679" s="40">
        <v>670</v>
      </c>
      <c r="D679" s="39"/>
      <c r="E679" s="30"/>
      <c r="F679" s="31"/>
      <c r="G679" s="30"/>
      <c r="H679" s="30"/>
      <c r="I679" t="s">
        <v>50</v>
      </c>
    </row>
    <row r="680" spans="3:9">
      <c r="C680" s="40">
        <v>671</v>
      </c>
      <c r="D680" s="39"/>
      <c r="E680" s="30"/>
      <c r="F680" s="31"/>
      <c r="G680" s="30"/>
      <c r="H680" s="30"/>
      <c r="I680" t="s">
        <v>50</v>
      </c>
    </row>
    <row r="681" spans="3:9">
      <c r="C681" s="40">
        <v>672</v>
      </c>
      <c r="D681" s="39"/>
      <c r="E681" s="30"/>
      <c r="F681" s="31"/>
      <c r="G681" s="30"/>
      <c r="H681" s="30"/>
      <c r="I681" t="s">
        <v>50</v>
      </c>
    </row>
    <row r="682" spans="3:9">
      <c r="C682" s="40">
        <v>673</v>
      </c>
      <c r="D682" s="39"/>
      <c r="E682" s="30"/>
      <c r="F682" s="31"/>
      <c r="G682" s="30"/>
      <c r="H682" s="30"/>
      <c r="I682" t="s">
        <v>50</v>
      </c>
    </row>
    <row r="683" spans="3:9">
      <c r="C683" s="40">
        <v>674</v>
      </c>
      <c r="D683" s="39"/>
      <c r="E683" s="30"/>
      <c r="F683" s="31"/>
      <c r="G683" s="30"/>
      <c r="H683" s="30"/>
      <c r="I683" t="s">
        <v>50</v>
      </c>
    </row>
    <row r="684" spans="3:9">
      <c r="C684" s="40">
        <v>675</v>
      </c>
      <c r="D684" s="39"/>
      <c r="E684" s="30"/>
      <c r="F684" s="31"/>
      <c r="G684" s="30"/>
      <c r="H684" s="30"/>
      <c r="I684" t="s">
        <v>50</v>
      </c>
    </row>
    <row r="685" spans="3:9">
      <c r="C685" s="40">
        <v>676</v>
      </c>
      <c r="D685" s="39"/>
      <c r="E685" s="30"/>
      <c r="F685" s="31"/>
      <c r="G685" s="30"/>
      <c r="H685" s="30"/>
      <c r="I685" t="s">
        <v>50</v>
      </c>
    </row>
    <row r="686" spans="3:9">
      <c r="C686" s="40">
        <v>677</v>
      </c>
      <c r="D686" s="39"/>
      <c r="E686" s="30"/>
      <c r="F686" s="31"/>
      <c r="G686" s="30"/>
      <c r="H686" s="30"/>
      <c r="I686" t="s">
        <v>50</v>
      </c>
    </row>
    <row r="687" spans="3:9">
      <c r="C687" s="40">
        <v>678</v>
      </c>
      <c r="D687" s="39"/>
      <c r="E687" s="30"/>
      <c r="F687" s="31"/>
      <c r="G687" s="30"/>
      <c r="H687" s="30"/>
      <c r="I687" t="s">
        <v>50</v>
      </c>
    </row>
    <row r="688" spans="3:9">
      <c r="C688" s="40">
        <v>679</v>
      </c>
      <c r="D688" s="39"/>
      <c r="E688" s="30"/>
      <c r="F688" s="31"/>
      <c r="G688" s="30"/>
      <c r="H688" s="30"/>
      <c r="I688" t="s">
        <v>50</v>
      </c>
    </row>
    <row r="689" spans="3:9">
      <c r="C689" s="40">
        <v>680</v>
      </c>
      <c r="D689" s="39"/>
      <c r="E689" s="30"/>
      <c r="F689" s="31"/>
      <c r="G689" s="30"/>
      <c r="H689" s="30"/>
      <c r="I689" t="s">
        <v>50</v>
      </c>
    </row>
    <row r="690" spans="3:9">
      <c r="C690" s="40">
        <v>681</v>
      </c>
      <c r="D690" s="39"/>
      <c r="E690" s="30"/>
      <c r="F690" s="31"/>
      <c r="G690" s="30"/>
      <c r="H690" s="30"/>
      <c r="I690" t="s">
        <v>50</v>
      </c>
    </row>
    <row r="691" spans="3:9">
      <c r="C691" s="40">
        <v>682</v>
      </c>
      <c r="D691" s="39"/>
      <c r="E691" s="30"/>
      <c r="F691" s="31"/>
      <c r="G691" s="30"/>
      <c r="H691" s="30"/>
      <c r="I691" t="s">
        <v>50</v>
      </c>
    </row>
    <row r="692" spans="3:9">
      <c r="C692" s="40">
        <v>683</v>
      </c>
      <c r="D692" s="39"/>
      <c r="E692" s="30"/>
      <c r="F692" s="31"/>
      <c r="G692" s="30"/>
      <c r="H692" s="30"/>
      <c r="I692" t="s">
        <v>50</v>
      </c>
    </row>
    <row r="693" spans="3:9">
      <c r="C693" s="40">
        <v>684</v>
      </c>
      <c r="D693" s="39"/>
      <c r="E693" s="30"/>
      <c r="F693" s="31"/>
      <c r="G693" s="30"/>
      <c r="H693" s="30"/>
      <c r="I693" t="s">
        <v>50</v>
      </c>
    </row>
    <row r="694" spans="3:9">
      <c r="C694" s="40">
        <v>685</v>
      </c>
      <c r="D694" s="39"/>
      <c r="E694" s="30"/>
      <c r="F694" s="31"/>
      <c r="G694" s="30"/>
      <c r="H694" s="30"/>
      <c r="I694" t="s">
        <v>50</v>
      </c>
    </row>
    <row r="695" spans="3:9">
      <c r="C695" s="40">
        <v>686</v>
      </c>
      <c r="D695" s="39"/>
      <c r="E695" s="30"/>
      <c r="F695" s="31"/>
      <c r="G695" s="30"/>
      <c r="H695" s="30"/>
      <c r="I695" t="s">
        <v>50</v>
      </c>
    </row>
    <row r="696" spans="3:9">
      <c r="C696" s="40">
        <v>687</v>
      </c>
      <c r="D696" s="39"/>
      <c r="E696" s="30"/>
      <c r="F696" s="31"/>
      <c r="G696" s="30"/>
      <c r="H696" s="30"/>
      <c r="I696" t="s">
        <v>50</v>
      </c>
    </row>
    <row r="697" spans="3:9">
      <c r="C697" s="40">
        <v>688</v>
      </c>
      <c r="D697" s="39"/>
      <c r="E697" s="30"/>
      <c r="F697" s="31"/>
      <c r="G697" s="30"/>
      <c r="H697" s="30"/>
      <c r="I697" t="s">
        <v>50</v>
      </c>
    </row>
    <row r="698" spans="3:9">
      <c r="C698" s="40">
        <v>689</v>
      </c>
      <c r="D698" s="39"/>
      <c r="E698" s="30"/>
      <c r="F698" s="31"/>
      <c r="G698" s="30"/>
      <c r="H698" s="30"/>
      <c r="I698" t="s">
        <v>50</v>
      </c>
    </row>
    <row r="699" spans="3:9">
      <c r="C699" s="40">
        <v>690</v>
      </c>
      <c r="D699" s="39"/>
      <c r="E699" s="30"/>
      <c r="F699" s="31"/>
      <c r="G699" s="30"/>
      <c r="H699" s="30"/>
      <c r="I699" t="s">
        <v>50</v>
      </c>
    </row>
    <row r="700" spans="3:9">
      <c r="C700" s="40">
        <v>691</v>
      </c>
      <c r="D700" s="39"/>
      <c r="E700" s="30"/>
      <c r="F700" s="31"/>
      <c r="G700" s="30"/>
      <c r="H700" s="30"/>
      <c r="I700" t="s">
        <v>50</v>
      </c>
    </row>
    <row r="701" spans="3:9">
      <c r="C701" s="40">
        <v>692</v>
      </c>
      <c r="D701" s="39"/>
      <c r="E701" s="30"/>
      <c r="F701" s="31"/>
      <c r="G701" s="30"/>
      <c r="H701" s="30"/>
      <c r="I701" t="s">
        <v>50</v>
      </c>
    </row>
    <row r="702" spans="3:9">
      <c r="C702" s="40">
        <v>693</v>
      </c>
      <c r="D702" s="39"/>
      <c r="E702" s="30"/>
      <c r="F702" s="31"/>
      <c r="G702" s="30"/>
      <c r="H702" s="30"/>
      <c r="I702" t="s">
        <v>50</v>
      </c>
    </row>
    <row r="703" spans="3:9">
      <c r="C703" s="40">
        <v>694</v>
      </c>
      <c r="D703" s="39"/>
      <c r="E703" s="30"/>
      <c r="F703" s="31"/>
      <c r="G703" s="30"/>
      <c r="H703" s="30"/>
      <c r="I703" t="s">
        <v>50</v>
      </c>
    </row>
    <row r="704" spans="3:9">
      <c r="C704" s="40">
        <v>695</v>
      </c>
      <c r="D704" s="39"/>
      <c r="E704" s="30"/>
      <c r="F704" s="31"/>
      <c r="G704" s="30"/>
      <c r="H704" s="30"/>
      <c r="I704" t="s">
        <v>50</v>
      </c>
    </row>
    <row r="705" spans="3:9">
      <c r="C705" s="40">
        <v>696</v>
      </c>
      <c r="D705" s="39"/>
      <c r="E705" s="30"/>
      <c r="F705" s="31"/>
      <c r="G705" s="30"/>
      <c r="H705" s="30"/>
      <c r="I705" t="s">
        <v>50</v>
      </c>
    </row>
    <row r="706" spans="3:9">
      <c r="C706" s="40">
        <v>697</v>
      </c>
      <c r="D706" s="39"/>
      <c r="E706" s="30"/>
      <c r="F706" s="31"/>
      <c r="G706" s="30"/>
      <c r="H706" s="30"/>
      <c r="I706" t="s">
        <v>50</v>
      </c>
    </row>
    <row r="707" spans="3:9">
      <c r="C707" s="40">
        <v>698</v>
      </c>
      <c r="D707" s="39"/>
      <c r="E707" s="30"/>
      <c r="F707" s="31"/>
      <c r="G707" s="30"/>
      <c r="H707" s="30"/>
      <c r="I707" t="s">
        <v>50</v>
      </c>
    </row>
    <row r="708" spans="3:9">
      <c r="C708" s="40">
        <v>699</v>
      </c>
      <c r="D708" s="39"/>
      <c r="E708" s="30"/>
      <c r="F708" s="31"/>
      <c r="G708" s="30"/>
      <c r="H708" s="30"/>
      <c r="I708" t="s">
        <v>50</v>
      </c>
    </row>
    <row r="709" spans="3:9">
      <c r="C709" s="40">
        <v>700</v>
      </c>
      <c r="D709" s="39"/>
      <c r="E709" s="30"/>
      <c r="F709" s="31"/>
      <c r="G709" s="30"/>
      <c r="H709" s="30"/>
      <c r="I709" t="s">
        <v>50</v>
      </c>
    </row>
    <row r="710" spans="3:9">
      <c r="C710" s="40">
        <v>701</v>
      </c>
      <c r="D710" s="39"/>
      <c r="E710" s="30"/>
      <c r="F710" s="31"/>
      <c r="G710" s="30"/>
      <c r="H710" s="30"/>
      <c r="I710" t="s">
        <v>50</v>
      </c>
    </row>
    <row r="711" spans="3:9">
      <c r="C711" s="40">
        <v>702</v>
      </c>
      <c r="D711" s="39"/>
      <c r="E711" s="30"/>
      <c r="F711" s="31"/>
      <c r="G711" s="30"/>
      <c r="H711" s="30"/>
      <c r="I711" t="s">
        <v>50</v>
      </c>
    </row>
    <row r="712" spans="3:9">
      <c r="C712" s="40">
        <v>703</v>
      </c>
      <c r="D712" s="39"/>
      <c r="E712" s="30"/>
      <c r="F712" s="31"/>
      <c r="G712" s="30"/>
      <c r="H712" s="30"/>
      <c r="I712" t="s">
        <v>50</v>
      </c>
    </row>
    <row r="713" spans="3:9">
      <c r="C713" s="40">
        <v>704</v>
      </c>
      <c r="D713" s="39"/>
      <c r="E713" s="30"/>
      <c r="F713" s="31"/>
      <c r="G713" s="30"/>
      <c r="H713" s="30"/>
      <c r="I713" t="s">
        <v>50</v>
      </c>
    </row>
    <row r="714" spans="3:9">
      <c r="C714" s="40">
        <v>705</v>
      </c>
      <c r="D714" s="39"/>
      <c r="E714" s="30"/>
      <c r="F714" s="31"/>
      <c r="G714" s="30"/>
      <c r="H714" s="30"/>
      <c r="I714" t="s">
        <v>50</v>
      </c>
    </row>
    <row r="715" spans="3:9">
      <c r="C715" s="40">
        <v>706</v>
      </c>
      <c r="D715" s="39"/>
      <c r="E715" s="30"/>
      <c r="F715" s="31"/>
      <c r="G715" s="30"/>
      <c r="H715" s="30"/>
      <c r="I715" t="s">
        <v>50</v>
      </c>
    </row>
    <row r="716" spans="3:9">
      <c r="C716" s="40">
        <v>707</v>
      </c>
      <c r="D716" s="39"/>
      <c r="E716" s="30"/>
      <c r="F716" s="31"/>
      <c r="G716" s="30"/>
      <c r="H716" s="30"/>
      <c r="I716" t="s">
        <v>50</v>
      </c>
    </row>
    <row r="717" spans="3:9">
      <c r="C717" s="40">
        <v>708</v>
      </c>
      <c r="D717" s="39"/>
      <c r="E717" s="30"/>
      <c r="F717" s="31"/>
      <c r="G717" s="30"/>
      <c r="H717" s="30"/>
      <c r="I717" t="s">
        <v>50</v>
      </c>
    </row>
    <row r="718" spans="3:9">
      <c r="C718" s="40">
        <v>709</v>
      </c>
      <c r="D718" s="39"/>
      <c r="E718" s="30"/>
      <c r="F718" s="31"/>
      <c r="G718" s="30"/>
      <c r="H718" s="30"/>
      <c r="I718" t="s">
        <v>50</v>
      </c>
    </row>
    <row r="719" spans="3:9">
      <c r="C719" s="40">
        <v>710</v>
      </c>
      <c r="D719" s="39"/>
      <c r="E719" s="30"/>
      <c r="F719" s="31"/>
      <c r="G719" s="30"/>
      <c r="H719" s="30"/>
      <c r="I719" t="s">
        <v>50</v>
      </c>
    </row>
    <row r="720" spans="3:9">
      <c r="C720" s="40">
        <v>711</v>
      </c>
      <c r="D720" s="39"/>
      <c r="E720" s="30"/>
      <c r="F720" s="31"/>
      <c r="G720" s="30"/>
      <c r="H720" s="30"/>
      <c r="I720" t="s">
        <v>50</v>
      </c>
    </row>
    <row r="721" spans="3:9">
      <c r="C721" s="40">
        <v>712</v>
      </c>
      <c r="D721" s="39"/>
      <c r="E721" s="30"/>
      <c r="F721" s="31"/>
      <c r="G721" s="30"/>
      <c r="H721" s="30"/>
      <c r="I721" t="s">
        <v>50</v>
      </c>
    </row>
    <row r="722" spans="3:9">
      <c r="C722" s="40">
        <v>713</v>
      </c>
      <c r="D722" s="39"/>
      <c r="E722" s="30"/>
      <c r="F722" s="31"/>
      <c r="G722" s="30"/>
      <c r="H722" s="30"/>
      <c r="I722" t="s">
        <v>50</v>
      </c>
    </row>
    <row r="723" spans="3:9">
      <c r="C723" s="40">
        <v>714</v>
      </c>
      <c r="D723" s="39"/>
      <c r="E723" s="30"/>
      <c r="F723" s="31"/>
      <c r="G723" s="30"/>
      <c r="H723" s="30"/>
      <c r="I723" t="s">
        <v>50</v>
      </c>
    </row>
    <row r="724" spans="3:9">
      <c r="C724" s="40">
        <v>715</v>
      </c>
      <c r="D724" s="39"/>
      <c r="E724" s="30"/>
      <c r="F724" s="31"/>
      <c r="G724" s="30"/>
      <c r="H724" s="30"/>
      <c r="I724" t="s">
        <v>50</v>
      </c>
    </row>
    <row r="725" spans="3:9">
      <c r="C725" s="40">
        <v>716</v>
      </c>
      <c r="D725" s="39"/>
      <c r="E725" s="30"/>
      <c r="F725" s="31"/>
      <c r="G725" s="30"/>
      <c r="H725" s="30"/>
      <c r="I725" t="s">
        <v>50</v>
      </c>
    </row>
    <row r="726" spans="3:9">
      <c r="C726" s="40">
        <v>717</v>
      </c>
      <c r="D726" s="39"/>
      <c r="E726" s="30"/>
      <c r="F726" s="31"/>
      <c r="G726" s="30"/>
      <c r="H726" s="30"/>
      <c r="I726" t="s">
        <v>50</v>
      </c>
    </row>
    <row r="727" spans="3:9">
      <c r="C727" s="40">
        <v>718</v>
      </c>
      <c r="D727" s="39"/>
      <c r="E727" s="30"/>
      <c r="F727" s="31"/>
      <c r="G727" s="30"/>
      <c r="H727" s="30"/>
      <c r="I727" t="s">
        <v>50</v>
      </c>
    </row>
    <row r="728" spans="3:9">
      <c r="C728" s="40">
        <v>719</v>
      </c>
      <c r="D728" s="39"/>
      <c r="E728" s="30"/>
      <c r="F728" s="31"/>
      <c r="G728" s="30"/>
      <c r="H728" s="30"/>
      <c r="I728" t="s">
        <v>50</v>
      </c>
    </row>
    <row r="729" spans="3:9">
      <c r="C729" s="40">
        <v>720</v>
      </c>
      <c r="D729" s="39"/>
      <c r="E729" s="30"/>
      <c r="F729" s="31"/>
      <c r="G729" s="30"/>
      <c r="H729" s="30"/>
      <c r="I729" t="s">
        <v>50</v>
      </c>
    </row>
    <row r="730" spans="3:9">
      <c r="C730" s="40">
        <v>721</v>
      </c>
      <c r="D730" s="39"/>
      <c r="E730" s="30"/>
      <c r="F730" s="31"/>
      <c r="G730" s="30"/>
      <c r="H730" s="30"/>
      <c r="I730" t="s">
        <v>50</v>
      </c>
    </row>
    <row r="731" spans="3:9">
      <c r="C731" s="40">
        <v>722</v>
      </c>
      <c r="D731" s="39"/>
      <c r="E731" s="30"/>
      <c r="F731" s="31"/>
      <c r="G731" s="30"/>
      <c r="H731" s="30"/>
      <c r="I731" t="s">
        <v>50</v>
      </c>
    </row>
    <row r="732" spans="3:9">
      <c r="C732" s="40">
        <v>723</v>
      </c>
      <c r="D732" s="39"/>
      <c r="E732" s="30"/>
      <c r="F732" s="31"/>
      <c r="G732" s="30"/>
      <c r="H732" s="30"/>
      <c r="I732" t="s">
        <v>50</v>
      </c>
    </row>
    <row r="733" spans="3:9">
      <c r="C733" s="40">
        <v>724</v>
      </c>
      <c r="D733" s="39"/>
      <c r="E733" s="30"/>
      <c r="F733" s="31"/>
      <c r="G733" s="30"/>
      <c r="H733" s="30"/>
      <c r="I733" t="s">
        <v>50</v>
      </c>
    </row>
    <row r="734" spans="3:9">
      <c r="C734" s="40">
        <v>725</v>
      </c>
      <c r="D734" s="39"/>
      <c r="E734" s="30"/>
      <c r="F734" s="31"/>
      <c r="G734" s="30"/>
      <c r="H734" s="30"/>
      <c r="I734" t="s">
        <v>50</v>
      </c>
    </row>
    <row r="735" spans="3:9">
      <c r="C735" s="40">
        <v>726</v>
      </c>
      <c r="D735" s="39"/>
      <c r="E735" s="30"/>
      <c r="F735" s="31"/>
      <c r="G735" s="30"/>
      <c r="H735" s="30"/>
      <c r="I735" t="s">
        <v>50</v>
      </c>
    </row>
    <row r="736" spans="3:9">
      <c r="C736" s="40">
        <v>727</v>
      </c>
      <c r="D736" s="39"/>
      <c r="E736" s="30"/>
      <c r="F736" s="31"/>
      <c r="G736" s="30"/>
      <c r="H736" s="30"/>
      <c r="I736" t="s">
        <v>50</v>
      </c>
    </row>
    <row r="737" spans="3:9">
      <c r="C737" s="40">
        <v>728</v>
      </c>
      <c r="D737" s="39"/>
      <c r="E737" s="30"/>
      <c r="F737" s="31"/>
      <c r="G737" s="30"/>
      <c r="H737" s="30"/>
      <c r="I737" t="s">
        <v>50</v>
      </c>
    </row>
    <row r="738" spans="3:9">
      <c r="C738" s="40">
        <v>729</v>
      </c>
      <c r="D738" s="39"/>
      <c r="E738" s="30"/>
      <c r="F738" s="31"/>
      <c r="G738" s="30"/>
      <c r="H738" s="30"/>
      <c r="I738" t="s">
        <v>50</v>
      </c>
    </row>
    <row r="739" spans="3:9">
      <c r="C739" s="40">
        <v>730</v>
      </c>
      <c r="D739" s="39"/>
      <c r="E739" s="30"/>
      <c r="F739" s="31"/>
      <c r="G739" s="30"/>
      <c r="H739" s="30"/>
      <c r="I739" t="s">
        <v>50</v>
      </c>
    </row>
    <row r="740" spans="3:9">
      <c r="C740" s="40">
        <v>731</v>
      </c>
      <c r="D740" s="39"/>
      <c r="E740" s="30"/>
      <c r="F740" s="31"/>
      <c r="G740" s="30"/>
      <c r="H740" s="30"/>
      <c r="I740" t="s">
        <v>50</v>
      </c>
    </row>
    <row r="741" spans="3:9">
      <c r="C741" s="40">
        <v>732</v>
      </c>
      <c r="D741" s="39"/>
      <c r="E741" s="30"/>
      <c r="F741" s="31"/>
      <c r="G741" s="30"/>
      <c r="H741" s="30"/>
      <c r="I741" t="s">
        <v>50</v>
      </c>
    </row>
    <row r="742" spans="3:9">
      <c r="C742" s="40">
        <v>733</v>
      </c>
      <c r="D742" s="39"/>
      <c r="E742" s="30"/>
      <c r="F742" s="31"/>
      <c r="G742" s="30"/>
      <c r="H742" s="30"/>
      <c r="I742" t="s">
        <v>50</v>
      </c>
    </row>
    <row r="743" spans="3:9">
      <c r="C743" s="40">
        <v>734</v>
      </c>
      <c r="D743" s="39"/>
      <c r="E743" s="30"/>
      <c r="F743" s="31"/>
      <c r="G743" s="30"/>
      <c r="H743" s="30"/>
      <c r="I743" t="s">
        <v>50</v>
      </c>
    </row>
    <row r="744" spans="3:9">
      <c r="C744" s="40">
        <v>735</v>
      </c>
      <c r="D744" s="39"/>
      <c r="E744" s="30"/>
      <c r="F744" s="31"/>
      <c r="G744" s="30"/>
      <c r="H744" s="30"/>
      <c r="I744" t="s">
        <v>50</v>
      </c>
    </row>
    <row r="745" spans="3:9">
      <c r="C745" s="40">
        <v>736</v>
      </c>
      <c r="D745" s="39"/>
      <c r="E745" s="30"/>
      <c r="F745" s="31"/>
      <c r="G745" s="30"/>
      <c r="H745" s="30"/>
      <c r="I745" t="s">
        <v>50</v>
      </c>
    </row>
    <row r="746" spans="3:9">
      <c r="C746" s="40">
        <v>737</v>
      </c>
      <c r="D746" s="39"/>
      <c r="E746" s="30"/>
      <c r="F746" s="31"/>
      <c r="G746" s="30"/>
      <c r="H746" s="30"/>
      <c r="I746" t="s">
        <v>50</v>
      </c>
    </row>
    <row r="747" spans="3:9">
      <c r="C747" s="40">
        <v>738</v>
      </c>
      <c r="D747" s="39"/>
      <c r="E747" s="30"/>
      <c r="F747" s="31"/>
      <c r="G747" s="30"/>
      <c r="H747" s="30"/>
      <c r="I747" t="s">
        <v>50</v>
      </c>
    </row>
    <row r="748" spans="3:9">
      <c r="C748" s="40">
        <v>739</v>
      </c>
      <c r="D748" s="39"/>
      <c r="E748" s="30"/>
      <c r="F748" s="31"/>
      <c r="G748" s="30"/>
      <c r="H748" s="30"/>
      <c r="I748" t="s">
        <v>50</v>
      </c>
    </row>
    <row r="749" spans="3:9">
      <c r="C749" s="40">
        <v>740</v>
      </c>
      <c r="D749" s="39"/>
      <c r="E749" s="30"/>
      <c r="F749" s="31"/>
      <c r="G749" s="30"/>
      <c r="H749" s="30"/>
      <c r="I749" t="s">
        <v>50</v>
      </c>
    </row>
    <row r="750" spans="3:9">
      <c r="C750" s="40">
        <v>741</v>
      </c>
      <c r="D750" s="39"/>
      <c r="E750" s="30"/>
      <c r="F750" s="31"/>
      <c r="G750" s="30"/>
      <c r="H750" s="30"/>
      <c r="I750" t="s">
        <v>50</v>
      </c>
    </row>
    <row r="751" spans="3:9">
      <c r="C751" s="40">
        <v>742</v>
      </c>
      <c r="D751" s="39"/>
      <c r="E751" s="30"/>
      <c r="F751" s="31"/>
      <c r="G751" s="30"/>
      <c r="H751" s="30"/>
      <c r="I751" t="s">
        <v>50</v>
      </c>
    </row>
    <row r="752" spans="3:9">
      <c r="C752" s="40">
        <v>743</v>
      </c>
      <c r="D752" s="39"/>
      <c r="E752" s="30"/>
      <c r="F752" s="31"/>
      <c r="G752" s="30"/>
      <c r="H752" s="30"/>
      <c r="I752" t="s">
        <v>50</v>
      </c>
    </row>
    <row r="753" spans="3:9">
      <c r="C753" s="40">
        <v>744</v>
      </c>
      <c r="D753" s="39"/>
      <c r="E753" s="30"/>
      <c r="F753" s="31"/>
      <c r="G753" s="30"/>
      <c r="H753" s="30"/>
      <c r="I753" t="s">
        <v>50</v>
      </c>
    </row>
    <row r="754" spans="3:9">
      <c r="C754" s="40">
        <v>745</v>
      </c>
      <c r="D754" s="39"/>
      <c r="E754" s="30"/>
      <c r="F754" s="31"/>
      <c r="G754" s="30"/>
      <c r="H754" s="30"/>
      <c r="I754" t="s">
        <v>50</v>
      </c>
    </row>
    <row r="755" spans="3:9">
      <c r="C755" s="40">
        <v>746</v>
      </c>
      <c r="D755" s="39"/>
      <c r="E755" s="30"/>
      <c r="F755" s="31"/>
      <c r="G755" s="30"/>
      <c r="H755" s="30"/>
      <c r="I755" t="s">
        <v>50</v>
      </c>
    </row>
    <row r="756" spans="3:9">
      <c r="C756" s="40">
        <v>747</v>
      </c>
      <c r="D756" s="39"/>
      <c r="E756" s="30"/>
      <c r="F756" s="31"/>
      <c r="G756" s="30"/>
      <c r="H756" s="30"/>
      <c r="I756" t="s">
        <v>50</v>
      </c>
    </row>
    <row r="757" spans="3:9">
      <c r="C757" s="40">
        <v>748</v>
      </c>
      <c r="D757" s="39"/>
      <c r="E757" s="30"/>
      <c r="F757" s="31"/>
      <c r="G757" s="30"/>
      <c r="H757" s="30"/>
      <c r="I757" t="s">
        <v>50</v>
      </c>
    </row>
    <row r="758" spans="3:9">
      <c r="C758" s="40">
        <v>749</v>
      </c>
      <c r="D758" s="39"/>
      <c r="E758" s="30"/>
      <c r="F758" s="31"/>
      <c r="G758" s="30"/>
      <c r="H758" s="30"/>
      <c r="I758" t="s">
        <v>50</v>
      </c>
    </row>
    <row r="759" spans="3:9">
      <c r="C759" s="40">
        <v>750</v>
      </c>
      <c r="D759" s="39"/>
      <c r="E759" s="30"/>
      <c r="F759" s="31"/>
      <c r="G759" s="30"/>
      <c r="H759" s="30"/>
      <c r="I759" t="s">
        <v>50</v>
      </c>
    </row>
    <row r="760" spans="3:9">
      <c r="C760" s="40">
        <v>751</v>
      </c>
      <c r="D760" s="39"/>
      <c r="E760" s="30"/>
      <c r="F760" s="31"/>
      <c r="G760" s="30"/>
      <c r="H760" s="30"/>
      <c r="I760" t="s">
        <v>50</v>
      </c>
    </row>
    <row r="761" spans="3:9">
      <c r="C761" s="40">
        <v>752</v>
      </c>
      <c r="D761" s="39"/>
      <c r="E761" s="30"/>
      <c r="F761" s="31"/>
      <c r="G761" s="30"/>
      <c r="H761" s="30"/>
      <c r="I761" t="s">
        <v>50</v>
      </c>
    </row>
    <row r="762" spans="3:9">
      <c r="C762" s="40">
        <v>753</v>
      </c>
      <c r="D762" s="39"/>
      <c r="E762" s="30"/>
      <c r="F762" s="31"/>
      <c r="G762" s="30"/>
      <c r="H762" s="30"/>
      <c r="I762" t="s">
        <v>50</v>
      </c>
    </row>
    <row r="763" spans="3:9">
      <c r="C763" s="40">
        <v>754</v>
      </c>
      <c r="D763" s="39"/>
      <c r="E763" s="30"/>
      <c r="F763" s="31"/>
      <c r="G763" s="30"/>
      <c r="H763" s="30"/>
      <c r="I763" t="s">
        <v>50</v>
      </c>
    </row>
    <row r="764" spans="3:9">
      <c r="C764" s="40">
        <v>755</v>
      </c>
      <c r="D764" s="39"/>
      <c r="E764" s="30"/>
      <c r="F764" s="31"/>
      <c r="G764" s="30"/>
      <c r="H764" s="30"/>
      <c r="I764" t="s">
        <v>50</v>
      </c>
    </row>
    <row r="765" spans="3:9">
      <c r="C765" s="40">
        <v>756</v>
      </c>
      <c r="D765" s="39"/>
      <c r="E765" s="30"/>
      <c r="F765" s="31"/>
      <c r="G765" s="30"/>
      <c r="H765" s="30"/>
      <c r="I765" t="s">
        <v>50</v>
      </c>
    </row>
    <row r="766" spans="3:9">
      <c r="C766" s="40">
        <v>757</v>
      </c>
      <c r="D766" s="39"/>
      <c r="E766" s="30"/>
      <c r="F766" s="31"/>
      <c r="G766" s="30"/>
      <c r="H766" s="30"/>
      <c r="I766" t="s">
        <v>50</v>
      </c>
    </row>
    <row r="767" spans="3:9">
      <c r="C767" s="40">
        <v>758</v>
      </c>
      <c r="D767" s="39"/>
      <c r="E767" s="30"/>
      <c r="F767" s="31"/>
      <c r="G767" s="30"/>
      <c r="H767" s="30"/>
      <c r="I767" t="s">
        <v>50</v>
      </c>
    </row>
    <row r="768" spans="3:9">
      <c r="C768" s="40">
        <v>759</v>
      </c>
      <c r="D768" s="39"/>
      <c r="E768" s="30"/>
      <c r="F768" s="31"/>
      <c r="G768" s="30"/>
      <c r="H768" s="30"/>
      <c r="I768" t="s">
        <v>50</v>
      </c>
    </row>
    <row r="769" spans="3:9">
      <c r="C769" s="40">
        <v>760</v>
      </c>
      <c r="D769" s="39"/>
      <c r="E769" s="30"/>
      <c r="F769" s="31"/>
      <c r="G769" s="30"/>
      <c r="H769" s="30"/>
      <c r="I769" t="s">
        <v>50</v>
      </c>
    </row>
    <row r="770" spans="3:9">
      <c r="C770" s="40">
        <v>761</v>
      </c>
      <c r="D770" s="39"/>
      <c r="E770" s="30"/>
      <c r="F770" s="31"/>
      <c r="G770" s="30"/>
      <c r="H770" s="30"/>
      <c r="I770" t="s">
        <v>50</v>
      </c>
    </row>
    <row r="771" spans="3:9">
      <c r="C771" s="40">
        <v>762</v>
      </c>
      <c r="D771" s="39"/>
      <c r="E771" s="30"/>
      <c r="F771" s="31"/>
      <c r="G771" s="30"/>
      <c r="H771" s="30"/>
      <c r="I771" t="s">
        <v>50</v>
      </c>
    </row>
    <row r="772" spans="3:9">
      <c r="C772" s="40">
        <v>763</v>
      </c>
      <c r="D772" s="39"/>
      <c r="E772" s="30"/>
      <c r="F772" s="31"/>
      <c r="G772" s="30"/>
      <c r="H772" s="30"/>
      <c r="I772" t="s">
        <v>50</v>
      </c>
    </row>
    <row r="773" spans="3:9">
      <c r="C773" s="40">
        <v>764</v>
      </c>
      <c r="D773" s="39"/>
      <c r="E773" s="30"/>
      <c r="F773" s="31"/>
      <c r="G773" s="30"/>
      <c r="H773" s="30"/>
      <c r="I773" t="s">
        <v>50</v>
      </c>
    </row>
    <row r="774" spans="3:9">
      <c r="C774" s="40">
        <v>765</v>
      </c>
      <c r="D774" s="39"/>
      <c r="E774" s="30"/>
      <c r="F774" s="31"/>
      <c r="G774" s="30"/>
      <c r="H774" s="30"/>
      <c r="I774" t="s">
        <v>50</v>
      </c>
    </row>
    <row r="775" spans="3:9">
      <c r="C775" s="40">
        <v>766</v>
      </c>
      <c r="D775" s="39"/>
      <c r="E775" s="30"/>
      <c r="F775" s="31"/>
      <c r="G775" s="30"/>
      <c r="H775" s="30"/>
      <c r="I775" t="s">
        <v>50</v>
      </c>
    </row>
    <row r="776" spans="3:9">
      <c r="C776" s="40">
        <v>767</v>
      </c>
      <c r="D776" s="39"/>
      <c r="E776" s="30"/>
      <c r="F776" s="31"/>
      <c r="G776" s="30"/>
      <c r="H776" s="30"/>
      <c r="I776" t="s">
        <v>50</v>
      </c>
    </row>
    <row r="777" spans="3:9">
      <c r="C777" s="40">
        <v>768</v>
      </c>
      <c r="D777" s="39"/>
      <c r="E777" s="30"/>
      <c r="F777" s="31"/>
      <c r="G777" s="30"/>
      <c r="H777" s="30"/>
      <c r="I777" t="s">
        <v>50</v>
      </c>
    </row>
    <row r="778" spans="3:9">
      <c r="C778" s="40">
        <v>769</v>
      </c>
      <c r="D778" s="39"/>
      <c r="E778" s="30"/>
      <c r="F778" s="31"/>
      <c r="G778" s="30"/>
      <c r="H778" s="30"/>
      <c r="I778" t="s">
        <v>50</v>
      </c>
    </row>
    <row r="779" spans="3:9">
      <c r="C779" s="40">
        <v>770</v>
      </c>
      <c r="D779" s="39"/>
      <c r="E779" s="30"/>
      <c r="F779" s="31"/>
      <c r="G779" s="30"/>
      <c r="H779" s="30"/>
      <c r="I779" t="s">
        <v>50</v>
      </c>
    </row>
    <row r="780" spans="3:9">
      <c r="C780" s="40">
        <v>771</v>
      </c>
      <c r="D780" s="39"/>
      <c r="E780" s="30"/>
      <c r="F780" s="31"/>
      <c r="G780" s="30"/>
      <c r="H780" s="30"/>
      <c r="I780" t="s">
        <v>50</v>
      </c>
    </row>
    <row r="781" spans="3:9">
      <c r="C781" s="40">
        <v>772</v>
      </c>
      <c r="D781" s="39"/>
      <c r="E781" s="30"/>
      <c r="F781" s="31"/>
      <c r="G781" s="30"/>
      <c r="H781" s="30"/>
      <c r="I781" t="s">
        <v>50</v>
      </c>
    </row>
    <row r="782" spans="3:9">
      <c r="C782" s="40">
        <v>773</v>
      </c>
      <c r="D782" s="39"/>
      <c r="E782" s="30"/>
      <c r="F782" s="31"/>
      <c r="G782" s="30"/>
      <c r="H782" s="30"/>
      <c r="I782" t="s">
        <v>50</v>
      </c>
    </row>
    <row r="783" spans="3:9">
      <c r="C783" s="40">
        <v>774</v>
      </c>
      <c r="D783" s="39"/>
      <c r="E783" s="30"/>
      <c r="F783" s="31"/>
      <c r="G783" s="30"/>
      <c r="H783" s="30"/>
      <c r="I783" t="s">
        <v>50</v>
      </c>
    </row>
    <row r="784" spans="3:9">
      <c r="C784" s="40">
        <v>775</v>
      </c>
      <c r="D784" s="39"/>
      <c r="E784" s="30"/>
      <c r="F784" s="31"/>
      <c r="G784" s="30"/>
      <c r="H784" s="30"/>
      <c r="I784" t="s">
        <v>50</v>
      </c>
    </row>
    <row r="785" spans="3:9">
      <c r="C785" s="40">
        <v>776</v>
      </c>
      <c r="D785" s="39"/>
      <c r="E785" s="30"/>
      <c r="F785" s="31"/>
      <c r="G785" s="30"/>
      <c r="H785" s="30"/>
      <c r="I785" t="s">
        <v>50</v>
      </c>
    </row>
    <row r="786" spans="3:9">
      <c r="C786" s="40">
        <v>777</v>
      </c>
      <c r="D786" s="39"/>
      <c r="E786" s="30"/>
      <c r="F786" s="31"/>
      <c r="G786" s="30"/>
      <c r="H786" s="30"/>
      <c r="I786" t="s">
        <v>50</v>
      </c>
    </row>
    <row r="787" spans="3:9">
      <c r="C787" s="40">
        <v>778</v>
      </c>
      <c r="D787" s="39"/>
      <c r="E787" s="30"/>
      <c r="F787" s="31"/>
      <c r="G787" s="30"/>
      <c r="H787" s="30"/>
      <c r="I787" t="s">
        <v>50</v>
      </c>
    </row>
    <row r="788" spans="3:9">
      <c r="C788" s="40">
        <v>779</v>
      </c>
      <c r="D788" s="39"/>
      <c r="E788" s="30"/>
      <c r="F788" s="31"/>
      <c r="G788" s="30"/>
      <c r="H788" s="30"/>
      <c r="I788" t="s">
        <v>50</v>
      </c>
    </row>
    <row r="789" spans="3:9">
      <c r="C789" s="40">
        <v>780</v>
      </c>
      <c r="D789" s="39"/>
      <c r="E789" s="30"/>
      <c r="F789" s="31"/>
      <c r="G789" s="30"/>
      <c r="H789" s="30"/>
      <c r="I789" t="s">
        <v>50</v>
      </c>
    </row>
    <row r="790" spans="3:9">
      <c r="C790" s="40">
        <v>781</v>
      </c>
      <c r="D790" s="39"/>
      <c r="E790" s="30"/>
      <c r="F790" s="31"/>
      <c r="G790" s="30"/>
      <c r="H790" s="30"/>
      <c r="I790" t="s">
        <v>50</v>
      </c>
    </row>
    <row r="791" spans="3:9">
      <c r="C791" s="40">
        <v>782</v>
      </c>
      <c r="D791" s="39"/>
      <c r="E791" s="30"/>
      <c r="F791" s="31"/>
      <c r="G791" s="30"/>
      <c r="H791" s="30"/>
      <c r="I791" t="s">
        <v>50</v>
      </c>
    </row>
    <row r="792" spans="3:9">
      <c r="C792" s="40">
        <v>783</v>
      </c>
      <c r="D792" s="39"/>
      <c r="E792" s="30"/>
      <c r="F792" s="31"/>
      <c r="G792" s="30"/>
      <c r="H792" s="30"/>
      <c r="I792" t="s">
        <v>50</v>
      </c>
    </row>
    <row r="793" spans="3:9">
      <c r="C793" s="40">
        <v>784</v>
      </c>
      <c r="D793" s="39"/>
      <c r="E793" s="30"/>
      <c r="F793" s="31"/>
      <c r="G793" s="30"/>
      <c r="H793" s="30"/>
      <c r="I793" t="s">
        <v>50</v>
      </c>
    </row>
    <row r="794" spans="3:9">
      <c r="C794" s="40">
        <v>785</v>
      </c>
      <c r="D794" s="39"/>
      <c r="E794" s="30"/>
      <c r="F794" s="31"/>
      <c r="G794" s="30"/>
      <c r="H794" s="30"/>
      <c r="I794" t="s">
        <v>50</v>
      </c>
    </row>
    <row r="795" spans="3:9">
      <c r="C795" s="40">
        <v>786</v>
      </c>
      <c r="D795" s="39"/>
      <c r="E795" s="30"/>
      <c r="F795" s="31"/>
      <c r="G795" s="30"/>
      <c r="H795" s="30"/>
      <c r="I795" t="s">
        <v>50</v>
      </c>
    </row>
    <row r="796" spans="3:9">
      <c r="C796" s="40">
        <v>787</v>
      </c>
      <c r="D796" s="39"/>
      <c r="E796" s="30"/>
      <c r="F796" s="31"/>
      <c r="G796" s="30"/>
      <c r="H796" s="30"/>
      <c r="I796" t="s">
        <v>50</v>
      </c>
    </row>
    <row r="797" spans="3:9">
      <c r="C797" s="40">
        <v>788</v>
      </c>
      <c r="D797" s="39"/>
      <c r="E797" s="30"/>
      <c r="F797" s="31"/>
      <c r="G797" s="30"/>
      <c r="H797" s="30"/>
      <c r="I797" t="s">
        <v>50</v>
      </c>
    </row>
    <row r="798" spans="3:9">
      <c r="C798" s="40">
        <v>789</v>
      </c>
      <c r="D798" s="39"/>
      <c r="E798" s="30"/>
      <c r="F798" s="31"/>
      <c r="G798" s="30"/>
      <c r="H798" s="30"/>
      <c r="I798" t="s">
        <v>50</v>
      </c>
    </row>
    <row r="799" spans="3:9">
      <c r="C799" s="40">
        <v>790</v>
      </c>
      <c r="D799" s="39"/>
      <c r="E799" s="30"/>
      <c r="F799" s="31"/>
      <c r="G799" s="30"/>
      <c r="H799" s="30"/>
      <c r="I799" t="s">
        <v>50</v>
      </c>
    </row>
    <row r="800" spans="3:9">
      <c r="C800" s="40">
        <v>791</v>
      </c>
      <c r="D800" s="39"/>
      <c r="E800" s="30"/>
      <c r="F800" s="31"/>
      <c r="G800" s="30"/>
      <c r="H800" s="30"/>
      <c r="I800" t="s">
        <v>50</v>
      </c>
    </row>
    <row r="801" spans="3:9">
      <c r="C801" s="40">
        <v>792</v>
      </c>
      <c r="D801" s="39"/>
      <c r="E801" s="30"/>
      <c r="F801" s="31"/>
      <c r="G801" s="30"/>
      <c r="H801" s="30"/>
      <c r="I801" t="s">
        <v>50</v>
      </c>
    </row>
    <row r="802" spans="3:9">
      <c r="C802" s="40">
        <v>793</v>
      </c>
      <c r="D802" s="39"/>
      <c r="E802" s="30"/>
      <c r="F802" s="31"/>
      <c r="G802" s="30"/>
      <c r="H802" s="30"/>
      <c r="I802" t="s">
        <v>50</v>
      </c>
    </row>
    <row r="803" spans="3:9">
      <c r="C803" s="40">
        <v>794</v>
      </c>
      <c r="D803" s="39"/>
      <c r="E803" s="30"/>
      <c r="F803" s="31"/>
      <c r="G803" s="30"/>
      <c r="H803" s="30"/>
      <c r="I803" t="s">
        <v>50</v>
      </c>
    </row>
    <row r="804" spans="3:9">
      <c r="C804" s="40">
        <v>795</v>
      </c>
      <c r="D804" s="39"/>
      <c r="E804" s="30"/>
      <c r="F804" s="31"/>
      <c r="G804" s="30"/>
      <c r="H804" s="30"/>
      <c r="I804" t="s">
        <v>50</v>
      </c>
    </row>
    <row r="805" spans="3:9">
      <c r="C805" s="40">
        <v>796</v>
      </c>
      <c r="D805" s="39"/>
      <c r="E805" s="30"/>
      <c r="F805" s="31"/>
      <c r="G805" s="30"/>
      <c r="H805" s="30"/>
      <c r="I805" t="s">
        <v>50</v>
      </c>
    </row>
    <row r="806" spans="3:9">
      <c r="C806" s="40">
        <v>797</v>
      </c>
      <c r="D806" s="39"/>
      <c r="E806" s="30"/>
      <c r="F806" s="31"/>
      <c r="G806" s="30"/>
      <c r="H806" s="30"/>
      <c r="I806" t="s">
        <v>50</v>
      </c>
    </row>
    <row r="807" spans="3:9">
      <c r="C807" s="40">
        <v>798</v>
      </c>
      <c r="D807" s="39"/>
      <c r="E807" s="30"/>
      <c r="F807" s="31"/>
      <c r="G807" s="30"/>
      <c r="H807" s="30"/>
      <c r="I807" t="s">
        <v>50</v>
      </c>
    </row>
    <row r="808" spans="3:9">
      <c r="C808" s="40">
        <v>799</v>
      </c>
      <c r="D808" s="39"/>
      <c r="E808" s="30"/>
      <c r="F808" s="31"/>
      <c r="G808" s="30"/>
      <c r="H808" s="30"/>
      <c r="I808" t="s">
        <v>50</v>
      </c>
    </row>
    <row r="809" spans="3:9">
      <c r="C809" s="40">
        <v>800</v>
      </c>
      <c r="D809" s="39"/>
      <c r="E809" s="30"/>
      <c r="F809" s="31"/>
      <c r="G809" s="30"/>
      <c r="H809" s="30"/>
      <c r="I809" t="s">
        <v>50</v>
      </c>
    </row>
    <row r="810" spans="3:9">
      <c r="C810" s="40">
        <v>801</v>
      </c>
      <c r="D810" s="39"/>
      <c r="E810" s="30"/>
      <c r="F810" s="31"/>
      <c r="G810" s="30"/>
      <c r="H810" s="30"/>
      <c r="I810" t="s">
        <v>50</v>
      </c>
    </row>
    <row r="811" spans="3:9">
      <c r="C811" s="40">
        <v>802</v>
      </c>
      <c r="D811" s="39"/>
      <c r="E811" s="30"/>
      <c r="F811" s="31"/>
      <c r="G811" s="30"/>
      <c r="H811" s="30"/>
      <c r="I811" t="s">
        <v>50</v>
      </c>
    </row>
    <row r="812" spans="3:9">
      <c r="C812" s="40">
        <v>803</v>
      </c>
      <c r="D812" s="39"/>
      <c r="E812" s="30"/>
      <c r="F812" s="31"/>
      <c r="G812" s="30"/>
      <c r="H812" s="30"/>
      <c r="I812" t="s">
        <v>50</v>
      </c>
    </row>
    <row r="813" spans="3:9">
      <c r="C813" s="40">
        <v>804</v>
      </c>
      <c r="D813" s="39"/>
      <c r="E813" s="30"/>
      <c r="F813" s="31"/>
      <c r="G813" s="30"/>
      <c r="H813" s="30"/>
      <c r="I813" t="s">
        <v>50</v>
      </c>
    </row>
    <row r="814" spans="3:9">
      <c r="C814" s="40">
        <v>805</v>
      </c>
      <c r="D814" s="39"/>
      <c r="E814" s="30"/>
      <c r="F814" s="31"/>
      <c r="G814" s="30"/>
      <c r="H814" s="30"/>
      <c r="I814" t="s">
        <v>50</v>
      </c>
    </row>
    <row r="815" spans="3:9">
      <c r="C815" s="40">
        <v>806</v>
      </c>
      <c r="D815" s="39"/>
      <c r="E815" s="30"/>
      <c r="F815" s="31"/>
      <c r="G815" s="30"/>
      <c r="H815" s="30"/>
      <c r="I815" t="s">
        <v>50</v>
      </c>
    </row>
    <row r="816" spans="3:9">
      <c r="C816" s="40">
        <v>807</v>
      </c>
      <c r="D816" s="39"/>
      <c r="E816" s="30"/>
      <c r="F816" s="31"/>
      <c r="G816" s="30"/>
      <c r="H816" s="30"/>
      <c r="I816" t="s">
        <v>50</v>
      </c>
    </row>
    <row r="817" spans="3:9">
      <c r="C817" s="40">
        <v>808</v>
      </c>
      <c r="D817" s="39"/>
      <c r="E817" s="30"/>
      <c r="F817" s="31"/>
      <c r="G817" s="30"/>
      <c r="H817" s="30"/>
      <c r="I817" t="s">
        <v>50</v>
      </c>
    </row>
    <row r="818" spans="3:9">
      <c r="C818" s="40">
        <v>809</v>
      </c>
      <c r="D818" s="39"/>
      <c r="E818" s="30"/>
      <c r="F818" s="31"/>
      <c r="G818" s="30"/>
      <c r="H818" s="30"/>
      <c r="I818" t="s">
        <v>50</v>
      </c>
    </row>
    <row r="819" spans="3:9">
      <c r="C819" s="40">
        <v>810</v>
      </c>
      <c r="D819" s="39"/>
      <c r="E819" s="30"/>
      <c r="F819" s="31"/>
      <c r="G819" s="30"/>
      <c r="H819" s="30"/>
      <c r="I819" t="s">
        <v>50</v>
      </c>
    </row>
    <row r="820" spans="3:9">
      <c r="C820" s="40">
        <v>811</v>
      </c>
      <c r="D820" s="39"/>
      <c r="E820" s="30"/>
      <c r="F820" s="31"/>
      <c r="G820" s="30"/>
      <c r="H820" s="30"/>
      <c r="I820" t="s">
        <v>50</v>
      </c>
    </row>
    <row r="821" spans="3:9">
      <c r="C821" s="40">
        <v>812</v>
      </c>
      <c r="D821" s="39"/>
      <c r="E821" s="30"/>
      <c r="F821" s="31"/>
      <c r="G821" s="30"/>
      <c r="H821" s="30"/>
      <c r="I821" t="s">
        <v>50</v>
      </c>
    </row>
    <row r="822" spans="3:9">
      <c r="C822" s="40">
        <v>813</v>
      </c>
      <c r="D822" s="39"/>
      <c r="E822" s="30"/>
      <c r="F822" s="31"/>
      <c r="G822" s="30"/>
      <c r="H822" s="30"/>
      <c r="I822" t="s">
        <v>50</v>
      </c>
    </row>
    <row r="823" spans="3:9">
      <c r="C823" s="40">
        <v>814</v>
      </c>
      <c r="D823" s="39"/>
      <c r="E823" s="30"/>
      <c r="F823" s="31"/>
      <c r="G823" s="30"/>
      <c r="H823" s="30"/>
      <c r="I823" t="s">
        <v>50</v>
      </c>
    </row>
    <row r="824" spans="3:9">
      <c r="C824" s="40">
        <v>815</v>
      </c>
      <c r="D824" s="39"/>
      <c r="E824" s="30"/>
      <c r="F824" s="31"/>
      <c r="G824" s="30"/>
      <c r="H824" s="30"/>
      <c r="I824" t="s">
        <v>50</v>
      </c>
    </row>
    <row r="825" spans="3:9">
      <c r="C825" s="40">
        <v>816</v>
      </c>
      <c r="D825" s="39"/>
      <c r="E825" s="30"/>
      <c r="F825" s="31"/>
      <c r="G825" s="30"/>
      <c r="H825" s="30"/>
      <c r="I825" t="s">
        <v>50</v>
      </c>
    </row>
    <row r="826" spans="3:9">
      <c r="C826" s="40">
        <v>817</v>
      </c>
      <c r="D826" s="39"/>
      <c r="E826" s="30"/>
      <c r="F826" s="31"/>
      <c r="G826" s="30"/>
      <c r="H826" s="30"/>
      <c r="I826" t="s">
        <v>50</v>
      </c>
    </row>
    <row r="827" spans="3:9">
      <c r="C827" s="40">
        <v>818</v>
      </c>
      <c r="D827" s="39"/>
      <c r="E827" s="30"/>
      <c r="F827" s="31"/>
      <c r="G827" s="30"/>
      <c r="H827" s="30"/>
      <c r="I827" t="s">
        <v>50</v>
      </c>
    </row>
    <row r="828" spans="3:9">
      <c r="C828" s="40">
        <v>819</v>
      </c>
      <c r="D828" s="39"/>
      <c r="E828" s="30"/>
      <c r="F828" s="31"/>
      <c r="G828" s="30"/>
      <c r="H828" s="30"/>
      <c r="I828" t="s">
        <v>50</v>
      </c>
    </row>
    <row r="829" spans="3:9">
      <c r="C829" s="40">
        <v>820</v>
      </c>
      <c r="D829" s="39"/>
      <c r="E829" s="30"/>
      <c r="F829" s="31"/>
      <c r="G829" s="30"/>
      <c r="H829" s="30"/>
      <c r="I829" t="s">
        <v>50</v>
      </c>
    </row>
    <row r="830" spans="3:9">
      <c r="C830" s="40">
        <v>821</v>
      </c>
      <c r="D830" s="39"/>
      <c r="E830" s="30"/>
      <c r="F830" s="31"/>
      <c r="G830" s="30"/>
      <c r="H830" s="30"/>
      <c r="I830" t="s">
        <v>50</v>
      </c>
    </row>
    <row r="831" spans="3:9">
      <c r="C831" s="40">
        <v>822</v>
      </c>
      <c r="D831" s="39"/>
      <c r="E831" s="30"/>
      <c r="F831" s="31"/>
      <c r="G831" s="30"/>
      <c r="H831" s="30"/>
      <c r="I831" t="s">
        <v>50</v>
      </c>
    </row>
    <row r="832" spans="3:9">
      <c r="C832" s="40">
        <v>823</v>
      </c>
      <c r="D832" s="39"/>
      <c r="E832" s="30"/>
      <c r="F832" s="31"/>
      <c r="G832" s="30"/>
      <c r="H832" s="30"/>
      <c r="I832" t="s">
        <v>50</v>
      </c>
    </row>
    <row r="833" spans="3:9">
      <c r="C833" s="40">
        <v>824</v>
      </c>
      <c r="D833" s="39"/>
      <c r="E833" s="30"/>
      <c r="F833" s="31"/>
      <c r="G833" s="30"/>
      <c r="H833" s="30"/>
      <c r="I833" t="s">
        <v>50</v>
      </c>
    </row>
    <row r="834" spans="3:9">
      <c r="C834" s="40">
        <v>825</v>
      </c>
      <c r="D834" s="39"/>
      <c r="E834" s="30"/>
      <c r="F834" s="31"/>
      <c r="G834" s="30"/>
      <c r="H834" s="30"/>
      <c r="I834" t="s">
        <v>50</v>
      </c>
    </row>
    <row r="835" spans="3:9">
      <c r="C835" s="40">
        <v>826</v>
      </c>
      <c r="D835" s="39"/>
      <c r="E835" s="30"/>
      <c r="F835" s="31"/>
      <c r="G835" s="30"/>
      <c r="H835" s="30"/>
      <c r="I835" t="s">
        <v>50</v>
      </c>
    </row>
    <row r="836" spans="3:9">
      <c r="C836" s="40">
        <v>827</v>
      </c>
      <c r="D836" s="39"/>
      <c r="E836" s="30"/>
      <c r="F836" s="31"/>
      <c r="G836" s="30"/>
      <c r="H836" s="30"/>
      <c r="I836" t="s">
        <v>50</v>
      </c>
    </row>
    <row r="837" spans="3:9">
      <c r="C837" s="40">
        <v>828</v>
      </c>
      <c r="D837" s="39"/>
      <c r="E837" s="30"/>
      <c r="F837" s="31"/>
      <c r="G837" s="30"/>
      <c r="H837" s="30"/>
      <c r="I837" t="s">
        <v>50</v>
      </c>
    </row>
    <row r="838" spans="3:9">
      <c r="C838" s="40">
        <v>829</v>
      </c>
      <c r="D838" s="39"/>
      <c r="E838" s="30"/>
      <c r="F838" s="31"/>
      <c r="G838" s="30"/>
      <c r="H838" s="30"/>
      <c r="I838" t="s">
        <v>50</v>
      </c>
    </row>
    <row r="839" spans="3:9">
      <c r="C839" s="40">
        <v>830</v>
      </c>
      <c r="D839" s="39"/>
      <c r="E839" s="30"/>
      <c r="F839" s="31"/>
      <c r="G839" s="30"/>
      <c r="H839" s="30"/>
      <c r="I839" t="s">
        <v>50</v>
      </c>
    </row>
    <row r="840" spans="3:9">
      <c r="C840" s="40">
        <v>831</v>
      </c>
      <c r="D840" s="39"/>
      <c r="E840" s="30"/>
      <c r="F840" s="31"/>
      <c r="G840" s="30"/>
      <c r="H840" s="30"/>
      <c r="I840" t="s">
        <v>50</v>
      </c>
    </row>
    <row r="841" spans="3:9">
      <c r="C841" s="40">
        <v>832</v>
      </c>
      <c r="D841" s="39"/>
      <c r="E841" s="30"/>
      <c r="F841" s="31"/>
      <c r="G841" s="30"/>
      <c r="H841" s="30"/>
      <c r="I841" t="s">
        <v>50</v>
      </c>
    </row>
    <row r="842" spans="3:9">
      <c r="C842" s="40">
        <v>833</v>
      </c>
      <c r="D842" s="39"/>
      <c r="E842" s="30"/>
      <c r="F842" s="31"/>
      <c r="G842" s="30"/>
      <c r="H842" s="30"/>
      <c r="I842" t="s">
        <v>50</v>
      </c>
    </row>
    <row r="843" spans="3:9">
      <c r="C843" s="40">
        <v>834</v>
      </c>
      <c r="D843" s="39"/>
      <c r="E843" s="30"/>
      <c r="F843" s="31"/>
      <c r="G843" s="30"/>
      <c r="H843" s="30"/>
      <c r="I843" t="s">
        <v>50</v>
      </c>
    </row>
    <row r="844" spans="3:9">
      <c r="C844" s="40">
        <v>835</v>
      </c>
      <c r="D844" s="39"/>
      <c r="E844" s="30"/>
      <c r="F844" s="31"/>
      <c r="G844" s="30"/>
      <c r="H844" s="30"/>
      <c r="I844" t="s">
        <v>50</v>
      </c>
    </row>
    <row r="845" spans="3:9">
      <c r="C845" s="40">
        <v>836</v>
      </c>
      <c r="D845" s="39"/>
      <c r="E845" s="30"/>
      <c r="F845" s="31"/>
      <c r="G845" s="30"/>
      <c r="H845" s="30"/>
      <c r="I845" t="s">
        <v>50</v>
      </c>
    </row>
    <row r="846" spans="3:9">
      <c r="C846" s="40">
        <v>837</v>
      </c>
      <c r="D846" s="39"/>
      <c r="E846" s="30"/>
      <c r="F846" s="31"/>
      <c r="G846" s="30"/>
      <c r="H846" s="30"/>
      <c r="I846" t="s">
        <v>50</v>
      </c>
    </row>
    <row r="847" spans="3:9">
      <c r="C847" s="40">
        <v>838</v>
      </c>
      <c r="D847" s="39"/>
      <c r="E847" s="30"/>
      <c r="F847" s="31"/>
      <c r="G847" s="30"/>
      <c r="H847" s="30"/>
      <c r="I847" t="s">
        <v>50</v>
      </c>
    </row>
    <row r="848" spans="3:9">
      <c r="C848" s="40">
        <v>839</v>
      </c>
      <c r="D848" s="39"/>
      <c r="E848" s="30"/>
      <c r="F848" s="31"/>
      <c r="G848" s="30"/>
      <c r="H848" s="30"/>
      <c r="I848" t="s">
        <v>50</v>
      </c>
    </row>
    <row r="849" spans="3:9">
      <c r="C849" s="40">
        <v>840</v>
      </c>
      <c r="D849" s="39"/>
      <c r="E849" s="30"/>
      <c r="F849" s="31"/>
      <c r="G849" s="30"/>
      <c r="H849" s="30"/>
      <c r="I849" t="s">
        <v>50</v>
      </c>
    </row>
    <row r="850" spans="3:9">
      <c r="C850" s="40">
        <v>841</v>
      </c>
      <c r="D850" s="39"/>
      <c r="E850" s="30"/>
      <c r="F850" s="31"/>
      <c r="G850" s="30"/>
      <c r="H850" s="30"/>
      <c r="I850" t="s">
        <v>50</v>
      </c>
    </row>
    <row r="851" spans="3:9">
      <c r="C851" s="40">
        <v>842</v>
      </c>
      <c r="D851" s="39"/>
      <c r="E851" s="30"/>
      <c r="F851" s="31"/>
      <c r="G851" s="30"/>
      <c r="H851" s="30"/>
      <c r="I851" t="s">
        <v>50</v>
      </c>
    </row>
    <row r="852" spans="3:9">
      <c r="C852" s="40">
        <v>843</v>
      </c>
      <c r="D852" s="39"/>
      <c r="E852" s="30"/>
      <c r="F852" s="31"/>
      <c r="G852" s="30"/>
      <c r="H852" s="30"/>
      <c r="I852" t="s">
        <v>50</v>
      </c>
    </row>
    <row r="853" spans="3:9">
      <c r="C853" s="40">
        <v>844</v>
      </c>
      <c r="D853" s="39"/>
      <c r="E853" s="30"/>
      <c r="F853" s="31"/>
      <c r="G853" s="30"/>
      <c r="H853" s="30"/>
      <c r="I853" t="s">
        <v>50</v>
      </c>
    </row>
    <row r="854" spans="3:9">
      <c r="C854" s="40">
        <v>845</v>
      </c>
      <c r="D854" s="39"/>
      <c r="E854" s="30"/>
      <c r="F854" s="31"/>
      <c r="G854" s="30"/>
      <c r="H854" s="30"/>
      <c r="I854" t="s">
        <v>50</v>
      </c>
    </row>
    <row r="855" spans="3:9">
      <c r="C855" s="40">
        <v>846</v>
      </c>
      <c r="D855" s="39"/>
      <c r="E855" s="30"/>
      <c r="F855" s="31"/>
      <c r="G855" s="30"/>
      <c r="H855" s="30"/>
      <c r="I855" t="s">
        <v>50</v>
      </c>
    </row>
    <row r="856" spans="3:9">
      <c r="C856" s="40">
        <v>847</v>
      </c>
      <c r="D856" s="39"/>
      <c r="E856" s="30"/>
      <c r="F856" s="31"/>
      <c r="G856" s="30"/>
      <c r="H856" s="30"/>
      <c r="I856" t="s">
        <v>50</v>
      </c>
    </row>
    <row r="857" spans="3:9">
      <c r="C857" s="40">
        <v>848</v>
      </c>
      <c r="D857" s="39"/>
      <c r="E857" s="30"/>
      <c r="F857" s="31"/>
      <c r="G857" s="30"/>
      <c r="H857" s="30"/>
      <c r="I857" t="s">
        <v>50</v>
      </c>
    </row>
    <row r="858" spans="3:9">
      <c r="C858" s="40">
        <v>849</v>
      </c>
      <c r="D858" s="39"/>
      <c r="E858" s="30"/>
      <c r="F858" s="31"/>
      <c r="G858" s="30"/>
      <c r="H858" s="30"/>
      <c r="I858" t="s">
        <v>50</v>
      </c>
    </row>
    <row r="859" spans="3:9">
      <c r="C859" s="40">
        <v>850</v>
      </c>
      <c r="D859" s="39"/>
      <c r="E859" s="30"/>
      <c r="F859" s="31"/>
      <c r="G859" s="30"/>
      <c r="H859" s="30"/>
      <c r="I859" t="s">
        <v>50</v>
      </c>
    </row>
    <row r="860" spans="3:9">
      <c r="C860" s="40">
        <v>851</v>
      </c>
      <c r="D860" s="39"/>
      <c r="E860" s="30"/>
      <c r="F860" s="31"/>
      <c r="G860" s="30"/>
      <c r="H860" s="30"/>
      <c r="I860" t="s">
        <v>50</v>
      </c>
    </row>
    <row r="861" spans="3:9">
      <c r="C861" s="40">
        <v>852</v>
      </c>
      <c r="D861" s="39"/>
      <c r="E861" s="30"/>
      <c r="F861" s="31"/>
      <c r="G861" s="30"/>
      <c r="H861" s="30"/>
      <c r="I861" t="s">
        <v>50</v>
      </c>
    </row>
    <row r="862" spans="3:9">
      <c r="C862" s="40">
        <v>853</v>
      </c>
      <c r="D862" s="39"/>
      <c r="E862" s="30"/>
      <c r="F862" s="31"/>
      <c r="G862" s="30"/>
      <c r="H862" s="30"/>
      <c r="I862" t="s">
        <v>50</v>
      </c>
    </row>
    <row r="863" spans="3:9">
      <c r="C863" s="40">
        <v>854</v>
      </c>
      <c r="D863" s="39"/>
      <c r="E863" s="30"/>
      <c r="F863" s="31"/>
      <c r="G863" s="30"/>
      <c r="H863" s="30"/>
      <c r="I863" t="s">
        <v>50</v>
      </c>
    </row>
    <row r="864" spans="3:9">
      <c r="C864" s="40">
        <v>855</v>
      </c>
      <c r="D864" s="39"/>
      <c r="E864" s="30"/>
      <c r="F864" s="31"/>
      <c r="G864" s="30"/>
      <c r="H864" s="30"/>
      <c r="I864" t="s">
        <v>50</v>
      </c>
    </row>
    <row r="865" spans="3:9">
      <c r="C865" s="40">
        <v>856</v>
      </c>
      <c r="D865" s="39"/>
      <c r="E865" s="30"/>
      <c r="F865" s="31"/>
      <c r="G865" s="30"/>
      <c r="H865" s="30"/>
      <c r="I865" t="s">
        <v>50</v>
      </c>
    </row>
    <row r="866" spans="3:9">
      <c r="C866" s="40">
        <v>857</v>
      </c>
      <c r="D866" s="39"/>
      <c r="E866" s="30"/>
      <c r="F866" s="31"/>
      <c r="G866" s="30"/>
      <c r="H866" s="30"/>
      <c r="I866" t="s">
        <v>50</v>
      </c>
    </row>
    <row r="867" spans="3:9">
      <c r="C867" s="40">
        <v>858</v>
      </c>
      <c r="D867" s="39"/>
      <c r="E867" s="30"/>
      <c r="F867" s="31"/>
      <c r="G867" s="30"/>
      <c r="H867" s="30"/>
      <c r="I867" t="s">
        <v>50</v>
      </c>
    </row>
    <row r="868" spans="3:9">
      <c r="C868" s="40">
        <v>859</v>
      </c>
      <c r="D868" s="39"/>
      <c r="E868" s="30"/>
      <c r="F868" s="31"/>
      <c r="G868" s="30"/>
      <c r="H868" s="30"/>
      <c r="I868" t="s">
        <v>50</v>
      </c>
    </row>
    <row r="869" spans="3:9">
      <c r="C869" s="40">
        <v>860</v>
      </c>
      <c r="D869" s="39"/>
      <c r="E869" s="30"/>
      <c r="F869" s="31"/>
      <c r="G869" s="30"/>
      <c r="H869" s="30"/>
      <c r="I869" t="s">
        <v>50</v>
      </c>
    </row>
    <row r="870" spans="3:9">
      <c r="C870" s="40">
        <v>861</v>
      </c>
      <c r="D870" s="39"/>
      <c r="E870" s="30"/>
      <c r="F870" s="31"/>
      <c r="G870" s="30"/>
      <c r="H870" s="30"/>
      <c r="I870" t="s">
        <v>50</v>
      </c>
    </row>
    <row r="871" spans="3:9">
      <c r="C871" s="40">
        <v>862</v>
      </c>
      <c r="D871" s="39"/>
      <c r="E871" s="30"/>
      <c r="F871" s="31"/>
      <c r="G871" s="30"/>
      <c r="H871" s="30"/>
      <c r="I871" t="s">
        <v>50</v>
      </c>
    </row>
    <row r="872" spans="3:9">
      <c r="C872" s="40">
        <v>863</v>
      </c>
      <c r="D872" s="39"/>
      <c r="E872" s="30"/>
      <c r="F872" s="31"/>
      <c r="G872" s="30"/>
      <c r="H872" s="30"/>
      <c r="I872" t="s">
        <v>50</v>
      </c>
    </row>
    <row r="873" spans="3:9">
      <c r="C873" s="40">
        <v>864</v>
      </c>
      <c r="D873" s="39"/>
      <c r="E873" s="30"/>
      <c r="F873" s="31"/>
      <c r="G873" s="30"/>
      <c r="H873" s="30"/>
      <c r="I873" t="s">
        <v>50</v>
      </c>
    </row>
    <row r="874" spans="3:9">
      <c r="C874" s="40">
        <v>865</v>
      </c>
      <c r="D874" s="39"/>
      <c r="E874" s="30"/>
      <c r="F874" s="31"/>
      <c r="G874" s="30"/>
      <c r="H874" s="30"/>
      <c r="I874" t="s">
        <v>50</v>
      </c>
    </row>
    <row r="875" spans="3:9">
      <c r="C875" s="40">
        <v>866</v>
      </c>
      <c r="D875" s="39"/>
      <c r="E875" s="30"/>
      <c r="F875" s="31"/>
      <c r="G875" s="30"/>
      <c r="H875" s="30"/>
      <c r="I875" t="s">
        <v>50</v>
      </c>
    </row>
    <row r="876" spans="3:9">
      <c r="C876" s="40">
        <v>867</v>
      </c>
      <c r="D876" s="39"/>
      <c r="E876" s="30"/>
      <c r="F876" s="31"/>
      <c r="G876" s="30"/>
      <c r="H876" s="30"/>
      <c r="I876" t="s">
        <v>50</v>
      </c>
    </row>
    <row r="877" spans="3:9">
      <c r="C877" s="40">
        <v>868</v>
      </c>
      <c r="D877" s="39"/>
      <c r="E877" s="30"/>
      <c r="F877" s="31"/>
      <c r="G877" s="30"/>
      <c r="H877" s="30"/>
      <c r="I877" t="s">
        <v>50</v>
      </c>
    </row>
    <row r="878" spans="3:9">
      <c r="C878" s="40">
        <v>869</v>
      </c>
      <c r="D878" s="39"/>
      <c r="E878" s="30"/>
      <c r="F878" s="31"/>
      <c r="G878" s="30"/>
      <c r="H878" s="30"/>
      <c r="I878" t="s">
        <v>50</v>
      </c>
    </row>
    <row r="879" spans="3:9">
      <c r="C879" s="40">
        <v>870</v>
      </c>
      <c r="D879" s="39"/>
      <c r="E879" s="30"/>
      <c r="F879" s="31"/>
      <c r="G879" s="30"/>
      <c r="H879" s="30"/>
      <c r="I879" t="s">
        <v>50</v>
      </c>
    </row>
    <row r="880" spans="3:9">
      <c r="C880" s="40">
        <v>871</v>
      </c>
      <c r="D880" s="39"/>
      <c r="E880" s="30"/>
      <c r="F880" s="31"/>
      <c r="G880" s="30"/>
      <c r="H880" s="30"/>
      <c r="I880" t="s">
        <v>50</v>
      </c>
    </row>
    <row r="881" spans="3:9">
      <c r="C881" s="40">
        <v>872</v>
      </c>
      <c r="D881" s="39"/>
      <c r="E881" s="30"/>
      <c r="F881" s="31"/>
      <c r="G881" s="30"/>
      <c r="H881" s="30"/>
      <c r="I881" t="s">
        <v>50</v>
      </c>
    </row>
    <row r="882" spans="3:9">
      <c r="C882" s="40">
        <v>873</v>
      </c>
      <c r="D882" s="39"/>
      <c r="E882" s="30"/>
      <c r="F882" s="31"/>
      <c r="G882" s="30"/>
      <c r="H882" s="30"/>
      <c r="I882" t="s">
        <v>50</v>
      </c>
    </row>
    <row r="883" spans="3:9">
      <c r="C883" s="40">
        <v>874</v>
      </c>
      <c r="D883" s="39"/>
      <c r="E883" s="30"/>
      <c r="F883" s="31"/>
      <c r="G883" s="30"/>
      <c r="H883" s="30"/>
      <c r="I883" t="s">
        <v>50</v>
      </c>
    </row>
    <row r="884" spans="3:9">
      <c r="C884" s="40">
        <v>875</v>
      </c>
      <c r="D884" s="39"/>
      <c r="E884" s="30"/>
      <c r="F884" s="31"/>
      <c r="G884" s="30"/>
      <c r="H884" s="30"/>
      <c r="I884" t="s">
        <v>50</v>
      </c>
    </row>
    <row r="885" spans="3:9">
      <c r="C885" s="40">
        <v>876</v>
      </c>
      <c r="D885" s="39"/>
      <c r="E885" s="30"/>
      <c r="F885" s="31"/>
      <c r="G885" s="30"/>
      <c r="H885" s="30"/>
      <c r="I885" t="s">
        <v>50</v>
      </c>
    </row>
    <row r="886" spans="3:9">
      <c r="C886" s="40">
        <v>877</v>
      </c>
      <c r="D886" s="39"/>
      <c r="E886" s="30"/>
      <c r="F886" s="31"/>
      <c r="G886" s="30"/>
      <c r="H886" s="30"/>
      <c r="I886" t="s">
        <v>50</v>
      </c>
    </row>
    <row r="887" spans="3:9">
      <c r="C887" s="40">
        <v>878</v>
      </c>
      <c r="D887" s="39"/>
      <c r="E887" s="30"/>
      <c r="F887" s="31"/>
      <c r="G887" s="30"/>
      <c r="H887" s="30"/>
      <c r="I887" t="s">
        <v>50</v>
      </c>
    </row>
    <row r="888" spans="3:9">
      <c r="C888" s="40">
        <v>879</v>
      </c>
      <c r="D888" s="39"/>
      <c r="E888" s="30"/>
      <c r="F888" s="31"/>
      <c r="G888" s="30"/>
      <c r="H888" s="30"/>
      <c r="I888" t="s">
        <v>50</v>
      </c>
    </row>
    <row r="889" spans="3:9">
      <c r="C889" s="40">
        <v>880</v>
      </c>
      <c r="D889" s="39"/>
      <c r="E889" s="30"/>
      <c r="F889" s="31"/>
      <c r="G889" s="30"/>
      <c r="H889" s="30"/>
      <c r="I889" t="s">
        <v>50</v>
      </c>
    </row>
    <row r="890" spans="3:9">
      <c r="C890" s="40">
        <v>881</v>
      </c>
      <c r="D890" s="39"/>
      <c r="E890" s="30"/>
      <c r="F890" s="31"/>
      <c r="G890" s="30"/>
      <c r="H890" s="30"/>
      <c r="I890" t="s">
        <v>50</v>
      </c>
    </row>
    <row r="891" spans="3:9">
      <c r="C891" s="40">
        <v>882</v>
      </c>
      <c r="D891" s="39"/>
      <c r="E891" s="30"/>
      <c r="F891" s="31"/>
      <c r="G891" s="30"/>
      <c r="H891" s="30"/>
      <c r="I891" t="s">
        <v>50</v>
      </c>
    </row>
    <row r="892" spans="3:9">
      <c r="C892" s="40">
        <v>883</v>
      </c>
      <c r="D892" s="39"/>
      <c r="E892" s="30"/>
      <c r="F892" s="31"/>
      <c r="G892" s="30"/>
      <c r="H892" s="30"/>
      <c r="I892" t="s">
        <v>50</v>
      </c>
    </row>
    <row r="893" spans="3:9">
      <c r="C893" s="40">
        <v>884</v>
      </c>
      <c r="D893" s="39"/>
      <c r="E893" s="30"/>
      <c r="F893" s="31"/>
      <c r="G893" s="30"/>
      <c r="H893" s="30"/>
      <c r="I893" t="s">
        <v>50</v>
      </c>
    </row>
    <row r="894" spans="3:9">
      <c r="C894" s="40">
        <v>885</v>
      </c>
      <c r="D894" s="39"/>
      <c r="E894" s="30"/>
      <c r="F894" s="31"/>
      <c r="G894" s="30"/>
      <c r="H894" s="30"/>
      <c r="I894" t="s">
        <v>50</v>
      </c>
    </row>
    <row r="895" spans="3:9">
      <c r="C895" s="40">
        <v>886</v>
      </c>
      <c r="D895" s="39"/>
      <c r="E895" s="30"/>
      <c r="F895" s="31"/>
      <c r="G895" s="30"/>
      <c r="H895" s="30"/>
      <c r="I895" t="s">
        <v>50</v>
      </c>
    </row>
    <row r="896" spans="3:9">
      <c r="C896" s="40">
        <v>887</v>
      </c>
      <c r="D896" s="39"/>
      <c r="E896" s="30"/>
      <c r="F896" s="31"/>
      <c r="G896" s="30"/>
      <c r="H896" s="30"/>
      <c r="I896" t="s">
        <v>50</v>
      </c>
    </row>
    <row r="897" spans="3:9">
      <c r="C897" s="40">
        <v>888</v>
      </c>
      <c r="D897" s="39"/>
      <c r="E897" s="30"/>
      <c r="F897" s="31"/>
      <c r="G897" s="30"/>
      <c r="H897" s="30"/>
      <c r="I897" t="s">
        <v>50</v>
      </c>
    </row>
    <row r="898" spans="3:9">
      <c r="C898" s="40">
        <v>889</v>
      </c>
      <c r="D898" s="39"/>
      <c r="E898" s="30"/>
      <c r="F898" s="31"/>
      <c r="G898" s="30"/>
      <c r="H898" s="30"/>
      <c r="I898" t="s">
        <v>50</v>
      </c>
    </row>
    <row r="899" spans="3:9">
      <c r="C899" s="40">
        <v>890</v>
      </c>
      <c r="D899" s="39"/>
      <c r="E899" s="30"/>
      <c r="F899" s="31"/>
      <c r="G899" s="30"/>
      <c r="H899" s="30"/>
      <c r="I899" t="s">
        <v>50</v>
      </c>
    </row>
    <row r="900" spans="3:9">
      <c r="C900" s="40">
        <v>891</v>
      </c>
      <c r="D900" s="39"/>
      <c r="E900" s="30"/>
      <c r="F900" s="31"/>
      <c r="G900" s="30"/>
      <c r="H900" s="30"/>
      <c r="I900" t="s">
        <v>50</v>
      </c>
    </row>
    <row r="901" spans="3:9">
      <c r="C901" s="40">
        <v>892</v>
      </c>
      <c r="D901" s="39"/>
      <c r="E901" s="30"/>
      <c r="F901" s="31"/>
      <c r="G901" s="30"/>
      <c r="H901" s="30"/>
      <c r="I901" t="s">
        <v>50</v>
      </c>
    </row>
    <row r="902" spans="3:9">
      <c r="C902" s="40">
        <v>893</v>
      </c>
      <c r="D902" s="39"/>
      <c r="E902" s="30"/>
      <c r="F902" s="31"/>
      <c r="G902" s="30"/>
      <c r="H902" s="30"/>
      <c r="I902" t="s">
        <v>50</v>
      </c>
    </row>
    <row r="903" spans="3:9">
      <c r="C903" s="40">
        <v>894</v>
      </c>
      <c r="D903" s="39"/>
      <c r="E903" s="30"/>
      <c r="F903" s="31"/>
      <c r="G903" s="30"/>
      <c r="H903" s="30"/>
      <c r="I903" t="s">
        <v>50</v>
      </c>
    </row>
    <row r="904" spans="3:9">
      <c r="C904" s="40">
        <v>895</v>
      </c>
      <c r="D904" s="39"/>
      <c r="E904" s="30"/>
      <c r="F904" s="31"/>
      <c r="G904" s="30"/>
      <c r="H904" s="30"/>
      <c r="I904" t="s">
        <v>50</v>
      </c>
    </row>
    <row r="905" spans="3:9">
      <c r="C905" s="40">
        <v>896</v>
      </c>
      <c r="D905" s="39"/>
      <c r="E905" s="30"/>
      <c r="F905" s="31"/>
      <c r="G905" s="30"/>
      <c r="H905" s="30"/>
      <c r="I905" t="s">
        <v>50</v>
      </c>
    </row>
    <row r="906" spans="3:9">
      <c r="C906" s="40">
        <v>897</v>
      </c>
      <c r="D906" s="39"/>
      <c r="E906" s="30"/>
      <c r="F906" s="31"/>
      <c r="G906" s="30"/>
      <c r="H906" s="30"/>
      <c r="I906" t="s">
        <v>50</v>
      </c>
    </row>
    <row r="907" spans="3:9">
      <c r="C907" s="40">
        <v>898</v>
      </c>
      <c r="D907" s="39"/>
      <c r="E907" s="30"/>
      <c r="F907" s="31"/>
      <c r="G907" s="30"/>
      <c r="H907" s="30"/>
      <c r="I907" t="s">
        <v>50</v>
      </c>
    </row>
    <row r="908" spans="3:9">
      <c r="C908" s="40">
        <v>899</v>
      </c>
      <c r="D908" s="39"/>
      <c r="E908" s="30"/>
      <c r="F908" s="31"/>
      <c r="G908" s="30"/>
      <c r="H908" s="30"/>
      <c r="I908" t="s">
        <v>50</v>
      </c>
    </row>
    <row r="909" spans="3:9">
      <c r="C909" s="40">
        <v>900</v>
      </c>
      <c r="D909" s="39"/>
      <c r="E909" s="30"/>
      <c r="F909" s="31"/>
      <c r="G909" s="30"/>
      <c r="H909" s="30"/>
      <c r="I909" t="s">
        <v>50</v>
      </c>
    </row>
    <row r="910" spans="3:9">
      <c r="C910" s="40">
        <v>901</v>
      </c>
      <c r="D910" s="39"/>
      <c r="E910" s="30"/>
      <c r="F910" s="31"/>
      <c r="G910" s="30"/>
      <c r="H910" s="30"/>
      <c r="I910" t="s">
        <v>50</v>
      </c>
    </row>
    <row r="911" spans="3:9">
      <c r="C911" s="40">
        <v>902</v>
      </c>
      <c r="D911" s="39"/>
      <c r="E911" s="30"/>
      <c r="F911" s="31"/>
      <c r="G911" s="30"/>
      <c r="H911" s="30"/>
      <c r="I911" t="s">
        <v>50</v>
      </c>
    </row>
    <row r="912" spans="3:9">
      <c r="C912" s="40">
        <v>903</v>
      </c>
      <c r="D912" s="39"/>
      <c r="E912" s="30"/>
      <c r="F912" s="31"/>
      <c r="G912" s="30"/>
      <c r="H912" s="30"/>
      <c r="I912" t="s">
        <v>50</v>
      </c>
    </row>
    <row r="913" spans="3:9">
      <c r="C913" s="40">
        <v>904</v>
      </c>
      <c r="D913" s="39"/>
      <c r="E913" s="30"/>
      <c r="F913" s="31"/>
      <c r="G913" s="30"/>
      <c r="H913" s="30"/>
      <c r="I913" t="s">
        <v>50</v>
      </c>
    </row>
    <row r="914" spans="3:9">
      <c r="C914" s="40">
        <v>905</v>
      </c>
      <c r="D914" s="39"/>
      <c r="E914" s="30"/>
      <c r="F914" s="31"/>
      <c r="G914" s="30"/>
      <c r="H914" s="30"/>
      <c r="I914" t="s">
        <v>50</v>
      </c>
    </row>
    <row r="915" spans="3:9">
      <c r="C915" s="40">
        <v>906</v>
      </c>
      <c r="D915" s="39"/>
      <c r="E915" s="30"/>
      <c r="F915" s="31"/>
      <c r="G915" s="30"/>
      <c r="H915" s="30"/>
      <c r="I915" t="s">
        <v>50</v>
      </c>
    </row>
    <row r="916" spans="3:9">
      <c r="C916" s="40">
        <v>907</v>
      </c>
      <c r="D916" s="39"/>
      <c r="E916" s="30"/>
      <c r="F916" s="31"/>
      <c r="G916" s="30"/>
      <c r="H916" s="30"/>
      <c r="I916" t="s">
        <v>50</v>
      </c>
    </row>
    <row r="917" spans="3:9">
      <c r="C917" s="40">
        <v>908</v>
      </c>
      <c r="D917" s="39"/>
      <c r="E917" s="30"/>
      <c r="F917" s="31"/>
      <c r="G917" s="30"/>
      <c r="H917" s="30"/>
      <c r="I917" t="s">
        <v>50</v>
      </c>
    </row>
    <row r="918" spans="3:9">
      <c r="C918" s="40">
        <v>909</v>
      </c>
      <c r="D918" s="39"/>
      <c r="E918" s="30"/>
      <c r="F918" s="31"/>
      <c r="G918" s="30"/>
      <c r="H918" s="30"/>
      <c r="I918" t="s">
        <v>50</v>
      </c>
    </row>
    <row r="919" spans="3:9">
      <c r="C919" s="40">
        <v>910</v>
      </c>
      <c r="D919" s="39"/>
      <c r="E919" s="30"/>
      <c r="F919" s="31"/>
      <c r="G919" s="30"/>
      <c r="H919" s="30"/>
      <c r="I919" t="s">
        <v>50</v>
      </c>
    </row>
    <row r="920" spans="3:9">
      <c r="C920" s="40">
        <v>911</v>
      </c>
      <c r="D920" s="39"/>
      <c r="E920" s="30"/>
      <c r="F920" s="31"/>
      <c r="G920" s="30"/>
      <c r="H920" s="30"/>
      <c r="I920" t="s">
        <v>50</v>
      </c>
    </row>
    <row r="921" spans="3:9">
      <c r="C921" s="40">
        <v>912</v>
      </c>
      <c r="D921" s="39"/>
      <c r="E921" s="30"/>
      <c r="F921" s="31"/>
      <c r="G921" s="30"/>
      <c r="H921" s="30"/>
      <c r="I921" t="s">
        <v>50</v>
      </c>
    </row>
    <row r="922" spans="3:9">
      <c r="C922" s="40">
        <v>913</v>
      </c>
      <c r="D922" s="39"/>
      <c r="E922" s="30"/>
      <c r="F922" s="31"/>
      <c r="G922" s="30"/>
      <c r="H922" s="30"/>
      <c r="I922" t="s">
        <v>50</v>
      </c>
    </row>
    <row r="923" spans="3:9">
      <c r="C923" s="40">
        <v>914</v>
      </c>
      <c r="D923" s="39"/>
      <c r="E923" s="30"/>
      <c r="F923" s="31"/>
      <c r="G923" s="30"/>
      <c r="H923" s="30"/>
      <c r="I923" t="s">
        <v>50</v>
      </c>
    </row>
    <row r="924" spans="3:9">
      <c r="C924" s="40">
        <v>915</v>
      </c>
      <c r="D924" s="39"/>
      <c r="E924" s="30"/>
      <c r="F924" s="31"/>
      <c r="G924" s="30"/>
      <c r="H924" s="30"/>
      <c r="I924" t="s">
        <v>50</v>
      </c>
    </row>
    <row r="925" spans="3:9">
      <c r="C925" s="40">
        <v>916</v>
      </c>
      <c r="D925" s="39"/>
      <c r="E925" s="30"/>
      <c r="F925" s="31"/>
      <c r="G925" s="30"/>
      <c r="H925" s="30"/>
      <c r="I925" t="s">
        <v>50</v>
      </c>
    </row>
    <row r="926" spans="3:9">
      <c r="C926" s="40">
        <v>917</v>
      </c>
      <c r="D926" s="39"/>
      <c r="E926" s="30"/>
      <c r="F926" s="31"/>
      <c r="G926" s="30"/>
      <c r="H926" s="30"/>
      <c r="I926" t="s">
        <v>50</v>
      </c>
    </row>
    <row r="927" spans="3:9">
      <c r="C927" s="40">
        <v>918</v>
      </c>
      <c r="D927" s="39"/>
      <c r="E927" s="30"/>
      <c r="F927" s="31"/>
      <c r="G927" s="30"/>
      <c r="H927" s="30"/>
      <c r="I927" t="s">
        <v>50</v>
      </c>
    </row>
    <row r="928" spans="3:9">
      <c r="C928" s="40">
        <v>919</v>
      </c>
      <c r="D928" s="39"/>
      <c r="E928" s="30"/>
      <c r="F928" s="31"/>
      <c r="G928" s="30"/>
      <c r="H928" s="30"/>
      <c r="I928" t="s">
        <v>50</v>
      </c>
    </row>
    <row r="929" spans="3:9">
      <c r="C929" s="40">
        <v>920</v>
      </c>
      <c r="D929" s="39"/>
      <c r="E929" s="30"/>
      <c r="F929" s="31"/>
      <c r="G929" s="30"/>
      <c r="H929" s="30"/>
      <c r="I929" t="s">
        <v>50</v>
      </c>
    </row>
    <row r="930" spans="3:9">
      <c r="C930" s="40">
        <v>921</v>
      </c>
      <c r="D930" s="39"/>
      <c r="E930" s="30"/>
      <c r="F930" s="31"/>
      <c r="G930" s="30"/>
      <c r="H930" s="30"/>
      <c r="I930" t="s">
        <v>50</v>
      </c>
    </row>
    <row r="931" spans="3:9">
      <c r="C931" s="40">
        <v>922</v>
      </c>
      <c r="D931" s="39"/>
      <c r="E931" s="30"/>
      <c r="F931" s="31"/>
      <c r="G931" s="30"/>
      <c r="H931" s="30"/>
      <c r="I931" t="s">
        <v>50</v>
      </c>
    </row>
    <row r="932" spans="3:9">
      <c r="C932" s="40">
        <v>923</v>
      </c>
      <c r="D932" s="39"/>
      <c r="E932" s="30"/>
      <c r="F932" s="31"/>
      <c r="G932" s="30"/>
      <c r="H932" s="30"/>
      <c r="I932" t="s">
        <v>50</v>
      </c>
    </row>
    <row r="933" spans="3:9">
      <c r="C933" s="40">
        <v>924</v>
      </c>
      <c r="D933" s="39"/>
      <c r="E933" s="30"/>
      <c r="F933" s="31"/>
      <c r="G933" s="30"/>
      <c r="H933" s="30"/>
      <c r="I933" t="s">
        <v>50</v>
      </c>
    </row>
    <row r="934" spans="3:9">
      <c r="C934" s="40">
        <v>925</v>
      </c>
      <c r="D934" s="39"/>
      <c r="E934" s="30"/>
      <c r="F934" s="31"/>
      <c r="G934" s="30"/>
      <c r="H934" s="30"/>
      <c r="I934" t="s">
        <v>50</v>
      </c>
    </row>
    <row r="935" spans="3:9">
      <c r="C935" s="40">
        <v>926</v>
      </c>
      <c r="D935" s="39"/>
      <c r="E935" s="30"/>
      <c r="F935" s="31"/>
      <c r="G935" s="30"/>
      <c r="H935" s="30"/>
      <c r="I935" t="s">
        <v>50</v>
      </c>
    </row>
    <row r="936" spans="3:9">
      <c r="C936" s="40">
        <v>927</v>
      </c>
      <c r="D936" s="39"/>
      <c r="E936" s="30"/>
      <c r="F936" s="31"/>
      <c r="G936" s="30"/>
      <c r="H936" s="30"/>
      <c r="I936" t="s">
        <v>50</v>
      </c>
    </row>
    <row r="937" spans="3:9">
      <c r="C937" s="40">
        <v>928</v>
      </c>
      <c r="D937" s="39"/>
      <c r="E937" s="30"/>
      <c r="F937" s="31"/>
      <c r="G937" s="30"/>
      <c r="H937" s="30"/>
      <c r="I937" t="s">
        <v>50</v>
      </c>
    </row>
    <row r="938" spans="3:9">
      <c r="C938" s="40">
        <v>929</v>
      </c>
      <c r="D938" s="39"/>
      <c r="E938" s="30"/>
      <c r="F938" s="31"/>
      <c r="G938" s="30"/>
      <c r="H938" s="30"/>
      <c r="I938" t="s">
        <v>50</v>
      </c>
    </row>
    <row r="939" spans="3:9">
      <c r="C939" s="40">
        <v>930</v>
      </c>
      <c r="D939" s="39"/>
      <c r="E939" s="30"/>
      <c r="F939" s="31"/>
      <c r="G939" s="30"/>
      <c r="H939" s="30"/>
      <c r="I939" t="s">
        <v>50</v>
      </c>
    </row>
    <row r="940" spans="3:9">
      <c r="C940" s="40">
        <v>931</v>
      </c>
      <c r="D940" s="39"/>
      <c r="E940" s="30"/>
      <c r="F940" s="31"/>
      <c r="G940" s="30"/>
      <c r="H940" s="30"/>
      <c r="I940" t="s">
        <v>50</v>
      </c>
    </row>
    <row r="941" spans="3:9">
      <c r="C941" s="40">
        <v>932</v>
      </c>
      <c r="D941" s="39"/>
      <c r="E941" s="30"/>
      <c r="F941" s="31"/>
      <c r="G941" s="30"/>
      <c r="H941" s="30"/>
      <c r="I941" t="s">
        <v>50</v>
      </c>
    </row>
    <row r="942" spans="3:9">
      <c r="C942" s="40">
        <v>933</v>
      </c>
      <c r="D942" s="39"/>
      <c r="E942" s="30"/>
      <c r="F942" s="31"/>
      <c r="G942" s="30"/>
      <c r="H942" s="30"/>
      <c r="I942" t="s">
        <v>50</v>
      </c>
    </row>
    <row r="943" spans="3:9">
      <c r="C943" s="40">
        <v>934</v>
      </c>
      <c r="D943" s="39"/>
      <c r="E943" s="30"/>
      <c r="F943" s="31"/>
      <c r="G943" s="30"/>
      <c r="H943" s="30"/>
      <c r="I943" t="s">
        <v>50</v>
      </c>
    </row>
    <row r="944" spans="3:9">
      <c r="C944" s="40">
        <v>935</v>
      </c>
      <c r="D944" s="39"/>
      <c r="E944" s="30"/>
      <c r="F944" s="31"/>
      <c r="G944" s="30"/>
      <c r="H944" s="30"/>
      <c r="I944" t="s">
        <v>50</v>
      </c>
    </row>
    <row r="945" spans="3:9">
      <c r="C945" s="40">
        <v>936</v>
      </c>
      <c r="D945" s="39"/>
      <c r="E945" s="30"/>
      <c r="F945" s="31"/>
      <c r="G945" s="30"/>
      <c r="H945" s="30"/>
      <c r="I945" t="s">
        <v>50</v>
      </c>
    </row>
    <row r="946" spans="3:9">
      <c r="C946" s="40">
        <v>937</v>
      </c>
      <c r="D946" s="39"/>
      <c r="E946" s="30"/>
      <c r="F946" s="31"/>
      <c r="G946" s="30"/>
      <c r="H946" s="30"/>
      <c r="I946" t="s">
        <v>50</v>
      </c>
    </row>
    <row r="947" spans="3:9">
      <c r="C947" s="40">
        <v>938</v>
      </c>
      <c r="D947" s="39"/>
      <c r="E947" s="30"/>
      <c r="F947" s="31"/>
      <c r="G947" s="30"/>
      <c r="H947" s="30"/>
      <c r="I947" t="s">
        <v>50</v>
      </c>
    </row>
    <row r="948" spans="3:9">
      <c r="C948" s="40">
        <v>939</v>
      </c>
      <c r="D948" s="39"/>
      <c r="E948" s="30"/>
      <c r="F948" s="31"/>
      <c r="G948" s="30"/>
      <c r="H948" s="30"/>
      <c r="I948" t="s">
        <v>50</v>
      </c>
    </row>
    <row r="949" spans="3:9">
      <c r="C949" s="40">
        <v>940</v>
      </c>
      <c r="D949" s="39"/>
      <c r="E949" s="30"/>
      <c r="F949" s="31"/>
      <c r="G949" s="30"/>
      <c r="H949" s="30"/>
      <c r="I949" t="s">
        <v>50</v>
      </c>
    </row>
    <row r="950" spans="3:9">
      <c r="C950" s="40">
        <v>941</v>
      </c>
      <c r="D950" s="39"/>
      <c r="E950" s="30"/>
      <c r="F950" s="31"/>
      <c r="G950" s="30"/>
      <c r="H950" s="30"/>
      <c r="I950" t="s">
        <v>50</v>
      </c>
    </row>
    <row r="951" spans="3:9">
      <c r="C951" s="40">
        <v>942</v>
      </c>
      <c r="D951" s="39"/>
      <c r="E951" s="30"/>
      <c r="F951" s="31"/>
      <c r="G951" s="30"/>
      <c r="H951" s="30"/>
      <c r="I951" t="s">
        <v>50</v>
      </c>
    </row>
    <row r="952" spans="3:9">
      <c r="C952" s="40">
        <v>943</v>
      </c>
      <c r="D952" s="39"/>
      <c r="E952" s="30"/>
      <c r="F952" s="31"/>
      <c r="G952" s="30"/>
      <c r="H952" s="30"/>
      <c r="I952" t="s">
        <v>50</v>
      </c>
    </row>
    <row r="953" spans="3:9">
      <c r="C953" s="40">
        <v>944</v>
      </c>
      <c r="D953" s="39"/>
      <c r="E953" s="30"/>
      <c r="F953" s="31"/>
      <c r="G953" s="30"/>
      <c r="H953" s="30"/>
      <c r="I953" t="s">
        <v>50</v>
      </c>
    </row>
    <row r="954" spans="3:9">
      <c r="C954" s="40">
        <v>945</v>
      </c>
      <c r="D954" s="39"/>
      <c r="E954" s="30"/>
      <c r="F954" s="31"/>
      <c r="G954" s="30"/>
      <c r="H954" s="30"/>
      <c r="I954" t="s">
        <v>50</v>
      </c>
    </row>
    <row r="955" spans="3:9">
      <c r="C955" s="40">
        <v>946</v>
      </c>
      <c r="D955" s="39"/>
      <c r="E955" s="30"/>
      <c r="F955" s="31"/>
      <c r="G955" s="30"/>
      <c r="H955" s="30"/>
      <c r="I955" t="s">
        <v>50</v>
      </c>
    </row>
    <row r="956" spans="3:9">
      <c r="C956" s="40">
        <v>947</v>
      </c>
      <c r="D956" s="39"/>
      <c r="E956" s="30"/>
      <c r="F956" s="31"/>
      <c r="G956" s="30"/>
      <c r="H956" s="30"/>
      <c r="I956" t="s">
        <v>50</v>
      </c>
    </row>
    <row r="957" spans="3:9">
      <c r="C957" s="40">
        <v>948</v>
      </c>
      <c r="D957" s="39"/>
      <c r="E957" s="30"/>
      <c r="F957" s="31"/>
      <c r="G957" s="30"/>
      <c r="H957" s="30"/>
      <c r="I957" t="s">
        <v>50</v>
      </c>
    </row>
    <row r="958" spans="3:9">
      <c r="C958" s="40">
        <v>949</v>
      </c>
      <c r="D958" s="39"/>
      <c r="E958" s="30"/>
      <c r="F958" s="31"/>
      <c r="G958" s="30"/>
      <c r="H958" s="30"/>
      <c r="I958" t="s">
        <v>50</v>
      </c>
    </row>
    <row r="959" spans="3:9">
      <c r="C959" s="40">
        <v>950</v>
      </c>
      <c r="D959" s="39"/>
      <c r="E959" s="30"/>
      <c r="F959" s="31"/>
      <c r="G959" s="30"/>
      <c r="H959" s="30"/>
      <c r="I959" t="s">
        <v>50</v>
      </c>
    </row>
    <row r="960" spans="3:9">
      <c r="C960" s="40">
        <v>951</v>
      </c>
      <c r="D960" s="39"/>
      <c r="E960" s="30"/>
      <c r="F960" s="31"/>
      <c r="G960" s="30"/>
      <c r="H960" s="30"/>
      <c r="I960" t="s">
        <v>50</v>
      </c>
    </row>
    <row r="961" spans="3:9">
      <c r="C961" s="40">
        <v>952</v>
      </c>
      <c r="D961" s="39"/>
      <c r="E961" s="30"/>
      <c r="F961" s="31"/>
      <c r="G961" s="30"/>
      <c r="H961" s="30"/>
      <c r="I961" t="s">
        <v>50</v>
      </c>
    </row>
    <row r="962" spans="3:9">
      <c r="C962" s="40">
        <v>953</v>
      </c>
      <c r="D962" s="39"/>
      <c r="E962" s="30"/>
      <c r="F962" s="31"/>
      <c r="G962" s="30"/>
      <c r="H962" s="30"/>
      <c r="I962" t="s">
        <v>50</v>
      </c>
    </row>
    <row r="963" spans="3:9">
      <c r="C963" s="40">
        <v>954</v>
      </c>
      <c r="D963" s="39"/>
      <c r="E963" s="30"/>
      <c r="F963" s="31"/>
      <c r="G963" s="30"/>
      <c r="H963" s="30"/>
      <c r="I963" t="s">
        <v>50</v>
      </c>
    </row>
    <row r="964" spans="3:9">
      <c r="C964" s="40">
        <v>955</v>
      </c>
      <c r="D964" s="39"/>
      <c r="E964" s="30"/>
      <c r="F964" s="31"/>
      <c r="G964" s="30"/>
      <c r="H964" s="30"/>
      <c r="I964" t="s">
        <v>50</v>
      </c>
    </row>
    <row r="965" spans="3:9">
      <c r="C965" s="40">
        <v>956</v>
      </c>
      <c r="D965" s="39"/>
      <c r="E965" s="30"/>
      <c r="F965" s="31"/>
      <c r="G965" s="30"/>
      <c r="H965" s="30"/>
      <c r="I965" t="s">
        <v>50</v>
      </c>
    </row>
    <row r="966" spans="3:9">
      <c r="C966" s="40">
        <v>957</v>
      </c>
      <c r="D966" s="39"/>
      <c r="E966" s="30"/>
      <c r="F966" s="31"/>
      <c r="G966" s="30"/>
      <c r="H966" s="30"/>
      <c r="I966" t="s">
        <v>50</v>
      </c>
    </row>
    <row r="967" spans="3:9">
      <c r="C967" s="40">
        <v>958</v>
      </c>
      <c r="D967" s="39"/>
      <c r="E967" s="30"/>
      <c r="F967" s="31"/>
      <c r="G967" s="30"/>
      <c r="H967" s="30"/>
      <c r="I967" t="s">
        <v>50</v>
      </c>
    </row>
    <row r="968" spans="3:9">
      <c r="C968" s="40">
        <v>959</v>
      </c>
      <c r="D968" s="39"/>
      <c r="E968" s="30"/>
      <c r="F968" s="31"/>
      <c r="G968" s="30"/>
      <c r="H968" s="30"/>
      <c r="I968" t="s">
        <v>50</v>
      </c>
    </row>
    <row r="969" spans="3:9">
      <c r="C969" s="40">
        <v>960</v>
      </c>
      <c r="D969" s="39"/>
      <c r="E969" s="30"/>
      <c r="F969" s="31"/>
      <c r="G969" s="30"/>
      <c r="H969" s="30"/>
      <c r="I969" t="s">
        <v>50</v>
      </c>
    </row>
    <row r="970" spans="3:9">
      <c r="C970" s="40">
        <v>961</v>
      </c>
      <c r="D970" s="39"/>
      <c r="E970" s="30"/>
      <c r="F970" s="31"/>
      <c r="G970" s="30"/>
      <c r="H970" s="30"/>
      <c r="I970" t="s">
        <v>50</v>
      </c>
    </row>
    <row r="971" spans="3:9">
      <c r="C971" s="40">
        <v>962</v>
      </c>
      <c r="D971" s="39"/>
      <c r="E971" s="30"/>
      <c r="F971" s="31"/>
      <c r="G971" s="30"/>
      <c r="H971" s="30"/>
      <c r="I971" t="s">
        <v>50</v>
      </c>
    </row>
    <row r="972" spans="3:9">
      <c r="C972" s="40">
        <v>963</v>
      </c>
      <c r="D972" s="39"/>
      <c r="E972" s="30"/>
      <c r="F972" s="31"/>
      <c r="G972" s="30"/>
      <c r="H972" s="30"/>
      <c r="I972" t="s">
        <v>50</v>
      </c>
    </row>
    <row r="973" spans="3:9">
      <c r="C973" s="40">
        <v>964</v>
      </c>
      <c r="D973" s="39"/>
      <c r="E973" s="30"/>
      <c r="F973" s="31"/>
      <c r="G973" s="30"/>
      <c r="H973" s="30"/>
      <c r="I973" t="s">
        <v>50</v>
      </c>
    </row>
    <row r="974" spans="3:9">
      <c r="C974" s="40">
        <v>965</v>
      </c>
      <c r="D974" s="39"/>
      <c r="E974" s="30"/>
      <c r="F974" s="31"/>
      <c r="G974" s="30"/>
      <c r="H974" s="30"/>
      <c r="I974" t="s">
        <v>50</v>
      </c>
    </row>
    <row r="975" spans="3:9">
      <c r="C975" s="40">
        <v>966</v>
      </c>
      <c r="D975" s="39"/>
      <c r="E975" s="30"/>
      <c r="F975" s="31"/>
      <c r="G975" s="30"/>
      <c r="H975" s="30"/>
      <c r="I975" t="s">
        <v>50</v>
      </c>
    </row>
    <row r="976" spans="3:9">
      <c r="C976" s="40">
        <v>967</v>
      </c>
      <c r="D976" s="39"/>
      <c r="E976" s="30"/>
      <c r="F976" s="31"/>
      <c r="G976" s="30"/>
      <c r="H976" s="30"/>
      <c r="I976" t="s">
        <v>50</v>
      </c>
    </row>
    <row r="977" spans="3:9">
      <c r="C977" s="40">
        <v>968</v>
      </c>
      <c r="D977" s="39"/>
      <c r="E977" s="30"/>
      <c r="F977" s="31"/>
      <c r="G977" s="30"/>
      <c r="H977" s="30"/>
      <c r="I977" t="s">
        <v>50</v>
      </c>
    </row>
    <row r="978" spans="3:9">
      <c r="C978" s="40">
        <v>969</v>
      </c>
      <c r="D978" s="39"/>
      <c r="E978" s="30"/>
      <c r="F978" s="31"/>
      <c r="G978" s="30"/>
      <c r="H978" s="30"/>
      <c r="I978" t="s">
        <v>50</v>
      </c>
    </row>
    <row r="979" spans="3:9">
      <c r="C979" s="40">
        <v>970</v>
      </c>
      <c r="D979" s="39"/>
      <c r="E979" s="30"/>
      <c r="F979" s="31"/>
      <c r="G979" s="30"/>
      <c r="H979" s="30"/>
      <c r="I979" t="s">
        <v>50</v>
      </c>
    </row>
    <row r="980" spans="3:9">
      <c r="C980" s="40">
        <v>971</v>
      </c>
      <c r="D980" s="39"/>
      <c r="E980" s="30"/>
      <c r="F980" s="31"/>
      <c r="G980" s="30"/>
      <c r="H980" s="30"/>
      <c r="I980" t="s">
        <v>50</v>
      </c>
    </row>
    <row r="981" spans="3:9">
      <c r="C981" s="40">
        <v>972</v>
      </c>
      <c r="D981" s="39"/>
      <c r="E981" s="30"/>
      <c r="F981" s="31"/>
      <c r="G981" s="30"/>
      <c r="H981" s="30"/>
      <c r="I981" t="s">
        <v>50</v>
      </c>
    </row>
    <row r="982" spans="3:9">
      <c r="C982" s="40">
        <v>973</v>
      </c>
      <c r="D982" s="39"/>
      <c r="E982" s="30"/>
      <c r="F982" s="31"/>
      <c r="G982" s="30"/>
      <c r="H982" s="30"/>
      <c r="I982" t="s">
        <v>50</v>
      </c>
    </row>
    <row r="983" spans="3:9">
      <c r="C983" s="40">
        <v>974</v>
      </c>
      <c r="D983" s="39"/>
      <c r="E983" s="30"/>
      <c r="F983" s="31"/>
      <c r="G983" s="30"/>
      <c r="H983" s="30"/>
      <c r="I983" t="s">
        <v>50</v>
      </c>
    </row>
    <row r="984" spans="3:9">
      <c r="C984" s="40">
        <v>975</v>
      </c>
      <c r="D984" s="39"/>
      <c r="E984" s="30"/>
      <c r="F984" s="31"/>
      <c r="G984" s="30"/>
      <c r="H984" s="30"/>
      <c r="I984" t="s">
        <v>50</v>
      </c>
    </row>
    <row r="985" spans="3:9">
      <c r="C985" s="40">
        <v>976</v>
      </c>
      <c r="D985" s="39"/>
      <c r="E985" s="30"/>
      <c r="F985" s="31"/>
      <c r="G985" s="30"/>
      <c r="H985" s="30"/>
      <c r="I985" t="s">
        <v>50</v>
      </c>
    </row>
    <row r="986" spans="3:9">
      <c r="C986" s="40">
        <v>977</v>
      </c>
      <c r="D986" s="39"/>
      <c r="E986" s="30"/>
      <c r="F986" s="31"/>
      <c r="G986" s="30"/>
      <c r="H986" s="30"/>
      <c r="I986" t="s">
        <v>50</v>
      </c>
    </row>
    <row r="987" spans="3:9">
      <c r="C987" s="40">
        <v>978</v>
      </c>
      <c r="D987" s="39"/>
      <c r="E987" s="30"/>
      <c r="F987" s="31"/>
      <c r="G987" s="30"/>
      <c r="H987" s="30"/>
      <c r="I987" t="s">
        <v>50</v>
      </c>
    </row>
    <row r="988" spans="3:9">
      <c r="C988" s="40">
        <v>979</v>
      </c>
      <c r="D988" s="39"/>
      <c r="E988" s="30"/>
      <c r="F988" s="31"/>
      <c r="G988" s="30"/>
      <c r="H988" s="30"/>
      <c r="I988" t="s">
        <v>50</v>
      </c>
    </row>
    <row r="989" spans="3:9">
      <c r="C989" s="40">
        <v>980</v>
      </c>
      <c r="D989" s="39"/>
      <c r="E989" s="30"/>
      <c r="F989" s="31"/>
      <c r="G989" s="30"/>
      <c r="H989" s="30"/>
      <c r="I989" t="s">
        <v>50</v>
      </c>
    </row>
    <row r="990" spans="3:9">
      <c r="C990" s="40">
        <v>981</v>
      </c>
      <c r="D990" s="39"/>
      <c r="E990" s="30"/>
      <c r="F990" s="31"/>
      <c r="G990" s="30"/>
      <c r="H990" s="30"/>
      <c r="I990" t="s">
        <v>50</v>
      </c>
    </row>
    <row r="991" spans="3:9">
      <c r="C991" s="40">
        <v>982</v>
      </c>
      <c r="D991" s="39"/>
      <c r="E991" s="30"/>
      <c r="F991" s="31"/>
      <c r="G991" s="30"/>
      <c r="H991" s="30"/>
      <c r="I991" t="s">
        <v>50</v>
      </c>
    </row>
    <row r="992" spans="3:9">
      <c r="C992" s="40">
        <v>983</v>
      </c>
      <c r="D992" s="39"/>
      <c r="E992" s="30"/>
      <c r="F992" s="31"/>
      <c r="G992" s="30"/>
      <c r="H992" s="30"/>
      <c r="I992" t="s">
        <v>50</v>
      </c>
    </row>
    <row r="993" spans="3:9">
      <c r="C993" s="40">
        <v>984</v>
      </c>
      <c r="D993" s="39"/>
      <c r="E993" s="30"/>
      <c r="F993" s="31"/>
      <c r="G993" s="30"/>
      <c r="H993" s="30"/>
      <c r="I993" t="s">
        <v>50</v>
      </c>
    </row>
    <row r="994" spans="3:9">
      <c r="C994" s="40">
        <v>985</v>
      </c>
      <c r="D994" s="39"/>
      <c r="E994" s="30"/>
      <c r="F994" s="31"/>
      <c r="G994" s="30"/>
      <c r="H994" s="30"/>
      <c r="I994" t="s">
        <v>50</v>
      </c>
    </row>
    <row r="995" spans="3:9">
      <c r="C995" s="40">
        <v>986</v>
      </c>
      <c r="D995" s="39"/>
      <c r="E995" s="30"/>
      <c r="F995" s="31"/>
      <c r="G995" s="30"/>
      <c r="H995" s="30"/>
      <c r="I995" t="s">
        <v>50</v>
      </c>
    </row>
    <row r="996" spans="3:9">
      <c r="C996" s="40">
        <v>987</v>
      </c>
      <c r="D996" s="39"/>
      <c r="E996" s="30"/>
      <c r="F996" s="31"/>
      <c r="G996" s="30"/>
      <c r="H996" s="30"/>
      <c r="I996" t="s">
        <v>50</v>
      </c>
    </row>
    <row r="997" spans="3:9">
      <c r="C997" s="40">
        <v>988</v>
      </c>
      <c r="D997" s="39"/>
      <c r="E997" s="30"/>
      <c r="F997" s="31"/>
      <c r="G997" s="30"/>
      <c r="H997" s="30"/>
      <c r="I997" t="s">
        <v>50</v>
      </c>
    </row>
    <row r="998" spans="3:9">
      <c r="C998" s="40">
        <v>989</v>
      </c>
      <c r="D998" s="39"/>
      <c r="E998" s="30"/>
      <c r="F998" s="31"/>
      <c r="G998" s="30"/>
      <c r="H998" s="30"/>
      <c r="I998" t="s">
        <v>50</v>
      </c>
    </row>
    <row r="999" spans="3:9">
      <c r="C999" s="40">
        <v>990</v>
      </c>
      <c r="D999" s="39"/>
      <c r="E999" s="30"/>
      <c r="F999" s="31"/>
      <c r="G999" s="30"/>
      <c r="H999" s="30"/>
      <c r="I999" t="s">
        <v>50</v>
      </c>
    </row>
    <row r="1000" spans="3:9">
      <c r="C1000" s="40">
        <v>991</v>
      </c>
      <c r="D1000" s="39"/>
      <c r="E1000" s="30"/>
      <c r="F1000" s="31"/>
      <c r="G1000" s="30"/>
      <c r="H1000" s="30"/>
      <c r="I1000" t="s">
        <v>50</v>
      </c>
    </row>
    <row r="1001" spans="3:9">
      <c r="C1001" s="40">
        <v>992</v>
      </c>
      <c r="D1001" s="39"/>
      <c r="E1001" s="30"/>
      <c r="F1001" s="31"/>
      <c r="G1001" s="30"/>
      <c r="H1001" s="30"/>
      <c r="I1001" t="s">
        <v>50</v>
      </c>
    </row>
    <row r="1002" spans="3:9">
      <c r="C1002" s="40">
        <v>993</v>
      </c>
      <c r="D1002" s="39"/>
      <c r="E1002" s="30"/>
      <c r="F1002" s="31"/>
      <c r="G1002" s="30"/>
      <c r="H1002" s="30"/>
      <c r="I1002" t="s">
        <v>50</v>
      </c>
    </row>
    <row r="1003" spans="3:9">
      <c r="C1003" s="40">
        <v>994</v>
      </c>
      <c r="D1003" s="39"/>
      <c r="E1003" s="30"/>
      <c r="F1003" s="31"/>
      <c r="G1003" s="30"/>
      <c r="H1003" s="30"/>
      <c r="I1003" t="s">
        <v>50</v>
      </c>
    </row>
    <row r="1004" spans="3:9">
      <c r="C1004" s="40">
        <v>995</v>
      </c>
      <c r="D1004" s="39"/>
      <c r="E1004" s="30"/>
      <c r="F1004" s="31"/>
      <c r="G1004" s="30"/>
      <c r="H1004" s="30"/>
      <c r="I1004" t="s">
        <v>50</v>
      </c>
    </row>
    <row r="1005" spans="3:9">
      <c r="C1005" s="40">
        <v>996</v>
      </c>
      <c r="D1005" s="39"/>
      <c r="E1005" s="30"/>
      <c r="F1005" s="31"/>
      <c r="G1005" s="30"/>
      <c r="H1005" s="30"/>
      <c r="I1005" t="s">
        <v>50</v>
      </c>
    </row>
    <row r="1006" spans="3:9">
      <c r="C1006" s="40">
        <v>997</v>
      </c>
      <c r="D1006" s="39"/>
      <c r="E1006" s="30"/>
      <c r="F1006" s="31"/>
      <c r="G1006" s="30"/>
      <c r="H1006" s="30"/>
      <c r="I1006" t="s">
        <v>50</v>
      </c>
    </row>
    <row r="1007" spans="3:9">
      <c r="C1007" s="40">
        <v>998</v>
      </c>
      <c r="D1007" s="39"/>
      <c r="E1007" s="30"/>
      <c r="F1007" s="31"/>
      <c r="G1007" s="30"/>
      <c r="H1007" s="30"/>
      <c r="I1007" t="s">
        <v>50</v>
      </c>
    </row>
    <row r="1008" spans="3:9">
      <c r="C1008" s="40">
        <v>999</v>
      </c>
      <c r="D1008" s="39"/>
      <c r="E1008" s="30"/>
      <c r="F1008" s="31"/>
      <c r="G1008" s="30"/>
      <c r="H1008" s="30"/>
      <c r="I1008" t="s">
        <v>50</v>
      </c>
    </row>
    <row r="1009" spans="3:9">
      <c r="C1009" s="40">
        <v>1000</v>
      </c>
      <c r="D1009" s="39"/>
      <c r="E1009" s="30"/>
      <c r="F1009" s="31"/>
      <c r="G1009" s="30"/>
      <c r="H1009" s="30"/>
      <c r="I1009" t="s">
        <v>50</v>
      </c>
    </row>
    <row r="1010" spans="3:9">
      <c r="C1010" s="40" t="s">
        <v>50</v>
      </c>
      <c r="D1010" t="s">
        <v>50</v>
      </c>
      <c r="E1010" t="s">
        <v>50</v>
      </c>
      <c r="F1010" t="s">
        <v>50</v>
      </c>
      <c r="G1010" t="s">
        <v>50</v>
      </c>
      <c r="H1010" t="s">
        <v>50</v>
      </c>
      <c r="I1010" t="s">
        <v>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Indices Mines Exporting Ports</vt:lpstr>
      <vt:lpstr>Processing Factors</vt:lpstr>
      <vt:lpstr>China Price Series</vt:lpstr>
      <vt:lpstr>Global factors</vt:lpstr>
      <vt:lpstr>Ship Time Charter Rates</vt:lpstr>
      <vt:lpstr>Ship Speeds</vt:lpstr>
      <vt:lpstr>Port Linkages</vt:lpstr>
      <vt:lpstr>Ship Fuel Zones n Types</vt:lpstr>
      <vt:lpstr>China n Importing Ports</vt:lpstr>
      <vt:lpstr>Canals</vt:lpstr>
      <vt:lpstr>AllowedShip Class Time Charters</vt:lpstr>
      <vt:lpstr>Ship Fuel Prices</vt:lpstr>
      <vt:lpstr>FX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Dalton</dc:creator>
  <cp:lastModifiedBy>Windows User</cp:lastModifiedBy>
  <dcterms:created xsi:type="dcterms:W3CDTF">2020-02-10T05:17:12Z</dcterms:created>
  <dcterms:modified xsi:type="dcterms:W3CDTF">2020-06-17T06:26:33Z</dcterms:modified>
</cp:coreProperties>
</file>